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O:\DPACG\ce-pa\Publicaciones\Aegpef2019\Aegpef XLS\"/>
    </mc:Choice>
  </mc:AlternateContent>
  <workbookProtection lockStructure="1"/>
  <bookViews>
    <workbookView xWindow="0" yWindow="0" windowWidth="28800" windowHeight="10875"/>
  </bookViews>
  <sheets>
    <sheet name="Índice" sheetId="2" r:id="rId1"/>
    <sheet name="5.1" sheetId="13" r:id="rId2"/>
    <sheet name="5.2" sheetId="35" r:id="rId3"/>
    <sheet name="5.3" sheetId="14" r:id="rId4"/>
    <sheet name="5.4" sheetId="15" r:id="rId5"/>
    <sheet name="5.5" sheetId="16" r:id="rId6"/>
    <sheet name="5.6" sheetId="17" r:id="rId7"/>
    <sheet name="5.7" sheetId="18" r:id="rId8"/>
    <sheet name="5.8" sheetId="19" r:id="rId9"/>
    <sheet name="5.9" sheetId="20" r:id="rId10"/>
    <sheet name="5.10" sheetId="21" r:id="rId11"/>
    <sheet name="5.11" sheetId="22" r:id="rId12"/>
    <sheet name="5.12" sheetId="24" r:id="rId13"/>
    <sheet name="5.13" sheetId="25" r:id="rId14"/>
    <sheet name="5.14" sheetId="26" r:id="rId15"/>
    <sheet name="5.15" sheetId="27" r:id="rId16"/>
    <sheet name="5.16" sheetId="28" r:id="rId17"/>
    <sheet name="5.17" sheetId="29" r:id="rId18"/>
    <sheet name="5.18" sheetId="30" r:id="rId19"/>
    <sheet name="5.19" sheetId="31" r:id="rId20"/>
    <sheet name="5.20" sheetId="23" r:id="rId21"/>
    <sheet name="5.21" sheetId="32" r:id="rId22"/>
    <sheet name="5.22" sheetId="33" r:id="rId23"/>
    <sheet name="5.23" sheetId="7" r:id="rId24"/>
    <sheet name="5.24" sheetId="8" r:id="rId25"/>
    <sheet name="5.25" sheetId="9" r:id="rId26"/>
    <sheet name="5.26" sheetId="10" r:id="rId27"/>
    <sheet name="5.27" sheetId="11" r:id="rId28"/>
    <sheet name="5.28" sheetId="12" r:id="rId29"/>
    <sheet name="5.29" sheetId="1" r:id="rId30"/>
  </sheets>
  <definedNames>
    <definedName name="_Fill" localSheetId="1" hidden="1">#REF!</definedName>
    <definedName name="_Fill" localSheetId="11" hidden="1">#REF!</definedName>
    <definedName name="_Fill" localSheetId="19" hidden="1">#REF!</definedName>
    <definedName name="_Fill" localSheetId="2" hidden="1">#REF!</definedName>
    <definedName name="_Fill" localSheetId="20" hidden="1">#REF!</definedName>
    <definedName name="_Fill" localSheetId="21" hidden="1">#REF!</definedName>
    <definedName name="_Fill" localSheetId="23" hidden="1">#REF!</definedName>
    <definedName name="_Fill" localSheetId="27" hidden="1">#REF!</definedName>
    <definedName name="_Fill" localSheetId="28" hidden="1">#REF!</definedName>
    <definedName name="_Fill" localSheetId="29" hidden="1">#REF!</definedName>
    <definedName name="_Fill" localSheetId="5" hidden="1">#REF!</definedName>
    <definedName name="_Fill" localSheetId="6" hidden="1">#REF!</definedName>
    <definedName name="_Fill" localSheetId="7" hidden="1">#REF!</definedName>
    <definedName name="_Fill" localSheetId="0" hidden="1">#REF!</definedName>
    <definedName name="_Fill" hidden="1">#REF!</definedName>
    <definedName name="_Order1" hidden="1">255</definedName>
    <definedName name="_Order2" hidden="1">0</definedName>
    <definedName name="_Regression_Int" hidden="1">1</definedName>
    <definedName name="a" localSheetId="1" hidden="1">#REF!</definedName>
    <definedName name="a" localSheetId="11" hidden="1">#REF!</definedName>
    <definedName name="a" localSheetId="19" hidden="1">#REF!</definedName>
    <definedName name="a" localSheetId="2" hidden="1">#REF!</definedName>
    <definedName name="a" localSheetId="20" hidden="1">#REF!</definedName>
    <definedName name="a" localSheetId="23" hidden="1">#REF!</definedName>
    <definedName name="a" localSheetId="27" hidden="1">#REF!</definedName>
    <definedName name="a" localSheetId="28" hidden="1">#REF!</definedName>
    <definedName name="a" localSheetId="29" hidden="1">#REF!</definedName>
    <definedName name="a" localSheetId="5" hidden="1">#REF!</definedName>
    <definedName name="a" localSheetId="6" hidden="1">#REF!</definedName>
    <definedName name="a" localSheetId="7" hidden="1">#REF!</definedName>
    <definedName name="a" localSheetId="0" hidden="1">#REF!</definedName>
    <definedName name="a" hidden="1">#REF!</definedName>
    <definedName name="_xlnm.Print_Area" localSheetId="1">'5.1'!$A$1:$K$133</definedName>
    <definedName name="_xlnm.Print_Area" localSheetId="10">'5.10'!$A$1:$J$780</definedName>
    <definedName name="_xlnm.Print_Area" localSheetId="11">'5.11'!$A$1:$H$851</definedName>
    <definedName name="_xlnm.Print_Area" localSheetId="12">'5.12'!$A$1:$H$875</definedName>
    <definedName name="_xlnm.Print_Area" localSheetId="13">'5.13'!$A$1:$I$875</definedName>
    <definedName name="_xlnm.Print_Area" localSheetId="14">'5.14'!$A$1:$H$877</definedName>
    <definedName name="_xlnm.Print_Area" localSheetId="15">'5.15'!$A$1:$N$664</definedName>
    <definedName name="_xlnm.Print_Area" localSheetId="16">'5.16'!$A$1:$N$664</definedName>
    <definedName name="_xlnm.Print_Area" localSheetId="17">'5.17'!$A$1:$L$884</definedName>
    <definedName name="_xlnm.Print_Area" localSheetId="18">'5.18'!$A$1:$L$879</definedName>
    <definedName name="_xlnm.Print_Area" localSheetId="19">'5.19'!$A$1:$N$806</definedName>
    <definedName name="_xlnm.Print_Area" localSheetId="2">'5.2'!$A$1:$J$712</definedName>
    <definedName name="_xlnm.Print_Area" localSheetId="20">'5.20'!$A$1:$L$903</definedName>
    <definedName name="_xlnm.Print_Area" localSheetId="21">'5.21'!$A$1:$Y$46</definedName>
    <definedName name="_xlnm.Print_Area" localSheetId="22">'5.22'!$A$1:$I$793</definedName>
    <definedName name="_xlnm.Print_Area" localSheetId="23">'5.23'!$A$1:$U$45</definedName>
    <definedName name="_xlnm.Print_Area" localSheetId="24">'5.24'!$A$1:$T$717</definedName>
    <definedName name="_xlnm.Print_Area" localSheetId="25">'5.25'!$A$1:$E$696</definedName>
    <definedName name="_xlnm.Print_Area" localSheetId="26">'5.26'!$A$1:$K$700</definedName>
    <definedName name="_xlnm.Print_Area" localSheetId="27">'5.27'!$A$1:$J$809</definedName>
    <definedName name="_xlnm.Print_Area" localSheetId="28">'5.28'!$A$1:$J$807</definedName>
    <definedName name="_xlnm.Print_Area" localSheetId="29">'5.29'!$A$1:$O$869</definedName>
    <definedName name="_xlnm.Print_Area" localSheetId="3">'5.3'!$A$1:$M$846</definedName>
    <definedName name="_xlnm.Print_Area" localSheetId="4">'5.4'!$A$1:$H$849</definedName>
    <definedName name="_xlnm.Print_Area" localSheetId="5">'5.5'!$A$1:$Q$855</definedName>
    <definedName name="_xlnm.Print_Area" localSheetId="6">'5.6'!$A$1:$I$849</definedName>
    <definedName name="_xlnm.Print_Area" localSheetId="7">'5.7'!$A$1:$L$820</definedName>
    <definedName name="_xlnm.Print_Area" localSheetId="8">'5.8'!$A$1:$L$811</definedName>
    <definedName name="_xlnm.Print_Area" localSheetId="9">'5.9'!$A$1:$S$822</definedName>
    <definedName name="_xlnm.Print_Area" localSheetId="0">Índice!$A$1:$B$32</definedName>
    <definedName name="asaaa" localSheetId="1" hidden="1">#REF!</definedName>
    <definedName name="asaaa" localSheetId="11" hidden="1">#REF!</definedName>
    <definedName name="asaaa" localSheetId="19" hidden="1">#REF!</definedName>
    <definedName name="asaaa" localSheetId="2" hidden="1">#REF!</definedName>
    <definedName name="asaaa" localSheetId="20" hidden="1">#REF!</definedName>
    <definedName name="asaaa" localSheetId="29" hidden="1">#REF!</definedName>
    <definedName name="asaaa" localSheetId="7" hidden="1">#REF!</definedName>
    <definedName name="asaaa" localSheetId="0" hidden="1">#REF!</definedName>
    <definedName name="asaaa" hidden="1">#REF!</definedName>
    <definedName name="b" localSheetId="1" hidden="1">#REF!</definedName>
    <definedName name="b" localSheetId="19" hidden="1">#REF!</definedName>
    <definedName name="b" localSheetId="2" hidden="1">#REF!</definedName>
    <definedName name="b" localSheetId="20" hidden="1">#REF!</definedName>
    <definedName name="b" localSheetId="29" hidden="1">#REF!</definedName>
    <definedName name="b" localSheetId="7" hidden="1">#REF!</definedName>
    <definedName name="b" localSheetId="0" hidden="1">#REF!</definedName>
    <definedName name="b" hidden="1">#REF!</definedName>
    <definedName name="consari" localSheetId="1" hidden="1">#REF!</definedName>
    <definedName name="consari" localSheetId="11" hidden="1">#REF!</definedName>
    <definedName name="consari" localSheetId="19" hidden="1">#REF!</definedName>
    <definedName name="consari" localSheetId="2" hidden="1">#REF!</definedName>
    <definedName name="consari" localSheetId="20" hidden="1">#REF!</definedName>
    <definedName name="consari" localSheetId="29" hidden="1">#REF!</definedName>
    <definedName name="consari" localSheetId="7" hidden="1">#REF!</definedName>
    <definedName name="consari" localSheetId="0" hidden="1">#REF!</definedName>
    <definedName name="consari" hidden="1">#REF!</definedName>
    <definedName name="delll" localSheetId="1" hidden="1">#REF!</definedName>
    <definedName name="delll" localSheetId="11" hidden="1">#REF!</definedName>
    <definedName name="delll" localSheetId="19" hidden="1">#REF!</definedName>
    <definedName name="delll" localSheetId="2" hidden="1">#REF!</definedName>
    <definedName name="delll" localSheetId="23" hidden="1">#REF!</definedName>
    <definedName name="delll" localSheetId="27" hidden="1">#REF!</definedName>
    <definedName name="delll" localSheetId="28" hidden="1">#REF!</definedName>
    <definedName name="delll" localSheetId="29" hidden="1">#REF!</definedName>
    <definedName name="delll" localSheetId="5" hidden="1">#REF!</definedName>
    <definedName name="delll" localSheetId="0" hidden="1">#REF!</definedName>
    <definedName name="delll" hidden="1">#REF!</definedName>
    <definedName name="fhjkg" localSheetId="1" hidden="1">#REF!</definedName>
    <definedName name="fhjkg" localSheetId="11" hidden="1">#REF!</definedName>
    <definedName name="fhjkg" localSheetId="19" hidden="1">#REF!</definedName>
    <definedName name="fhjkg" localSheetId="2" hidden="1">#REF!</definedName>
    <definedName name="fhjkg" localSheetId="29" hidden="1">#REF!</definedName>
    <definedName name="fhjkg" localSheetId="0" hidden="1">#REF!</definedName>
    <definedName name="fhjkg" hidden="1">#REF!</definedName>
    <definedName name="Fill" localSheetId="1" hidden="1">#REF!</definedName>
    <definedName name="Fill" localSheetId="19" hidden="1">#REF!</definedName>
    <definedName name="Fill" localSheetId="2" hidden="1">#REF!</definedName>
    <definedName name="Fill" localSheetId="23" hidden="1">#REF!</definedName>
    <definedName name="Fill" localSheetId="27" hidden="1">#REF!</definedName>
    <definedName name="Fill" localSheetId="28" hidden="1">#REF!</definedName>
    <definedName name="Fill" localSheetId="29" hidden="1">#REF!</definedName>
    <definedName name="Fill" localSheetId="0" hidden="1">#REF!</definedName>
    <definedName name="Fill" hidden="1">#REF!</definedName>
    <definedName name="_xlnm.Print_Titles" localSheetId="1">'5.1'!$1:$12</definedName>
    <definedName name="_xlnm.Print_Titles" localSheetId="10">'5.10'!$1:$12</definedName>
    <definedName name="_xlnm.Print_Titles" localSheetId="11">'5.11'!$1:$12</definedName>
    <definedName name="_xlnm.Print_Titles" localSheetId="12">'5.12'!$1:$9</definedName>
    <definedName name="_xlnm.Print_Titles" localSheetId="13">'5.13'!$1:$9</definedName>
    <definedName name="_xlnm.Print_Titles" localSheetId="14">'5.14'!$1:$10</definedName>
    <definedName name="_xlnm.Print_Titles" localSheetId="15">'5.15'!$1:$12</definedName>
    <definedName name="_xlnm.Print_Titles" localSheetId="16">'5.16'!$1:$12</definedName>
    <definedName name="_xlnm.Print_Titles" localSheetId="17">'5.17'!$1:$14</definedName>
    <definedName name="_xlnm.Print_Titles" localSheetId="18">'5.18'!$1:$12</definedName>
    <definedName name="_xlnm.Print_Titles" localSheetId="19">'5.19'!$1:$9</definedName>
    <definedName name="_xlnm.Print_Titles" localSheetId="2">'5.2'!$1:$9</definedName>
    <definedName name="_xlnm.Print_Titles" localSheetId="20">'5.20'!$1:$9</definedName>
    <definedName name="_xlnm.Print_Titles" localSheetId="22">'5.22'!$1:$11</definedName>
    <definedName name="_xlnm.Print_Titles" localSheetId="24">'5.24'!$1:$11</definedName>
    <definedName name="_xlnm.Print_Titles" localSheetId="25">'5.25'!$1:$7</definedName>
    <definedName name="_xlnm.Print_Titles" localSheetId="26">'5.26'!$1:$8</definedName>
    <definedName name="_xlnm.Print_Titles" localSheetId="27">'5.27'!$1:$11</definedName>
    <definedName name="_xlnm.Print_Titles" localSheetId="28">'5.28'!$1:$10</definedName>
    <definedName name="_xlnm.Print_Titles" localSheetId="29">'5.29'!$1:$11</definedName>
    <definedName name="_xlnm.Print_Titles" localSheetId="3">'5.3'!$1:$8</definedName>
    <definedName name="_xlnm.Print_Titles" localSheetId="4">'5.4'!$1:$9</definedName>
    <definedName name="_xlnm.Print_Titles" localSheetId="5">'5.5'!$1:$12</definedName>
    <definedName name="_xlnm.Print_Titles" localSheetId="6">'5.6'!$1:$9</definedName>
    <definedName name="_xlnm.Print_Titles" localSheetId="7">'5.7'!$1:$12</definedName>
    <definedName name="_xlnm.Print_Titles" localSheetId="8">'5.8'!$1:$9</definedName>
    <definedName name="_xlnm.Print_Titles" localSheetId="9">'5.9'!$1:$11</definedName>
    <definedName name="uno" hidden="1">#REF!</definedName>
    <definedName name="w" localSheetId="1" hidden="1">#REF!</definedName>
    <definedName name="w" localSheetId="2" hidden="1">#REF!</definedName>
    <definedName name="w" localSheetId="20" hidden="1">#REF!</definedName>
    <definedName name="w" localSheetId="29" hidden="1">#REF!</definedName>
    <definedName name="w" localSheetId="7" hidden="1">#REF!</definedName>
    <definedName name="w" localSheetId="0" hidden="1">#REF!</definedName>
    <definedName name="w" hidden="1">#REF!</definedName>
    <definedName name="x" localSheetId="1" hidden="1">#REF!</definedName>
    <definedName name="x" localSheetId="11" hidden="1">#REF!</definedName>
    <definedName name="x" localSheetId="19" hidden="1">#REF!</definedName>
    <definedName name="x" localSheetId="2" hidden="1">#REF!</definedName>
    <definedName name="x" localSheetId="20" hidden="1">#REF!</definedName>
    <definedName name="x" localSheetId="29" hidden="1">#REF!</definedName>
    <definedName name="x" localSheetId="7" hidden="1">#REF!</definedName>
    <definedName name="x" localSheetId="0" hidden="1">#REF!</definedName>
    <definedName name="x" hidden="1">#REF!</definedName>
    <definedName name="xxxxxx" localSheetId="1" hidden="1">#REF!</definedName>
    <definedName name="xxxxxx" localSheetId="19" hidden="1">#REF!</definedName>
    <definedName name="xxxxxx" localSheetId="2" hidden="1">#REF!</definedName>
    <definedName name="xxxxxx" localSheetId="20" hidden="1">#REF!</definedName>
    <definedName name="xxxxxx" localSheetId="29" hidden="1">#REF!</definedName>
    <definedName name="xxxxxx" localSheetId="7" hidden="1">#REF!</definedName>
    <definedName name="xxxxxx" localSheetId="0" hidden="1">#REF!</definedName>
    <definedName name="xxxxxx" hidden="1">#REF!</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C11" i="35" l="1"/>
  <c r="D11" i="35"/>
  <c r="E11" i="35"/>
  <c r="F11" i="35"/>
  <c r="H11" i="35"/>
  <c r="I11" i="35"/>
  <c r="B13" i="35"/>
  <c r="B11" i="35" s="1"/>
  <c r="B14" i="35"/>
  <c r="B15" i="35"/>
  <c r="B16" i="35"/>
  <c r="B17" i="35"/>
  <c r="B18" i="35"/>
  <c r="B19" i="35"/>
  <c r="B20" i="35"/>
  <c r="B21" i="35"/>
  <c r="B22" i="35"/>
  <c r="B23" i="35"/>
  <c r="B24" i="35"/>
  <c r="B25" i="35"/>
  <c r="B26" i="35"/>
  <c r="B27" i="35"/>
  <c r="B28" i="35"/>
  <c r="B29" i="35"/>
  <c r="B30" i="35"/>
  <c r="B31" i="35"/>
  <c r="B32" i="35"/>
  <c r="B33" i="35"/>
  <c r="B34" i="35"/>
  <c r="B35" i="35"/>
  <c r="B36" i="35"/>
  <c r="B37" i="35"/>
  <c r="B38" i="35"/>
  <c r="B39" i="35"/>
  <c r="B40" i="35"/>
  <c r="B41" i="35"/>
  <c r="B42" i="35"/>
  <c r="B43" i="35"/>
  <c r="B44" i="35"/>
  <c r="B45" i="35"/>
  <c r="C48" i="35"/>
  <c r="D48" i="35"/>
  <c r="E48" i="35"/>
  <c r="F48" i="35"/>
  <c r="H48" i="35"/>
  <c r="I48" i="35"/>
  <c r="B50" i="35"/>
  <c r="B48" i="35" s="1"/>
  <c r="B51" i="35"/>
  <c r="B52" i="35"/>
  <c r="B53" i="35"/>
  <c r="B54" i="35"/>
  <c r="B55" i="35"/>
  <c r="B56" i="35"/>
  <c r="B57" i="35"/>
  <c r="B58" i="35"/>
  <c r="B59" i="35"/>
  <c r="B60" i="35"/>
  <c r="B61" i="35"/>
  <c r="B62" i="35"/>
  <c r="B63" i="35"/>
  <c r="B64" i="35"/>
  <c r="B65" i="35"/>
  <c r="B66" i="35"/>
  <c r="B67" i="35"/>
  <c r="B68" i="35"/>
  <c r="B69" i="35"/>
  <c r="B70" i="35"/>
  <c r="B71" i="35"/>
  <c r="B72" i="35"/>
  <c r="B73" i="35"/>
  <c r="B74" i="35"/>
  <c r="B75" i="35"/>
  <c r="B76" i="35"/>
  <c r="B77" i="35"/>
  <c r="B78" i="35"/>
  <c r="B79" i="35"/>
  <c r="B80" i="35"/>
  <c r="B81" i="35"/>
  <c r="B82" i="35"/>
  <c r="C85" i="35"/>
  <c r="D85" i="35"/>
  <c r="E85" i="35"/>
  <c r="F85" i="35"/>
  <c r="H85" i="35"/>
  <c r="I85" i="35"/>
  <c r="B87" i="35"/>
  <c r="B85" i="35" s="1"/>
  <c r="B88" i="35"/>
  <c r="B89" i="35"/>
  <c r="B90" i="35"/>
  <c r="B91" i="35"/>
  <c r="B92" i="35"/>
  <c r="B93" i="35"/>
  <c r="B94" i="35"/>
  <c r="B95" i="35"/>
  <c r="B96" i="35"/>
  <c r="B97" i="35"/>
  <c r="B98" i="35"/>
  <c r="B99" i="35"/>
  <c r="B100" i="35"/>
  <c r="B101" i="35"/>
  <c r="B102" i="35"/>
  <c r="B103" i="35"/>
  <c r="B104" i="35"/>
  <c r="B105" i="35"/>
  <c r="B106" i="35"/>
  <c r="B107" i="35"/>
  <c r="B108" i="35"/>
  <c r="B109" i="35"/>
  <c r="B110" i="35"/>
  <c r="B111" i="35"/>
  <c r="B112" i="35"/>
  <c r="B113" i="35"/>
  <c r="B114" i="35"/>
  <c r="B115" i="35"/>
  <c r="B116" i="35"/>
  <c r="B117" i="35"/>
  <c r="B118" i="35"/>
  <c r="B119" i="35"/>
  <c r="C122" i="35"/>
  <c r="D122" i="35"/>
  <c r="E122" i="35"/>
  <c r="F122" i="35"/>
  <c r="H122" i="35"/>
  <c r="I122" i="35"/>
  <c r="B124" i="35"/>
  <c r="B122" i="35" s="1"/>
  <c r="B125" i="35"/>
  <c r="B126" i="35"/>
  <c r="B127" i="35"/>
  <c r="B128" i="35"/>
  <c r="B129" i="35"/>
  <c r="B130" i="35"/>
  <c r="B131" i="35"/>
  <c r="B132" i="35"/>
  <c r="B133" i="35"/>
  <c r="B134" i="35"/>
  <c r="B135" i="35"/>
  <c r="B136" i="35"/>
  <c r="B137" i="35"/>
  <c r="B138" i="35"/>
  <c r="B139" i="35"/>
  <c r="B140" i="35"/>
  <c r="B141" i="35"/>
  <c r="B142" i="35"/>
  <c r="B143" i="35"/>
  <c r="B144" i="35"/>
  <c r="B145" i="35"/>
  <c r="B146" i="35"/>
  <c r="B147" i="35"/>
  <c r="B148" i="35"/>
  <c r="B149" i="35"/>
  <c r="B150" i="35"/>
  <c r="B151" i="35"/>
  <c r="B152" i="35"/>
  <c r="B153" i="35"/>
  <c r="B154" i="35"/>
  <c r="B155" i="35"/>
  <c r="B156" i="35"/>
  <c r="C159" i="35"/>
  <c r="D159" i="35"/>
  <c r="E159" i="35"/>
  <c r="F159" i="35"/>
  <c r="H159" i="35"/>
  <c r="I159" i="35"/>
  <c r="B161" i="35"/>
  <c r="B159" i="35" s="1"/>
  <c r="B162" i="35"/>
  <c r="B163" i="35"/>
  <c r="B164" i="35"/>
  <c r="B165" i="35"/>
  <c r="B166" i="35"/>
  <c r="B167" i="35"/>
  <c r="B168" i="35"/>
  <c r="B169" i="35"/>
  <c r="B170" i="35"/>
  <c r="B171" i="35"/>
  <c r="B172" i="35"/>
  <c r="B173" i="35"/>
  <c r="B174" i="35"/>
  <c r="B175" i="35"/>
  <c r="B176" i="35"/>
  <c r="B177" i="35"/>
  <c r="B178" i="35"/>
  <c r="B179" i="35"/>
  <c r="B180" i="35"/>
  <c r="B181" i="35"/>
  <c r="B182" i="35"/>
  <c r="B183" i="35"/>
  <c r="B184" i="35"/>
  <c r="B185" i="35"/>
  <c r="B186" i="35"/>
  <c r="B187" i="35"/>
  <c r="B188" i="35"/>
  <c r="B189" i="35"/>
  <c r="B190" i="35"/>
  <c r="B191" i="35"/>
  <c r="B192" i="35"/>
  <c r="B193" i="35"/>
  <c r="C196" i="35"/>
  <c r="D196" i="35"/>
  <c r="E196" i="35"/>
  <c r="F196" i="35"/>
  <c r="H196" i="35"/>
  <c r="I196" i="35"/>
  <c r="B198" i="35"/>
  <c r="B196" i="35" s="1"/>
  <c r="B199" i="35"/>
  <c r="B200" i="35"/>
  <c r="B201" i="35"/>
  <c r="B202" i="35"/>
  <c r="B203" i="35"/>
  <c r="B204" i="35"/>
  <c r="B205" i="35"/>
  <c r="B206" i="35"/>
  <c r="B207" i="35"/>
  <c r="B208" i="35"/>
  <c r="B209" i="35"/>
  <c r="B210" i="35"/>
  <c r="B211" i="35"/>
  <c r="B212" i="35"/>
  <c r="B213" i="35"/>
  <c r="B214" i="35"/>
  <c r="B215" i="35"/>
  <c r="B216" i="35"/>
  <c r="B217" i="35"/>
  <c r="B218" i="35"/>
  <c r="B219" i="35"/>
  <c r="B220" i="35"/>
  <c r="B221" i="35"/>
  <c r="B222" i="35"/>
  <c r="B223" i="35"/>
  <c r="B224" i="35"/>
  <c r="B225" i="35"/>
  <c r="B226" i="35"/>
  <c r="B227" i="35"/>
  <c r="B228" i="35"/>
  <c r="B229" i="35"/>
  <c r="B230" i="35"/>
  <c r="C233" i="35"/>
  <c r="D233" i="35"/>
  <c r="E233" i="35"/>
  <c r="F233" i="35"/>
  <c r="H233" i="35"/>
  <c r="I233" i="35"/>
  <c r="K233" i="35"/>
  <c r="B235" i="35"/>
  <c r="B233" i="35" s="1"/>
  <c r="B236" i="35"/>
  <c r="B237" i="35"/>
  <c r="B238" i="35"/>
  <c r="B239" i="35"/>
  <c r="B240" i="35"/>
  <c r="B241" i="35"/>
  <c r="B242" i="35"/>
  <c r="B243" i="35"/>
  <c r="B244" i="35"/>
  <c r="B245" i="35"/>
  <c r="B246" i="35"/>
  <c r="B247" i="35"/>
  <c r="B248" i="35"/>
  <c r="B249" i="35"/>
  <c r="B250" i="35"/>
  <c r="B251" i="35"/>
  <c r="B252" i="35"/>
  <c r="B253" i="35"/>
  <c r="B254" i="35"/>
  <c r="B255" i="35"/>
  <c r="B256" i="35"/>
  <c r="B257" i="35"/>
  <c r="B258" i="35"/>
  <c r="B259" i="35"/>
  <c r="B260" i="35"/>
  <c r="B261" i="35"/>
  <c r="B262" i="35"/>
  <c r="B263" i="35"/>
  <c r="B264" i="35"/>
  <c r="B265" i="35"/>
  <c r="B266" i="35"/>
  <c r="B267" i="35"/>
  <c r="C270" i="35"/>
  <c r="D270" i="35"/>
  <c r="E270" i="35"/>
  <c r="F270" i="35"/>
  <c r="H270" i="35"/>
  <c r="I270" i="35"/>
  <c r="K270" i="35"/>
  <c r="B272" i="35"/>
  <c r="B270" i="35" s="1"/>
  <c r="B273" i="35"/>
  <c r="B274" i="35"/>
  <c r="B275" i="35"/>
  <c r="B276" i="35"/>
  <c r="B277" i="35"/>
  <c r="B278" i="35"/>
  <c r="B279" i="35"/>
  <c r="B280" i="35"/>
  <c r="B281" i="35"/>
  <c r="B282" i="35"/>
  <c r="B283" i="35"/>
  <c r="B284" i="35"/>
  <c r="B285" i="35"/>
  <c r="B286" i="35"/>
  <c r="B287" i="35"/>
  <c r="B288" i="35"/>
  <c r="B289" i="35"/>
  <c r="B290" i="35"/>
  <c r="B291" i="35"/>
  <c r="B292" i="35"/>
  <c r="B293" i="35"/>
  <c r="B294" i="35"/>
  <c r="B295" i="35"/>
  <c r="B296" i="35"/>
  <c r="B297" i="35"/>
  <c r="B298" i="35"/>
  <c r="B299" i="35"/>
  <c r="B300" i="35"/>
  <c r="B301" i="35"/>
  <c r="B302" i="35"/>
  <c r="B303" i="35"/>
  <c r="C306" i="35"/>
  <c r="D306" i="35"/>
  <c r="E306" i="35"/>
  <c r="F306" i="35"/>
  <c r="H306" i="35"/>
  <c r="I306" i="35"/>
  <c r="J306" i="35"/>
  <c r="B308" i="35"/>
  <c r="B306" i="35" s="1"/>
  <c r="B309" i="35"/>
  <c r="B310" i="35"/>
  <c r="B311" i="35"/>
  <c r="B312" i="35"/>
  <c r="B313" i="35"/>
  <c r="B314" i="35"/>
  <c r="B315" i="35"/>
  <c r="B316" i="35"/>
  <c r="B317" i="35"/>
  <c r="B318" i="35"/>
  <c r="B319" i="35"/>
  <c r="B320" i="35"/>
  <c r="B321" i="35"/>
  <c r="B322" i="35"/>
  <c r="B323" i="35"/>
  <c r="B324" i="35"/>
  <c r="B325" i="35"/>
  <c r="B326" i="35"/>
  <c r="B327" i="35"/>
  <c r="B328" i="35"/>
  <c r="B329" i="35"/>
  <c r="B330" i="35"/>
  <c r="B331" i="35"/>
  <c r="B332" i="35"/>
  <c r="B333" i="35"/>
  <c r="B334" i="35"/>
  <c r="B335" i="35"/>
  <c r="B336" i="35"/>
  <c r="B337" i="35"/>
  <c r="B338" i="35"/>
  <c r="B339" i="35"/>
  <c r="C342" i="35"/>
  <c r="D342" i="35"/>
  <c r="E342" i="35"/>
  <c r="H342" i="35"/>
  <c r="I342" i="35"/>
  <c r="J342" i="35"/>
  <c r="B344" i="35"/>
  <c r="B342" i="35" s="1"/>
  <c r="B345" i="35"/>
  <c r="B346" i="35"/>
  <c r="B347" i="35"/>
  <c r="B348" i="35"/>
  <c r="B349" i="35"/>
  <c r="B350" i="35"/>
  <c r="B351" i="35"/>
  <c r="B352" i="35"/>
  <c r="B353" i="35"/>
  <c r="B354" i="35"/>
  <c r="B355" i="35"/>
  <c r="B356" i="35"/>
  <c r="B357" i="35"/>
  <c r="B358" i="35"/>
  <c r="B359" i="35"/>
  <c r="B360" i="35"/>
  <c r="B361" i="35"/>
  <c r="B362" i="35"/>
  <c r="B363" i="35"/>
  <c r="B364" i="35"/>
  <c r="B365" i="35"/>
  <c r="B366" i="35"/>
  <c r="B367" i="35"/>
  <c r="B368" i="35"/>
  <c r="B369" i="35"/>
  <c r="B370" i="35"/>
  <c r="B371" i="35"/>
  <c r="B372" i="35"/>
  <c r="B373" i="35"/>
  <c r="B374" i="35"/>
  <c r="B375" i="35"/>
  <c r="C378" i="35"/>
  <c r="D378" i="35"/>
  <c r="E378" i="35"/>
  <c r="H378" i="35"/>
  <c r="I378" i="35"/>
  <c r="J378" i="35"/>
  <c r="B380" i="35"/>
  <c r="B378" i="35" s="1"/>
  <c r="B381" i="35"/>
  <c r="B382" i="35"/>
  <c r="B383" i="35"/>
  <c r="B384" i="35"/>
  <c r="B385" i="35"/>
  <c r="B386" i="35"/>
  <c r="B387" i="35"/>
  <c r="B388" i="35"/>
  <c r="B389" i="35"/>
  <c r="B390" i="35"/>
  <c r="B391" i="35"/>
  <c r="B392" i="35"/>
  <c r="B393" i="35"/>
  <c r="B394" i="35"/>
  <c r="B395" i="35"/>
  <c r="B396" i="35"/>
  <c r="B397" i="35"/>
  <c r="B398" i="35"/>
  <c r="B399" i="35"/>
  <c r="B400" i="35"/>
  <c r="B401" i="35"/>
  <c r="B402" i="35"/>
  <c r="B403" i="35"/>
  <c r="B404" i="35"/>
  <c r="B405" i="35"/>
  <c r="B406" i="35"/>
  <c r="B407" i="35"/>
  <c r="B408" i="35"/>
  <c r="B409" i="35"/>
  <c r="B410" i="35"/>
  <c r="B411" i="35"/>
  <c r="B412" i="35"/>
  <c r="C415" i="35"/>
  <c r="D415" i="35"/>
  <c r="E415" i="35"/>
  <c r="H415" i="35"/>
  <c r="I415" i="35"/>
  <c r="J415" i="35"/>
  <c r="B417" i="35"/>
  <c r="B415" i="35" s="1"/>
  <c r="B418" i="35"/>
  <c r="B419" i="35"/>
  <c r="B420" i="35"/>
  <c r="B421" i="35"/>
  <c r="B422" i="35"/>
  <c r="B423" i="35"/>
  <c r="B424" i="35"/>
  <c r="B425" i="35"/>
  <c r="B426" i="35"/>
  <c r="B427" i="35"/>
  <c r="B428" i="35"/>
  <c r="B429" i="35"/>
  <c r="B430" i="35"/>
  <c r="B431" i="35"/>
  <c r="B432" i="35"/>
  <c r="B433" i="35"/>
  <c r="B434" i="35"/>
  <c r="B435" i="35"/>
  <c r="B436" i="35"/>
  <c r="B437" i="35"/>
  <c r="B438" i="35"/>
  <c r="B439" i="35"/>
  <c r="B440" i="35"/>
  <c r="B441" i="35"/>
  <c r="B442" i="35"/>
  <c r="B443" i="35"/>
  <c r="B444" i="35"/>
  <c r="B445" i="35"/>
  <c r="B446" i="35"/>
  <c r="B447" i="35"/>
  <c r="B448" i="35"/>
  <c r="B449" i="35"/>
  <c r="C452" i="35"/>
  <c r="D452" i="35"/>
  <c r="E452" i="35"/>
  <c r="H452" i="35"/>
  <c r="J452" i="35"/>
  <c r="B454" i="35"/>
  <c r="B452" i="35" s="1"/>
  <c r="B455" i="35"/>
  <c r="B456" i="35"/>
  <c r="B457" i="35"/>
  <c r="B458" i="35"/>
  <c r="B459" i="35"/>
  <c r="B460" i="35"/>
  <c r="B461" i="35"/>
  <c r="B462" i="35"/>
  <c r="B463" i="35"/>
  <c r="B464" i="35"/>
  <c r="B465" i="35"/>
  <c r="B466" i="35"/>
  <c r="B467" i="35"/>
  <c r="B468" i="35"/>
  <c r="B469" i="35"/>
  <c r="B470" i="35"/>
  <c r="B471" i="35"/>
  <c r="B472" i="35"/>
  <c r="B473" i="35"/>
  <c r="B474" i="35"/>
  <c r="B475" i="35"/>
  <c r="B476" i="35"/>
  <c r="B477" i="35"/>
  <c r="B478" i="35"/>
  <c r="B479" i="35"/>
  <c r="B480" i="35"/>
  <c r="B481" i="35"/>
  <c r="B482" i="35"/>
  <c r="B483" i="35"/>
  <c r="B484" i="35"/>
  <c r="B485" i="35"/>
  <c r="B486" i="35"/>
  <c r="C489" i="35"/>
  <c r="D489" i="35"/>
  <c r="E489" i="35"/>
  <c r="H489" i="35"/>
  <c r="I489" i="35"/>
  <c r="J489" i="35"/>
  <c r="B491" i="35"/>
  <c r="B492" i="35"/>
  <c r="B489" i="35" s="1"/>
  <c r="B493" i="35"/>
  <c r="B494" i="35"/>
  <c r="B495" i="35"/>
  <c r="B496" i="35"/>
  <c r="B497" i="35"/>
  <c r="B498" i="35"/>
  <c r="B499" i="35"/>
  <c r="B500" i="35"/>
  <c r="B501" i="35"/>
  <c r="B502" i="35"/>
  <c r="B503" i="35"/>
  <c r="B504" i="35"/>
  <c r="B505" i="35"/>
  <c r="B506" i="35"/>
  <c r="B507" i="35"/>
  <c r="B508" i="35"/>
  <c r="B509" i="35"/>
  <c r="B510" i="35"/>
  <c r="B511" i="35"/>
  <c r="B512" i="35"/>
  <c r="B513" i="35"/>
  <c r="B514" i="35"/>
  <c r="B515" i="35"/>
  <c r="B516" i="35"/>
  <c r="B517" i="35"/>
  <c r="B518" i="35"/>
  <c r="B519" i="35"/>
  <c r="B520" i="35"/>
  <c r="B521" i="35"/>
  <c r="B522" i="35"/>
  <c r="B523" i="35"/>
  <c r="C526" i="35"/>
  <c r="D526" i="35"/>
  <c r="E526" i="35"/>
  <c r="H526" i="35"/>
  <c r="I526" i="35"/>
  <c r="J526" i="35"/>
  <c r="B528" i="35"/>
  <c r="B529" i="35"/>
  <c r="B526" i="35" s="1"/>
  <c r="B530" i="35"/>
  <c r="B531" i="35"/>
  <c r="B532" i="35"/>
  <c r="B533" i="35"/>
  <c r="B534" i="35"/>
  <c r="B535" i="35"/>
  <c r="B536" i="35"/>
  <c r="B537" i="35"/>
  <c r="B538" i="35"/>
  <c r="B539" i="35"/>
  <c r="B540" i="35"/>
  <c r="B541" i="35"/>
  <c r="B542" i="35"/>
  <c r="B543" i="35"/>
  <c r="B544" i="35"/>
  <c r="B545" i="35"/>
  <c r="B546" i="35"/>
  <c r="B547" i="35"/>
  <c r="B548" i="35"/>
  <c r="B549" i="35"/>
  <c r="B550" i="35"/>
  <c r="B551" i="35"/>
  <c r="B552" i="35"/>
  <c r="B553" i="35"/>
  <c r="B554" i="35"/>
  <c r="B555" i="35"/>
  <c r="B556" i="35"/>
  <c r="B557" i="35"/>
  <c r="B558" i="35"/>
  <c r="B559" i="35"/>
  <c r="B560" i="35"/>
  <c r="C563" i="35"/>
  <c r="D563" i="35"/>
  <c r="E563" i="35"/>
  <c r="H563" i="35"/>
  <c r="I563" i="35"/>
  <c r="J563" i="35"/>
  <c r="B565" i="35"/>
  <c r="B566" i="35"/>
  <c r="B563" i="35" s="1"/>
  <c r="B567" i="35"/>
  <c r="B568" i="35"/>
  <c r="B569" i="35"/>
  <c r="B570" i="35"/>
  <c r="B571" i="35"/>
  <c r="B572" i="35"/>
  <c r="B573" i="35"/>
  <c r="B574" i="35"/>
  <c r="B575" i="35"/>
  <c r="B576" i="35"/>
  <c r="B577" i="35"/>
  <c r="B578" i="35"/>
  <c r="B579" i="35"/>
  <c r="B580" i="35"/>
  <c r="B581" i="35"/>
  <c r="B582" i="35"/>
  <c r="B583" i="35"/>
  <c r="B584" i="35"/>
  <c r="B585" i="35"/>
  <c r="B586" i="35"/>
  <c r="B587" i="35"/>
  <c r="B588" i="35"/>
  <c r="B589" i="35"/>
  <c r="B590" i="35"/>
  <c r="B591" i="35"/>
  <c r="B592" i="35"/>
  <c r="B593" i="35"/>
  <c r="B594" i="35"/>
  <c r="B595" i="35"/>
  <c r="B596" i="35"/>
  <c r="B597" i="35"/>
  <c r="C600" i="35"/>
  <c r="D600" i="35"/>
  <c r="E600" i="35"/>
  <c r="H600" i="35"/>
  <c r="I600" i="35"/>
  <c r="J600" i="35"/>
  <c r="B602" i="35"/>
  <c r="B603" i="35"/>
  <c r="B600" i="35" s="1"/>
  <c r="B604" i="35"/>
  <c r="B605" i="35"/>
  <c r="B606" i="35"/>
  <c r="B607" i="35"/>
  <c r="B608" i="35"/>
  <c r="B609" i="35"/>
  <c r="B610" i="35"/>
  <c r="B611" i="35"/>
  <c r="B612" i="35"/>
  <c r="B613" i="35"/>
  <c r="B614" i="35"/>
  <c r="B615" i="35"/>
  <c r="B616" i="35"/>
  <c r="B617" i="35"/>
  <c r="B618" i="35"/>
  <c r="B619" i="35"/>
  <c r="B620" i="35"/>
  <c r="B621" i="35"/>
  <c r="B622" i="35"/>
  <c r="B623" i="35"/>
  <c r="B624" i="35"/>
  <c r="B625" i="35"/>
  <c r="B626" i="35"/>
  <c r="B627" i="35"/>
  <c r="B628" i="35"/>
  <c r="B629" i="35"/>
  <c r="B630" i="35"/>
  <c r="B631" i="35"/>
  <c r="B632" i="35"/>
  <c r="B633" i="35"/>
  <c r="B634" i="35"/>
  <c r="C637" i="35"/>
  <c r="D637" i="35"/>
  <c r="E637" i="35"/>
  <c r="H637" i="35"/>
  <c r="I637" i="35"/>
  <c r="J637" i="35"/>
  <c r="B639" i="35"/>
  <c r="B640" i="35"/>
  <c r="B637" i="35" s="1"/>
  <c r="B641" i="35"/>
  <c r="B642" i="35"/>
  <c r="B643" i="35"/>
  <c r="B644" i="35"/>
  <c r="B645" i="35"/>
  <c r="B646" i="35"/>
  <c r="B647" i="35"/>
  <c r="B648" i="35"/>
  <c r="B649" i="35"/>
  <c r="B650" i="35"/>
  <c r="B651" i="35"/>
  <c r="B652" i="35"/>
  <c r="B653" i="35"/>
  <c r="B654" i="35"/>
  <c r="B655" i="35"/>
  <c r="B656" i="35"/>
  <c r="B657" i="35"/>
  <c r="B658" i="35"/>
  <c r="B659" i="35"/>
  <c r="B660" i="35"/>
  <c r="B661" i="35"/>
  <c r="B662" i="35"/>
  <c r="B663" i="35"/>
  <c r="B664" i="35"/>
  <c r="B665" i="35"/>
  <c r="B666" i="35"/>
  <c r="B667" i="35"/>
  <c r="B668" i="35"/>
  <c r="B669" i="35"/>
  <c r="B670" i="35"/>
  <c r="C673" i="35"/>
  <c r="D673" i="35"/>
  <c r="E673" i="35"/>
  <c r="H673" i="35"/>
  <c r="I673" i="35"/>
  <c r="J673" i="35"/>
  <c r="B675" i="35"/>
  <c r="B676" i="35"/>
  <c r="B677" i="35"/>
  <c r="B673" i="35" s="1"/>
  <c r="B678" i="35"/>
  <c r="B679" i="35"/>
  <c r="B680" i="35"/>
  <c r="B681" i="35"/>
  <c r="B682" i="35"/>
  <c r="B683" i="35"/>
  <c r="B684" i="35"/>
  <c r="B685" i="35"/>
  <c r="B686" i="35"/>
  <c r="B687" i="35"/>
  <c r="B688" i="35"/>
  <c r="B689" i="35"/>
  <c r="B690" i="35"/>
  <c r="B691" i="35"/>
  <c r="B692" i="35"/>
  <c r="B693" i="35"/>
  <c r="B694" i="35"/>
  <c r="B695" i="35"/>
  <c r="B696" i="35"/>
  <c r="B697" i="35"/>
  <c r="B698" i="35"/>
  <c r="B699" i="35"/>
  <c r="B700" i="35"/>
  <c r="B701" i="35"/>
  <c r="B702" i="35"/>
  <c r="B703" i="35"/>
  <c r="B704" i="35"/>
  <c r="B705" i="35"/>
  <c r="B706" i="35"/>
  <c r="B789" i="33" l="1"/>
  <c r="B788" i="33"/>
  <c r="B787" i="33"/>
  <c r="B786" i="33"/>
  <c r="B785" i="33"/>
  <c r="B784" i="33"/>
  <c r="B783" i="33"/>
  <c r="B782" i="33"/>
  <c r="B781" i="33"/>
  <c r="B780" i="33"/>
  <c r="B779" i="33"/>
  <c r="B778" i="33"/>
  <c r="B777" i="33"/>
  <c r="B776" i="33"/>
  <c r="B775" i="33"/>
  <c r="B774" i="33"/>
  <c r="B773" i="33"/>
  <c r="B772" i="33"/>
  <c r="B771" i="33"/>
  <c r="B770" i="33"/>
  <c r="B769" i="33"/>
  <c r="B768" i="33"/>
  <c r="B767" i="33"/>
  <c r="B766" i="33"/>
  <c r="B765" i="33"/>
  <c r="B764" i="33"/>
  <c r="B763" i="33"/>
  <c r="B762" i="33"/>
  <c r="B761" i="33"/>
  <c r="B760" i="33"/>
  <c r="B759" i="33"/>
  <c r="B758" i="33"/>
  <c r="B757" i="33"/>
  <c r="B756" i="33"/>
  <c r="B754" i="33" s="1"/>
  <c r="I754" i="33"/>
  <c r="H754" i="33"/>
  <c r="G754" i="33"/>
  <c r="F754" i="33"/>
  <c r="E754" i="33"/>
  <c r="D754" i="33"/>
  <c r="C754" i="33"/>
  <c r="B751" i="33"/>
  <c r="B750" i="33"/>
  <c r="B749" i="33"/>
  <c r="B748" i="33"/>
  <c r="B747" i="33"/>
  <c r="B746" i="33"/>
  <c r="B745" i="33"/>
  <c r="B744" i="33"/>
  <c r="B743" i="33"/>
  <c r="B742" i="33"/>
  <c r="B741" i="33"/>
  <c r="B740" i="33"/>
  <c r="B739" i="33"/>
  <c r="B738" i="33"/>
  <c r="B737" i="33"/>
  <c r="B736" i="33"/>
  <c r="B735" i="33"/>
  <c r="B734" i="33"/>
  <c r="B733" i="33"/>
  <c r="B732" i="33"/>
  <c r="B731" i="33"/>
  <c r="B730" i="33"/>
  <c r="B729" i="33"/>
  <c r="B728" i="33"/>
  <c r="B727" i="33"/>
  <c r="B726" i="33"/>
  <c r="B725" i="33"/>
  <c r="B724" i="33"/>
  <c r="B723" i="33"/>
  <c r="B722" i="33"/>
  <c r="B721" i="33"/>
  <c r="B720" i="33"/>
  <c r="B716" i="33" s="1"/>
  <c r="B719" i="33"/>
  <c r="B718" i="33"/>
  <c r="I716" i="33"/>
  <c r="H716" i="33"/>
  <c r="G716" i="33"/>
  <c r="F716" i="33"/>
  <c r="E716" i="33"/>
  <c r="D716" i="33"/>
  <c r="C716" i="33"/>
  <c r="B713" i="33"/>
  <c r="B712" i="33"/>
  <c r="B711" i="33"/>
  <c r="B710" i="33"/>
  <c r="B709" i="33"/>
  <c r="B708" i="33"/>
  <c r="B707" i="33"/>
  <c r="B706" i="33"/>
  <c r="B705" i="33"/>
  <c r="B704" i="33"/>
  <c r="B703" i="33"/>
  <c r="B702" i="33"/>
  <c r="B701" i="33"/>
  <c r="B700" i="33"/>
  <c r="B699" i="33"/>
  <c r="B698" i="33"/>
  <c r="B697" i="33"/>
  <c r="B696" i="33"/>
  <c r="B695" i="33"/>
  <c r="B694" i="33"/>
  <c r="B693" i="33"/>
  <c r="B692" i="33"/>
  <c r="B691" i="33"/>
  <c r="B690" i="33"/>
  <c r="B689" i="33"/>
  <c r="B688" i="33"/>
  <c r="B687" i="33"/>
  <c r="B686" i="33"/>
  <c r="B685" i="33"/>
  <c r="B684" i="33"/>
  <c r="B683" i="33"/>
  <c r="B682" i="33"/>
  <c r="B681" i="33"/>
  <c r="I679" i="33"/>
  <c r="H679" i="33"/>
  <c r="G679" i="33"/>
  <c r="F679" i="33"/>
  <c r="E679" i="33"/>
  <c r="D679" i="33"/>
  <c r="C679" i="33"/>
  <c r="B679" i="33"/>
  <c r="B676" i="33"/>
  <c r="B675" i="33"/>
  <c r="B674" i="33"/>
  <c r="B673" i="33"/>
  <c r="B672" i="33"/>
  <c r="B671" i="33"/>
  <c r="B670" i="33"/>
  <c r="B669" i="33"/>
  <c r="B668" i="33"/>
  <c r="B667" i="33"/>
  <c r="B666" i="33"/>
  <c r="B665" i="33"/>
  <c r="B664" i="33"/>
  <c r="B663" i="33"/>
  <c r="B662" i="33"/>
  <c r="B661" i="33"/>
  <c r="B660" i="33"/>
  <c r="B659" i="33"/>
  <c r="B658" i="33"/>
  <c r="B657" i="33"/>
  <c r="B656" i="33"/>
  <c r="B655" i="33"/>
  <c r="B654" i="33"/>
  <c r="B653" i="33"/>
  <c r="B652" i="33"/>
  <c r="B651" i="33"/>
  <c r="B650" i="33"/>
  <c r="B649" i="33"/>
  <c r="B648" i="33"/>
  <c r="B647" i="33"/>
  <c r="B646" i="33"/>
  <c r="B645" i="33"/>
  <c r="B642" i="33" s="1"/>
  <c r="B644" i="33"/>
  <c r="I642" i="33"/>
  <c r="H642" i="33"/>
  <c r="G642" i="33"/>
  <c r="F642" i="33"/>
  <c r="E642" i="33"/>
  <c r="D642" i="33"/>
  <c r="C642" i="33"/>
  <c r="B639" i="33"/>
  <c r="B638" i="33"/>
  <c r="B637" i="33"/>
  <c r="B636" i="33"/>
  <c r="B635" i="33"/>
  <c r="B634" i="33"/>
  <c r="B633" i="33"/>
  <c r="B632" i="33"/>
  <c r="B631" i="33"/>
  <c r="B630" i="33"/>
  <c r="B629" i="33"/>
  <c r="B628" i="33"/>
  <c r="B627" i="33"/>
  <c r="B626" i="33"/>
  <c r="B625" i="33"/>
  <c r="B624" i="33"/>
  <c r="B623" i="33"/>
  <c r="B622" i="33"/>
  <c r="B621" i="33"/>
  <c r="B620" i="33"/>
  <c r="B619" i="33"/>
  <c r="B618" i="33"/>
  <c r="B617" i="33"/>
  <c r="B616" i="33"/>
  <c r="B615" i="33"/>
  <c r="B614" i="33"/>
  <c r="B613" i="33"/>
  <c r="B612" i="33"/>
  <c r="B611" i="33"/>
  <c r="B610" i="33"/>
  <c r="B609" i="33"/>
  <c r="B608" i="33"/>
  <c r="B605" i="33" s="1"/>
  <c r="B607" i="33"/>
  <c r="I605" i="33"/>
  <c r="H605" i="33"/>
  <c r="G605" i="33"/>
  <c r="F605" i="33"/>
  <c r="E605" i="33"/>
  <c r="D605" i="33"/>
  <c r="C605" i="33"/>
  <c r="B602" i="33"/>
  <c r="B601" i="33"/>
  <c r="B600" i="33"/>
  <c r="B599" i="33"/>
  <c r="B598" i="33"/>
  <c r="B597" i="33"/>
  <c r="B596" i="33"/>
  <c r="B595" i="33"/>
  <c r="B594" i="33"/>
  <c r="B593" i="33"/>
  <c r="B592" i="33"/>
  <c r="B591" i="33"/>
  <c r="B590" i="33"/>
  <c r="B589" i="33"/>
  <c r="B588" i="33"/>
  <c r="B587" i="33"/>
  <c r="B586" i="33"/>
  <c r="B585" i="33"/>
  <c r="B584" i="33"/>
  <c r="B583" i="33"/>
  <c r="B582" i="33"/>
  <c r="B581" i="33"/>
  <c r="B580" i="33"/>
  <c r="B579" i="33"/>
  <c r="B578" i="33"/>
  <c r="B577" i="33"/>
  <c r="B576" i="33"/>
  <c r="B575" i="33"/>
  <c r="B574" i="33"/>
  <c r="B573" i="33"/>
  <c r="B572" i="33"/>
  <c r="B568" i="33" s="1"/>
  <c r="B571" i="33"/>
  <c r="B570" i="33"/>
  <c r="I568" i="33"/>
  <c r="H568" i="33"/>
  <c r="G568" i="33"/>
  <c r="F568" i="33"/>
  <c r="E568" i="33"/>
  <c r="D568" i="33"/>
  <c r="C568" i="33"/>
  <c r="B565" i="33"/>
  <c r="B564" i="33"/>
  <c r="B563" i="33"/>
  <c r="B562" i="33"/>
  <c r="B561" i="33"/>
  <c r="B560" i="33"/>
  <c r="B559" i="33"/>
  <c r="B558" i="33"/>
  <c r="B557" i="33"/>
  <c r="B556" i="33"/>
  <c r="B555" i="33"/>
  <c r="B554" i="33"/>
  <c r="B553" i="33"/>
  <c r="B552" i="33"/>
  <c r="B551" i="33"/>
  <c r="B550" i="33"/>
  <c r="B549" i="33"/>
  <c r="B548" i="33"/>
  <c r="B547" i="33"/>
  <c r="B546" i="33"/>
  <c r="B545" i="33"/>
  <c r="B544" i="33"/>
  <c r="B543" i="33"/>
  <c r="B542" i="33"/>
  <c r="B541" i="33"/>
  <c r="B540" i="33"/>
  <c r="B539" i="33"/>
  <c r="B538" i="33"/>
  <c r="B537" i="33"/>
  <c r="B536" i="33"/>
  <c r="B535" i="33"/>
  <c r="B534" i="33"/>
  <c r="B533" i="33"/>
  <c r="I531" i="33"/>
  <c r="H531" i="33"/>
  <c r="G531" i="33"/>
  <c r="F531" i="33"/>
  <c r="E531" i="33"/>
  <c r="D531" i="33"/>
  <c r="C531" i="33"/>
  <c r="B531" i="33"/>
  <c r="B528" i="33"/>
  <c r="B527" i="33"/>
  <c r="B526" i="33"/>
  <c r="B525" i="33"/>
  <c r="B524" i="33"/>
  <c r="B523" i="33"/>
  <c r="B522" i="33"/>
  <c r="B521" i="33"/>
  <c r="B520" i="33"/>
  <c r="B519" i="33"/>
  <c r="B518" i="33"/>
  <c r="B517" i="33"/>
  <c r="B516" i="33"/>
  <c r="B515" i="33"/>
  <c r="B514" i="33"/>
  <c r="B513" i="33"/>
  <c r="B512" i="33"/>
  <c r="B511" i="33"/>
  <c r="B510" i="33"/>
  <c r="B509" i="33"/>
  <c r="B508" i="33"/>
  <c r="B507" i="33"/>
  <c r="B506" i="33"/>
  <c r="B505" i="33"/>
  <c r="B504" i="33"/>
  <c r="B503" i="33"/>
  <c r="B502" i="33"/>
  <c r="B501" i="33"/>
  <c r="B500" i="33"/>
  <c r="B499" i="33"/>
  <c r="B498" i="33"/>
  <c r="B497" i="33"/>
  <c r="B494" i="33" s="1"/>
  <c r="B496" i="33"/>
  <c r="I494" i="33"/>
  <c r="H494" i="33"/>
  <c r="G494" i="33"/>
  <c r="F494" i="33"/>
  <c r="E494" i="33"/>
  <c r="D494" i="33"/>
  <c r="C494" i="33"/>
  <c r="B491" i="33"/>
  <c r="B490" i="33"/>
  <c r="B489" i="33"/>
  <c r="B488" i="33"/>
  <c r="B487" i="33"/>
  <c r="B486" i="33"/>
  <c r="B485" i="33"/>
  <c r="B484" i="33"/>
  <c r="B483" i="33"/>
  <c r="B482" i="33"/>
  <c r="B481" i="33"/>
  <c r="B480" i="33"/>
  <c r="B479" i="33"/>
  <c r="B478" i="33"/>
  <c r="B477" i="33"/>
  <c r="B476" i="33"/>
  <c r="B475" i="33"/>
  <c r="B474" i="33"/>
  <c r="B473" i="33"/>
  <c r="B472" i="33"/>
  <c r="B471" i="33"/>
  <c r="B470" i="33"/>
  <c r="B469" i="33"/>
  <c r="B468" i="33"/>
  <c r="B467" i="33"/>
  <c r="B466" i="33"/>
  <c r="B465" i="33"/>
  <c r="B464" i="33"/>
  <c r="B463" i="33"/>
  <c r="B462" i="33"/>
  <c r="B461" i="33"/>
  <c r="B460" i="33"/>
  <c r="B457" i="33" s="1"/>
  <c r="B459" i="33"/>
  <c r="I457" i="33"/>
  <c r="H457" i="33"/>
  <c r="G457" i="33"/>
  <c r="F457" i="33"/>
  <c r="E457" i="33"/>
  <c r="D457" i="33"/>
  <c r="C457" i="33"/>
  <c r="B454" i="33"/>
  <c r="B453" i="33"/>
  <c r="B452" i="33"/>
  <c r="B451" i="33"/>
  <c r="B450" i="33"/>
  <c r="B449" i="33"/>
  <c r="B448" i="33"/>
  <c r="B447" i="33"/>
  <c r="B446" i="33"/>
  <c r="B445" i="33"/>
  <c r="B444" i="33"/>
  <c r="B443" i="33"/>
  <c r="B442" i="33"/>
  <c r="B441" i="33"/>
  <c r="B440" i="33"/>
  <c r="B439" i="33"/>
  <c r="B438" i="33"/>
  <c r="B437" i="33"/>
  <c r="B436" i="33"/>
  <c r="B435" i="33"/>
  <c r="B434" i="33"/>
  <c r="B433" i="33"/>
  <c r="B432" i="33"/>
  <c r="B431" i="33"/>
  <c r="B430" i="33"/>
  <c r="B429" i="33"/>
  <c r="B428" i="33"/>
  <c r="B427" i="33"/>
  <c r="B426" i="33"/>
  <c r="B425" i="33"/>
  <c r="B424" i="33"/>
  <c r="B420" i="33" s="1"/>
  <c r="B423" i="33"/>
  <c r="B422" i="33"/>
  <c r="I420" i="33"/>
  <c r="H420" i="33"/>
  <c r="G420" i="33"/>
  <c r="F420" i="33"/>
  <c r="E420" i="33"/>
  <c r="D420" i="33"/>
  <c r="C420" i="33"/>
  <c r="B417" i="33"/>
  <c r="B416" i="33"/>
  <c r="B415" i="33"/>
  <c r="B414" i="33"/>
  <c r="B413" i="33"/>
  <c r="B412" i="33"/>
  <c r="B411" i="33"/>
  <c r="B410" i="33"/>
  <c r="B409" i="33"/>
  <c r="B408" i="33"/>
  <c r="B407" i="33"/>
  <c r="B406" i="33"/>
  <c r="B405" i="33"/>
  <c r="B404" i="33"/>
  <c r="B403" i="33"/>
  <c r="B402" i="33"/>
  <c r="B401" i="33"/>
  <c r="B400" i="33"/>
  <c r="B399" i="33"/>
  <c r="B398" i="33"/>
  <c r="B397" i="33"/>
  <c r="B396" i="33"/>
  <c r="B395" i="33"/>
  <c r="B394" i="33"/>
  <c r="B393" i="33"/>
  <c r="B392" i="33"/>
  <c r="B391" i="33"/>
  <c r="B390" i="33"/>
  <c r="B389" i="33"/>
  <c r="B388" i="33"/>
  <c r="B387" i="33"/>
  <c r="B386" i="33"/>
  <c r="B385" i="33"/>
  <c r="I383" i="33"/>
  <c r="H383" i="33"/>
  <c r="G383" i="33"/>
  <c r="F383" i="33"/>
  <c r="E383" i="33"/>
  <c r="D383" i="33"/>
  <c r="C383" i="33"/>
  <c r="B383" i="33"/>
  <c r="B380" i="33"/>
  <c r="B379" i="33"/>
  <c r="B378" i="33"/>
  <c r="B377" i="33"/>
  <c r="B376" i="33"/>
  <c r="B375" i="33"/>
  <c r="B374" i="33"/>
  <c r="B373" i="33"/>
  <c r="B372" i="33"/>
  <c r="B371" i="33"/>
  <c r="B370" i="33"/>
  <c r="B369" i="33"/>
  <c r="B368" i="33"/>
  <c r="B367" i="33"/>
  <c r="B366" i="33"/>
  <c r="B365" i="33"/>
  <c r="B364" i="33"/>
  <c r="B363" i="33"/>
  <c r="B362" i="33"/>
  <c r="B361" i="33"/>
  <c r="B360" i="33"/>
  <c r="B359" i="33"/>
  <c r="B358" i="33"/>
  <c r="B357" i="33"/>
  <c r="B356" i="33"/>
  <c r="B355" i="33"/>
  <c r="B354" i="33"/>
  <c r="B353" i="33"/>
  <c r="B352" i="33"/>
  <c r="B351" i="33"/>
  <c r="B350" i="33"/>
  <c r="B349" i="33"/>
  <c r="B346" i="33" s="1"/>
  <c r="B348" i="33"/>
  <c r="I346" i="33"/>
  <c r="H346" i="33"/>
  <c r="G346" i="33"/>
  <c r="F346" i="33"/>
  <c r="E346" i="33"/>
  <c r="D346" i="33"/>
  <c r="C346" i="33"/>
  <c r="B343" i="33"/>
  <c r="B342" i="33"/>
  <c r="B341" i="33"/>
  <c r="B340" i="33"/>
  <c r="B339" i="33"/>
  <c r="B338" i="33"/>
  <c r="B337" i="33"/>
  <c r="B336" i="33"/>
  <c r="B335" i="33"/>
  <c r="B334" i="33"/>
  <c r="B333" i="33"/>
  <c r="B332" i="33"/>
  <c r="B331" i="33"/>
  <c r="B330" i="33"/>
  <c r="B329" i="33"/>
  <c r="B328" i="33"/>
  <c r="B327" i="33"/>
  <c r="B326" i="33"/>
  <c r="B325" i="33"/>
  <c r="B324" i="33"/>
  <c r="B323" i="33"/>
  <c r="B322" i="33"/>
  <c r="B321" i="33"/>
  <c r="B320" i="33"/>
  <c r="B319" i="33"/>
  <c r="B318" i="33"/>
  <c r="B317" i="33"/>
  <c r="B316" i="33"/>
  <c r="B315" i="33"/>
  <c r="B314" i="33"/>
  <c r="B313" i="33"/>
  <c r="B312" i="33"/>
  <c r="B309" i="33" s="1"/>
  <c r="B311" i="33"/>
  <c r="I309" i="33"/>
  <c r="H309" i="33"/>
  <c r="G309" i="33"/>
  <c r="F309" i="33"/>
  <c r="E309" i="33"/>
  <c r="D309" i="33"/>
  <c r="C309" i="33"/>
  <c r="B306" i="33"/>
  <c r="B305" i="33"/>
  <c r="B304" i="33"/>
  <c r="B303" i="33"/>
  <c r="B302" i="33"/>
  <c r="B301" i="33"/>
  <c r="B300" i="33"/>
  <c r="B299" i="33"/>
  <c r="B298" i="33"/>
  <c r="B297" i="33"/>
  <c r="B296" i="33"/>
  <c r="B295" i="33"/>
  <c r="B294" i="33"/>
  <c r="B293" i="33"/>
  <c r="B292" i="33"/>
  <c r="B291" i="33"/>
  <c r="B290" i="33"/>
  <c r="B289" i="33"/>
  <c r="B288" i="33"/>
  <c r="B287" i="33"/>
  <c r="B286" i="33"/>
  <c r="B285" i="33"/>
  <c r="B284" i="33"/>
  <c r="B283" i="33"/>
  <c r="B282" i="33"/>
  <c r="B281" i="33"/>
  <c r="B280" i="33"/>
  <c r="B279" i="33"/>
  <c r="B278" i="33"/>
  <c r="B277" i="33"/>
  <c r="B276" i="33"/>
  <c r="B272" i="33" s="1"/>
  <c r="B275" i="33"/>
  <c r="B274" i="33"/>
  <c r="I272" i="33"/>
  <c r="H272" i="33"/>
  <c r="G272" i="33"/>
  <c r="F272" i="33"/>
  <c r="E272" i="33"/>
  <c r="D272" i="33"/>
  <c r="C272" i="33"/>
  <c r="B269" i="33"/>
  <c r="B268" i="33"/>
  <c r="B267" i="33"/>
  <c r="B266" i="33"/>
  <c r="B265" i="33"/>
  <c r="B264" i="33"/>
  <c r="B263" i="33"/>
  <c r="B262" i="33"/>
  <c r="B261" i="33"/>
  <c r="B260" i="33"/>
  <c r="B259" i="33"/>
  <c r="B258" i="33"/>
  <c r="B257" i="33"/>
  <c r="B256" i="33"/>
  <c r="B255" i="33"/>
  <c r="B254" i="33"/>
  <c r="B253" i="33"/>
  <c r="B252" i="33"/>
  <c r="B251" i="33"/>
  <c r="B250" i="33"/>
  <c r="B249" i="33"/>
  <c r="B248" i="33"/>
  <c r="B247" i="33"/>
  <c r="B246" i="33"/>
  <c r="B245" i="33"/>
  <c r="B244" i="33"/>
  <c r="B243" i="33"/>
  <c r="B242" i="33"/>
  <c r="B241" i="33"/>
  <c r="B240" i="33"/>
  <c r="B239" i="33"/>
  <c r="B238" i="33"/>
  <c r="B237" i="33"/>
  <c r="I235" i="33"/>
  <c r="H235" i="33"/>
  <c r="G235" i="33"/>
  <c r="F235" i="33"/>
  <c r="E235" i="33"/>
  <c r="D235" i="33"/>
  <c r="C235" i="33"/>
  <c r="B235" i="33"/>
  <c r="B232" i="33"/>
  <c r="B231" i="33"/>
  <c r="B230" i="33"/>
  <c r="B229" i="33"/>
  <c r="B228" i="33"/>
  <c r="B227" i="33"/>
  <c r="B226" i="33"/>
  <c r="B225" i="33"/>
  <c r="B224" i="33"/>
  <c r="B223" i="33"/>
  <c r="B222" i="33"/>
  <c r="B221" i="33"/>
  <c r="B220" i="33"/>
  <c r="B219" i="33"/>
  <c r="B218" i="33"/>
  <c r="B217" i="33"/>
  <c r="B216" i="33"/>
  <c r="B215" i="33"/>
  <c r="B214" i="33"/>
  <c r="B213" i="33"/>
  <c r="B212" i="33"/>
  <c r="B211" i="33"/>
  <c r="B210" i="33"/>
  <c r="B209" i="33"/>
  <c r="B208" i="33"/>
  <c r="B207" i="33"/>
  <c r="B206" i="33"/>
  <c r="B205" i="33"/>
  <c r="B204" i="33"/>
  <c r="B203" i="33"/>
  <c r="B202" i="33"/>
  <c r="B201" i="33"/>
  <c r="B198" i="33" s="1"/>
  <c r="B200" i="33"/>
  <c r="I198" i="33"/>
  <c r="H198" i="33"/>
  <c r="G198" i="33"/>
  <c r="F198" i="33"/>
  <c r="E198" i="33"/>
  <c r="D198" i="33"/>
  <c r="C198" i="33"/>
  <c r="B195" i="33"/>
  <c r="B194" i="33"/>
  <c r="B193" i="33"/>
  <c r="B192" i="33"/>
  <c r="B191" i="33"/>
  <c r="B190" i="33"/>
  <c r="B189" i="33"/>
  <c r="B188" i="33"/>
  <c r="B187" i="33"/>
  <c r="B186" i="33"/>
  <c r="B185" i="33"/>
  <c r="B184" i="33"/>
  <c r="B183" i="33"/>
  <c r="B182" i="33"/>
  <c r="B181" i="33"/>
  <c r="B180" i="33"/>
  <c r="B179" i="33"/>
  <c r="B178" i="33"/>
  <c r="B177" i="33"/>
  <c r="B176" i="33"/>
  <c r="B175" i="33"/>
  <c r="B174" i="33"/>
  <c r="B173" i="33"/>
  <c r="B172" i="33"/>
  <c r="B171" i="33"/>
  <c r="B170" i="33"/>
  <c r="B169" i="33"/>
  <c r="B168" i="33"/>
  <c r="B167" i="33"/>
  <c r="B166" i="33"/>
  <c r="B165" i="33"/>
  <c r="B164" i="33"/>
  <c r="B161" i="33" s="1"/>
  <c r="B163" i="33"/>
  <c r="I161" i="33"/>
  <c r="H161" i="33"/>
  <c r="G161" i="33"/>
  <c r="F161" i="33"/>
  <c r="E161" i="33"/>
  <c r="D161" i="33"/>
  <c r="C161" i="33"/>
  <c r="B158" i="33"/>
  <c r="B157" i="33"/>
  <c r="B156" i="33"/>
  <c r="B155" i="33"/>
  <c r="B154" i="33"/>
  <c r="B153" i="33"/>
  <c r="B152" i="33"/>
  <c r="B151" i="33"/>
  <c r="B150" i="33"/>
  <c r="B149" i="33"/>
  <c r="B148" i="33"/>
  <c r="B147" i="33"/>
  <c r="B146" i="33"/>
  <c r="B145" i="33"/>
  <c r="B144" i="33"/>
  <c r="B143" i="33"/>
  <c r="B142" i="33"/>
  <c r="B141" i="33"/>
  <c r="B140" i="33"/>
  <c r="B139" i="33"/>
  <c r="B138" i="33"/>
  <c r="B137" i="33"/>
  <c r="B136" i="33"/>
  <c r="B135" i="33"/>
  <c r="B134" i="33"/>
  <c r="B133" i="33"/>
  <c r="B132" i="33"/>
  <c r="B131" i="33"/>
  <c r="B130" i="33"/>
  <c r="B129" i="33"/>
  <c r="B128" i="33"/>
  <c r="B124" i="33" s="1"/>
  <c r="B127" i="33"/>
  <c r="B126" i="33"/>
  <c r="I124" i="33"/>
  <c r="H124" i="33"/>
  <c r="G124" i="33"/>
  <c r="F124" i="33"/>
  <c r="E124" i="33"/>
  <c r="D124" i="33"/>
  <c r="C124" i="33"/>
  <c r="B121" i="33"/>
  <c r="B120" i="33"/>
  <c r="B119" i="33"/>
  <c r="B118" i="33"/>
  <c r="B117" i="33"/>
  <c r="B116" i="33"/>
  <c r="B115" i="33"/>
  <c r="B114" i="33"/>
  <c r="B113" i="33"/>
  <c r="B112" i="33"/>
  <c r="B111" i="33"/>
  <c r="B110" i="33"/>
  <c r="B109" i="33"/>
  <c r="B108" i="33"/>
  <c r="B107" i="33"/>
  <c r="B106" i="33"/>
  <c r="B105" i="33"/>
  <c r="B104" i="33"/>
  <c r="B103" i="33"/>
  <c r="B102" i="33"/>
  <c r="B101" i="33"/>
  <c r="B100" i="33"/>
  <c r="B99" i="33"/>
  <c r="B98" i="33"/>
  <c r="B97" i="33"/>
  <c r="B96" i="33"/>
  <c r="B95" i="33"/>
  <c r="B94" i="33"/>
  <c r="B93" i="33"/>
  <c r="B92" i="33"/>
  <c r="B91" i="33"/>
  <c r="B90" i="33"/>
  <c r="B89" i="33"/>
  <c r="I87" i="33"/>
  <c r="H87" i="33"/>
  <c r="G87" i="33"/>
  <c r="F87" i="33"/>
  <c r="E87" i="33"/>
  <c r="D87" i="33"/>
  <c r="C87" i="33"/>
  <c r="B87" i="33"/>
  <c r="B84" i="33"/>
  <c r="B83" i="33"/>
  <c r="B82" i="33"/>
  <c r="B81" i="33"/>
  <c r="B80" i="33"/>
  <c r="B79" i="33"/>
  <c r="B78" i="33"/>
  <c r="B77" i="33"/>
  <c r="B76" i="33"/>
  <c r="B75" i="33"/>
  <c r="B74" i="33"/>
  <c r="B73" i="33"/>
  <c r="B72" i="33"/>
  <c r="B71" i="33"/>
  <c r="B70" i="33"/>
  <c r="B69" i="33"/>
  <c r="B68" i="33"/>
  <c r="B67" i="33"/>
  <c r="B66" i="33"/>
  <c r="B65" i="33"/>
  <c r="B64" i="33"/>
  <c r="B63" i="33"/>
  <c r="B62" i="33"/>
  <c r="B61" i="33"/>
  <c r="B60" i="33"/>
  <c r="B59" i="33"/>
  <c r="B58" i="33"/>
  <c r="B57" i="33"/>
  <c r="B56" i="33"/>
  <c r="B55" i="33"/>
  <c r="B54" i="33"/>
  <c r="B53" i="33"/>
  <c r="B50" i="33" s="1"/>
  <c r="B52" i="33"/>
  <c r="I50" i="33"/>
  <c r="H50" i="33"/>
  <c r="G50" i="33"/>
  <c r="F50" i="33"/>
  <c r="E50" i="33"/>
  <c r="D50" i="33"/>
  <c r="C50" i="33"/>
  <c r="B47" i="33"/>
  <c r="B46" i="33"/>
  <c r="B45" i="33"/>
  <c r="B44" i="33"/>
  <c r="B43" i="33"/>
  <c r="B42" i="33"/>
  <c r="B41" i="33"/>
  <c r="B40" i="33"/>
  <c r="B39" i="33"/>
  <c r="B38" i="33"/>
  <c r="B37" i="33"/>
  <c r="B36" i="33"/>
  <c r="B35" i="33"/>
  <c r="B34" i="33"/>
  <c r="B33" i="33"/>
  <c r="B32" i="33"/>
  <c r="B31" i="33"/>
  <c r="B30" i="33"/>
  <c r="B29" i="33"/>
  <c r="B28" i="33"/>
  <c r="B27" i="33"/>
  <c r="B26" i="33"/>
  <c r="B25" i="33"/>
  <c r="B24" i="33"/>
  <c r="B23" i="33"/>
  <c r="B22" i="33"/>
  <c r="B21" i="33"/>
  <c r="B20" i="33"/>
  <c r="B19" i="33"/>
  <c r="B18" i="33"/>
  <c r="B17" i="33"/>
  <c r="B16" i="33"/>
  <c r="B13" i="33" s="1"/>
  <c r="B15" i="33"/>
  <c r="I13" i="33"/>
  <c r="H13" i="33"/>
  <c r="G13" i="33"/>
  <c r="F13" i="33"/>
  <c r="E13" i="33"/>
  <c r="D13" i="33"/>
  <c r="C13" i="33"/>
  <c r="Y8" i="32"/>
  <c r="X8" i="32"/>
  <c r="W8" i="32"/>
  <c r="V8" i="32"/>
  <c r="U8" i="32"/>
  <c r="T8" i="32"/>
  <c r="S8" i="32"/>
  <c r="R8" i="32"/>
  <c r="Q8" i="32"/>
  <c r="P8" i="32"/>
  <c r="O8" i="32"/>
  <c r="N8" i="32"/>
  <c r="M8" i="32"/>
  <c r="L8" i="32"/>
  <c r="K8" i="32"/>
  <c r="J8" i="32"/>
  <c r="I8" i="32"/>
  <c r="H8" i="32"/>
  <c r="G8" i="32"/>
  <c r="F8" i="32"/>
  <c r="E8" i="32"/>
  <c r="D8" i="32"/>
  <c r="C8" i="32"/>
  <c r="B8" i="32"/>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N753" i="31"/>
  <c r="M753" i="31"/>
  <c r="L753" i="31"/>
  <c r="K753" i="31"/>
  <c r="J753" i="31"/>
  <c r="I753" i="31"/>
  <c r="H753" i="31"/>
  <c r="G753" i="31"/>
  <c r="F753" i="31"/>
  <c r="E753" i="31"/>
  <c r="D753" i="31"/>
  <c r="C753"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5" i="31" s="1"/>
  <c r="N715" i="31"/>
  <c r="M715" i="31"/>
  <c r="L715" i="31"/>
  <c r="K715" i="31"/>
  <c r="J715" i="31"/>
  <c r="I715" i="31"/>
  <c r="H715" i="31"/>
  <c r="G715" i="31"/>
  <c r="F715" i="31"/>
  <c r="E715" i="31"/>
  <c r="D715"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78" i="31" s="1"/>
  <c r="C680" i="31"/>
  <c r="N678" i="31"/>
  <c r="M678" i="31"/>
  <c r="L678" i="31"/>
  <c r="K678" i="31"/>
  <c r="J678" i="31"/>
  <c r="I678" i="31"/>
  <c r="H678" i="31"/>
  <c r="G678" i="31"/>
  <c r="F678" i="31"/>
  <c r="E678" i="31"/>
  <c r="D678" i="31"/>
  <c r="C675" i="31"/>
  <c r="C674" i="31"/>
  <c r="C673" i="31"/>
  <c r="C672" i="31"/>
  <c r="C671" i="31"/>
  <c r="C670" i="31"/>
  <c r="C669" i="31"/>
  <c r="C668" i="31"/>
  <c r="C667" i="31"/>
  <c r="C666" i="31"/>
  <c r="C665" i="31"/>
  <c r="C664" i="31"/>
  <c r="C663" i="31"/>
  <c r="C662" i="31"/>
  <c r="C661" i="31"/>
  <c r="C660" i="31"/>
  <c r="C659" i="31"/>
  <c r="C658" i="31"/>
  <c r="C657" i="31"/>
  <c r="C656" i="31"/>
  <c r="C655" i="31"/>
  <c r="C654" i="31"/>
  <c r="C653" i="31"/>
  <c r="C652" i="31"/>
  <c r="C651" i="31"/>
  <c r="C650" i="31"/>
  <c r="C649" i="31"/>
  <c r="C648" i="31"/>
  <c r="C647" i="31"/>
  <c r="C646" i="31"/>
  <c r="C645" i="31"/>
  <c r="C641" i="31" s="1"/>
  <c r="C644" i="31"/>
  <c r="C643" i="31"/>
  <c r="N641" i="31"/>
  <c r="M641" i="31"/>
  <c r="L641" i="31"/>
  <c r="K641" i="31"/>
  <c r="J641" i="31"/>
  <c r="I641" i="31"/>
  <c r="H641" i="31"/>
  <c r="G641" i="31"/>
  <c r="F641" i="31"/>
  <c r="E641" i="31"/>
  <c r="D641" i="31"/>
  <c r="C638" i="31"/>
  <c r="C637" i="31"/>
  <c r="C636" i="31"/>
  <c r="C635" i="31"/>
  <c r="C634" i="31"/>
  <c r="C633" i="31"/>
  <c r="C632"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N604" i="31"/>
  <c r="M604" i="31"/>
  <c r="L604" i="31"/>
  <c r="K604" i="31"/>
  <c r="J604" i="31"/>
  <c r="I604" i="31"/>
  <c r="H604" i="31"/>
  <c r="G604" i="31"/>
  <c r="F604" i="31"/>
  <c r="E604" i="31"/>
  <c r="D604" i="31"/>
  <c r="C604" i="31"/>
  <c r="C601" i="31"/>
  <c r="C600" i="31"/>
  <c r="C599" i="31"/>
  <c r="C598" i="31"/>
  <c r="C597" i="31"/>
  <c r="C596" i="31"/>
  <c r="C595" i="31"/>
  <c r="C594" i="31"/>
  <c r="C593" i="31"/>
  <c r="C592" i="31"/>
  <c r="C591" i="31"/>
  <c r="C590" i="31"/>
  <c r="C589" i="31"/>
  <c r="C588" i="31"/>
  <c r="C587" i="31"/>
  <c r="C586" i="31"/>
  <c r="C585" i="31"/>
  <c r="C584" i="31"/>
  <c r="C583" i="31"/>
  <c r="C582" i="31"/>
  <c r="C581" i="31"/>
  <c r="C580" i="31"/>
  <c r="C579" i="31"/>
  <c r="C578" i="31"/>
  <c r="C577" i="31"/>
  <c r="C576" i="31"/>
  <c r="C575" i="31"/>
  <c r="C574" i="31"/>
  <c r="C573" i="31"/>
  <c r="C572" i="31"/>
  <c r="C571" i="31"/>
  <c r="C570" i="31"/>
  <c r="C567" i="31" s="1"/>
  <c r="C569" i="31"/>
  <c r="N567" i="31"/>
  <c r="M567" i="31"/>
  <c r="L567" i="31"/>
  <c r="K567" i="31"/>
  <c r="J567" i="31"/>
  <c r="I567" i="31"/>
  <c r="H567" i="31"/>
  <c r="G567" i="31"/>
  <c r="F567" i="31"/>
  <c r="E567" i="31"/>
  <c r="D567" i="31"/>
  <c r="C564" i="31"/>
  <c r="C563" i="31"/>
  <c r="C562" i="31"/>
  <c r="C561" i="31"/>
  <c r="C560" i="31"/>
  <c r="C559" i="31"/>
  <c r="C558" i="31"/>
  <c r="C557" i="31"/>
  <c r="C556"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30" i="31" s="1"/>
  <c r="C532" i="31"/>
  <c r="N530" i="31"/>
  <c r="M530" i="31"/>
  <c r="L530" i="31"/>
  <c r="K530" i="31"/>
  <c r="J530" i="31"/>
  <c r="I530" i="31"/>
  <c r="H530" i="31"/>
  <c r="G530" i="31"/>
  <c r="F530" i="31"/>
  <c r="E530" i="31"/>
  <c r="D530"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4" i="31"/>
  <c r="C503" i="31"/>
  <c r="C502" i="31"/>
  <c r="C501" i="31"/>
  <c r="C500" i="31"/>
  <c r="C499" i="31"/>
  <c r="C498" i="31"/>
  <c r="C497" i="31"/>
  <c r="C493" i="31" s="1"/>
  <c r="C496" i="31"/>
  <c r="C495" i="31"/>
  <c r="N493" i="31"/>
  <c r="M493" i="31"/>
  <c r="L493" i="31"/>
  <c r="K493" i="31"/>
  <c r="J493" i="31"/>
  <c r="I493" i="31"/>
  <c r="H493" i="31"/>
  <c r="G493" i="31"/>
  <c r="F493" i="31"/>
  <c r="E493" i="31"/>
  <c r="D493" i="31"/>
  <c r="C490" i="31"/>
  <c r="C489" i="31"/>
  <c r="C488" i="31"/>
  <c r="C487" i="31"/>
  <c r="C486" i="31"/>
  <c r="C485" i="31"/>
  <c r="C484" i="31"/>
  <c r="C483" i="31"/>
  <c r="C482" i="31"/>
  <c r="C481" i="31"/>
  <c r="C480" i="31"/>
  <c r="C479" i="31"/>
  <c r="C478" i="31"/>
  <c r="C477" i="31"/>
  <c r="C476" i="31"/>
  <c r="C475" i="31"/>
  <c r="C474" i="31"/>
  <c r="C473" i="31"/>
  <c r="C472" i="31"/>
  <c r="C471" i="31"/>
  <c r="C470" i="31"/>
  <c r="C469" i="31"/>
  <c r="C468" i="31"/>
  <c r="C467" i="31"/>
  <c r="C466" i="31"/>
  <c r="C465" i="31"/>
  <c r="C464" i="31"/>
  <c r="C463" i="31"/>
  <c r="C462" i="31"/>
  <c r="C461" i="31"/>
  <c r="C460" i="31"/>
  <c r="C459" i="31"/>
  <c r="C458" i="31"/>
  <c r="N456" i="31"/>
  <c r="M456" i="31"/>
  <c r="L456" i="31"/>
  <c r="K456" i="31"/>
  <c r="J456" i="31"/>
  <c r="I456" i="31"/>
  <c r="H456" i="31"/>
  <c r="G456" i="31"/>
  <c r="F456" i="31"/>
  <c r="E456" i="31"/>
  <c r="D456" i="31"/>
  <c r="C456" i="31"/>
  <c r="C453" i="31"/>
  <c r="C452"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8" i="31"/>
  <c r="C427" i="31"/>
  <c r="C426" i="31"/>
  <c r="C425" i="31"/>
  <c r="C424" i="31"/>
  <c r="C423" i="31"/>
  <c r="C422" i="31"/>
  <c r="C418" i="31" s="1"/>
  <c r="C421" i="31"/>
  <c r="C420" i="31"/>
  <c r="N418" i="31"/>
  <c r="M418" i="31"/>
  <c r="L418" i="31"/>
  <c r="K418" i="31"/>
  <c r="J418" i="31"/>
  <c r="I418" i="31"/>
  <c r="H418" i="31"/>
  <c r="G418" i="31"/>
  <c r="F418" i="31"/>
  <c r="E418" i="31"/>
  <c r="D418" i="31"/>
  <c r="C415" i="31"/>
  <c r="C414" i="31"/>
  <c r="C413" i="31"/>
  <c r="C412" i="31"/>
  <c r="C411" i="31"/>
  <c r="C410" i="31"/>
  <c r="C409" i="31"/>
  <c r="C408" i="31"/>
  <c r="C407" i="31"/>
  <c r="C406" i="31"/>
  <c r="C405" i="31"/>
  <c r="C404" i="31"/>
  <c r="C403" i="31"/>
  <c r="C402" i="31"/>
  <c r="C401" i="31"/>
  <c r="C400" i="31"/>
  <c r="C399" i="31"/>
  <c r="C398" i="31"/>
  <c r="C397" i="31"/>
  <c r="C396" i="31"/>
  <c r="C395" i="31"/>
  <c r="C394" i="31"/>
  <c r="C393" i="31"/>
  <c r="C392" i="31"/>
  <c r="C391" i="31"/>
  <c r="C390" i="31"/>
  <c r="C389" i="31"/>
  <c r="C388" i="31"/>
  <c r="C387" i="31"/>
  <c r="C386" i="31"/>
  <c r="C381" i="31" s="1"/>
  <c r="C385" i="31"/>
  <c r="C384" i="31"/>
  <c r="C383" i="31"/>
  <c r="N381" i="31"/>
  <c r="M381" i="31"/>
  <c r="L381" i="31"/>
  <c r="K381" i="31"/>
  <c r="J381" i="31"/>
  <c r="I381" i="31"/>
  <c r="H381" i="31"/>
  <c r="G381" i="31"/>
  <c r="F381" i="31"/>
  <c r="E381" i="31"/>
  <c r="D381" i="31"/>
  <c r="C378" i="31"/>
  <c r="C377" i="31"/>
  <c r="C376" i="31"/>
  <c r="C375" i="31"/>
  <c r="C374" i="31"/>
  <c r="C373" i="31"/>
  <c r="C372" i="31"/>
  <c r="C371" i="31"/>
  <c r="C370" i="31"/>
  <c r="C369" i="31"/>
  <c r="C368" i="31"/>
  <c r="C367" i="31"/>
  <c r="C366" i="31"/>
  <c r="C365" i="31"/>
  <c r="C364" i="31"/>
  <c r="C363" i="31"/>
  <c r="C362" i="31"/>
  <c r="C361" i="31"/>
  <c r="C360" i="31"/>
  <c r="C359" i="31"/>
  <c r="C358" i="31"/>
  <c r="C357" i="31"/>
  <c r="C356" i="31"/>
  <c r="C355" i="31"/>
  <c r="C354" i="31"/>
  <c r="C353" i="31"/>
  <c r="C352" i="31"/>
  <c r="C351" i="31"/>
  <c r="C350" i="31"/>
  <c r="C349" i="31"/>
  <c r="C348" i="31"/>
  <c r="C347" i="31"/>
  <c r="C346" i="31"/>
  <c r="N344" i="31"/>
  <c r="M344" i="31"/>
  <c r="L344" i="31"/>
  <c r="K344" i="31"/>
  <c r="J344" i="31"/>
  <c r="I344" i="31"/>
  <c r="H344" i="31"/>
  <c r="G344" i="31"/>
  <c r="F344" i="31"/>
  <c r="E344" i="31"/>
  <c r="D344" i="31"/>
  <c r="C344" i="31"/>
  <c r="C341" i="31"/>
  <c r="C340" i="31"/>
  <c r="C339" i="31"/>
  <c r="C338" i="31"/>
  <c r="C337" i="31"/>
  <c r="C336" i="31"/>
  <c r="C335" i="31"/>
  <c r="C334" i="31"/>
  <c r="C333" i="31"/>
  <c r="C332" i="31"/>
  <c r="C331" i="31"/>
  <c r="C330" i="31"/>
  <c r="C329" i="31"/>
  <c r="C328" i="31"/>
  <c r="C327" i="31"/>
  <c r="C326" i="31"/>
  <c r="C325" i="31"/>
  <c r="C324" i="31"/>
  <c r="C323" i="31"/>
  <c r="C322" i="31"/>
  <c r="C321" i="31"/>
  <c r="C320" i="31"/>
  <c r="C319" i="31"/>
  <c r="C318" i="31"/>
  <c r="C317" i="31"/>
  <c r="C316" i="31"/>
  <c r="C315" i="31"/>
  <c r="C314" i="31"/>
  <c r="C313" i="31"/>
  <c r="C312" i="31"/>
  <c r="C311" i="31"/>
  <c r="C310" i="31"/>
  <c r="C307" i="31" s="1"/>
  <c r="C309" i="31"/>
  <c r="N307" i="31"/>
  <c r="M307" i="31"/>
  <c r="L307" i="31"/>
  <c r="K307" i="31"/>
  <c r="J307" i="31"/>
  <c r="I307" i="31"/>
  <c r="H307" i="31"/>
  <c r="G307" i="31"/>
  <c r="F307" i="31"/>
  <c r="E307" i="31"/>
  <c r="D307" i="31"/>
  <c r="C304" i="31"/>
  <c r="C303" i="31"/>
  <c r="C302"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8" i="31"/>
  <c r="C277" i="31"/>
  <c r="C276" i="31"/>
  <c r="C275" i="31"/>
  <c r="C274" i="31"/>
  <c r="C270" i="31" s="1"/>
  <c r="C273" i="31"/>
  <c r="C272" i="31"/>
  <c r="N270" i="31"/>
  <c r="M270" i="31"/>
  <c r="L270" i="31"/>
  <c r="K270" i="31"/>
  <c r="J270" i="31"/>
  <c r="I270" i="31"/>
  <c r="H270" i="31"/>
  <c r="G270" i="31"/>
  <c r="F270" i="31"/>
  <c r="E270" i="31"/>
  <c r="D270" i="31"/>
  <c r="C267" i="31"/>
  <c r="C266" i="31"/>
  <c r="C265" i="31"/>
  <c r="C264" i="31"/>
  <c r="C263" i="31"/>
  <c r="C262" i="31"/>
  <c r="C261" i="31"/>
  <c r="C260" i="31"/>
  <c r="C259" i="31"/>
  <c r="C258" i="31"/>
  <c r="C257" i="31"/>
  <c r="C256" i="31"/>
  <c r="C255" i="31"/>
  <c r="C254" i="31"/>
  <c r="C253" i="31"/>
  <c r="C252" i="31"/>
  <c r="C251" i="31"/>
  <c r="C250" i="31"/>
  <c r="C249" i="31"/>
  <c r="C248" i="31"/>
  <c r="C247" i="31"/>
  <c r="C246" i="31"/>
  <c r="C245" i="31"/>
  <c r="C244" i="31"/>
  <c r="C243" i="31"/>
  <c r="C242" i="31"/>
  <c r="C241" i="31"/>
  <c r="C240" i="31"/>
  <c r="C239" i="31"/>
  <c r="C238" i="31"/>
  <c r="C233" i="31" s="1"/>
  <c r="C237" i="31"/>
  <c r="C236" i="31"/>
  <c r="C235" i="31"/>
  <c r="N233" i="31"/>
  <c r="M233" i="31"/>
  <c r="L233" i="31"/>
  <c r="K233" i="31"/>
  <c r="J233" i="31"/>
  <c r="I233" i="31"/>
  <c r="H233" i="31"/>
  <c r="G233" i="31"/>
  <c r="F233" i="31"/>
  <c r="E233" i="31"/>
  <c r="D233" i="31"/>
  <c r="C230" i="31"/>
  <c r="C229" i="31"/>
  <c r="C228" i="31"/>
  <c r="C227" i="31"/>
  <c r="C226" i="31"/>
  <c r="C225" i="31"/>
  <c r="C224" i="31"/>
  <c r="C223" i="31"/>
  <c r="C222" i="31"/>
  <c r="C221" i="31"/>
  <c r="C220" i="31"/>
  <c r="C219" i="31"/>
  <c r="C218" i="31"/>
  <c r="C217" i="31"/>
  <c r="C216" i="31"/>
  <c r="C215" i="31"/>
  <c r="C214" i="31"/>
  <c r="C213" i="31"/>
  <c r="C212" i="31"/>
  <c r="C211" i="31"/>
  <c r="C210" i="31"/>
  <c r="C209" i="31"/>
  <c r="C208" i="31"/>
  <c r="C207" i="31"/>
  <c r="C206" i="31"/>
  <c r="C205" i="31"/>
  <c r="C204" i="31"/>
  <c r="C203" i="31"/>
  <c r="C202" i="31"/>
  <c r="C201" i="31"/>
  <c r="C200" i="31"/>
  <c r="C199" i="31"/>
  <c r="C198" i="31"/>
  <c r="N196" i="31"/>
  <c r="M196" i="31"/>
  <c r="L196" i="31"/>
  <c r="K196" i="31"/>
  <c r="J196" i="31"/>
  <c r="I196" i="31"/>
  <c r="H196" i="31"/>
  <c r="G196" i="31"/>
  <c r="F196" i="31"/>
  <c r="E196" i="31"/>
  <c r="D196" i="31"/>
  <c r="C196" i="31"/>
  <c r="C193" i="31"/>
  <c r="C192" i="31"/>
  <c r="C191" i="31"/>
  <c r="C190" i="31"/>
  <c r="C189" i="31"/>
  <c r="C188" i="31"/>
  <c r="C187" i="31"/>
  <c r="C186" i="31"/>
  <c r="C185" i="31"/>
  <c r="C184" i="31"/>
  <c r="C183" i="31"/>
  <c r="C182" i="31"/>
  <c r="C181" i="31"/>
  <c r="C180" i="31"/>
  <c r="C179" i="31"/>
  <c r="C178" i="31"/>
  <c r="C177" i="31"/>
  <c r="C176" i="31"/>
  <c r="C175" i="31"/>
  <c r="C174" i="31"/>
  <c r="C173" i="31"/>
  <c r="C172" i="31"/>
  <c r="C171" i="31"/>
  <c r="C170" i="31"/>
  <c r="C169" i="31"/>
  <c r="C168" i="31"/>
  <c r="C167" i="31"/>
  <c r="C166" i="31"/>
  <c r="C165" i="31"/>
  <c r="C164" i="31"/>
  <c r="C163" i="31"/>
  <c r="C162" i="31"/>
  <c r="C159" i="31" s="1"/>
  <c r="C161" i="31"/>
  <c r="N159" i="31"/>
  <c r="M159" i="31"/>
  <c r="L159" i="31"/>
  <c r="K159" i="31"/>
  <c r="J159" i="31"/>
  <c r="I159" i="31"/>
  <c r="H159" i="31"/>
  <c r="G159" i="31"/>
  <c r="F159" i="31"/>
  <c r="E159" i="31"/>
  <c r="D159" i="31"/>
  <c r="C156" i="31"/>
  <c r="C155" i="31"/>
  <c r="C154" i="31"/>
  <c r="C153" i="31"/>
  <c r="C152" i="31"/>
  <c r="C151" i="31"/>
  <c r="C150" i="31"/>
  <c r="C149" i="31"/>
  <c r="C148" i="31"/>
  <c r="C147" i="31"/>
  <c r="C146" i="31"/>
  <c r="C145" i="31"/>
  <c r="C144" i="31"/>
  <c r="C143" i="31"/>
  <c r="C142" i="31"/>
  <c r="C141" i="31"/>
  <c r="C140" i="31"/>
  <c r="C139" i="31"/>
  <c r="C138" i="31"/>
  <c r="C137" i="31"/>
  <c r="C136" i="31"/>
  <c r="C135" i="31"/>
  <c r="C134" i="31"/>
  <c r="C133" i="31"/>
  <c r="C132" i="31"/>
  <c r="C131" i="31"/>
  <c r="C130" i="31"/>
  <c r="C129" i="31"/>
  <c r="C128" i="31"/>
  <c r="C127" i="31"/>
  <c r="C126" i="31"/>
  <c r="C122" i="31" s="1"/>
  <c r="C125" i="31"/>
  <c r="C124" i="31"/>
  <c r="N122" i="31"/>
  <c r="M122" i="31"/>
  <c r="L122" i="31"/>
  <c r="K122" i="31"/>
  <c r="J122" i="31"/>
  <c r="I122" i="31"/>
  <c r="H122" i="31"/>
  <c r="G122" i="31"/>
  <c r="F122" i="31"/>
  <c r="E122" i="31"/>
  <c r="D122" i="31"/>
  <c r="C119" i="31"/>
  <c r="C118" i="31"/>
  <c r="C117" i="31"/>
  <c r="C116" i="31"/>
  <c r="C115" i="31"/>
  <c r="C114" i="31"/>
  <c r="C113" i="31"/>
  <c r="C112" i="31"/>
  <c r="C111" i="31"/>
  <c r="C110" i="31"/>
  <c r="C109" i="31"/>
  <c r="C108" i="31"/>
  <c r="C107" i="31"/>
  <c r="C106" i="31"/>
  <c r="C105" i="31"/>
  <c r="C104" i="31"/>
  <c r="C103" i="31"/>
  <c r="C102" i="31"/>
  <c r="C101" i="31"/>
  <c r="C100" i="31"/>
  <c r="C99" i="31"/>
  <c r="C98" i="31"/>
  <c r="C97" i="31"/>
  <c r="C96" i="31"/>
  <c r="C95" i="31"/>
  <c r="C94" i="31"/>
  <c r="C93" i="31"/>
  <c r="C92" i="31"/>
  <c r="C91" i="31"/>
  <c r="C90" i="31"/>
  <c r="C85" i="31" s="1"/>
  <c r="C89" i="31"/>
  <c r="C88" i="31"/>
  <c r="C87" i="31"/>
  <c r="N85" i="31"/>
  <c r="M85" i="31"/>
  <c r="L85" i="31"/>
  <c r="K85" i="31"/>
  <c r="J85" i="31"/>
  <c r="I85" i="31"/>
  <c r="H85" i="31"/>
  <c r="G85" i="31"/>
  <c r="F85" i="31"/>
  <c r="E85" i="31"/>
  <c r="D85" i="31"/>
  <c r="C82" i="31"/>
  <c r="C81" i="31"/>
  <c r="C80" i="31"/>
  <c r="C79" i="31"/>
  <c r="C78" i="31"/>
  <c r="C77" i="31"/>
  <c r="C76" i="31"/>
  <c r="C75" i="31"/>
  <c r="C74" i="31"/>
  <c r="C73" i="31"/>
  <c r="C72" i="31"/>
  <c r="C71" i="31"/>
  <c r="C70" i="31"/>
  <c r="C69" i="31"/>
  <c r="C68" i="31"/>
  <c r="C67" i="31"/>
  <c r="C66" i="31"/>
  <c r="C65" i="31"/>
  <c r="C64" i="31"/>
  <c r="C63" i="31"/>
  <c r="C62" i="31"/>
  <c r="C61" i="31"/>
  <c r="C60" i="31"/>
  <c r="C59" i="31"/>
  <c r="C58" i="31"/>
  <c r="C57" i="31"/>
  <c r="C56" i="31"/>
  <c r="C55" i="31"/>
  <c r="C54" i="31"/>
  <c r="C53" i="31"/>
  <c r="C52" i="31"/>
  <c r="C51" i="31"/>
  <c r="C50" i="31"/>
  <c r="N48" i="31"/>
  <c r="M48" i="31"/>
  <c r="L48" i="31"/>
  <c r="K48" i="31"/>
  <c r="J48" i="31"/>
  <c r="I48" i="31"/>
  <c r="H48" i="31"/>
  <c r="G48" i="31"/>
  <c r="F48" i="31"/>
  <c r="E48" i="31"/>
  <c r="D48" i="31"/>
  <c r="C48"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1" i="31" s="1"/>
  <c r="C13" i="31"/>
  <c r="N11" i="31"/>
  <c r="M11" i="31"/>
  <c r="L11" i="31"/>
  <c r="K11" i="31"/>
  <c r="J11" i="31"/>
  <c r="I11" i="31"/>
  <c r="H11" i="31"/>
  <c r="G11" i="31"/>
  <c r="F11" i="31"/>
  <c r="E11" i="31"/>
  <c r="D11" i="31"/>
  <c r="E875" i="30" l="1"/>
  <c r="B875" i="30" s="1"/>
  <c r="E874" i="30"/>
  <c r="B874" i="30"/>
  <c r="E873" i="30"/>
  <c r="B873" i="30" s="1"/>
  <c r="E872" i="30"/>
  <c r="B872" i="30"/>
  <c r="E871" i="30"/>
  <c r="B871" i="30" s="1"/>
  <c r="E870" i="30"/>
  <c r="B870" i="30" s="1"/>
  <c r="E869" i="30"/>
  <c r="B869" i="30" s="1"/>
  <c r="E868" i="30"/>
  <c r="B868" i="30"/>
  <c r="E867" i="30"/>
  <c r="B867" i="30" s="1"/>
  <c r="E866" i="30"/>
  <c r="B866" i="30"/>
  <c r="E865" i="30"/>
  <c r="B865" i="30" s="1"/>
  <c r="E864" i="30"/>
  <c r="B864" i="30"/>
  <c r="E863" i="30"/>
  <c r="B863" i="30" s="1"/>
  <c r="E862" i="30"/>
  <c r="B862" i="30" s="1"/>
  <c r="E861" i="30"/>
  <c r="B861" i="30" s="1"/>
  <c r="E860" i="30"/>
  <c r="B860" i="30"/>
  <c r="E859" i="30"/>
  <c r="B859" i="30" s="1"/>
  <c r="E858" i="30"/>
  <c r="B858" i="30"/>
  <c r="E857" i="30"/>
  <c r="B857" i="30" s="1"/>
  <c r="E856" i="30"/>
  <c r="B856" i="30"/>
  <c r="E855" i="30"/>
  <c r="B855" i="30" s="1"/>
  <c r="E854" i="30"/>
  <c r="B854" i="30" s="1"/>
  <c r="E853" i="30"/>
  <c r="B853" i="30" s="1"/>
  <c r="E852" i="30"/>
  <c r="B852" i="30"/>
  <c r="E851" i="30"/>
  <c r="B851" i="30" s="1"/>
  <c r="E850" i="30"/>
  <c r="B850" i="30"/>
  <c r="E849" i="30"/>
  <c r="B849" i="30" s="1"/>
  <c r="E848" i="30"/>
  <c r="B848" i="30"/>
  <c r="E847" i="30"/>
  <c r="B847" i="30" s="1"/>
  <c r="E846" i="30"/>
  <c r="E845" i="30"/>
  <c r="B845" i="30" s="1"/>
  <c r="E844" i="30"/>
  <c r="B844" i="30"/>
  <c r="L842" i="30"/>
  <c r="K842" i="30"/>
  <c r="J842" i="30"/>
  <c r="H842" i="30"/>
  <c r="G842" i="30"/>
  <c r="F842" i="30"/>
  <c r="C842" i="30"/>
  <c r="E839" i="30"/>
  <c r="B839" i="30"/>
  <c r="E838" i="30"/>
  <c r="B838" i="30" s="1"/>
  <c r="E837" i="30"/>
  <c r="B837" i="30"/>
  <c r="E836" i="30"/>
  <c r="B836" i="30" s="1"/>
  <c r="E835" i="30"/>
  <c r="B835" i="30"/>
  <c r="E834" i="30"/>
  <c r="B834" i="30" s="1"/>
  <c r="E833" i="30"/>
  <c r="B833" i="30"/>
  <c r="E832" i="30"/>
  <c r="B832" i="30" s="1"/>
  <c r="E831" i="30"/>
  <c r="B831" i="30"/>
  <c r="E830" i="30"/>
  <c r="B830" i="30" s="1"/>
  <c r="E829" i="30"/>
  <c r="B829" i="30"/>
  <c r="E828" i="30"/>
  <c r="B828" i="30" s="1"/>
  <c r="E827" i="30"/>
  <c r="B827" i="30"/>
  <c r="E826" i="30"/>
  <c r="B826" i="30" s="1"/>
  <c r="E825" i="30"/>
  <c r="B825" i="30"/>
  <c r="E824" i="30"/>
  <c r="B824" i="30" s="1"/>
  <c r="E823" i="30"/>
  <c r="B823" i="30"/>
  <c r="E822" i="30"/>
  <c r="B822" i="30" s="1"/>
  <c r="E821" i="30"/>
  <c r="B821" i="30"/>
  <c r="E820" i="30"/>
  <c r="B820" i="30" s="1"/>
  <c r="E819" i="30"/>
  <c r="B819" i="30"/>
  <c r="E818" i="30"/>
  <c r="B818" i="30" s="1"/>
  <c r="E817" i="30"/>
  <c r="B817" i="30"/>
  <c r="E816" i="30"/>
  <c r="B816" i="30" s="1"/>
  <c r="E815" i="30"/>
  <c r="B815" i="30"/>
  <c r="E814" i="30"/>
  <c r="B814" i="30" s="1"/>
  <c r="E813" i="30"/>
  <c r="B813" i="30"/>
  <c r="E812" i="30"/>
  <c r="B812" i="30" s="1"/>
  <c r="E811" i="30"/>
  <c r="B811" i="30"/>
  <c r="E810" i="30"/>
  <c r="B810" i="30" s="1"/>
  <c r="E809" i="30"/>
  <c r="B809" i="30"/>
  <c r="E808" i="30"/>
  <c r="L806" i="30"/>
  <c r="K806" i="30"/>
  <c r="J806" i="30"/>
  <c r="H806" i="30"/>
  <c r="G806" i="30"/>
  <c r="F806" i="30"/>
  <c r="C806" i="30"/>
  <c r="E803" i="30"/>
  <c r="B803" i="30"/>
  <c r="E802" i="30"/>
  <c r="B802" i="30" s="1"/>
  <c r="E801" i="30"/>
  <c r="B801" i="30" s="1"/>
  <c r="E800" i="30"/>
  <c r="B800" i="30" s="1"/>
  <c r="E799" i="30"/>
  <c r="B799" i="30"/>
  <c r="E798" i="30"/>
  <c r="B798" i="30" s="1"/>
  <c r="E797" i="30"/>
  <c r="B797" i="30"/>
  <c r="E796" i="30"/>
  <c r="B796" i="30" s="1"/>
  <c r="E795" i="30"/>
  <c r="B795" i="30"/>
  <c r="E794" i="30"/>
  <c r="B794" i="30" s="1"/>
  <c r="E793" i="30"/>
  <c r="B793" i="30" s="1"/>
  <c r="E792" i="30"/>
  <c r="B792" i="30" s="1"/>
  <c r="E791" i="30"/>
  <c r="B791" i="30"/>
  <c r="E790" i="30"/>
  <c r="B790" i="30" s="1"/>
  <c r="E789" i="30"/>
  <c r="B789" i="30"/>
  <c r="E788" i="30"/>
  <c r="B788" i="30" s="1"/>
  <c r="E787" i="30"/>
  <c r="B787" i="30"/>
  <c r="E786" i="30"/>
  <c r="B786" i="30" s="1"/>
  <c r="E785" i="30"/>
  <c r="B785" i="30" s="1"/>
  <c r="E784" i="30"/>
  <c r="B784" i="30" s="1"/>
  <c r="E783" i="30"/>
  <c r="B783" i="30"/>
  <c r="E782" i="30"/>
  <c r="B782" i="30" s="1"/>
  <c r="E781" i="30"/>
  <c r="B781" i="30"/>
  <c r="E780" i="30"/>
  <c r="B780" i="30" s="1"/>
  <c r="E779" i="30"/>
  <c r="B779" i="30"/>
  <c r="E778" i="30"/>
  <c r="B778" i="30" s="1"/>
  <c r="E777" i="30"/>
  <c r="B777" i="30" s="1"/>
  <c r="E776" i="30"/>
  <c r="B776" i="30" s="1"/>
  <c r="E775" i="30"/>
  <c r="B775" i="30"/>
  <c r="E774" i="30"/>
  <c r="B774" i="30" s="1"/>
  <c r="E773" i="30"/>
  <c r="B773" i="30"/>
  <c r="E772" i="30"/>
  <c r="B772" i="30" s="1"/>
  <c r="L770" i="30"/>
  <c r="K770" i="30"/>
  <c r="J770" i="30"/>
  <c r="H770" i="30"/>
  <c r="G770" i="30"/>
  <c r="F770" i="30"/>
  <c r="C770" i="30"/>
  <c r="E767" i="30"/>
  <c r="B767" i="30" s="1"/>
  <c r="E766" i="30"/>
  <c r="B766" i="30"/>
  <c r="E765" i="30"/>
  <c r="B765" i="30" s="1"/>
  <c r="E764" i="30"/>
  <c r="B764" i="30"/>
  <c r="E763" i="30"/>
  <c r="B763" i="30" s="1"/>
  <c r="E762" i="30"/>
  <c r="B762" i="30"/>
  <c r="E761" i="30"/>
  <c r="B761" i="30" s="1"/>
  <c r="E760" i="30"/>
  <c r="B760" i="30"/>
  <c r="E759" i="30"/>
  <c r="B759" i="30" s="1"/>
  <c r="E758" i="30"/>
  <c r="B758" i="30"/>
  <c r="E757" i="30"/>
  <c r="B757" i="30" s="1"/>
  <c r="E756" i="30"/>
  <c r="B756" i="30"/>
  <c r="E755" i="30"/>
  <c r="B755" i="30" s="1"/>
  <c r="E754" i="30"/>
  <c r="B754" i="30"/>
  <c r="E753" i="30"/>
  <c r="B753" i="30" s="1"/>
  <c r="E752" i="30"/>
  <c r="B752" i="30"/>
  <c r="E751" i="30"/>
  <c r="B751" i="30" s="1"/>
  <c r="E750" i="30"/>
  <c r="B750" i="30"/>
  <c r="E749" i="30"/>
  <c r="B749" i="30" s="1"/>
  <c r="E748" i="30"/>
  <c r="B748" i="30"/>
  <c r="E747" i="30"/>
  <c r="B747" i="30" s="1"/>
  <c r="E746" i="30"/>
  <c r="B746" i="30"/>
  <c r="E745" i="30"/>
  <c r="B745" i="30" s="1"/>
  <c r="E744" i="30"/>
  <c r="B744" i="30"/>
  <c r="E743" i="30"/>
  <c r="B743" i="30" s="1"/>
  <c r="E742" i="30"/>
  <c r="B742" i="30"/>
  <c r="E741" i="30"/>
  <c r="B741" i="30" s="1"/>
  <c r="E740" i="30"/>
  <c r="B740" i="30"/>
  <c r="E739" i="30"/>
  <c r="B739" i="30" s="1"/>
  <c r="E738" i="30"/>
  <c r="B738" i="30"/>
  <c r="E737" i="30"/>
  <c r="E736" i="30"/>
  <c r="B736" i="30"/>
  <c r="L734" i="30"/>
  <c r="K734" i="30"/>
  <c r="J734" i="30"/>
  <c r="H734" i="30"/>
  <c r="G734" i="30"/>
  <c r="F734" i="30"/>
  <c r="C734" i="30"/>
  <c r="E731" i="30"/>
  <c r="B731" i="30" s="1"/>
  <c r="E730" i="30"/>
  <c r="B730" i="30"/>
  <c r="E729" i="30"/>
  <c r="B729" i="30" s="1"/>
  <c r="E728" i="30"/>
  <c r="B728" i="30"/>
  <c r="E727" i="30"/>
  <c r="B727" i="30" s="1"/>
  <c r="E726" i="30"/>
  <c r="B726" i="30" s="1"/>
  <c r="E725" i="30"/>
  <c r="B725" i="30" s="1"/>
  <c r="E724" i="30"/>
  <c r="B724" i="30"/>
  <c r="E723" i="30"/>
  <c r="B723" i="30" s="1"/>
  <c r="E722" i="30"/>
  <c r="B722" i="30"/>
  <c r="E721" i="30"/>
  <c r="B721" i="30" s="1"/>
  <c r="E720" i="30"/>
  <c r="B720" i="30"/>
  <c r="E719" i="30"/>
  <c r="B719" i="30" s="1"/>
  <c r="E718" i="30"/>
  <c r="B718" i="30" s="1"/>
  <c r="E717" i="30"/>
  <c r="B717" i="30" s="1"/>
  <c r="E716" i="30"/>
  <c r="B716" i="30"/>
  <c r="E715" i="30"/>
  <c r="B715" i="30" s="1"/>
  <c r="E714" i="30"/>
  <c r="B714" i="30"/>
  <c r="E713" i="30"/>
  <c r="B713" i="30" s="1"/>
  <c r="E712" i="30"/>
  <c r="B712" i="30"/>
  <c r="E711" i="30"/>
  <c r="B711" i="30" s="1"/>
  <c r="E710" i="30"/>
  <c r="B710" i="30" s="1"/>
  <c r="E709" i="30"/>
  <c r="B709" i="30" s="1"/>
  <c r="E708" i="30"/>
  <c r="B708" i="30"/>
  <c r="E707" i="30"/>
  <c r="B707" i="30" s="1"/>
  <c r="E706" i="30"/>
  <c r="B706" i="30"/>
  <c r="E705" i="30"/>
  <c r="B705" i="30" s="1"/>
  <c r="E704" i="30"/>
  <c r="B704" i="30"/>
  <c r="E703" i="30"/>
  <c r="B703" i="30" s="1"/>
  <c r="E702" i="30"/>
  <c r="E701" i="30"/>
  <c r="B701" i="30" s="1"/>
  <c r="E700" i="30"/>
  <c r="B700" i="30"/>
  <c r="L698" i="30"/>
  <c r="K698" i="30"/>
  <c r="J698" i="30"/>
  <c r="H698" i="30"/>
  <c r="G698" i="30"/>
  <c r="F698" i="30"/>
  <c r="C698" i="30"/>
  <c r="E695" i="30"/>
  <c r="B695" i="30"/>
  <c r="E694" i="30"/>
  <c r="B694" i="30" s="1"/>
  <c r="E693" i="30"/>
  <c r="B693" i="30"/>
  <c r="E692" i="30"/>
  <c r="B692" i="30" s="1"/>
  <c r="E691" i="30"/>
  <c r="B691" i="30"/>
  <c r="E690" i="30"/>
  <c r="B690" i="30" s="1"/>
  <c r="E689" i="30"/>
  <c r="B689" i="30"/>
  <c r="E688" i="30"/>
  <c r="B688" i="30" s="1"/>
  <c r="E687" i="30"/>
  <c r="B687" i="30"/>
  <c r="E686" i="30"/>
  <c r="B686" i="30" s="1"/>
  <c r="E685" i="30"/>
  <c r="B685" i="30"/>
  <c r="E684" i="30"/>
  <c r="B684" i="30" s="1"/>
  <c r="E683" i="30"/>
  <c r="B683" i="30"/>
  <c r="E682" i="30"/>
  <c r="B682" i="30" s="1"/>
  <c r="E681" i="30"/>
  <c r="B681" i="30"/>
  <c r="E680" i="30"/>
  <c r="B680" i="30" s="1"/>
  <c r="E679" i="30"/>
  <c r="B679" i="30"/>
  <c r="E678" i="30"/>
  <c r="B678" i="30" s="1"/>
  <c r="E677" i="30"/>
  <c r="B677" i="30"/>
  <c r="E676" i="30"/>
  <c r="B676" i="30" s="1"/>
  <c r="E675" i="30"/>
  <c r="B675" i="30"/>
  <c r="E674" i="30"/>
  <c r="B674" i="30" s="1"/>
  <c r="E673" i="30"/>
  <c r="B673" i="30"/>
  <c r="E672" i="30"/>
  <c r="B672" i="30" s="1"/>
  <c r="E671" i="30"/>
  <c r="B671" i="30"/>
  <c r="E670" i="30"/>
  <c r="B670" i="30" s="1"/>
  <c r="E669" i="30"/>
  <c r="B669" i="30"/>
  <c r="E668" i="30"/>
  <c r="B668" i="30" s="1"/>
  <c r="E667" i="30"/>
  <c r="B667" i="30"/>
  <c r="E666" i="30"/>
  <c r="B666" i="30" s="1"/>
  <c r="E665" i="30"/>
  <c r="B665" i="30"/>
  <c r="E664" i="30"/>
  <c r="L662" i="30"/>
  <c r="K662" i="30"/>
  <c r="J662" i="30"/>
  <c r="H662" i="30"/>
  <c r="G662" i="30"/>
  <c r="F662" i="30"/>
  <c r="C662" i="30"/>
  <c r="E659" i="30"/>
  <c r="B659" i="30"/>
  <c r="E658" i="30"/>
  <c r="B658" i="30" s="1"/>
  <c r="E657" i="30"/>
  <c r="B657" i="30" s="1"/>
  <c r="E656" i="30"/>
  <c r="B656" i="30" s="1"/>
  <c r="E655" i="30"/>
  <c r="B655" i="30"/>
  <c r="E654" i="30"/>
  <c r="B654" i="30" s="1"/>
  <c r="E653" i="30"/>
  <c r="B653" i="30"/>
  <c r="E652" i="30"/>
  <c r="B652" i="30" s="1"/>
  <c r="E651" i="30"/>
  <c r="B651" i="30"/>
  <c r="E650" i="30"/>
  <c r="B650" i="30" s="1"/>
  <c r="E649" i="30"/>
  <c r="B649" i="30" s="1"/>
  <c r="E648" i="30"/>
  <c r="B648" i="30" s="1"/>
  <c r="E647" i="30"/>
  <c r="B647" i="30"/>
  <c r="E646" i="30"/>
  <c r="B646" i="30" s="1"/>
  <c r="E645" i="30"/>
  <c r="B645" i="30"/>
  <c r="E644" i="30"/>
  <c r="B644" i="30" s="1"/>
  <c r="E643" i="30"/>
  <c r="B643" i="30"/>
  <c r="E642" i="30"/>
  <c r="B642" i="30" s="1"/>
  <c r="E641" i="30"/>
  <c r="B641" i="30" s="1"/>
  <c r="E640" i="30"/>
  <c r="B640" i="30" s="1"/>
  <c r="E639" i="30"/>
  <c r="B639" i="30"/>
  <c r="E638" i="30"/>
  <c r="B638" i="30" s="1"/>
  <c r="E637" i="30"/>
  <c r="B637" i="30"/>
  <c r="E636" i="30"/>
  <c r="B636" i="30" s="1"/>
  <c r="E635" i="30"/>
  <c r="B635" i="30"/>
  <c r="E634" i="30"/>
  <c r="B634" i="30" s="1"/>
  <c r="E633" i="30"/>
  <c r="B633" i="30" s="1"/>
  <c r="E632" i="30"/>
  <c r="B632" i="30" s="1"/>
  <c r="E631" i="30"/>
  <c r="B631" i="30"/>
  <c r="E630" i="30"/>
  <c r="B630" i="30" s="1"/>
  <c r="E629" i="30"/>
  <c r="B629" i="30"/>
  <c r="E628" i="30"/>
  <c r="B628" i="30" s="1"/>
  <c r="L626" i="30"/>
  <c r="K626" i="30"/>
  <c r="J626" i="30"/>
  <c r="H626" i="30"/>
  <c r="G626" i="30"/>
  <c r="F626" i="30"/>
  <c r="C626" i="30"/>
  <c r="B626" i="30"/>
  <c r="E623" i="30"/>
  <c r="B623" i="30" s="1"/>
  <c r="E622" i="30"/>
  <c r="B622" i="30"/>
  <c r="E621" i="30"/>
  <c r="B621" i="30" s="1"/>
  <c r="E620" i="30"/>
  <c r="B620" i="30"/>
  <c r="E619" i="30"/>
  <c r="B619" i="30" s="1"/>
  <c r="E618" i="30"/>
  <c r="B618" i="30"/>
  <c r="E617" i="30"/>
  <c r="B617" i="30" s="1"/>
  <c r="E616" i="30"/>
  <c r="B616" i="30"/>
  <c r="E615" i="30"/>
  <c r="B615" i="30" s="1"/>
  <c r="E614" i="30"/>
  <c r="B614" i="30"/>
  <c r="E613" i="30"/>
  <c r="B613" i="30" s="1"/>
  <c r="E612" i="30"/>
  <c r="B612" i="30"/>
  <c r="E611" i="30"/>
  <c r="B611" i="30" s="1"/>
  <c r="E610" i="30"/>
  <c r="B610" i="30"/>
  <c r="E609" i="30"/>
  <c r="B609" i="30" s="1"/>
  <c r="E608" i="30"/>
  <c r="B608" i="30"/>
  <c r="E607" i="30"/>
  <c r="B607" i="30" s="1"/>
  <c r="E606" i="30"/>
  <c r="B606" i="30"/>
  <c r="E605" i="30"/>
  <c r="B605" i="30" s="1"/>
  <c r="E604" i="30"/>
  <c r="B604" i="30"/>
  <c r="E603" i="30"/>
  <c r="B603" i="30" s="1"/>
  <c r="E602" i="30"/>
  <c r="B602" i="30"/>
  <c r="E601" i="30"/>
  <c r="B601" i="30" s="1"/>
  <c r="E600" i="30"/>
  <c r="B600" i="30"/>
  <c r="E599" i="30"/>
  <c r="B599" i="30" s="1"/>
  <c r="E598" i="30"/>
  <c r="B598" i="30"/>
  <c r="E597" i="30"/>
  <c r="B597" i="30" s="1"/>
  <c r="E596" i="30"/>
  <c r="B596" i="30"/>
  <c r="E595" i="30"/>
  <c r="B595" i="30" s="1"/>
  <c r="E594" i="30"/>
  <c r="B594" i="30"/>
  <c r="E593" i="30"/>
  <c r="E592" i="30"/>
  <c r="B592" i="30"/>
  <c r="L590" i="30"/>
  <c r="K590" i="30"/>
  <c r="J590" i="30"/>
  <c r="H590" i="30"/>
  <c r="G590" i="30"/>
  <c r="F590" i="30"/>
  <c r="C590" i="30"/>
  <c r="E587" i="30"/>
  <c r="B587" i="30"/>
  <c r="E586" i="30"/>
  <c r="B586" i="30"/>
  <c r="E585" i="30"/>
  <c r="B585" i="30"/>
  <c r="E584" i="30"/>
  <c r="B584" i="30"/>
  <c r="E583" i="30"/>
  <c r="B583" i="30"/>
  <c r="E582" i="30"/>
  <c r="B582" i="30"/>
  <c r="E581" i="30"/>
  <c r="B581" i="30"/>
  <c r="E580" i="30"/>
  <c r="B580" i="30"/>
  <c r="E579" i="30"/>
  <c r="B579" i="30"/>
  <c r="E578" i="30"/>
  <c r="B578" i="30"/>
  <c r="E577" i="30"/>
  <c r="B577" i="30"/>
  <c r="E576" i="30"/>
  <c r="B576" i="30"/>
  <c r="E575" i="30"/>
  <c r="B575" i="30"/>
  <c r="E574" i="30"/>
  <c r="B574" i="30"/>
  <c r="E573" i="30"/>
  <c r="B573" i="30"/>
  <c r="E572" i="30"/>
  <c r="B572" i="30"/>
  <c r="E571" i="30"/>
  <c r="B571" i="30"/>
  <c r="E570" i="30"/>
  <c r="B570" i="30"/>
  <c r="E569" i="30"/>
  <c r="B569" i="30"/>
  <c r="E568" i="30"/>
  <c r="B568" i="30"/>
  <c r="E567" i="30"/>
  <c r="B567" i="30"/>
  <c r="E566" i="30"/>
  <c r="B566" i="30"/>
  <c r="E565" i="30"/>
  <c r="B565" i="30"/>
  <c r="E564" i="30"/>
  <c r="B564" i="30"/>
  <c r="E563" i="30"/>
  <c r="B563" i="30"/>
  <c r="E562" i="30"/>
  <c r="B562" i="30"/>
  <c r="E561" i="30"/>
  <c r="B561" i="30"/>
  <c r="E560" i="30"/>
  <c r="B560" i="30"/>
  <c r="E559" i="30"/>
  <c r="B559" i="30"/>
  <c r="E558" i="30"/>
  <c r="B558" i="30"/>
  <c r="E557" i="30"/>
  <c r="B557" i="30"/>
  <c r="E556" i="30"/>
  <c r="B556" i="30"/>
  <c r="B554" i="30" s="1"/>
  <c r="L554" i="30"/>
  <c r="K554" i="30"/>
  <c r="J554" i="30"/>
  <c r="H554" i="30"/>
  <c r="G554" i="30"/>
  <c r="F554" i="30"/>
  <c r="E554" i="30"/>
  <c r="C554" i="30"/>
  <c r="E551" i="30"/>
  <c r="B551" i="30"/>
  <c r="E550" i="30"/>
  <c r="B550" i="30" s="1"/>
  <c r="E549" i="30"/>
  <c r="B549" i="30"/>
  <c r="E548" i="30"/>
  <c r="B548" i="30" s="1"/>
  <c r="E547" i="30"/>
  <c r="B547" i="30"/>
  <c r="E546" i="30"/>
  <c r="B546" i="30" s="1"/>
  <c r="E545" i="30"/>
  <c r="B545" i="30"/>
  <c r="E544" i="30"/>
  <c r="B544" i="30" s="1"/>
  <c r="E543" i="30"/>
  <c r="B543" i="30"/>
  <c r="E542" i="30"/>
  <c r="B542" i="30" s="1"/>
  <c r="E541" i="30"/>
  <c r="B541" i="30"/>
  <c r="E540" i="30"/>
  <c r="B540" i="30" s="1"/>
  <c r="E539" i="30"/>
  <c r="B539" i="30"/>
  <c r="E538" i="30"/>
  <c r="B538" i="30" s="1"/>
  <c r="E537" i="30"/>
  <c r="B537" i="30"/>
  <c r="E536" i="30"/>
  <c r="B536" i="30" s="1"/>
  <c r="E535" i="30"/>
  <c r="B535" i="30"/>
  <c r="E534" i="30"/>
  <c r="B534" i="30" s="1"/>
  <c r="E533" i="30"/>
  <c r="B533" i="30"/>
  <c r="E532" i="30"/>
  <c r="B532" i="30" s="1"/>
  <c r="E531" i="30"/>
  <c r="B531" i="30"/>
  <c r="E530" i="30"/>
  <c r="B530" i="30" s="1"/>
  <c r="E529" i="30"/>
  <c r="B529" i="30"/>
  <c r="E528" i="30"/>
  <c r="B528" i="30" s="1"/>
  <c r="E527" i="30"/>
  <c r="B527" i="30"/>
  <c r="E526" i="30"/>
  <c r="B526" i="30" s="1"/>
  <c r="E525" i="30"/>
  <c r="B525" i="30" s="1"/>
  <c r="E524" i="30"/>
  <c r="B524" i="30" s="1"/>
  <c r="E523" i="30"/>
  <c r="B523" i="30"/>
  <c r="E522" i="30"/>
  <c r="B522" i="30" s="1"/>
  <c r="E521" i="30"/>
  <c r="B521" i="30"/>
  <c r="E520" i="30"/>
  <c r="L518" i="30"/>
  <c r="K518" i="30"/>
  <c r="J518" i="30"/>
  <c r="H518" i="30"/>
  <c r="G518" i="30"/>
  <c r="F518" i="30"/>
  <c r="C518" i="30"/>
  <c r="E515" i="30"/>
  <c r="B515" i="30"/>
  <c r="E514" i="30"/>
  <c r="B514" i="30" s="1"/>
  <c r="E513" i="30"/>
  <c r="B513" i="30"/>
  <c r="E512" i="30"/>
  <c r="B512" i="30" s="1"/>
  <c r="E511" i="30"/>
  <c r="B511" i="30"/>
  <c r="E510" i="30"/>
  <c r="B510" i="30" s="1"/>
  <c r="E509" i="30"/>
  <c r="B509" i="30"/>
  <c r="E508" i="30"/>
  <c r="B508" i="30" s="1"/>
  <c r="E507" i="30"/>
  <c r="B507" i="30"/>
  <c r="E506" i="30"/>
  <c r="B506" i="30" s="1"/>
  <c r="E505" i="30"/>
  <c r="B505" i="30"/>
  <c r="E504" i="30"/>
  <c r="B504" i="30" s="1"/>
  <c r="E503" i="30"/>
  <c r="B503" i="30"/>
  <c r="E502" i="30"/>
  <c r="B502" i="30" s="1"/>
  <c r="E501" i="30"/>
  <c r="B501" i="30"/>
  <c r="E500" i="30"/>
  <c r="B500" i="30" s="1"/>
  <c r="E499" i="30"/>
  <c r="B499" i="30"/>
  <c r="E498" i="30"/>
  <c r="B498" i="30" s="1"/>
  <c r="E497" i="30"/>
  <c r="B497" i="30"/>
  <c r="E496" i="30"/>
  <c r="B496" i="30" s="1"/>
  <c r="E495" i="30"/>
  <c r="B495" i="30"/>
  <c r="E494" i="30"/>
  <c r="B494" i="30" s="1"/>
  <c r="E493" i="30"/>
  <c r="B493" i="30"/>
  <c r="E492" i="30"/>
  <c r="B492" i="30" s="1"/>
  <c r="E491" i="30"/>
  <c r="B491" i="30"/>
  <c r="E490" i="30"/>
  <c r="B490" i="30" s="1"/>
  <c r="E489" i="30"/>
  <c r="B489" i="30"/>
  <c r="E488" i="30"/>
  <c r="B488" i="30" s="1"/>
  <c r="E487" i="30"/>
  <c r="B487" i="30"/>
  <c r="E486" i="30"/>
  <c r="B486" i="30" s="1"/>
  <c r="E485" i="30"/>
  <c r="B485" i="30"/>
  <c r="E484" i="30"/>
  <c r="B484" i="30" s="1"/>
  <c r="L482" i="30"/>
  <c r="K482" i="30"/>
  <c r="J482" i="30"/>
  <c r="H482" i="30"/>
  <c r="G482" i="30"/>
  <c r="F482" i="30"/>
  <c r="C482" i="30"/>
  <c r="E479" i="30"/>
  <c r="B479" i="30"/>
  <c r="E478" i="30"/>
  <c r="B478" i="30"/>
  <c r="E477" i="30"/>
  <c r="B477" i="30"/>
  <c r="E476" i="30"/>
  <c r="B476" i="30"/>
  <c r="E475" i="30"/>
  <c r="B475" i="30"/>
  <c r="E474" i="30"/>
  <c r="B474" i="30"/>
  <c r="E473" i="30"/>
  <c r="B473" i="30"/>
  <c r="E472" i="30"/>
  <c r="B472" i="30"/>
  <c r="E471" i="30"/>
  <c r="B471" i="30"/>
  <c r="E470" i="30"/>
  <c r="B470" i="30"/>
  <c r="E469" i="30"/>
  <c r="B469" i="30"/>
  <c r="E468" i="30"/>
  <c r="B468" i="30"/>
  <c r="E467" i="30"/>
  <c r="B467" i="30"/>
  <c r="E466" i="30"/>
  <c r="B466" i="30"/>
  <c r="E465" i="30"/>
  <c r="B465" i="30"/>
  <c r="E464" i="30"/>
  <c r="B464" i="30"/>
  <c r="E463" i="30"/>
  <c r="B463" i="30"/>
  <c r="E462" i="30"/>
  <c r="B462" i="30"/>
  <c r="E461" i="30"/>
  <c r="B461" i="30"/>
  <c r="E460" i="30"/>
  <c r="B460" i="30"/>
  <c r="E459" i="30"/>
  <c r="B459" i="30"/>
  <c r="E458" i="30"/>
  <c r="B458" i="30"/>
  <c r="E457" i="30"/>
  <c r="B457" i="30"/>
  <c r="E456" i="30"/>
  <c r="B456" i="30"/>
  <c r="E455" i="30"/>
  <c r="B455" i="30"/>
  <c r="E454" i="30"/>
  <c r="B454" i="30"/>
  <c r="E453" i="30"/>
  <c r="B453" i="30"/>
  <c r="E452" i="30"/>
  <c r="B452" i="30"/>
  <c r="E451" i="30"/>
  <c r="B451" i="30"/>
  <c r="E450" i="30"/>
  <c r="B450" i="30"/>
  <c r="E449" i="30"/>
  <c r="E446" i="30" s="1"/>
  <c r="B449" i="30"/>
  <c r="B446" i="30" s="1"/>
  <c r="E448" i="30"/>
  <c r="B448" i="30"/>
  <c r="L446" i="30"/>
  <c r="K446" i="30"/>
  <c r="J446" i="30"/>
  <c r="H446" i="30"/>
  <c r="G446" i="30"/>
  <c r="F446" i="30"/>
  <c r="C446" i="30"/>
  <c r="E443" i="30"/>
  <c r="B443" i="30" s="1"/>
  <c r="E442" i="30"/>
  <c r="B442" i="30"/>
  <c r="E441" i="30"/>
  <c r="B441" i="30" s="1"/>
  <c r="E440" i="30"/>
  <c r="B440" i="30"/>
  <c r="E439" i="30"/>
  <c r="B439" i="30" s="1"/>
  <c r="E438" i="30"/>
  <c r="B438" i="30"/>
  <c r="E437" i="30"/>
  <c r="B437" i="30" s="1"/>
  <c r="E436" i="30"/>
  <c r="B436" i="30"/>
  <c r="E435" i="30"/>
  <c r="B435" i="30" s="1"/>
  <c r="E434" i="30"/>
  <c r="B434" i="30"/>
  <c r="E433" i="30"/>
  <c r="B433" i="30" s="1"/>
  <c r="E432" i="30"/>
  <c r="B432" i="30"/>
  <c r="E431" i="30"/>
  <c r="B431" i="30" s="1"/>
  <c r="E430" i="30"/>
  <c r="B430" i="30"/>
  <c r="E429" i="30"/>
  <c r="B429" i="30" s="1"/>
  <c r="E428" i="30"/>
  <c r="B428" i="30"/>
  <c r="E427" i="30"/>
  <c r="B427" i="30" s="1"/>
  <c r="E426" i="30"/>
  <c r="B426" i="30"/>
  <c r="E425" i="30"/>
  <c r="B425" i="30" s="1"/>
  <c r="E424" i="30"/>
  <c r="B424" i="30"/>
  <c r="E423" i="30"/>
  <c r="B423" i="30" s="1"/>
  <c r="E422" i="30"/>
  <c r="B422" i="30"/>
  <c r="E421" i="30"/>
  <c r="B421" i="30" s="1"/>
  <c r="E420" i="30"/>
  <c r="B420" i="30"/>
  <c r="E419" i="30"/>
  <c r="B419" i="30" s="1"/>
  <c r="E418" i="30"/>
  <c r="B418" i="30"/>
  <c r="E417" i="30"/>
  <c r="B417" i="30" s="1"/>
  <c r="E416" i="30"/>
  <c r="B416" i="30"/>
  <c r="E415" i="30"/>
  <c r="B415" i="30" s="1"/>
  <c r="E414" i="30"/>
  <c r="B414" i="30"/>
  <c r="E413" i="30"/>
  <c r="E412" i="30"/>
  <c r="B412" i="30"/>
  <c r="L410" i="30"/>
  <c r="K410" i="30"/>
  <c r="J410" i="30"/>
  <c r="H410" i="30"/>
  <c r="G410" i="30"/>
  <c r="F410" i="30"/>
  <c r="C410" i="30"/>
  <c r="E407" i="30"/>
  <c r="B407" i="30"/>
  <c r="E406" i="30"/>
  <c r="B406" i="30"/>
  <c r="E405" i="30"/>
  <c r="B405" i="30"/>
  <c r="E404" i="30"/>
  <c r="B404" i="30"/>
  <c r="E403" i="30"/>
  <c r="B403" i="30"/>
  <c r="E402" i="30"/>
  <c r="B402" i="30"/>
  <c r="E401" i="30"/>
  <c r="B401" i="30"/>
  <c r="E400" i="30"/>
  <c r="B400" i="30"/>
  <c r="E399" i="30"/>
  <c r="B399" i="30"/>
  <c r="E398" i="30"/>
  <c r="B398" i="30"/>
  <c r="E397" i="30"/>
  <c r="B397" i="30"/>
  <c r="E396" i="30"/>
  <c r="B396" i="30"/>
  <c r="E395" i="30"/>
  <c r="B395" i="30"/>
  <c r="E394" i="30"/>
  <c r="B394" i="30"/>
  <c r="E393" i="30"/>
  <c r="B393" i="30"/>
  <c r="E392" i="30"/>
  <c r="B392" i="30"/>
  <c r="E391" i="30"/>
  <c r="B391" i="30"/>
  <c r="E390" i="30"/>
  <c r="B390" i="30"/>
  <c r="E389" i="30"/>
  <c r="B389" i="30"/>
  <c r="E388" i="30"/>
  <c r="B388" i="30"/>
  <c r="E387" i="30"/>
  <c r="B387" i="30"/>
  <c r="E386" i="30"/>
  <c r="B386" i="30"/>
  <c r="E385" i="30"/>
  <c r="B385" i="30"/>
  <c r="E384" i="30"/>
  <c r="B384" i="30"/>
  <c r="E383" i="30"/>
  <c r="B383" i="30"/>
  <c r="E382" i="30"/>
  <c r="B382" i="30"/>
  <c r="E381" i="30"/>
  <c r="B381" i="30"/>
  <c r="E380" i="30"/>
  <c r="B380" i="30"/>
  <c r="E379" i="30"/>
  <c r="B379" i="30"/>
  <c r="E378" i="30"/>
  <c r="B378" i="30"/>
  <c r="E377" i="30"/>
  <c r="B377" i="30"/>
  <c r="E376" i="30"/>
  <c r="B376" i="30"/>
  <c r="B374" i="30" s="1"/>
  <c r="L374" i="30"/>
  <c r="K374" i="30"/>
  <c r="J374" i="30"/>
  <c r="H374" i="30"/>
  <c r="G374" i="30"/>
  <c r="F374" i="30"/>
  <c r="E374" i="30"/>
  <c r="C374" i="30"/>
  <c r="E371" i="30"/>
  <c r="B371" i="30"/>
  <c r="E370" i="30"/>
  <c r="B370" i="30" s="1"/>
  <c r="E369" i="30"/>
  <c r="B369" i="30"/>
  <c r="E368" i="30"/>
  <c r="B368" i="30" s="1"/>
  <c r="E367" i="30"/>
  <c r="B367" i="30"/>
  <c r="E366" i="30"/>
  <c r="B366" i="30" s="1"/>
  <c r="E365" i="30"/>
  <c r="B365" i="30"/>
  <c r="E364" i="30"/>
  <c r="B364" i="30" s="1"/>
  <c r="E363" i="30"/>
  <c r="B363" i="30"/>
  <c r="E362" i="30"/>
  <c r="B362" i="30" s="1"/>
  <c r="E361" i="30"/>
  <c r="B361" i="30"/>
  <c r="E360" i="30"/>
  <c r="B360" i="30" s="1"/>
  <c r="E359" i="30"/>
  <c r="B359" i="30"/>
  <c r="E358" i="30"/>
  <c r="B358" i="30" s="1"/>
  <c r="E357" i="30"/>
  <c r="B357" i="30"/>
  <c r="E356" i="30"/>
  <c r="B356" i="30" s="1"/>
  <c r="E355" i="30"/>
  <c r="B355" i="30"/>
  <c r="E354" i="30"/>
  <c r="B354" i="30" s="1"/>
  <c r="E353" i="30"/>
  <c r="B353" i="30"/>
  <c r="E352" i="30"/>
  <c r="B352" i="30" s="1"/>
  <c r="E351" i="30"/>
  <c r="B351" i="30"/>
  <c r="E350" i="30"/>
  <c r="B350" i="30" s="1"/>
  <c r="E349" i="30"/>
  <c r="B349" i="30"/>
  <c r="E348" i="30"/>
  <c r="B348" i="30" s="1"/>
  <c r="E347" i="30"/>
  <c r="B347" i="30"/>
  <c r="E346" i="30"/>
  <c r="B346" i="30" s="1"/>
  <c r="E345" i="30"/>
  <c r="B345" i="30"/>
  <c r="E344" i="30"/>
  <c r="B344" i="30" s="1"/>
  <c r="E343" i="30"/>
  <c r="B343" i="30"/>
  <c r="E342" i="30"/>
  <c r="B342" i="30" s="1"/>
  <c r="E341" i="30"/>
  <c r="B341" i="30"/>
  <c r="E340" i="30"/>
  <c r="B340" i="30" s="1"/>
  <c r="L338" i="30"/>
  <c r="K338" i="30"/>
  <c r="J338" i="30"/>
  <c r="H338" i="30"/>
  <c r="G338" i="30"/>
  <c r="F338" i="30"/>
  <c r="E338" i="30"/>
  <c r="C338" i="30"/>
  <c r="E335" i="30"/>
  <c r="B335" i="30"/>
  <c r="E334" i="30"/>
  <c r="B334" i="30"/>
  <c r="E333" i="30"/>
  <c r="B333" i="30"/>
  <c r="E332" i="30"/>
  <c r="B332" i="30"/>
  <c r="E331" i="30"/>
  <c r="B331" i="30"/>
  <c r="E330" i="30"/>
  <c r="B330" i="30"/>
  <c r="E329" i="30"/>
  <c r="B329" i="30"/>
  <c r="E328" i="30"/>
  <c r="B328" i="30"/>
  <c r="E327" i="30"/>
  <c r="B327" i="30"/>
  <c r="E326" i="30"/>
  <c r="B326" i="30"/>
  <c r="E325" i="30"/>
  <c r="B325" i="30"/>
  <c r="E324" i="30"/>
  <c r="B324" i="30"/>
  <c r="E323" i="30"/>
  <c r="B323" i="30"/>
  <c r="E322" i="30"/>
  <c r="B322" i="30"/>
  <c r="E321" i="30"/>
  <c r="B321" i="30"/>
  <c r="E320" i="30"/>
  <c r="B320" i="30"/>
  <c r="E319" i="30"/>
  <c r="B319" i="30"/>
  <c r="E318" i="30"/>
  <c r="B318" i="30"/>
  <c r="E317" i="30"/>
  <c r="B317" i="30"/>
  <c r="E316" i="30"/>
  <c r="B316" i="30"/>
  <c r="E315" i="30"/>
  <c r="B315" i="30"/>
  <c r="E314" i="30"/>
  <c r="B314" i="30"/>
  <c r="E313" i="30"/>
  <c r="B313" i="30"/>
  <c r="E312" i="30"/>
  <c r="B312" i="30"/>
  <c r="E311" i="30"/>
  <c r="B311" i="30"/>
  <c r="E310" i="30"/>
  <c r="B310" i="30"/>
  <c r="E309" i="30"/>
  <c r="B309" i="30"/>
  <c r="E308" i="30"/>
  <c r="B308" i="30"/>
  <c r="E307" i="30"/>
  <c r="B307" i="30"/>
  <c r="E306" i="30"/>
  <c r="B306" i="30"/>
  <c r="E305" i="30"/>
  <c r="E302" i="30" s="1"/>
  <c r="B305" i="30"/>
  <c r="B302" i="30" s="1"/>
  <c r="E304" i="30"/>
  <c r="B304" i="30"/>
  <c r="L302" i="30"/>
  <c r="K302" i="30"/>
  <c r="J302" i="30"/>
  <c r="H302" i="30"/>
  <c r="G302" i="30"/>
  <c r="F302" i="30"/>
  <c r="C302" i="30"/>
  <c r="E299" i="30"/>
  <c r="B299" i="30" s="1"/>
  <c r="E298" i="30"/>
  <c r="B298" i="30"/>
  <c r="E297" i="30"/>
  <c r="B297" i="30" s="1"/>
  <c r="E296" i="30"/>
  <c r="B296" i="30"/>
  <c r="E295" i="30"/>
  <c r="B295" i="30" s="1"/>
  <c r="E294" i="30"/>
  <c r="B294" i="30"/>
  <c r="E293" i="30"/>
  <c r="B293" i="30" s="1"/>
  <c r="E292" i="30"/>
  <c r="B292" i="30"/>
  <c r="E291" i="30"/>
  <c r="B291" i="30" s="1"/>
  <c r="E290" i="30"/>
  <c r="B290" i="30"/>
  <c r="E289" i="30"/>
  <c r="B289" i="30" s="1"/>
  <c r="E288" i="30"/>
  <c r="B288" i="30"/>
  <c r="E287" i="30"/>
  <c r="B287" i="30" s="1"/>
  <c r="E286" i="30"/>
  <c r="B286" i="30"/>
  <c r="E285" i="30"/>
  <c r="B285" i="30" s="1"/>
  <c r="E284" i="30"/>
  <c r="B284" i="30"/>
  <c r="E283" i="30"/>
  <c r="B283" i="30" s="1"/>
  <c r="E282" i="30"/>
  <c r="B282" i="30"/>
  <c r="E281" i="30"/>
  <c r="B281" i="30" s="1"/>
  <c r="E280" i="30"/>
  <c r="B280" i="30"/>
  <c r="E279" i="30"/>
  <c r="B279" i="30" s="1"/>
  <c r="E278" i="30"/>
  <c r="B278" i="30"/>
  <c r="E277" i="30"/>
  <c r="B277" i="30" s="1"/>
  <c r="E276" i="30"/>
  <c r="B276" i="30"/>
  <c r="E275" i="30"/>
  <c r="B275" i="30" s="1"/>
  <c r="E274" i="30"/>
  <c r="B274" i="30"/>
  <c r="E273" i="30"/>
  <c r="B273" i="30" s="1"/>
  <c r="E272" i="30"/>
  <c r="B272" i="30"/>
  <c r="E271" i="30"/>
  <c r="B271" i="30" s="1"/>
  <c r="E270" i="30"/>
  <c r="B270" i="30"/>
  <c r="E269" i="30"/>
  <c r="E268" i="30"/>
  <c r="B268" i="30"/>
  <c r="L266" i="30"/>
  <c r="K266" i="30"/>
  <c r="J266" i="30"/>
  <c r="H266" i="30"/>
  <c r="G266" i="30"/>
  <c r="F266" i="30"/>
  <c r="C266" i="30"/>
  <c r="E263" i="30"/>
  <c r="B263" i="30"/>
  <c r="E262" i="30"/>
  <c r="B262" i="30"/>
  <c r="E261" i="30"/>
  <c r="B261" i="30"/>
  <c r="E260" i="30"/>
  <c r="B260" i="30"/>
  <c r="E259" i="30"/>
  <c r="B259" i="30"/>
  <c r="E258" i="30"/>
  <c r="B258" i="30"/>
  <c r="E257" i="30"/>
  <c r="B257" i="30"/>
  <c r="E256" i="30"/>
  <c r="B256" i="30"/>
  <c r="E255" i="30"/>
  <c r="B255" i="30"/>
  <c r="E254" i="30"/>
  <c r="B254" i="30"/>
  <c r="E253" i="30"/>
  <c r="B253" i="30"/>
  <c r="E252" i="30"/>
  <c r="B252" i="30"/>
  <c r="E251" i="30"/>
  <c r="B251" i="30"/>
  <c r="E250" i="30"/>
  <c r="B250" i="30"/>
  <c r="E249" i="30"/>
  <c r="B249" i="30"/>
  <c r="E248" i="30"/>
  <c r="B248" i="30"/>
  <c r="E247" i="30"/>
  <c r="B247" i="30"/>
  <c r="E246" i="30"/>
  <c r="B246" i="30"/>
  <c r="E245" i="30"/>
  <c r="B245" i="30"/>
  <c r="E244" i="30"/>
  <c r="B244" i="30"/>
  <c r="E243" i="30"/>
  <c r="B243" i="30"/>
  <c r="E242" i="30"/>
  <c r="B242" i="30"/>
  <c r="E241" i="30"/>
  <c r="B241" i="30"/>
  <c r="E240" i="30"/>
  <c r="B240" i="30"/>
  <c r="E239" i="30"/>
  <c r="B239" i="30"/>
  <c r="E238" i="30"/>
  <c r="B238" i="30"/>
  <c r="E237" i="30"/>
  <c r="B237" i="30"/>
  <c r="E236" i="30"/>
  <c r="B236" i="30"/>
  <c r="E235" i="30"/>
  <c r="B235" i="30"/>
  <c r="E234" i="30"/>
  <c r="E230" i="30" s="1"/>
  <c r="B234" i="30"/>
  <c r="B230" i="30" s="1"/>
  <c r="E232" i="30"/>
  <c r="B232" i="30"/>
  <c r="L230" i="30"/>
  <c r="K230" i="30"/>
  <c r="J230" i="30"/>
  <c r="H230" i="30"/>
  <c r="G230" i="30"/>
  <c r="F230" i="30"/>
  <c r="C230" i="30"/>
  <c r="E227" i="30"/>
  <c r="B227" i="30" s="1"/>
  <c r="E226" i="30"/>
  <c r="B226" i="30"/>
  <c r="E225" i="30"/>
  <c r="B225" i="30" s="1"/>
  <c r="E224" i="30"/>
  <c r="B224" i="30"/>
  <c r="E223" i="30"/>
  <c r="B223" i="30" s="1"/>
  <c r="E222" i="30"/>
  <c r="B222" i="30"/>
  <c r="E221" i="30"/>
  <c r="B221" i="30" s="1"/>
  <c r="E220" i="30"/>
  <c r="B220" i="30"/>
  <c r="E219" i="30"/>
  <c r="B219" i="30" s="1"/>
  <c r="E218" i="30"/>
  <c r="B218" i="30"/>
  <c r="E217" i="30"/>
  <c r="B217" i="30" s="1"/>
  <c r="E216" i="30"/>
  <c r="B216" i="30"/>
  <c r="E215" i="30"/>
  <c r="B215" i="30" s="1"/>
  <c r="E214" i="30"/>
  <c r="B214" i="30"/>
  <c r="E213" i="30"/>
  <c r="B213" i="30" s="1"/>
  <c r="E212" i="30"/>
  <c r="B212" i="30"/>
  <c r="E211" i="30"/>
  <c r="B211" i="30" s="1"/>
  <c r="E210" i="30"/>
  <c r="B210" i="30"/>
  <c r="E209" i="30"/>
  <c r="B209" i="30" s="1"/>
  <c r="E208" i="30"/>
  <c r="B208" i="30"/>
  <c r="E207" i="30"/>
  <c r="B207" i="30" s="1"/>
  <c r="E206" i="30"/>
  <c r="B206" i="30"/>
  <c r="E205" i="30"/>
  <c r="B205" i="30" s="1"/>
  <c r="E204" i="30"/>
  <c r="B204" i="30"/>
  <c r="E203" i="30"/>
  <c r="B203" i="30" s="1"/>
  <c r="E202" i="30"/>
  <c r="B202" i="30"/>
  <c r="E201" i="30"/>
  <c r="B201" i="30" s="1"/>
  <c r="E200" i="30"/>
  <c r="B200" i="30"/>
  <c r="E199" i="30"/>
  <c r="B199" i="30" s="1"/>
  <c r="E198" i="30"/>
  <c r="B198" i="30"/>
  <c r="E197" i="30"/>
  <c r="E196" i="30"/>
  <c r="B196" i="30"/>
  <c r="L194" i="30"/>
  <c r="K194" i="30"/>
  <c r="J194" i="30"/>
  <c r="H194" i="30"/>
  <c r="G194" i="30"/>
  <c r="F194" i="30"/>
  <c r="C194" i="30"/>
  <c r="E191" i="30"/>
  <c r="B191" i="30"/>
  <c r="E190" i="30"/>
  <c r="B190" i="30"/>
  <c r="E189" i="30"/>
  <c r="B189" i="30"/>
  <c r="E188" i="30"/>
  <c r="B188" i="30"/>
  <c r="E187" i="30"/>
  <c r="B187" i="30"/>
  <c r="E186" i="30"/>
  <c r="B186" i="30"/>
  <c r="E185" i="30"/>
  <c r="B185" i="30"/>
  <c r="E184" i="30"/>
  <c r="B184" i="30"/>
  <c r="E183" i="30"/>
  <c r="B183" i="30"/>
  <c r="E182" i="30"/>
  <c r="B182" i="30"/>
  <c r="E181" i="30"/>
  <c r="B181" i="30"/>
  <c r="E180" i="30"/>
  <c r="B180" i="30"/>
  <c r="E179" i="30"/>
  <c r="B179" i="30"/>
  <c r="E178" i="30"/>
  <c r="B178" i="30"/>
  <c r="E177" i="30"/>
  <c r="B177" i="30"/>
  <c r="E176" i="30"/>
  <c r="B176" i="30"/>
  <c r="E175" i="30"/>
  <c r="B175" i="30"/>
  <c r="E174" i="30"/>
  <c r="B174" i="30"/>
  <c r="E173" i="30"/>
  <c r="B173" i="30"/>
  <c r="E172" i="30"/>
  <c r="B172" i="30"/>
  <c r="E171" i="30"/>
  <c r="B171" i="30"/>
  <c r="E170" i="30"/>
  <c r="B170" i="30"/>
  <c r="E169" i="30"/>
  <c r="B169" i="30"/>
  <c r="E168" i="30"/>
  <c r="B168" i="30"/>
  <c r="E167" i="30"/>
  <c r="B167" i="30"/>
  <c r="E166" i="30"/>
  <c r="B166" i="30"/>
  <c r="E165" i="30"/>
  <c r="B165" i="30"/>
  <c r="E164" i="30"/>
  <c r="B164" i="30"/>
  <c r="E163" i="30"/>
  <c r="B163" i="30"/>
  <c r="E162" i="30"/>
  <c r="B162" i="30"/>
  <c r="E161" i="30"/>
  <c r="B161" i="30"/>
  <c r="E160" i="30"/>
  <c r="B160" i="30"/>
  <c r="B158" i="30" s="1"/>
  <c r="L158" i="30"/>
  <c r="K158" i="30"/>
  <c r="J158" i="30"/>
  <c r="H158" i="30"/>
  <c r="G158" i="30"/>
  <c r="F158" i="30"/>
  <c r="E158" i="30"/>
  <c r="C158" i="30"/>
  <c r="E155" i="30"/>
  <c r="B155" i="30"/>
  <c r="E154" i="30"/>
  <c r="B154" i="30" s="1"/>
  <c r="E153" i="30"/>
  <c r="B153" i="30"/>
  <c r="E152" i="30"/>
  <c r="B152" i="30" s="1"/>
  <c r="E151" i="30"/>
  <c r="B151" i="30"/>
  <c r="E150" i="30"/>
  <c r="B150" i="30" s="1"/>
  <c r="E149" i="30"/>
  <c r="B149" i="30"/>
  <c r="E148" i="30"/>
  <c r="B148" i="30" s="1"/>
  <c r="E147" i="30"/>
  <c r="B147" i="30"/>
  <c r="E146" i="30"/>
  <c r="B146" i="30" s="1"/>
  <c r="E145" i="30"/>
  <c r="B145" i="30"/>
  <c r="E144" i="30"/>
  <c r="B144" i="30" s="1"/>
  <c r="E143" i="30"/>
  <c r="B143" i="30"/>
  <c r="E142" i="30"/>
  <c r="B142" i="30" s="1"/>
  <c r="E141" i="30"/>
  <c r="B141" i="30"/>
  <c r="E140" i="30"/>
  <c r="B140" i="30" s="1"/>
  <c r="E139" i="30"/>
  <c r="B139" i="30"/>
  <c r="E138" i="30"/>
  <c r="B138" i="30" s="1"/>
  <c r="E137" i="30"/>
  <c r="B137" i="30"/>
  <c r="E136" i="30"/>
  <c r="B136" i="30" s="1"/>
  <c r="E135" i="30"/>
  <c r="B135" i="30"/>
  <c r="E134" i="30"/>
  <c r="B134" i="30" s="1"/>
  <c r="E133" i="30"/>
  <c r="B133" i="30"/>
  <c r="E132" i="30"/>
  <c r="B132" i="30" s="1"/>
  <c r="E131" i="30"/>
  <c r="B131" i="30"/>
  <c r="E130" i="30"/>
  <c r="B130" i="30" s="1"/>
  <c r="E129" i="30"/>
  <c r="B129" i="30"/>
  <c r="E128" i="30"/>
  <c r="B128" i="30" s="1"/>
  <c r="E127" i="30"/>
  <c r="B127" i="30"/>
  <c r="E126" i="30"/>
  <c r="B126" i="30" s="1"/>
  <c r="E125" i="30"/>
  <c r="B125" i="30"/>
  <c r="E124" i="30"/>
  <c r="B124" i="30" s="1"/>
  <c r="L122" i="30"/>
  <c r="K122" i="30"/>
  <c r="J122" i="30"/>
  <c r="H122" i="30"/>
  <c r="G122" i="30"/>
  <c r="F122" i="30"/>
  <c r="E122" i="30"/>
  <c r="C122" i="30"/>
  <c r="E119" i="30"/>
  <c r="B119" i="30"/>
  <c r="E118" i="30"/>
  <c r="B118" i="30"/>
  <c r="E117" i="30"/>
  <c r="B117" i="30"/>
  <c r="E116" i="30"/>
  <c r="B116" i="30"/>
  <c r="E115" i="30"/>
  <c r="B115" i="30"/>
  <c r="E114" i="30"/>
  <c r="B114" i="30"/>
  <c r="E113" i="30"/>
  <c r="B113" i="30"/>
  <c r="E112" i="30"/>
  <c r="B112" i="30"/>
  <c r="E111" i="30"/>
  <c r="B111" i="30"/>
  <c r="E110" i="30"/>
  <c r="B110" i="30"/>
  <c r="E109" i="30"/>
  <c r="B109" i="30"/>
  <c r="E108" i="30"/>
  <c r="B108" i="30"/>
  <c r="E107" i="30"/>
  <c r="B107" i="30"/>
  <c r="E106" i="30"/>
  <c r="B106" i="30"/>
  <c r="E105" i="30"/>
  <c r="B105" i="30"/>
  <c r="E104" i="30"/>
  <c r="B104" i="30"/>
  <c r="E103" i="30"/>
  <c r="B103" i="30"/>
  <c r="E102" i="30"/>
  <c r="B102" i="30"/>
  <c r="E101" i="30"/>
  <c r="B101" i="30"/>
  <c r="E100" i="30"/>
  <c r="B100" i="30"/>
  <c r="E99" i="30"/>
  <c r="B99" i="30"/>
  <c r="E98" i="30"/>
  <c r="B98" i="30"/>
  <c r="E97" i="30"/>
  <c r="B97" i="30"/>
  <c r="E96" i="30"/>
  <c r="B96" i="30"/>
  <c r="E95" i="30"/>
  <c r="B95" i="30"/>
  <c r="E94" i="30"/>
  <c r="B94" i="30"/>
  <c r="E93" i="30"/>
  <c r="B93" i="30"/>
  <c r="E92" i="30"/>
  <c r="B92" i="30"/>
  <c r="E91" i="30"/>
  <c r="B91" i="30"/>
  <c r="E90" i="30"/>
  <c r="B90" i="30"/>
  <c r="E89" i="30"/>
  <c r="E86" i="30" s="1"/>
  <c r="B89" i="30"/>
  <c r="B86" i="30" s="1"/>
  <c r="E88" i="30"/>
  <c r="B88" i="30"/>
  <c r="L86" i="30"/>
  <c r="K86" i="30"/>
  <c r="J86" i="30"/>
  <c r="H86" i="30"/>
  <c r="G86" i="30"/>
  <c r="F86" i="30"/>
  <c r="C86" i="30"/>
  <c r="E83" i="30"/>
  <c r="B83" i="30" s="1"/>
  <c r="E82" i="30"/>
  <c r="B82" i="30"/>
  <c r="E81" i="30"/>
  <c r="B81" i="30" s="1"/>
  <c r="E80" i="30"/>
  <c r="B80" i="30"/>
  <c r="E79" i="30"/>
  <c r="B79" i="30" s="1"/>
  <c r="E78" i="30"/>
  <c r="B78" i="30"/>
  <c r="E77" i="30"/>
  <c r="B77" i="30" s="1"/>
  <c r="E76" i="30"/>
  <c r="B76" i="30"/>
  <c r="E75" i="30"/>
  <c r="B75" i="30" s="1"/>
  <c r="E74" i="30"/>
  <c r="B74" i="30"/>
  <c r="E73" i="30"/>
  <c r="B73" i="30" s="1"/>
  <c r="E72" i="30"/>
  <c r="B72" i="30"/>
  <c r="E71" i="30"/>
  <c r="B71" i="30" s="1"/>
  <c r="E70" i="30"/>
  <c r="B70" i="30"/>
  <c r="E69" i="30"/>
  <c r="B69" i="30" s="1"/>
  <c r="E68" i="30"/>
  <c r="B68" i="30"/>
  <c r="E67" i="30"/>
  <c r="B67" i="30" s="1"/>
  <c r="E66" i="30"/>
  <c r="B66" i="30"/>
  <c r="E65" i="30"/>
  <c r="B65" i="30" s="1"/>
  <c r="E64" i="30"/>
  <c r="B64" i="30"/>
  <c r="E63" i="30"/>
  <c r="B63" i="30" s="1"/>
  <c r="E62" i="30"/>
  <c r="B62" i="30"/>
  <c r="E61" i="30"/>
  <c r="B61" i="30" s="1"/>
  <c r="E60" i="30"/>
  <c r="B60" i="30"/>
  <c r="E59" i="30"/>
  <c r="B59" i="30" s="1"/>
  <c r="E58" i="30"/>
  <c r="B58" i="30"/>
  <c r="E57" i="30"/>
  <c r="B57" i="30" s="1"/>
  <c r="E56" i="30"/>
  <c r="B56" i="30"/>
  <c r="E55" i="30"/>
  <c r="B55" i="30" s="1"/>
  <c r="E54" i="30"/>
  <c r="B54" i="30"/>
  <c r="E53" i="30"/>
  <c r="E52" i="30"/>
  <c r="B52" i="30"/>
  <c r="L50" i="30"/>
  <c r="K50" i="30"/>
  <c r="J50" i="30"/>
  <c r="H50" i="30"/>
  <c r="G50" i="30"/>
  <c r="F50" i="30"/>
  <c r="C50" i="30"/>
  <c r="E47" i="30"/>
  <c r="B47" i="30"/>
  <c r="H46" i="30"/>
  <c r="E46" i="30" s="1"/>
  <c r="B46" i="30" s="1"/>
  <c r="H45" i="30"/>
  <c r="E45" i="30"/>
  <c r="B45" i="30"/>
  <c r="E44" i="30"/>
  <c r="B44" i="30"/>
  <c r="H43" i="30"/>
  <c r="E43" i="30"/>
  <c r="B43" i="30" s="1"/>
  <c r="E42" i="30"/>
  <c r="B42" i="30"/>
  <c r="H41" i="30"/>
  <c r="E41" i="30" s="1"/>
  <c r="B41" i="30" s="1"/>
  <c r="H40" i="30"/>
  <c r="E40" i="30" s="1"/>
  <c r="B40" i="30" s="1"/>
  <c r="H39" i="30"/>
  <c r="E39" i="30"/>
  <c r="B39" i="30"/>
  <c r="H38" i="30"/>
  <c r="E38" i="30"/>
  <c r="B38" i="30"/>
  <c r="H37" i="30"/>
  <c r="E37" i="30" s="1"/>
  <c r="B37" i="30" s="1"/>
  <c r="H36" i="30"/>
  <c r="E36" i="30" s="1"/>
  <c r="B36" i="30" s="1"/>
  <c r="H35" i="30"/>
  <c r="E35" i="30"/>
  <c r="B35" i="30" s="1"/>
  <c r="H34" i="30"/>
  <c r="E34" i="30"/>
  <c r="B34" i="30"/>
  <c r="H33" i="30"/>
  <c r="E33" i="30" s="1"/>
  <c r="B33" i="30" s="1"/>
  <c r="H32" i="30"/>
  <c r="E32" i="30"/>
  <c r="B32" i="30" s="1"/>
  <c r="H31" i="30"/>
  <c r="E31" i="30"/>
  <c r="B31" i="30" s="1"/>
  <c r="H30" i="30"/>
  <c r="E30" i="30"/>
  <c r="B30" i="30"/>
  <c r="H29" i="30"/>
  <c r="E29" i="30" s="1"/>
  <c r="B29" i="30" s="1"/>
  <c r="H28" i="30"/>
  <c r="E28" i="30"/>
  <c r="B28" i="30" s="1"/>
  <c r="H27" i="30"/>
  <c r="E27" i="30"/>
  <c r="B27" i="30"/>
  <c r="H26" i="30"/>
  <c r="E26" i="30"/>
  <c r="B26" i="30"/>
  <c r="H25" i="30"/>
  <c r="E25" i="30" s="1"/>
  <c r="B25" i="30" s="1"/>
  <c r="H24" i="30"/>
  <c r="E24" i="30" s="1"/>
  <c r="B24" i="30" s="1"/>
  <c r="H23" i="30"/>
  <c r="E23" i="30"/>
  <c r="B23" i="30"/>
  <c r="H22" i="30"/>
  <c r="E22" i="30"/>
  <c r="B22" i="30"/>
  <c r="H21" i="30"/>
  <c r="E21" i="30" s="1"/>
  <c r="B21" i="30" s="1"/>
  <c r="H20" i="30"/>
  <c r="E20" i="30" s="1"/>
  <c r="B20" i="30" s="1"/>
  <c r="H19" i="30"/>
  <c r="E19" i="30"/>
  <c r="H18" i="30"/>
  <c r="E18" i="30"/>
  <c r="B18" i="30"/>
  <c r="H17" i="30"/>
  <c r="E17" i="30" s="1"/>
  <c r="B17" i="30" s="1"/>
  <c r="H16" i="30"/>
  <c r="E16" i="30"/>
  <c r="B16" i="30" s="1"/>
  <c r="L14" i="30"/>
  <c r="K14" i="30"/>
  <c r="J14" i="30"/>
  <c r="G14" i="30"/>
  <c r="F14" i="30"/>
  <c r="C14" i="30"/>
  <c r="G877" i="29"/>
  <c r="E877" i="29" s="1"/>
  <c r="G876" i="29"/>
  <c r="E876" i="29"/>
  <c r="G875" i="29"/>
  <c r="E875" i="29" s="1"/>
  <c r="G874" i="29"/>
  <c r="E874" i="29"/>
  <c r="G873" i="29"/>
  <c r="E873" i="29" s="1"/>
  <c r="G872" i="29"/>
  <c r="E872" i="29" s="1"/>
  <c r="G871" i="29"/>
  <c r="E871" i="29"/>
  <c r="G870" i="29"/>
  <c r="E870" i="29"/>
  <c r="G869" i="29"/>
  <c r="E869" i="29" s="1"/>
  <c r="G868" i="29"/>
  <c r="E868" i="29"/>
  <c r="G867" i="29"/>
  <c r="E867" i="29" s="1"/>
  <c r="G866" i="29"/>
  <c r="E866" i="29"/>
  <c r="G865" i="29"/>
  <c r="E865" i="29" s="1"/>
  <c r="G864" i="29"/>
  <c r="E864" i="29" s="1"/>
  <c r="G863" i="29"/>
  <c r="E863" i="29"/>
  <c r="G862" i="29"/>
  <c r="E862" i="29"/>
  <c r="G861" i="29"/>
  <c r="E861" i="29" s="1"/>
  <c r="G860" i="29"/>
  <c r="E860" i="29"/>
  <c r="G859" i="29"/>
  <c r="E859" i="29" s="1"/>
  <c r="G858" i="29"/>
  <c r="E858" i="29"/>
  <c r="G857" i="29"/>
  <c r="E857" i="29" s="1"/>
  <c r="G856" i="29"/>
  <c r="E856" i="29" s="1"/>
  <c r="G855" i="29"/>
  <c r="E855" i="29"/>
  <c r="G854" i="29"/>
  <c r="E854" i="29"/>
  <c r="G853" i="29"/>
  <c r="E853" i="29" s="1"/>
  <c r="G852" i="29"/>
  <c r="E852" i="29"/>
  <c r="G851" i="29"/>
  <c r="E851" i="29" s="1"/>
  <c r="G850" i="29"/>
  <c r="E850" i="29"/>
  <c r="G849" i="29"/>
  <c r="E849" i="29" s="1"/>
  <c r="G848" i="29"/>
  <c r="E848" i="29" s="1"/>
  <c r="G847" i="29"/>
  <c r="G844" i="29" s="1"/>
  <c r="E847" i="29"/>
  <c r="G846" i="29"/>
  <c r="E846" i="29"/>
  <c r="L844" i="29"/>
  <c r="K844" i="29"/>
  <c r="J844" i="29"/>
  <c r="I844" i="29"/>
  <c r="H844" i="29"/>
  <c r="G841" i="29"/>
  <c r="E841" i="29"/>
  <c r="G840" i="29"/>
  <c r="E840" i="29" s="1"/>
  <c r="G839" i="29"/>
  <c r="E839" i="29"/>
  <c r="G838" i="29"/>
  <c r="E838" i="29" s="1"/>
  <c r="G837" i="29"/>
  <c r="E837" i="29"/>
  <c r="G836" i="29"/>
  <c r="E836" i="29" s="1"/>
  <c r="G835" i="29"/>
  <c r="E835" i="29"/>
  <c r="G834" i="29"/>
  <c r="E834" i="29" s="1"/>
  <c r="G833" i="29"/>
  <c r="E833" i="29"/>
  <c r="G832" i="29"/>
  <c r="E832" i="29" s="1"/>
  <c r="G831" i="29"/>
  <c r="E831" i="29"/>
  <c r="G830" i="29"/>
  <c r="E830" i="29" s="1"/>
  <c r="G829" i="29"/>
  <c r="E829" i="29"/>
  <c r="G828" i="29"/>
  <c r="E828" i="29" s="1"/>
  <c r="G827" i="29"/>
  <c r="E827" i="29"/>
  <c r="G826" i="29"/>
  <c r="E826" i="29" s="1"/>
  <c r="G825" i="29"/>
  <c r="E825" i="29"/>
  <c r="G824" i="29"/>
  <c r="E824" i="29" s="1"/>
  <c r="G823" i="29"/>
  <c r="E823" i="29"/>
  <c r="G822" i="29"/>
  <c r="E822" i="29" s="1"/>
  <c r="G821" i="29"/>
  <c r="E821" i="29"/>
  <c r="G820" i="29"/>
  <c r="E820" i="29" s="1"/>
  <c r="G819" i="29"/>
  <c r="E819" i="29"/>
  <c r="G818" i="29"/>
  <c r="E818" i="29" s="1"/>
  <c r="G817" i="29"/>
  <c r="E817" i="29"/>
  <c r="G816" i="29"/>
  <c r="E816" i="29" s="1"/>
  <c r="G815" i="29"/>
  <c r="E815" i="29"/>
  <c r="G814" i="29"/>
  <c r="E814" i="29" s="1"/>
  <c r="G813" i="29"/>
  <c r="E813" i="29"/>
  <c r="G812" i="29"/>
  <c r="E812" i="29" s="1"/>
  <c r="G811" i="29"/>
  <c r="E811" i="29"/>
  <c r="G810" i="29"/>
  <c r="L808" i="29"/>
  <c r="K808" i="29"/>
  <c r="J808" i="29"/>
  <c r="I808" i="29"/>
  <c r="H808" i="29"/>
  <c r="G805" i="29"/>
  <c r="E805" i="29" s="1"/>
  <c r="G804" i="29"/>
  <c r="E804" i="29"/>
  <c r="G803" i="29"/>
  <c r="E803" i="29" s="1"/>
  <c r="G802" i="29"/>
  <c r="E802" i="29"/>
  <c r="G801" i="29"/>
  <c r="E801" i="29" s="1"/>
  <c r="G800" i="29"/>
  <c r="E800" i="29"/>
  <c r="G799" i="29"/>
  <c r="E799" i="29" s="1"/>
  <c r="G798" i="29"/>
  <c r="E798" i="29"/>
  <c r="G797" i="29"/>
  <c r="E797" i="29" s="1"/>
  <c r="G796" i="29"/>
  <c r="E796" i="29"/>
  <c r="G795" i="29"/>
  <c r="E795" i="29" s="1"/>
  <c r="G794" i="29"/>
  <c r="E794" i="29"/>
  <c r="G793" i="29"/>
  <c r="E793" i="29" s="1"/>
  <c r="G792" i="29"/>
  <c r="E792" i="29"/>
  <c r="G791" i="29"/>
  <c r="E791" i="29" s="1"/>
  <c r="G790" i="29"/>
  <c r="E790" i="29"/>
  <c r="G789" i="29"/>
  <c r="E789" i="29" s="1"/>
  <c r="G788" i="29"/>
  <c r="E788" i="29"/>
  <c r="G787" i="29"/>
  <c r="E787" i="29" s="1"/>
  <c r="G786" i="29"/>
  <c r="E786" i="29"/>
  <c r="G785" i="29"/>
  <c r="E785" i="29" s="1"/>
  <c r="G784" i="29"/>
  <c r="E784" i="29"/>
  <c r="G783" i="29"/>
  <c r="E783" i="29" s="1"/>
  <c r="G782" i="29"/>
  <c r="E782" i="29"/>
  <c r="G781" i="29"/>
  <c r="E781" i="29" s="1"/>
  <c r="G780" i="29"/>
  <c r="E780" i="29"/>
  <c r="G779" i="29"/>
  <c r="E779" i="29" s="1"/>
  <c r="G778" i="29"/>
  <c r="E778" i="29"/>
  <c r="G777" i="29"/>
  <c r="E777" i="29" s="1"/>
  <c r="G776" i="29"/>
  <c r="E776" i="29"/>
  <c r="G775" i="29"/>
  <c r="E775" i="29" s="1"/>
  <c r="G774" i="29"/>
  <c r="G772" i="29" s="1"/>
  <c r="E774" i="29"/>
  <c r="L772" i="29"/>
  <c r="K772" i="29"/>
  <c r="J772" i="29"/>
  <c r="I772" i="29"/>
  <c r="H772" i="29"/>
  <c r="G769" i="29"/>
  <c r="E769" i="29" s="1"/>
  <c r="G768" i="29"/>
  <c r="E768" i="29"/>
  <c r="G767" i="29"/>
  <c r="E767" i="29" s="1"/>
  <c r="G766" i="29"/>
  <c r="E766" i="29"/>
  <c r="G765" i="29"/>
  <c r="E765" i="29" s="1"/>
  <c r="G764" i="29"/>
  <c r="E764" i="29"/>
  <c r="G763" i="29"/>
  <c r="E763" i="29" s="1"/>
  <c r="G762" i="29"/>
  <c r="E762" i="29"/>
  <c r="G761" i="29"/>
  <c r="E761" i="29" s="1"/>
  <c r="G760" i="29"/>
  <c r="E760" i="29"/>
  <c r="G759" i="29"/>
  <c r="E759" i="29" s="1"/>
  <c r="G758" i="29"/>
  <c r="E758" i="29"/>
  <c r="G757" i="29"/>
  <c r="E757" i="29" s="1"/>
  <c r="G756" i="29"/>
  <c r="E756" i="29"/>
  <c r="G755" i="29"/>
  <c r="E755" i="29" s="1"/>
  <c r="G754" i="29"/>
  <c r="E754" i="29"/>
  <c r="G753" i="29"/>
  <c r="E753" i="29" s="1"/>
  <c r="G752" i="29"/>
  <c r="E752" i="29"/>
  <c r="G751" i="29"/>
  <c r="E751" i="29" s="1"/>
  <c r="G750" i="29"/>
  <c r="E750" i="29"/>
  <c r="G749" i="29"/>
  <c r="E749" i="29" s="1"/>
  <c r="G748" i="29"/>
  <c r="E748" i="29"/>
  <c r="G747" i="29"/>
  <c r="E747" i="29" s="1"/>
  <c r="G746" i="29"/>
  <c r="E746" i="29"/>
  <c r="G745" i="29"/>
  <c r="E745" i="29" s="1"/>
  <c r="G744" i="29"/>
  <c r="E744" i="29"/>
  <c r="G743" i="29"/>
  <c r="E743" i="29" s="1"/>
  <c r="G742" i="29"/>
  <c r="E742" i="29"/>
  <c r="G741" i="29"/>
  <c r="E741" i="29" s="1"/>
  <c r="G740" i="29"/>
  <c r="E740" i="29"/>
  <c r="G739" i="29"/>
  <c r="G738" i="29"/>
  <c r="E738" i="29"/>
  <c r="L736" i="29"/>
  <c r="K736" i="29"/>
  <c r="J736" i="29"/>
  <c r="I736" i="29"/>
  <c r="H736" i="29"/>
  <c r="G733" i="29"/>
  <c r="E733" i="29"/>
  <c r="G732" i="29"/>
  <c r="E732" i="29" s="1"/>
  <c r="G731" i="29"/>
  <c r="E731" i="29"/>
  <c r="G730" i="29"/>
  <c r="E730" i="29" s="1"/>
  <c r="G729" i="29"/>
  <c r="E729" i="29"/>
  <c r="G728" i="29"/>
  <c r="E728" i="29" s="1"/>
  <c r="G727" i="29"/>
  <c r="E727" i="29"/>
  <c r="G726" i="29"/>
  <c r="E726" i="29" s="1"/>
  <c r="G725" i="29"/>
  <c r="E725" i="29"/>
  <c r="G724" i="29"/>
  <c r="E724" i="29" s="1"/>
  <c r="G723" i="29"/>
  <c r="E723" i="29"/>
  <c r="G722" i="29"/>
  <c r="E722" i="29" s="1"/>
  <c r="G721" i="29"/>
  <c r="E721" i="29"/>
  <c r="G720" i="29"/>
  <c r="E720" i="29" s="1"/>
  <c r="G719" i="29"/>
  <c r="E719" i="29"/>
  <c r="G718" i="29"/>
  <c r="E718" i="29" s="1"/>
  <c r="G717" i="29"/>
  <c r="E717" i="29"/>
  <c r="G716" i="29"/>
  <c r="E716" i="29" s="1"/>
  <c r="G715" i="29"/>
  <c r="E715" i="29"/>
  <c r="G714" i="29"/>
  <c r="E714" i="29" s="1"/>
  <c r="G713" i="29"/>
  <c r="E713" i="29"/>
  <c r="G712" i="29"/>
  <c r="E712" i="29" s="1"/>
  <c r="G711" i="29"/>
  <c r="E711" i="29"/>
  <c r="G710" i="29"/>
  <c r="E710" i="29" s="1"/>
  <c r="G709" i="29"/>
  <c r="E709" i="29"/>
  <c r="G708" i="29"/>
  <c r="E708" i="29" s="1"/>
  <c r="G707" i="29"/>
  <c r="E707" i="29"/>
  <c r="G706" i="29"/>
  <c r="E706" i="29" s="1"/>
  <c r="G705" i="29"/>
  <c r="E705" i="29"/>
  <c r="G704" i="29"/>
  <c r="E704" i="29" s="1"/>
  <c r="G703" i="29"/>
  <c r="E703" i="29"/>
  <c r="G702" i="29"/>
  <c r="E702" i="29" s="1"/>
  <c r="L700" i="29"/>
  <c r="K700" i="29"/>
  <c r="J700" i="29"/>
  <c r="I700" i="29"/>
  <c r="H700" i="29"/>
  <c r="G700" i="29"/>
  <c r="G697" i="29"/>
  <c r="E697" i="29"/>
  <c r="G696" i="29"/>
  <c r="E696" i="29" s="1"/>
  <c r="G695" i="29"/>
  <c r="E695" i="29"/>
  <c r="G694" i="29"/>
  <c r="E694" i="29" s="1"/>
  <c r="G693" i="29"/>
  <c r="E693" i="29"/>
  <c r="G692" i="29"/>
  <c r="E692" i="29" s="1"/>
  <c r="G691" i="29"/>
  <c r="E691" i="29"/>
  <c r="G690" i="29"/>
  <c r="E690" i="29" s="1"/>
  <c r="G689" i="29"/>
  <c r="E689" i="29"/>
  <c r="G688" i="29"/>
  <c r="E688" i="29" s="1"/>
  <c r="G687" i="29"/>
  <c r="E687" i="29"/>
  <c r="G686" i="29"/>
  <c r="E686" i="29" s="1"/>
  <c r="G685" i="29"/>
  <c r="E685" i="29"/>
  <c r="G684" i="29"/>
  <c r="E684" i="29" s="1"/>
  <c r="G683" i="29"/>
  <c r="E683" i="29"/>
  <c r="G682" i="29"/>
  <c r="E682" i="29" s="1"/>
  <c r="G681" i="29"/>
  <c r="E681" i="29"/>
  <c r="G680" i="29"/>
  <c r="E680" i="29" s="1"/>
  <c r="G679" i="29"/>
  <c r="E679" i="29"/>
  <c r="G678" i="29"/>
  <c r="E678" i="29" s="1"/>
  <c r="G677" i="29"/>
  <c r="E677" i="29"/>
  <c r="G676" i="29"/>
  <c r="E676" i="29" s="1"/>
  <c r="G675" i="29"/>
  <c r="E675" i="29"/>
  <c r="G674" i="29"/>
  <c r="E674" i="29" s="1"/>
  <c r="G673" i="29"/>
  <c r="E673" i="29"/>
  <c r="G672" i="29"/>
  <c r="E672" i="29" s="1"/>
  <c r="G671" i="29"/>
  <c r="E671" i="29"/>
  <c r="G670" i="29"/>
  <c r="E670" i="29" s="1"/>
  <c r="G669" i="29"/>
  <c r="E669" i="29"/>
  <c r="G668" i="29"/>
  <c r="E668" i="29" s="1"/>
  <c r="G667" i="29"/>
  <c r="E667" i="29"/>
  <c r="G666" i="29"/>
  <c r="L664" i="29"/>
  <c r="K664" i="29"/>
  <c r="J664" i="29"/>
  <c r="I664" i="29"/>
  <c r="H664" i="29"/>
  <c r="G661" i="29"/>
  <c r="E661" i="29" s="1"/>
  <c r="G660" i="29"/>
  <c r="E660" i="29"/>
  <c r="G659" i="29"/>
  <c r="E659" i="29" s="1"/>
  <c r="G658" i="29"/>
  <c r="E658" i="29"/>
  <c r="G657" i="29"/>
  <c r="E657" i="29" s="1"/>
  <c r="G656" i="29"/>
  <c r="E656" i="29"/>
  <c r="G655" i="29"/>
  <c r="E655" i="29" s="1"/>
  <c r="G654" i="29"/>
  <c r="E654" i="29"/>
  <c r="G653" i="29"/>
  <c r="E653" i="29" s="1"/>
  <c r="G652" i="29"/>
  <c r="E652" i="29"/>
  <c r="G651" i="29"/>
  <c r="E651" i="29" s="1"/>
  <c r="G650" i="29"/>
  <c r="E650" i="29"/>
  <c r="G649" i="29"/>
  <c r="E649" i="29" s="1"/>
  <c r="G648" i="29"/>
  <c r="E648" i="29"/>
  <c r="G647" i="29"/>
  <c r="E647" i="29" s="1"/>
  <c r="G646" i="29"/>
  <c r="E646" i="29"/>
  <c r="G645" i="29"/>
  <c r="E645" i="29" s="1"/>
  <c r="G644" i="29"/>
  <c r="E644" i="29"/>
  <c r="G643" i="29"/>
  <c r="E643" i="29" s="1"/>
  <c r="G642" i="29"/>
  <c r="E642" i="29"/>
  <c r="G641" i="29"/>
  <c r="E641" i="29" s="1"/>
  <c r="G640" i="29"/>
  <c r="E640" i="29"/>
  <c r="G639" i="29"/>
  <c r="E639" i="29" s="1"/>
  <c r="G638" i="29"/>
  <c r="E638" i="29"/>
  <c r="G637" i="29"/>
  <c r="E637" i="29" s="1"/>
  <c r="G636" i="29"/>
  <c r="E636" i="29"/>
  <c r="G635" i="29"/>
  <c r="E635" i="29" s="1"/>
  <c r="G634" i="29"/>
  <c r="E634" i="29"/>
  <c r="G633" i="29"/>
  <c r="E633" i="29" s="1"/>
  <c r="G632" i="29"/>
  <c r="E632" i="29"/>
  <c r="G631" i="29"/>
  <c r="E631" i="29" s="1"/>
  <c r="G630" i="29"/>
  <c r="G628" i="29" s="1"/>
  <c r="E630" i="29"/>
  <c r="L628" i="29"/>
  <c r="K628" i="29"/>
  <c r="J628" i="29"/>
  <c r="I628" i="29"/>
  <c r="H628" i="29"/>
  <c r="G625" i="29"/>
  <c r="E625" i="29" s="1"/>
  <c r="G624" i="29"/>
  <c r="E624" i="29"/>
  <c r="G623" i="29"/>
  <c r="E623" i="29" s="1"/>
  <c r="G622" i="29"/>
  <c r="E622" i="29"/>
  <c r="G621" i="29"/>
  <c r="E621" i="29" s="1"/>
  <c r="G620" i="29"/>
  <c r="E620" i="29"/>
  <c r="G619" i="29"/>
  <c r="E619" i="29" s="1"/>
  <c r="G618" i="29"/>
  <c r="E618" i="29"/>
  <c r="G617" i="29"/>
  <c r="E617" i="29" s="1"/>
  <c r="G616" i="29"/>
  <c r="E616" i="29"/>
  <c r="G615" i="29"/>
  <c r="E615" i="29" s="1"/>
  <c r="G614" i="29"/>
  <c r="E614" i="29"/>
  <c r="G613" i="29"/>
  <c r="E613" i="29" s="1"/>
  <c r="G612" i="29"/>
  <c r="E612" i="29"/>
  <c r="G611" i="29"/>
  <c r="E611" i="29" s="1"/>
  <c r="G610" i="29"/>
  <c r="E610" i="29"/>
  <c r="G609" i="29"/>
  <c r="E609" i="29" s="1"/>
  <c r="G608" i="29"/>
  <c r="E608" i="29"/>
  <c r="G607" i="29"/>
  <c r="E607" i="29" s="1"/>
  <c r="G606" i="29"/>
  <c r="E606" i="29"/>
  <c r="G605" i="29"/>
  <c r="E605" i="29" s="1"/>
  <c r="G604" i="29"/>
  <c r="E604" i="29"/>
  <c r="G603" i="29"/>
  <c r="E603" i="29" s="1"/>
  <c r="G602" i="29"/>
  <c r="E602" i="29"/>
  <c r="G601" i="29"/>
  <c r="E601" i="29" s="1"/>
  <c r="G600" i="29"/>
  <c r="E600" i="29"/>
  <c r="G599" i="29"/>
  <c r="E599" i="29" s="1"/>
  <c r="G598" i="29"/>
  <c r="E598" i="29"/>
  <c r="G597" i="29"/>
  <c r="E597" i="29" s="1"/>
  <c r="G596" i="29"/>
  <c r="E596" i="29"/>
  <c r="G595" i="29"/>
  <c r="G594" i="29"/>
  <c r="E594" i="29"/>
  <c r="L592" i="29"/>
  <c r="K592" i="29"/>
  <c r="J592" i="29"/>
  <c r="I592" i="29"/>
  <c r="H592" i="29"/>
  <c r="G589" i="29"/>
  <c r="E589" i="29"/>
  <c r="G588" i="29"/>
  <c r="E588" i="29" s="1"/>
  <c r="G587" i="29"/>
  <c r="E587" i="29"/>
  <c r="G586" i="29"/>
  <c r="E586" i="29" s="1"/>
  <c r="G585" i="29"/>
  <c r="E585" i="29" s="1"/>
  <c r="G584" i="29"/>
  <c r="E584" i="29" s="1"/>
  <c r="G583" i="29"/>
  <c r="E583" i="29"/>
  <c r="G582" i="29"/>
  <c r="E582" i="29" s="1"/>
  <c r="G581" i="29"/>
  <c r="E581" i="29"/>
  <c r="G580" i="29"/>
  <c r="E580" i="29" s="1"/>
  <c r="G579" i="29"/>
  <c r="E579" i="29"/>
  <c r="G578" i="29"/>
  <c r="E578" i="29" s="1"/>
  <c r="G577" i="29"/>
  <c r="E577" i="29" s="1"/>
  <c r="G576" i="29"/>
  <c r="E576" i="29" s="1"/>
  <c r="G575" i="29"/>
  <c r="E575" i="29"/>
  <c r="G574" i="29"/>
  <c r="E574" i="29" s="1"/>
  <c r="G573" i="29"/>
  <c r="E573" i="29"/>
  <c r="G572" i="29"/>
  <c r="E572" i="29" s="1"/>
  <c r="G571" i="29"/>
  <c r="E571" i="29"/>
  <c r="G570" i="29"/>
  <c r="E570" i="29"/>
  <c r="G569" i="29"/>
  <c r="E569" i="29"/>
  <c r="G568" i="29"/>
  <c r="E568" i="29"/>
  <c r="G567" i="29"/>
  <c r="E567" i="29"/>
  <c r="G566" i="29"/>
  <c r="E566" i="29"/>
  <c r="G565" i="29"/>
  <c r="E565" i="29"/>
  <c r="G564" i="29"/>
  <c r="E564" i="29"/>
  <c r="G563" i="29"/>
  <c r="E563" i="29"/>
  <c r="G562" i="29"/>
  <c r="E562" i="29"/>
  <c r="G561" i="29"/>
  <c r="E561" i="29"/>
  <c r="G560" i="29"/>
  <c r="E560" i="29"/>
  <c r="G559" i="29"/>
  <c r="E559" i="29"/>
  <c r="G558" i="29"/>
  <c r="E558" i="29"/>
  <c r="E556" i="29" s="1"/>
  <c r="L556" i="29"/>
  <c r="K556" i="29"/>
  <c r="J556" i="29"/>
  <c r="I556" i="29"/>
  <c r="H556" i="29"/>
  <c r="G553" i="29"/>
  <c r="E553" i="29" s="1"/>
  <c r="G552" i="29"/>
  <c r="E552" i="29"/>
  <c r="G551" i="29"/>
  <c r="E551" i="29" s="1"/>
  <c r="G550" i="29"/>
  <c r="E550" i="29"/>
  <c r="G549" i="29"/>
  <c r="E549" i="29" s="1"/>
  <c r="G548" i="29"/>
  <c r="E548" i="29"/>
  <c r="G547" i="29"/>
  <c r="E547" i="29" s="1"/>
  <c r="G546" i="29"/>
  <c r="E546" i="29"/>
  <c r="G545" i="29"/>
  <c r="E545" i="29" s="1"/>
  <c r="G544" i="29"/>
  <c r="E544" i="29"/>
  <c r="G543" i="29"/>
  <c r="E543" i="29" s="1"/>
  <c r="G542" i="29"/>
  <c r="E542" i="29"/>
  <c r="G541" i="29"/>
  <c r="E541" i="29" s="1"/>
  <c r="G540" i="29"/>
  <c r="E540" i="29"/>
  <c r="G539" i="29"/>
  <c r="E539" i="29" s="1"/>
  <c r="G538" i="29"/>
  <c r="E538" i="29"/>
  <c r="G537" i="29"/>
  <c r="E537" i="29" s="1"/>
  <c r="G536" i="29"/>
  <c r="E536" i="29"/>
  <c r="G535" i="29"/>
  <c r="E535" i="29" s="1"/>
  <c r="G534" i="29"/>
  <c r="E534" i="29"/>
  <c r="G533" i="29"/>
  <c r="E533" i="29" s="1"/>
  <c r="G532" i="29"/>
  <c r="E532" i="29"/>
  <c r="G531" i="29"/>
  <c r="E531" i="29" s="1"/>
  <c r="G530" i="29"/>
  <c r="E530" i="29"/>
  <c r="G529" i="29"/>
  <c r="E529" i="29" s="1"/>
  <c r="G528" i="29"/>
  <c r="E528" i="29"/>
  <c r="G527" i="29"/>
  <c r="E527" i="29" s="1"/>
  <c r="G526" i="29"/>
  <c r="E526" i="29"/>
  <c r="G525" i="29"/>
  <c r="E525" i="29" s="1"/>
  <c r="G524" i="29"/>
  <c r="E524" i="29"/>
  <c r="G523" i="29"/>
  <c r="E523" i="29" s="1"/>
  <c r="G522" i="29"/>
  <c r="G520" i="29" s="1"/>
  <c r="E522" i="29"/>
  <c r="L520" i="29"/>
  <c r="K520" i="29"/>
  <c r="J520" i="29"/>
  <c r="I520" i="29"/>
  <c r="H520" i="29"/>
  <c r="G517" i="29"/>
  <c r="E517" i="29"/>
  <c r="G516" i="29"/>
  <c r="E516" i="29"/>
  <c r="G515" i="29"/>
  <c r="E515" i="29"/>
  <c r="G514" i="29"/>
  <c r="E514" i="29"/>
  <c r="G513" i="29"/>
  <c r="E513" i="29"/>
  <c r="G512" i="29"/>
  <c r="E512" i="29"/>
  <c r="G511" i="29"/>
  <c r="E511" i="29"/>
  <c r="G510" i="29"/>
  <c r="E510" i="29"/>
  <c r="G509" i="29"/>
  <c r="E509" i="29"/>
  <c r="G508" i="29"/>
  <c r="E508" i="29"/>
  <c r="G507" i="29"/>
  <c r="E507" i="29"/>
  <c r="G506" i="29"/>
  <c r="E506" i="29"/>
  <c r="G505" i="29"/>
  <c r="E505" i="29"/>
  <c r="G504" i="29"/>
  <c r="E504" i="29"/>
  <c r="G503" i="29"/>
  <c r="E503" i="29"/>
  <c r="G502" i="29"/>
  <c r="E502" i="29"/>
  <c r="G501" i="29"/>
  <c r="E501" i="29"/>
  <c r="G500" i="29"/>
  <c r="E500" i="29"/>
  <c r="G499" i="29"/>
  <c r="E499" i="29"/>
  <c r="G498" i="29"/>
  <c r="E498" i="29"/>
  <c r="G497" i="29"/>
  <c r="E497" i="29"/>
  <c r="G496" i="29"/>
  <c r="E496" i="29"/>
  <c r="G495" i="29"/>
  <c r="E495" i="29"/>
  <c r="G494" i="29"/>
  <c r="E494" i="29"/>
  <c r="G493" i="29"/>
  <c r="E493" i="29"/>
  <c r="G492" i="29"/>
  <c r="E492" i="29"/>
  <c r="G491" i="29"/>
  <c r="E491" i="29"/>
  <c r="G490" i="29"/>
  <c r="E490" i="29"/>
  <c r="G489" i="29"/>
  <c r="E489" i="29"/>
  <c r="G488" i="29"/>
  <c r="E488" i="29"/>
  <c r="G487" i="29"/>
  <c r="E487" i="29"/>
  <c r="G486" i="29"/>
  <c r="E486" i="29"/>
  <c r="L484" i="29"/>
  <c r="K484" i="29"/>
  <c r="J484" i="29"/>
  <c r="I484" i="29"/>
  <c r="H484" i="29"/>
  <c r="G484" i="29"/>
  <c r="G481" i="29"/>
  <c r="E481" i="29"/>
  <c r="G480" i="29"/>
  <c r="E480" i="29" s="1"/>
  <c r="G479" i="29"/>
  <c r="E479" i="29"/>
  <c r="G478" i="29"/>
  <c r="E478" i="29" s="1"/>
  <c r="G477" i="29"/>
  <c r="E477" i="29"/>
  <c r="G476" i="29"/>
  <c r="E476" i="29" s="1"/>
  <c r="G475" i="29"/>
  <c r="E475" i="29"/>
  <c r="G474" i="29"/>
  <c r="E474" i="29" s="1"/>
  <c r="G473" i="29"/>
  <c r="E473" i="29"/>
  <c r="G472" i="29"/>
  <c r="E472" i="29" s="1"/>
  <c r="G471" i="29"/>
  <c r="E471" i="29"/>
  <c r="G470" i="29"/>
  <c r="E470" i="29" s="1"/>
  <c r="G469" i="29"/>
  <c r="E469" i="29"/>
  <c r="G468" i="29"/>
  <c r="E468" i="29" s="1"/>
  <c r="G467" i="29"/>
  <c r="E467" i="29"/>
  <c r="G466" i="29"/>
  <c r="E466" i="29" s="1"/>
  <c r="G465" i="29"/>
  <c r="E465" i="29"/>
  <c r="G464" i="29"/>
  <c r="E464" i="29" s="1"/>
  <c r="G463" i="29"/>
  <c r="E463" i="29"/>
  <c r="G462" i="29"/>
  <c r="E462" i="29" s="1"/>
  <c r="G461" i="29"/>
  <c r="E461" i="29"/>
  <c r="G460" i="29"/>
  <c r="E460" i="29" s="1"/>
  <c r="G459" i="29"/>
  <c r="E459" i="29"/>
  <c r="G458" i="29"/>
  <c r="E458" i="29" s="1"/>
  <c r="G457" i="29"/>
  <c r="E457" i="29"/>
  <c r="G456" i="29"/>
  <c r="E456" i="29" s="1"/>
  <c r="G455" i="29"/>
  <c r="E455" i="29"/>
  <c r="G454" i="29"/>
  <c r="E454" i="29" s="1"/>
  <c r="G453" i="29"/>
  <c r="E453" i="29"/>
  <c r="G452" i="29"/>
  <c r="E452" i="29" s="1"/>
  <c r="G451" i="29"/>
  <c r="E451" i="29"/>
  <c r="G450" i="29"/>
  <c r="L448" i="29"/>
  <c r="K448" i="29"/>
  <c r="J448" i="29"/>
  <c r="I448" i="29"/>
  <c r="H448" i="29"/>
  <c r="G445" i="29"/>
  <c r="E445" i="29"/>
  <c r="G444" i="29"/>
  <c r="E444" i="29"/>
  <c r="G443" i="29"/>
  <c r="E443" i="29"/>
  <c r="G442" i="29"/>
  <c r="E442" i="29"/>
  <c r="G441" i="29"/>
  <c r="E441" i="29"/>
  <c r="G440" i="29"/>
  <c r="E440" i="29"/>
  <c r="G439" i="29"/>
  <c r="E439" i="29"/>
  <c r="G438" i="29"/>
  <c r="E438" i="29"/>
  <c r="G437" i="29"/>
  <c r="E437" i="29"/>
  <c r="G436" i="29"/>
  <c r="E436" i="29"/>
  <c r="G435" i="29"/>
  <c r="E435" i="29"/>
  <c r="G434" i="29"/>
  <c r="E434" i="29"/>
  <c r="G433" i="29"/>
  <c r="E433" i="29"/>
  <c r="G432" i="29"/>
  <c r="E432" i="29"/>
  <c r="G431" i="29"/>
  <c r="E431" i="29"/>
  <c r="G430" i="29"/>
  <c r="E430" i="29"/>
  <c r="G429" i="29"/>
  <c r="E429" i="29"/>
  <c r="G428" i="29"/>
  <c r="E428" i="29"/>
  <c r="G427" i="29"/>
  <c r="E427" i="29"/>
  <c r="G426" i="29"/>
  <c r="E426" i="29"/>
  <c r="G425" i="29"/>
  <c r="E425" i="29"/>
  <c r="G424" i="29"/>
  <c r="E424" i="29"/>
  <c r="G423" i="29"/>
  <c r="E423" i="29"/>
  <c r="G422" i="29"/>
  <c r="E422" i="29"/>
  <c r="G421" i="29"/>
  <c r="E421" i="29"/>
  <c r="G420" i="29"/>
  <c r="E420" i="29"/>
  <c r="G419" i="29"/>
  <c r="E419" i="29"/>
  <c r="G418" i="29"/>
  <c r="E418" i="29"/>
  <c r="G417" i="29"/>
  <c r="E417" i="29"/>
  <c r="G416" i="29"/>
  <c r="E416" i="29"/>
  <c r="G415" i="29"/>
  <c r="E415" i="29"/>
  <c r="G414" i="29"/>
  <c r="G412" i="29" s="1"/>
  <c r="E414" i="29"/>
  <c r="E412" i="29" s="1"/>
  <c r="L412" i="29"/>
  <c r="K412" i="29"/>
  <c r="J412" i="29"/>
  <c r="I412" i="29"/>
  <c r="H412" i="29"/>
  <c r="G409" i="29"/>
  <c r="E409" i="29" s="1"/>
  <c r="G408" i="29"/>
  <c r="E408" i="29"/>
  <c r="G407" i="29"/>
  <c r="E407" i="29" s="1"/>
  <c r="G406" i="29"/>
  <c r="E406" i="29"/>
  <c r="G405" i="29"/>
  <c r="E405" i="29" s="1"/>
  <c r="G404" i="29"/>
  <c r="E404" i="29"/>
  <c r="G403" i="29"/>
  <c r="E403" i="29" s="1"/>
  <c r="G402" i="29"/>
  <c r="E402" i="29"/>
  <c r="G401" i="29"/>
  <c r="E401" i="29" s="1"/>
  <c r="G400" i="29"/>
  <c r="E400" i="29"/>
  <c r="G399" i="29"/>
  <c r="E399" i="29" s="1"/>
  <c r="G398" i="29"/>
  <c r="E398" i="29"/>
  <c r="G397" i="29"/>
  <c r="E397" i="29" s="1"/>
  <c r="G396" i="29"/>
  <c r="E396" i="29"/>
  <c r="G395" i="29"/>
  <c r="E395" i="29" s="1"/>
  <c r="G394" i="29"/>
  <c r="E394" i="29"/>
  <c r="G393" i="29"/>
  <c r="E393" i="29" s="1"/>
  <c r="G392" i="29"/>
  <c r="E392" i="29"/>
  <c r="G391" i="29"/>
  <c r="E391" i="29" s="1"/>
  <c r="G390" i="29"/>
  <c r="E390" i="29"/>
  <c r="G389" i="29"/>
  <c r="E389" i="29" s="1"/>
  <c r="G388" i="29"/>
  <c r="E388" i="29"/>
  <c r="G387" i="29"/>
  <c r="E387" i="29" s="1"/>
  <c r="G386" i="29"/>
  <c r="E386" i="29"/>
  <c r="G385" i="29"/>
  <c r="E385" i="29" s="1"/>
  <c r="G384" i="29"/>
  <c r="E384" i="29"/>
  <c r="G383" i="29"/>
  <c r="E383" i="29" s="1"/>
  <c r="G382" i="29"/>
  <c r="E382" i="29"/>
  <c r="G381" i="29"/>
  <c r="E381" i="29" s="1"/>
  <c r="G380" i="29"/>
  <c r="E380" i="29"/>
  <c r="G379" i="29"/>
  <c r="E379" i="29" s="1"/>
  <c r="G378" i="29"/>
  <c r="E378" i="29"/>
  <c r="L376" i="29"/>
  <c r="K376" i="29"/>
  <c r="J376" i="29"/>
  <c r="I376" i="29"/>
  <c r="H376" i="29"/>
  <c r="G373" i="29"/>
  <c r="E373" i="29"/>
  <c r="G372" i="29"/>
  <c r="E372" i="29"/>
  <c r="G371" i="29"/>
  <c r="E371" i="29"/>
  <c r="G370" i="29"/>
  <c r="E370" i="29"/>
  <c r="G369" i="29"/>
  <c r="E369" i="29"/>
  <c r="G368" i="29"/>
  <c r="E368" i="29"/>
  <c r="G367" i="29"/>
  <c r="E367" i="29"/>
  <c r="G366" i="29"/>
  <c r="E366" i="29"/>
  <c r="G365" i="29"/>
  <c r="E365" i="29"/>
  <c r="G364" i="29"/>
  <c r="E364" i="29"/>
  <c r="G363" i="29"/>
  <c r="E363" i="29"/>
  <c r="G362" i="29"/>
  <c r="E362" i="29"/>
  <c r="G361" i="29"/>
  <c r="E361" i="29"/>
  <c r="G360" i="29"/>
  <c r="E360" i="29"/>
  <c r="G359" i="29"/>
  <c r="E359" i="29"/>
  <c r="G358" i="29"/>
  <c r="E358" i="29"/>
  <c r="G357" i="29"/>
  <c r="E357" i="29"/>
  <c r="G356" i="29"/>
  <c r="E356" i="29"/>
  <c r="G355" i="29"/>
  <c r="E355" i="29"/>
  <c r="G354" i="29"/>
  <c r="E354" i="29"/>
  <c r="G353" i="29"/>
  <c r="E353" i="29"/>
  <c r="G352" i="29"/>
  <c r="E352" i="29"/>
  <c r="G351" i="29"/>
  <c r="E351" i="29"/>
  <c r="G350" i="29"/>
  <c r="E350" i="29"/>
  <c r="G349" i="29"/>
  <c r="E349" i="29"/>
  <c r="G348" i="29"/>
  <c r="E348" i="29"/>
  <c r="G347" i="29"/>
  <c r="E347" i="29"/>
  <c r="G346" i="29"/>
  <c r="E346" i="29"/>
  <c r="G345" i="29"/>
  <c r="E345" i="29"/>
  <c r="G344" i="29"/>
  <c r="E344" i="29"/>
  <c r="G343" i="29"/>
  <c r="E343" i="29"/>
  <c r="G342" i="29"/>
  <c r="E342" i="29"/>
  <c r="E340" i="29" s="1"/>
  <c r="L340" i="29"/>
  <c r="K340" i="29"/>
  <c r="J340" i="29"/>
  <c r="I340" i="29"/>
  <c r="H340" i="29"/>
  <c r="G340" i="29"/>
  <c r="G337" i="29"/>
  <c r="E337" i="29"/>
  <c r="G336" i="29"/>
  <c r="E336" i="29" s="1"/>
  <c r="G335" i="29"/>
  <c r="E335" i="29"/>
  <c r="G334" i="29"/>
  <c r="E334" i="29" s="1"/>
  <c r="G333" i="29"/>
  <c r="E333" i="29"/>
  <c r="G332" i="29"/>
  <c r="E332" i="29" s="1"/>
  <c r="G331" i="29"/>
  <c r="E331" i="29"/>
  <c r="G330" i="29"/>
  <c r="E330" i="29" s="1"/>
  <c r="G329" i="29"/>
  <c r="E329" i="29"/>
  <c r="G328" i="29"/>
  <c r="E328" i="29" s="1"/>
  <c r="G327" i="29"/>
  <c r="E327" i="29"/>
  <c r="G326" i="29"/>
  <c r="E326" i="29" s="1"/>
  <c r="G325" i="29"/>
  <c r="E325" i="29"/>
  <c r="G324" i="29"/>
  <c r="E324" i="29" s="1"/>
  <c r="G323" i="29"/>
  <c r="E323" i="29"/>
  <c r="G322" i="29"/>
  <c r="E322" i="29" s="1"/>
  <c r="G321" i="29"/>
  <c r="E321" i="29"/>
  <c r="G320" i="29"/>
  <c r="E320" i="29" s="1"/>
  <c r="G319" i="29"/>
  <c r="E319" i="29"/>
  <c r="G318" i="29"/>
  <c r="E318" i="29" s="1"/>
  <c r="G317" i="29"/>
  <c r="E317" i="29"/>
  <c r="G316" i="29"/>
  <c r="E316" i="29" s="1"/>
  <c r="G315" i="29"/>
  <c r="E315" i="29"/>
  <c r="G314" i="29"/>
  <c r="E314" i="29" s="1"/>
  <c r="G313" i="29"/>
  <c r="E313" i="29"/>
  <c r="G312" i="29"/>
  <c r="E312" i="29" s="1"/>
  <c r="G311" i="29"/>
  <c r="E311" i="29"/>
  <c r="G310" i="29"/>
  <c r="E310" i="29" s="1"/>
  <c r="G309" i="29"/>
  <c r="E309" i="29"/>
  <c r="G308" i="29"/>
  <c r="E308" i="29" s="1"/>
  <c r="G307" i="29"/>
  <c r="E307" i="29"/>
  <c r="G306" i="29"/>
  <c r="L304" i="29"/>
  <c r="K304" i="29"/>
  <c r="J304" i="29"/>
  <c r="I304" i="29"/>
  <c r="H304" i="29"/>
  <c r="G301" i="29"/>
  <c r="E301" i="29"/>
  <c r="G300" i="29"/>
  <c r="E300" i="29"/>
  <c r="G299" i="29"/>
  <c r="E299" i="29"/>
  <c r="G298" i="29"/>
  <c r="E298" i="29"/>
  <c r="G297" i="29"/>
  <c r="E297" i="29"/>
  <c r="G296" i="29"/>
  <c r="E296" i="29"/>
  <c r="G295" i="29"/>
  <c r="E295" i="29"/>
  <c r="G294" i="29"/>
  <c r="E294" i="29"/>
  <c r="G293" i="29"/>
  <c r="E293" i="29"/>
  <c r="G292" i="29"/>
  <c r="E292" i="29"/>
  <c r="G291" i="29"/>
  <c r="E291" i="29"/>
  <c r="G290" i="29"/>
  <c r="E290" i="29"/>
  <c r="G289" i="29"/>
  <c r="E289" i="29"/>
  <c r="G288" i="29"/>
  <c r="E288" i="29"/>
  <c r="G287" i="29"/>
  <c r="E287" i="29"/>
  <c r="G286" i="29"/>
  <c r="E286" i="29"/>
  <c r="G285" i="29"/>
  <c r="E285" i="29"/>
  <c r="G284" i="29"/>
  <c r="E284" i="29"/>
  <c r="G283" i="29"/>
  <c r="E283" i="29"/>
  <c r="G282" i="29"/>
  <c r="E282" i="29"/>
  <c r="G281" i="29"/>
  <c r="E281" i="29"/>
  <c r="G280" i="29"/>
  <c r="E280" i="29"/>
  <c r="G279" i="29"/>
  <c r="E279" i="29"/>
  <c r="G278" i="29"/>
  <c r="E278" i="29"/>
  <c r="G277" i="29"/>
  <c r="E277" i="29"/>
  <c r="G276" i="29"/>
  <c r="E276" i="29"/>
  <c r="G275" i="29"/>
  <c r="E275" i="29"/>
  <c r="G274" i="29"/>
  <c r="E274" i="29"/>
  <c r="G273" i="29"/>
  <c r="E273" i="29"/>
  <c r="G272" i="29"/>
  <c r="E272" i="29"/>
  <c r="G271" i="29"/>
  <c r="E271" i="29"/>
  <c r="G270" i="29"/>
  <c r="G268" i="29" s="1"/>
  <c r="E270" i="29"/>
  <c r="E268" i="29" s="1"/>
  <c r="L268" i="29"/>
  <c r="K268" i="29"/>
  <c r="J268" i="29"/>
  <c r="I268" i="29"/>
  <c r="H268" i="29"/>
  <c r="G265" i="29"/>
  <c r="E265" i="29" s="1"/>
  <c r="G264" i="29"/>
  <c r="E264" i="29"/>
  <c r="G263" i="29"/>
  <c r="E263" i="29" s="1"/>
  <c r="G262" i="29"/>
  <c r="E262" i="29"/>
  <c r="G261" i="29"/>
  <c r="E261" i="29" s="1"/>
  <c r="G260" i="29"/>
  <c r="E260" i="29"/>
  <c r="G259" i="29"/>
  <c r="E259" i="29" s="1"/>
  <c r="G258" i="29"/>
  <c r="E258" i="29"/>
  <c r="G257" i="29"/>
  <c r="E257" i="29" s="1"/>
  <c r="G256" i="29"/>
  <c r="E256" i="29"/>
  <c r="G255" i="29"/>
  <c r="E255" i="29" s="1"/>
  <c r="G254" i="29"/>
  <c r="E254" i="29"/>
  <c r="G253" i="29"/>
  <c r="E253" i="29" s="1"/>
  <c r="G252" i="29"/>
  <c r="E252" i="29"/>
  <c r="G251" i="29"/>
  <c r="E251" i="29" s="1"/>
  <c r="G250" i="29"/>
  <c r="E250" i="29"/>
  <c r="G249" i="29"/>
  <c r="E249" i="29" s="1"/>
  <c r="G248" i="29"/>
  <c r="E248" i="29"/>
  <c r="G247" i="29"/>
  <c r="E247" i="29" s="1"/>
  <c r="G246" i="29"/>
  <c r="E246" i="29"/>
  <c r="G245" i="29"/>
  <c r="E245" i="29" s="1"/>
  <c r="G244" i="29"/>
  <c r="E244" i="29"/>
  <c r="G243" i="29"/>
  <c r="E243" i="29" s="1"/>
  <c r="G242" i="29"/>
  <c r="E242" i="29"/>
  <c r="G241" i="29"/>
  <c r="E241" i="29" s="1"/>
  <c r="G240" i="29"/>
  <c r="E240" i="29"/>
  <c r="G239" i="29"/>
  <c r="E239" i="29" s="1"/>
  <c r="G238" i="29"/>
  <c r="E238" i="29"/>
  <c r="G237" i="29"/>
  <c r="E237" i="29" s="1"/>
  <c r="G236" i="29"/>
  <c r="E236" i="29"/>
  <c r="G234" i="29"/>
  <c r="L232" i="29"/>
  <c r="K232" i="29"/>
  <c r="J232" i="29"/>
  <c r="I232" i="29"/>
  <c r="H232" i="29"/>
  <c r="G229" i="29"/>
  <c r="E229" i="29"/>
  <c r="B229" i="29"/>
  <c r="G228" i="29"/>
  <c r="E228" i="29" s="1"/>
  <c r="B228" i="29" s="1"/>
  <c r="G227" i="29"/>
  <c r="E227" i="29"/>
  <c r="B227" i="29" s="1"/>
  <c r="G226" i="29"/>
  <c r="E226" i="29"/>
  <c r="B226" i="29"/>
  <c r="G225" i="29"/>
  <c r="E225" i="29"/>
  <c r="B225" i="29"/>
  <c r="G224" i="29"/>
  <c r="E224" i="29" s="1"/>
  <c r="B224" i="29" s="1"/>
  <c r="G223" i="29"/>
  <c r="E223" i="29"/>
  <c r="B223" i="29" s="1"/>
  <c r="G222" i="29"/>
  <c r="E222" i="29"/>
  <c r="B222" i="29"/>
  <c r="G221" i="29"/>
  <c r="E221" i="29"/>
  <c r="B221" i="29"/>
  <c r="G220" i="29"/>
  <c r="E220" i="29" s="1"/>
  <c r="B220" i="29" s="1"/>
  <c r="G219" i="29"/>
  <c r="E219" i="29" s="1"/>
  <c r="B219" i="29" s="1"/>
  <c r="G218" i="29"/>
  <c r="E218" i="29"/>
  <c r="B218" i="29" s="1"/>
  <c r="G217" i="29"/>
  <c r="E217" i="29"/>
  <c r="B217" i="29"/>
  <c r="G216" i="29"/>
  <c r="E216" i="29" s="1"/>
  <c r="B216" i="29" s="1"/>
  <c r="G215" i="29"/>
  <c r="E215" i="29"/>
  <c r="B215" i="29" s="1"/>
  <c r="G214" i="29"/>
  <c r="E214" i="29"/>
  <c r="B214" i="29" s="1"/>
  <c r="G213" i="29"/>
  <c r="E213" i="29"/>
  <c r="B213" i="29"/>
  <c r="G212" i="29"/>
  <c r="E212" i="29" s="1"/>
  <c r="B212" i="29" s="1"/>
  <c r="G211" i="29"/>
  <c r="E211" i="29"/>
  <c r="B211" i="29" s="1"/>
  <c r="G210" i="29"/>
  <c r="E210" i="29"/>
  <c r="B210" i="29"/>
  <c r="G209" i="29"/>
  <c r="E209" i="29"/>
  <c r="B209" i="29"/>
  <c r="G208" i="29"/>
  <c r="E208" i="29" s="1"/>
  <c r="B208" i="29" s="1"/>
  <c r="G207" i="29"/>
  <c r="E207" i="29"/>
  <c r="B207" i="29" s="1"/>
  <c r="G206" i="29"/>
  <c r="E206" i="29"/>
  <c r="B206" i="29"/>
  <c r="G205" i="29"/>
  <c r="E205" i="29"/>
  <c r="B205" i="29"/>
  <c r="G204" i="29"/>
  <c r="E204" i="29" s="1"/>
  <c r="B204" i="29" s="1"/>
  <c r="G203" i="29"/>
  <c r="E203" i="29" s="1"/>
  <c r="B203" i="29" s="1"/>
  <c r="G202" i="29"/>
  <c r="E202" i="29"/>
  <c r="B202" i="29"/>
  <c r="G201" i="29"/>
  <c r="E201" i="29"/>
  <c r="B201" i="29"/>
  <c r="G200" i="29"/>
  <c r="E200" i="29" s="1"/>
  <c r="B200" i="29" s="1"/>
  <c r="G199" i="29"/>
  <c r="E199" i="29"/>
  <c r="B199" i="29" s="1"/>
  <c r="G198" i="29"/>
  <c r="E198" i="29"/>
  <c r="B198" i="29" s="1"/>
  <c r="L196" i="29"/>
  <c r="K196" i="29"/>
  <c r="J196" i="29"/>
  <c r="I196" i="29"/>
  <c r="H196" i="29"/>
  <c r="C196" i="29"/>
  <c r="G193" i="29"/>
  <c r="E193" i="29"/>
  <c r="B193" i="29"/>
  <c r="G192" i="29"/>
  <c r="E192" i="29"/>
  <c r="B192" i="29"/>
  <c r="G191" i="29"/>
  <c r="E191" i="29" s="1"/>
  <c r="B191" i="29" s="1"/>
  <c r="G190" i="29"/>
  <c r="E190" i="29" s="1"/>
  <c r="B190" i="29" s="1"/>
  <c r="G189" i="29"/>
  <c r="E189" i="29"/>
  <c r="B189" i="29" s="1"/>
  <c r="G188" i="29"/>
  <c r="E188" i="29"/>
  <c r="B188" i="29"/>
  <c r="G187" i="29"/>
  <c r="E187" i="29" s="1"/>
  <c r="B187" i="29" s="1"/>
  <c r="G186" i="29"/>
  <c r="E186" i="29"/>
  <c r="B186" i="29" s="1"/>
  <c r="G185" i="29"/>
  <c r="E185" i="29"/>
  <c r="B185" i="29" s="1"/>
  <c r="G184" i="29"/>
  <c r="E184" i="29"/>
  <c r="B184" i="29"/>
  <c r="G183" i="29"/>
  <c r="E183" i="29" s="1"/>
  <c r="B183" i="29" s="1"/>
  <c r="G182" i="29"/>
  <c r="E182" i="29"/>
  <c r="B182" i="29" s="1"/>
  <c r="G181" i="29"/>
  <c r="E181" i="29"/>
  <c r="B181" i="29"/>
  <c r="G180" i="29"/>
  <c r="E180" i="29"/>
  <c r="B180" i="29"/>
  <c r="G179" i="29"/>
  <c r="E179" i="29" s="1"/>
  <c r="B179" i="29" s="1"/>
  <c r="G178" i="29"/>
  <c r="E178" i="29"/>
  <c r="B178" i="29" s="1"/>
  <c r="G177" i="29"/>
  <c r="E177" i="29"/>
  <c r="B177" i="29"/>
  <c r="G176" i="29"/>
  <c r="E176" i="29"/>
  <c r="B176" i="29"/>
  <c r="G175" i="29"/>
  <c r="E175" i="29" s="1"/>
  <c r="B175" i="29" s="1"/>
  <c r="G174" i="29"/>
  <c r="E174" i="29" s="1"/>
  <c r="B174" i="29" s="1"/>
  <c r="G173" i="29"/>
  <c r="E173" i="29"/>
  <c r="B173" i="29"/>
  <c r="G172" i="29"/>
  <c r="E172" i="29"/>
  <c r="B172" i="29"/>
  <c r="G171" i="29"/>
  <c r="E171" i="29" s="1"/>
  <c r="B171" i="29" s="1"/>
  <c r="G170" i="29"/>
  <c r="E170" i="29"/>
  <c r="B170" i="29" s="1"/>
  <c r="G169" i="29"/>
  <c r="E169" i="29"/>
  <c r="B169" i="29" s="1"/>
  <c r="G168" i="29"/>
  <c r="E168" i="29"/>
  <c r="B168" i="29"/>
  <c r="G167" i="29"/>
  <c r="E167" i="29" s="1"/>
  <c r="B167" i="29" s="1"/>
  <c r="G166" i="29"/>
  <c r="E166" i="29"/>
  <c r="B166" i="29" s="1"/>
  <c r="G165" i="29"/>
  <c r="E165" i="29"/>
  <c r="B165" i="29"/>
  <c r="G164" i="29"/>
  <c r="E164" i="29"/>
  <c r="B164" i="29"/>
  <c r="G163" i="29"/>
  <c r="E163" i="29" s="1"/>
  <c r="B163" i="29" s="1"/>
  <c r="G162" i="29"/>
  <c r="E162" i="29"/>
  <c r="B162" i="29" s="1"/>
  <c r="L160" i="29"/>
  <c r="K160" i="29"/>
  <c r="J160" i="29"/>
  <c r="I160" i="29"/>
  <c r="H160" i="29"/>
  <c r="E160" i="29"/>
  <c r="C160" i="29"/>
  <c r="G157" i="29"/>
  <c r="E157" i="29"/>
  <c r="B157" i="29" s="1"/>
  <c r="G156" i="29"/>
  <c r="E156" i="29"/>
  <c r="B156" i="29" s="1"/>
  <c r="G155" i="29"/>
  <c r="E155" i="29"/>
  <c r="B155" i="29"/>
  <c r="G154" i="29"/>
  <c r="E154" i="29" s="1"/>
  <c r="B154" i="29" s="1"/>
  <c r="G153" i="29"/>
  <c r="E153" i="29"/>
  <c r="B153" i="29" s="1"/>
  <c r="G152" i="29"/>
  <c r="E152" i="29"/>
  <c r="B152" i="29"/>
  <c r="G151" i="29"/>
  <c r="E151" i="29"/>
  <c r="B151" i="29"/>
  <c r="G150" i="29"/>
  <c r="E150" i="29" s="1"/>
  <c r="B150" i="29" s="1"/>
  <c r="G149" i="29"/>
  <c r="E149" i="29"/>
  <c r="B149" i="29" s="1"/>
  <c r="G148" i="29"/>
  <c r="E148" i="29"/>
  <c r="B148" i="29"/>
  <c r="G147" i="29"/>
  <c r="E147" i="29"/>
  <c r="B147" i="29"/>
  <c r="G146" i="29"/>
  <c r="E146" i="29" s="1"/>
  <c r="B146" i="29" s="1"/>
  <c r="G145" i="29"/>
  <c r="E145" i="29" s="1"/>
  <c r="B145" i="29" s="1"/>
  <c r="G144" i="29"/>
  <c r="E144" i="29"/>
  <c r="B144" i="29"/>
  <c r="G143" i="29"/>
  <c r="E143" i="29"/>
  <c r="B143" i="29"/>
  <c r="G142" i="29"/>
  <c r="E142" i="29" s="1"/>
  <c r="B142" i="29" s="1"/>
  <c r="G141" i="29"/>
  <c r="E141" i="29"/>
  <c r="B141" i="29" s="1"/>
  <c r="G140" i="29"/>
  <c r="E140" i="29"/>
  <c r="B140" i="29" s="1"/>
  <c r="G139" i="29"/>
  <c r="E139" i="29"/>
  <c r="B139" i="29"/>
  <c r="G138" i="29"/>
  <c r="E138" i="29" s="1"/>
  <c r="B138" i="29" s="1"/>
  <c r="G137" i="29"/>
  <c r="E137" i="29"/>
  <c r="B137" i="29" s="1"/>
  <c r="G136" i="29"/>
  <c r="E136" i="29"/>
  <c r="B136" i="29"/>
  <c r="G135" i="29"/>
  <c r="E135" i="29"/>
  <c r="B135" i="29"/>
  <c r="G134" i="29"/>
  <c r="E134" i="29" s="1"/>
  <c r="B134" i="29" s="1"/>
  <c r="G133" i="29"/>
  <c r="E133" i="29"/>
  <c r="B133" i="29" s="1"/>
  <c r="G132" i="29"/>
  <c r="E132" i="29"/>
  <c r="B132" i="29"/>
  <c r="G131" i="29"/>
  <c r="E131" i="29"/>
  <c r="B131" i="29"/>
  <c r="G130" i="29"/>
  <c r="E130" i="29" s="1"/>
  <c r="B130" i="29" s="1"/>
  <c r="G129" i="29"/>
  <c r="E129" i="29" s="1"/>
  <c r="B129" i="29" s="1"/>
  <c r="G128" i="29"/>
  <c r="E128" i="29"/>
  <c r="B128" i="29" s="1"/>
  <c r="G127" i="29"/>
  <c r="E127" i="29"/>
  <c r="B127" i="29"/>
  <c r="G126" i="29"/>
  <c r="L124" i="29"/>
  <c r="K124" i="29"/>
  <c r="J124" i="29"/>
  <c r="I124" i="29"/>
  <c r="H124" i="29"/>
  <c r="C124" i="29"/>
  <c r="G121" i="29"/>
  <c r="E121" i="29" s="1"/>
  <c r="B121" i="29" s="1"/>
  <c r="G120" i="29"/>
  <c r="E120" i="29"/>
  <c r="B120" i="29" s="1"/>
  <c r="G119" i="29"/>
  <c r="E119" i="29"/>
  <c r="B119" i="29"/>
  <c r="G118" i="29"/>
  <c r="E118" i="29"/>
  <c r="B118" i="29"/>
  <c r="G117" i="29"/>
  <c r="E117" i="29" s="1"/>
  <c r="B117" i="29" s="1"/>
  <c r="G116" i="29"/>
  <c r="E116" i="29"/>
  <c r="B116" i="29" s="1"/>
  <c r="G115" i="29"/>
  <c r="E115" i="29"/>
  <c r="B115" i="29"/>
  <c r="G114" i="29"/>
  <c r="E114" i="29"/>
  <c r="B114" i="29"/>
  <c r="G113" i="29"/>
  <c r="E113" i="29" s="1"/>
  <c r="B113" i="29" s="1"/>
  <c r="G112" i="29"/>
  <c r="E112" i="29" s="1"/>
  <c r="B112" i="29" s="1"/>
  <c r="G111" i="29"/>
  <c r="E111" i="29"/>
  <c r="B111" i="29"/>
  <c r="G110" i="29"/>
  <c r="E110" i="29"/>
  <c r="B110" i="29"/>
  <c r="G109" i="29"/>
  <c r="E109" i="29" s="1"/>
  <c r="B109" i="29" s="1"/>
  <c r="G108" i="29"/>
  <c r="E108" i="29"/>
  <c r="B108" i="29" s="1"/>
  <c r="G107" i="29"/>
  <c r="E107" i="29"/>
  <c r="B107" i="29" s="1"/>
  <c r="G106" i="29"/>
  <c r="E106" i="29"/>
  <c r="B106" i="29"/>
  <c r="G105" i="29"/>
  <c r="E105" i="29" s="1"/>
  <c r="B105" i="29" s="1"/>
  <c r="G104" i="29"/>
  <c r="E104" i="29"/>
  <c r="B104" i="29" s="1"/>
  <c r="G103" i="29"/>
  <c r="E103" i="29"/>
  <c r="B103" i="29"/>
  <c r="G102" i="29"/>
  <c r="E102" i="29"/>
  <c r="B102" i="29"/>
  <c r="G101" i="29"/>
  <c r="E101" i="29" s="1"/>
  <c r="B101" i="29" s="1"/>
  <c r="G100" i="29"/>
  <c r="E100" i="29"/>
  <c r="B100" i="29" s="1"/>
  <c r="G99" i="29"/>
  <c r="E99" i="29"/>
  <c r="B99" i="29"/>
  <c r="G98" i="29"/>
  <c r="E98" i="29"/>
  <c r="B98" i="29"/>
  <c r="G97" i="29"/>
  <c r="E97" i="29" s="1"/>
  <c r="B97" i="29" s="1"/>
  <c r="G96" i="29"/>
  <c r="E96" i="29" s="1"/>
  <c r="B96" i="29" s="1"/>
  <c r="G95" i="29"/>
  <c r="E95" i="29"/>
  <c r="B95" i="29" s="1"/>
  <c r="G94" i="29"/>
  <c r="E94" i="29"/>
  <c r="B94" i="29"/>
  <c r="G93" i="29"/>
  <c r="E93" i="29" s="1"/>
  <c r="B93" i="29" s="1"/>
  <c r="G92" i="29"/>
  <c r="E92" i="29"/>
  <c r="B92" i="29" s="1"/>
  <c r="G91" i="29"/>
  <c r="E91" i="29"/>
  <c r="G90" i="29"/>
  <c r="E90" i="29"/>
  <c r="B90" i="29"/>
  <c r="L88" i="29"/>
  <c r="K88" i="29"/>
  <c r="J88" i="29"/>
  <c r="I88" i="29"/>
  <c r="H88" i="29"/>
  <c r="C88" i="29"/>
  <c r="G85" i="29"/>
  <c r="E85" i="29" s="1"/>
  <c r="B85" i="29" s="1"/>
  <c r="G84" i="29"/>
  <c r="E84" i="29" s="1"/>
  <c r="B84" i="29" s="1"/>
  <c r="G83" i="29"/>
  <c r="E83" i="29"/>
  <c r="B83" i="29" s="1"/>
  <c r="G82" i="29"/>
  <c r="E82" i="29"/>
  <c r="B82" i="29"/>
  <c r="G81" i="29"/>
  <c r="E81" i="29"/>
  <c r="B81" i="29"/>
  <c r="G80" i="29"/>
  <c r="E80" i="29" s="1"/>
  <c r="B80" i="29" s="1"/>
  <c r="G79" i="29"/>
  <c r="E79" i="29" s="1"/>
  <c r="B79" i="29" s="1"/>
  <c r="G78" i="29"/>
  <c r="E78" i="29"/>
  <c r="B78" i="29"/>
  <c r="G77" i="29"/>
  <c r="E77" i="29"/>
  <c r="B77" i="29"/>
  <c r="G76" i="29"/>
  <c r="E76" i="29" s="1"/>
  <c r="B76" i="29" s="1"/>
  <c r="G75" i="29"/>
  <c r="E75" i="29"/>
  <c r="B75" i="29" s="1"/>
  <c r="G74" i="29"/>
  <c r="E74" i="29"/>
  <c r="B74" i="29" s="1"/>
  <c r="G73" i="29"/>
  <c r="E73" i="29"/>
  <c r="B73" i="29"/>
  <c r="G72" i="29"/>
  <c r="E72" i="29" s="1"/>
  <c r="B72" i="29" s="1"/>
  <c r="G71" i="29"/>
  <c r="E71" i="29"/>
  <c r="B71" i="29" s="1"/>
  <c r="G70" i="29"/>
  <c r="E70" i="29"/>
  <c r="B70" i="29"/>
  <c r="G69" i="29"/>
  <c r="E69" i="29"/>
  <c r="B69" i="29"/>
  <c r="G68" i="29"/>
  <c r="E68" i="29" s="1"/>
  <c r="B68" i="29" s="1"/>
  <c r="G67" i="29"/>
  <c r="E67" i="29" s="1"/>
  <c r="B67" i="29" s="1"/>
  <c r="G66" i="29"/>
  <c r="E66" i="29"/>
  <c r="B66" i="29"/>
  <c r="G65" i="29"/>
  <c r="E65" i="29"/>
  <c r="B65" i="29"/>
  <c r="G64" i="29"/>
  <c r="E64" i="29" s="1"/>
  <c r="B64" i="29" s="1"/>
  <c r="G63" i="29"/>
  <c r="E63" i="29" s="1"/>
  <c r="B63" i="29" s="1"/>
  <c r="G62" i="29"/>
  <c r="E62" i="29"/>
  <c r="B62" i="29"/>
  <c r="G61" i="29"/>
  <c r="E61" i="29"/>
  <c r="B61" i="29"/>
  <c r="G60" i="29"/>
  <c r="E60" i="29" s="1"/>
  <c r="B60" i="29" s="1"/>
  <c r="G59" i="29"/>
  <c r="E59" i="29"/>
  <c r="B59" i="29" s="1"/>
  <c r="G58" i="29"/>
  <c r="E58" i="29"/>
  <c r="B58" i="29" s="1"/>
  <c r="G57" i="29"/>
  <c r="E57" i="29"/>
  <c r="B57" i="29"/>
  <c r="G56" i="29"/>
  <c r="E56" i="29" s="1"/>
  <c r="B56" i="29" s="1"/>
  <c r="G55" i="29"/>
  <c r="E55" i="29"/>
  <c r="B55" i="29" s="1"/>
  <c r="G54" i="29"/>
  <c r="E54" i="29"/>
  <c r="B54" i="29"/>
  <c r="L52" i="29"/>
  <c r="K52" i="29"/>
  <c r="J52" i="29"/>
  <c r="I52" i="29"/>
  <c r="H52" i="29"/>
  <c r="C52" i="29"/>
  <c r="G49" i="29"/>
  <c r="E49" i="29"/>
  <c r="B49" i="29"/>
  <c r="G48" i="29"/>
  <c r="E48" i="29" s="1"/>
  <c r="B48" i="29"/>
  <c r="G47" i="29"/>
  <c r="E47" i="29" s="1"/>
  <c r="B47" i="29" s="1"/>
  <c r="G46" i="29"/>
  <c r="E46" i="29" s="1"/>
  <c r="B46" i="29" s="1"/>
  <c r="G45" i="29"/>
  <c r="E45" i="29"/>
  <c r="B45" i="29"/>
  <c r="G44" i="29"/>
  <c r="E44" i="29" s="1"/>
  <c r="B44" i="29"/>
  <c r="G43" i="29"/>
  <c r="E43" i="29" s="1"/>
  <c r="B43" i="29" s="1"/>
  <c r="G42" i="29"/>
  <c r="E42" i="29" s="1"/>
  <c r="B42" i="29" s="1"/>
  <c r="G41" i="29"/>
  <c r="E41" i="29"/>
  <c r="B41" i="29" s="1"/>
  <c r="G40" i="29"/>
  <c r="E40" i="29" s="1"/>
  <c r="B40" i="29"/>
  <c r="G39" i="29"/>
  <c r="E39" i="29" s="1"/>
  <c r="B39" i="29" s="1"/>
  <c r="G38" i="29"/>
  <c r="E38" i="29" s="1"/>
  <c r="B38" i="29" s="1"/>
  <c r="G37" i="29"/>
  <c r="E37" i="29"/>
  <c r="B37" i="29"/>
  <c r="G36" i="29"/>
  <c r="E36" i="29" s="1"/>
  <c r="B36" i="29"/>
  <c r="G35" i="29"/>
  <c r="E35" i="29" s="1"/>
  <c r="B35" i="29" s="1"/>
  <c r="G34" i="29"/>
  <c r="E34" i="29" s="1"/>
  <c r="B34" i="29" s="1"/>
  <c r="G33" i="29"/>
  <c r="E33" i="29"/>
  <c r="B33" i="29"/>
  <c r="G32" i="29"/>
  <c r="E32" i="29" s="1"/>
  <c r="B32" i="29"/>
  <c r="G31" i="29"/>
  <c r="E31" i="29" s="1"/>
  <c r="B31" i="29" s="1"/>
  <c r="G30" i="29"/>
  <c r="E30" i="29" s="1"/>
  <c r="B30" i="29" s="1"/>
  <c r="G29" i="29"/>
  <c r="E29" i="29"/>
  <c r="B29" i="29"/>
  <c r="G28" i="29"/>
  <c r="E28" i="29" s="1"/>
  <c r="B28" i="29"/>
  <c r="G27" i="29"/>
  <c r="E27" i="29" s="1"/>
  <c r="B27" i="29" s="1"/>
  <c r="G26" i="29"/>
  <c r="E26" i="29" s="1"/>
  <c r="B26" i="29" s="1"/>
  <c r="G25" i="29"/>
  <c r="E25" i="29"/>
  <c r="B25" i="29" s="1"/>
  <c r="G24" i="29"/>
  <c r="E24" i="29"/>
  <c r="B24" i="29"/>
  <c r="G23" i="29"/>
  <c r="E23" i="29" s="1"/>
  <c r="B23" i="29" s="1"/>
  <c r="G22" i="29"/>
  <c r="E22" i="29"/>
  <c r="B22" i="29" s="1"/>
  <c r="G21" i="29"/>
  <c r="E21" i="29"/>
  <c r="B21" i="29" s="1"/>
  <c r="G20" i="29"/>
  <c r="E20" i="29"/>
  <c r="B20" i="29"/>
  <c r="G19" i="29"/>
  <c r="E19" i="29" s="1"/>
  <c r="B19" i="29" s="1"/>
  <c r="G18" i="29"/>
  <c r="E18" i="29"/>
  <c r="L16" i="29"/>
  <c r="K16" i="29"/>
  <c r="J16" i="29"/>
  <c r="I16" i="29"/>
  <c r="H16" i="29"/>
  <c r="C16" i="29"/>
  <c r="G659" i="28"/>
  <c r="D659" i="28" s="1"/>
  <c r="B659" i="28" s="1"/>
  <c r="G658" i="28"/>
  <c r="D658" i="28" s="1"/>
  <c r="B658" i="28" s="1"/>
  <c r="G657" i="28"/>
  <c r="D657" i="28" s="1"/>
  <c r="B657" i="28" s="1"/>
  <c r="G656" i="28"/>
  <c r="D656" i="28" s="1"/>
  <c r="B656" i="28" s="1"/>
  <c r="G655" i="28"/>
  <c r="D655" i="28" s="1"/>
  <c r="B655" i="28" s="1"/>
  <c r="G654" i="28"/>
  <c r="D654" i="28" s="1"/>
  <c r="B654" i="28" s="1"/>
  <c r="G653" i="28"/>
  <c r="D653" i="28" s="1"/>
  <c r="B653" i="28" s="1"/>
  <c r="G652" i="28"/>
  <c r="D652" i="28" s="1"/>
  <c r="B652" i="28" s="1"/>
  <c r="G651" i="28"/>
  <c r="D651" i="28" s="1"/>
  <c r="B651" i="28" s="1"/>
  <c r="G650" i="28"/>
  <c r="D650" i="28" s="1"/>
  <c r="B650" i="28" s="1"/>
  <c r="G649" i="28"/>
  <c r="D649" i="28" s="1"/>
  <c r="B649" i="28" s="1"/>
  <c r="G648" i="28"/>
  <c r="D648" i="28" s="1"/>
  <c r="B648" i="28" s="1"/>
  <c r="G647" i="28"/>
  <c r="D647" i="28" s="1"/>
  <c r="B647" i="28" s="1"/>
  <c r="G646" i="28"/>
  <c r="D646" i="28" s="1"/>
  <c r="B646" i="28" s="1"/>
  <c r="G645" i="28"/>
  <c r="D645" i="28" s="1"/>
  <c r="B645" i="28" s="1"/>
  <c r="G644" i="28"/>
  <c r="D644" i="28" s="1"/>
  <c r="B644" i="28" s="1"/>
  <c r="G643" i="28"/>
  <c r="D643" i="28" s="1"/>
  <c r="B643" i="28" s="1"/>
  <c r="G642" i="28"/>
  <c r="D642" i="28" s="1"/>
  <c r="B642" i="28" s="1"/>
  <c r="G641" i="28"/>
  <c r="D641" i="28" s="1"/>
  <c r="B641" i="28" s="1"/>
  <c r="G640" i="28"/>
  <c r="D640" i="28" s="1"/>
  <c r="B640" i="28" s="1"/>
  <c r="G639" i="28"/>
  <c r="D639" i="28" s="1"/>
  <c r="B639" i="28" s="1"/>
  <c r="G638" i="28"/>
  <c r="D638" i="28" s="1"/>
  <c r="B638" i="28" s="1"/>
  <c r="G637" i="28"/>
  <c r="D637" i="28" s="1"/>
  <c r="B637" i="28" s="1"/>
  <c r="G636" i="28"/>
  <c r="D636" i="28" s="1"/>
  <c r="B636" i="28" s="1"/>
  <c r="G635" i="28"/>
  <c r="D635" i="28" s="1"/>
  <c r="B635" i="28" s="1"/>
  <c r="G634" i="28"/>
  <c r="D634" i="28" s="1"/>
  <c r="B634" i="28" s="1"/>
  <c r="G633" i="28"/>
  <c r="D633" i="28" s="1"/>
  <c r="B633" i="28" s="1"/>
  <c r="G632" i="28"/>
  <c r="D632" i="28" s="1"/>
  <c r="B632" i="28" s="1"/>
  <c r="G631" i="28"/>
  <c r="D631" i="28" s="1"/>
  <c r="B631" i="28" s="1"/>
  <c r="G630" i="28"/>
  <c r="D630" i="28" s="1"/>
  <c r="B630" i="28" s="1"/>
  <c r="G629" i="28"/>
  <c r="D629" i="28" s="1"/>
  <c r="B629" i="28" s="1"/>
  <c r="G628" i="28"/>
  <c r="N626" i="28"/>
  <c r="M626" i="28"/>
  <c r="L626" i="28"/>
  <c r="K626" i="28"/>
  <c r="J626" i="28"/>
  <c r="I626" i="28"/>
  <c r="H626" i="28"/>
  <c r="E626" i="28"/>
  <c r="G623" i="28"/>
  <c r="D623" i="28"/>
  <c r="B623" i="28"/>
  <c r="G622" i="28"/>
  <c r="D622" i="28"/>
  <c r="B622" i="28"/>
  <c r="G621" i="28"/>
  <c r="D621" i="28" s="1"/>
  <c r="B621" i="28" s="1"/>
  <c r="G620" i="28"/>
  <c r="D620" i="28" s="1"/>
  <c r="B620" i="28" s="1"/>
  <c r="G619" i="28"/>
  <c r="D619" i="28"/>
  <c r="B619" i="28" s="1"/>
  <c r="G618" i="28"/>
  <c r="D618" i="28"/>
  <c r="B618" i="28"/>
  <c r="G617" i="28"/>
  <c r="D617" i="28" s="1"/>
  <c r="B617" i="28" s="1"/>
  <c r="G616" i="28"/>
  <c r="D616" i="28"/>
  <c r="B616" i="28" s="1"/>
  <c r="G615" i="28"/>
  <c r="D615" i="28"/>
  <c r="B615" i="28" s="1"/>
  <c r="G614" i="28"/>
  <c r="D614" i="28"/>
  <c r="B614" i="28"/>
  <c r="G613" i="28"/>
  <c r="D613" i="28" s="1"/>
  <c r="B613" i="28" s="1"/>
  <c r="G612" i="28"/>
  <c r="D612" i="28"/>
  <c r="B612" i="28" s="1"/>
  <c r="G611" i="28"/>
  <c r="D611" i="28"/>
  <c r="B611" i="28"/>
  <c r="G610" i="28"/>
  <c r="D610" i="28"/>
  <c r="B610" i="28"/>
  <c r="G609" i="28"/>
  <c r="D609" i="28" s="1"/>
  <c r="B609" i="28" s="1"/>
  <c r="G608" i="28"/>
  <c r="D608" i="28"/>
  <c r="B608" i="28" s="1"/>
  <c r="G607" i="28"/>
  <c r="D607" i="28"/>
  <c r="B607" i="28"/>
  <c r="G606" i="28"/>
  <c r="D606" i="28"/>
  <c r="B606" i="28"/>
  <c r="G605" i="28"/>
  <c r="D605" i="28" s="1"/>
  <c r="B605" i="28" s="1"/>
  <c r="G604" i="28"/>
  <c r="D604" i="28" s="1"/>
  <c r="B604" i="28" s="1"/>
  <c r="G603" i="28"/>
  <c r="D603" i="28"/>
  <c r="B603" i="28"/>
  <c r="G602" i="28"/>
  <c r="D602" i="28"/>
  <c r="B602" i="28"/>
  <c r="G601" i="28"/>
  <c r="D601" i="28" s="1"/>
  <c r="B601" i="28" s="1"/>
  <c r="G600" i="28"/>
  <c r="D600" i="28"/>
  <c r="B600" i="28" s="1"/>
  <c r="G599" i="28"/>
  <c r="D599" i="28"/>
  <c r="B599" i="28" s="1"/>
  <c r="G598" i="28"/>
  <c r="D598" i="28"/>
  <c r="B598" i="28"/>
  <c r="G597" i="28"/>
  <c r="D597" i="28" s="1"/>
  <c r="B597" i="28" s="1"/>
  <c r="G596" i="28"/>
  <c r="D596" i="28"/>
  <c r="B596" i="28" s="1"/>
  <c r="G595" i="28"/>
  <c r="D595" i="28"/>
  <c r="B595" i="28"/>
  <c r="G594" i="28"/>
  <c r="D594" i="28"/>
  <c r="B594" i="28"/>
  <c r="G593" i="28"/>
  <c r="D593" i="28" s="1"/>
  <c r="B593" i="28" s="1"/>
  <c r="G592" i="28"/>
  <c r="D592" i="28"/>
  <c r="N590" i="28"/>
  <c r="M590" i="28"/>
  <c r="L590" i="28"/>
  <c r="K590" i="28"/>
  <c r="J590" i="28"/>
  <c r="I590" i="28"/>
  <c r="H590" i="28"/>
  <c r="E590" i="28"/>
  <c r="G587" i="28"/>
  <c r="D587" i="28"/>
  <c r="B587" i="28"/>
  <c r="G586" i="28"/>
  <c r="D586" i="28" s="1"/>
  <c r="B586" i="28" s="1"/>
  <c r="G585" i="28"/>
  <c r="D585" i="28"/>
  <c r="B585" i="28" s="1"/>
  <c r="G584" i="28"/>
  <c r="D584" i="28"/>
  <c r="B584" i="28"/>
  <c r="G583" i="28"/>
  <c r="D583" i="28"/>
  <c r="B583" i="28"/>
  <c r="G582" i="28"/>
  <c r="D582" i="28" s="1"/>
  <c r="B582" i="28" s="1"/>
  <c r="G581" i="28"/>
  <c r="D581" i="28" s="1"/>
  <c r="B581" i="28" s="1"/>
  <c r="G580" i="28"/>
  <c r="D580" i="28"/>
  <c r="B580" i="28"/>
  <c r="G579" i="28"/>
  <c r="D579" i="28"/>
  <c r="B579" i="28"/>
  <c r="G578" i="28"/>
  <c r="D578" i="28" s="1"/>
  <c r="B578" i="28" s="1"/>
  <c r="G577" i="28"/>
  <c r="D577" i="28"/>
  <c r="B577" i="28" s="1"/>
  <c r="G576" i="28"/>
  <c r="D576" i="28"/>
  <c r="B576" i="28" s="1"/>
  <c r="G575" i="28"/>
  <c r="D575" i="28"/>
  <c r="B575" i="28"/>
  <c r="G574" i="28"/>
  <c r="D574" i="28" s="1"/>
  <c r="B574" i="28" s="1"/>
  <c r="G573" i="28"/>
  <c r="D573" i="28"/>
  <c r="B573" i="28" s="1"/>
  <c r="G572" i="28"/>
  <c r="D572" i="28"/>
  <c r="B572" i="28"/>
  <c r="G571" i="28"/>
  <c r="D571" i="28"/>
  <c r="B571" i="28"/>
  <c r="G570" i="28"/>
  <c r="D570" i="28" s="1"/>
  <c r="B570" i="28" s="1"/>
  <c r="G569" i="28"/>
  <c r="D569" i="28"/>
  <c r="B569" i="28" s="1"/>
  <c r="G568" i="28"/>
  <c r="D568" i="28"/>
  <c r="B568" i="28"/>
  <c r="G567" i="28"/>
  <c r="D567" i="28"/>
  <c r="B567" i="28"/>
  <c r="G566" i="28"/>
  <c r="D566" i="28" s="1"/>
  <c r="B566" i="28" s="1"/>
  <c r="G565" i="28"/>
  <c r="D565" i="28" s="1"/>
  <c r="B565" i="28" s="1"/>
  <c r="G564" i="28"/>
  <c r="D564" i="28"/>
  <c r="B564" i="28" s="1"/>
  <c r="G563" i="28"/>
  <c r="D563" i="28"/>
  <c r="B563" i="28"/>
  <c r="G562" i="28"/>
  <c r="G561" i="28"/>
  <c r="D561" i="28"/>
  <c r="B561" i="28" s="1"/>
  <c r="G560" i="28"/>
  <c r="D560" i="28"/>
  <c r="B560" i="28" s="1"/>
  <c r="G559" i="28"/>
  <c r="D559" i="28"/>
  <c r="B559" i="28"/>
  <c r="G558" i="28"/>
  <c r="D558" i="28" s="1"/>
  <c r="B558" i="28" s="1"/>
  <c r="G557" i="28"/>
  <c r="D557" i="28"/>
  <c r="B557" i="28" s="1"/>
  <c r="G556" i="28"/>
  <c r="D556" i="28"/>
  <c r="B556" i="28"/>
  <c r="N554" i="28"/>
  <c r="M554" i="28"/>
  <c r="L554" i="28"/>
  <c r="K554" i="28"/>
  <c r="J554" i="28"/>
  <c r="I554" i="28"/>
  <c r="H554" i="28"/>
  <c r="E554" i="28"/>
  <c r="G551" i="28"/>
  <c r="D551" i="28" s="1"/>
  <c r="B551" i="28" s="1"/>
  <c r="G550" i="28"/>
  <c r="D550" i="28"/>
  <c r="B550" i="28" s="1"/>
  <c r="G549" i="28"/>
  <c r="D549" i="28"/>
  <c r="B549" i="28"/>
  <c r="G548" i="28"/>
  <c r="D548" i="28"/>
  <c r="B548" i="28"/>
  <c r="G547" i="28"/>
  <c r="D547" i="28" s="1"/>
  <c r="B547" i="28" s="1"/>
  <c r="G546" i="28"/>
  <c r="D546" i="28"/>
  <c r="B546" i="28" s="1"/>
  <c r="G545" i="28"/>
  <c r="D545" i="28"/>
  <c r="B545" i="28"/>
  <c r="G544" i="28"/>
  <c r="D544" i="28"/>
  <c r="B544" i="28"/>
  <c r="G543" i="28"/>
  <c r="D543" i="28" s="1"/>
  <c r="B543" i="28" s="1"/>
  <c r="G542" i="28"/>
  <c r="D542" i="28" s="1"/>
  <c r="B542" i="28" s="1"/>
  <c r="G541" i="28"/>
  <c r="D541" i="28"/>
  <c r="B541" i="28"/>
  <c r="G540" i="28"/>
  <c r="D540" i="28"/>
  <c r="B540" i="28"/>
  <c r="G539" i="28"/>
  <c r="D539" i="28" s="1"/>
  <c r="B539" i="28" s="1"/>
  <c r="G538" i="28"/>
  <c r="D538" i="28"/>
  <c r="B538" i="28" s="1"/>
  <c r="G537" i="28"/>
  <c r="D537" i="28"/>
  <c r="B537" i="28" s="1"/>
  <c r="G536" i="28"/>
  <c r="D536" i="28"/>
  <c r="B536" i="28"/>
  <c r="G535" i="28"/>
  <c r="D535" i="28" s="1"/>
  <c r="B535" i="28" s="1"/>
  <c r="G534" i="28"/>
  <c r="D534" i="28"/>
  <c r="B534" i="28" s="1"/>
  <c r="G533" i="28"/>
  <c r="D533" i="28"/>
  <c r="B533" i="28"/>
  <c r="G532" i="28"/>
  <c r="D532" i="28"/>
  <c r="B532" i="28"/>
  <c r="G531" i="28"/>
  <c r="D531" i="28" s="1"/>
  <c r="B531" i="28" s="1"/>
  <c r="G530" i="28"/>
  <c r="D530" i="28" s="1"/>
  <c r="B530" i="28" s="1"/>
  <c r="G529" i="28"/>
  <c r="D529" i="28"/>
  <c r="B529" i="28"/>
  <c r="G528" i="28"/>
  <c r="D528" i="28"/>
  <c r="B528" i="28"/>
  <c r="G527" i="28"/>
  <c r="D527" i="28" s="1"/>
  <c r="B527" i="28" s="1"/>
  <c r="G526" i="28"/>
  <c r="D526" i="28" s="1"/>
  <c r="B526" i="28" s="1"/>
  <c r="G525" i="28"/>
  <c r="D525" i="28"/>
  <c r="B525" i="28"/>
  <c r="G524" i="28"/>
  <c r="D524" i="28"/>
  <c r="B524" i="28"/>
  <c r="G523" i="28"/>
  <c r="D523" i="28" s="1"/>
  <c r="B523" i="28" s="1"/>
  <c r="G522" i="28"/>
  <c r="D522" i="28"/>
  <c r="B522" i="28" s="1"/>
  <c r="G521" i="28"/>
  <c r="D521" i="28"/>
  <c r="G520" i="28"/>
  <c r="D520" i="28"/>
  <c r="B520" i="28"/>
  <c r="N518" i="28"/>
  <c r="M518" i="28"/>
  <c r="L518" i="28"/>
  <c r="K518" i="28"/>
  <c r="J518" i="28"/>
  <c r="I518" i="28"/>
  <c r="H518" i="28"/>
  <c r="E518" i="28"/>
  <c r="G515" i="28"/>
  <c r="D515" i="28"/>
  <c r="B515" i="28" s="1"/>
  <c r="G514" i="28"/>
  <c r="D514" i="28"/>
  <c r="B514" i="28" s="1"/>
  <c r="G513" i="28"/>
  <c r="D513" i="28"/>
  <c r="B513" i="28"/>
  <c r="G512" i="28"/>
  <c r="D512" i="28" s="1"/>
  <c r="B512" i="28" s="1"/>
  <c r="G511" i="28"/>
  <c r="D511" i="28"/>
  <c r="B511" i="28" s="1"/>
  <c r="G510" i="28"/>
  <c r="D510" i="28"/>
  <c r="B510" i="28"/>
  <c r="G509" i="28"/>
  <c r="D509" i="28"/>
  <c r="B509" i="28"/>
  <c r="G508" i="28"/>
  <c r="D508" i="28" s="1"/>
  <c r="B508" i="28" s="1"/>
  <c r="G507" i="28"/>
  <c r="D507" i="28" s="1"/>
  <c r="B507" i="28" s="1"/>
  <c r="G506" i="28"/>
  <c r="D506" i="28"/>
  <c r="B506" i="28" s="1"/>
  <c r="G505" i="28"/>
  <c r="D505" i="28"/>
  <c r="B505" i="28"/>
  <c r="G504" i="28"/>
  <c r="D504" i="28" s="1"/>
  <c r="B504" i="28" s="1"/>
  <c r="G503" i="28"/>
  <c r="D503" i="28"/>
  <c r="B503" i="28" s="1"/>
  <c r="G502" i="28"/>
  <c r="D502" i="28"/>
  <c r="B502" i="28" s="1"/>
  <c r="G501" i="28"/>
  <c r="D501" i="28"/>
  <c r="B501" i="28"/>
  <c r="G500" i="28"/>
  <c r="D500" i="28" s="1"/>
  <c r="B500" i="28" s="1"/>
  <c r="G499" i="28"/>
  <c r="D499" i="28"/>
  <c r="B499" i="28" s="1"/>
  <c r="G498" i="28"/>
  <c r="D498" i="28"/>
  <c r="B498" i="28"/>
  <c r="G497" i="28"/>
  <c r="D497" i="28" s="1"/>
  <c r="B497" i="28"/>
  <c r="G496" i="28"/>
  <c r="D496" i="28" s="1"/>
  <c r="B496" i="28" s="1"/>
  <c r="G495" i="28"/>
  <c r="D495" i="28"/>
  <c r="B495" i="28" s="1"/>
  <c r="G494" i="28"/>
  <c r="D494" i="28"/>
  <c r="B494" i="28"/>
  <c r="G493" i="28"/>
  <c r="D493" i="28" s="1"/>
  <c r="B493" i="28"/>
  <c r="G492" i="28"/>
  <c r="D492" i="28" s="1"/>
  <c r="B492" i="28" s="1"/>
  <c r="G491" i="28"/>
  <c r="D491" i="28"/>
  <c r="B491" i="28" s="1"/>
  <c r="G490" i="28"/>
  <c r="D490" i="28"/>
  <c r="B490" i="28"/>
  <c r="G489" i="28"/>
  <c r="D489" i="28" s="1"/>
  <c r="B489" i="28"/>
  <c r="G488" i="28"/>
  <c r="D488" i="28" s="1"/>
  <c r="B488" i="28" s="1"/>
  <c r="G487" i="28"/>
  <c r="D487" i="28"/>
  <c r="B487" i="28" s="1"/>
  <c r="G486" i="28"/>
  <c r="D486" i="28"/>
  <c r="B486" i="28" s="1"/>
  <c r="G485" i="28"/>
  <c r="D485" i="28"/>
  <c r="B485" i="28"/>
  <c r="G484" i="28"/>
  <c r="N482" i="28"/>
  <c r="M482" i="28"/>
  <c r="L482" i="28"/>
  <c r="K482" i="28"/>
  <c r="J482" i="28"/>
  <c r="I482" i="28"/>
  <c r="H482" i="28"/>
  <c r="E482" i="28"/>
  <c r="G479" i="28"/>
  <c r="D479" i="28"/>
  <c r="B479" i="28"/>
  <c r="G478" i="28"/>
  <c r="D478" i="28" s="1"/>
  <c r="B478" i="28"/>
  <c r="G477" i="28"/>
  <c r="D477" i="28" s="1"/>
  <c r="B477" i="28" s="1"/>
  <c r="G476" i="28"/>
  <c r="D476" i="28"/>
  <c r="B476" i="28" s="1"/>
  <c r="G475" i="28"/>
  <c r="D475" i="28"/>
  <c r="B475" i="28" s="1"/>
  <c r="G474" i="28"/>
  <c r="D474" i="28" s="1"/>
  <c r="B474" i="28"/>
  <c r="G473" i="28"/>
  <c r="D473" i="28" s="1"/>
  <c r="B473" i="28" s="1"/>
  <c r="G472" i="28"/>
  <c r="D472" i="28"/>
  <c r="B472" i="28" s="1"/>
  <c r="G471" i="28"/>
  <c r="D471" i="28"/>
  <c r="B471" i="28" s="1"/>
  <c r="G470" i="28"/>
  <c r="D470" i="28" s="1"/>
  <c r="B470" i="28" s="1"/>
  <c r="G469" i="28"/>
  <c r="D469" i="28" s="1"/>
  <c r="B469" i="28" s="1"/>
  <c r="G468" i="28"/>
  <c r="D468" i="28"/>
  <c r="B468" i="28" s="1"/>
  <c r="G467" i="28"/>
  <c r="D467" i="28"/>
  <c r="B467" i="28" s="1"/>
  <c r="G466" i="28"/>
  <c r="D466" i="28" s="1"/>
  <c r="B466" i="28"/>
  <c r="G465" i="28"/>
  <c r="D465" i="28" s="1"/>
  <c r="B465" i="28" s="1"/>
  <c r="G464" i="28"/>
  <c r="D464" i="28"/>
  <c r="B464" i="28" s="1"/>
  <c r="G463" i="28"/>
  <c r="D463" i="28"/>
  <c r="B463" i="28" s="1"/>
  <c r="G462" i="28"/>
  <c r="D462" i="28" s="1"/>
  <c r="B462" i="28"/>
  <c r="G461" i="28"/>
  <c r="D461" i="28" s="1"/>
  <c r="B461" i="28" s="1"/>
  <c r="G460" i="28"/>
  <c r="D460" i="28"/>
  <c r="B460" i="28" s="1"/>
  <c r="G459" i="28"/>
  <c r="D459" i="28"/>
  <c r="B459" i="28" s="1"/>
  <c r="G458" i="28"/>
  <c r="D458" i="28" s="1"/>
  <c r="B458" i="28"/>
  <c r="G457" i="28"/>
  <c r="D457" i="28" s="1"/>
  <c r="B457" i="28" s="1"/>
  <c r="G456" i="28"/>
  <c r="D456" i="28"/>
  <c r="B456" i="28" s="1"/>
  <c r="G455" i="28"/>
  <c r="D455" i="28"/>
  <c r="B455" i="28" s="1"/>
  <c r="G454" i="28"/>
  <c r="D454" i="28" s="1"/>
  <c r="B454" i="28" s="1"/>
  <c r="G453" i="28"/>
  <c r="D453" i="28" s="1"/>
  <c r="B453" i="28" s="1"/>
  <c r="G452" i="28"/>
  <c r="D452" i="28"/>
  <c r="B452" i="28" s="1"/>
  <c r="G451" i="28"/>
  <c r="D451" i="28"/>
  <c r="B451" i="28" s="1"/>
  <c r="G450" i="28"/>
  <c r="D450" i="28" s="1"/>
  <c r="B450" i="28"/>
  <c r="G449" i="28"/>
  <c r="D449" i="28" s="1"/>
  <c r="B449" i="28" s="1"/>
  <c r="G448" i="28"/>
  <c r="D448" i="28"/>
  <c r="B448" i="28" s="1"/>
  <c r="N446" i="28"/>
  <c r="M446" i="28"/>
  <c r="L446" i="28"/>
  <c r="K446" i="28"/>
  <c r="J446" i="28"/>
  <c r="I446" i="28"/>
  <c r="H446" i="28"/>
  <c r="E446" i="28"/>
  <c r="D446" i="28"/>
  <c r="G443" i="28"/>
  <c r="D443" i="28"/>
  <c r="B443" i="28"/>
  <c r="G442" i="28"/>
  <c r="D442" i="28" s="1"/>
  <c r="B442" i="28" s="1"/>
  <c r="G441" i="28"/>
  <c r="D441" i="28"/>
  <c r="B441" i="28" s="1"/>
  <c r="G440" i="28"/>
  <c r="D440" i="28"/>
  <c r="B440" i="28" s="1"/>
  <c r="G439" i="28"/>
  <c r="D439" i="28"/>
  <c r="B439" i="28"/>
  <c r="G438" i="28"/>
  <c r="D438" i="28" s="1"/>
  <c r="B438" i="28" s="1"/>
  <c r="G437" i="28"/>
  <c r="D437" i="28"/>
  <c r="B437" i="28" s="1"/>
  <c r="G436" i="28"/>
  <c r="D436" i="28"/>
  <c r="B436" i="28"/>
  <c r="G435" i="28"/>
  <c r="D435" i="28"/>
  <c r="B435" i="28"/>
  <c r="G434" i="28"/>
  <c r="D434" i="28" s="1"/>
  <c r="B434" i="28" s="1"/>
  <c r="G433" i="28"/>
  <c r="D433" i="28" s="1"/>
  <c r="B433" i="28" s="1"/>
  <c r="G432" i="28"/>
  <c r="D432" i="28"/>
  <c r="B432" i="28" s="1"/>
  <c r="G431" i="28"/>
  <c r="D431" i="28"/>
  <c r="B431" i="28"/>
  <c r="G430" i="28"/>
  <c r="D430" i="28" s="1"/>
  <c r="B430" i="28" s="1"/>
  <c r="G429" i="28"/>
  <c r="D429" i="28" s="1"/>
  <c r="B429" i="28" s="1"/>
  <c r="G428" i="28"/>
  <c r="D428" i="28"/>
  <c r="B428" i="28" s="1"/>
  <c r="G427" i="28"/>
  <c r="D427" i="28"/>
  <c r="B427" i="28"/>
  <c r="G426" i="28"/>
  <c r="D426" i="28" s="1"/>
  <c r="B426" i="28" s="1"/>
  <c r="G425" i="28"/>
  <c r="D425" i="28"/>
  <c r="B425" i="28" s="1"/>
  <c r="G424" i="28"/>
  <c r="D424" i="28"/>
  <c r="B424" i="28" s="1"/>
  <c r="G423" i="28"/>
  <c r="D423" i="28"/>
  <c r="B423" i="28"/>
  <c r="G422" i="28"/>
  <c r="D422" i="28" s="1"/>
  <c r="B422" i="28" s="1"/>
  <c r="G421" i="28"/>
  <c r="D421" i="28"/>
  <c r="B421" i="28" s="1"/>
  <c r="G420" i="28"/>
  <c r="D420" i="28"/>
  <c r="B420" i="28"/>
  <c r="G419" i="28"/>
  <c r="D419" i="28"/>
  <c r="B419" i="28"/>
  <c r="G418" i="28"/>
  <c r="D418" i="28" s="1"/>
  <c r="B418" i="28" s="1"/>
  <c r="G417" i="28"/>
  <c r="D417" i="28" s="1"/>
  <c r="B417" i="28" s="1"/>
  <c r="G416" i="28"/>
  <c r="D416" i="28"/>
  <c r="B416" i="28" s="1"/>
  <c r="G415" i="28"/>
  <c r="D415" i="28"/>
  <c r="B415" i="28"/>
  <c r="G414" i="28"/>
  <c r="G413" i="28"/>
  <c r="D413" i="28" s="1"/>
  <c r="B413" i="28" s="1"/>
  <c r="G412" i="28"/>
  <c r="D412" i="28"/>
  <c r="N410" i="28"/>
  <c r="M410" i="28"/>
  <c r="L410" i="28"/>
  <c r="K410" i="28"/>
  <c r="J410" i="28"/>
  <c r="I410" i="28"/>
  <c r="H410" i="28"/>
  <c r="E410" i="28"/>
  <c r="G407" i="28"/>
  <c r="D407" i="28" s="1"/>
  <c r="B407" i="28" s="1"/>
  <c r="G406" i="28"/>
  <c r="D406" i="28" s="1"/>
  <c r="B406" i="28" s="1"/>
  <c r="G405" i="28"/>
  <c r="D405" i="28"/>
  <c r="B405" i="28" s="1"/>
  <c r="G404" i="28"/>
  <c r="D404" i="28" s="1"/>
  <c r="B404" i="28"/>
  <c r="G403" i="28"/>
  <c r="D403" i="28" s="1"/>
  <c r="B403" i="28" s="1"/>
  <c r="G402" i="28"/>
  <c r="D402" i="28" s="1"/>
  <c r="B402" i="28" s="1"/>
  <c r="G401" i="28"/>
  <c r="D401" i="28"/>
  <c r="B401" i="28" s="1"/>
  <c r="G400" i="28"/>
  <c r="D400" i="28" s="1"/>
  <c r="B400" i="28"/>
  <c r="G399" i="28"/>
  <c r="D399" i="28" s="1"/>
  <c r="B399" i="28" s="1"/>
  <c r="G398" i="28"/>
  <c r="D398" i="28" s="1"/>
  <c r="B398" i="28" s="1"/>
  <c r="G397" i="28"/>
  <c r="D397" i="28"/>
  <c r="B397" i="28" s="1"/>
  <c r="G396" i="28"/>
  <c r="D396" i="28" s="1"/>
  <c r="B396" i="28"/>
  <c r="G395" i="28"/>
  <c r="D395" i="28" s="1"/>
  <c r="B395" i="28" s="1"/>
  <c r="G394" i="28"/>
  <c r="D394" i="28"/>
  <c r="B394" i="28" s="1"/>
  <c r="G393" i="28"/>
  <c r="D393" i="28"/>
  <c r="B393" i="28" s="1"/>
  <c r="G392" i="28"/>
  <c r="D392" i="28" s="1"/>
  <c r="B392" i="28"/>
  <c r="G391" i="28"/>
  <c r="D391" i="28" s="1"/>
  <c r="B391" i="28" s="1"/>
  <c r="G390" i="28"/>
  <c r="D390" i="28"/>
  <c r="B390" i="28" s="1"/>
  <c r="G389" i="28"/>
  <c r="D389" i="28"/>
  <c r="B389" i="28" s="1"/>
  <c r="G388" i="28"/>
  <c r="D388" i="28" s="1"/>
  <c r="B388" i="28"/>
  <c r="G387" i="28"/>
  <c r="D387" i="28" s="1"/>
  <c r="B387" i="28" s="1"/>
  <c r="G386" i="28"/>
  <c r="D386" i="28"/>
  <c r="B386" i="28" s="1"/>
  <c r="G385" i="28"/>
  <c r="D385" i="28"/>
  <c r="B385" i="28" s="1"/>
  <c r="G384" i="28"/>
  <c r="D384" i="28" s="1"/>
  <c r="B384" i="28"/>
  <c r="G383" i="28"/>
  <c r="D383" i="28" s="1"/>
  <c r="B383" i="28" s="1"/>
  <c r="G382" i="28"/>
  <c r="D382" i="28"/>
  <c r="B382" i="28" s="1"/>
  <c r="G381" i="28"/>
  <c r="D381" i="28"/>
  <c r="B381" i="28" s="1"/>
  <c r="G380" i="28"/>
  <c r="D380" i="28" s="1"/>
  <c r="B380" i="28"/>
  <c r="G379" i="28"/>
  <c r="D379" i="28" s="1"/>
  <c r="B379" i="28" s="1"/>
  <c r="G378" i="28"/>
  <c r="D378" i="28"/>
  <c r="B378" i="28" s="1"/>
  <c r="G377" i="28"/>
  <c r="D377" i="28"/>
  <c r="B377" i="28" s="1"/>
  <c r="G376" i="28"/>
  <c r="D376" i="28" s="1"/>
  <c r="B376" i="28"/>
  <c r="N374" i="28"/>
  <c r="M374" i="28"/>
  <c r="L374" i="28"/>
  <c r="K374" i="28"/>
  <c r="J374" i="28"/>
  <c r="I374" i="28"/>
  <c r="H374" i="28"/>
  <c r="E374" i="28"/>
  <c r="G371" i="28"/>
  <c r="D371" i="28"/>
  <c r="B371" i="28" s="1"/>
  <c r="G370" i="28"/>
  <c r="D370" i="28"/>
  <c r="B370" i="28" s="1"/>
  <c r="G369" i="28"/>
  <c r="D369" i="28" s="1"/>
  <c r="B369" i="28"/>
  <c r="G368" i="28"/>
  <c r="D368" i="28" s="1"/>
  <c r="B368" i="28" s="1"/>
  <c r="G367" i="28"/>
  <c r="D367" i="28"/>
  <c r="B367" i="28" s="1"/>
  <c r="G366" i="28"/>
  <c r="D366" i="28"/>
  <c r="B366" i="28" s="1"/>
  <c r="G365" i="28"/>
  <c r="D365" i="28" s="1"/>
  <c r="B365" i="28"/>
  <c r="G364" i="28"/>
  <c r="D364" i="28" s="1"/>
  <c r="B364" i="28" s="1"/>
  <c r="G363" i="28"/>
  <c r="D363" i="28"/>
  <c r="B363" i="28" s="1"/>
  <c r="G362" i="28"/>
  <c r="D362" i="28"/>
  <c r="B362" i="28" s="1"/>
  <c r="G361" i="28"/>
  <c r="D361" i="28" s="1"/>
  <c r="B361" i="28"/>
  <c r="G360" i="28"/>
  <c r="D360" i="28" s="1"/>
  <c r="B360" i="28" s="1"/>
  <c r="G359" i="28"/>
  <c r="D359" i="28"/>
  <c r="B359" i="28" s="1"/>
  <c r="G358" i="28"/>
  <c r="D358" i="28"/>
  <c r="B358" i="28" s="1"/>
  <c r="G357" i="28"/>
  <c r="D357" i="28" s="1"/>
  <c r="B357" i="28"/>
  <c r="G356" i="28"/>
  <c r="D356" i="28" s="1"/>
  <c r="B356" i="28" s="1"/>
  <c r="G355" i="28"/>
  <c r="D355" i="28"/>
  <c r="B355" i="28" s="1"/>
  <c r="G354" i="28"/>
  <c r="D354" i="28"/>
  <c r="B354" i="28" s="1"/>
  <c r="G353" i="28"/>
  <c r="D353" i="28" s="1"/>
  <c r="B353" i="28"/>
  <c r="G352" i="28"/>
  <c r="D352" i="28" s="1"/>
  <c r="B352" i="28" s="1"/>
  <c r="G351" i="28"/>
  <c r="D351" i="28"/>
  <c r="B351" i="28" s="1"/>
  <c r="G350" i="28"/>
  <c r="D350" i="28"/>
  <c r="B350" i="28" s="1"/>
  <c r="G349" i="28"/>
  <c r="D349" i="28" s="1"/>
  <c r="B349" i="28"/>
  <c r="G348" i="28"/>
  <c r="D348" i="28" s="1"/>
  <c r="B348" i="28" s="1"/>
  <c r="G347" i="28"/>
  <c r="D347" i="28"/>
  <c r="B347" i="28" s="1"/>
  <c r="G346" i="28"/>
  <c r="D346" i="28"/>
  <c r="B346" i="28" s="1"/>
  <c r="G345" i="28"/>
  <c r="D345" i="28" s="1"/>
  <c r="B345" i="28"/>
  <c r="G344" i="28"/>
  <c r="D344" i="28" s="1"/>
  <c r="B344" i="28" s="1"/>
  <c r="G343" i="28"/>
  <c r="D343" i="28"/>
  <c r="B343" i="28" s="1"/>
  <c r="G342" i="28"/>
  <c r="D342" i="28"/>
  <c r="B342" i="28" s="1"/>
  <c r="G341" i="28"/>
  <c r="D341" i="28" s="1"/>
  <c r="B341" i="28"/>
  <c r="G340" i="28"/>
  <c r="N338" i="28"/>
  <c r="M338" i="28"/>
  <c r="L338" i="28"/>
  <c r="K338" i="28"/>
  <c r="J338" i="28"/>
  <c r="I338" i="28"/>
  <c r="H338" i="28"/>
  <c r="E338" i="28"/>
  <c r="G335" i="28"/>
  <c r="D335" i="28"/>
  <c r="B335" i="28"/>
  <c r="G334" i="28"/>
  <c r="D334" i="28" s="1"/>
  <c r="B334" i="28"/>
  <c r="G333" i="28"/>
  <c r="D333" i="28" s="1"/>
  <c r="B333" i="28" s="1"/>
  <c r="G332" i="28"/>
  <c r="D332" i="28" s="1"/>
  <c r="B332" i="28" s="1"/>
  <c r="G331" i="28"/>
  <c r="D331" i="28"/>
  <c r="B331" i="28"/>
  <c r="G330" i="28"/>
  <c r="D330" i="28" s="1"/>
  <c r="B330" i="28"/>
  <c r="G329" i="28"/>
  <c r="D329" i="28" s="1"/>
  <c r="B329" i="28" s="1"/>
  <c r="G328" i="28"/>
  <c r="D328" i="28" s="1"/>
  <c r="B328" i="28" s="1"/>
  <c r="G327" i="28"/>
  <c r="D327" i="28"/>
  <c r="B327" i="28"/>
  <c r="G326" i="28"/>
  <c r="D326" i="28" s="1"/>
  <c r="B326" i="28"/>
  <c r="G325" i="28"/>
  <c r="D325" i="28" s="1"/>
  <c r="B325" i="28" s="1"/>
  <c r="G324" i="28"/>
  <c r="D324" i="28" s="1"/>
  <c r="B324" i="28" s="1"/>
  <c r="G323" i="28"/>
  <c r="D323" i="28"/>
  <c r="B323" i="28"/>
  <c r="G322" i="28"/>
  <c r="D322" i="28" s="1"/>
  <c r="B322" i="28"/>
  <c r="G321" i="28"/>
  <c r="D321" i="28" s="1"/>
  <c r="B321" i="28" s="1"/>
  <c r="G320" i="28"/>
  <c r="D320" i="28" s="1"/>
  <c r="B320" i="28" s="1"/>
  <c r="G319" i="28"/>
  <c r="D319" i="28"/>
  <c r="B319" i="28"/>
  <c r="G318" i="28"/>
  <c r="D318" i="28" s="1"/>
  <c r="B318" i="28"/>
  <c r="G317" i="28"/>
  <c r="D317" i="28" s="1"/>
  <c r="B317" i="28" s="1"/>
  <c r="G316" i="28"/>
  <c r="D316" i="28" s="1"/>
  <c r="B316" i="28" s="1"/>
  <c r="G315" i="28"/>
  <c r="D315" i="28"/>
  <c r="B315" i="28"/>
  <c r="G314" i="28"/>
  <c r="D314" i="28" s="1"/>
  <c r="B314" i="28"/>
  <c r="G313" i="28"/>
  <c r="D313" i="28" s="1"/>
  <c r="B313" i="28" s="1"/>
  <c r="G312" i="28"/>
  <c r="D312" i="28" s="1"/>
  <c r="B312" i="28" s="1"/>
  <c r="G311" i="28"/>
  <c r="D311" i="28"/>
  <c r="B311" i="28"/>
  <c r="G310" i="28"/>
  <c r="D310" i="28" s="1"/>
  <c r="B310" i="28"/>
  <c r="G309" i="28"/>
  <c r="D309" i="28" s="1"/>
  <c r="B309" i="28" s="1"/>
  <c r="G308" i="28"/>
  <c r="D308" i="28" s="1"/>
  <c r="B308" i="28" s="1"/>
  <c r="G307" i="28"/>
  <c r="D307" i="28"/>
  <c r="B307" i="28"/>
  <c r="G306" i="28"/>
  <c r="D306" i="28" s="1"/>
  <c r="B306" i="28"/>
  <c r="G305" i="28"/>
  <c r="D305" i="28" s="1"/>
  <c r="B305" i="28" s="1"/>
  <c r="G304" i="28"/>
  <c r="G302" i="28" s="1"/>
  <c r="N302" i="28"/>
  <c r="M302" i="28"/>
  <c r="L302" i="28"/>
  <c r="K302" i="28"/>
  <c r="J302" i="28"/>
  <c r="I302" i="28"/>
  <c r="H302" i="28"/>
  <c r="E302" i="28"/>
  <c r="G299" i="28"/>
  <c r="D299" i="28"/>
  <c r="B299" i="28"/>
  <c r="G298" i="28"/>
  <c r="D298" i="28" s="1"/>
  <c r="B298" i="28" s="1"/>
  <c r="G297" i="28"/>
  <c r="D297" i="28" s="1"/>
  <c r="B297" i="28" s="1"/>
  <c r="G296" i="28"/>
  <c r="D296" i="28"/>
  <c r="B296" i="28"/>
  <c r="G295" i="28"/>
  <c r="D295" i="28"/>
  <c r="B295" i="28"/>
  <c r="G294" i="28"/>
  <c r="D294" i="28" s="1"/>
  <c r="B294" i="28" s="1"/>
  <c r="G293" i="28"/>
  <c r="D293" i="28"/>
  <c r="B293" i="28" s="1"/>
  <c r="G292" i="28"/>
  <c r="D292" i="28"/>
  <c r="B292" i="28" s="1"/>
  <c r="G291" i="28"/>
  <c r="D291" i="28"/>
  <c r="B291" i="28"/>
  <c r="G290" i="28"/>
  <c r="D290" i="28" s="1"/>
  <c r="B290" i="28" s="1"/>
  <c r="G289" i="28"/>
  <c r="D289" i="28"/>
  <c r="B289" i="28" s="1"/>
  <c r="G288" i="28"/>
  <c r="D288" i="28"/>
  <c r="B288" i="28"/>
  <c r="G287" i="28"/>
  <c r="D287" i="28"/>
  <c r="B287" i="28"/>
  <c r="G286" i="28"/>
  <c r="D286" i="28" s="1"/>
  <c r="B286" i="28" s="1"/>
  <c r="G285" i="28"/>
  <c r="D285" i="28"/>
  <c r="B285" i="28" s="1"/>
  <c r="G284" i="28"/>
  <c r="D284" i="28"/>
  <c r="B284" i="28"/>
  <c r="G283" i="28"/>
  <c r="D283" i="28"/>
  <c r="B283" i="28"/>
  <c r="G282" i="28"/>
  <c r="D282" i="28" s="1"/>
  <c r="B282" i="28" s="1"/>
  <c r="G281" i="28"/>
  <c r="D281" i="28" s="1"/>
  <c r="B281" i="28" s="1"/>
  <c r="G280" i="28"/>
  <c r="D280" i="28"/>
  <c r="B280" i="28"/>
  <c r="G279" i="28"/>
  <c r="D279" i="28"/>
  <c r="B279" i="28"/>
  <c r="G278" i="28"/>
  <c r="D278" i="28" s="1"/>
  <c r="B278" i="28" s="1"/>
  <c r="G277" i="28"/>
  <c r="D277" i="28"/>
  <c r="B277" i="28" s="1"/>
  <c r="G276" i="28"/>
  <c r="D276" i="28"/>
  <c r="B276" i="28" s="1"/>
  <c r="G275" i="28"/>
  <c r="D275" i="28"/>
  <c r="B275" i="28"/>
  <c r="G274" i="28"/>
  <c r="D274" i="28" s="1"/>
  <c r="B274" i="28" s="1"/>
  <c r="G273" i="28"/>
  <c r="D273" i="28"/>
  <c r="B273" i="28" s="1"/>
  <c r="G272" i="28"/>
  <c r="D272" i="28"/>
  <c r="B272" i="28"/>
  <c r="G271" i="28"/>
  <c r="D271" i="28"/>
  <c r="B271" i="28"/>
  <c r="G270" i="28"/>
  <c r="D270" i="28" s="1"/>
  <c r="B270" i="28" s="1"/>
  <c r="G269" i="28"/>
  <c r="D269" i="28"/>
  <c r="B269" i="28" s="1"/>
  <c r="G268" i="28"/>
  <c r="D268" i="28"/>
  <c r="B268" i="28"/>
  <c r="B266" i="28" s="1"/>
  <c r="N266" i="28"/>
  <c r="M266" i="28"/>
  <c r="L266" i="28"/>
  <c r="K266" i="28"/>
  <c r="J266" i="28"/>
  <c r="I266" i="28"/>
  <c r="H266" i="28"/>
  <c r="E266" i="28"/>
  <c r="G263" i="28"/>
  <c r="D263" i="28" s="1"/>
  <c r="B263" i="28" s="1"/>
  <c r="G262" i="28"/>
  <c r="D262" i="28"/>
  <c r="B262" i="28" s="1"/>
  <c r="G261" i="28"/>
  <c r="D261" i="28"/>
  <c r="B261" i="28"/>
  <c r="G260" i="28"/>
  <c r="D260" i="28" s="1"/>
  <c r="B260" i="28" s="1"/>
  <c r="G259" i="28"/>
  <c r="D259" i="28" s="1"/>
  <c r="B259" i="28" s="1"/>
  <c r="G258" i="28"/>
  <c r="D258" i="28"/>
  <c r="B258" i="28" s="1"/>
  <c r="G257" i="28"/>
  <c r="D257" i="28"/>
  <c r="B257" i="28"/>
  <c r="G256" i="28"/>
  <c r="D256" i="28" s="1"/>
  <c r="B256" i="28" s="1"/>
  <c r="G255" i="28"/>
  <c r="D255" i="28" s="1"/>
  <c r="B255" i="28" s="1"/>
  <c r="G254" i="28"/>
  <c r="D254" i="28"/>
  <c r="B254" i="28" s="1"/>
  <c r="G253" i="28"/>
  <c r="D253" i="28"/>
  <c r="B253" i="28"/>
  <c r="G252" i="28"/>
  <c r="D252" i="28"/>
  <c r="B252" i="28"/>
  <c r="G251" i="28"/>
  <c r="D251" i="28" s="1"/>
  <c r="B251" i="28" s="1"/>
  <c r="G250" i="28"/>
  <c r="D250" i="28" s="1"/>
  <c r="B250" i="28" s="1"/>
  <c r="G249" i="28"/>
  <c r="D249" i="28"/>
  <c r="B249" i="28"/>
  <c r="G248" i="28"/>
  <c r="D248" i="28"/>
  <c r="B248" i="28"/>
  <c r="G247" i="28"/>
  <c r="D247" i="28" s="1"/>
  <c r="B247" i="28" s="1"/>
  <c r="G246" i="28"/>
  <c r="D246" i="28"/>
  <c r="B246" i="28" s="1"/>
  <c r="G245" i="28"/>
  <c r="D245" i="28"/>
  <c r="B245" i="28" s="1"/>
  <c r="G244" i="28"/>
  <c r="D244" i="28"/>
  <c r="B244" i="28"/>
  <c r="G243" i="28"/>
  <c r="D243" i="28" s="1"/>
  <c r="B243" i="28" s="1"/>
  <c r="G242" i="28"/>
  <c r="D242" i="28"/>
  <c r="B242" i="28" s="1"/>
  <c r="G241" i="28"/>
  <c r="D241" i="28"/>
  <c r="B241" i="28"/>
  <c r="G240" i="28"/>
  <c r="D240" i="28"/>
  <c r="B240" i="28"/>
  <c r="G239" i="28"/>
  <c r="D239" i="28" s="1"/>
  <c r="B239" i="28" s="1"/>
  <c r="G238" i="28"/>
  <c r="D238" i="28"/>
  <c r="B238" i="28" s="1"/>
  <c r="G237" i="28"/>
  <c r="D237" i="28"/>
  <c r="B237" i="28"/>
  <c r="G236" i="28"/>
  <c r="D236" i="28"/>
  <c r="B236" i="28"/>
  <c r="G235" i="28"/>
  <c r="D235" i="28" s="1"/>
  <c r="B235" i="28" s="1"/>
  <c r="G234" i="28"/>
  <c r="D234" i="28" s="1"/>
  <c r="B234" i="28" s="1"/>
  <c r="G233" i="28"/>
  <c r="D233" i="28"/>
  <c r="B233" i="28"/>
  <c r="G232" i="28"/>
  <c r="D232" i="28"/>
  <c r="B232" i="28"/>
  <c r="N230" i="28"/>
  <c r="M230" i="28"/>
  <c r="L230" i="28"/>
  <c r="K230" i="28"/>
  <c r="J230" i="28"/>
  <c r="I230" i="28"/>
  <c r="H230" i="28"/>
  <c r="E230" i="28"/>
  <c r="G227" i="28"/>
  <c r="D227" i="28"/>
  <c r="B227" i="28" s="1"/>
  <c r="G226" i="28"/>
  <c r="D226" i="28"/>
  <c r="B226" i="28" s="1"/>
  <c r="G225" i="28"/>
  <c r="D225" i="28"/>
  <c r="B225" i="28"/>
  <c r="G224" i="28"/>
  <c r="D224" i="28" s="1"/>
  <c r="B224" i="28" s="1"/>
  <c r="G223" i="28"/>
  <c r="D223" i="28"/>
  <c r="B223" i="28" s="1"/>
  <c r="G222" i="28"/>
  <c r="D222" i="28"/>
  <c r="B222" i="28"/>
  <c r="G221" i="28"/>
  <c r="D221" i="28"/>
  <c r="B221" i="28"/>
  <c r="G220" i="28"/>
  <c r="D220" i="28" s="1"/>
  <c r="B220" i="28" s="1"/>
  <c r="G219" i="28"/>
  <c r="D219" i="28"/>
  <c r="B219" i="28" s="1"/>
  <c r="G218" i="28"/>
  <c r="D218" i="28"/>
  <c r="B218" i="28"/>
  <c r="G217" i="28"/>
  <c r="D217" i="28"/>
  <c r="B217" i="28"/>
  <c r="G216" i="28"/>
  <c r="D216" i="28" s="1"/>
  <c r="B216" i="28" s="1"/>
  <c r="G215" i="28"/>
  <c r="D215" i="28" s="1"/>
  <c r="B215" i="28" s="1"/>
  <c r="G214" i="28"/>
  <c r="D214" i="28"/>
  <c r="B214" i="28"/>
  <c r="G213" i="28"/>
  <c r="D213" i="28"/>
  <c r="B213" i="28"/>
  <c r="G212" i="28"/>
  <c r="D212" i="28" s="1"/>
  <c r="B212" i="28" s="1"/>
  <c r="G211" i="28"/>
  <c r="D211" i="28"/>
  <c r="B211" i="28" s="1"/>
  <c r="G210" i="28"/>
  <c r="D210" i="28"/>
  <c r="B210" i="28" s="1"/>
  <c r="G209" i="28"/>
  <c r="D209" i="28"/>
  <c r="B209" i="28"/>
  <c r="G208" i="28"/>
  <c r="D208" i="28" s="1"/>
  <c r="B208" i="28" s="1"/>
  <c r="G207" i="28"/>
  <c r="D207" i="28"/>
  <c r="B207" i="28" s="1"/>
  <c r="G206" i="28"/>
  <c r="D206" i="28"/>
  <c r="B206" i="28"/>
  <c r="G205" i="28"/>
  <c r="D205" i="28"/>
  <c r="B205" i="28"/>
  <c r="G204" i="28"/>
  <c r="D204" i="28" s="1"/>
  <c r="B204" i="28" s="1"/>
  <c r="G203" i="28"/>
  <c r="D203" i="28"/>
  <c r="B203" i="28" s="1"/>
  <c r="G202" i="28"/>
  <c r="D202" i="28"/>
  <c r="B202" i="28"/>
  <c r="G201" i="28"/>
  <c r="D201" i="28"/>
  <c r="B201" i="28"/>
  <c r="G200" i="28"/>
  <c r="D200" i="28" s="1"/>
  <c r="B200" i="28" s="1"/>
  <c r="G199" i="28"/>
  <c r="D199" i="28" s="1"/>
  <c r="B199" i="28" s="1"/>
  <c r="G198" i="28"/>
  <c r="D198" i="28"/>
  <c r="B198" i="28"/>
  <c r="G197" i="28"/>
  <c r="D197" i="28"/>
  <c r="B197" i="28"/>
  <c r="G196" i="28"/>
  <c r="N194" i="28"/>
  <c r="M194" i="28"/>
  <c r="L194" i="28"/>
  <c r="K194" i="28"/>
  <c r="J194" i="28"/>
  <c r="I194" i="28"/>
  <c r="H194" i="28"/>
  <c r="E194" i="28"/>
  <c r="G191" i="28"/>
  <c r="D191" i="28"/>
  <c r="B191" i="28"/>
  <c r="G190" i="28"/>
  <c r="D190" i="28"/>
  <c r="B190" i="28"/>
  <c r="G189" i="28"/>
  <c r="D189" i="28" s="1"/>
  <c r="B189" i="28" s="1"/>
  <c r="G188" i="28"/>
  <c r="D188" i="28"/>
  <c r="B188" i="28" s="1"/>
  <c r="G187" i="28"/>
  <c r="D187" i="28"/>
  <c r="B187" i="28" s="1"/>
  <c r="G186" i="28"/>
  <c r="D186" i="28"/>
  <c r="B186" i="28"/>
  <c r="G185" i="28"/>
  <c r="D185" i="28" s="1"/>
  <c r="B185" i="28" s="1"/>
  <c r="G184" i="28"/>
  <c r="D184" i="28"/>
  <c r="B184" i="28" s="1"/>
  <c r="G183" i="28"/>
  <c r="D183" i="28"/>
  <c r="B183" i="28"/>
  <c r="G182" i="28"/>
  <c r="D182" i="28"/>
  <c r="B182" i="28"/>
  <c r="G181" i="28"/>
  <c r="D181" i="28" s="1"/>
  <c r="B181" i="28" s="1"/>
  <c r="G180" i="28"/>
  <c r="D180" i="28"/>
  <c r="B180" i="28" s="1"/>
  <c r="G179" i="28"/>
  <c r="D179" i="28"/>
  <c r="B179" i="28"/>
  <c r="G178" i="28"/>
  <c r="D178" i="28"/>
  <c r="B178" i="28"/>
  <c r="G177" i="28"/>
  <c r="D177" i="28" s="1"/>
  <c r="B177" i="28" s="1"/>
  <c r="G176" i="28"/>
  <c r="D176" i="28" s="1"/>
  <c r="B176" i="28" s="1"/>
  <c r="G175" i="28"/>
  <c r="D175" i="28"/>
  <c r="B175" i="28"/>
  <c r="G174" i="28"/>
  <c r="D174" i="28" s="1"/>
  <c r="B174" i="28"/>
  <c r="G173" i="28"/>
  <c r="D173" i="28" s="1"/>
  <c r="B173" i="28" s="1"/>
  <c r="G172" i="28"/>
  <c r="D172" i="28" s="1"/>
  <c r="B172" i="28" s="1"/>
  <c r="G171" i="28"/>
  <c r="D171" i="28"/>
  <c r="B171" i="28"/>
  <c r="G170" i="28"/>
  <c r="D170" i="28" s="1"/>
  <c r="B170" i="28"/>
  <c r="G169" i="28"/>
  <c r="D169" i="28" s="1"/>
  <c r="B169" i="28" s="1"/>
  <c r="G168" i="28"/>
  <c r="D168" i="28" s="1"/>
  <c r="B168" i="28" s="1"/>
  <c r="G167" i="28"/>
  <c r="D167" i="28"/>
  <c r="B167" i="28"/>
  <c r="G166" i="28"/>
  <c r="D166" i="28" s="1"/>
  <c r="B166" i="28"/>
  <c r="G165" i="28"/>
  <c r="D165" i="28" s="1"/>
  <c r="B165" i="28" s="1"/>
  <c r="G164" i="28"/>
  <c r="D164" i="28" s="1"/>
  <c r="B164" i="28" s="1"/>
  <c r="G163" i="28"/>
  <c r="D163" i="28"/>
  <c r="B163" i="28"/>
  <c r="G162" i="28"/>
  <c r="D162" i="28" s="1"/>
  <c r="B162" i="28"/>
  <c r="G161" i="28"/>
  <c r="D161" i="28" s="1"/>
  <c r="B161" i="28" s="1"/>
  <c r="G160" i="28"/>
  <c r="G158" i="28" s="1"/>
  <c r="N158" i="28"/>
  <c r="M158" i="28"/>
  <c r="L158" i="28"/>
  <c r="K158" i="28"/>
  <c r="J158" i="28"/>
  <c r="I158" i="28"/>
  <c r="H158" i="28"/>
  <c r="E158" i="28"/>
  <c r="G155" i="28"/>
  <c r="D155" i="28"/>
  <c r="B155" i="28"/>
  <c r="G154" i="28"/>
  <c r="D154" i="28" s="1"/>
  <c r="B154" i="28" s="1"/>
  <c r="G153" i="28"/>
  <c r="D153" i="28" s="1"/>
  <c r="B153" i="28" s="1"/>
  <c r="G152" i="28"/>
  <c r="D152" i="28"/>
  <c r="B152" i="28"/>
  <c r="G151" i="28"/>
  <c r="D151" i="28"/>
  <c r="B151" i="28"/>
  <c r="G150" i="28"/>
  <c r="D150" i="28" s="1"/>
  <c r="B150" i="28" s="1"/>
  <c r="G149" i="28"/>
  <c r="D149" i="28"/>
  <c r="B149" i="28" s="1"/>
  <c r="G148" i="28"/>
  <c r="D148" i="28"/>
  <c r="B148" i="28" s="1"/>
  <c r="G147" i="28"/>
  <c r="D147" i="28"/>
  <c r="B147" i="28"/>
  <c r="G146" i="28"/>
  <c r="D146" i="28" s="1"/>
  <c r="B146" i="28" s="1"/>
  <c r="G145" i="28"/>
  <c r="D145" i="28"/>
  <c r="B145" i="28" s="1"/>
  <c r="G144" i="28"/>
  <c r="D144" i="28"/>
  <c r="B144" i="28"/>
  <c r="G143" i="28"/>
  <c r="D143" i="28"/>
  <c r="B143" i="28"/>
  <c r="G142" i="28"/>
  <c r="D142" i="28" s="1"/>
  <c r="B142" i="28" s="1"/>
  <c r="G141" i="28"/>
  <c r="D141" i="28"/>
  <c r="B141" i="28" s="1"/>
  <c r="G140" i="28"/>
  <c r="D140" i="28"/>
  <c r="B140" i="28"/>
  <c r="G139" i="28"/>
  <c r="D139" i="28"/>
  <c r="B139" i="28"/>
  <c r="G138" i="28"/>
  <c r="D138" i="28" s="1"/>
  <c r="B138" i="28" s="1"/>
  <c r="G137" i="28"/>
  <c r="D137" i="28" s="1"/>
  <c r="B137" i="28" s="1"/>
  <c r="G136" i="28"/>
  <c r="D136" i="28"/>
  <c r="B136" i="28"/>
  <c r="G135" i="28"/>
  <c r="D135" i="28"/>
  <c r="B135" i="28"/>
  <c r="G134" i="28"/>
  <c r="D134" i="28" s="1"/>
  <c r="B134" i="28" s="1"/>
  <c r="G133" i="28"/>
  <c r="D133" i="28"/>
  <c r="B133" i="28" s="1"/>
  <c r="G132" i="28"/>
  <c r="D132" i="28"/>
  <c r="B132" i="28" s="1"/>
  <c r="G131" i="28"/>
  <c r="D131" i="28"/>
  <c r="B131" i="28"/>
  <c r="G130" i="28"/>
  <c r="D130" i="28" s="1"/>
  <c r="B130" i="28" s="1"/>
  <c r="G129" i="28"/>
  <c r="D129" i="28"/>
  <c r="B129" i="28" s="1"/>
  <c r="G128" i="28"/>
  <c r="D128" i="28"/>
  <c r="B128" i="28"/>
  <c r="G127" i="28"/>
  <c r="D127" i="28"/>
  <c r="B127" i="28"/>
  <c r="G126" i="28"/>
  <c r="D126" i="28" s="1"/>
  <c r="B126" i="28" s="1"/>
  <c r="G125" i="28"/>
  <c r="D125" i="28"/>
  <c r="B125" i="28" s="1"/>
  <c r="G124" i="28"/>
  <c r="D124" i="28"/>
  <c r="B124" i="28"/>
  <c r="N122" i="28"/>
  <c r="M122" i="28"/>
  <c r="L122" i="28"/>
  <c r="K122" i="28"/>
  <c r="J122" i="28"/>
  <c r="I122" i="28"/>
  <c r="H122" i="28"/>
  <c r="E122" i="28"/>
  <c r="G119" i="28"/>
  <c r="D119" i="28" s="1"/>
  <c r="B119" i="28" s="1"/>
  <c r="G118" i="28"/>
  <c r="D118" i="28"/>
  <c r="B118" i="28" s="1"/>
  <c r="G117" i="28"/>
  <c r="D117" i="28"/>
  <c r="B117" i="28"/>
  <c r="G116" i="28"/>
  <c r="D116" i="28" s="1"/>
  <c r="B116" i="28" s="1"/>
  <c r="G115" i="28"/>
  <c r="D115" i="28" s="1"/>
  <c r="B115" i="28" s="1"/>
  <c r="G114" i="28"/>
  <c r="D114" i="28"/>
  <c r="B114" i="28" s="1"/>
  <c r="G113" i="28"/>
  <c r="D113" i="28"/>
  <c r="B113" i="28"/>
  <c r="G112" i="28"/>
  <c r="D112" i="28" s="1"/>
  <c r="B112" i="28" s="1"/>
  <c r="G111" i="28"/>
  <c r="D111" i="28" s="1"/>
  <c r="B111" i="28" s="1"/>
  <c r="G110" i="28"/>
  <c r="D110" i="28"/>
  <c r="B110" i="28" s="1"/>
  <c r="G109" i="28"/>
  <c r="D109" i="28"/>
  <c r="B109" i="28"/>
  <c r="G108" i="28"/>
  <c r="D108" i="28" s="1"/>
  <c r="B108" i="28" s="1"/>
  <c r="G107" i="28"/>
  <c r="D107" i="28" s="1"/>
  <c r="B107" i="28" s="1"/>
  <c r="G106" i="28"/>
  <c r="D106" i="28"/>
  <c r="B106" i="28" s="1"/>
  <c r="G105" i="28"/>
  <c r="D105" i="28"/>
  <c r="B105" i="28"/>
  <c r="G104" i="28"/>
  <c r="D104" i="28" s="1"/>
  <c r="B104" i="28" s="1"/>
  <c r="G103" i="28"/>
  <c r="D103" i="28" s="1"/>
  <c r="B103" i="28" s="1"/>
  <c r="G102" i="28"/>
  <c r="D102" i="28"/>
  <c r="B102" i="28" s="1"/>
  <c r="G101" i="28"/>
  <c r="D101" i="28"/>
  <c r="B101" i="28"/>
  <c r="G100" i="28"/>
  <c r="D100" i="28" s="1"/>
  <c r="B100" i="28" s="1"/>
  <c r="G99" i="28"/>
  <c r="D99" i="28" s="1"/>
  <c r="B99" i="28" s="1"/>
  <c r="G98" i="28"/>
  <c r="D98" i="28"/>
  <c r="B98" i="28" s="1"/>
  <c r="G97" i="28"/>
  <c r="D97" i="28"/>
  <c r="B97" i="28"/>
  <c r="G96" i="28"/>
  <c r="D96" i="28" s="1"/>
  <c r="B96" i="28" s="1"/>
  <c r="G95" i="28"/>
  <c r="D95" i="28" s="1"/>
  <c r="B95" i="28" s="1"/>
  <c r="G94" i="28"/>
  <c r="D94" i="28"/>
  <c r="B94" i="28" s="1"/>
  <c r="G93" i="28"/>
  <c r="D93" i="28"/>
  <c r="B93" i="28"/>
  <c r="G92" i="28"/>
  <c r="D92" i="28" s="1"/>
  <c r="B92" i="28" s="1"/>
  <c r="G91" i="28"/>
  <c r="D91" i="28" s="1"/>
  <c r="B91" i="28" s="1"/>
  <c r="G90" i="28"/>
  <c r="G86" i="28" s="1"/>
  <c r="D90" i="28"/>
  <c r="B90" i="28" s="1"/>
  <c r="G89" i="28"/>
  <c r="D89" i="28"/>
  <c r="B89" i="28"/>
  <c r="G88" i="28"/>
  <c r="D88" i="28"/>
  <c r="B88" i="28"/>
  <c r="N86" i="28"/>
  <c r="M86" i="28"/>
  <c r="L86" i="28"/>
  <c r="K86" i="28"/>
  <c r="J86" i="28"/>
  <c r="I86" i="28"/>
  <c r="H86" i="28"/>
  <c r="E86" i="28"/>
  <c r="G83" i="28"/>
  <c r="D83" i="28" s="1"/>
  <c r="B83" i="28" s="1"/>
  <c r="G82" i="28"/>
  <c r="D82" i="28"/>
  <c r="B82" i="28"/>
  <c r="G81" i="28"/>
  <c r="D81" i="28"/>
  <c r="B81" i="28"/>
  <c r="G80" i="28"/>
  <c r="D80" i="28" s="1"/>
  <c r="B80" i="28" s="1"/>
  <c r="G79" i="28"/>
  <c r="D79" i="28"/>
  <c r="B79" i="28" s="1"/>
  <c r="G78" i="28"/>
  <c r="D78" i="28"/>
  <c r="B78" i="28" s="1"/>
  <c r="G77" i="28"/>
  <c r="D77" i="28"/>
  <c r="B77" i="28"/>
  <c r="G76" i="28"/>
  <c r="D76" i="28" s="1"/>
  <c r="B76" i="28" s="1"/>
  <c r="G75" i="28"/>
  <c r="D75" i="28"/>
  <c r="B75" i="28" s="1"/>
  <c r="G74" i="28"/>
  <c r="D74" i="28"/>
  <c r="B74" i="28"/>
  <c r="G73" i="28"/>
  <c r="D73" i="28"/>
  <c r="B73" i="28"/>
  <c r="G72" i="28"/>
  <c r="D72" i="28" s="1"/>
  <c r="B72" i="28" s="1"/>
  <c r="G71" i="28"/>
  <c r="D71" i="28"/>
  <c r="B71" i="28" s="1"/>
  <c r="G70" i="28"/>
  <c r="D70" i="28"/>
  <c r="B70" i="28"/>
  <c r="G69" i="28"/>
  <c r="D69" i="28"/>
  <c r="B69" i="28"/>
  <c r="G68" i="28"/>
  <c r="D68" i="28" s="1"/>
  <c r="B68" i="28" s="1"/>
  <c r="G67" i="28"/>
  <c r="D67" i="28" s="1"/>
  <c r="B67" i="28" s="1"/>
  <c r="G66" i="28"/>
  <c r="D66" i="28"/>
  <c r="B66" i="28"/>
  <c r="G65" i="28"/>
  <c r="D65" i="28"/>
  <c r="B65" i="28"/>
  <c r="G64" i="28"/>
  <c r="D64" i="28" s="1"/>
  <c r="B64" i="28" s="1"/>
  <c r="G63" i="28"/>
  <c r="D63" i="28"/>
  <c r="B63" i="28" s="1"/>
  <c r="G62" i="28"/>
  <c r="D62" i="28"/>
  <c r="B62" i="28" s="1"/>
  <c r="G61" i="28"/>
  <c r="D61" i="28"/>
  <c r="B61" i="28"/>
  <c r="G60" i="28"/>
  <c r="D60" i="28" s="1"/>
  <c r="B60" i="28" s="1"/>
  <c r="G59" i="28"/>
  <c r="D59" i="28"/>
  <c r="B59" i="28" s="1"/>
  <c r="G58" i="28"/>
  <c r="D58" i="28"/>
  <c r="B58" i="28"/>
  <c r="G57" i="28"/>
  <c r="D57" i="28"/>
  <c r="B57" i="28"/>
  <c r="G56" i="28"/>
  <c r="D56" i="28" s="1"/>
  <c r="B56" i="28" s="1"/>
  <c r="G55" i="28"/>
  <c r="D55" i="28"/>
  <c r="B55" i="28" s="1"/>
  <c r="G54" i="28"/>
  <c r="D54" i="28"/>
  <c r="B54" i="28"/>
  <c r="G53" i="28"/>
  <c r="D53" i="28"/>
  <c r="B53" i="28"/>
  <c r="G52" i="28"/>
  <c r="N50" i="28"/>
  <c r="M50" i="28"/>
  <c r="L50" i="28"/>
  <c r="K50" i="28"/>
  <c r="J50" i="28"/>
  <c r="I50" i="28"/>
  <c r="H50" i="28"/>
  <c r="E50" i="28"/>
  <c r="G47" i="28"/>
  <c r="D47" i="28"/>
  <c r="B47" i="28"/>
  <c r="G46" i="28"/>
  <c r="D46" i="28" s="1"/>
  <c r="B46" i="28" s="1"/>
  <c r="G45" i="28"/>
  <c r="D45" i="28" s="1"/>
  <c r="B45" i="28" s="1"/>
  <c r="G44" i="28"/>
  <c r="D44" i="28"/>
  <c r="B44" i="28" s="1"/>
  <c r="G43" i="28"/>
  <c r="D43" i="28"/>
  <c r="B43" i="28"/>
  <c r="G42" i="28"/>
  <c r="D42" i="28"/>
  <c r="B42" i="28"/>
  <c r="G41" i="28"/>
  <c r="D41" i="28" s="1"/>
  <c r="B41" i="28" s="1"/>
  <c r="G40" i="28"/>
  <c r="D40" i="28" s="1"/>
  <c r="B40" i="28" s="1"/>
  <c r="G39" i="28"/>
  <c r="D39" i="28"/>
  <c r="B39" i="28"/>
  <c r="G38" i="28"/>
  <c r="D38" i="28" s="1"/>
  <c r="B38" i="28"/>
  <c r="G37" i="28"/>
  <c r="D37" i="28" s="1"/>
  <c r="B37" i="28" s="1"/>
  <c r="G36" i="28"/>
  <c r="D36" i="28" s="1"/>
  <c r="B36" i="28" s="1"/>
  <c r="G35" i="28"/>
  <c r="D35" i="28"/>
  <c r="B35" i="28"/>
  <c r="G34" i="28"/>
  <c r="D34" i="28" s="1"/>
  <c r="B34" i="28"/>
  <c r="G33" i="28"/>
  <c r="D33" i="28" s="1"/>
  <c r="B33" i="28" s="1"/>
  <c r="G32" i="28"/>
  <c r="D32" i="28" s="1"/>
  <c r="B32" i="28" s="1"/>
  <c r="G31" i="28"/>
  <c r="D31" i="28"/>
  <c r="B31" i="28"/>
  <c r="G30" i="28"/>
  <c r="D30" i="28" s="1"/>
  <c r="B30" i="28"/>
  <c r="G29" i="28"/>
  <c r="D29" i="28" s="1"/>
  <c r="B29" i="28" s="1"/>
  <c r="G28" i="28"/>
  <c r="D28" i="28" s="1"/>
  <c r="B28" i="28" s="1"/>
  <c r="G27" i="28"/>
  <c r="D27" i="28"/>
  <c r="B27" i="28"/>
  <c r="G26" i="28"/>
  <c r="D26" i="28" s="1"/>
  <c r="B26" i="28"/>
  <c r="G25" i="28"/>
  <c r="D25" i="28" s="1"/>
  <c r="B25" i="28" s="1"/>
  <c r="G24" i="28"/>
  <c r="D24" i="28" s="1"/>
  <c r="B24" i="28" s="1"/>
  <c r="G23" i="28"/>
  <c r="D23" i="28"/>
  <c r="B23" i="28"/>
  <c r="G22" i="28"/>
  <c r="D22" i="28" s="1"/>
  <c r="B22" i="28"/>
  <c r="G21" i="28"/>
  <c r="D21" i="28" s="1"/>
  <c r="B21" i="28" s="1"/>
  <c r="G20" i="28"/>
  <c r="D20" i="28" s="1"/>
  <c r="B20" i="28" s="1"/>
  <c r="G19" i="28"/>
  <c r="D19" i="28"/>
  <c r="B19" i="28"/>
  <c r="G18" i="28"/>
  <c r="D18" i="28"/>
  <c r="B18" i="28"/>
  <c r="G16" i="28"/>
  <c r="N14" i="28"/>
  <c r="M14" i="28"/>
  <c r="L14" i="28"/>
  <c r="K14" i="28"/>
  <c r="J14" i="28"/>
  <c r="I14" i="28"/>
  <c r="H14" i="28"/>
  <c r="E14" i="28"/>
  <c r="G659" i="27"/>
  <c r="D659" i="27"/>
  <c r="B659" i="27" s="1"/>
  <c r="G658" i="27"/>
  <c r="D658" i="27" s="1"/>
  <c r="B658" i="27" s="1"/>
  <c r="G657" i="27"/>
  <c r="D657" i="27"/>
  <c r="B657" i="27" s="1"/>
  <c r="G656" i="27"/>
  <c r="D656" i="27" s="1"/>
  <c r="B656" i="27" s="1"/>
  <c r="G655" i="27"/>
  <c r="D655" i="27"/>
  <c r="B655" i="27" s="1"/>
  <c r="G654" i="27"/>
  <c r="D654" i="27" s="1"/>
  <c r="B654" i="27" s="1"/>
  <c r="G653" i="27"/>
  <c r="D653" i="27"/>
  <c r="B653" i="27" s="1"/>
  <c r="G652" i="27"/>
  <c r="D652" i="27" s="1"/>
  <c r="B652" i="27" s="1"/>
  <c r="G651" i="27"/>
  <c r="D651" i="27"/>
  <c r="B651" i="27" s="1"/>
  <c r="G650" i="27"/>
  <c r="D650" i="27" s="1"/>
  <c r="B650" i="27" s="1"/>
  <c r="G649" i="27"/>
  <c r="D649" i="27"/>
  <c r="B649" i="27" s="1"/>
  <c r="G648" i="27"/>
  <c r="D648" i="27" s="1"/>
  <c r="B648" i="27" s="1"/>
  <c r="G647" i="27"/>
  <c r="D647" i="27"/>
  <c r="B647" i="27" s="1"/>
  <c r="G646" i="27"/>
  <c r="D646" i="27" s="1"/>
  <c r="B646" i="27" s="1"/>
  <c r="G645" i="27"/>
  <c r="D645" i="27"/>
  <c r="B645" i="27" s="1"/>
  <c r="G644" i="27"/>
  <c r="D644" i="27" s="1"/>
  <c r="B644" i="27" s="1"/>
  <c r="G643" i="27"/>
  <c r="D643" i="27"/>
  <c r="B643" i="27" s="1"/>
  <c r="G642" i="27"/>
  <c r="D642" i="27" s="1"/>
  <c r="B642" i="27" s="1"/>
  <c r="G641" i="27"/>
  <c r="D641" i="27"/>
  <c r="B641" i="27" s="1"/>
  <c r="G640" i="27"/>
  <c r="D640" i="27" s="1"/>
  <c r="B640" i="27" s="1"/>
  <c r="G639" i="27"/>
  <c r="D639" i="27"/>
  <c r="B639" i="27" s="1"/>
  <c r="G638" i="27"/>
  <c r="D638" i="27" s="1"/>
  <c r="B638" i="27" s="1"/>
  <c r="G637" i="27"/>
  <c r="D637" i="27"/>
  <c r="B637" i="27" s="1"/>
  <c r="G636" i="27"/>
  <c r="D636" i="27" s="1"/>
  <c r="B636" i="27" s="1"/>
  <c r="G635" i="27"/>
  <c r="D635" i="27"/>
  <c r="B635" i="27" s="1"/>
  <c r="G634" i="27"/>
  <c r="D634" i="27" s="1"/>
  <c r="B634" i="27" s="1"/>
  <c r="G633" i="27"/>
  <c r="D633" i="27"/>
  <c r="B633" i="27" s="1"/>
  <c r="G632" i="27"/>
  <c r="D632" i="27" s="1"/>
  <c r="B632" i="27" s="1"/>
  <c r="G631" i="27"/>
  <c r="D631" i="27"/>
  <c r="B631" i="27" s="1"/>
  <c r="G630" i="27"/>
  <c r="D630" i="27" s="1"/>
  <c r="B630" i="27" s="1"/>
  <c r="G629" i="27"/>
  <c r="D629" i="27"/>
  <c r="B629" i="27" s="1"/>
  <c r="G628" i="27"/>
  <c r="G626" i="27" s="1"/>
  <c r="N626" i="27"/>
  <c r="M626" i="27"/>
  <c r="L626" i="27"/>
  <c r="K626" i="27"/>
  <c r="J626" i="27"/>
  <c r="I626" i="27"/>
  <c r="H626" i="27"/>
  <c r="E626" i="27"/>
  <c r="G623" i="27"/>
  <c r="D623" i="27"/>
  <c r="B623" i="27"/>
  <c r="G622" i="27"/>
  <c r="D622" i="27" s="1"/>
  <c r="B622" i="27" s="1"/>
  <c r="G621" i="27"/>
  <c r="D621" i="27" s="1"/>
  <c r="B621" i="27" s="1"/>
  <c r="G620" i="27"/>
  <c r="D620" i="27"/>
  <c r="B620" i="27"/>
  <c r="G619" i="27"/>
  <c r="D619" i="27"/>
  <c r="B619" i="27"/>
  <c r="G618" i="27"/>
  <c r="D618" i="27" s="1"/>
  <c r="B618" i="27" s="1"/>
  <c r="G617" i="27"/>
  <c r="D617" i="27"/>
  <c r="B617" i="27" s="1"/>
  <c r="G616" i="27"/>
  <c r="D616" i="27"/>
  <c r="B616" i="27" s="1"/>
  <c r="G615" i="27"/>
  <c r="D615" i="27"/>
  <c r="B615" i="27"/>
  <c r="G614" i="27"/>
  <c r="D614" i="27" s="1"/>
  <c r="B614" i="27" s="1"/>
  <c r="G613" i="27"/>
  <c r="D613" i="27"/>
  <c r="B613" i="27" s="1"/>
  <c r="G612" i="27"/>
  <c r="D612" i="27"/>
  <c r="B612" i="27"/>
  <c r="G611" i="27"/>
  <c r="D611" i="27"/>
  <c r="B611" i="27"/>
  <c r="G610" i="27"/>
  <c r="D610" i="27" s="1"/>
  <c r="B610" i="27" s="1"/>
  <c r="G609" i="27"/>
  <c r="D609" i="27"/>
  <c r="B609" i="27" s="1"/>
  <c r="G608" i="27"/>
  <c r="D608" i="27"/>
  <c r="B608" i="27"/>
  <c r="G607" i="27"/>
  <c r="D607" i="27"/>
  <c r="B607" i="27"/>
  <c r="G606" i="27"/>
  <c r="D606" i="27" s="1"/>
  <c r="B606" i="27" s="1"/>
  <c r="G605" i="27"/>
  <c r="D605" i="27" s="1"/>
  <c r="B605" i="27" s="1"/>
  <c r="G604" i="27"/>
  <c r="D604" i="27"/>
  <c r="B604" i="27"/>
  <c r="G603" i="27"/>
  <c r="D603" i="27"/>
  <c r="B603" i="27"/>
  <c r="G602" i="27"/>
  <c r="D602" i="27" s="1"/>
  <c r="B602" i="27" s="1"/>
  <c r="G601" i="27"/>
  <c r="D601" i="27"/>
  <c r="B601" i="27" s="1"/>
  <c r="G600" i="27"/>
  <c r="D600" i="27"/>
  <c r="B600" i="27" s="1"/>
  <c r="G599" i="27"/>
  <c r="D599" i="27"/>
  <c r="B599" i="27"/>
  <c r="G598" i="27"/>
  <c r="D598" i="27" s="1"/>
  <c r="B598" i="27" s="1"/>
  <c r="G597" i="27"/>
  <c r="D597" i="27"/>
  <c r="B597" i="27" s="1"/>
  <c r="G596" i="27"/>
  <c r="D596" i="27"/>
  <c r="B596" i="27"/>
  <c r="G595" i="27"/>
  <c r="D595" i="27"/>
  <c r="B595" i="27"/>
  <c r="G594" i="27"/>
  <c r="D594" i="27" s="1"/>
  <c r="B594" i="27" s="1"/>
  <c r="G593" i="27"/>
  <c r="D593" i="27"/>
  <c r="B593" i="27" s="1"/>
  <c r="G592" i="27"/>
  <c r="D592" i="27"/>
  <c r="B592" i="27"/>
  <c r="N590" i="27"/>
  <c r="M590" i="27"/>
  <c r="L590" i="27"/>
  <c r="K590" i="27"/>
  <c r="J590" i="27"/>
  <c r="I590" i="27"/>
  <c r="H590" i="27"/>
  <c r="E590" i="27"/>
  <c r="G587" i="27"/>
  <c r="D587" i="27" s="1"/>
  <c r="B587" i="27" s="1"/>
  <c r="G586" i="27"/>
  <c r="D586" i="27"/>
  <c r="B586" i="27" s="1"/>
  <c r="G585" i="27"/>
  <c r="D585" i="27"/>
  <c r="B585" i="27"/>
  <c r="G584" i="27"/>
  <c r="D584" i="27"/>
  <c r="B584" i="27"/>
  <c r="G583" i="27"/>
  <c r="D583" i="27" s="1"/>
  <c r="B583" i="27" s="1"/>
  <c r="G582" i="27"/>
  <c r="D582" i="27" s="1"/>
  <c r="B582" i="27" s="1"/>
  <c r="G581" i="27"/>
  <c r="D581" i="27"/>
  <c r="B581" i="27"/>
  <c r="G580" i="27"/>
  <c r="D580" i="27"/>
  <c r="B580" i="27"/>
  <c r="G579" i="27"/>
  <c r="D579" i="27" s="1"/>
  <c r="B579" i="27" s="1"/>
  <c r="G578" i="27"/>
  <c r="D578" i="27"/>
  <c r="B578" i="27" s="1"/>
  <c r="G577" i="27"/>
  <c r="D577" i="27"/>
  <c r="B577" i="27" s="1"/>
  <c r="G576" i="27"/>
  <c r="D576" i="27"/>
  <c r="B576" i="27"/>
  <c r="G575" i="27"/>
  <c r="D575" i="27" s="1"/>
  <c r="B575" i="27" s="1"/>
  <c r="G574" i="27"/>
  <c r="D574" i="27"/>
  <c r="B574" i="27" s="1"/>
  <c r="G573" i="27"/>
  <c r="D573" i="27"/>
  <c r="B573" i="27"/>
  <c r="G572" i="27"/>
  <c r="D572" i="27"/>
  <c r="B572" i="27"/>
  <c r="G571" i="27"/>
  <c r="D571" i="27" s="1"/>
  <c r="B571" i="27" s="1"/>
  <c r="G570" i="27"/>
  <c r="D570" i="27"/>
  <c r="B570" i="27" s="1"/>
  <c r="G569" i="27"/>
  <c r="D569" i="27"/>
  <c r="B569" i="27"/>
  <c r="G568" i="27"/>
  <c r="D568" i="27"/>
  <c r="B568" i="27"/>
  <c r="G567" i="27"/>
  <c r="D567" i="27" s="1"/>
  <c r="B567" i="27" s="1"/>
  <c r="G566" i="27"/>
  <c r="D566" i="27" s="1"/>
  <c r="B566" i="27" s="1"/>
  <c r="G565" i="27"/>
  <c r="D565" i="27"/>
  <c r="B565" i="27"/>
  <c r="G564" i="27"/>
  <c r="D564" i="27"/>
  <c r="B564" i="27"/>
  <c r="G563" i="27"/>
  <c r="D563" i="27" s="1"/>
  <c r="B563" i="27" s="1"/>
  <c r="G562" i="27"/>
  <c r="D562" i="27"/>
  <c r="B562" i="27" s="1"/>
  <c r="G561" i="27"/>
  <c r="D561" i="27"/>
  <c r="B561" i="27" s="1"/>
  <c r="G560" i="27"/>
  <c r="D560" i="27"/>
  <c r="B560" i="27"/>
  <c r="G559" i="27"/>
  <c r="D559" i="27" s="1"/>
  <c r="B559" i="27" s="1"/>
  <c r="G558" i="27"/>
  <c r="G554" i="27" s="1"/>
  <c r="D558" i="27"/>
  <c r="B558" i="27" s="1"/>
  <c r="G557" i="27"/>
  <c r="D557" i="27"/>
  <c r="B557" i="27"/>
  <c r="G556" i="27"/>
  <c r="D556" i="27"/>
  <c r="B556" i="27"/>
  <c r="N554" i="27"/>
  <c r="M554" i="27"/>
  <c r="L554" i="27"/>
  <c r="K554" i="27"/>
  <c r="J554" i="27"/>
  <c r="I554" i="27"/>
  <c r="H554" i="27"/>
  <c r="E554" i="27"/>
  <c r="G551" i="27"/>
  <c r="D551" i="27"/>
  <c r="B551" i="27" s="1"/>
  <c r="G550" i="27"/>
  <c r="D550" i="27"/>
  <c r="B550" i="27"/>
  <c r="G549" i="27"/>
  <c r="D549" i="27"/>
  <c r="B549" i="27"/>
  <c r="G548" i="27"/>
  <c r="D548" i="27" s="1"/>
  <c r="B548" i="27" s="1"/>
  <c r="G547" i="27"/>
  <c r="D547" i="27" s="1"/>
  <c r="B547" i="27" s="1"/>
  <c r="G546" i="27"/>
  <c r="D546" i="27"/>
  <c r="B546" i="27"/>
  <c r="G545" i="27"/>
  <c r="D545" i="27"/>
  <c r="B545" i="27"/>
  <c r="G544" i="27"/>
  <c r="D544" i="27" s="1"/>
  <c r="B544" i="27" s="1"/>
  <c r="G543" i="27"/>
  <c r="D543" i="27"/>
  <c r="B543" i="27" s="1"/>
  <c r="G542" i="27"/>
  <c r="D542" i="27"/>
  <c r="B542" i="27" s="1"/>
  <c r="G541" i="27"/>
  <c r="D541" i="27"/>
  <c r="B541" i="27"/>
  <c r="G540" i="27"/>
  <c r="D540" i="27" s="1"/>
  <c r="B540" i="27" s="1"/>
  <c r="G539" i="27"/>
  <c r="D539" i="27"/>
  <c r="B539" i="27" s="1"/>
  <c r="G538" i="27"/>
  <c r="D538" i="27"/>
  <c r="B538" i="27"/>
  <c r="G537" i="27"/>
  <c r="D537" i="27"/>
  <c r="B537" i="27"/>
  <c r="G536" i="27"/>
  <c r="D536" i="27" s="1"/>
  <c r="B536" i="27" s="1"/>
  <c r="G535" i="27"/>
  <c r="D535" i="27"/>
  <c r="B535" i="27" s="1"/>
  <c r="G534" i="27"/>
  <c r="D534" i="27"/>
  <c r="B534" i="27"/>
  <c r="G533" i="27"/>
  <c r="D533" i="27"/>
  <c r="B533" i="27"/>
  <c r="G532" i="27"/>
  <c r="D532" i="27" s="1"/>
  <c r="B532" i="27" s="1"/>
  <c r="G531" i="27"/>
  <c r="D531" i="27" s="1"/>
  <c r="B531" i="27" s="1"/>
  <c r="G530" i="27"/>
  <c r="D530" i="27"/>
  <c r="B530" i="27"/>
  <c r="G529" i="27"/>
  <c r="D529" i="27"/>
  <c r="B529" i="27"/>
  <c r="G528" i="27"/>
  <c r="D528" i="27" s="1"/>
  <c r="B528" i="27" s="1"/>
  <c r="G527" i="27"/>
  <c r="D527" i="27"/>
  <c r="B527" i="27" s="1"/>
  <c r="G526" i="27"/>
  <c r="D526" i="27"/>
  <c r="B526" i="27" s="1"/>
  <c r="G525" i="27"/>
  <c r="D525" i="27"/>
  <c r="B525" i="27"/>
  <c r="G524" i="27"/>
  <c r="D524" i="27" s="1"/>
  <c r="B524" i="27" s="1"/>
  <c r="G523" i="27"/>
  <c r="D523" i="27"/>
  <c r="B523" i="27" s="1"/>
  <c r="G522" i="27"/>
  <c r="D522" i="27"/>
  <c r="B522" i="27"/>
  <c r="G521" i="27"/>
  <c r="D521" i="27"/>
  <c r="B521" i="27"/>
  <c r="G520" i="27"/>
  <c r="N518" i="27"/>
  <c r="M518" i="27"/>
  <c r="L518" i="27"/>
  <c r="K518" i="27"/>
  <c r="J518" i="27"/>
  <c r="I518" i="27"/>
  <c r="H518" i="27"/>
  <c r="E518" i="27"/>
  <c r="G515" i="27"/>
  <c r="D515" i="27"/>
  <c r="B515" i="27"/>
  <c r="G514" i="27"/>
  <c r="D514" i="27"/>
  <c r="B514" i="27"/>
  <c r="G513" i="27"/>
  <c r="D513" i="27" s="1"/>
  <c r="B513" i="27" s="1"/>
  <c r="G512" i="27"/>
  <c r="D512" i="27"/>
  <c r="B512" i="27" s="1"/>
  <c r="G511" i="27"/>
  <c r="D511" i="27"/>
  <c r="B511" i="27"/>
  <c r="G510" i="27"/>
  <c r="D510" i="27"/>
  <c r="B510" i="27"/>
  <c r="G509" i="27"/>
  <c r="D509" i="27" s="1"/>
  <c r="B509" i="27" s="1"/>
  <c r="G508" i="27"/>
  <c r="D508" i="27" s="1"/>
  <c r="B508" i="27" s="1"/>
  <c r="G507" i="27"/>
  <c r="D507" i="27"/>
  <c r="B507" i="27"/>
  <c r="G506" i="27"/>
  <c r="D506" i="27"/>
  <c r="B506" i="27"/>
  <c r="G505" i="27"/>
  <c r="D505" i="27" s="1"/>
  <c r="B505" i="27" s="1"/>
  <c r="G504" i="27"/>
  <c r="D504" i="27"/>
  <c r="B504" i="27" s="1"/>
  <c r="G503" i="27"/>
  <c r="D503" i="27"/>
  <c r="B503" i="27" s="1"/>
  <c r="G502" i="27"/>
  <c r="D502" i="27"/>
  <c r="B502" i="27"/>
  <c r="G501" i="27"/>
  <c r="D501" i="27" s="1"/>
  <c r="B501" i="27" s="1"/>
  <c r="G500" i="27"/>
  <c r="D500" i="27"/>
  <c r="B500" i="27" s="1"/>
  <c r="G499" i="27"/>
  <c r="D499" i="27"/>
  <c r="B499" i="27"/>
  <c r="G498" i="27"/>
  <c r="D498" i="27"/>
  <c r="B498" i="27"/>
  <c r="G497" i="27"/>
  <c r="D497" i="27" s="1"/>
  <c r="B497" i="27" s="1"/>
  <c r="G496" i="27"/>
  <c r="D496" i="27"/>
  <c r="B496" i="27" s="1"/>
  <c r="G495" i="27"/>
  <c r="D495" i="27"/>
  <c r="B495" i="27"/>
  <c r="G494" i="27"/>
  <c r="D494" i="27"/>
  <c r="B494" i="27"/>
  <c r="G493" i="27"/>
  <c r="D493" i="27" s="1"/>
  <c r="B493" i="27" s="1"/>
  <c r="G492" i="27"/>
  <c r="D492" i="27" s="1"/>
  <c r="B492" i="27" s="1"/>
  <c r="G491" i="27"/>
  <c r="D491" i="27"/>
  <c r="B491" i="27"/>
  <c r="G490" i="27"/>
  <c r="D490" i="27" s="1"/>
  <c r="B490" i="27"/>
  <c r="G489" i="27"/>
  <c r="D489" i="27" s="1"/>
  <c r="B489" i="27" s="1"/>
  <c r="G488" i="27"/>
  <c r="D488" i="27" s="1"/>
  <c r="G487" i="27"/>
  <c r="D487" i="27"/>
  <c r="B487" i="27"/>
  <c r="G486" i="27"/>
  <c r="D486" i="27" s="1"/>
  <c r="B486" i="27"/>
  <c r="G485" i="27"/>
  <c r="D485" i="27" s="1"/>
  <c r="B485" i="27"/>
  <c r="G484" i="27"/>
  <c r="D484" i="27"/>
  <c r="B484" i="27" s="1"/>
  <c r="N482" i="27"/>
  <c r="M482" i="27"/>
  <c r="L482" i="27"/>
  <c r="K482" i="27"/>
  <c r="J482" i="27"/>
  <c r="I482" i="27"/>
  <c r="H482" i="27"/>
  <c r="E482" i="27"/>
  <c r="G479" i="27"/>
  <c r="D479" i="27"/>
  <c r="B479" i="27"/>
  <c r="G478" i="27"/>
  <c r="D478" i="27" s="1"/>
  <c r="B478" i="27" s="1"/>
  <c r="G477" i="27"/>
  <c r="D477" i="27"/>
  <c r="B477" i="27" s="1"/>
  <c r="G476" i="27"/>
  <c r="D476" i="27" s="1"/>
  <c r="B476" i="27" s="1"/>
  <c r="G475" i="27"/>
  <c r="D475" i="27"/>
  <c r="B475" i="27" s="1"/>
  <c r="G474" i="27"/>
  <c r="D474" i="27" s="1"/>
  <c r="B474" i="27"/>
  <c r="G473" i="27"/>
  <c r="D473" i="27" s="1"/>
  <c r="B473" i="27" s="1"/>
  <c r="G472" i="27"/>
  <c r="D472" i="27"/>
  <c r="B472" i="27"/>
  <c r="G471" i="27"/>
  <c r="D471" i="27"/>
  <c r="B471" i="27"/>
  <c r="G470" i="27"/>
  <c r="D470" i="27" s="1"/>
  <c r="B470" i="27" s="1"/>
  <c r="G469" i="27"/>
  <c r="D469" i="27"/>
  <c r="B469" i="27"/>
  <c r="G468" i="27"/>
  <c r="D468" i="27"/>
  <c r="B468" i="27"/>
  <c r="G467" i="27"/>
  <c r="D467" i="27" s="1"/>
  <c r="B467" i="27" s="1"/>
  <c r="G466" i="27"/>
  <c r="D466" i="27"/>
  <c r="B466" i="27" s="1"/>
  <c r="G465" i="27"/>
  <c r="D465" i="27"/>
  <c r="B465" i="27"/>
  <c r="G464" i="27"/>
  <c r="D464" i="27"/>
  <c r="B464" i="27"/>
  <c r="G463" i="27"/>
  <c r="D463" i="27" s="1"/>
  <c r="B463" i="27" s="1"/>
  <c r="G462" i="27"/>
  <c r="D462" i="27"/>
  <c r="B462" i="27" s="1"/>
  <c r="G461" i="27"/>
  <c r="D461" i="27"/>
  <c r="B461" i="27"/>
  <c r="G460" i="27"/>
  <c r="D460" i="27"/>
  <c r="B460" i="27"/>
  <c r="G459" i="27"/>
  <c r="D459" i="27" s="1"/>
  <c r="B459" i="27" s="1"/>
  <c r="G458" i="27"/>
  <c r="D458" i="27"/>
  <c r="B458" i="27" s="1"/>
  <c r="G457" i="27"/>
  <c r="D457" i="27"/>
  <c r="B457" i="27"/>
  <c r="G456" i="27"/>
  <c r="D456" i="27"/>
  <c r="B456" i="27"/>
  <c r="G455" i="27"/>
  <c r="D455" i="27" s="1"/>
  <c r="B455" i="27" s="1"/>
  <c r="G454" i="27"/>
  <c r="D454" i="27"/>
  <c r="B454" i="27" s="1"/>
  <c r="G453" i="27"/>
  <c r="D453" i="27"/>
  <c r="B453" i="27"/>
  <c r="G452" i="27"/>
  <c r="D452" i="27"/>
  <c r="B452" i="27"/>
  <c r="G451" i="27"/>
  <c r="D451" i="27" s="1"/>
  <c r="B451" i="27" s="1"/>
  <c r="G450" i="27"/>
  <c r="D450" i="27"/>
  <c r="B450" i="27" s="1"/>
  <c r="G449" i="27"/>
  <c r="D449" i="27"/>
  <c r="B449" i="27"/>
  <c r="G448" i="27"/>
  <c r="D448" i="27"/>
  <c r="B448" i="27"/>
  <c r="N446" i="27"/>
  <c r="M446" i="27"/>
  <c r="L446" i="27"/>
  <c r="K446" i="27"/>
  <c r="J446" i="27"/>
  <c r="I446" i="27"/>
  <c r="H446" i="27"/>
  <c r="E446" i="27"/>
  <c r="G443" i="27"/>
  <c r="D443" i="27"/>
  <c r="B443" i="27" s="1"/>
  <c r="G442" i="27"/>
  <c r="D442" i="27"/>
  <c r="B442" i="27"/>
  <c r="G441" i="27"/>
  <c r="D441" i="27"/>
  <c r="B441" i="27"/>
  <c r="G440" i="27"/>
  <c r="D440" i="27" s="1"/>
  <c r="B440" i="27" s="1"/>
  <c r="G439" i="27"/>
  <c r="D439" i="27"/>
  <c r="B439" i="27" s="1"/>
  <c r="G438" i="27"/>
  <c r="D438" i="27"/>
  <c r="B438" i="27"/>
  <c r="G437" i="27"/>
  <c r="D437" i="27"/>
  <c r="B437" i="27"/>
  <c r="G436" i="27"/>
  <c r="D436" i="27" s="1"/>
  <c r="B436" i="27" s="1"/>
  <c r="G435" i="27"/>
  <c r="D435" i="27"/>
  <c r="B435" i="27" s="1"/>
  <c r="G434" i="27"/>
  <c r="D434" i="27"/>
  <c r="B434" i="27"/>
  <c r="G433" i="27"/>
  <c r="D433" i="27"/>
  <c r="B433" i="27"/>
  <c r="G432" i="27"/>
  <c r="D432" i="27" s="1"/>
  <c r="B432" i="27" s="1"/>
  <c r="G431" i="27"/>
  <c r="D431" i="27"/>
  <c r="B431" i="27" s="1"/>
  <c r="G430" i="27"/>
  <c r="D430" i="27"/>
  <c r="B430" i="27"/>
  <c r="G429" i="27"/>
  <c r="D429" i="27"/>
  <c r="B429" i="27"/>
  <c r="G428" i="27"/>
  <c r="D428" i="27" s="1"/>
  <c r="B428" i="27" s="1"/>
  <c r="G427" i="27"/>
  <c r="D427" i="27"/>
  <c r="B427" i="27" s="1"/>
  <c r="G426" i="27"/>
  <c r="D426" i="27"/>
  <c r="B426" i="27"/>
  <c r="G425" i="27"/>
  <c r="D425" i="27"/>
  <c r="B425" i="27"/>
  <c r="G424" i="27"/>
  <c r="D424" i="27" s="1"/>
  <c r="B424" i="27" s="1"/>
  <c r="G423" i="27"/>
  <c r="D423" i="27"/>
  <c r="B423" i="27" s="1"/>
  <c r="G422" i="27"/>
  <c r="D422" i="27"/>
  <c r="B422" i="27"/>
  <c r="G421" i="27"/>
  <c r="D421" i="27"/>
  <c r="B421" i="27"/>
  <c r="G420" i="27"/>
  <c r="D420" i="27" s="1"/>
  <c r="B420" i="27" s="1"/>
  <c r="G419" i="27"/>
  <c r="D419" i="27"/>
  <c r="B419" i="27" s="1"/>
  <c r="G418" i="27"/>
  <c r="D418" i="27"/>
  <c r="B418" i="27"/>
  <c r="G417" i="27"/>
  <c r="D417" i="27"/>
  <c r="B417" i="27"/>
  <c r="G416" i="27"/>
  <c r="D416" i="27" s="1"/>
  <c r="B416" i="27" s="1"/>
  <c r="G415" i="27"/>
  <c r="D415" i="27"/>
  <c r="B415" i="27" s="1"/>
  <c r="G414" i="27"/>
  <c r="D414" i="27"/>
  <c r="B414" i="27"/>
  <c r="G413" i="27"/>
  <c r="D413" i="27"/>
  <c r="B413" i="27"/>
  <c r="G412" i="27"/>
  <c r="D412" i="27" s="1"/>
  <c r="N410" i="27"/>
  <c r="M410" i="27"/>
  <c r="L410" i="27"/>
  <c r="K410" i="27"/>
  <c r="J410" i="27"/>
  <c r="I410" i="27"/>
  <c r="H410" i="27"/>
  <c r="E410" i="27"/>
  <c r="G407" i="27"/>
  <c r="D407" i="27"/>
  <c r="B407" i="27"/>
  <c r="G406" i="27"/>
  <c r="D406" i="27"/>
  <c r="B406" i="27"/>
  <c r="G405" i="27"/>
  <c r="D405" i="27" s="1"/>
  <c r="B405" i="27" s="1"/>
  <c r="G404" i="27"/>
  <c r="D404" i="27"/>
  <c r="B404" i="27" s="1"/>
  <c r="G403" i="27"/>
  <c r="D403" i="27"/>
  <c r="B403" i="27"/>
  <c r="G402" i="27"/>
  <c r="D402" i="27"/>
  <c r="B402" i="27"/>
  <c r="G401" i="27"/>
  <c r="D401" i="27" s="1"/>
  <c r="B401" i="27" s="1"/>
  <c r="G400" i="27"/>
  <c r="D400" i="27"/>
  <c r="B400" i="27" s="1"/>
  <c r="G399" i="27"/>
  <c r="D399" i="27"/>
  <c r="B399" i="27"/>
  <c r="G398" i="27"/>
  <c r="D398" i="27"/>
  <c r="B398" i="27"/>
  <c r="G397" i="27"/>
  <c r="D397" i="27" s="1"/>
  <c r="B397" i="27" s="1"/>
  <c r="G396" i="27"/>
  <c r="D396" i="27"/>
  <c r="B396" i="27" s="1"/>
  <c r="G395" i="27"/>
  <c r="D395" i="27"/>
  <c r="B395" i="27"/>
  <c r="G394" i="27"/>
  <c r="D394" i="27"/>
  <c r="B394" i="27"/>
  <c r="G393" i="27"/>
  <c r="D393" i="27" s="1"/>
  <c r="B393" i="27" s="1"/>
  <c r="G392" i="27"/>
  <c r="D392" i="27"/>
  <c r="B392" i="27" s="1"/>
  <c r="G391" i="27"/>
  <c r="D391" i="27"/>
  <c r="B391" i="27"/>
  <c r="G390" i="27"/>
  <c r="D390" i="27"/>
  <c r="B390" i="27"/>
  <c r="G389" i="27"/>
  <c r="D389" i="27" s="1"/>
  <c r="B389" i="27" s="1"/>
  <c r="G388" i="27"/>
  <c r="D388" i="27"/>
  <c r="B388" i="27" s="1"/>
  <c r="G387" i="27"/>
  <c r="D387" i="27"/>
  <c r="B387" i="27"/>
  <c r="G386" i="27"/>
  <c r="D386" i="27"/>
  <c r="B386" i="27"/>
  <c r="G385" i="27"/>
  <c r="D385" i="27" s="1"/>
  <c r="B385" i="27" s="1"/>
  <c r="G384" i="27"/>
  <c r="D384" i="27"/>
  <c r="B384" i="27" s="1"/>
  <c r="G383" i="27"/>
  <c r="D383" i="27"/>
  <c r="B383" i="27"/>
  <c r="G382" i="27"/>
  <c r="D382" i="27"/>
  <c r="B382" i="27"/>
  <c r="G381" i="27"/>
  <c r="D381" i="27" s="1"/>
  <c r="B381" i="27" s="1"/>
  <c r="G380" i="27"/>
  <c r="D380" i="27"/>
  <c r="B380" i="27" s="1"/>
  <c r="G379" i="27"/>
  <c r="D379" i="27"/>
  <c r="B379" i="27"/>
  <c r="G378" i="27"/>
  <c r="D378" i="27"/>
  <c r="B378" i="27"/>
  <c r="G377" i="27"/>
  <c r="D377" i="27" s="1"/>
  <c r="B377" i="27" s="1"/>
  <c r="G376" i="27"/>
  <c r="G374" i="27" s="1"/>
  <c r="D376" i="27"/>
  <c r="B376" i="27" s="1"/>
  <c r="N374" i="27"/>
  <c r="M374" i="27"/>
  <c r="L374" i="27"/>
  <c r="K374" i="27"/>
  <c r="J374" i="27"/>
  <c r="I374" i="27"/>
  <c r="H374" i="27"/>
  <c r="E374" i="27"/>
  <c r="G371" i="27"/>
  <c r="D371" i="27"/>
  <c r="B371" i="27"/>
  <c r="G370" i="27"/>
  <c r="D370" i="27" s="1"/>
  <c r="B370" i="27" s="1"/>
  <c r="G369" i="27"/>
  <c r="D369" i="27"/>
  <c r="B369" i="27" s="1"/>
  <c r="G368" i="27"/>
  <c r="D368" i="27"/>
  <c r="B368" i="27"/>
  <c r="G367" i="27"/>
  <c r="D367" i="27"/>
  <c r="B367" i="27"/>
  <c r="G366" i="27"/>
  <c r="D366" i="27" s="1"/>
  <c r="B366" i="27" s="1"/>
  <c r="G365" i="27"/>
  <c r="D365" i="27"/>
  <c r="B365" i="27" s="1"/>
  <c r="G364" i="27"/>
  <c r="D364" i="27"/>
  <c r="B364" i="27"/>
  <c r="G363" i="27"/>
  <c r="D363" i="27"/>
  <c r="B363" i="27"/>
  <c r="G362" i="27"/>
  <c r="D362" i="27" s="1"/>
  <c r="B362" i="27" s="1"/>
  <c r="G361" i="27"/>
  <c r="D361" i="27"/>
  <c r="B361" i="27" s="1"/>
  <c r="G360" i="27"/>
  <c r="D360" i="27"/>
  <c r="B360" i="27"/>
  <c r="G359" i="27"/>
  <c r="D359" i="27"/>
  <c r="B359" i="27"/>
  <c r="G358" i="27"/>
  <c r="D358" i="27" s="1"/>
  <c r="B358" i="27" s="1"/>
  <c r="G357" i="27"/>
  <c r="D357" i="27"/>
  <c r="B357" i="27" s="1"/>
  <c r="G356" i="27"/>
  <c r="D356" i="27"/>
  <c r="B356" i="27"/>
  <c r="G355" i="27"/>
  <c r="D355" i="27"/>
  <c r="B355" i="27"/>
  <c r="G354" i="27"/>
  <c r="D354" i="27" s="1"/>
  <c r="B354" i="27" s="1"/>
  <c r="G353" i="27"/>
  <c r="D353" i="27"/>
  <c r="B353" i="27" s="1"/>
  <c r="G352" i="27"/>
  <c r="D352" i="27"/>
  <c r="B352" i="27"/>
  <c r="G351" i="27"/>
  <c r="D351" i="27"/>
  <c r="B351" i="27"/>
  <c r="G350" i="27"/>
  <c r="D350" i="27" s="1"/>
  <c r="B350" i="27" s="1"/>
  <c r="G349" i="27"/>
  <c r="D349" i="27"/>
  <c r="B349" i="27" s="1"/>
  <c r="G348" i="27"/>
  <c r="D348" i="27"/>
  <c r="B348" i="27"/>
  <c r="G347" i="27"/>
  <c r="D347" i="27"/>
  <c r="B347" i="27"/>
  <c r="G346" i="27"/>
  <c r="D346" i="27" s="1"/>
  <c r="B346" i="27" s="1"/>
  <c r="G345" i="27"/>
  <c r="D345" i="27"/>
  <c r="B345" i="27" s="1"/>
  <c r="G344" i="27"/>
  <c r="D344" i="27"/>
  <c r="B344" i="27"/>
  <c r="G343" i="27"/>
  <c r="D343" i="27"/>
  <c r="B343" i="27"/>
  <c r="G342" i="27"/>
  <c r="D342" i="27" s="1"/>
  <c r="B342" i="27" s="1"/>
  <c r="G341" i="27"/>
  <c r="D341" i="27"/>
  <c r="B341" i="27" s="1"/>
  <c r="G340" i="27"/>
  <c r="D340" i="27"/>
  <c r="B340" i="27"/>
  <c r="N338" i="27"/>
  <c r="M338" i="27"/>
  <c r="L338" i="27"/>
  <c r="K338" i="27"/>
  <c r="J338" i="27"/>
  <c r="I338" i="27"/>
  <c r="H338" i="27"/>
  <c r="G338" i="27"/>
  <c r="E338" i="27"/>
  <c r="G335" i="27"/>
  <c r="D335" i="27" s="1"/>
  <c r="B335" i="27" s="1"/>
  <c r="G334" i="27"/>
  <c r="D334" i="27"/>
  <c r="B334" i="27" s="1"/>
  <c r="G333" i="27"/>
  <c r="D333" i="27"/>
  <c r="B333" i="27"/>
  <c r="G332" i="27"/>
  <c r="D332" i="27"/>
  <c r="B332" i="27"/>
  <c r="G331" i="27"/>
  <c r="D331" i="27" s="1"/>
  <c r="B331" i="27" s="1"/>
  <c r="G330" i="27"/>
  <c r="D330" i="27"/>
  <c r="B330" i="27" s="1"/>
  <c r="G329" i="27"/>
  <c r="D329" i="27"/>
  <c r="B329" i="27"/>
  <c r="G328" i="27"/>
  <c r="D328" i="27"/>
  <c r="B328" i="27"/>
  <c r="G327" i="27"/>
  <c r="D327" i="27" s="1"/>
  <c r="B327" i="27" s="1"/>
  <c r="G326" i="27"/>
  <c r="D326" i="27"/>
  <c r="B326" i="27" s="1"/>
  <c r="G325" i="27"/>
  <c r="D325" i="27"/>
  <c r="B325" i="27"/>
  <c r="G324" i="27"/>
  <c r="D324" i="27"/>
  <c r="B324" i="27"/>
  <c r="G323" i="27"/>
  <c r="D323" i="27" s="1"/>
  <c r="B323" i="27" s="1"/>
  <c r="G322" i="27"/>
  <c r="D322" i="27"/>
  <c r="B322" i="27" s="1"/>
  <c r="G321" i="27"/>
  <c r="D321" i="27"/>
  <c r="B321" i="27"/>
  <c r="G320" i="27"/>
  <c r="D320" i="27"/>
  <c r="B320" i="27"/>
  <c r="G319" i="27"/>
  <c r="D319" i="27" s="1"/>
  <c r="B319" i="27" s="1"/>
  <c r="G318" i="27"/>
  <c r="D318" i="27"/>
  <c r="B318" i="27" s="1"/>
  <c r="G317" i="27"/>
  <c r="D317" i="27"/>
  <c r="B317" i="27"/>
  <c r="G316" i="27"/>
  <c r="D316" i="27"/>
  <c r="B316" i="27"/>
  <c r="G315" i="27"/>
  <c r="D315" i="27" s="1"/>
  <c r="B315" i="27" s="1"/>
  <c r="G314" i="27"/>
  <c r="D314" i="27"/>
  <c r="B314" i="27" s="1"/>
  <c r="G313" i="27"/>
  <c r="D313" i="27"/>
  <c r="B313" i="27"/>
  <c r="G312" i="27"/>
  <c r="D312" i="27"/>
  <c r="B312" i="27"/>
  <c r="G311" i="27"/>
  <c r="D311" i="27" s="1"/>
  <c r="B311" i="27" s="1"/>
  <c r="G310" i="27"/>
  <c r="D310" i="27"/>
  <c r="B310" i="27" s="1"/>
  <c r="G309" i="27"/>
  <c r="D309" i="27"/>
  <c r="B309" i="27"/>
  <c r="G308" i="27"/>
  <c r="D308" i="27"/>
  <c r="B308" i="27"/>
  <c r="G307" i="27"/>
  <c r="D307" i="27" s="1"/>
  <c r="B307" i="27" s="1"/>
  <c r="G306" i="27"/>
  <c r="D306" i="27"/>
  <c r="B306" i="27" s="1"/>
  <c r="G305" i="27"/>
  <c r="D305" i="27"/>
  <c r="B305" i="27"/>
  <c r="G304" i="27"/>
  <c r="D304" i="27"/>
  <c r="B304" i="27"/>
  <c r="N302" i="27"/>
  <c r="M302" i="27"/>
  <c r="L302" i="27"/>
  <c r="K302" i="27"/>
  <c r="J302" i="27"/>
  <c r="I302" i="27"/>
  <c r="H302" i="27"/>
  <c r="E302" i="27"/>
  <c r="G299" i="27"/>
  <c r="D299" i="27"/>
  <c r="B299" i="27" s="1"/>
  <c r="G298" i="27"/>
  <c r="D298" i="27"/>
  <c r="B298" i="27"/>
  <c r="G297" i="27"/>
  <c r="D297" i="27"/>
  <c r="B297" i="27"/>
  <c r="G296" i="27"/>
  <c r="D296" i="27" s="1"/>
  <c r="B296" i="27" s="1"/>
  <c r="G295" i="27"/>
  <c r="D295" i="27"/>
  <c r="B295" i="27" s="1"/>
  <c r="G294" i="27"/>
  <c r="D294" i="27"/>
  <c r="B294" i="27"/>
  <c r="G293" i="27"/>
  <c r="D293" i="27"/>
  <c r="B293" i="27"/>
  <c r="G292" i="27"/>
  <c r="D292" i="27" s="1"/>
  <c r="B292" i="27" s="1"/>
  <c r="G291" i="27"/>
  <c r="D291" i="27"/>
  <c r="B291" i="27" s="1"/>
  <c r="G290" i="27"/>
  <c r="D290" i="27"/>
  <c r="B290" i="27"/>
  <c r="G289" i="27"/>
  <c r="D289" i="27"/>
  <c r="B289" i="27"/>
  <c r="G288" i="27"/>
  <c r="D288" i="27" s="1"/>
  <c r="B288" i="27" s="1"/>
  <c r="G287" i="27"/>
  <c r="D287" i="27"/>
  <c r="B287" i="27" s="1"/>
  <c r="G286" i="27"/>
  <c r="D286" i="27"/>
  <c r="B286" i="27"/>
  <c r="G285" i="27"/>
  <c r="D285" i="27"/>
  <c r="B285" i="27"/>
  <c r="G284" i="27"/>
  <c r="D284" i="27" s="1"/>
  <c r="B284" i="27" s="1"/>
  <c r="G283" i="27"/>
  <c r="D283" i="27"/>
  <c r="B283" i="27" s="1"/>
  <c r="G282" i="27"/>
  <c r="D282" i="27"/>
  <c r="B282" i="27"/>
  <c r="G281" i="27"/>
  <c r="D281" i="27"/>
  <c r="B281" i="27"/>
  <c r="G280" i="27"/>
  <c r="D280" i="27" s="1"/>
  <c r="B280" i="27" s="1"/>
  <c r="G279" i="27"/>
  <c r="D279" i="27"/>
  <c r="B279" i="27" s="1"/>
  <c r="G278" i="27"/>
  <c r="D278" i="27"/>
  <c r="B278" i="27"/>
  <c r="G277" i="27"/>
  <c r="D277" i="27"/>
  <c r="B277" i="27"/>
  <c r="G276" i="27"/>
  <c r="D276" i="27" s="1"/>
  <c r="B276" i="27" s="1"/>
  <c r="G275" i="27"/>
  <c r="D275" i="27"/>
  <c r="B275" i="27" s="1"/>
  <c r="G274" i="27"/>
  <c r="D274" i="27"/>
  <c r="B274" i="27"/>
  <c r="G273" i="27"/>
  <c r="D273" i="27"/>
  <c r="B273" i="27"/>
  <c r="G272" i="27"/>
  <c r="D272" i="27" s="1"/>
  <c r="B272" i="27" s="1"/>
  <c r="G271" i="27"/>
  <c r="D271" i="27"/>
  <c r="B271" i="27" s="1"/>
  <c r="G270" i="27"/>
  <c r="D270" i="27"/>
  <c r="B270" i="27"/>
  <c r="G269" i="27"/>
  <c r="D269" i="27"/>
  <c r="B269" i="27"/>
  <c r="G268" i="27"/>
  <c r="D268" i="27" s="1"/>
  <c r="N266" i="27"/>
  <c r="M266" i="27"/>
  <c r="L266" i="27"/>
  <c r="K266" i="27"/>
  <c r="J266" i="27"/>
  <c r="I266" i="27"/>
  <c r="H266" i="27"/>
  <c r="E266" i="27"/>
  <c r="G263" i="27"/>
  <c r="D263" i="27"/>
  <c r="B263" i="27"/>
  <c r="G262" i="27"/>
  <c r="D262" i="27"/>
  <c r="B262" i="27"/>
  <c r="G261" i="27"/>
  <c r="D261" i="27" s="1"/>
  <c r="B261" i="27" s="1"/>
  <c r="G260" i="27"/>
  <c r="D260" i="27"/>
  <c r="B260" i="27" s="1"/>
  <c r="G259" i="27"/>
  <c r="D259" i="27"/>
  <c r="B259" i="27"/>
  <c r="G258" i="27"/>
  <c r="D258" i="27"/>
  <c r="B258" i="27"/>
  <c r="G257" i="27"/>
  <c r="D257" i="27" s="1"/>
  <c r="B257" i="27" s="1"/>
  <c r="G256" i="27"/>
  <c r="D256" i="27"/>
  <c r="B256" i="27" s="1"/>
  <c r="G255" i="27"/>
  <c r="D255" i="27"/>
  <c r="B255" i="27"/>
  <c r="G254" i="27"/>
  <c r="D254" i="27"/>
  <c r="B254" i="27"/>
  <c r="G253" i="27"/>
  <c r="D253" i="27" s="1"/>
  <c r="B253" i="27" s="1"/>
  <c r="G252" i="27"/>
  <c r="D252" i="27"/>
  <c r="B252" i="27" s="1"/>
  <c r="G251" i="27"/>
  <c r="D251" i="27"/>
  <c r="B251" i="27"/>
  <c r="G250" i="27"/>
  <c r="D250" i="27"/>
  <c r="B250" i="27"/>
  <c r="G249" i="27"/>
  <c r="D249" i="27" s="1"/>
  <c r="B249" i="27" s="1"/>
  <c r="G248" i="27"/>
  <c r="D248" i="27"/>
  <c r="B248" i="27" s="1"/>
  <c r="G247" i="27"/>
  <c r="D247" i="27"/>
  <c r="B247" i="27"/>
  <c r="G246" i="27"/>
  <c r="D246" i="27"/>
  <c r="B246" i="27"/>
  <c r="G245" i="27"/>
  <c r="D245" i="27" s="1"/>
  <c r="B245" i="27" s="1"/>
  <c r="G244" i="27"/>
  <c r="D244" i="27"/>
  <c r="B244" i="27" s="1"/>
  <c r="G243" i="27"/>
  <c r="D243" i="27"/>
  <c r="B243" i="27"/>
  <c r="G242" i="27"/>
  <c r="D242" i="27"/>
  <c r="B242" i="27"/>
  <c r="G241" i="27"/>
  <c r="D241" i="27" s="1"/>
  <c r="B241" i="27" s="1"/>
  <c r="G240" i="27"/>
  <c r="D240" i="27"/>
  <c r="B240" i="27" s="1"/>
  <c r="G239" i="27"/>
  <c r="D239" i="27"/>
  <c r="B239" i="27"/>
  <c r="G238" i="27"/>
  <c r="D238" i="27"/>
  <c r="B238" i="27"/>
  <c r="G237" i="27"/>
  <c r="D237" i="27" s="1"/>
  <c r="B237" i="27" s="1"/>
  <c r="G236" i="27"/>
  <c r="D236" i="27"/>
  <c r="B236" i="27" s="1"/>
  <c r="G235" i="27"/>
  <c r="D235" i="27"/>
  <c r="B235" i="27"/>
  <c r="G234" i="27"/>
  <c r="D234" i="27"/>
  <c r="B234" i="27"/>
  <c r="G233" i="27"/>
  <c r="D233" i="27" s="1"/>
  <c r="B233" i="27" s="1"/>
  <c r="G232" i="27"/>
  <c r="G230" i="27" s="1"/>
  <c r="D232" i="27"/>
  <c r="B232" i="27" s="1"/>
  <c r="B230" i="27" s="1"/>
  <c r="N230" i="27"/>
  <c r="M230" i="27"/>
  <c r="L230" i="27"/>
  <c r="K230" i="27"/>
  <c r="J230" i="27"/>
  <c r="I230" i="27"/>
  <c r="H230" i="27"/>
  <c r="E230" i="27"/>
  <c r="G227" i="27"/>
  <c r="D227" i="27"/>
  <c r="B227" i="27"/>
  <c r="G226" i="27"/>
  <c r="D226" i="27" s="1"/>
  <c r="B226" i="27" s="1"/>
  <c r="G225" i="27"/>
  <c r="D225" i="27"/>
  <c r="B225" i="27" s="1"/>
  <c r="G224" i="27"/>
  <c r="D224" i="27"/>
  <c r="B224" i="27"/>
  <c r="G223" i="27"/>
  <c r="D223" i="27"/>
  <c r="B223" i="27"/>
  <c r="G222" i="27"/>
  <c r="D222" i="27" s="1"/>
  <c r="B222" i="27" s="1"/>
  <c r="G221" i="27"/>
  <c r="D221" i="27"/>
  <c r="B221" i="27" s="1"/>
  <c r="G220" i="27"/>
  <c r="D220" i="27"/>
  <c r="B220" i="27"/>
  <c r="G219" i="27"/>
  <c r="D219" i="27"/>
  <c r="B219" i="27"/>
  <c r="G218" i="27"/>
  <c r="D218" i="27" s="1"/>
  <c r="B218" i="27" s="1"/>
  <c r="G217" i="27"/>
  <c r="D217" i="27"/>
  <c r="B217" i="27" s="1"/>
  <c r="G216" i="27"/>
  <c r="D216" i="27"/>
  <c r="B216" i="27"/>
  <c r="G215" i="27"/>
  <c r="D215" i="27"/>
  <c r="B215" i="27"/>
  <c r="G214" i="27"/>
  <c r="D214" i="27" s="1"/>
  <c r="B214" i="27" s="1"/>
  <c r="G213" i="27"/>
  <c r="D213" i="27"/>
  <c r="B213" i="27" s="1"/>
  <c r="G212" i="27"/>
  <c r="D212" i="27"/>
  <c r="B212" i="27"/>
  <c r="G211" i="27"/>
  <c r="D211" i="27"/>
  <c r="B211" i="27"/>
  <c r="G210" i="27"/>
  <c r="D210" i="27" s="1"/>
  <c r="B210" i="27" s="1"/>
  <c r="G209" i="27"/>
  <c r="D209" i="27"/>
  <c r="B209" i="27" s="1"/>
  <c r="G208" i="27"/>
  <c r="D208" i="27"/>
  <c r="B208" i="27"/>
  <c r="G207" i="27"/>
  <c r="D207" i="27"/>
  <c r="B207" i="27"/>
  <c r="G206" i="27"/>
  <c r="D206" i="27" s="1"/>
  <c r="B206" i="27" s="1"/>
  <c r="G205" i="27"/>
  <c r="D205" i="27"/>
  <c r="B205" i="27" s="1"/>
  <c r="G204" i="27"/>
  <c r="D204" i="27"/>
  <c r="B204" i="27"/>
  <c r="G203" i="27"/>
  <c r="D203" i="27"/>
  <c r="B203" i="27"/>
  <c r="G202" i="27"/>
  <c r="D202" i="27" s="1"/>
  <c r="B202" i="27" s="1"/>
  <c r="G201" i="27"/>
  <c r="D201" i="27"/>
  <c r="B201" i="27" s="1"/>
  <c r="G200" i="27"/>
  <c r="D200" i="27"/>
  <c r="B200" i="27"/>
  <c r="G199" i="27"/>
  <c r="D199" i="27"/>
  <c r="B199" i="27"/>
  <c r="G198" i="27"/>
  <c r="D198" i="27" s="1"/>
  <c r="B198" i="27" s="1"/>
  <c r="G197" i="27"/>
  <c r="D197" i="27"/>
  <c r="B197" i="27" s="1"/>
  <c r="G196" i="27"/>
  <c r="D196" i="27"/>
  <c r="B196" i="27"/>
  <c r="B194" i="27" s="1"/>
  <c r="N194" i="27"/>
  <c r="M194" i="27"/>
  <c r="L194" i="27"/>
  <c r="K194" i="27"/>
  <c r="J194" i="27"/>
  <c r="I194" i="27"/>
  <c r="H194" i="27"/>
  <c r="G194" i="27"/>
  <c r="E194" i="27"/>
  <c r="G191" i="27"/>
  <c r="D191" i="27" s="1"/>
  <c r="B191" i="27" s="1"/>
  <c r="G190" i="27"/>
  <c r="D190" i="27"/>
  <c r="B190" i="27" s="1"/>
  <c r="G189" i="27"/>
  <c r="D189" i="27"/>
  <c r="B189" i="27"/>
  <c r="G188" i="27"/>
  <c r="D188" i="27"/>
  <c r="B188" i="27"/>
  <c r="G187" i="27"/>
  <c r="D187" i="27" s="1"/>
  <c r="B187" i="27" s="1"/>
  <c r="G186" i="27"/>
  <c r="D186" i="27"/>
  <c r="B186" i="27" s="1"/>
  <c r="G185" i="27"/>
  <c r="D185" i="27"/>
  <c r="B185" i="27"/>
  <c r="G184" i="27"/>
  <c r="D184" i="27"/>
  <c r="B184" i="27"/>
  <c r="G183" i="27"/>
  <c r="D183" i="27" s="1"/>
  <c r="B183" i="27" s="1"/>
  <c r="G182" i="27"/>
  <c r="D182" i="27"/>
  <c r="B182" i="27" s="1"/>
  <c r="G181" i="27"/>
  <c r="D181" i="27"/>
  <c r="B181" i="27"/>
  <c r="G180" i="27"/>
  <c r="D180" i="27"/>
  <c r="B180" i="27"/>
  <c r="G179" i="27"/>
  <c r="D179" i="27" s="1"/>
  <c r="B179" i="27" s="1"/>
  <c r="G178" i="27"/>
  <c r="D178" i="27"/>
  <c r="B178" i="27" s="1"/>
  <c r="G177" i="27"/>
  <c r="D177" i="27"/>
  <c r="B177" i="27"/>
  <c r="G176" i="27"/>
  <c r="D176" i="27"/>
  <c r="B176" i="27"/>
  <c r="G175" i="27"/>
  <c r="D175" i="27" s="1"/>
  <c r="B175" i="27" s="1"/>
  <c r="G174" i="27"/>
  <c r="D174" i="27"/>
  <c r="B174" i="27" s="1"/>
  <c r="G173" i="27"/>
  <c r="D173" i="27"/>
  <c r="B173" i="27"/>
  <c r="G172" i="27"/>
  <c r="D172" i="27"/>
  <c r="B172" i="27"/>
  <c r="G171" i="27"/>
  <c r="D171" i="27" s="1"/>
  <c r="B171" i="27" s="1"/>
  <c r="G170" i="27"/>
  <c r="D170" i="27"/>
  <c r="B170" i="27" s="1"/>
  <c r="G169" i="27"/>
  <c r="D169" i="27"/>
  <c r="B169" i="27"/>
  <c r="G168" i="27"/>
  <c r="D168" i="27"/>
  <c r="B168" i="27"/>
  <c r="G167" i="27"/>
  <c r="D167" i="27" s="1"/>
  <c r="B167" i="27" s="1"/>
  <c r="G166" i="27"/>
  <c r="D166" i="27"/>
  <c r="B166" i="27" s="1"/>
  <c r="G165" i="27"/>
  <c r="D165" i="27"/>
  <c r="B165" i="27"/>
  <c r="G164" i="27"/>
  <c r="D164" i="27"/>
  <c r="B164" i="27"/>
  <c r="G163" i="27"/>
  <c r="D163" i="27" s="1"/>
  <c r="B163" i="27" s="1"/>
  <c r="G162" i="27"/>
  <c r="D162" i="27"/>
  <c r="B162" i="27" s="1"/>
  <c r="G161" i="27"/>
  <c r="D161" i="27"/>
  <c r="B161" i="27"/>
  <c r="G160" i="27"/>
  <c r="D160" i="27"/>
  <c r="D158" i="27" s="1"/>
  <c r="B160" i="27"/>
  <c r="N158" i="27"/>
  <c r="M158" i="27"/>
  <c r="L158" i="27"/>
  <c r="K158" i="27"/>
  <c r="J158" i="27"/>
  <c r="I158" i="27"/>
  <c r="H158" i="27"/>
  <c r="E158" i="27"/>
  <c r="G155" i="27"/>
  <c r="D155" i="27"/>
  <c r="B155" i="27" s="1"/>
  <c r="G154" i="27"/>
  <c r="D154" i="27"/>
  <c r="B154" i="27"/>
  <c r="G153" i="27"/>
  <c r="D153" i="27"/>
  <c r="B153" i="27"/>
  <c r="G152" i="27"/>
  <c r="D152" i="27" s="1"/>
  <c r="B152" i="27" s="1"/>
  <c r="G151" i="27"/>
  <c r="D151" i="27"/>
  <c r="B151" i="27" s="1"/>
  <c r="G150" i="27"/>
  <c r="D150" i="27"/>
  <c r="B150" i="27"/>
  <c r="G149" i="27"/>
  <c r="D149" i="27"/>
  <c r="B149" i="27"/>
  <c r="G148" i="27"/>
  <c r="D148" i="27" s="1"/>
  <c r="B148" i="27" s="1"/>
  <c r="G147" i="27"/>
  <c r="D147" i="27"/>
  <c r="B147" i="27" s="1"/>
  <c r="G146" i="27"/>
  <c r="D146" i="27"/>
  <c r="B146" i="27"/>
  <c r="G145" i="27"/>
  <c r="D145" i="27"/>
  <c r="B145" i="27"/>
  <c r="G144" i="27"/>
  <c r="D144" i="27" s="1"/>
  <c r="B144" i="27" s="1"/>
  <c r="G143" i="27"/>
  <c r="D143" i="27"/>
  <c r="B143" i="27" s="1"/>
  <c r="G142" i="27"/>
  <c r="D142" i="27"/>
  <c r="B142" i="27"/>
  <c r="G141" i="27"/>
  <c r="D141" i="27"/>
  <c r="B141" i="27"/>
  <c r="G140" i="27"/>
  <c r="D140" i="27" s="1"/>
  <c r="B140" i="27" s="1"/>
  <c r="G139" i="27"/>
  <c r="B139" i="27"/>
  <c r="G138" i="27"/>
  <c r="D138" i="27"/>
  <c r="B138" i="27"/>
  <c r="G137" i="27"/>
  <c r="D137" i="27" s="1"/>
  <c r="B137" i="27" s="1"/>
  <c r="G136" i="27"/>
  <c r="D136" i="27"/>
  <c r="B136" i="27" s="1"/>
  <c r="G135" i="27"/>
  <c r="D135" i="27"/>
  <c r="B135" i="27"/>
  <c r="G134" i="27"/>
  <c r="D134" i="27"/>
  <c r="B134" i="27"/>
  <c r="G133" i="27"/>
  <c r="D133" i="27" s="1"/>
  <c r="B133" i="27" s="1"/>
  <c r="G132" i="27"/>
  <c r="D132" i="27"/>
  <c r="B132" i="27" s="1"/>
  <c r="G131" i="27"/>
  <c r="D131" i="27"/>
  <c r="B131" i="27"/>
  <c r="G130" i="27"/>
  <c r="D130" i="27"/>
  <c r="B130" i="27"/>
  <c r="G129" i="27"/>
  <c r="D129" i="27" s="1"/>
  <c r="B129" i="27" s="1"/>
  <c r="G128" i="27"/>
  <c r="D128" i="27"/>
  <c r="B128" i="27" s="1"/>
  <c r="G127" i="27"/>
  <c r="D127" i="27"/>
  <c r="B127" i="27"/>
  <c r="G126" i="27"/>
  <c r="D126" i="27"/>
  <c r="B126" i="27"/>
  <c r="G125" i="27"/>
  <c r="D125" i="27" s="1"/>
  <c r="B125" i="27" s="1"/>
  <c r="G124" i="27"/>
  <c r="G122" i="27" s="1"/>
  <c r="D124" i="27"/>
  <c r="B124" i="27" s="1"/>
  <c r="B122" i="27" s="1"/>
  <c r="N122" i="27"/>
  <c r="M122" i="27"/>
  <c r="L122" i="27"/>
  <c r="K122" i="27"/>
  <c r="J122" i="27"/>
  <c r="I122" i="27"/>
  <c r="H122" i="27"/>
  <c r="E122" i="27"/>
  <c r="G119" i="27"/>
  <c r="D119" i="27"/>
  <c r="B119" i="27"/>
  <c r="G118" i="27"/>
  <c r="D118" i="27" s="1"/>
  <c r="B118" i="27" s="1"/>
  <c r="G117" i="27"/>
  <c r="D117" i="27"/>
  <c r="B117" i="27" s="1"/>
  <c r="G116" i="27"/>
  <c r="D116" i="27"/>
  <c r="B116" i="27"/>
  <c r="G115" i="27"/>
  <c r="D115" i="27"/>
  <c r="B115" i="27"/>
  <c r="G114" i="27"/>
  <c r="D114" i="27" s="1"/>
  <c r="B114" i="27" s="1"/>
  <c r="G113" i="27"/>
  <c r="D113" i="27"/>
  <c r="B113" i="27" s="1"/>
  <c r="G112" i="27"/>
  <c r="D112" i="27"/>
  <c r="B112" i="27"/>
  <c r="G111" i="27"/>
  <c r="D111" i="27"/>
  <c r="B111" i="27"/>
  <c r="G110" i="27"/>
  <c r="D110" i="27" s="1"/>
  <c r="B110" i="27" s="1"/>
  <c r="G109" i="27"/>
  <c r="D109" i="27"/>
  <c r="B109" i="27" s="1"/>
  <c r="G108" i="27"/>
  <c r="D108" i="27"/>
  <c r="B108" i="27"/>
  <c r="G107" i="27"/>
  <c r="D107" i="27"/>
  <c r="B107" i="27"/>
  <c r="G106" i="27"/>
  <c r="D106" i="27" s="1"/>
  <c r="B106" i="27" s="1"/>
  <c r="G105" i="27"/>
  <c r="D105" i="27"/>
  <c r="B105" i="27" s="1"/>
  <c r="G104" i="27"/>
  <c r="D104" i="27"/>
  <c r="B104" i="27"/>
  <c r="G103" i="27"/>
  <c r="D103" i="27"/>
  <c r="B103" i="27"/>
  <c r="G102" i="27"/>
  <c r="D102" i="27" s="1"/>
  <c r="B102" i="27" s="1"/>
  <c r="G101" i="27"/>
  <c r="D101" i="27"/>
  <c r="B101" i="27" s="1"/>
  <c r="G100" i="27"/>
  <c r="D100" i="27"/>
  <c r="B100" i="27"/>
  <c r="G99" i="27"/>
  <c r="D99" i="27"/>
  <c r="B99" i="27"/>
  <c r="G98" i="27"/>
  <c r="D98" i="27" s="1"/>
  <c r="B98" i="27" s="1"/>
  <c r="G97" i="27"/>
  <c r="D97" i="27"/>
  <c r="B97" i="27" s="1"/>
  <c r="G96" i="27"/>
  <c r="D96" i="27"/>
  <c r="B96" i="27"/>
  <c r="G95" i="27"/>
  <c r="D95" i="27"/>
  <c r="B95" i="27"/>
  <c r="G94" i="27"/>
  <c r="D94" i="27" s="1"/>
  <c r="B94" i="27" s="1"/>
  <c r="G93" i="27"/>
  <c r="D93" i="27"/>
  <c r="B93" i="27" s="1"/>
  <c r="G92" i="27"/>
  <c r="D92" i="27"/>
  <c r="B92" i="27"/>
  <c r="G91" i="27"/>
  <c r="D91" i="27"/>
  <c r="B91" i="27"/>
  <c r="G90" i="27"/>
  <c r="D90" i="27" s="1"/>
  <c r="B90" i="27" s="1"/>
  <c r="G89" i="27"/>
  <c r="D89" i="27"/>
  <c r="B89" i="27" s="1"/>
  <c r="G88" i="27"/>
  <c r="D88" i="27"/>
  <c r="B88" i="27"/>
  <c r="N86" i="27"/>
  <c r="M86" i="27"/>
  <c r="L86" i="27"/>
  <c r="K86" i="27"/>
  <c r="J86" i="27"/>
  <c r="I86" i="27"/>
  <c r="H86" i="27"/>
  <c r="G86" i="27"/>
  <c r="E86" i="27"/>
  <c r="G83" i="27"/>
  <c r="D83" i="27" s="1"/>
  <c r="B83" i="27" s="1"/>
  <c r="G82" i="27"/>
  <c r="D82" i="27"/>
  <c r="B82" i="27" s="1"/>
  <c r="G81" i="27"/>
  <c r="D81" i="27"/>
  <c r="B81" i="27"/>
  <c r="G80" i="27"/>
  <c r="D80" i="27"/>
  <c r="B80" i="27"/>
  <c r="G79" i="27"/>
  <c r="D79" i="27" s="1"/>
  <c r="B79" i="27" s="1"/>
  <c r="G78" i="27"/>
  <c r="D78" i="27"/>
  <c r="B78" i="27" s="1"/>
  <c r="G77" i="27"/>
  <c r="D77" i="27"/>
  <c r="B77" i="27"/>
  <c r="G76" i="27"/>
  <c r="D76" i="27"/>
  <c r="B76" i="27"/>
  <c r="G75" i="27"/>
  <c r="D75" i="27" s="1"/>
  <c r="B75" i="27" s="1"/>
  <c r="G74" i="27"/>
  <c r="D74" i="27"/>
  <c r="B74" i="27" s="1"/>
  <c r="G73" i="27"/>
  <c r="D73" i="27"/>
  <c r="B73" i="27"/>
  <c r="G72" i="27"/>
  <c r="D72" i="27"/>
  <c r="B72" i="27"/>
  <c r="G71" i="27"/>
  <c r="D71" i="27" s="1"/>
  <c r="B71" i="27" s="1"/>
  <c r="G70" i="27"/>
  <c r="D70" i="27"/>
  <c r="B70" i="27" s="1"/>
  <c r="G69" i="27"/>
  <c r="D69" i="27"/>
  <c r="B69" i="27"/>
  <c r="G68" i="27"/>
  <c r="D68" i="27"/>
  <c r="B68" i="27"/>
  <c r="G67" i="27"/>
  <c r="D67" i="27" s="1"/>
  <c r="B67" i="27" s="1"/>
  <c r="G66" i="27"/>
  <c r="D66" i="27"/>
  <c r="B66" i="27" s="1"/>
  <c r="G65" i="27"/>
  <c r="D65" i="27"/>
  <c r="B65" i="27"/>
  <c r="G64" i="27"/>
  <c r="D64" i="27"/>
  <c r="B64" i="27"/>
  <c r="G63" i="27"/>
  <c r="D63" i="27" s="1"/>
  <c r="B63" i="27" s="1"/>
  <c r="G62" i="27"/>
  <c r="D62" i="27"/>
  <c r="B62" i="27" s="1"/>
  <c r="G61" i="27"/>
  <c r="D61" i="27"/>
  <c r="B61" i="27"/>
  <c r="G60" i="27"/>
  <c r="D60" i="27"/>
  <c r="B60" i="27"/>
  <c r="G59" i="27"/>
  <c r="D59" i="27" s="1"/>
  <c r="B59" i="27" s="1"/>
  <c r="G58" i="27"/>
  <c r="D58" i="27"/>
  <c r="B58" i="27" s="1"/>
  <c r="G57" i="27"/>
  <c r="D57" i="27"/>
  <c r="B57" i="27"/>
  <c r="G56" i="27"/>
  <c r="D56" i="27"/>
  <c r="B56" i="27"/>
  <c r="G55" i="27"/>
  <c r="D55" i="27" s="1"/>
  <c r="B55" i="27" s="1"/>
  <c r="G54" i="27"/>
  <c r="D54" i="27"/>
  <c r="B54" i="27" s="1"/>
  <c r="G53" i="27"/>
  <c r="D53" i="27"/>
  <c r="B53" i="27"/>
  <c r="G52" i="27"/>
  <c r="D52" i="27"/>
  <c r="D50" i="27" s="1"/>
  <c r="B52" i="27"/>
  <c r="N50" i="27"/>
  <c r="M50" i="27"/>
  <c r="L50" i="27"/>
  <c r="K50" i="27"/>
  <c r="J50" i="27"/>
  <c r="I50" i="27"/>
  <c r="H50" i="27"/>
  <c r="E50" i="27"/>
  <c r="G47" i="27"/>
  <c r="D47" i="27"/>
  <c r="B47" i="27" s="1"/>
  <c r="G46" i="27"/>
  <c r="D46" i="27"/>
  <c r="B46" i="27"/>
  <c r="G45" i="27"/>
  <c r="D45" i="27"/>
  <c r="B45" i="27"/>
  <c r="G44" i="27"/>
  <c r="D44" i="27" s="1"/>
  <c r="B44" i="27" s="1"/>
  <c r="G43" i="27"/>
  <c r="D43" i="27"/>
  <c r="B43" i="27" s="1"/>
  <c r="G42" i="27"/>
  <c r="D42" i="27"/>
  <c r="B42" i="27"/>
  <c r="G41" i="27"/>
  <c r="D41" i="27"/>
  <c r="B41" i="27"/>
  <c r="G40" i="27"/>
  <c r="D40" i="27" s="1"/>
  <c r="B40" i="27" s="1"/>
  <c r="G39" i="27"/>
  <c r="D39" i="27"/>
  <c r="B39" i="27" s="1"/>
  <c r="G38" i="27"/>
  <c r="D38" i="27"/>
  <c r="B38" i="27"/>
  <c r="G37" i="27"/>
  <c r="D37" i="27"/>
  <c r="B37" i="27"/>
  <c r="G36" i="27"/>
  <c r="D36" i="27" s="1"/>
  <c r="B36" i="27" s="1"/>
  <c r="G35" i="27"/>
  <c r="D35" i="27"/>
  <c r="B35" i="27" s="1"/>
  <c r="G34" i="27"/>
  <c r="D34" i="27"/>
  <c r="B34" i="27"/>
  <c r="G33" i="27"/>
  <c r="D33" i="27"/>
  <c r="B33" i="27"/>
  <c r="G32" i="27"/>
  <c r="D32" i="27" s="1"/>
  <c r="B32" i="27" s="1"/>
  <c r="G31" i="27"/>
  <c r="D31" i="27"/>
  <c r="B31" i="27" s="1"/>
  <c r="G30" i="27"/>
  <c r="D30" i="27"/>
  <c r="B30" i="27"/>
  <c r="G29" i="27"/>
  <c r="D29" i="27"/>
  <c r="B29" i="27"/>
  <c r="G28" i="27"/>
  <c r="D28" i="27" s="1"/>
  <c r="B28" i="27" s="1"/>
  <c r="G27" i="27"/>
  <c r="D27" i="27"/>
  <c r="B27" i="27" s="1"/>
  <c r="G26" i="27"/>
  <c r="D26" i="27"/>
  <c r="B26" i="27"/>
  <c r="G25" i="27"/>
  <c r="D25" i="27"/>
  <c r="B25" i="27"/>
  <c r="G24" i="27"/>
  <c r="D24" i="27" s="1"/>
  <c r="B24" i="27" s="1"/>
  <c r="G23" i="27"/>
  <c r="D23" i="27"/>
  <c r="B23" i="27" s="1"/>
  <c r="G22" i="27"/>
  <c r="D22" i="27"/>
  <c r="B22" i="27"/>
  <c r="G21" i="27"/>
  <c r="D21" i="27"/>
  <c r="B21" i="27"/>
  <c r="G20" i="27"/>
  <c r="D20" i="27" s="1"/>
  <c r="B20" i="27" s="1"/>
  <c r="G19" i="27"/>
  <c r="D19" i="27"/>
  <c r="B19" i="27" s="1"/>
  <c r="G18" i="27"/>
  <c r="D18" i="27"/>
  <c r="B18" i="27"/>
  <c r="G16" i="27"/>
  <c r="D16" i="27"/>
  <c r="B16" i="27"/>
  <c r="N14" i="27"/>
  <c r="M14" i="27"/>
  <c r="L14" i="27"/>
  <c r="K14" i="27"/>
  <c r="J14" i="27"/>
  <c r="I14" i="27"/>
  <c r="H14" i="27"/>
  <c r="E14" i="27"/>
  <c r="H840" i="26"/>
  <c r="G840" i="26"/>
  <c r="F840" i="26"/>
  <c r="E840" i="26"/>
  <c r="D840" i="26"/>
  <c r="C840" i="26"/>
  <c r="B840" i="26"/>
  <c r="H804" i="26"/>
  <c r="G804" i="26"/>
  <c r="F804" i="26"/>
  <c r="E804" i="26"/>
  <c r="D804" i="26"/>
  <c r="C804" i="26"/>
  <c r="B804" i="26"/>
  <c r="H768" i="26"/>
  <c r="G768" i="26"/>
  <c r="F768" i="26"/>
  <c r="E768" i="26"/>
  <c r="D768" i="26"/>
  <c r="C768" i="26"/>
  <c r="B768" i="26"/>
  <c r="H732" i="26"/>
  <c r="G732" i="26"/>
  <c r="F732" i="26"/>
  <c r="E732" i="26"/>
  <c r="D732" i="26"/>
  <c r="C732" i="26"/>
  <c r="B732" i="26"/>
  <c r="H696" i="26"/>
  <c r="G696" i="26"/>
  <c r="F696" i="26"/>
  <c r="E696" i="26"/>
  <c r="D696" i="26"/>
  <c r="C696" i="26"/>
  <c r="B696" i="26"/>
  <c r="H660" i="26"/>
  <c r="G660" i="26"/>
  <c r="F660" i="26"/>
  <c r="E660" i="26"/>
  <c r="D660" i="26"/>
  <c r="C660" i="26"/>
  <c r="B660" i="26"/>
  <c r="H624" i="26"/>
  <c r="G624" i="26"/>
  <c r="F624" i="26"/>
  <c r="E624" i="26"/>
  <c r="D624" i="26"/>
  <c r="C624" i="26"/>
  <c r="B624" i="26"/>
  <c r="H588" i="26"/>
  <c r="G588" i="26"/>
  <c r="F588" i="26"/>
  <c r="E588" i="26"/>
  <c r="D588" i="26"/>
  <c r="C588" i="26"/>
  <c r="B588" i="26"/>
  <c r="H552" i="26"/>
  <c r="G552" i="26"/>
  <c r="F552" i="26"/>
  <c r="E552" i="26"/>
  <c r="D552" i="26"/>
  <c r="C552" i="26"/>
  <c r="B552" i="26"/>
  <c r="H516" i="26"/>
  <c r="G516" i="26"/>
  <c r="F516" i="26"/>
  <c r="E516" i="26"/>
  <c r="D516" i="26"/>
  <c r="C516" i="26"/>
  <c r="B516" i="26"/>
  <c r="H480" i="26"/>
  <c r="G480" i="26"/>
  <c r="F480" i="26"/>
  <c r="E480" i="26"/>
  <c r="D480" i="26"/>
  <c r="C480" i="26"/>
  <c r="B480" i="26"/>
  <c r="H444" i="26"/>
  <c r="G444" i="26"/>
  <c r="F444" i="26"/>
  <c r="E444" i="26"/>
  <c r="D444" i="26"/>
  <c r="C444" i="26"/>
  <c r="B444" i="26"/>
  <c r="H408" i="26"/>
  <c r="G408" i="26"/>
  <c r="F408" i="26"/>
  <c r="E408" i="26"/>
  <c r="D408" i="26"/>
  <c r="C408" i="26"/>
  <c r="B408" i="26"/>
  <c r="H372" i="26"/>
  <c r="G372" i="26"/>
  <c r="F372" i="26"/>
  <c r="E372" i="26"/>
  <c r="D372" i="26"/>
  <c r="C372" i="26"/>
  <c r="B372" i="26"/>
  <c r="H336" i="26"/>
  <c r="G336" i="26"/>
  <c r="F336" i="26"/>
  <c r="E336" i="26"/>
  <c r="D336" i="26"/>
  <c r="C336" i="26"/>
  <c r="B336" i="26"/>
  <c r="H300" i="26"/>
  <c r="G300" i="26"/>
  <c r="F300" i="26"/>
  <c r="E300" i="26"/>
  <c r="D300" i="26"/>
  <c r="C300" i="26"/>
  <c r="B300" i="26"/>
  <c r="H264" i="26"/>
  <c r="G264" i="26"/>
  <c r="F264" i="26"/>
  <c r="E264" i="26"/>
  <c r="D264" i="26"/>
  <c r="C264" i="26"/>
  <c r="B264" i="26"/>
  <c r="H228" i="26"/>
  <c r="G228" i="26"/>
  <c r="F228" i="26"/>
  <c r="E228" i="26"/>
  <c r="D228" i="26"/>
  <c r="C228" i="26"/>
  <c r="B228" i="26"/>
  <c r="H192" i="26"/>
  <c r="G192" i="26"/>
  <c r="F192" i="26"/>
  <c r="E192" i="26"/>
  <c r="D192" i="26"/>
  <c r="C192" i="26"/>
  <c r="B192" i="26"/>
  <c r="H156" i="26"/>
  <c r="G156" i="26"/>
  <c r="F156" i="26"/>
  <c r="E156" i="26"/>
  <c r="D156" i="26"/>
  <c r="C156" i="26"/>
  <c r="B156" i="26"/>
  <c r="H120" i="26"/>
  <c r="G120" i="26"/>
  <c r="F120" i="26"/>
  <c r="E120" i="26"/>
  <c r="D120" i="26"/>
  <c r="C120" i="26"/>
  <c r="B120" i="26"/>
  <c r="H84" i="26"/>
  <c r="G84" i="26"/>
  <c r="F84" i="26"/>
  <c r="E84" i="26"/>
  <c r="D84" i="26"/>
  <c r="C84" i="26"/>
  <c r="B84" i="26"/>
  <c r="H48" i="26"/>
  <c r="G48" i="26"/>
  <c r="F48" i="26"/>
  <c r="E48" i="26"/>
  <c r="D48" i="26"/>
  <c r="C48" i="26"/>
  <c r="B48" i="26"/>
  <c r="H12" i="26"/>
  <c r="G12" i="26"/>
  <c r="F12" i="26"/>
  <c r="E12" i="26"/>
  <c r="D12" i="26"/>
  <c r="C12" i="26"/>
  <c r="B12" i="26"/>
  <c r="B872" i="25"/>
  <c r="B871" i="25"/>
  <c r="B870" i="25"/>
  <c r="B869" i="25"/>
  <c r="B868" i="25"/>
  <c r="B867" i="25"/>
  <c r="B866" i="25"/>
  <c r="B865" i="25"/>
  <c r="B864" i="25"/>
  <c r="B863" i="25"/>
  <c r="B862" i="25"/>
  <c r="B861" i="25"/>
  <c r="B860" i="25"/>
  <c r="B859" i="25"/>
  <c r="B858" i="25"/>
  <c r="B857" i="25"/>
  <c r="B856" i="25"/>
  <c r="B855" i="25"/>
  <c r="B854" i="25"/>
  <c r="B853" i="25"/>
  <c r="B852" i="25"/>
  <c r="B851" i="25"/>
  <c r="B850" i="25"/>
  <c r="B849" i="25"/>
  <c r="B848" i="25"/>
  <c r="B847" i="25"/>
  <c r="B846" i="25"/>
  <c r="B845" i="25"/>
  <c r="B844" i="25"/>
  <c r="B843" i="25"/>
  <c r="B842" i="25"/>
  <c r="B841" i="25"/>
  <c r="B839" i="25" s="1"/>
  <c r="I839" i="25"/>
  <c r="H839" i="25"/>
  <c r="G839" i="25"/>
  <c r="F839" i="25"/>
  <c r="E839" i="25"/>
  <c r="D839" i="25"/>
  <c r="B836" i="25"/>
  <c r="B835" i="25"/>
  <c r="B834" i="25"/>
  <c r="B833" i="25"/>
  <c r="B832" i="25"/>
  <c r="B831" i="25"/>
  <c r="B830" i="25"/>
  <c r="B829" i="25"/>
  <c r="B828" i="25"/>
  <c r="B827" i="25"/>
  <c r="B826" i="25"/>
  <c r="B825" i="25"/>
  <c r="B824" i="25"/>
  <c r="B823" i="25"/>
  <c r="B822" i="25"/>
  <c r="B821" i="25"/>
  <c r="B820" i="25"/>
  <c r="B819" i="25"/>
  <c r="B818" i="25"/>
  <c r="B817" i="25"/>
  <c r="B816" i="25"/>
  <c r="B815" i="25"/>
  <c r="B814" i="25"/>
  <c r="B813" i="25"/>
  <c r="B812" i="25"/>
  <c r="B811" i="25"/>
  <c r="B810" i="25"/>
  <c r="B809" i="25"/>
  <c r="B808" i="25"/>
  <c r="B807" i="25"/>
  <c r="B806" i="25"/>
  <c r="B805" i="25"/>
  <c r="I803" i="25"/>
  <c r="H803" i="25"/>
  <c r="G803" i="25"/>
  <c r="F803" i="25"/>
  <c r="E803" i="25"/>
  <c r="D803" i="25"/>
  <c r="B803" i="25"/>
  <c r="B800" i="25"/>
  <c r="B799" i="25"/>
  <c r="B798" i="25"/>
  <c r="B797" i="25"/>
  <c r="B796" i="25"/>
  <c r="B795" i="25"/>
  <c r="B794" i="25"/>
  <c r="B793" i="25"/>
  <c r="B792" i="25"/>
  <c r="B791" i="25"/>
  <c r="B790" i="25"/>
  <c r="B789" i="25"/>
  <c r="B788" i="25"/>
  <c r="B787" i="25"/>
  <c r="B786" i="25"/>
  <c r="B785" i="25"/>
  <c r="B784" i="25"/>
  <c r="B783" i="25"/>
  <c r="B782" i="25"/>
  <c r="B781" i="25"/>
  <c r="B780" i="25"/>
  <c r="B779" i="25"/>
  <c r="B778" i="25"/>
  <c r="B777" i="25"/>
  <c r="B776" i="25"/>
  <c r="B775" i="25"/>
  <c r="B774" i="25"/>
  <c r="B773" i="25"/>
  <c r="B772" i="25"/>
  <c r="B771" i="25"/>
  <c r="B770" i="25"/>
  <c r="B769" i="25"/>
  <c r="B767" i="25" s="1"/>
  <c r="I767" i="25"/>
  <c r="H767" i="25"/>
  <c r="G767" i="25"/>
  <c r="F767" i="25"/>
  <c r="E767" i="25"/>
  <c r="D767" i="25"/>
  <c r="B764" i="25"/>
  <c r="B763" i="25"/>
  <c r="B762" i="25"/>
  <c r="B761" i="25"/>
  <c r="B760" i="25"/>
  <c r="B759" i="25"/>
  <c r="B758" i="25"/>
  <c r="B757" i="25"/>
  <c r="B756" i="25"/>
  <c r="B755" i="25"/>
  <c r="B754" i="25"/>
  <c r="B753" i="25"/>
  <c r="B752" i="25"/>
  <c r="B751" i="25"/>
  <c r="B750" i="25"/>
  <c r="B749" i="25"/>
  <c r="B748" i="25"/>
  <c r="B747" i="25"/>
  <c r="B746" i="25"/>
  <c r="B745" i="25"/>
  <c r="B744" i="25"/>
  <c r="B743" i="25"/>
  <c r="B742" i="25"/>
  <c r="B741" i="25"/>
  <c r="B740" i="25"/>
  <c r="B739" i="25"/>
  <c r="B738" i="25"/>
  <c r="B737" i="25"/>
  <c r="B736" i="25"/>
  <c r="B735" i="25"/>
  <c r="B734" i="25"/>
  <c r="B733" i="25"/>
  <c r="B731" i="25" s="1"/>
  <c r="I731" i="25"/>
  <c r="H731" i="25"/>
  <c r="G731" i="25"/>
  <c r="F731" i="25"/>
  <c r="E731" i="25"/>
  <c r="D731" i="25"/>
  <c r="B728" i="25"/>
  <c r="B727" i="25"/>
  <c r="B726" i="25"/>
  <c r="B725" i="25"/>
  <c r="B724" i="25"/>
  <c r="B723" i="25"/>
  <c r="B722" i="25"/>
  <c r="B721" i="25"/>
  <c r="B720" i="25"/>
  <c r="B719" i="25"/>
  <c r="B718" i="25"/>
  <c r="B717" i="25"/>
  <c r="B716" i="25"/>
  <c r="B715" i="25"/>
  <c r="B714" i="25"/>
  <c r="B713" i="25"/>
  <c r="B712" i="25"/>
  <c r="B711" i="25"/>
  <c r="B710" i="25"/>
  <c r="B709" i="25"/>
  <c r="B708" i="25"/>
  <c r="B707" i="25"/>
  <c r="B706" i="25"/>
  <c r="B705" i="25"/>
  <c r="B704" i="25"/>
  <c r="B703" i="25"/>
  <c r="B702" i="25"/>
  <c r="B701" i="25"/>
  <c r="B700" i="25"/>
  <c r="B699" i="25"/>
  <c r="B698" i="25"/>
  <c r="B697" i="25"/>
  <c r="B695" i="25" s="1"/>
  <c r="I695" i="25"/>
  <c r="H695" i="25"/>
  <c r="G695" i="25"/>
  <c r="F695" i="25"/>
  <c r="E695" i="25"/>
  <c r="D695" i="25"/>
  <c r="B692" i="25"/>
  <c r="B691" i="25"/>
  <c r="B690" i="25"/>
  <c r="B689" i="25"/>
  <c r="B688" i="25"/>
  <c r="B687" i="25"/>
  <c r="B686" i="25"/>
  <c r="B685" i="25"/>
  <c r="B684" i="25"/>
  <c r="B683" i="25"/>
  <c r="B682" i="25"/>
  <c r="B681" i="25"/>
  <c r="B680" i="25"/>
  <c r="B679" i="25"/>
  <c r="B678" i="25"/>
  <c r="B677" i="25"/>
  <c r="B676" i="25"/>
  <c r="B675" i="25"/>
  <c r="B674" i="25"/>
  <c r="B673" i="25"/>
  <c r="B672" i="25"/>
  <c r="B671" i="25"/>
  <c r="B670" i="25"/>
  <c r="B669" i="25"/>
  <c r="B668" i="25"/>
  <c r="B667" i="25"/>
  <c r="B666" i="25"/>
  <c r="B665" i="25"/>
  <c r="B664" i="25"/>
  <c r="B663" i="25"/>
  <c r="B662" i="25"/>
  <c r="B659" i="25" s="1"/>
  <c r="B661" i="25"/>
  <c r="I659" i="25"/>
  <c r="H659" i="25"/>
  <c r="G659" i="25"/>
  <c r="F659" i="25"/>
  <c r="E659" i="25"/>
  <c r="D659" i="25"/>
  <c r="B656" i="25"/>
  <c r="B655" i="25"/>
  <c r="B654" i="25"/>
  <c r="B653" i="25"/>
  <c r="B652" i="25"/>
  <c r="B651" i="25"/>
  <c r="B650" i="25"/>
  <c r="B649" i="25"/>
  <c r="B648" i="25"/>
  <c r="B647" i="25"/>
  <c r="B646" i="25"/>
  <c r="B645" i="25"/>
  <c r="B644" i="25"/>
  <c r="B643" i="25"/>
  <c r="B642" i="25"/>
  <c r="B641" i="25"/>
  <c r="B640" i="25"/>
  <c r="B639" i="25"/>
  <c r="B638" i="25"/>
  <c r="B637" i="25"/>
  <c r="B636" i="25"/>
  <c r="B635" i="25"/>
  <c r="B634" i="25"/>
  <c r="B633" i="25"/>
  <c r="B632" i="25"/>
  <c r="B631" i="25"/>
  <c r="B630" i="25"/>
  <c r="B629" i="25"/>
  <c r="B628" i="25"/>
  <c r="B627" i="25"/>
  <c r="B626" i="25"/>
  <c r="B625" i="25"/>
  <c r="B623" i="25" s="1"/>
  <c r="I623" i="25"/>
  <c r="H623" i="25"/>
  <c r="G623" i="25"/>
  <c r="F623" i="25"/>
  <c r="E623" i="25"/>
  <c r="D623" i="25"/>
  <c r="B620" i="25"/>
  <c r="B619" i="25"/>
  <c r="B618" i="25"/>
  <c r="B617" i="25"/>
  <c r="B616" i="25"/>
  <c r="B615" i="25"/>
  <c r="B614" i="25"/>
  <c r="B613" i="25"/>
  <c r="B612" i="25"/>
  <c r="B611" i="25"/>
  <c r="B610" i="25"/>
  <c r="B609" i="25"/>
  <c r="B608" i="25"/>
  <c r="B607" i="25"/>
  <c r="B606" i="25"/>
  <c r="B605" i="25"/>
  <c r="B604" i="25"/>
  <c r="B603" i="25"/>
  <c r="B602" i="25"/>
  <c r="B601" i="25"/>
  <c r="B600" i="25"/>
  <c r="B599" i="25"/>
  <c r="B598" i="25"/>
  <c r="B597" i="25"/>
  <c r="B596" i="25"/>
  <c r="B595" i="25"/>
  <c r="B594" i="25"/>
  <c r="B593" i="25"/>
  <c r="B592" i="25"/>
  <c r="B591" i="25"/>
  <c r="B590" i="25"/>
  <c r="B589" i="25"/>
  <c r="B587" i="25" s="1"/>
  <c r="I587" i="25"/>
  <c r="H587" i="25"/>
  <c r="G587" i="25"/>
  <c r="F587" i="25"/>
  <c r="E587" i="25"/>
  <c r="D587" i="25"/>
  <c r="B584" i="25"/>
  <c r="B583" i="25"/>
  <c r="B582" i="25"/>
  <c r="B581" i="25"/>
  <c r="B580" i="25"/>
  <c r="B579" i="25"/>
  <c r="B578" i="25"/>
  <c r="B577" i="25"/>
  <c r="B576" i="25"/>
  <c r="B575" i="25"/>
  <c r="B574" i="25"/>
  <c r="B573" i="25"/>
  <c r="B572" i="25"/>
  <c r="B571" i="25"/>
  <c r="B570" i="25"/>
  <c r="B569" i="25"/>
  <c r="B568" i="25"/>
  <c r="B567" i="25"/>
  <c r="B566" i="25"/>
  <c r="B565" i="25"/>
  <c r="B564" i="25"/>
  <c r="B563" i="25"/>
  <c r="B562" i="25"/>
  <c r="B561" i="25"/>
  <c r="B560" i="25"/>
  <c r="B559" i="25"/>
  <c r="B558" i="25"/>
  <c r="B557" i="25"/>
  <c r="B556" i="25"/>
  <c r="B555" i="25"/>
  <c r="B554" i="25"/>
  <c r="B553" i="25"/>
  <c r="B551" i="25" s="1"/>
  <c r="I551" i="25"/>
  <c r="H551" i="25"/>
  <c r="G551" i="25"/>
  <c r="F551" i="25"/>
  <c r="E551" i="25"/>
  <c r="D551" i="25"/>
  <c r="B548" i="25"/>
  <c r="B547" i="25"/>
  <c r="B546" i="25"/>
  <c r="B545" i="25"/>
  <c r="B544" i="25"/>
  <c r="B543" i="25"/>
  <c r="B542" i="25"/>
  <c r="B541" i="25"/>
  <c r="B540" i="25"/>
  <c r="B539" i="25"/>
  <c r="B538" i="25"/>
  <c r="B537" i="25"/>
  <c r="B536" i="25"/>
  <c r="B535" i="25"/>
  <c r="B534" i="25"/>
  <c r="B533" i="25"/>
  <c r="B532" i="25"/>
  <c r="B531" i="25"/>
  <c r="B530" i="25"/>
  <c r="B529" i="25"/>
  <c r="B528" i="25"/>
  <c r="B527" i="25"/>
  <c r="B526" i="25"/>
  <c r="B525" i="25"/>
  <c r="B524" i="25"/>
  <c r="B523" i="25"/>
  <c r="B522" i="25"/>
  <c r="B521" i="25"/>
  <c r="B520" i="25"/>
  <c r="B519" i="25"/>
  <c r="B518" i="25"/>
  <c r="B517" i="25"/>
  <c r="I515" i="25"/>
  <c r="H515" i="25"/>
  <c r="G515" i="25"/>
  <c r="F515" i="25"/>
  <c r="E515" i="25"/>
  <c r="D515" i="25"/>
  <c r="B515" i="25"/>
  <c r="B512" i="25"/>
  <c r="B511" i="25"/>
  <c r="B510" i="25"/>
  <c r="B509" i="25"/>
  <c r="B508" i="25"/>
  <c r="B507" i="25"/>
  <c r="B506" i="25"/>
  <c r="B505" i="25"/>
  <c r="B504" i="25"/>
  <c r="B503" i="25"/>
  <c r="B502" i="25"/>
  <c r="B501" i="25"/>
  <c r="B500" i="25"/>
  <c r="B499" i="25"/>
  <c r="B498" i="25"/>
  <c r="B497" i="25"/>
  <c r="B496" i="25"/>
  <c r="B495" i="25"/>
  <c r="B494" i="25"/>
  <c r="B493" i="25"/>
  <c r="B492" i="25"/>
  <c r="B491" i="25"/>
  <c r="B490" i="25"/>
  <c r="B489" i="25"/>
  <c r="B488" i="25"/>
  <c r="B487" i="25"/>
  <c r="B486" i="25"/>
  <c r="B485" i="25"/>
  <c r="B484" i="25"/>
  <c r="B483" i="25"/>
  <c r="B482" i="25"/>
  <c r="B481" i="25"/>
  <c r="B479" i="25" s="1"/>
  <c r="I479" i="25"/>
  <c r="H479" i="25"/>
  <c r="G479" i="25"/>
  <c r="F479" i="25"/>
  <c r="E479" i="25"/>
  <c r="D479" i="25"/>
  <c r="B476" i="25"/>
  <c r="B475" i="25"/>
  <c r="B474" i="25"/>
  <c r="B473" i="25"/>
  <c r="B472" i="25"/>
  <c r="B471" i="25"/>
  <c r="B470" i="25"/>
  <c r="B469" i="25"/>
  <c r="B468" i="25"/>
  <c r="B467" i="25"/>
  <c r="B466" i="25"/>
  <c r="B465" i="25"/>
  <c r="B464" i="25"/>
  <c r="B463" i="25"/>
  <c r="B462" i="25"/>
  <c r="B461" i="25"/>
  <c r="B460" i="25"/>
  <c r="B459" i="25"/>
  <c r="B458" i="25"/>
  <c r="B457" i="25"/>
  <c r="B456" i="25"/>
  <c r="B455" i="25"/>
  <c r="B454" i="25"/>
  <c r="B453" i="25"/>
  <c r="B452" i="25"/>
  <c r="B451" i="25"/>
  <c r="B450" i="25"/>
  <c r="B449" i="25"/>
  <c r="B448" i="25"/>
  <c r="B447" i="25"/>
  <c r="B446" i="25"/>
  <c r="B445" i="25"/>
  <c r="B443" i="25" s="1"/>
  <c r="I443" i="25"/>
  <c r="H443" i="25"/>
  <c r="G443" i="25"/>
  <c r="F443" i="25"/>
  <c r="E443" i="25"/>
  <c r="D443" i="25"/>
  <c r="B440" i="25"/>
  <c r="B439" i="25"/>
  <c r="B438" i="25"/>
  <c r="B437" i="25"/>
  <c r="B436" i="25"/>
  <c r="B435" i="25"/>
  <c r="B434" i="25"/>
  <c r="B433" i="25"/>
  <c r="B432" i="25"/>
  <c r="B431" i="25"/>
  <c r="B430" i="25"/>
  <c r="B429" i="25"/>
  <c r="B428" i="25"/>
  <c r="B427" i="25"/>
  <c r="B426" i="25"/>
  <c r="B425" i="25"/>
  <c r="B424" i="25"/>
  <c r="B423" i="25"/>
  <c r="B422" i="25"/>
  <c r="B421" i="25"/>
  <c r="B420" i="25"/>
  <c r="B419" i="25"/>
  <c r="B418" i="25"/>
  <c r="B417" i="25"/>
  <c r="B416" i="25"/>
  <c r="B415" i="25"/>
  <c r="B414" i="25"/>
  <c r="B413" i="25"/>
  <c r="B412" i="25"/>
  <c r="B411" i="25"/>
  <c r="B410" i="25"/>
  <c r="B409" i="25"/>
  <c r="B407" i="25" s="1"/>
  <c r="I407" i="25"/>
  <c r="H407" i="25"/>
  <c r="G407" i="25"/>
  <c r="F407" i="25"/>
  <c r="E407" i="25"/>
  <c r="D407" i="25"/>
  <c r="B404" i="25"/>
  <c r="B403" i="25"/>
  <c r="B402" i="25"/>
  <c r="B401" i="25"/>
  <c r="B400" i="25"/>
  <c r="B399" i="25"/>
  <c r="B398" i="25"/>
  <c r="B397" i="25"/>
  <c r="B396" i="25"/>
  <c r="B395" i="25"/>
  <c r="B394" i="25"/>
  <c r="B393" i="25"/>
  <c r="B392" i="25"/>
  <c r="B391" i="25"/>
  <c r="B390" i="25"/>
  <c r="B389" i="25"/>
  <c r="B388" i="25"/>
  <c r="B387" i="25"/>
  <c r="B386" i="25"/>
  <c r="B385" i="25"/>
  <c r="B384" i="25"/>
  <c r="B383" i="25"/>
  <c r="B382" i="25"/>
  <c r="B381" i="25"/>
  <c r="B380" i="25"/>
  <c r="B379" i="25"/>
  <c r="B378" i="25"/>
  <c r="B377" i="25"/>
  <c r="B376" i="25"/>
  <c r="B375" i="25"/>
  <c r="B374" i="25"/>
  <c r="B373" i="25"/>
  <c r="I371" i="25"/>
  <c r="H371" i="25"/>
  <c r="G371" i="25"/>
  <c r="F371" i="25"/>
  <c r="E371" i="25"/>
  <c r="D371" i="25"/>
  <c r="B371" i="25"/>
  <c r="B368" i="25"/>
  <c r="B367" i="25"/>
  <c r="B366" i="25"/>
  <c r="B365" i="25"/>
  <c r="B364" i="25"/>
  <c r="B363" i="25"/>
  <c r="B362" i="25"/>
  <c r="B361" i="25"/>
  <c r="B360" i="25"/>
  <c r="B359" i="25"/>
  <c r="B358" i="25"/>
  <c r="B357" i="25"/>
  <c r="B356" i="25"/>
  <c r="B355" i="25"/>
  <c r="B354" i="25"/>
  <c r="B353" i="25"/>
  <c r="B352" i="25"/>
  <c r="B351" i="25"/>
  <c r="B350" i="25"/>
  <c r="B349" i="25"/>
  <c r="B348" i="25"/>
  <c r="B347" i="25"/>
  <c r="B346" i="25"/>
  <c r="B345" i="25"/>
  <c r="B344" i="25"/>
  <c r="B343" i="25"/>
  <c r="B342" i="25"/>
  <c r="B341" i="25"/>
  <c r="B340" i="25"/>
  <c r="B339" i="25"/>
  <c r="B338" i="25"/>
  <c r="B337" i="25"/>
  <c r="B335" i="25" s="1"/>
  <c r="I335" i="25"/>
  <c r="H335" i="25"/>
  <c r="G335" i="25"/>
  <c r="F335" i="25"/>
  <c r="E335" i="25"/>
  <c r="D335" i="25"/>
  <c r="B332" i="25"/>
  <c r="B331" i="25"/>
  <c r="B330" i="25"/>
  <c r="B329" i="25"/>
  <c r="B328" i="25"/>
  <c r="B327" i="25"/>
  <c r="B326" i="25"/>
  <c r="B325" i="25"/>
  <c r="B324" i="25"/>
  <c r="B323" i="25"/>
  <c r="B322" i="25"/>
  <c r="B321" i="25"/>
  <c r="B320" i="25"/>
  <c r="B319" i="25"/>
  <c r="B318" i="25"/>
  <c r="B317" i="25"/>
  <c r="B316" i="25"/>
  <c r="B315" i="25"/>
  <c r="B314" i="25"/>
  <c r="B313" i="25"/>
  <c r="B312" i="25"/>
  <c r="B311" i="25"/>
  <c r="B310" i="25"/>
  <c r="B309" i="25"/>
  <c r="B308" i="25"/>
  <c r="B307" i="25"/>
  <c r="B306" i="25"/>
  <c r="B305" i="25"/>
  <c r="B304" i="25"/>
  <c r="B303" i="25"/>
  <c r="B302" i="25"/>
  <c r="B301" i="25"/>
  <c r="I299" i="25"/>
  <c r="H299" i="25"/>
  <c r="G299" i="25"/>
  <c r="F299" i="25"/>
  <c r="E299" i="25"/>
  <c r="D299" i="25"/>
  <c r="B299" i="25"/>
  <c r="B296" i="25"/>
  <c r="B295" i="25"/>
  <c r="B294" i="25"/>
  <c r="B293" i="25"/>
  <c r="B292" i="25"/>
  <c r="B291" i="25"/>
  <c r="B290" i="25"/>
  <c r="B289" i="25"/>
  <c r="B288" i="25"/>
  <c r="B287" i="25"/>
  <c r="B286" i="25"/>
  <c r="B285" i="25"/>
  <c r="B284" i="25"/>
  <c r="B283" i="25"/>
  <c r="B282" i="25"/>
  <c r="B281" i="25"/>
  <c r="B280" i="25"/>
  <c r="B279" i="25"/>
  <c r="B278" i="25"/>
  <c r="B277" i="25"/>
  <c r="B276" i="25"/>
  <c r="B275" i="25"/>
  <c r="B274" i="25"/>
  <c r="B273" i="25"/>
  <c r="B272" i="25"/>
  <c r="B271" i="25"/>
  <c r="B270" i="25"/>
  <c r="B269" i="25"/>
  <c r="B268" i="25"/>
  <c r="B267" i="25"/>
  <c r="B266" i="25"/>
  <c r="B265" i="25"/>
  <c r="B263" i="25" s="1"/>
  <c r="I263" i="25"/>
  <c r="H263" i="25"/>
  <c r="G263" i="25"/>
  <c r="F263" i="25"/>
  <c r="E263" i="25"/>
  <c r="D263" i="25"/>
  <c r="B260" i="25"/>
  <c r="B259" i="25"/>
  <c r="B258" i="25"/>
  <c r="B257" i="25"/>
  <c r="B256" i="25"/>
  <c r="B255" i="25"/>
  <c r="B254" i="25"/>
  <c r="B253" i="25"/>
  <c r="B252" i="25"/>
  <c r="B251" i="25"/>
  <c r="B250" i="25"/>
  <c r="B249" i="25"/>
  <c r="B248" i="25"/>
  <c r="B247" i="25"/>
  <c r="B246" i="25"/>
  <c r="B245" i="25"/>
  <c r="B244" i="25"/>
  <c r="B243" i="25"/>
  <c r="B242" i="25"/>
  <c r="B241" i="25"/>
  <c r="B240" i="25"/>
  <c r="B239" i="25"/>
  <c r="B238" i="25"/>
  <c r="B237" i="25"/>
  <c r="B236" i="25"/>
  <c r="B235" i="25"/>
  <c r="B234" i="25"/>
  <c r="B233" i="25"/>
  <c r="B232" i="25"/>
  <c r="B231" i="25"/>
  <c r="B229" i="25"/>
  <c r="I227" i="25"/>
  <c r="H227" i="25"/>
  <c r="G227" i="25"/>
  <c r="F227" i="25"/>
  <c r="E227" i="25"/>
  <c r="D227" i="25"/>
  <c r="B227" i="25"/>
  <c r="B224" i="25"/>
  <c r="B223" i="25"/>
  <c r="B222" i="25"/>
  <c r="B221" i="25"/>
  <c r="B220" i="25"/>
  <c r="B219" i="25"/>
  <c r="B218" i="25"/>
  <c r="B217" i="25"/>
  <c r="B216" i="25"/>
  <c r="B215" i="25"/>
  <c r="B214" i="25"/>
  <c r="B213" i="25"/>
  <c r="B212" i="25"/>
  <c r="B211" i="25"/>
  <c r="B210" i="25"/>
  <c r="B209" i="25"/>
  <c r="B208" i="25"/>
  <c r="B207" i="25"/>
  <c r="B206" i="25"/>
  <c r="B205" i="25"/>
  <c r="B204" i="25"/>
  <c r="B203" i="25"/>
  <c r="B202" i="25"/>
  <c r="B201" i="25"/>
  <c r="B200" i="25"/>
  <c r="B199" i="25"/>
  <c r="B198" i="25"/>
  <c r="B197" i="25"/>
  <c r="B196" i="25"/>
  <c r="B195" i="25"/>
  <c r="B194" i="25"/>
  <c r="B193" i="25"/>
  <c r="B191" i="25" s="1"/>
  <c r="I191" i="25"/>
  <c r="H191" i="25"/>
  <c r="G191" i="25"/>
  <c r="F191" i="25"/>
  <c r="E191" i="25"/>
  <c r="D191" i="25"/>
  <c r="B188" i="25"/>
  <c r="B187" i="25"/>
  <c r="B186" i="25"/>
  <c r="B185" i="25"/>
  <c r="B184" i="25"/>
  <c r="B183" i="25"/>
  <c r="B182" i="25"/>
  <c r="B181" i="25"/>
  <c r="B180" i="25"/>
  <c r="B179" i="25"/>
  <c r="B178" i="25"/>
  <c r="B177" i="25"/>
  <c r="B176" i="25"/>
  <c r="B175" i="25"/>
  <c r="B174" i="25"/>
  <c r="B173" i="25"/>
  <c r="B172" i="25"/>
  <c r="B171" i="25"/>
  <c r="B170" i="25"/>
  <c r="B169" i="25"/>
  <c r="B168" i="25"/>
  <c r="B167" i="25"/>
  <c r="B166" i="25"/>
  <c r="B165" i="25"/>
  <c r="B164" i="25"/>
  <c r="B163" i="25"/>
  <c r="B162" i="25"/>
  <c r="B161" i="25"/>
  <c r="B160" i="25"/>
  <c r="B159" i="25"/>
  <c r="B158" i="25"/>
  <c r="B157" i="25"/>
  <c r="I155" i="25"/>
  <c r="H155" i="25"/>
  <c r="G155" i="25"/>
  <c r="F155" i="25"/>
  <c r="E155" i="25"/>
  <c r="D155" i="25"/>
  <c r="B155" i="25"/>
  <c r="B152" i="25"/>
  <c r="B151" i="25"/>
  <c r="B150" i="25"/>
  <c r="B149" i="25"/>
  <c r="B148" i="25"/>
  <c r="B147" i="25"/>
  <c r="B146" i="25"/>
  <c r="B145" i="25"/>
  <c r="B144" i="25"/>
  <c r="B143" i="25"/>
  <c r="B142" i="25"/>
  <c r="B141" i="25"/>
  <c r="B140" i="25"/>
  <c r="B139" i="25"/>
  <c r="B138" i="25"/>
  <c r="B137" i="25"/>
  <c r="B136" i="25"/>
  <c r="B135" i="25"/>
  <c r="B134" i="25"/>
  <c r="B133" i="25"/>
  <c r="B132" i="25"/>
  <c r="B131" i="25"/>
  <c r="B130" i="25"/>
  <c r="B129" i="25"/>
  <c r="B128" i="25"/>
  <c r="B127" i="25"/>
  <c r="B126" i="25"/>
  <c r="B125" i="25"/>
  <c r="B124" i="25"/>
  <c r="B123" i="25"/>
  <c r="B122" i="25"/>
  <c r="B121" i="25"/>
  <c r="I119" i="25"/>
  <c r="H119" i="25"/>
  <c r="G119" i="25"/>
  <c r="F119" i="25"/>
  <c r="E119" i="25"/>
  <c r="D119" i="25"/>
  <c r="B119" i="25"/>
  <c r="B116" i="25"/>
  <c r="B115" i="25"/>
  <c r="B114" i="25"/>
  <c r="B113" i="25"/>
  <c r="B112" i="25"/>
  <c r="B111" i="25"/>
  <c r="B110" i="25"/>
  <c r="B109" i="25"/>
  <c r="B108" i="25"/>
  <c r="B107" i="25"/>
  <c r="B106" i="25"/>
  <c r="B105" i="25"/>
  <c r="B104" i="25"/>
  <c r="B103" i="25"/>
  <c r="B102" i="25"/>
  <c r="B101" i="25"/>
  <c r="B100" i="25"/>
  <c r="B99" i="25"/>
  <c r="B98" i="25"/>
  <c r="B97" i="25"/>
  <c r="B96" i="25"/>
  <c r="B95" i="25"/>
  <c r="B94" i="25"/>
  <c r="B93" i="25"/>
  <c r="B92" i="25"/>
  <c r="B91" i="25"/>
  <c r="B90" i="25"/>
  <c r="B89" i="25"/>
  <c r="B88" i="25"/>
  <c r="B87" i="25"/>
  <c r="B86" i="25"/>
  <c r="B85" i="25"/>
  <c r="B83" i="25" s="1"/>
  <c r="I83" i="25"/>
  <c r="H83" i="25"/>
  <c r="G83" i="25"/>
  <c r="F83" i="25"/>
  <c r="E83" i="25"/>
  <c r="D83" i="25"/>
  <c r="B80" i="25"/>
  <c r="B79" i="25"/>
  <c r="B78" i="25"/>
  <c r="B77" i="25"/>
  <c r="B76" i="25"/>
  <c r="B75" i="25"/>
  <c r="B74" i="25"/>
  <c r="B73" i="25"/>
  <c r="B72" i="25"/>
  <c r="B71" i="25"/>
  <c r="B70" i="25"/>
  <c r="B69" i="25"/>
  <c r="B68" i="25"/>
  <c r="B67" i="25"/>
  <c r="B66" i="25"/>
  <c r="B65" i="25"/>
  <c r="B64" i="25"/>
  <c r="B63" i="25"/>
  <c r="B62" i="25"/>
  <c r="B61" i="25"/>
  <c r="B60" i="25"/>
  <c r="B59" i="25"/>
  <c r="B58" i="25"/>
  <c r="B57" i="25"/>
  <c r="B56" i="25"/>
  <c r="B55" i="25"/>
  <c r="B54" i="25"/>
  <c r="B53" i="25"/>
  <c r="B52" i="25"/>
  <c r="B51" i="25"/>
  <c r="B50" i="25"/>
  <c r="B49" i="25"/>
  <c r="B47" i="25" s="1"/>
  <c r="I47" i="25"/>
  <c r="H47" i="25"/>
  <c r="G47" i="25"/>
  <c r="F47" i="25"/>
  <c r="E47" i="25"/>
  <c r="D47" i="25"/>
  <c r="B44" i="25"/>
  <c r="B43" i="25"/>
  <c r="B42" i="25"/>
  <c r="B41" i="25"/>
  <c r="B40" i="25"/>
  <c r="B39" i="25"/>
  <c r="B38" i="25"/>
  <c r="B37" i="25"/>
  <c r="B36" i="25"/>
  <c r="B35" i="25"/>
  <c r="B34" i="25"/>
  <c r="B33" i="25"/>
  <c r="B32" i="25"/>
  <c r="B31" i="25"/>
  <c r="B30" i="25"/>
  <c r="B29" i="25"/>
  <c r="B28" i="25"/>
  <c r="B27" i="25"/>
  <c r="B26" i="25"/>
  <c r="B25" i="25"/>
  <c r="B24" i="25"/>
  <c r="B23" i="25"/>
  <c r="B22" i="25"/>
  <c r="B21" i="25"/>
  <c r="B20" i="25"/>
  <c r="B19" i="25"/>
  <c r="B18" i="25"/>
  <c r="B17" i="25"/>
  <c r="B16" i="25"/>
  <c r="B15" i="25"/>
  <c r="B14" i="25"/>
  <c r="B13" i="25"/>
  <c r="I11" i="25"/>
  <c r="H11" i="25"/>
  <c r="G11" i="25"/>
  <c r="F11" i="25"/>
  <c r="E11" i="25"/>
  <c r="D11" i="25"/>
  <c r="B11" i="25"/>
  <c r="B872" i="24"/>
  <c r="B871" i="24"/>
  <c r="B870" i="24"/>
  <c r="B869" i="24"/>
  <c r="B868" i="24"/>
  <c r="B867" i="24"/>
  <c r="B866" i="24"/>
  <c r="B865" i="24"/>
  <c r="B864" i="24"/>
  <c r="B863" i="24"/>
  <c r="B862" i="24"/>
  <c r="B861" i="24"/>
  <c r="B860" i="24"/>
  <c r="B859" i="24"/>
  <c r="B858" i="24"/>
  <c r="B857" i="24"/>
  <c r="B856" i="24"/>
  <c r="B855" i="24"/>
  <c r="B854" i="24"/>
  <c r="B853" i="24"/>
  <c r="B852" i="24"/>
  <c r="B851" i="24"/>
  <c r="B850" i="24"/>
  <c r="B849" i="24"/>
  <c r="B848" i="24"/>
  <c r="B847" i="24"/>
  <c r="B846" i="24"/>
  <c r="B845" i="24"/>
  <c r="B844" i="24"/>
  <c r="B843" i="24"/>
  <c r="B842" i="24"/>
  <c r="B841" i="24"/>
  <c r="H839" i="24"/>
  <c r="G839" i="24"/>
  <c r="F839" i="24"/>
  <c r="E839" i="24"/>
  <c r="D839" i="24"/>
  <c r="C839" i="24"/>
  <c r="B839" i="24"/>
  <c r="B836" i="24"/>
  <c r="B835" i="24"/>
  <c r="B834" i="24"/>
  <c r="B833" i="24"/>
  <c r="B832" i="24"/>
  <c r="B831" i="24"/>
  <c r="B830" i="24"/>
  <c r="B829" i="24"/>
  <c r="B828" i="24"/>
  <c r="B827" i="24"/>
  <c r="B826" i="24"/>
  <c r="B825" i="24"/>
  <c r="B824" i="24"/>
  <c r="B823" i="24"/>
  <c r="B822" i="24"/>
  <c r="B821" i="24"/>
  <c r="B820" i="24"/>
  <c r="B819" i="24"/>
  <c r="B818" i="24"/>
  <c r="B817" i="24"/>
  <c r="B816" i="24"/>
  <c r="B815" i="24"/>
  <c r="B814" i="24"/>
  <c r="B813" i="24"/>
  <c r="B812" i="24"/>
  <c r="B811" i="24"/>
  <c r="B810" i="24"/>
  <c r="B809" i="24"/>
  <c r="B808" i="24"/>
  <c r="B807" i="24"/>
  <c r="B806" i="24"/>
  <c r="B805" i="24"/>
  <c r="B803" i="24" s="1"/>
  <c r="H803" i="24"/>
  <c r="G803" i="24"/>
  <c r="F803" i="24"/>
  <c r="E803" i="24"/>
  <c r="D803" i="24"/>
  <c r="C803" i="24"/>
  <c r="B800" i="24"/>
  <c r="B799" i="24"/>
  <c r="B798" i="24"/>
  <c r="B797" i="24"/>
  <c r="B796" i="24"/>
  <c r="B795" i="24"/>
  <c r="B794" i="24"/>
  <c r="B793" i="24"/>
  <c r="B792" i="24"/>
  <c r="B791" i="24"/>
  <c r="B790" i="24"/>
  <c r="B789" i="24"/>
  <c r="B788" i="24"/>
  <c r="B787" i="24"/>
  <c r="B786" i="24"/>
  <c r="B785" i="24"/>
  <c r="B784" i="24"/>
  <c r="B783" i="24"/>
  <c r="B782" i="24"/>
  <c r="B781" i="24"/>
  <c r="B780" i="24"/>
  <c r="B779" i="24"/>
  <c r="B778" i="24"/>
  <c r="B777" i="24"/>
  <c r="B776" i="24"/>
  <c r="B775" i="24"/>
  <c r="B774" i="24"/>
  <c r="B773" i="24"/>
  <c r="B772" i="24"/>
  <c r="B771" i="24"/>
  <c r="B770" i="24"/>
  <c r="B769" i="24"/>
  <c r="B767" i="24" s="1"/>
  <c r="H767" i="24"/>
  <c r="G767" i="24"/>
  <c r="F767" i="24"/>
  <c r="E767" i="24"/>
  <c r="D767" i="24"/>
  <c r="C767" i="24"/>
  <c r="B764" i="24"/>
  <c r="B763" i="24"/>
  <c r="B762" i="24"/>
  <c r="B761" i="24"/>
  <c r="B760" i="24"/>
  <c r="B759" i="24"/>
  <c r="B758" i="24"/>
  <c r="B757" i="24"/>
  <c r="B756" i="24"/>
  <c r="B755" i="24"/>
  <c r="B754" i="24"/>
  <c r="B753" i="24"/>
  <c r="B752" i="24"/>
  <c r="B751" i="24"/>
  <c r="B750" i="24"/>
  <c r="B749" i="24"/>
  <c r="B748" i="24"/>
  <c r="B747" i="24"/>
  <c r="B746" i="24"/>
  <c r="B745" i="24"/>
  <c r="B744" i="24"/>
  <c r="B743" i="24"/>
  <c r="B742" i="24"/>
  <c r="B741" i="24"/>
  <c r="B740" i="24"/>
  <c r="B739" i="24"/>
  <c r="B738" i="24"/>
  <c r="B737" i="24"/>
  <c r="B736" i="24"/>
  <c r="B735" i="24"/>
  <c r="B731" i="24" s="1"/>
  <c r="B734" i="24"/>
  <c r="B733" i="24"/>
  <c r="H731" i="24"/>
  <c r="G731" i="24"/>
  <c r="F731" i="24"/>
  <c r="E731" i="24"/>
  <c r="D731" i="24"/>
  <c r="C731" i="24"/>
  <c r="B728" i="24"/>
  <c r="B727" i="24"/>
  <c r="B726" i="24"/>
  <c r="B725" i="24"/>
  <c r="B724" i="24"/>
  <c r="B723" i="24"/>
  <c r="B722" i="24"/>
  <c r="B721" i="24"/>
  <c r="B720" i="24"/>
  <c r="B719" i="24"/>
  <c r="B718" i="24"/>
  <c r="B717" i="24"/>
  <c r="B716" i="24"/>
  <c r="B715" i="24"/>
  <c r="B714" i="24"/>
  <c r="B713" i="24"/>
  <c r="B712" i="24"/>
  <c r="B711" i="24"/>
  <c r="B710" i="24"/>
  <c r="B709" i="24"/>
  <c r="B708" i="24"/>
  <c r="B707" i="24"/>
  <c r="B706" i="24"/>
  <c r="B705" i="24"/>
  <c r="B704" i="24"/>
  <c r="B703" i="24"/>
  <c r="B702" i="24"/>
  <c r="B701" i="24"/>
  <c r="B700" i="24"/>
  <c r="B699" i="24"/>
  <c r="B698" i="24"/>
  <c r="B697" i="24"/>
  <c r="H695" i="24"/>
  <c r="G695" i="24"/>
  <c r="F695" i="24"/>
  <c r="E695" i="24"/>
  <c r="D695" i="24"/>
  <c r="C695" i="24"/>
  <c r="B695" i="24"/>
  <c r="B692" i="24"/>
  <c r="B691" i="24"/>
  <c r="B690" i="24"/>
  <c r="B689" i="24"/>
  <c r="B688" i="24"/>
  <c r="B687" i="24"/>
  <c r="B686" i="24"/>
  <c r="B685" i="24"/>
  <c r="B684" i="24"/>
  <c r="B683" i="24"/>
  <c r="B682" i="24"/>
  <c r="B681" i="24"/>
  <c r="B680" i="24"/>
  <c r="B679" i="24"/>
  <c r="B678" i="24"/>
  <c r="B677" i="24"/>
  <c r="B676" i="24"/>
  <c r="B675" i="24"/>
  <c r="B674" i="24"/>
  <c r="B673" i="24"/>
  <c r="B672" i="24"/>
  <c r="B671" i="24"/>
  <c r="B670" i="24"/>
  <c r="B669" i="24"/>
  <c r="B668" i="24"/>
  <c r="B667" i="24"/>
  <c r="B666" i="24"/>
  <c r="B665" i="24"/>
  <c r="B664" i="24"/>
  <c r="B663" i="24"/>
  <c r="B662" i="24"/>
  <c r="B661" i="24"/>
  <c r="B659" i="24" s="1"/>
  <c r="H659" i="24"/>
  <c r="G659" i="24"/>
  <c r="F659" i="24"/>
  <c r="E659" i="24"/>
  <c r="D659" i="24"/>
  <c r="C659" i="24"/>
  <c r="B656" i="24"/>
  <c r="B655" i="24"/>
  <c r="B654" i="24"/>
  <c r="B653" i="24"/>
  <c r="B652" i="24"/>
  <c r="B651" i="24"/>
  <c r="B650" i="24"/>
  <c r="B649" i="24"/>
  <c r="B648" i="24"/>
  <c r="B647" i="24"/>
  <c r="B646" i="24"/>
  <c r="B645" i="24"/>
  <c r="B644" i="24"/>
  <c r="B643" i="24"/>
  <c r="B642" i="24"/>
  <c r="B641" i="24"/>
  <c r="B640" i="24"/>
  <c r="B639" i="24"/>
  <c r="B638" i="24"/>
  <c r="B637" i="24"/>
  <c r="B636" i="24"/>
  <c r="B635" i="24"/>
  <c r="B634" i="24"/>
  <c r="B633" i="24"/>
  <c r="B632" i="24"/>
  <c r="B631" i="24"/>
  <c r="B630" i="24"/>
  <c r="B629" i="24"/>
  <c r="B628" i="24"/>
  <c r="B627" i="24"/>
  <c r="B626" i="24"/>
  <c r="B625" i="24"/>
  <c r="B623" i="24" s="1"/>
  <c r="H623" i="24"/>
  <c r="G623" i="24"/>
  <c r="F623" i="24"/>
  <c r="E623" i="24"/>
  <c r="D623" i="24"/>
  <c r="C623" i="24"/>
  <c r="B620" i="24"/>
  <c r="B619" i="24"/>
  <c r="B618" i="24"/>
  <c r="B617" i="24"/>
  <c r="B616" i="24"/>
  <c r="B615" i="24"/>
  <c r="B614" i="24"/>
  <c r="B613" i="24"/>
  <c r="B612" i="24"/>
  <c r="B611" i="24"/>
  <c r="B610" i="24"/>
  <c r="B609" i="24"/>
  <c r="B608" i="24"/>
  <c r="B607" i="24"/>
  <c r="B606" i="24"/>
  <c r="B605" i="24"/>
  <c r="B604" i="24"/>
  <c r="B603" i="24"/>
  <c r="B602" i="24"/>
  <c r="B601" i="24"/>
  <c r="B600" i="24"/>
  <c r="B599" i="24"/>
  <c r="B598" i="24"/>
  <c r="B597" i="24"/>
  <c r="B596" i="24"/>
  <c r="B595" i="24"/>
  <c r="B594" i="24"/>
  <c r="B593" i="24"/>
  <c r="B592" i="24"/>
  <c r="B591" i="24"/>
  <c r="B587" i="24" s="1"/>
  <c r="B590" i="24"/>
  <c r="B589" i="24"/>
  <c r="H587" i="24"/>
  <c r="G587" i="24"/>
  <c r="F587" i="24"/>
  <c r="E587" i="24"/>
  <c r="D587" i="24"/>
  <c r="C587" i="24"/>
  <c r="B584" i="24"/>
  <c r="B583" i="24"/>
  <c r="B582" i="24"/>
  <c r="B581" i="24"/>
  <c r="B580" i="24"/>
  <c r="B579" i="24"/>
  <c r="B578" i="24"/>
  <c r="B577" i="24"/>
  <c r="B576" i="24"/>
  <c r="B575" i="24"/>
  <c r="B574" i="24"/>
  <c r="B573" i="24"/>
  <c r="B572" i="24"/>
  <c r="B571" i="24"/>
  <c r="B570" i="24"/>
  <c r="B569" i="24"/>
  <c r="B568" i="24"/>
  <c r="B567" i="24"/>
  <c r="B566" i="24"/>
  <c r="B565" i="24"/>
  <c r="B564" i="24"/>
  <c r="B563" i="24"/>
  <c r="B562" i="24"/>
  <c r="B561" i="24"/>
  <c r="B560" i="24"/>
  <c r="B559" i="24"/>
  <c r="B558" i="24"/>
  <c r="B557" i="24"/>
  <c r="B556" i="24"/>
  <c r="B555" i="24"/>
  <c r="B554" i="24"/>
  <c r="B553" i="24"/>
  <c r="H551" i="24"/>
  <c r="G551" i="24"/>
  <c r="F551" i="24"/>
  <c r="E551" i="24"/>
  <c r="D551" i="24"/>
  <c r="C551" i="24"/>
  <c r="B551" i="24"/>
  <c r="B548" i="24"/>
  <c r="B547" i="24"/>
  <c r="B546" i="24"/>
  <c r="B545" i="24"/>
  <c r="B544" i="24"/>
  <c r="B543" i="24"/>
  <c r="B542" i="24"/>
  <c r="B541" i="24"/>
  <c r="B540" i="24"/>
  <c r="B539" i="24"/>
  <c r="B538" i="24"/>
  <c r="B537" i="24"/>
  <c r="B536" i="24"/>
  <c r="B535" i="24"/>
  <c r="B534" i="24"/>
  <c r="B533" i="24"/>
  <c r="B532" i="24"/>
  <c r="B531" i="24"/>
  <c r="B530" i="24"/>
  <c r="B529" i="24"/>
  <c r="B528" i="24"/>
  <c r="B527" i="24"/>
  <c r="B526" i="24"/>
  <c r="B525" i="24"/>
  <c r="B524" i="24"/>
  <c r="B523" i="24"/>
  <c r="B522" i="24"/>
  <c r="B521" i="24"/>
  <c r="B520" i="24"/>
  <c r="B519" i="24"/>
  <c r="B518" i="24"/>
  <c r="B517" i="24"/>
  <c r="B515" i="24" s="1"/>
  <c r="H515" i="24"/>
  <c r="G515" i="24"/>
  <c r="F515" i="24"/>
  <c r="E515" i="24"/>
  <c r="D515" i="24"/>
  <c r="C515" i="24"/>
  <c r="B512" i="24"/>
  <c r="B511" i="24"/>
  <c r="B510" i="24"/>
  <c r="B509" i="24"/>
  <c r="B508" i="24"/>
  <c r="B507" i="24"/>
  <c r="B506" i="24"/>
  <c r="B505" i="24"/>
  <c r="B504" i="24"/>
  <c r="B503" i="24"/>
  <c r="B502" i="24"/>
  <c r="B501" i="24"/>
  <c r="B500" i="24"/>
  <c r="B499" i="24"/>
  <c r="B498" i="24"/>
  <c r="B497" i="24"/>
  <c r="B496" i="24"/>
  <c r="B495" i="24"/>
  <c r="B494" i="24"/>
  <c r="B493" i="24"/>
  <c r="B492" i="24"/>
  <c r="B491" i="24"/>
  <c r="B490" i="24"/>
  <c r="B489" i="24"/>
  <c r="B488" i="24"/>
  <c r="B487" i="24"/>
  <c r="B486" i="24"/>
  <c r="B485" i="24"/>
  <c r="B484" i="24"/>
  <c r="B483" i="24"/>
  <c r="B482" i="24"/>
  <c r="B481" i="24"/>
  <c r="B479" i="24" s="1"/>
  <c r="H479" i="24"/>
  <c r="G479" i="24"/>
  <c r="F479" i="24"/>
  <c r="E479" i="24"/>
  <c r="D479" i="24"/>
  <c r="C479" i="24"/>
  <c r="B476" i="24"/>
  <c r="B475" i="24"/>
  <c r="B474" i="24"/>
  <c r="B473" i="24"/>
  <c r="B472" i="24"/>
  <c r="B471" i="24"/>
  <c r="B470" i="24"/>
  <c r="B469" i="24"/>
  <c r="B468" i="24"/>
  <c r="B467" i="24"/>
  <c r="B466" i="24"/>
  <c r="B465" i="24"/>
  <c r="B464" i="24"/>
  <c r="B463" i="24"/>
  <c r="B462" i="24"/>
  <c r="B461" i="24"/>
  <c r="B460" i="24"/>
  <c r="B459" i="24"/>
  <c r="B458" i="24"/>
  <c r="B457" i="24"/>
  <c r="B456" i="24"/>
  <c r="B455" i="24"/>
  <c r="B454" i="24"/>
  <c r="B453" i="24"/>
  <c r="B452" i="24"/>
  <c r="B451" i="24"/>
  <c r="B450" i="24"/>
  <c r="B449" i="24"/>
  <c r="B448" i="24"/>
  <c r="B447" i="24"/>
  <c r="B443" i="24" s="1"/>
  <c r="B446" i="24"/>
  <c r="B445" i="24"/>
  <c r="H443" i="24"/>
  <c r="G443" i="24"/>
  <c r="F443" i="24"/>
  <c r="E443" i="24"/>
  <c r="D443" i="24"/>
  <c r="C443" i="24"/>
  <c r="B440" i="24"/>
  <c r="B439" i="24"/>
  <c r="B438" i="24"/>
  <c r="B437" i="24"/>
  <c r="B436" i="24"/>
  <c r="B435" i="24"/>
  <c r="B434" i="24"/>
  <c r="B433" i="24"/>
  <c r="B432" i="24"/>
  <c r="B431" i="24"/>
  <c r="B430" i="24"/>
  <c r="B429" i="24"/>
  <c r="B428" i="24"/>
  <c r="B427" i="24"/>
  <c r="B426" i="24"/>
  <c r="B425" i="24"/>
  <c r="B424" i="24"/>
  <c r="B423" i="24"/>
  <c r="B422" i="24"/>
  <c r="B421" i="24"/>
  <c r="B420" i="24"/>
  <c r="B419" i="24"/>
  <c r="B418" i="24"/>
  <c r="B417" i="24"/>
  <c r="B416" i="24"/>
  <c r="B415" i="24"/>
  <c r="B414" i="24"/>
  <c r="B413" i="24"/>
  <c r="B412" i="24"/>
  <c r="B411" i="24"/>
  <c r="B410" i="24"/>
  <c r="B409" i="24"/>
  <c r="H407" i="24"/>
  <c r="G407" i="24"/>
  <c r="F407" i="24"/>
  <c r="E407" i="24"/>
  <c r="D407" i="24"/>
  <c r="C407" i="24"/>
  <c r="B407" i="24"/>
  <c r="B404" i="24"/>
  <c r="B403" i="24"/>
  <c r="B402" i="24"/>
  <c r="B401" i="24"/>
  <c r="B400" i="24"/>
  <c r="B399" i="24"/>
  <c r="B398" i="24"/>
  <c r="B397" i="24"/>
  <c r="B396" i="24"/>
  <c r="B395" i="24"/>
  <c r="B394" i="24"/>
  <c r="B393" i="24"/>
  <c r="B392" i="24"/>
  <c r="B391" i="24"/>
  <c r="B390" i="24"/>
  <c r="B389" i="24"/>
  <c r="B388" i="24"/>
  <c r="B387" i="24"/>
  <c r="B386" i="24"/>
  <c r="B385" i="24"/>
  <c r="B384" i="24"/>
  <c r="B383" i="24"/>
  <c r="B382" i="24"/>
  <c r="B381" i="24"/>
  <c r="B380" i="24"/>
  <c r="B379" i="24"/>
  <c r="B378" i="24"/>
  <c r="B377" i="24"/>
  <c r="B376" i="24"/>
  <c r="B375" i="24"/>
  <c r="B374" i="24"/>
  <c r="B373" i="24"/>
  <c r="B371" i="24" s="1"/>
  <c r="H371" i="24"/>
  <c r="G371" i="24"/>
  <c r="F371" i="24"/>
  <c r="E371" i="24"/>
  <c r="D371" i="24"/>
  <c r="C371" i="24"/>
  <c r="B368" i="24"/>
  <c r="B367" i="24"/>
  <c r="B366" i="24"/>
  <c r="B365" i="24"/>
  <c r="B364" i="24"/>
  <c r="B363" i="24"/>
  <c r="B362" i="24"/>
  <c r="B361" i="24"/>
  <c r="B360" i="24"/>
  <c r="B359" i="24"/>
  <c r="B358" i="24"/>
  <c r="B357" i="24"/>
  <c r="B356" i="24"/>
  <c r="B355" i="24"/>
  <c r="B354" i="24"/>
  <c r="B353" i="24"/>
  <c r="B352" i="24"/>
  <c r="B351" i="24"/>
  <c r="B350" i="24"/>
  <c r="B349" i="24"/>
  <c r="B348" i="24"/>
  <c r="B347" i="24"/>
  <c r="B346" i="24"/>
  <c r="B345" i="24"/>
  <c r="B344" i="24"/>
  <c r="B343" i="24"/>
  <c r="B342" i="24"/>
  <c r="B341" i="24"/>
  <c r="B340" i="24"/>
  <c r="B339" i="24"/>
  <c r="B338" i="24"/>
  <c r="B337" i="24"/>
  <c r="B335" i="24" s="1"/>
  <c r="H335" i="24"/>
  <c r="G335" i="24"/>
  <c r="F335" i="24"/>
  <c r="E335" i="24"/>
  <c r="D335" i="24"/>
  <c r="C335" i="24"/>
  <c r="B332" i="24"/>
  <c r="B331" i="24"/>
  <c r="B330" i="24"/>
  <c r="B329" i="24"/>
  <c r="B328" i="24"/>
  <c r="B327" i="24"/>
  <c r="B326" i="24"/>
  <c r="B325" i="24"/>
  <c r="B324" i="24"/>
  <c r="B323" i="24"/>
  <c r="B322" i="24"/>
  <c r="B321" i="24"/>
  <c r="B320" i="24"/>
  <c r="B319" i="24"/>
  <c r="B318" i="24"/>
  <c r="B317" i="24"/>
  <c r="B316" i="24"/>
  <c r="B315" i="24"/>
  <c r="B314" i="24"/>
  <c r="B313" i="24"/>
  <c r="B312" i="24"/>
  <c r="B311" i="24"/>
  <c r="B310" i="24"/>
  <c r="B309" i="24"/>
  <c r="B308" i="24"/>
  <c r="B307" i="24"/>
  <c r="B306" i="24"/>
  <c r="B305" i="24"/>
  <c r="B304" i="24"/>
  <c r="B303" i="24"/>
  <c r="B299" i="24" s="1"/>
  <c r="B302" i="24"/>
  <c r="B301" i="24"/>
  <c r="H299" i="24"/>
  <c r="G299" i="24"/>
  <c r="F299" i="24"/>
  <c r="E299" i="24"/>
  <c r="D299" i="24"/>
  <c r="C299" i="24"/>
  <c r="B296" i="24"/>
  <c r="B295" i="24"/>
  <c r="B294" i="24"/>
  <c r="B293" i="24"/>
  <c r="B292" i="24"/>
  <c r="B291" i="24"/>
  <c r="B290" i="24"/>
  <c r="B289" i="24"/>
  <c r="B288" i="24"/>
  <c r="B287" i="24"/>
  <c r="B286" i="24"/>
  <c r="B285" i="24"/>
  <c r="B284" i="24"/>
  <c r="B283" i="24"/>
  <c r="B282" i="24"/>
  <c r="B281" i="24"/>
  <c r="B280" i="24"/>
  <c r="B279" i="24"/>
  <c r="B278" i="24"/>
  <c r="B277" i="24"/>
  <c r="B276" i="24"/>
  <c r="B275" i="24"/>
  <c r="B274" i="24"/>
  <c r="B273" i="24"/>
  <c r="B272" i="24"/>
  <c r="B271" i="24"/>
  <c r="B270" i="24"/>
  <c r="B269" i="24"/>
  <c r="B268" i="24"/>
  <c r="B267" i="24"/>
  <c r="B266" i="24"/>
  <c r="B265" i="24"/>
  <c r="H263" i="24"/>
  <c r="G263" i="24"/>
  <c r="F263" i="24"/>
  <c r="E263" i="24"/>
  <c r="D263" i="24"/>
  <c r="C263" i="24"/>
  <c r="B263" i="24"/>
  <c r="B260" i="24"/>
  <c r="B259" i="24"/>
  <c r="B258" i="24"/>
  <c r="B257" i="24"/>
  <c r="B256" i="24"/>
  <c r="B255" i="24"/>
  <c r="B254" i="24"/>
  <c r="B253" i="24"/>
  <c r="B252" i="24"/>
  <c r="B251" i="24"/>
  <c r="B250" i="24"/>
  <c r="B249" i="24"/>
  <c r="B248" i="24"/>
  <c r="B247" i="24"/>
  <c r="B246" i="24"/>
  <c r="B245" i="24"/>
  <c r="B244" i="24"/>
  <c r="B243" i="24"/>
  <c r="B242" i="24"/>
  <c r="B241" i="24"/>
  <c r="B240" i="24"/>
  <c r="B239" i="24"/>
  <c r="B238" i="24"/>
  <c r="B237" i="24"/>
  <c r="B236" i="24"/>
  <c r="B235" i="24"/>
  <c r="B234" i="24"/>
  <c r="B233" i="24"/>
  <c r="B232" i="24"/>
  <c r="B231" i="24"/>
  <c r="B229" i="24"/>
  <c r="B227" i="24" s="1"/>
  <c r="H227" i="24"/>
  <c r="G227" i="24"/>
  <c r="F227" i="24"/>
  <c r="E227" i="24"/>
  <c r="D227" i="24"/>
  <c r="C227" i="24"/>
  <c r="B224" i="24"/>
  <c r="B223" i="24"/>
  <c r="B222" i="24"/>
  <c r="B221" i="24"/>
  <c r="B220" i="24"/>
  <c r="B219" i="24"/>
  <c r="B218" i="24"/>
  <c r="B217" i="24"/>
  <c r="B216" i="24"/>
  <c r="B215" i="24"/>
  <c r="B214" i="24"/>
  <c r="B213" i="24"/>
  <c r="B212" i="24"/>
  <c r="B211" i="24"/>
  <c r="B210" i="24"/>
  <c r="B209" i="24"/>
  <c r="B208" i="24"/>
  <c r="B207" i="24"/>
  <c r="B206" i="24"/>
  <c r="B205" i="24"/>
  <c r="B204" i="24"/>
  <c r="B203" i="24"/>
  <c r="B202" i="24"/>
  <c r="B201" i="24"/>
  <c r="B200" i="24"/>
  <c r="B199" i="24"/>
  <c r="B198" i="24"/>
  <c r="B197" i="24"/>
  <c r="B196" i="24"/>
  <c r="B195" i="24"/>
  <c r="B191" i="24" s="1"/>
  <c r="B194" i="24"/>
  <c r="B193" i="24"/>
  <c r="H191" i="24"/>
  <c r="G191" i="24"/>
  <c r="F191" i="24"/>
  <c r="E191" i="24"/>
  <c r="D191" i="24"/>
  <c r="C191" i="24"/>
  <c r="B188" i="24"/>
  <c r="B187" i="24"/>
  <c r="B186" i="24"/>
  <c r="B185" i="24"/>
  <c r="B184" i="24"/>
  <c r="B183" i="24"/>
  <c r="B182" i="24"/>
  <c r="B181" i="24"/>
  <c r="B180" i="24"/>
  <c r="B179" i="24"/>
  <c r="B178" i="24"/>
  <c r="B177" i="24"/>
  <c r="B176" i="24"/>
  <c r="B175" i="24"/>
  <c r="B174" i="24"/>
  <c r="B173" i="24"/>
  <c r="B172" i="24"/>
  <c r="B171" i="24"/>
  <c r="B170" i="24"/>
  <c r="B169" i="24"/>
  <c r="B168" i="24"/>
  <c r="B167" i="24"/>
  <c r="B166" i="24"/>
  <c r="B165" i="24"/>
  <c r="B164" i="24"/>
  <c r="B163" i="24"/>
  <c r="B162" i="24"/>
  <c r="B161" i="24"/>
  <c r="B160" i="24"/>
  <c r="B159" i="24"/>
  <c r="B158" i="24"/>
  <c r="B157" i="24"/>
  <c r="H155" i="24"/>
  <c r="G155" i="24"/>
  <c r="F155" i="24"/>
  <c r="E155" i="24"/>
  <c r="D155" i="24"/>
  <c r="C155" i="24"/>
  <c r="B155" i="24"/>
  <c r="B152" i="24"/>
  <c r="B151" i="24"/>
  <c r="B150" i="24"/>
  <c r="B149" i="24"/>
  <c r="B148" i="24"/>
  <c r="B147" i="24"/>
  <c r="B146" i="24"/>
  <c r="B145" i="24"/>
  <c r="B144" i="24"/>
  <c r="B143" i="24"/>
  <c r="B142" i="24"/>
  <c r="B141" i="24"/>
  <c r="B140" i="24"/>
  <c r="B139" i="24"/>
  <c r="B138" i="24"/>
  <c r="B137" i="24"/>
  <c r="B136" i="24"/>
  <c r="B135" i="24"/>
  <c r="B134" i="24"/>
  <c r="B133" i="24"/>
  <c r="B132" i="24"/>
  <c r="B131" i="24"/>
  <c r="B130" i="24"/>
  <c r="B129" i="24"/>
  <c r="B128" i="24"/>
  <c r="B127" i="24"/>
  <c r="B126" i="24"/>
  <c r="B125" i="24"/>
  <c r="B124" i="24"/>
  <c r="B123" i="24"/>
  <c r="B122" i="24"/>
  <c r="B121" i="24"/>
  <c r="B119" i="24" s="1"/>
  <c r="H119" i="24"/>
  <c r="G119" i="24"/>
  <c r="F119" i="24"/>
  <c r="E119" i="24"/>
  <c r="D119" i="24"/>
  <c r="C119" i="24"/>
  <c r="B116" i="24"/>
  <c r="B115" i="24"/>
  <c r="B114" i="24"/>
  <c r="B113" i="24"/>
  <c r="B112" i="24"/>
  <c r="B111" i="24"/>
  <c r="B110" i="24"/>
  <c r="B109" i="24"/>
  <c r="B108" i="24"/>
  <c r="B107" i="24"/>
  <c r="B106" i="24"/>
  <c r="B105" i="24"/>
  <c r="B104" i="24"/>
  <c r="B103" i="24"/>
  <c r="B102" i="24"/>
  <c r="B101" i="24"/>
  <c r="B100" i="24"/>
  <c r="B99" i="24"/>
  <c r="B98" i="24"/>
  <c r="B97" i="24"/>
  <c r="B96" i="24"/>
  <c r="B95" i="24"/>
  <c r="B94" i="24"/>
  <c r="B93" i="24"/>
  <c r="B92" i="24"/>
  <c r="B91" i="24"/>
  <c r="B90" i="24"/>
  <c r="B89" i="24"/>
  <c r="B88" i="24"/>
  <c r="B87" i="24"/>
  <c r="B86" i="24"/>
  <c r="B85" i="24"/>
  <c r="B83" i="24" s="1"/>
  <c r="H83" i="24"/>
  <c r="G83" i="24"/>
  <c r="F83" i="24"/>
  <c r="E83" i="24"/>
  <c r="D83" i="24"/>
  <c r="C83" i="24"/>
  <c r="B80" i="24"/>
  <c r="B79" i="24"/>
  <c r="B78" i="24"/>
  <c r="B77" i="24"/>
  <c r="B76" i="24"/>
  <c r="B75" i="24"/>
  <c r="B74" i="24"/>
  <c r="B73" i="24"/>
  <c r="B72" i="24"/>
  <c r="B71" i="24"/>
  <c r="B70" i="24"/>
  <c r="B69" i="24"/>
  <c r="B68" i="24"/>
  <c r="B67" i="24"/>
  <c r="B66" i="24"/>
  <c r="B65" i="24"/>
  <c r="B64" i="24"/>
  <c r="B63" i="24"/>
  <c r="B62" i="24"/>
  <c r="B61" i="24"/>
  <c r="B60" i="24"/>
  <c r="B59" i="24"/>
  <c r="B58" i="24"/>
  <c r="B57" i="24"/>
  <c r="B56" i="24"/>
  <c r="B55" i="24"/>
  <c r="B54" i="24"/>
  <c r="B53" i="24"/>
  <c r="B52" i="24"/>
  <c r="B51" i="24"/>
  <c r="B47" i="24" s="1"/>
  <c r="B50" i="24"/>
  <c r="B49" i="24"/>
  <c r="H47" i="24"/>
  <c r="G47" i="24"/>
  <c r="F47" i="24"/>
  <c r="E47" i="24"/>
  <c r="D47" i="24"/>
  <c r="C47" i="24"/>
  <c r="B44" i="24"/>
  <c r="B43" i="24"/>
  <c r="B42" i="24"/>
  <c r="B41" i="24"/>
  <c r="B40" i="24"/>
  <c r="B39" i="24"/>
  <c r="B38" i="24"/>
  <c r="B37" i="24"/>
  <c r="B36" i="24"/>
  <c r="B35" i="24"/>
  <c r="B34" i="24"/>
  <c r="B33" i="24"/>
  <c r="B32" i="24"/>
  <c r="B31" i="24"/>
  <c r="B30" i="24"/>
  <c r="B29" i="24"/>
  <c r="B28" i="24"/>
  <c r="B27" i="24"/>
  <c r="B26" i="24"/>
  <c r="B25" i="24"/>
  <c r="B24" i="24"/>
  <c r="B23" i="24"/>
  <c r="B22" i="24"/>
  <c r="B21" i="24"/>
  <c r="B20" i="24"/>
  <c r="B19" i="24"/>
  <c r="B18" i="24"/>
  <c r="B17" i="24"/>
  <c r="B16" i="24"/>
  <c r="B15" i="24"/>
  <c r="B14" i="24"/>
  <c r="B13" i="24"/>
  <c r="H11" i="24"/>
  <c r="G11" i="24"/>
  <c r="F11" i="24"/>
  <c r="E11" i="24"/>
  <c r="D11" i="24"/>
  <c r="C11" i="24"/>
  <c r="B11" i="24"/>
  <c r="B14" i="27" l="1"/>
  <c r="D266" i="27"/>
  <c r="B268" i="27"/>
  <c r="B266" i="27" s="1"/>
  <c r="B302" i="27"/>
  <c r="D14" i="27"/>
  <c r="D86" i="27"/>
  <c r="D194" i="27"/>
  <c r="D302" i="27"/>
  <c r="B338" i="27"/>
  <c r="B374" i="27"/>
  <c r="B412" i="27"/>
  <c r="B410" i="27" s="1"/>
  <c r="D410" i="27"/>
  <c r="B446" i="27"/>
  <c r="B122" i="28"/>
  <c r="D338" i="27"/>
  <c r="D446" i="27"/>
  <c r="B590" i="27"/>
  <c r="B86" i="27"/>
  <c r="B488" i="27"/>
  <c r="B482" i="27" s="1"/>
  <c r="D482" i="27"/>
  <c r="B50" i="27"/>
  <c r="B158" i="27"/>
  <c r="D16" i="28"/>
  <c r="G14" i="28"/>
  <c r="D340" i="28"/>
  <c r="G338" i="28"/>
  <c r="B412" i="28"/>
  <c r="D518" i="28"/>
  <c r="B521" i="28"/>
  <c r="B518" i="28" s="1"/>
  <c r="G14" i="27"/>
  <c r="G50" i="27"/>
  <c r="D122" i="27"/>
  <c r="G158" i="27"/>
  <c r="D230" i="27"/>
  <c r="G302" i="27"/>
  <c r="D374" i="27"/>
  <c r="G446" i="27"/>
  <c r="G590" i="27"/>
  <c r="D52" i="28"/>
  <c r="G50" i="28"/>
  <c r="G122" i="28"/>
  <c r="G230" i="28"/>
  <c r="B230" i="28"/>
  <c r="D230" i="28"/>
  <c r="G266" i="28"/>
  <c r="G374" i="28"/>
  <c r="B374" i="28"/>
  <c r="B446" i="28"/>
  <c r="G518" i="28"/>
  <c r="B18" i="29"/>
  <c r="B16" i="29" s="1"/>
  <c r="E16" i="29"/>
  <c r="E52" i="29"/>
  <c r="B196" i="29"/>
  <c r="G556" i="29"/>
  <c r="E739" i="29"/>
  <c r="E736" i="29" s="1"/>
  <c r="G736" i="29"/>
  <c r="G266" i="27"/>
  <c r="G410" i="27"/>
  <c r="D520" i="27"/>
  <c r="G518" i="27"/>
  <c r="D590" i="27"/>
  <c r="B86" i="28"/>
  <c r="D86" i="28"/>
  <c r="D122" i="28"/>
  <c r="D266" i="28"/>
  <c r="D374" i="28"/>
  <c r="B592" i="28"/>
  <c r="B590" i="28" s="1"/>
  <c r="D590" i="28"/>
  <c r="G16" i="29"/>
  <c r="B160" i="29"/>
  <c r="E234" i="29"/>
  <c r="E232" i="29" s="1"/>
  <c r="G232" i="29"/>
  <c r="E376" i="29"/>
  <c r="D196" i="28"/>
  <c r="G194" i="28"/>
  <c r="E450" i="29"/>
  <c r="E448" i="29" s="1"/>
  <c r="G448" i="29"/>
  <c r="G482" i="27"/>
  <c r="B554" i="27"/>
  <c r="D554" i="27"/>
  <c r="D628" i="27"/>
  <c r="D160" i="28"/>
  <c r="D304" i="28"/>
  <c r="D414" i="28"/>
  <c r="B414" i="28" s="1"/>
  <c r="G410" i="28"/>
  <c r="D562" i="28"/>
  <c r="B562" i="28" s="1"/>
  <c r="B554" i="28" s="1"/>
  <c r="G554" i="28"/>
  <c r="G590" i="28"/>
  <c r="D628" i="28"/>
  <c r="G626" i="28"/>
  <c r="E88" i="29"/>
  <c r="B91" i="29"/>
  <c r="B88" i="29" s="1"/>
  <c r="E126" i="29"/>
  <c r="G124" i="29"/>
  <c r="G160" i="29"/>
  <c r="E196" i="29"/>
  <c r="G446" i="28"/>
  <c r="D484" i="28"/>
  <c r="G482" i="28"/>
  <c r="B52" i="29"/>
  <c r="G52" i="29"/>
  <c r="E306" i="29"/>
  <c r="E304" i="29" s="1"/>
  <c r="G304" i="29"/>
  <c r="G376" i="29"/>
  <c r="E484" i="29"/>
  <c r="E592" i="29"/>
  <c r="D554" i="28"/>
  <c r="G88" i="29"/>
  <c r="G196" i="29"/>
  <c r="E520" i="29"/>
  <c r="E628" i="29"/>
  <c r="E700" i="29"/>
  <c r="E810" i="29"/>
  <c r="E808" i="29" s="1"/>
  <c r="G808" i="29"/>
  <c r="B770" i="30"/>
  <c r="E595" i="29"/>
  <c r="G592" i="29"/>
  <c r="B19" i="30"/>
  <c r="B14" i="30" s="1"/>
  <c r="E14" i="30"/>
  <c r="E666" i="29"/>
  <c r="E664" i="29" s="1"/>
  <c r="G664" i="29"/>
  <c r="E772" i="29"/>
  <c r="E844" i="29"/>
  <c r="B53" i="30"/>
  <c r="B50" i="30" s="1"/>
  <c r="E50" i="30"/>
  <c r="B197" i="30"/>
  <c r="B194" i="30" s="1"/>
  <c r="E194" i="30"/>
  <c r="B413" i="30"/>
  <c r="B410" i="30" s="1"/>
  <c r="E410" i="30"/>
  <c r="B520" i="30"/>
  <c r="B518" i="30" s="1"/>
  <c r="E518" i="30"/>
  <c r="B702" i="30"/>
  <c r="E698" i="30"/>
  <c r="B808" i="30"/>
  <c r="B806" i="30" s="1"/>
  <c r="E806" i="30"/>
  <c r="H14" i="30"/>
  <c r="B269" i="30"/>
  <c r="B266" i="30" s="1"/>
  <c r="E266" i="30"/>
  <c r="B482" i="30"/>
  <c r="B698" i="30"/>
  <c r="B122" i="30"/>
  <c r="B338" i="30"/>
  <c r="E482" i="30"/>
  <c r="B664" i="30"/>
  <c r="B662" i="30" s="1"/>
  <c r="E662" i="30"/>
  <c r="B846" i="30"/>
  <c r="B842" i="30" s="1"/>
  <c r="E842" i="30"/>
  <c r="B593" i="30"/>
  <c r="B590" i="30" s="1"/>
  <c r="E590" i="30"/>
  <c r="E626" i="30"/>
  <c r="B737" i="30"/>
  <c r="B734" i="30" s="1"/>
  <c r="E734" i="30"/>
  <c r="E770" i="30"/>
  <c r="B900" i="23"/>
  <c r="B899" i="23"/>
  <c r="B898" i="23"/>
  <c r="B897" i="23"/>
  <c r="B896" i="23"/>
  <c r="B895" i="23"/>
  <c r="B894" i="23"/>
  <c r="B893" i="23"/>
  <c r="B892" i="23"/>
  <c r="B891" i="23"/>
  <c r="B890" i="23"/>
  <c r="B889" i="23"/>
  <c r="B888" i="23"/>
  <c r="B887" i="23"/>
  <c r="B886" i="23"/>
  <c r="B885" i="23"/>
  <c r="B884" i="23"/>
  <c r="B883" i="23"/>
  <c r="B882" i="23"/>
  <c r="B881" i="23"/>
  <c r="B880" i="23"/>
  <c r="B879" i="23"/>
  <c r="B878" i="23"/>
  <c r="B877" i="23"/>
  <c r="B876" i="23"/>
  <c r="B875" i="23"/>
  <c r="B874" i="23"/>
  <c r="B873" i="23"/>
  <c r="B872" i="23"/>
  <c r="B871" i="23"/>
  <c r="B870" i="23"/>
  <c r="B869" i="23"/>
  <c r="B868" i="23"/>
  <c r="B867" i="23"/>
  <c r="L865" i="23"/>
  <c r="K865" i="23"/>
  <c r="J865" i="23"/>
  <c r="I865" i="23"/>
  <c r="H865" i="23"/>
  <c r="G865" i="23"/>
  <c r="F865" i="23"/>
  <c r="E865" i="23"/>
  <c r="D865" i="23"/>
  <c r="C865" i="23"/>
  <c r="B865" i="23"/>
  <c r="B862" i="23"/>
  <c r="B861" i="23"/>
  <c r="B860" i="23"/>
  <c r="B859" i="23"/>
  <c r="B858" i="23"/>
  <c r="B857" i="23"/>
  <c r="B856" i="23"/>
  <c r="B855" i="23"/>
  <c r="B854" i="23"/>
  <c r="B853" i="23"/>
  <c r="B852" i="23"/>
  <c r="B851" i="23"/>
  <c r="B850" i="23"/>
  <c r="B849" i="23"/>
  <c r="B848" i="23"/>
  <c r="B847" i="23"/>
  <c r="B846" i="23"/>
  <c r="B845" i="23"/>
  <c r="B844" i="23"/>
  <c r="B843" i="23"/>
  <c r="B842" i="23"/>
  <c r="B841" i="23"/>
  <c r="B840" i="23"/>
  <c r="B839" i="23"/>
  <c r="B838" i="23"/>
  <c r="B837" i="23"/>
  <c r="B836" i="23"/>
  <c r="B835" i="23"/>
  <c r="B834" i="23"/>
  <c r="B833" i="23"/>
  <c r="B832" i="23"/>
  <c r="B831" i="23"/>
  <c r="B827" i="23" s="1"/>
  <c r="B830" i="23"/>
  <c r="B829" i="23"/>
  <c r="L827" i="23"/>
  <c r="K827" i="23"/>
  <c r="J827" i="23"/>
  <c r="I827" i="23"/>
  <c r="H827" i="23"/>
  <c r="G827" i="23"/>
  <c r="F827" i="23"/>
  <c r="E827" i="23"/>
  <c r="D827" i="23"/>
  <c r="C827" i="23"/>
  <c r="B824" i="23"/>
  <c r="B823" i="23"/>
  <c r="B822" i="23"/>
  <c r="B821" i="23"/>
  <c r="B820" i="23"/>
  <c r="B819" i="23"/>
  <c r="B818" i="23"/>
  <c r="B817" i="23"/>
  <c r="B816" i="23"/>
  <c r="B815" i="23"/>
  <c r="B814" i="23"/>
  <c r="B813" i="23"/>
  <c r="B812" i="23"/>
  <c r="B811" i="23"/>
  <c r="B810" i="23"/>
  <c r="B809" i="23"/>
  <c r="B808" i="23"/>
  <c r="B807" i="23"/>
  <c r="B806" i="23"/>
  <c r="B805" i="23"/>
  <c r="B804" i="23"/>
  <c r="B803" i="23"/>
  <c r="B802" i="23"/>
  <c r="B801" i="23"/>
  <c r="B800" i="23"/>
  <c r="B799" i="23"/>
  <c r="B798" i="23"/>
  <c r="B797" i="23"/>
  <c r="B796" i="23"/>
  <c r="B795" i="23"/>
  <c r="B794" i="23"/>
  <c r="B789" i="23" s="1"/>
  <c r="B793" i="23"/>
  <c r="B792" i="23"/>
  <c r="B791" i="23"/>
  <c r="L789" i="23"/>
  <c r="K789" i="23"/>
  <c r="J789" i="23"/>
  <c r="I789" i="23"/>
  <c r="H789" i="23"/>
  <c r="G789" i="23"/>
  <c r="F789" i="23"/>
  <c r="E789" i="23"/>
  <c r="D789" i="23"/>
  <c r="C789" i="23"/>
  <c r="B786" i="23"/>
  <c r="B785" i="23"/>
  <c r="B784" i="23"/>
  <c r="B783" i="23"/>
  <c r="B782" i="23"/>
  <c r="B781" i="23"/>
  <c r="B780" i="23"/>
  <c r="B779" i="23"/>
  <c r="B778" i="23"/>
  <c r="B777" i="23"/>
  <c r="B776" i="23"/>
  <c r="B775" i="23"/>
  <c r="B774" i="23"/>
  <c r="B773" i="23"/>
  <c r="B772" i="23"/>
  <c r="B771" i="23"/>
  <c r="B770" i="23"/>
  <c r="B769" i="23"/>
  <c r="B768" i="23"/>
  <c r="B767" i="23"/>
  <c r="B766" i="23"/>
  <c r="B765" i="23"/>
  <c r="B764" i="23"/>
  <c r="B763" i="23"/>
  <c r="B762" i="23"/>
  <c r="B761" i="23"/>
  <c r="B760" i="23"/>
  <c r="B759" i="23"/>
  <c r="B758" i="23"/>
  <c r="B757" i="23"/>
  <c r="B756" i="23"/>
  <c r="B755" i="23"/>
  <c r="B754" i="23"/>
  <c r="B753" i="23"/>
  <c r="B751" i="23" s="1"/>
  <c r="L751" i="23"/>
  <c r="K751" i="23"/>
  <c r="J751" i="23"/>
  <c r="I751" i="23"/>
  <c r="H751" i="23"/>
  <c r="G751" i="23"/>
  <c r="F751" i="23"/>
  <c r="E751" i="23"/>
  <c r="D751" i="23"/>
  <c r="C751" i="23"/>
  <c r="B748" i="23"/>
  <c r="B747" i="23"/>
  <c r="B746" i="23"/>
  <c r="B745" i="23"/>
  <c r="B744" i="23"/>
  <c r="B743" i="23"/>
  <c r="B742" i="23"/>
  <c r="B741" i="23"/>
  <c r="B740" i="23"/>
  <c r="B739" i="23"/>
  <c r="B738" i="23"/>
  <c r="B737" i="23"/>
  <c r="B736" i="23"/>
  <c r="B735" i="23"/>
  <c r="B734" i="23"/>
  <c r="B733" i="23"/>
  <c r="B732" i="23"/>
  <c r="B731" i="23"/>
  <c r="B730" i="23"/>
  <c r="B729" i="23"/>
  <c r="B728" i="23"/>
  <c r="B727" i="23"/>
  <c r="B726" i="23"/>
  <c r="B725" i="23"/>
  <c r="B724" i="23"/>
  <c r="B723" i="23"/>
  <c r="B722" i="23"/>
  <c r="B721" i="23"/>
  <c r="B720" i="23"/>
  <c r="B719" i="23"/>
  <c r="B718" i="23"/>
  <c r="B717" i="23"/>
  <c r="B716" i="23"/>
  <c r="B714" i="23" s="1"/>
  <c r="L714" i="23"/>
  <c r="K714" i="23"/>
  <c r="J714" i="23"/>
  <c r="I714" i="23"/>
  <c r="H714" i="23"/>
  <c r="G714" i="23"/>
  <c r="F714" i="23"/>
  <c r="E714" i="23"/>
  <c r="D714" i="23"/>
  <c r="C714" i="23"/>
  <c r="B711" i="23"/>
  <c r="B710" i="23"/>
  <c r="B709" i="23"/>
  <c r="B708" i="23"/>
  <c r="B707" i="23"/>
  <c r="B706" i="23"/>
  <c r="B705" i="23"/>
  <c r="B704" i="23"/>
  <c r="B703" i="23"/>
  <c r="B702" i="23"/>
  <c r="B701" i="23"/>
  <c r="B700" i="23"/>
  <c r="B699" i="23"/>
  <c r="B698" i="23"/>
  <c r="B697" i="23"/>
  <c r="B696" i="23"/>
  <c r="B695" i="23"/>
  <c r="B694" i="23"/>
  <c r="B693" i="23"/>
  <c r="B692" i="23"/>
  <c r="B691" i="23"/>
  <c r="B690" i="23"/>
  <c r="B689" i="23"/>
  <c r="B688" i="23"/>
  <c r="B687" i="23"/>
  <c r="B686" i="23"/>
  <c r="B685" i="23"/>
  <c r="B684" i="23"/>
  <c r="B683" i="23"/>
  <c r="B682" i="23"/>
  <c r="B681" i="23"/>
  <c r="B680" i="23"/>
  <c r="B679" i="23"/>
  <c r="B677" i="23" s="1"/>
  <c r="L677" i="23"/>
  <c r="K677" i="23"/>
  <c r="J677" i="23"/>
  <c r="I677" i="23"/>
  <c r="H677" i="23"/>
  <c r="G677" i="23"/>
  <c r="F677" i="23"/>
  <c r="E677" i="23"/>
  <c r="D677" i="23"/>
  <c r="C677" i="23"/>
  <c r="B674" i="23"/>
  <c r="B673" i="23"/>
  <c r="B672" i="23"/>
  <c r="B671" i="23"/>
  <c r="B670" i="23"/>
  <c r="B669" i="23"/>
  <c r="B668" i="23"/>
  <c r="B667" i="23"/>
  <c r="B666" i="23"/>
  <c r="B665" i="23"/>
  <c r="B664" i="23"/>
  <c r="B663" i="23"/>
  <c r="B662" i="23"/>
  <c r="B661" i="23"/>
  <c r="B660" i="23"/>
  <c r="B659" i="23"/>
  <c r="B658" i="23"/>
  <c r="B657" i="23"/>
  <c r="B656" i="23"/>
  <c r="B655" i="23"/>
  <c r="B654" i="23"/>
  <c r="B653" i="23"/>
  <c r="B652" i="23"/>
  <c r="B651" i="23"/>
  <c r="B650" i="23"/>
  <c r="B649" i="23"/>
  <c r="B648" i="23"/>
  <c r="B647" i="23"/>
  <c r="B646" i="23"/>
  <c r="B645" i="23"/>
  <c r="B644" i="23"/>
  <c r="B643" i="23"/>
  <c r="B642" i="23"/>
  <c r="B640" i="23" s="1"/>
  <c r="L640" i="23"/>
  <c r="K640" i="23"/>
  <c r="J640" i="23"/>
  <c r="I640" i="23"/>
  <c r="H640" i="23"/>
  <c r="G640" i="23"/>
  <c r="F640" i="23"/>
  <c r="E640" i="23"/>
  <c r="D640" i="23"/>
  <c r="C640" i="23"/>
  <c r="B637" i="23"/>
  <c r="B636" i="23"/>
  <c r="B635" i="23"/>
  <c r="B634" i="23"/>
  <c r="B633" i="23"/>
  <c r="B632" i="23"/>
  <c r="B631" i="23"/>
  <c r="B630" i="23"/>
  <c r="B629" i="23"/>
  <c r="B628" i="23"/>
  <c r="B627" i="23"/>
  <c r="B626" i="23"/>
  <c r="B625" i="23"/>
  <c r="B624" i="23"/>
  <c r="B623" i="23"/>
  <c r="B622" i="23"/>
  <c r="B621" i="23"/>
  <c r="B620" i="23"/>
  <c r="B619" i="23"/>
  <c r="B618" i="23"/>
  <c r="B617" i="23"/>
  <c r="B616" i="23"/>
  <c r="B615" i="23"/>
  <c r="B614" i="23"/>
  <c r="B613" i="23"/>
  <c r="B612" i="23"/>
  <c r="B611" i="23"/>
  <c r="B610" i="23"/>
  <c r="B609" i="23"/>
  <c r="B608" i="23"/>
  <c r="B607" i="23"/>
  <c r="B606" i="23"/>
  <c r="B605" i="23"/>
  <c r="B603" i="23" s="1"/>
  <c r="L603" i="23"/>
  <c r="K603" i="23"/>
  <c r="J603" i="23"/>
  <c r="I603" i="23"/>
  <c r="H603" i="23"/>
  <c r="G603" i="23"/>
  <c r="F603" i="23"/>
  <c r="E603" i="23"/>
  <c r="D603" i="23"/>
  <c r="C603" i="23"/>
  <c r="B600" i="23"/>
  <c r="B599" i="23"/>
  <c r="B598" i="23"/>
  <c r="B597" i="23"/>
  <c r="B596" i="23"/>
  <c r="B595" i="23"/>
  <c r="B594" i="23"/>
  <c r="B593" i="23"/>
  <c r="B592" i="23"/>
  <c r="B591" i="23"/>
  <c r="B590" i="23"/>
  <c r="B589" i="23"/>
  <c r="B588" i="23"/>
  <c r="B587" i="23"/>
  <c r="B586" i="23"/>
  <c r="B585" i="23"/>
  <c r="B584" i="23"/>
  <c r="B583" i="23"/>
  <c r="B582" i="23"/>
  <c r="B581" i="23"/>
  <c r="B580" i="23"/>
  <c r="B579" i="23"/>
  <c r="B578" i="23"/>
  <c r="B577" i="23"/>
  <c r="B576" i="23"/>
  <c r="B575" i="23"/>
  <c r="B574" i="23"/>
  <c r="B573" i="23"/>
  <c r="B572" i="23"/>
  <c r="B571" i="23"/>
  <c r="B570" i="23"/>
  <c r="B569" i="23"/>
  <c r="B568" i="23"/>
  <c r="B566" i="23" s="1"/>
  <c r="L566" i="23"/>
  <c r="K566" i="23"/>
  <c r="J566" i="23"/>
  <c r="I566" i="23"/>
  <c r="H566" i="23"/>
  <c r="G566" i="23"/>
  <c r="F566" i="23"/>
  <c r="E566" i="23"/>
  <c r="D566" i="23"/>
  <c r="C566" i="23"/>
  <c r="B563" i="23"/>
  <c r="B562" i="23"/>
  <c r="B561" i="23"/>
  <c r="B560" i="23"/>
  <c r="B559" i="23"/>
  <c r="B558" i="23"/>
  <c r="B557" i="23"/>
  <c r="B556" i="23"/>
  <c r="B555" i="23"/>
  <c r="B554" i="23"/>
  <c r="B553" i="23"/>
  <c r="B552" i="23"/>
  <c r="B551" i="23"/>
  <c r="B550" i="23"/>
  <c r="B549" i="23"/>
  <c r="B548" i="23"/>
  <c r="B547" i="23"/>
  <c r="B546" i="23"/>
  <c r="B545" i="23"/>
  <c r="B544" i="23"/>
  <c r="B543" i="23"/>
  <c r="B542" i="23"/>
  <c r="B541" i="23"/>
  <c r="B540" i="23"/>
  <c r="B539" i="23"/>
  <c r="B538" i="23"/>
  <c r="B537" i="23"/>
  <c r="B536" i="23"/>
  <c r="B535" i="23"/>
  <c r="B534" i="23"/>
  <c r="B533" i="23"/>
  <c r="B532" i="23"/>
  <c r="B531" i="23"/>
  <c r="B529" i="23" s="1"/>
  <c r="L529" i="23"/>
  <c r="K529" i="23"/>
  <c r="J529" i="23"/>
  <c r="I529" i="23"/>
  <c r="H529" i="23"/>
  <c r="G529" i="23"/>
  <c r="F529" i="23"/>
  <c r="E529" i="23"/>
  <c r="D529" i="23"/>
  <c r="C529" i="23"/>
  <c r="B526" i="23"/>
  <c r="B525" i="23"/>
  <c r="B524" i="23"/>
  <c r="B523" i="23"/>
  <c r="B522" i="23"/>
  <c r="B521" i="23"/>
  <c r="B520" i="23"/>
  <c r="B519" i="23"/>
  <c r="B518" i="23"/>
  <c r="B517" i="23"/>
  <c r="B516" i="23"/>
  <c r="B515" i="23"/>
  <c r="B514" i="23"/>
  <c r="B513" i="23"/>
  <c r="B512" i="23"/>
  <c r="B511" i="23"/>
  <c r="B510" i="23"/>
  <c r="B509" i="23"/>
  <c r="B508" i="23"/>
  <c r="B507" i="23"/>
  <c r="B506" i="23"/>
  <c r="B505" i="23"/>
  <c r="B504" i="23"/>
  <c r="B503" i="23"/>
  <c r="B502" i="23"/>
  <c r="B501" i="23"/>
  <c r="B500" i="23"/>
  <c r="B499" i="23"/>
  <c r="B498" i="23"/>
  <c r="B497" i="23"/>
  <c r="B496" i="23"/>
  <c r="B495" i="23"/>
  <c r="B494" i="23"/>
  <c r="B492" i="23" s="1"/>
  <c r="L492" i="23"/>
  <c r="K492" i="23"/>
  <c r="J492" i="23"/>
  <c r="I492" i="23"/>
  <c r="H492" i="23"/>
  <c r="G492" i="23"/>
  <c r="F492" i="23"/>
  <c r="E492" i="23"/>
  <c r="D492" i="23"/>
  <c r="C492" i="23"/>
  <c r="B489" i="23"/>
  <c r="B488" i="23"/>
  <c r="B487" i="23"/>
  <c r="B486" i="23"/>
  <c r="B485" i="23"/>
  <c r="B484" i="23"/>
  <c r="B483" i="23"/>
  <c r="B482" i="23"/>
  <c r="B481" i="23"/>
  <c r="B480" i="23"/>
  <c r="B479" i="23"/>
  <c r="B478" i="23"/>
  <c r="B477" i="23"/>
  <c r="B476" i="23"/>
  <c r="B475" i="23"/>
  <c r="B474" i="23"/>
  <c r="B473" i="23"/>
  <c r="B472" i="23"/>
  <c r="B471" i="23"/>
  <c r="B470" i="23"/>
  <c r="B469" i="23"/>
  <c r="B468" i="23"/>
  <c r="B467" i="23"/>
  <c r="B466" i="23"/>
  <c r="B465" i="23"/>
  <c r="B464" i="23"/>
  <c r="B463" i="23"/>
  <c r="B462" i="23"/>
  <c r="B461" i="23"/>
  <c r="B460" i="23"/>
  <c r="B459" i="23"/>
  <c r="B458" i="23"/>
  <c r="B457" i="23"/>
  <c r="B455" i="23" s="1"/>
  <c r="L455" i="23"/>
  <c r="K455" i="23"/>
  <c r="J455" i="23"/>
  <c r="I455" i="23"/>
  <c r="H455" i="23"/>
  <c r="G455" i="23"/>
  <c r="F455" i="23"/>
  <c r="E455" i="23"/>
  <c r="D455" i="23"/>
  <c r="C455" i="23"/>
  <c r="B452" i="23"/>
  <c r="B451" i="23"/>
  <c r="B450" i="23"/>
  <c r="B449" i="23"/>
  <c r="B448" i="23"/>
  <c r="B447" i="23"/>
  <c r="B446" i="23"/>
  <c r="B445" i="23"/>
  <c r="B444" i="23"/>
  <c r="B443" i="23"/>
  <c r="B442" i="23"/>
  <c r="B441" i="23"/>
  <c r="B440" i="23"/>
  <c r="B439" i="23"/>
  <c r="B438" i="23"/>
  <c r="B437" i="23"/>
  <c r="B436" i="23"/>
  <c r="B435" i="23"/>
  <c r="B434" i="23"/>
  <c r="B433" i="23"/>
  <c r="B432" i="23"/>
  <c r="B431" i="23"/>
  <c r="B430" i="23"/>
  <c r="B429" i="23"/>
  <c r="B428" i="23"/>
  <c r="B427" i="23"/>
  <c r="B426" i="23"/>
  <c r="B425" i="23"/>
  <c r="B424" i="23"/>
  <c r="B423" i="23"/>
  <c r="B422" i="23"/>
  <c r="B421" i="23"/>
  <c r="B420" i="23"/>
  <c r="B418" i="23" s="1"/>
  <c r="L418" i="23"/>
  <c r="K418" i="23"/>
  <c r="J418" i="23"/>
  <c r="I418" i="23"/>
  <c r="H418" i="23"/>
  <c r="G418" i="23"/>
  <c r="F418" i="23"/>
  <c r="E418" i="23"/>
  <c r="D418" i="23"/>
  <c r="C418" i="23"/>
  <c r="B415" i="23"/>
  <c r="B414" i="23"/>
  <c r="B413" i="23"/>
  <c r="B412" i="23"/>
  <c r="B411" i="23"/>
  <c r="B410" i="23"/>
  <c r="B409" i="23"/>
  <c r="B408" i="23"/>
  <c r="B407" i="23"/>
  <c r="B406" i="23"/>
  <c r="B405" i="23"/>
  <c r="B404" i="23"/>
  <c r="B403" i="23"/>
  <c r="B402" i="23"/>
  <c r="B401" i="23"/>
  <c r="B400" i="23"/>
  <c r="B399" i="23"/>
  <c r="B398" i="23"/>
  <c r="B397" i="23"/>
  <c r="B396" i="23"/>
  <c r="B395" i="23"/>
  <c r="B394" i="23"/>
  <c r="B393" i="23"/>
  <c r="B392" i="23"/>
  <c r="B391" i="23"/>
  <c r="B390" i="23"/>
  <c r="B389" i="23"/>
  <c r="B388" i="23"/>
  <c r="B387" i="23"/>
  <c r="B386" i="23"/>
  <c r="B385" i="23"/>
  <c r="B384" i="23"/>
  <c r="B383" i="23"/>
  <c r="B381" i="23" s="1"/>
  <c r="L381" i="23"/>
  <c r="K381" i="23"/>
  <c r="J381" i="23"/>
  <c r="I381" i="23"/>
  <c r="H381" i="23"/>
  <c r="G381" i="23"/>
  <c r="F381" i="23"/>
  <c r="E381" i="23"/>
  <c r="D381" i="23"/>
  <c r="C381" i="23"/>
  <c r="B378" i="23"/>
  <c r="B377" i="23"/>
  <c r="B376" i="23"/>
  <c r="B375" i="23"/>
  <c r="B374" i="23"/>
  <c r="B373" i="23"/>
  <c r="B372" i="23"/>
  <c r="B371" i="23"/>
  <c r="B370" i="23"/>
  <c r="B369" i="23"/>
  <c r="B368" i="23"/>
  <c r="B367" i="23"/>
  <c r="B366" i="23"/>
  <c r="B365" i="23"/>
  <c r="B364" i="23"/>
  <c r="B363" i="23"/>
  <c r="B362" i="23"/>
  <c r="B361" i="23"/>
  <c r="B360" i="23"/>
  <c r="B359" i="23"/>
  <c r="B358" i="23"/>
  <c r="B357" i="23"/>
  <c r="B356" i="23"/>
  <c r="B355" i="23"/>
  <c r="B354" i="23"/>
  <c r="B353" i="23"/>
  <c r="B352" i="23"/>
  <c r="B351" i="23"/>
  <c r="B350" i="23"/>
  <c r="B349" i="23"/>
  <c r="B348" i="23"/>
  <c r="B347" i="23"/>
  <c r="B346" i="23"/>
  <c r="B344" i="23" s="1"/>
  <c r="L344" i="23"/>
  <c r="K344" i="23"/>
  <c r="J344" i="23"/>
  <c r="I344" i="23"/>
  <c r="H344" i="23"/>
  <c r="G344" i="23"/>
  <c r="F344" i="23"/>
  <c r="E344" i="23"/>
  <c r="D344" i="23"/>
  <c r="C344" i="23"/>
  <c r="B341" i="23"/>
  <c r="B340" i="23"/>
  <c r="B339" i="23"/>
  <c r="B338" i="23"/>
  <c r="B337" i="23"/>
  <c r="B336" i="23"/>
  <c r="B335" i="23"/>
  <c r="B334" i="23"/>
  <c r="B333" i="23"/>
  <c r="B332" i="23"/>
  <c r="B331" i="23"/>
  <c r="B330" i="23"/>
  <c r="B329" i="23"/>
  <c r="B328" i="23"/>
  <c r="B327" i="23"/>
  <c r="B326" i="23"/>
  <c r="B325" i="23"/>
  <c r="B324" i="23"/>
  <c r="B323" i="23"/>
  <c r="B322" i="23"/>
  <c r="B321" i="23"/>
  <c r="B320" i="23"/>
  <c r="B319" i="23"/>
  <c r="B318" i="23"/>
  <c r="B317" i="23"/>
  <c r="B316" i="23"/>
  <c r="B315" i="23"/>
  <c r="B314" i="23"/>
  <c r="B313" i="23"/>
  <c r="B312" i="23"/>
  <c r="B311" i="23"/>
  <c r="B310" i="23"/>
  <c r="B309" i="23"/>
  <c r="B307" i="23" s="1"/>
  <c r="L307" i="23"/>
  <c r="K307" i="23"/>
  <c r="J307" i="23"/>
  <c r="I307" i="23"/>
  <c r="H307" i="23"/>
  <c r="G307" i="23"/>
  <c r="F307" i="23"/>
  <c r="E307" i="23"/>
  <c r="D307" i="23"/>
  <c r="C307" i="23"/>
  <c r="B304" i="23"/>
  <c r="B303" i="23"/>
  <c r="B302" i="23"/>
  <c r="B301" i="23"/>
  <c r="B300" i="23"/>
  <c r="B299" i="23"/>
  <c r="B298" i="23"/>
  <c r="B297" i="23"/>
  <c r="B296" i="23"/>
  <c r="B295" i="23"/>
  <c r="B294" i="23"/>
  <c r="B293" i="23"/>
  <c r="B292" i="23"/>
  <c r="B291" i="23"/>
  <c r="B290" i="23"/>
  <c r="B289" i="23"/>
  <c r="B288" i="23"/>
  <c r="B287" i="23"/>
  <c r="B286" i="23"/>
  <c r="B285" i="23"/>
  <c r="B284" i="23"/>
  <c r="B283" i="23"/>
  <c r="B282" i="23"/>
  <c r="B281" i="23"/>
  <c r="B280" i="23"/>
  <c r="B279" i="23"/>
  <c r="B278" i="23"/>
  <c r="B277" i="23"/>
  <c r="B276" i="23"/>
  <c r="B275" i="23"/>
  <c r="B274" i="23"/>
  <c r="B273" i="23"/>
  <c r="B272" i="23"/>
  <c r="B270" i="23" s="1"/>
  <c r="L270" i="23"/>
  <c r="K270" i="23"/>
  <c r="J270" i="23"/>
  <c r="I270" i="23"/>
  <c r="H270" i="23"/>
  <c r="G270" i="23"/>
  <c r="F270" i="23"/>
  <c r="E270" i="23"/>
  <c r="D270" i="23"/>
  <c r="C270" i="23"/>
  <c r="B267" i="23"/>
  <c r="B266" i="23"/>
  <c r="B265" i="23"/>
  <c r="B264" i="23"/>
  <c r="B263" i="23"/>
  <c r="B262" i="23"/>
  <c r="B261" i="23"/>
  <c r="B260" i="23"/>
  <c r="B259" i="23"/>
  <c r="B258" i="23"/>
  <c r="B257" i="23"/>
  <c r="B256" i="23"/>
  <c r="B255" i="23"/>
  <c r="B254" i="23"/>
  <c r="B253" i="23"/>
  <c r="B252" i="23"/>
  <c r="B251" i="23"/>
  <c r="B250" i="23"/>
  <c r="B249" i="23"/>
  <c r="B248" i="23"/>
  <c r="B247" i="23"/>
  <c r="B246" i="23"/>
  <c r="B245" i="23"/>
  <c r="B244" i="23"/>
  <c r="B243" i="23"/>
  <c r="B242" i="23"/>
  <c r="B241" i="23"/>
  <c r="B240" i="23"/>
  <c r="B239" i="23"/>
  <c r="B238" i="23"/>
  <c r="B237" i="23"/>
  <c r="B236" i="23"/>
  <c r="B235" i="23"/>
  <c r="B233" i="23" s="1"/>
  <c r="L233" i="23"/>
  <c r="J233" i="23"/>
  <c r="I233" i="23"/>
  <c r="H233" i="23"/>
  <c r="G233" i="23"/>
  <c r="F233" i="23"/>
  <c r="E233" i="23"/>
  <c r="D233" i="23"/>
  <c r="C233" i="23"/>
  <c r="B230" i="23"/>
  <c r="B229" i="23"/>
  <c r="B228" i="23"/>
  <c r="B227" i="23"/>
  <c r="B226" i="23"/>
  <c r="B225" i="23"/>
  <c r="B224" i="23"/>
  <c r="B223" i="23"/>
  <c r="B222" i="23"/>
  <c r="B221" i="23"/>
  <c r="B220" i="23"/>
  <c r="B219" i="23"/>
  <c r="B218" i="23"/>
  <c r="B217" i="23"/>
  <c r="B216" i="23"/>
  <c r="B215" i="23"/>
  <c r="B214" i="23"/>
  <c r="B213" i="23"/>
  <c r="B212" i="23"/>
  <c r="B211" i="23"/>
  <c r="B210" i="23"/>
  <c r="B209" i="23"/>
  <c r="B208" i="23"/>
  <c r="B207" i="23"/>
  <c r="B206" i="23"/>
  <c r="B205" i="23"/>
  <c r="B204" i="23"/>
  <c r="B203" i="23"/>
  <c r="B202" i="23"/>
  <c r="B201" i="23"/>
  <c r="B196" i="23" s="1"/>
  <c r="B200" i="23"/>
  <c r="B199" i="23"/>
  <c r="B198" i="23"/>
  <c r="L196" i="23"/>
  <c r="K196" i="23"/>
  <c r="J196" i="23"/>
  <c r="I196" i="23"/>
  <c r="H196" i="23"/>
  <c r="G196" i="23"/>
  <c r="F196" i="23"/>
  <c r="E196" i="23"/>
  <c r="D196" i="23"/>
  <c r="C196" i="23"/>
  <c r="B193" i="23"/>
  <c r="B192" i="23"/>
  <c r="B191" i="23"/>
  <c r="B190" i="23"/>
  <c r="B189" i="23"/>
  <c r="B188" i="23"/>
  <c r="B187" i="23"/>
  <c r="B186" i="23"/>
  <c r="B185" i="23"/>
  <c r="B184" i="23"/>
  <c r="B183" i="23"/>
  <c r="B182" i="23"/>
  <c r="B181" i="23"/>
  <c r="B180" i="23"/>
  <c r="B179" i="23"/>
  <c r="B178" i="23"/>
  <c r="B177" i="23"/>
  <c r="B176" i="23"/>
  <c r="B175" i="23"/>
  <c r="B174" i="23"/>
  <c r="B173" i="23"/>
  <c r="B172" i="23"/>
  <c r="B171" i="23"/>
  <c r="B170" i="23"/>
  <c r="B169" i="23"/>
  <c r="B168" i="23"/>
  <c r="B167" i="23"/>
  <c r="B166" i="23"/>
  <c r="B165" i="23"/>
  <c r="B164" i="23"/>
  <c r="B163" i="23"/>
  <c r="B162" i="23"/>
  <c r="B161" i="23"/>
  <c r="L159" i="23"/>
  <c r="K159" i="23"/>
  <c r="J159" i="23"/>
  <c r="I159" i="23"/>
  <c r="H159" i="23"/>
  <c r="G159" i="23"/>
  <c r="F159" i="23"/>
  <c r="E159" i="23"/>
  <c r="D159" i="23"/>
  <c r="C159" i="23"/>
  <c r="B159" i="23" s="1"/>
  <c r="B156" i="23"/>
  <c r="B155" i="23"/>
  <c r="B154" i="23"/>
  <c r="B153" i="23"/>
  <c r="B152" i="23"/>
  <c r="B151" i="23"/>
  <c r="B150" i="23"/>
  <c r="B149" i="23"/>
  <c r="B148" i="23"/>
  <c r="B147" i="23"/>
  <c r="B146" i="23"/>
  <c r="B145" i="23"/>
  <c r="B144" i="23"/>
  <c r="B143" i="23"/>
  <c r="B142" i="23"/>
  <c r="B141" i="23"/>
  <c r="B140" i="23"/>
  <c r="B139" i="23"/>
  <c r="B138" i="23"/>
  <c r="B137" i="23"/>
  <c r="B136" i="23"/>
  <c r="B135" i="23"/>
  <c r="B134" i="23"/>
  <c r="B133" i="23"/>
  <c r="B132" i="23"/>
  <c r="B131" i="23"/>
  <c r="B130" i="23"/>
  <c r="B129" i="23"/>
  <c r="B128" i="23"/>
  <c r="B127" i="23"/>
  <c r="B122" i="23" s="1"/>
  <c r="B126" i="23"/>
  <c r="B125" i="23"/>
  <c r="B124" i="23"/>
  <c r="L122" i="23"/>
  <c r="K122" i="23"/>
  <c r="J122" i="23"/>
  <c r="I122" i="23"/>
  <c r="H122" i="23"/>
  <c r="G122" i="23"/>
  <c r="F122" i="23"/>
  <c r="E122" i="23"/>
  <c r="D122" i="23"/>
  <c r="C122" i="23"/>
  <c r="B119" i="23"/>
  <c r="B118" i="23"/>
  <c r="B117" i="23"/>
  <c r="B116" i="23"/>
  <c r="B115" i="23"/>
  <c r="B114" i="23"/>
  <c r="B113" i="23"/>
  <c r="B112" i="23"/>
  <c r="B111" i="23"/>
  <c r="B110" i="23"/>
  <c r="B109" i="23"/>
  <c r="B108" i="23"/>
  <c r="B107" i="23"/>
  <c r="B106" i="23"/>
  <c r="B105" i="23"/>
  <c r="B104" i="23"/>
  <c r="B103" i="23"/>
  <c r="B102" i="23"/>
  <c r="B101" i="23"/>
  <c r="B100" i="23"/>
  <c r="B99" i="23"/>
  <c r="B98" i="23"/>
  <c r="B97" i="23"/>
  <c r="B96" i="23"/>
  <c r="B95" i="23"/>
  <c r="B94" i="23"/>
  <c r="B93" i="23"/>
  <c r="B92" i="23"/>
  <c r="B91" i="23"/>
  <c r="B90" i="23"/>
  <c r="B85" i="23" s="1"/>
  <c r="B89" i="23"/>
  <c r="B88" i="23"/>
  <c r="B87" i="23"/>
  <c r="L85" i="23"/>
  <c r="K85" i="23"/>
  <c r="J85" i="23"/>
  <c r="I85" i="23"/>
  <c r="H85" i="23"/>
  <c r="G85" i="23"/>
  <c r="F85" i="23"/>
  <c r="E85" i="23"/>
  <c r="D85" i="23"/>
  <c r="C85" i="23"/>
  <c r="B82" i="23"/>
  <c r="B81" i="23"/>
  <c r="B80" i="23"/>
  <c r="B79" i="23"/>
  <c r="B78" i="23"/>
  <c r="B77" i="23"/>
  <c r="B76" i="23"/>
  <c r="B75" i="23"/>
  <c r="B74" i="23"/>
  <c r="B73" i="23"/>
  <c r="B72" i="23"/>
  <c r="B71" i="23"/>
  <c r="B70" i="23"/>
  <c r="B69" i="23"/>
  <c r="B68" i="23"/>
  <c r="B67" i="23"/>
  <c r="B66" i="23"/>
  <c r="B65" i="23"/>
  <c r="B64" i="23"/>
  <c r="B63" i="23"/>
  <c r="B62" i="23"/>
  <c r="B61" i="23"/>
  <c r="B60" i="23"/>
  <c r="B59" i="23"/>
  <c r="B58" i="23"/>
  <c r="B57" i="23"/>
  <c r="B56" i="23"/>
  <c r="B55" i="23"/>
  <c r="B54" i="23"/>
  <c r="B53" i="23"/>
  <c r="B48" i="23" s="1"/>
  <c r="B52" i="23"/>
  <c r="B51" i="23"/>
  <c r="B50" i="23"/>
  <c r="L48" i="23"/>
  <c r="K48" i="23"/>
  <c r="J48" i="23"/>
  <c r="I48" i="23"/>
  <c r="H48" i="23"/>
  <c r="G48" i="23"/>
  <c r="F48" i="23"/>
  <c r="E48" i="23"/>
  <c r="D48" i="23"/>
  <c r="C48"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1" i="23" s="1"/>
  <c r="B15" i="23"/>
  <c r="B14" i="23"/>
  <c r="B13" i="23"/>
  <c r="L11" i="23"/>
  <c r="K11" i="23"/>
  <c r="J11" i="23"/>
  <c r="I11" i="23"/>
  <c r="H11" i="23"/>
  <c r="G11" i="23"/>
  <c r="F11" i="23"/>
  <c r="E11" i="23"/>
  <c r="D11" i="23"/>
  <c r="C11" i="23"/>
  <c r="B304" i="28" l="1"/>
  <c r="B302" i="28" s="1"/>
  <c r="D302" i="28"/>
  <c r="B520" i="27"/>
  <c r="B518" i="27" s="1"/>
  <c r="D518" i="27"/>
  <c r="B160" i="28"/>
  <c r="B158" i="28" s="1"/>
  <c r="D158" i="28"/>
  <c r="B196" i="28"/>
  <c r="B194" i="28" s="1"/>
  <c r="D194" i="28"/>
  <c r="E124" i="29"/>
  <c r="B126" i="29"/>
  <c r="B124" i="29" s="1"/>
  <c r="B628" i="28"/>
  <c r="D626" i="28"/>
  <c r="B628" i="27"/>
  <c r="D626" i="27"/>
  <c r="B410" i="28"/>
  <c r="B484" i="28"/>
  <c r="B482" i="28" s="1"/>
  <c r="D482" i="28"/>
  <c r="B52" i="28"/>
  <c r="B50" i="28" s="1"/>
  <c r="D50" i="28"/>
  <c r="B340" i="28"/>
  <c r="B338" i="28" s="1"/>
  <c r="D338" i="28"/>
  <c r="D410" i="28"/>
  <c r="B16" i="28"/>
  <c r="B14" i="28" s="1"/>
  <c r="D14" i="28"/>
  <c r="B767" i="21"/>
  <c r="B766" i="21"/>
  <c r="B765" i="21"/>
  <c r="B764" i="21"/>
  <c r="B763" i="21"/>
  <c r="B762" i="21"/>
  <c r="B761" i="21"/>
  <c r="B760" i="21"/>
  <c r="B759" i="21"/>
  <c r="B758" i="21"/>
  <c r="B757" i="21"/>
  <c r="B756" i="21"/>
  <c r="B755" i="21"/>
  <c r="B754" i="21"/>
  <c r="B753" i="21"/>
  <c r="B752" i="21"/>
  <c r="B751" i="21"/>
  <c r="B750" i="21"/>
  <c r="B749" i="21"/>
  <c r="B748" i="21"/>
  <c r="B747" i="21"/>
  <c r="B746" i="21"/>
  <c r="B745" i="21"/>
  <c r="B744" i="21"/>
  <c r="B743" i="21"/>
  <c r="B742" i="21"/>
  <c r="B741" i="21"/>
  <c r="B740" i="21"/>
  <c r="B739" i="21"/>
  <c r="B738" i="21"/>
  <c r="B737" i="21"/>
  <c r="B736" i="21"/>
  <c r="B734" i="21" s="1"/>
  <c r="J734" i="21"/>
  <c r="I734" i="21"/>
  <c r="H734" i="21"/>
  <c r="G734" i="21"/>
  <c r="F734" i="21"/>
  <c r="E734" i="21"/>
  <c r="D734" i="21"/>
  <c r="C734" i="21"/>
  <c r="B731" i="21"/>
  <c r="B730" i="21"/>
  <c r="B729" i="21"/>
  <c r="B728" i="21"/>
  <c r="B727" i="21"/>
  <c r="B726" i="21"/>
  <c r="B725" i="21"/>
  <c r="B724" i="21"/>
  <c r="B723" i="21"/>
  <c r="B722" i="21"/>
  <c r="B721" i="21"/>
  <c r="B720" i="21"/>
  <c r="B719" i="21"/>
  <c r="B718" i="21"/>
  <c r="B717" i="21"/>
  <c r="B716" i="21"/>
  <c r="B715" i="21"/>
  <c r="B714" i="21"/>
  <c r="B713" i="21"/>
  <c r="B712" i="21"/>
  <c r="B711" i="21"/>
  <c r="B710" i="21"/>
  <c r="B709" i="21"/>
  <c r="B708" i="21"/>
  <c r="B707" i="21"/>
  <c r="B706" i="21"/>
  <c r="B705" i="21"/>
  <c r="B704" i="21"/>
  <c r="B703" i="21"/>
  <c r="B702" i="21"/>
  <c r="B701" i="21"/>
  <c r="B698" i="21" s="1"/>
  <c r="B700" i="21"/>
  <c r="J698" i="21"/>
  <c r="I698" i="21"/>
  <c r="H698" i="21"/>
  <c r="G698" i="21"/>
  <c r="F698" i="21"/>
  <c r="E698" i="21"/>
  <c r="D698" i="21"/>
  <c r="C698" i="21"/>
  <c r="B695" i="21"/>
  <c r="B694" i="21"/>
  <c r="B693" i="21"/>
  <c r="B692" i="21"/>
  <c r="B691" i="21"/>
  <c r="B690" i="21"/>
  <c r="B689" i="21"/>
  <c r="B688" i="21"/>
  <c r="B687" i="21"/>
  <c r="B686" i="21"/>
  <c r="B685" i="21"/>
  <c r="B684" i="21"/>
  <c r="B683" i="21"/>
  <c r="B682" i="21"/>
  <c r="B681" i="21"/>
  <c r="B680" i="21"/>
  <c r="B679" i="21"/>
  <c r="B678" i="21"/>
  <c r="B677" i="21"/>
  <c r="B676" i="21"/>
  <c r="B675" i="21"/>
  <c r="B674" i="21"/>
  <c r="B673" i="21"/>
  <c r="B672" i="21"/>
  <c r="B671" i="21"/>
  <c r="B670" i="21"/>
  <c r="B669" i="21"/>
  <c r="B668" i="21"/>
  <c r="B667" i="21"/>
  <c r="B666" i="21"/>
  <c r="B665" i="21"/>
  <c r="B664" i="21"/>
  <c r="J662" i="21"/>
  <c r="I662" i="21"/>
  <c r="H662" i="21"/>
  <c r="G662" i="21"/>
  <c r="F662" i="21"/>
  <c r="E662" i="21"/>
  <c r="D662" i="21"/>
  <c r="C662" i="21"/>
  <c r="B659" i="21"/>
  <c r="B658" i="21"/>
  <c r="B657" i="21"/>
  <c r="B656" i="21"/>
  <c r="B655" i="21"/>
  <c r="B654" i="21"/>
  <c r="B653" i="21"/>
  <c r="B652" i="21"/>
  <c r="B651" i="21"/>
  <c r="B650" i="21"/>
  <c r="B649" i="21"/>
  <c r="B648" i="21"/>
  <c r="B647" i="21"/>
  <c r="B646" i="21"/>
  <c r="B645" i="21"/>
  <c r="B644" i="21"/>
  <c r="B643" i="21"/>
  <c r="B642" i="21"/>
  <c r="B641" i="21"/>
  <c r="B640" i="21"/>
  <c r="B639" i="21"/>
  <c r="B638" i="21"/>
  <c r="B637" i="21"/>
  <c r="B636" i="21"/>
  <c r="B635" i="21"/>
  <c r="B634" i="21"/>
  <c r="B633" i="21"/>
  <c r="B632" i="21"/>
  <c r="B631" i="21"/>
  <c r="B630" i="21"/>
  <c r="B626" i="21" s="1"/>
  <c r="B629" i="21"/>
  <c r="B628" i="21"/>
  <c r="J626" i="21"/>
  <c r="I626" i="21"/>
  <c r="H626" i="21"/>
  <c r="G626" i="21"/>
  <c r="F626" i="21"/>
  <c r="E626" i="21"/>
  <c r="D626" i="21"/>
  <c r="C626" i="21"/>
  <c r="B623" i="21"/>
  <c r="B622" i="21"/>
  <c r="B621" i="21"/>
  <c r="B620" i="21"/>
  <c r="B619" i="21"/>
  <c r="B618" i="21"/>
  <c r="B617" i="21"/>
  <c r="B616" i="21"/>
  <c r="B615" i="21"/>
  <c r="B614" i="21"/>
  <c r="B613" i="21"/>
  <c r="B612" i="21"/>
  <c r="B611" i="21"/>
  <c r="B610" i="21"/>
  <c r="B609" i="21"/>
  <c r="B608" i="21"/>
  <c r="B607" i="21"/>
  <c r="B606" i="21"/>
  <c r="B605" i="21"/>
  <c r="B604" i="21"/>
  <c r="B603" i="21"/>
  <c r="B602" i="21"/>
  <c r="B601" i="21"/>
  <c r="B600" i="21"/>
  <c r="B599" i="21"/>
  <c r="B598" i="21"/>
  <c r="B597" i="21"/>
  <c r="B596" i="21"/>
  <c r="B595" i="21"/>
  <c r="B594" i="21"/>
  <c r="B593" i="21"/>
  <c r="B592" i="21"/>
  <c r="J590" i="21"/>
  <c r="I590" i="21"/>
  <c r="H590" i="21"/>
  <c r="G590" i="21"/>
  <c r="F590" i="21"/>
  <c r="E590" i="21"/>
  <c r="D590" i="21"/>
  <c r="C590" i="21"/>
  <c r="B590" i="21"/>
  <c r="L587" i="21"/>
  <c r="L586" i="21"/>
  <c r="L585" i="21"/>
  <c r="L584" i="21"/>
  <c r="L583" i="21"/>
  <c r="L582" i="21"/>
  <c r="L581" i="21"/>
  <c r="L580" i="21"/>
  <c r="L579" i="21"/>
  <c r="L578" i="21"/>
  <c r="L577" i="21"/>
  <c r="L576" i="21"/>
  <c r="L575" i="21"/>
  <c r="L574" i="21"/>
  <c r="L573" i="21"/>
  <c r="L572" i="21"/>
  <c r="L571" i="21"/>
  <c r="L570" i="21"/>
  <c r="L569" i="21"/>
  <c r="L568" i="21"/>
  <c r="L567" i="21"/>
  <c r="L566" i="21"/>
  <c r="L565" i="21"/>
  <c r="L564" i="21"/>
  <c r="L563" i="21"/>
  <c r="L562" i="21"/>
  <c r="L561" i="21"/>
  <c r="L560" i="21"/>
  <c r="L559" i="21"/>
  <c r="L558" i="21"/>
  <c r="L557" i="21"/>
  <c r="L556" i="21"/>
  <c r="J554" i="21"/>
  <c r="I554" i="21"/>
  <c r="H554" i="21"/>
  <c r="G554" i="21"/>
  <c r="E554" i="21"/>
  <c r="D554" i="21"/>
  <c r="C554" i="21"/>
  <c r="B551" i="21"/>
  <c r="B550" i="21"/>
  <c r="B549" i="21"/>
  <c r="B548" i="21"/>
  <c r="B547" i="21"/>
  <c r="B546" i="21"/>
  <c r="B545" i="21"/>
  <c r="B544" i="21"/>
  <c r="B543" i="21"/>
  <c r="B542" i="21"/>
  <c r="B541" i="21"/>
  <c r="B540" i="21"/>
  <c r="B539" i="21"/>
  <c r="B538" i="21"/>
  <c r="B537" i="21"/>
  <c r="B536" i="21"/>
  <c r="B535" i="21"/>
  <c r="B534" i="21"/>
  <c r="B533" i="21"/>
  <c r="B532" i="21"/>
  <c r="B531" i="21"/>
  <c r="B530" i="21"/>
  <c r="B529" i="21"/>
  <c r="B528" i="21"/>
  <c r="B527" i="21"/>
  <c r="B526" i="21"/>
  <c r="B525" i="21"/>
  <c r="B524" i="21"/>
  <c r="B523" i="21"/>
  <c r="B522" i="21"/>
  <c r="B521" i="21"/>
  <c r="B520" i="21"/>
  <c r="J518" i="21"/>
  <c r="I518" i="21"/>
  <c r="H518" i="21"/>
  <c r="G518" i="21"/>
  <c r="F518" i="21"/>
  <c r="E518" i="21"/>
  <c r="D518" i="21"/>
  <c r="C518" i="21"/>
  <c r="B518" i="21"/>
  <c r="B515" i="21"/>
  <c r="B514" i="21"/>
  <c r="B513" i="21"/>
  <c r="B512" i="21"/>
  <c r="B511" i="21"/>
  <c r="B510" i="21"/>
  <c r="B509" i="21"/>
  <c r="B508" i="21"/>
  <c r="B507" i="21"/>
  <c r="B506" i="21"/>
  <c r="B505" i="21"/>
  <c r="B504" i="21"/>
  <c r="B503" i="21"/>
  <c r="B502" i="21"/>
  <c r="B501" i="21"/>
  <c r="B500" i="21"/>
  <c r="B499" i="21"/>
  <c r="B498" i="21"/>
  <c r="B497" i="21"/>
  <c r="B496" i="21"/>
  <c r="B495" i="21"/>
  <c r="B494" i="21"/>
  <c r="B493" i="21"/>
  <c r="B492" i="21"/>
  <c r="B491" i="21"/>
  <c r="B490" i="21"/>
  <c r="B489" i="21"/>
  <c r="B488" i="21"/>
  <c r="B487" i="21"/>
  <c r="B486" i="21"/>
  <c r="B485" i="21"/>
  <c r="B484" i="21"/>
  <c r="B482" i="21" s="1"/>
  <c r="J482" i="21"/>
  <c r="I482" i="21"/>
  <c r="H482" i="21"/>
  <c r="G482" i="21"/>
  <c r="F482" i="21"/>
  <c r="E482" i="21"/>
  <c r="D482" i="21"/>
  <c r="C482" i="21"/>
  <c r="B479" i="21"/>
  <c r="B478" i="21"/>
  <c r="B477" i="21"/>
  <c r="B476" i="21"/>
  <c r="B475" i="21"/>
  <c r="B474" i="21"/>
  <c r="B473" i="21"/>
  <c r="B472" i="21"/>
  <c r="B471" i="21"/>
  <c r="B470" i="21"/>
  <c r="B469" i="21"/>
  <c r="B468" i="21"/>
  <c r="B467" i="21"/>
  <c r="B466" i="21"/>
  <c r="B465" i="21"/>
  <c r="B464" i="21"/>
  <c r="B463" i="21"/>
  <c r="B462" i="21"/>
  <c r="B461" i="21"/>
  <c r="B460" i="21"/>
  <c r="B459" i="21"/>
  <c r="B458" i="21"/>
  <c r="B457" i="21"/>
  <c r="B456" i="21"/>
  <c r="B455" i="21"/>
  <c r="B454" i="21"/>
  <c r="B453" i="21"/>
  <c r="B452" i="21"/>
  <c r="B451" i="21"/>
  <c r="B450" i="21"/>
  <c r="B449" i="21"/>
  <c r="B448" i="21"/>
  <c r="J446" i="21"/>
  <c r="I446" i="21"/>
  <c r="H446" i="21"/>
  <c r="G446" i="21"/>
  <c r="F446" i="21"/>
  <c r="E446" i="21"/>
  <c r="D446" i="21"/>
  <c r="C446" i="21"/>
  <c r="B443" i="21"/>
  <c r="B442" i="21"/>
  <c r="B441" i="21"/>
  <c r="B440" i="21"/>
  <c r="B439" i="21"/>
  <c r="B438" i="21"/>
  <c r="B437" i="21"/>
  <c r="B436" i="21"/>
  <c r="B435" i="21"/>
  <c r="B434" i="21"/>
  <c r="B433" i="21"/>
  <c r="B432" i="21"/>
  <c r="B431" i="21"/>
  <c r="B430" i="21"/>
  <c r="B429" i="21"/>
  <c r="B428" i="21"/>
  <c r="B427" i="21"/>
  <c r="B426" i="21"/>
  <c r="B425" i="21"/>
  <c r="B424" i="21"/>
  <c r="B423" i="21"/>
  <c r="B422" i="21"/>
  <c r="B421" i="21"/>
  <c r="B420" i="21"/>
  <c r="B419" i="21"/>
  <c r="B418" i="21"/>
  <c r="B417" i="21"/>
  <c r="B416" i="21"/>
  <c r="B415" i="21"/>
  <c r="B414" i="21"/>
  <c r="B413" i="21"/>
  <c r="B410" i="21" s="1"/>
  <c r="B412" i="21"/>
  <c r="J410" i="21"/>
  <c r="I410" i="21"/>
  <c r="H410" i="21"/>
  <c r="G410" i="21"/>
  <c r="F410" i="21"/>
  <c r="E410" i="21"/>
  <c r="D410" i="21"/>
  <c r="C410" i="21"/>
  <c r="B407" i="21"/>
  <c r="B406" i="21"/>
  <c r="B405" i="21"/>
  <c r="B404" i="21"/>
  <c r="B403" i="21"/>
  <c r="B402" i="21"/>
  <c r="B401" i="21"/>
  <c r="B400" i="21"/>
  <c r="B399" i="21"/>
  <c r="B398" i="21"/>
  <c r="B397" i="21"/>
  <c r="B396" i="21"/>
  <c r="B395" i="21"/>
  <c r="B394" i="21"/>
  <c r="B393" i="21"/>
  <c r="B392" i="21"/>
  <c r="B391" i="21"/>
  <c r="B390" i="21"/>
  <c r="B389" i="21"/>
  <c r="B388" i="21"/>
  <c r="B387" i="21"/>
  <c r="B386" i="21"/>
  <c r="B385" i="21"/>
  <c r="B384" i="21"/>
  <c r="B383" i="21"/>
  <c r="B382" i="21"/>
  <c r="B381" i="21"/>
  <c r="B380" i="21"/>
  <c r="B379" i="21"/>
  <c r="B378" i="21"/>
  <c r="B374" i="21" s="1"/>
  <c r="B377" i="21"/>
  <c r="B376" i="21"/>
  <c r="J374" i="21"/>
  <c r="I374" i="21"/>
  <c r="H374" i="21"/>
  <c r="G374" i="21"/>
  <c r="F374" i="21"/>
  <c r="E374" i="21"/>
  <c r="D374" i="21"/>
  <c r="C374" i="21"/>
  <c r="B371" i="21"/>
  <c r="B370" i="21"/>
  <c r="B369" i="21"/>
  <c r="B368" i="21"/>
  <c r="B367" i="21"/>
  <c r="B366" i="21"/>
  <c r="B365" i="21"/>
  <c r="B364" i="21"/>
  <c r="B363" i="21"/>
  <c r="B362" i="21"/>
  <c r="B361" i="21"/>
  <c r="B360" i="21"/>
  <c r="B359" i="21"/>
  <c r="B358" i="21"/>
  <c r="B357" i="21"/>
  <c r="B356" i="21"/>
  <c r="B355" i="21"/>
  <c r="B354" i="21"/>
  <c r="B353" i="21"/>
  <c r="B352" i="21"/>
  <c r="B351" i="21"/>
  <c r="B350" i="21"/>
  <c r="B349" i="21"/>
  <c r="B347" i="21"/>
  <c r="B346" i="21"/>
  <c r="B345" i="21"/>
  <c r="B344" i="21"/>
  <c r="B343" i="21"/>
  <c r="B342" i="21"/>
  <c r="B338" i="21" s="1"/>
  <c r="B341" i="21"/>
  <c r="B340" i="21"/>
  <c r="J338" i="21"/>
  <c r="I338" i="21"/>
  <c r="H338" i="21"/>
  <c r="G338" i="21"/>
  <c r="F338" i="21"/>
  <c r="E338" i="21"/>
  <c r="D338" i="21"/>
  <c r="C338" i="21"/>
  <c r="B335" i="21"/>
  <c r="B334" i="21"/>
  <c r="B333" i="21"/>
  <c r="B332" i="21"/>
  <c r="B331" i="21"/>
  <c r="B330" i="21"/>
  <c r="B329" i="21"/>
  <c r="B328" i="21"/>
  <c r="B327" i="21"/>
  <c r="B326" i="21"/>
  <c r="B325" i="21"/>
  <c r="B324" i="21"/>
  <c r="B323" i="21"/>
  <c r="B322" i="21"/>
  <c r="B321" i="21"/>
  <c r="B320" i="21"/>
  <c r="B319" i="21"/>
  <c r="B318" i="21"/>
  <c r="B317" i="21"/>
  <c r="B316" i="21"/>
  <c r="B315" i="21"/>
  <c r="B314" i="21"/>
  <c r="B313" i="21"/>
  <c r="B312" i="21"/>
  <c r="B311" i="21"/>
  <c r="B310" i="21"/>
  <c r="B309" i="21"/>
  <c r="B308" i="21"/>
  <c r="B307" i="21"/>
  <c r="B306" i="21"/>
  <c r="B305" i="21"/>
  <c r="B304" i="21"/>
  <c r="J302" i="21"/>
  <c r="I302" i="21"/>
  <c r="H302" i="21"/>
  <c r="G302" i="21"/>
  <c r="F302" i="21"/>
  <c r="E302" i="21"/>
  <c r="D302" i="21"/>
  <c r="C302" i="21"/>
  <c r="B302" i="21"/>
  <c r="B299" i="21"/>
  <c r="B298" i="21"/>
  <c r="B297" i="21"/>
  <c r="B296" i="21"/>
  <c r="B295" i="21"/>
  <c r="B294" i="21"/>
  <c r="B293" i="21"/>
  <c r="B292" i="21"/>
  <c r="B291" i="21"/>
  <c r="B290" i="21"/>
  <c r="B289" i="21"/>
  <c r="B288" i="21"/>
  <c r="B287" i="21"/>
  <c r="B286" i="21"/>
  <c r="B285" i="21"/>
  <c r="B284" i="21"/>
  <c r="B283" i="21"/>
  <c r="B282" i="21"/>
  <c r="B281" i="21"/>
  <c r="B280" i="21"/>
  <c r="B279" i="21"/>
  <c r="B278" i="21"/>
  <c r="B277" i="21"/>
  <c r="B276" i="21"/>
  <c r="B275" i="21"/>
  <c r="B274" i="21"/>
  <c r="B273" i="21"/>
  <c r="B272" i="21"/>
  <c r="B271" i="21"/>
  <c r="B270" i="21"/>
  <c r="B269" i="21"/>
  <c r="B268" i="21"/>
  <c r="B266" i="21" s="1"/>
  <c r="J266" i="21"/>
  <c r="I266" i="21"/>
  <c r="H266" i="21"/>
  <c r="G266" i="21"/>
  <c r="F266" i="21"/>
  <c r="E266" i="21"/>
  <c r="D266" i="21"/>
  <c r="C266" i="21"/>
  <c r="B263" i="21"/>
  <c r="B262" i="21"/>
  <c r="B261" i="21"/>
  <c r="B260" i="21"/>
  <c r="B259" i="21"/>
  <c r="B258" i="21"/>
  <c r="B257" i="21"/>
  <c r="B256" i="21"/>
  <c r="B255" i="21"/>
  <c r="B254" i="21"/>
  <c r="B253" i="21"/>
  <c r="B252" i="21"/>
  <c r="B251" i="21"/>
  <c r="B250" i="21"/>
  <c r="B249" i="21"/>
  <c r="B248" i="21"/>
  <c r="B247" i="21"/>
  <c r="B246" i="21"/>
  <c r="B245" i="21"/>
  <c r="B244" i="21"/>
  <c r="B243" i="21"/>
  <c r="B242" i="21"/>
  <c r="B241" i="21"/>
  <c r="B240" i="21"/>
  <c r="B239" i="21"/>
  <c r="B238" i="21"/>
  <c r="B237" i="21"/>
  <c r="B236" i="21"/>
  <c r="B235" i="21"/>
  <c r="B234" i="21"/>
  <c r="B233" i="21"/>
  <c r="B230" i="21" s="1"/>
  <c r="B232" i="21"/>
  <c r="J230" i="21"/>
  <c r="I230" i="21"/>
  <c r="H230" i="21"/>
  <c r="G230" i="21"/>
  <c r="F230" i="21"/>
  <c r="E230" i="21"/>
  <c r="D230" i="21"/>
  <c r="C230" i="21"/>
  <c r="B227" i="21"/>
  <c r="B226" i="21"/>
  <c r="B225" i="21"/>
  <c r="B224" i="21"/>
  <c r="B223" i="21"/>
  <c r="B222" i="21"/>
  <c r="B221" i="21"/>
  <c r="B220" i="21"/>
  <c r="B219" i="21"/>
  <c r="B218" i="21"/>
  <c r="B217" i="21"/>
  <c r="B216" i="21"/>
  <c r="B215" i="21"/>
  <c r="B214" i="21"/>
  <c r="B213" i="21"/>
  <c r="B212" i="21"/>
  <c r="B211" i="21"/>
  <c r="B210" i="21"/>
  <c r="B209" i="21"/>
  <c r="B208" i="21"/>
  <c r="B207" i="21"/>
  <c r="B206" i="21"/>
  <c r="B205" i="21"/>
  <c r="B204" i="21"/>
  <c r="B203" i="21"/>
  <c r="B202" i="21"/>
  <c r="B201" i="21"/>
  <c r="B200" i="21"/>
  <c r="B199" i="21"/>
  <c r="B198" i="21"/>
  <c r="B197" i="21"/>
  <c r="B196" i="21"/>
  <c r="B194" i="21" s="1"/>
  <c r="J194" i="21"/>
  <c r="I194" i="21"/>
  <c r="H194" i="21"/>
  <c r="G194" i="21"/>
  <c r="F194" i="21"/>
  <c r="E194" i="21"/>
  <c r="D194" i="21"/>
  <c r="C194" i="21"/>
  <c r="B191" i="21"/>
  <c r="B190" i="21"/>
  <c r="B189" i="21"/>
  <c r="B188" i="21"/>
  <c r="B187" i="21"/>
  <c r="B186" i="21"/>
  <c r="B185" i="21"/>
  <c r="B184" i="21"/>
  <c r="B183" i="21"/>
  <c r="B182" i="21"/>
  <c r="B181" i="21"/>
  <c r="B180" i="21"/>
  <c r="B179" i="21"/>
  <c r="B178" i="21"/>
  <c r="B177" i="21"/>
  <c r="B176" i="21"/>
  <c r="B175" i="21"/>
  <c r="B174" i="21"/>
  <c r="B173" i="21"/>
  <c r="B172" i="21"/>
  <c r="B171" i="21"/>
  <c r="B170" i="21"/>
  <c r="B169" i="21"/>
  <c r="B168" i="21"/>
  <c r="B167" i="21"/>
  <c r="B166" i="21"/>
  <c r="B165" i="21"/>
  <c r="B164" i="21"/>
  <c r="B163" i="21"/>
  <c r="B162" i="21"/>
  <c r="B161" i="21"/>
  <c r="B160" i="21"/>
  <c r="J158" i="21"/>
  <c r="I158" i="21"/>
  <c r="H158" i="21"/>
  <c r="G158" i="21"/>
  <c r="F158" i="21"/>
  <c r="E158" i="21"/>
  <c r="D158" i="21"/>
  <c r="C158" i="21"/>
  <c r="B158" i="21"/>
  <c r="B155" i="21"/>
  <c r="B154" i="21"/>
  <c r="B153" i="21"/>
  <c r="B152" i="21"/>
  <c r="B151" i="21"/>
  <c r="B150" i="21"/>
  <c r="B149" i="21"/>
  <c r="B148" i="21"/>
  <c r="B147" i="21"/>
  <c r="B146" i="21"/>
  <c r="B145" i="21"/>
  <c r="B144" i="21"/>
  <c r="B143" i="21"/>
  <c r="B142" i="21"/>
  <c r="B141" i="21"/>
  <c r="B140" i="21"/>
  <c r="B139" i="21"/>
  <c r="B138" i="21"/>
  <c r="B137" i="21"/>
  <c r="B136" i="21"/>
  <c r="B135" i="21"/>
  <c r="B134" i="21"/>
  <c r="B133" i="21"/>
  <c r="B132" i="21"/>
  <c r="B131" i="21"/>
  <c r="B130" i="21"/>
  <c r="B129" i="21"/>
  <c r="B128" i="21"/>
  <c r="B127" i="21"/>
  <c r="B126" i="21"/>
  <c r="B125" i="21"/>
  <c r="B124" i="21"/>
  <c r="B122" i="21" s="1"/>
  <c r="J122" i="21"/>
  <c r="I122" i="21"/>
  <c r="H122" i="21"/>
  <c r="G122" i="21"/>
  <c r="F122" i="21"/>
  <c r="E122" i="21"/>
  <c r="D122" i="21"/>
  <c r="C122" i="21"/>
  <c r="B119" i="21"/>
  <c r="B118" i="21"/>
  <c r="B117" i="21"/>
  <c r="B116" i="21"/>
  <c r="B115" i="21"/>
  <c r="B114" i="21"/>
  <c r="B113" i="21"/>
  <c r="B112" i="21"/>
  <c r="B111" i="21"/>
  <c r="B110" i="21"/>
  <c r="B109" i="21"/>
  <c r="B108" i="21"/>
  <c r="B107" i="21"/>
  <c r="B106" i="21"/>
  <c r="B105" i="21"/>
  <c r="B104" i="21"/>
  <c r="B103" i="21"/>
  <c r="B102" i="21"/>
  <c r="B101" i="21"/>
  <c r="B100" i="21"/>
  <c r="B99" i="21"/>
  <c r="B98" i="21"/>
  <c r="B97" i="21"/>
  <c r="B96" i="21"/>
  <c r="B95" i="21"/>
  <c r="B94" i="21"/>
  <c r="B93" i="21"/>
  <c r="B92" i="21"/>
  <c r="B91" i="21"/>
  <c r="B90" i="21"/>
  <c r="B89" i="21"/>
  <c r="B88" i="21"/>
  <c r="J86" i="21"/>
  <c r="I86" i="21"/>
  <c r="H86" i="21"/>
  <c r="G86" i="21"/>
  <c r="F86" i="21"/>
  <c r="E86" i="21"/>
  <c r="D86" i="21"/>
  <c r="C86" i="21"/>
  <c r="B86" i="21"/>
  <c r="B83" i="21"/>
  <c r="B82" i="21"/>
  <c r="B81" i="21"/>
  <c r="B80" i="21"/>
  <c r="B79" i="21"/>
  <c r="B78" i="21"/>
  <c r="B77" i="21"/>
  <c r="B76" i="21"/>
  <c r="B75" i="21"/>
  <c r="B74" i="21"/>
  <c r="B73" i="21"/>
  <c r="B72" i="21"/>
  <c r="B71" i="21"/>
  <c r="B70" i="21"/>
  <c r="B69" i="21"/>
  <c r="B68" i="21"/>
  <c r="B67" i="21"/>
  <c r="B66" i="21"/>
  <c r="B65" i="21"/>
  <c r="B64" i="21"/>
  <c r="B63" i="21"/>
  <c r="B62" i="21"/>
  <c r="B61" i="21"/>
  <c r="B60" i="21"/>
  <c r="B59" i="21"/>
  <c r="B58" i="21"/>
  <c r="B57" i="21"/>
  <c r="B56" i="21"/>
  <c r="B55" i="21"/>
  <c r="B54" i="21"/>
  <c r="B53" i="21"/>
  <c r="B52" i="21"/>
  <c r="B50" i="21" s="1"/>
  <c r="J50" i="21"/>
  <c r="I50" i="21"/>
  <c r="H50" i="21"/>
  <c r="G50" i="21"/>
  <c r="F50" i="21"/>
  <c r="E50" i="21"/>
  <c r="D50" i="21"/>
  <c r="C50" i="21"/>
  <c r="B47" i="21"/>
  <c r="B46" i="21"/>
  <c r="B45" i="21"/>
  <c r="B44" i="21"/>
  <c r="B43" i="21"/>
  <c r="B42" i="21"/>
  <c r="B41" i="21"/>
  <c r="B40" i="21"/>
  <c r="B39" i="21"/>
  <c r="B38" i="21"/>
  <c r="B37" i="21"/>
  <c r="B36" i="21"/>
  <c r="B35" i="21"/>
  <c r="B34" i="21"/>
  <c r="B33" i="21"/>
  <c r="B32" i="21"/>
  <c r="B31" i="21"/>
  <c r="B30" i="21"/>
  <c r="B29" i="21"/>
  <c r="B28" i="21"/>
  <c r="B27" i="21"/>
  <c r="B26" i="21"/>
  <c r="B25" i="21"/>
  <c r="B24" i="21"/>
  <c r="B23" i="21"/>
  <c r="B22" i="21"/>
  <c r="B21" i="21"/>
  <c r="B20" i="21"/>
  <c r="B19" i="21"/>
  <c r="B18" i="21"/>
  <c r="B17" i="21"/>
  <c r="B14" i="21" s="1"/>
  <c r="B16" i="21"/>
  <c r="J14" i="21"/>
  <c r="I14" i="21"/>
  <c r="H14" i="21"/>
  <c r="G14" i="21"/>
  <c r="F14" i="21"/>
  <c r="E14" i="21"/>
  <c r="D14" i="21"/>
  <c r="C14" i="21"/>
  <c r="P802" i="20"/>
  <c r="I802" i="20"/>
  <c r="B802" i="20"/>
  <c r="P801" i="20"/>
  <c r="I801" i="20"/>
  <c r="B801" i="20"/>
  <c r="P800" i="20"/>
  <c r="I800" i="20"/>
  <c r="B800" i="20"/>
  <c r="P799" i="20"/>
  <c r="I799" i="20"/>
  <c r="B799" i="20"/>
  <c r="P798" i="20"/>
  <c r="I798" i="20"/>
  <c r="B798" i="20"/>
  <c r="P797" i="20"/>
  <c r="I797" i="20"/>
  <c r="B797" i="20"/>
  <c r="P796" i="20"/>
  <c r="I796" i="20"/>
  <c r="B796" i="20"/>
  <c r="P795" i="20"/>
  <c r="I795" i="20"/>
  <c r="B795" i="20"/>
  <c r="P794" i="20"/>
  <c r="I794" i="20"/>
  <c r="B794" i="20"/>
  <c r="P793" i="20"/>
  <c r="I793" i="20"/>
  <c r="B793" i="20"/>
  <c r="P792" i="20"/>
  <c r="I792" i="20"/>
  <c r="B792" i="20"/>
  <c r="P791" i="20"/>
  <c r="I791" i="20"/>
  <c r="B791" i="20"/>
  <c r="P790" i="20"/>
  <c r="I790" i="20"/>
  <c r="B790" i="20"/>
  <c r="P789" i="20"/>
  <c r="I789" i="20"/>
  <c r="B789" i="20"/>
  <c r="P788" i="20"/>
  <c r="I788" i="20"/>
  <c r="B788" i="20"/>
  <c r="P787" i="20"/>
  <c r="I787" i="20"/>
  <c r="B787" i="20"/>
  <c r="P786" i="20"/>
  <c r="I786" i="20"/>
  <c r="B786" i="20"/>
  <c r="P785" i="20"/>
  <c r="I785" i="20"/>
  <c r="B785" i="20"/>
  <c r="P784" i="20"/>
  <c r="I784" i="20"/>
  <c r="B784" i="20"/>
  <c r="P783" i="20"/>
  <c r="I783" i="20"/>
  <c r="B783" i="20"/>
  <c r="P782" i="20"/>
  <c r="I782" i="20"/>
  <c r="B782" i="20"/>
  <c r="P781" i="20"/>
  <c r="I781" i="20"/>
  <c r="B781" i="20"/>
  <c r="P780" i="20"/>
  <c r="I780" i="20"/>
  <c r="B780" i="20"/>
  <c r="P779" i="20"/>
  <c r="I779" i="20"/>
  <c r="B779" i="20"/>
  <c r="P778" i="20"/>
  <c r="I778" i="20"/>
  <c r="B778" i="20"/>
  <c r="P777" i="20"/>
  <c r="I777" i="20"/>
  <c r="B777" i="20"/>
  <c r="P776" i="20"/>
  <c r="I776" i="20"/>
  <c r="B776" i="20"/>
  <c r="P775" i="20"/>
  <c r="I775" i="20"/>
  <c r="B775" i="20"/>
  <c r="P774" i="20"/>
  <c r="I774" i="20"/>
  <c r="I769" i="20" s="1"/>
  <c r="B774" i="20"/>
  <c r="P773" i="20"/>
  <c r="I773" i="20"/>
  <c r="B773" i="20"/>
  <c r="P772" i="20"/>
  <c r="I772" i="20"/>
  <c r="B772" i="20"/>
  <c r="P771" i="20"/>
  <c r="P769" i="20" s="1"/>
  <c r="I771" i="20"/>
  <c r="B771" i="20"/>
  <c r="S769" i="20"/>
  <c r="R769" i="20"/>
  <c r="N769" i="20"/>
  <c r="M769" i="20"/>
  <c r="L769" i="20"/>
  <c r="K769" i="20"/>
  <c r="G769" i="20"/>
  <c r="F769" i="20"/>
  <c r="E769" i="20"/>
  <c r="D769" i="20"/>
  <c r="P766" i="20"/>
  <c r="I766" i="20"/>
  <c r="B766" i="20"/>
  <c r="P765" i="20"/>
  <c r="I765" i="20"/>
  <c r="B765" i="20"/>
  <c r="P764" i="20"/>
  <c r="I764" i="20"/>
  <c r="B764" i="20"/>
  <c r="P763" i="20"/>
  <c r="I763" i="20"/>
  <c r="B763" i="20"/>
  <c r="P762" i="20"/>
  <c r="I762" i="20"/>
  <c r="B762" i="20"/>
  <c r="P761" i="20"/>
  <c r="I761" i="20"/>
  <c r="B761" i="20"/>
  <c r="P760" i="20"/>
  <c r="I760" i="20"/>
  <c r="B760" i="20"/>
  <c r="P759" i="20"/>
  <c r="I759" i="20"/>
  <c r="B759" i="20"/>
  <c r="P758" i="20"/>
  <c r="I758" i="20"/>
  <c r="B758" i="20"/>
  <c r="P757" i="20"/>
  <c r="I757" i="20"/>
  <c r="B757" i="20"/>
  <c r="P756" i="20"/>
  <c r="I756" i="20"/>
  <c r="B756" i="20"/>
  <c r="P755" i="20"/>
  <c r="I755" i="20"/>
  <c r="B755" i="20"/>
  <c r="P754" i="20"/>
  <c r="I754" i="20"/>
  <c r="B754" i="20"/>
  <c r="P753" i="20"/>
  <c r="I753" i="20"/>
  <c r="B753" i="20"/>
  <c r="P752" i="20"/>
  <c r="I752" i="20"/>
  <c r="B752" i="20"/>
  <c r="P751" i="20"/>
  <c r="I751" i="20"/>
  <c r="B751" i="20"/>
  <c r="P750" i="20"/>
  <c r="I750" i="20"/>
  <c r="B750" i="20"/>
  <c r="P749" i="20"/>
  <c r="I749" i="20"/>
  <c r="B749" i="20"/>
  <c r="P748" i="20"/>
  <c r="I748" i="20"/>
  <c r="B748" i="20"/>
  <c r="P747" i="20"/>
  <c r="I747" i="20"/>
  <c r="B747" i="20"/>
  <c r="P746" i="20"/>
  <c r="I746" i="20"/>
  <c r="B746" i="20"/>
  <c r="P745" i="20"/>
  <c r="I745" i="20"/>
  <c r="B745" i="20"/>
  <c r="P744" i="20"/>
  <c r="I744" i="20"/>
  <c r="B744" i="20"/>
  <c r="P743" i="20"/>
  <c r="I743" i="20"/>
  <c r="B743" i="20"/>
  <c r="P742" i="20"/>
  <c r="I742" i="20"/>
  <c r="B742" i="20"/>
  <c r="P741" i="20"/>
  <c r="I741" i="20"/>
  <c r="B741" i="20"/>
  <c r="P740" i="20"/>
  <c r="I740" i="20"/>
  <c r="B740" i="20"/>
  <c r="P739" i="20"/>
  <c r="I739" i="20"/>
  <c r="B739" i="20"/>
  <c r="P738" i="20"/>
  <c r="I738" i="20"/>
  <c r="B738" i="20"/>
  <c r="P737" i="20"/>
  <c r="I737" i="20"/>
  <c r="B737" i="20"/>
  <c r="P736" i="20"/>
  <c r="I736" i="20"/>
  <c r="B736" i="20"/>
  <c r="P735" i="20"/>
  <c r="P733" i="20" s="1"/>
  <c r="I735" i="20"/>
  <c r="B735" i="20"/>
  <c r="S733" i="20"/>
  <c r="R733" i="20"/>
  <c r="N733" i="20"/>
  <c r="M733" i="20"/>
  <c r="L733" i="20"/>
  <c r="K733" i="20"/>
  <c r="G733" i="20"/>
  <c r="F733" i="20"/>
  <c r="E733" i="20"/>
  <c r="D733" i="20"/>
  <c r="P730" i="20"/>
  <c r="I730" i="20"/>
  <c r="B730" i="20"/>
  <c r="P729" i="20"/>
  <c r="I729" i="20"/>
  <c r="B729" i="20"/>
  <c r="P728" i="20"/>
  <c r="I728" i="20"/>
  <c r="B728" i="20"/>
  <c r="P727" i="20"/>
  <c r="I727" i="20"/>
  <c r="B727" i="20"/>
  <c r="P726" i="20"/>
  <c r="I726" i="20"/>
  <c r="B726" i="20"/>
  <c r="P725" i="20"/>
  <c r="I725" i="20"/>
  <c r="B725" i="20"/>
  <c r="P724" i="20"/>
  <c r="I724" i="20"/>
  <c r="B724" i="20"/>
  <c r="P723" i="20"/>
  <c r="I723" i="20"/>
  <c r="B723" i="20"/>
  <c r="P722" i="20"/>
  <c r="I722" i="20"/>
  <c r="B722" i="20"/>
  <c r="P721" i="20"/>
  <c r="I721" i="20"/>
  <c r="B721" i="20"/>
  <c r="P720" i="20"/>
  <c r="I720" i="20"/>
  <c r="B720" i="20"/>
  <c r="P719" i="20"/>
  <c r="I719" i="20"/>
  <c r="B719" i="20"/>
  <c r="P718" i="20"/>
  <c r="I718" i="20"/>
  <c r="B718" i="20"/>
  <c r="P717" i="20"/>
  <c r="I717" i="20"/>
  <c r="B717" i="20"/>
  <c r="P716" i="20"/>
  <c r="I716" i="20"/>
  <c r="B716" i="20"/>
  <c r="P715" i="20"/>
  <c r="I715" i="20"/>
  <c r="B715" i="20"/>
  <c r="P714" i="20"/>
  <c r="I714" i="20"/>
  <c r="B714" i="20"/>
  <c r="P713" i="20"/>
  <c r="I713" i="20"/>
  <c r="B713" i="20"/>
  <c r="P712" i="20"/>
  <c r="I712" i="20"/>
  <c r="B712" i="20"/>
  <c r="P711" i="20"/>
  <c r="I711" i="20"/>
  <c r="B711" i="20"/>
  <c r="P710" i="20"/>
  <c r="I710" i="20"/>
  <c r="B710" i="20"/>
  <c r="P709" i="20"/>
  <c r="I709" i="20"/>
  <c r="B709" i="20"/>
  <c r="P708" i="20"/>
  <c r="I708" i="20"/>
  <c r="B708" i="20"/>
  <c r="P707" i="20"/>
  <c r="I707" i="20"/>
  <c r="B707" i="20"/>
  <c r="P706" i="20"/>
  <c r="I706" i="20"/>
  <c r="B706" i="20"/>
  <c r="P705" i="20"/>
  <c r="I705" i="20"/>
  <c r="B705" i="20"/>
  <c r="P704" i="20"/>
  <c r="I704" i="20"/>
  <c r="B704" i="20"/>
  <c r="P703" i="20"/>
  <c r="I703" i="20"/>
  <c r="B703" i="20"/>
  <c r="P702" i="20"/>
  <c r="I702" i="20"/>
  <c r="B702" i="20"/>
  <c r="P701" i="20"/>
  <c r="I701" i="20"/>
  <c r="B701" i="20"/>
  <c r="P700" i="20"/>
  <c r="I700" i="20"/>
  <c r="I697" i="20" s="1"/>
  <c r="B700" i="20"/>
  <c r="B697" i="20" s="1"/>
  <c r="P699" i="20"/>
  <c r="P697" i="20" s="1"/>
  <c r="I699" i="20"/>
  <c r="B699" i="20"/>
  <c r="S697" i="20"/>
  <c r="R697" i="20"/>
  <c r="N697" i="20"/>
  <c r="M697" i="20"/>
  <c r="L697" i="20"/>
  <c r="K697" i="20"/>
  <c r="G697" i="20"/>
  <c r="F697" i="20"/>
  <c r="E697" i="20"/>
  <c r="D697" i="20"/>
  <c r="P694" i="20"/>
  <c r="I694" i="20"/>
  <c r="B694" i="20"/>
  <c r="P693" i="20"/>
  <c r="I693" i="20"/>
  <c r="B693" i="20"/>
  <c r="P692" i="20"/>
  <c r="I692" i="20"/>
  <c r="B692" i="20"/>
  <c r="P691" i="20"/>
  <c r="I691" i="20"/>
  <c r="B691" i="20"/>
  <c r="P690" i="20"/>
  <c r="I690" i="20"/>
  <c r="B690" i="20"/>
  <c r="P689" i="20"/>
  <c r="I689" i="20"/>
  <c r="B689" i="20"/>
  <c r="P688" i="20"/>
  <c r="I688" i="20"/>
  <c r="B688" i="20"/>
  <c r="P687" i="20"/>
  <c r="I687" i="20"/>
  <c r="B687" i="20"/>
  <c r="P686" i="20"/>
  <c r="I686" i="20"/>
  <c r="B686" i="20"/>
  <c r="P685" i="20"/>
  <c r="I685" i="20"/>
  <c r="B685" i="20"/>
  <c r="P684" i="20"/>
  <c r="I684" i="20"/>
  <c r="B684" i="20"/>
  <c r="P683" i="20"/>
  <c r="I683" i="20"/>
  <c r="B683" i="20"/>
  <c r="P682" i="20"/>
  <c r="I682" i="20"/>
  <c r="B682" i="20"/>
  <c r="P681" i="20"/>
  <c r="I681" i="20"/>
  <c r="B681" i="20"/>
  <c r="P680" i="20"/>
  <c r="I680" i="20"/>
  <c r="B680" i="20"/>
  <c r="P679" i="20"/>
  <c r="I679" i="20"/>
  <c r="B679" i="20"/>
  <c r="P678" i="20"/>
  <c r="I678" i="20"/>
  <c r="B678" i="20"/>
  <c r="P677" i="20"/>
  <c r="I677" i="20"/>
  <c r="B677" i="20"/>
  <c r="P676" i="20"/>
  <c r="I676" i="20"/>
  <c r="B676" i="20"/>
  <c r="P675" i="20"/>
  <c r="I675" i="20"/>
  <c r="B675" i="20"/>
  <c r="P674" i="20"/>
  <c r="I674" i="20"/>
  <c r="B674" i="20"/>
  <c r="P673" i="20"/>
  <c r="I673" i="20"/>
  <c r="B673" i="20"/>
  <c r="P672" i="20"/>
  <c r="I672" i="20"/>
  <c r="B672" i="20"/>
  <c r="P671" i="20"/>
  <c r="I671" i="20"/>
  <c r="B671" i="20"/>
  <c r="V670" i="20"/>
  <c r="U670" i="20"/>
  <c r="P670" i="20"/>
  <c r="I670" i="20"/>
  <c r="B670" i="20"/>
  <c r="P669" i="20"/>
  <c r="I669" i="20"/>
  <c r="B669" i="20"/>
  <c r="P668" i="20"/>
  <c r="I668" i="20"/>
  <c r="B668" i="20"/>
  <c r="P667" i="20"/>
  <c r="I667" i="20"/>
  <c r="B667" i="20"/>
  <c r="P666" i="20"/>
  <c r="I666" i="20"/>
  <c r="B666" i="20"/>
  <c r="P665" i="20"/>
  <c r="I665" i="20"/>
  <c r="B665" i="20"/>
  <c r="P664" i="20"/>
  <c r="I664" i="20"/>
  <c r="B664" i="20"/>
  <c r="P663" i="20"/>
  <c r="I663" i="20"/>
  <c r="I661" i="20" s="1"/>
  <c r="B663" i="20"/>
  <c r="S661" i="20"/>
  <c r="R661" i="20"/>
  <c r="P661" i="20"/>
  <c r="N661" i="20"/>
  <c r="M661" i="20"/>
  <c r="L661" i="20"/>
  <c r="K661" i="20"/>
  <c r="G661" i="20"/>
  <c r="F661" i="20"/>
  <c r="E661" i="20"/>
  <c r="D661" i="20"/>
  <c r="B661" i="20"/>
  <c r="P658" i="20"/>
  <c r="I658" i="20"/>
  <c r="B658" i="20"/>
  <c r="P657" i="20"/>
  <c r="I657" i="20"/>
  <c r="B657" i="20"/>
  <c r="P656" i="20"/>
  <c r="I656" i="20"/>
  <c r="B656" i="20"/>
  <c r="P655" i="20"/>
  <c r="I655" i="20"/>
  <c r="B655" i="20"/>
  <c r="P654" i="20"/>
  <c r="I654" i="20"/>
  <c r="B654" i="20"/>
  <c r="P653" i="20"/>
  <c r="I653" i="20"/>
  <c r="B653" i="20"/>
  <c r="P652" i="20"/>
  <c r="I652" i="20"/>
  <c r="B652" i="20"/>
  <c r="P651" i="20"/>
  <c r="I651" i="20"/>
  <c r="B651" i="20"/>
  <c r="P650" i="20"/>
  <c r="I650" i="20"/>
  <c r="B650" i="20"/>
  <c r="P649" i="20"/>
  <c r="I649" i="20"/>
  <c r="B649" i="20"/>
  <c r="P648" i="20"/>
  <c r="I648" i="20"/>
  <c r="B648" i="20"/>
  <c r="P647" i="20"/>
  <c r="I647" i="20"/>
  <c r="B647" i="20"/>
  <c r="P646" i="20"/>
  <c r="I646" i="20"/>
  <c r="B646" i="20"/>
  <c r="P645" i="20"/>
  <c r="I645" i="20"/>
  <c r="B645" i="20"/>
  <c r="P644" i="20"/>
  <c r="I644" i="20"/>
  <c r="B644" i="20"/>
  <c r="P643" i="20"/>
  <c r="I643" i="20"/>
  <c r="B643" i="20"/>
  <c r="P642" i="20"/>
  <c r="I642" i="20"/>
  <c r="B642" i="20"/>
  <c r="P641" i="20"/>
  <c r="I641" i="20"/>
  <c r="B641" i="20"/>
  <c r="P640" i="20"/>
  <c r="I640" i="20"/>
  <c r="B640" i="20"/>
  <c r="P639" i="20"/>
  <c r="I639" i="20"/>
  <c r="B639" i="20"/>
  <c r="P638" i="20"/>
  <c r="I638" i="20"/>
  <c r="B638" i="20"/>
  <c r="P637" i="20"/>
  <c r="I637" i="20"/>
  <c r="B637" i="20"/>
  <c r="P636" i="20"/>
  <c r="I636" i="20"/>
  <c r="B636" i="20"/>
  <c r="P635" i="20"/>
  <c r="I635" i="20"/>
  <c r="B635" i="20"/>
  <c r="V634" i="20"/>
  <c r="U634" i="20"/>
  <c r="P634" i="20"/>
  <c r="I634" i="20"/>
  <c r="B634" i="20"/>
  <c r="P633" i="20"/>
  <c r="I633" i="20"/>
  <c r="B633" i="20"/>
  <c r="P632" i="20"/>
  <c r="I632" i="20"/>
  <c r="B632" i="20"/>
  <c r="P631" i="20"/>
  <c r="I631" i="20"/>
  <c r="B631" i="20"/>
  <c r="P630" i="20"/>
  <c r="I630" i="20"/>
  <c r="I625" i="20" s="1"/>
  <c r="B630" i="20"/>
  <c r="P629" i="20"/>
  <c r="I629" i="20"/>
  <c r="B629" i="20"/>
  <c r="P628" i="20"/>
  <c r="I628" i="20"/>
  <c r="B628" i="20"/>
  <c r="P627" i="20"/>
  <c r="P625" i="20" s="1"/>
  <c r="I627" i="20"/>
  <c r="B627" i="20"/>
  <c r="S625" i="20"/>
  <c r="R625" i="20"/>
  <c r="N625" i="20"/>
  <c r="M625" i="20"/>
  <c r="L625" i="20"/>
  <c r="K625" i="20"/>
  <c r="G625" i="20"/>
  <c r="F625" i="20"/>
  <c r="E625" i="20"/>
  <c r="D625" i="20"/>
  <c r="P622" i="20"/>
  <c r="I622" i="20"/>
  <c r="B622" i="20"/>
  <c r="P621" i="20"/>
  <c r="I621" i="20"/>
  <c r="B621" i="20"/>
  <c r="P620" i="20"/>
  <c r="I620" i="20"/>
  <c r="B620" i="20"/>
  <c r="P619" i="20"/>
  <c r="I619" i="20"/>
  <c r="B619" i="20"/>
  <c r="P618" i="20"/>
  <c r="I618" i="20"/>
  <c r="B618" i="20"/>
  <c r="P617" i="20"/>
  <c r="I617" i="20"/>
  <c r="B617" i="20"/>
  <c r="P616" i="20"/>
  <c r="I616" i="20"/>
  <c r="B616" i="20"/>
  <c r="P615" i="20"/>
  <c r="I615" i="20"/>
  <c r="B615" i="20"/>
  <c r="P614" i="20"/>
  <c r="I614" i="20"/>
  <c r="B614" i="20"/>
  <c r="P613" i="20"/>
  <c r="I613" i="20"/>
  <c r="B613" i="20"/>
  <c r="P612" i="20"/>
  <c r="I612" i="20"/>
  <c r="B612" i="20"/>
  <c r="P611" i="20"/>
  <c r="I611" i="20"/>
  <c r="B611" i="20"/>
  <c r="P610" i="20"/>
  <c r="I610" i="20"/>
  <c r="B610" i="20"/>
  <c r="P609" i="20"/>
  <c r="I609" i="20"/>
  <c r="B609" i="20"/>
  <c r="P608" i="20"/>
  <c r="I608" i="20"/>
  <c r="B608" i="20"/>
  <c r="P607" i="20"/>
  <c r="I607" i="20"/>
  <c r="B607" i="20"/>
  <c r="P606" i="20"/>
  <c r="I606" i="20"/>
  <c r="B606" i="20"/>
  <c r="P605" i="20"/>
  <c r="I605" i="20"/>
  <c r="B605" i="20"/>
  <c r="P604" i="20"/>
  <c r="I604" i="20"/>
  <c r="B604" i="20"/>
  <c r="P603" i="20"/>
  <c r="I603" i="20"/>
  <c r="B603" i="20"/>
  <c r="P602" i="20"/>
  <c r="I602" i="20"/>
  <c r="B602" i="20"/>
  <c r="P601" i="20"/>
  <c r="I601" i="20"/>
  <c r="B601" i="20"/>
  <c r="P600" i="20"/>
  <c r="I600" i="20"/>
  <c r="B600" i="20"/>
  <c r="P599" i="20"/>
  <c r="I599" i="20"/>
  <c r="B599" i="20"/>
  <c r="P598" i="20"/>
  <c r="I598" i="20"/>
  <c r="B598" i="20"/>
  <c r="P597" i="20"/>
  <c r="I597" i="20"/>
  <c r="B597" i="20"/>
  <c r="P596" i="20"/>
  <c r="I596" i="20"/>
  <c r="B596" i="20"/>
  <c r="P595" i="20"/>
  <c r="I595" i="20"/>
  <c r="B595" i="20"/>
  <c r="P594" i="20"/>
  <c r="I594" i="20"/>
  <c r="B594" i="20"/>
  <c r="P593" i="20"/>
  <c r="I593" i="20"/>
  <c r="B593" i="20"/>
  <c r="P592" i="20"/>
  <c r="I592" i="20"/>
  <c r="B592" i="20"/>
  <c r="B589" i="20" s="1"/>
  <c r="P591" i="20"/>
  <c r="P589" i="20" s="1"/>
  <c r="I591" i="20"/>
  <c r="B591" i="20"/>
  <c r="S589" i="20"/>
  <c r="R589" i="20"/>
  <c r="N589" i="20"/>
  <c r="M589" i="20"/>
  <c r="L589" i="20"/>
  <c r="K589" i="20"/>
  <c r="G589" i="20"/>
  <c r="F589" i="20"/>
  <c r="E589" i="20"/>
  <c r="D589" i="20"/>
  <c r="P586" i="20"/>
  <c r="I586" i="20"/>
  <c r="B586" i="20"/>
  <c r="P585" i="20"/>
  <c r="I585" i="20"/>
  <c r="B585" i="20"/>
  <c r="P584" i="20"/>
  <c r="I584" i="20"/>
  <c r="B584" i="20"/>
  <c r="P583" i="20"/>
  <c r="I583" i="20"/>
  <c r="B583" i="20"/>
  <c r="P582" i="20"/>
  <c r="I582" i="20"/>
  <c r="B582" i="20"/>
  <c r="P581" i="20"/>
  <c r="I581" i="20"/>
  <c r="B581" i="20"/>
  <c r="P580" i="20"/>
  <c r="I580" i="20"/>
  <c r="B580" i="20"/>
  <c r="P579" i="20"/>
  <c r="I579" i="20"/>
  <c r="B579" i="20"/>
  <c r="P578" i="20"/>
  <c r="I578" i="20"/>
  <c r="B578" i="20"/>
  <c r="P577" i="20"/>
  <c r="I577" i="20"/>
  <c r="B577" i="20"/>
  <c r="P576" i="20"/>
  <c r="I576" i="20"/>
  <c r="B576" i="20"/>
  <c r="P575" i="20"/>
  <c r="I575" i="20"/>
  <c r="B575" i="20"/>
  <c r="P574" i="20"/>
  <c r="I574" i="20"/>
  <c r="B574" i="20"/>
  <c r="P573" i="20"/>
  <c r="I573" i="20"/>
  <c r="B573" i="20"/>
  <c r="P572" i="20"/>
  <c r="I572" i="20"/>
  <c r="B572" i="20"/>
  <c r="P571" i="20"/>
  <c r="I571" i="20"/>
  <c r="B571" i="20"/>
  <c r="P570" i="20"/>
  <c r="I570" i="20"/>
  <c r="B570" i="20"/>
  <c r="P569" i="20"/>
  <c r="I569" i="20"/>
  <c r="B569" i="20"/>
  <c r="P568" i="20"/>
  <c r="I568" i="20"/>
  <c r="B568" i="20"/>
  <c r="P567" i="20"/>
  <c r="I567" i="20"/>
  <c r="B567" i="20"/>
  <c r="P566" i="20"/>
  <c r="I566" i="20"/>
  <c r="B566" i="20"/>
  <c r="P565" i="20"/>
  <c r="I565" i="20"/>
  <c r="B565" i="20"/>
  <c r="P564" i="20"/>
  <c r="I564" i="20"/>
  <c r="B564" i="20"/>
  <c r="P563" i="20"/>
  <c r="I563" i="20"/>
  <c r="B563" i="20"/>
  <c r="V562" i="20"/>
  <c r="U562" i="20"/>
  <c r="P562" i="20"/>
  <c r="I562" i="20"/>
  <c r="B562" i="20"/>
  <c r="P561" i="20"/>
  <c r="I561" i="20"/>
  <c r="B561" i="20"/>
  <c r="P560" i="20"/>
  <c r="I560" i="20"/>
  <c r="B560" i="20"/>
  <c r="P559" i="20"/>
  <c r="I559" i="20"/>
  <c r="B559" i="20"/>
  <c r="P558" i="20"/>
  <c r="I558" i="20"/>
  <c r="B558" i="20"/>
  <c r="P557" i="20"/>
  <c r="P553" i="20" s="1"/>
  <c r="I557" i="20"/>
  <c r="B557" i="20"/>
  <c r="P556" i="20"/>
  <c r="I556" i="20"/>
  <c r="I553" i="20" s="1"/>
  <c r="B556" i="20"/>
  <c r="P555" i="20"/>
  <c r="I555" i="20"/>
  <c r="B555" i="20"/>
  <c r="S553" i="20"/>
  <c r="R553" i="20"/>
  <c r="N553" i="20"/>
  <c r="M553" i="20"/>
  <c r="L553" i="20"/>
  <c r="K553" i="20"/>
  <c r="G553" i="20"/>
  <c r="E553" i="20"/>
  <c r="D553" i="20"/>
  <c r="P550" i="20"/>
  <c r="I550" i="20"/>
  <c r="B550" i="20"/>
  <c r="P549" i="20"/>
  <c r="I549" i="20"/>
  <c r="B549" i="20"/>
  <c r="P548" i="20"/>
  <c r="I548" i="20"/>
  <c r="B548" i="20"/>
  <c r="P547" i="20"/>
  <c r="I547" i="20"/>
  <c r="B547" i="20"/>
  <c r="P546" i="20"/>
  <c r="I546" i="20"/>
  <c r="B546" i="20"/>
  <c r="P545" i="20"/>
  <c r="I545" i="20"/>
  <c r="B545" i="20"/>
  <c r="P544" i="20"/>
  <c r="I544" i="20"/>
  <c r="B544" i="20"/>
  <c r="P543" i="20"/>
  <c r="I543" i="20"/>
  <c r="B543" i="20"/>
  <c r="P542" i="20"/>
  <c r="I542" i="20"/>
  <c r="B542" i="20"/>
  <c r="P541" i="20"/>
  <c r="I541" i="20"/>
  <c r="B541" i="20"/>
  <c r="P540" i="20"/>
  <c r="I540" i="20"/>
  <c r="B540" i="20"/>
  <c r="P539" i="20"/>
  <c r="I539" i="20"/>
  <c r="B539" i="20"/>
  <c r="P538" i="20"/>
  <c r="I538" i="20"/>
  <c r="B538" i="20"/>
  <c r="P537" i="20"/>
  <c r="I537" i="20"/>
  <c r="B537" i="20"/>
  <c r="P536" i="20"/>
  <c r="I536" i="20"/>
  <c r="B536" i="20"/>
  <c r="P535" i="20"/>
  <c r="I535" i="20"/>
  <c r="B535" i="20"/>
  <c r="P534" i="20"/>
  <c r="I534" i="20"/>
  <c r="B534" i="20"/>
  <c r="P533" i="20"/>
  <c r="I533" i="20"/>
  <c r="B533" i="20"/>
  <c r="P532" i="20"/>
  <c r="I532" i="20"/>
  <c r="B532" i="20"/>
  <c r="P531" i="20"/>
  <c r="I531" i="20"/>
  <c r="B531" i="20"/>
  <c r="P530" i="20"/>
  <c r="I530" i="20"/>
  <c r="B530" i="20"/>
  <c r="P529" i="20"/>
  <c r="I529" i="20"/>
  <c r="B529" i="20"/>
  <c r="P528" i="20"/>
  <c r="I528" i="20"/>
  <c r="B528" i="20"/>
  <c r="P527" i="20"/>
  <c r="I527" i="20"/>
  <c r="B527" i="20"/>
  <c r="P526" i="20"/>
  <c r="I526" i="20"/>
  <c r="B526" i="20"/>
  <c r="P525" i="20"/>
  <c r="I525" i="20"/>
  <c r="B525" i="20"/>
  <c r="P524" i="20"/>
  <c r="I524" i="20"/>
  <c r="B524" i="20"/>
  <c r="P523" i="20"/>
  <c r="I523" i="20"/>
  <c r="B523" i="20"/>
  <c r="P522" i="20"/>
  <c r="I522" i="20"/>
  <c r="B522" i="20"/>
  <c r="P521" i="20"/>
  <c r="P517" i="20" s="1"/>
  <c r="I521" i="20"/>
  <c r="I517" i="20" s="1"/>
  <c r="B521" i="20"/>
  <c r="P520" i="20"/>
  <c r="I520" i="20"/>
  <c r="B520" i="20"/>
  <c r="P519" i="20"/>
  <c r="I519" i="20"/>
  <c r="B519" i="20"/>
  <c r="S517" i="20"/>
  <c r="R517" i="20"/>
  <c r="N517" i="20"/>
  <c r="M517" i="20"/>
  <c r="L517" i="20"/>
  <c r="K517" i="20"/>
  <c r="G517" i="20"/>
  <c r="F517" i="20"/>
  <c r="E517" i="20"/>
  <c r="D517" i="20"/>
  <c r="B517" i="20"/>
  <c r="P514" i="20"/>
  <c r="I514" i="20"/>
  <c r="B514" i="20"/>
  <c r="P513" i="20"/>
  <c r="I513" i="20"/>
  <c r="B513" i="20"/>
  <c r="P512" i="20"/>
  <c r="I512" i="20"/>
  <c r="B512" i="20"/>
  <c r="P511" i="20"/>
  <c r="I511" i="20"/>
  <c r="B511" i="20"/>
  <c r="P510" i="20"/>
  <c r="I510" i="20"/>
  <c r="B510" i="20"/>
  <c r="P509" i="20"/>
  <c r="I509" i="20"/>
  <c r="B509" i="20"/>
  <c r="P508" i="20"/>
  <c r="I508" i="20"/>
  <c r="B508" i="20"/>
  <c r="P507" i="20"/>
  <c r="I507" i="20"/>
  <c r="B507" i="20"/>
  <c r="P506" i="20"/>
  <c r="I506" i="20"/>
  <c r="B506" i="20"/>
  <c r="P505" i="20"/>
  <c r="I505" i="20"/>
  <c r="B505" i="20"/>
  <c r="P504" i="20"/>
  <c r="I504" i="20"/>
  <c r="B504" i="20"/>
  <c r="P503" i="20"/>
  <c r="I503" i="20"/>
  <c r="B503" i="20"/>
  <c r="P502" i="20"/>
  <c r="I502" i="20"/>
  <c r="B502" i="20"/>
  <c r="P501" i="20"/>
  <c r="I501" i="20"/>
  <c r="B501" i="20"/>
  <c r="P500" i="20"/>
  <c r="I500" i="20"/>
  <c r="B500" i="20"/>
  <c r="P499" i="20"/>
  <c r="I499" i="20"/>
  <c r="B499" i="20"/>
  <c r="P498" i="20"/>
  <c r="I498" i="20"/>
  <c r="B498" i="20"/>
  <c r="P497" i="20"/>
  <c r="I497" i="20"/>
  <c r="B497" i="20"/>
  <c r="P496" i="20"/>
  <c r="I496" i="20"/>
  <c r="B496" i="20"/>
  <c r="P495" i="20"/>
  <c r="I495" i="20"/>
  <c r="B495" i="20"/>
  <c r="P494" i="20"/>
  <c r="I494" i="20"/>
  <c r="B494" i="20"/>
  <c r="P493" i="20"/>
  <c r="I493" i="20"/>
  <c r="B493" i="20"/>
  <c r="P492" i="20"/>
  <c r="I492" i="20"/>
  <c r="B492" i="20"/>
  <c r="P491" i="20"/>
  <c r="I491" i="20"/>
  <c r="B491" i="20"/>
  <c r="P490" i="20"/>
  <c r="I490" i="20"/>
  <c r="B490" i="20"/>
  <c r="P489" i="20"/>
  <c r="I489" i="20"/>
  <c r="B489" i="20"/>
  <c r="P488" i="20"/>
  <c r="I488" i="20"/>
  <c r="B488" i="20"/>
  <c r="P487" i="20"/>
  <c r="I487" i="20"/>
  <c r="B487" i="20"/>
  <c r="P486" i="20"/>
  <c r="I486" i="20"/>
  <c r="B486" i="20"/>
  <c r="P485" i="20"/>
  <c r="P481" i="20" s="1"/>
  <c r="I485" i="20"/>
  <c r="B485" i="20"/>
  <c r="P484" i="20"/>
  <c r="I484" i="20"/>
  <c r="I481" i="20" s="1"/>
  <c r="B484" i="20"/>
  <c r="P483" i="20"/>
  <c r="I483" i="20"/>
  <c r="B483" i="20"/>
  <c r="B481" i="20" s="1"/>
  <c r="S481" i="20"/>
  <c r="R481" i="20"/>
  <c r="N481" i="20"/>
  <c r="M481" i="20"/>
  <c r="L481" i="20"/>
  <c r="K481" i="20"/>
  <c r="G481" i="20"/>
  <c r="F481" i="20"/>
  <c r="E481" i="20"/>
  <c r="D481" i="20"/>
  <c r="P478" i="20"/>
  <c r="I478" i="20"/>
  <c r="B478" i="20"/>
  <c r="P477" i="20"/>
  <c r="I477" i="20"/>
  <c r="B477" i="20"/>
  <c r="P476" i="20"/>
  <c r="I476" i="20"/>
  <c r="B476" i="20"/>
  <c r="P475" i="20"/>
  <c r="I475" i="20"/>
  <c r="B475" i="20"/>
  <c r="P474" i="20"/>
  <c r="I474" i="20"/>
  <c r="B474" i="20"/>
  <c r="P473" i="20"/>
  <c r="I473" i="20"/>
  <c r="B473" i="20"/>
  <c r="P472" i="20"/>
  <c r="I472" i="20"/>
  <c r="B472" i="20"/>
  <c r="P471" i="20"/>
  <c r="I471" i="20"/>
  <c r="B471" i="20"/>
  <c r="P470" i="20"/>
  <c r="I470" i="20"/>
  <c r="B470" i="20"/>
  <c r="P469" i="20"/>
  <c r="I469" i="20"/>
  <c r="B469" i="20"/>
  <c r="P468" i="20"/>
  <c r="I468" i="20"/>
  <c r="B468" i="20"/>
  <c r="P467" i="20"/>
  <c r="I467" i="20"/>
  <c r="B467" i="20"/>
  <c r="P466" i="20"/>
  <c r="I466" i="20"/>
  <c r="B466" i="20"/>
  <c r="P465" i="20"/>
  <c r="I465" i="20"/>
  <c r="B465" i="20"/>
  <c r="P464" i="20"/>
  <c r="I464" i="20"/>
  <c r="B464" i="20"/>
  <c r="P463" i="20"/>
  <c r="I463" i="20"/>
  <c r="B463" i="20"/>
  <c r="P462" i="20"/>
  <c r="I462" i="20"/>
  <c r="B462" i="20"/>
  <c r="P461" i="20"/>
  <c r="I461" i="20"/>
  <c r="B461" i="20"/>
  <c r="P460" i="20"/>
  <c r="I460" i="20"/>
  <c r="B460" i="20"/>
  <c r="P459" i="20"/>
  <c r="I459" i="20"/>
  <c r="B459" i="20"/>
  <c r="P458" i="20"/>
  <c r="I458" i="20"/>
  <c r="B458" i="20"/>
  <c r="P457" i="20"/>
  <c r="I457" i="20"/>
  <c r="B457" i="20"/>
  <c r="P456" i="20"/>
  <c r="I456" i="20"/>
  <c r="B456" i="20"/>
  <c r="P455" i="20"/>
  <c r="I455" i="20"/>
  <c r="B455" i="20"/>
  <c r="P454" i="20"/>
  <c r="I454" i="20"/>
  <c r="B454" i="20"/>
  <c r="P453" i="20"/>
  <c r="I453" i="20"/>
  <c r="B453" i="20"/>
  <c r="P452" i="20"/>
  <c r="I452" i="20"/>
  <c r="B452" i="20"/>
  <c r="P451" i="20"/>
  <c r="I451" i="20"/>
  <c r="B451" i="20"/>
  <c r="P450" i="20"/>
  <c r="I450" i="20"/>
  <c r="B450" i="20"/>
  <c r="P449" i="20"/>
  <c r="I449" i="20"/>
  <c r="B449" i="20"/>
  <c r="P448" i="20"/>
  <c r="I448" i="20"/>
  <c r="B448" i="20"/>
  <c r="P447" i="20"/>
  <c r="I447" i="20"/>
  <c r="I445" i="20" s="1"/>
  <c r="B447" i="20"/>
  <c r="S445" i="20"/>
  <c r="R445" i="20"/>
  <c r="P445" i="20"/>
  <c r="N445" i="20"/>
  <c r="M445" i="20"/>
  <c r="L445" i="20"/>
  <c r="K445" i="20"/>
  <c r="G445" i="20"/>
  <c r="F445" i="20"/>
  <c r="E445" i="20"/>
  <c r="D445" i="20"/>
  <c r="B445" i="20"/>
  <c r="P442" i="20"/>
  <c r="I442" i="20"/>
  <c r="B442" i="20"/>
  <c r="P441" i="20"/>
  <c r="I441" i="20"/>
  <c r="B441" i="20"/>
  <c r="P440" i="20"/>
  <c r="I440" i="20"/>
  <c r="B440" i="20"/>
  <c r="P439" i="20"/>
  <c r="I439" i="20"/>
  <c r="B439" i="20"/>
  <c r="P438" i="20"/>
  <c r="I438" i="20"/>
  <c r="B438" i="20"/>
  <c r="P437" i="20"/>
  <c r="I437" i="20"/>
  <c r="B437" i="20"/>
  <c r="P436" i="20"/>
  <c r="I436" i="20"/>
  <c r="B436" i="20"/>
  <c r="P435" i="20"/>
  <c r="I435" i="20"/>
  <c r="B435" i="20"/>
  <c r="P434" i="20"/>
  <c r="I434" i="20"/>
  <c r="B434" i="20"/>
  <c r="P433" i="20"/>
  <c r="I433" i="20"/>
  <c r="B433" i="20"/>
  <c r="P432" i="20"/>
  <c r="I432" i="20"/>
  <c r="B432" i="20"/>
  <c r="P431" i="20"/>
  <c r="I431" i="20"/>
  <c r="B431" i="20"/>
  <c r="P430" i="20"/>
  <c r="I430" i="20"/>
  <c r="B430" i="20"/>
  <c r="P429" i="20"/>
  <c r="I429" i="20"/>
  <c r="B429" i="20"/>
  <c r="P428" i="20"/>
  <c r="I428" i="20"/>
  <c r="B428" i="20"/>
  <c r="P427" i="20"/>
  <c r="I427" i="20"/>
  <c r="B427" i="20"/>
  <c r="P426" i="20"/>
  <c r="I426" i="20"/>
  <c r="B426" i="20"/>
  <c r="P425" i="20"/>
  <c r="I425" i="20"/>
  <c r="B425" i="20"/>
  <c r="P424" i="20"/>
  <c r="I424" i="20"/>
  <c r="B424" i="20"/>
  <c r="P423" i="20"/>
  <c r="I423" i="20"/>
  <c r="B423" i="20"/>
  <c r="P422" i="20"/>
  <c r="I422" i="20"/>
  <c r="B422" i="20"/>
  <c r="P421" i="20"/>
  <c r="I421" i="20"/>
  <c r="B421" i="20"/>
  <c r="P420" i="20"/>
  <c r="I420" i="20"/>
  <c r="B420" i="20"/>
  <c r="P419" i="20"/>
  <c r="I419" i="20"/>
  <c r="B419" i="20"/>
  <c r="P418" i="20"/>
  <c r="I418" i="20"/>
  <c r="B418" i="20"/>
  <c r="P417" i="20"/>
  <c r="I417" i="20"/>
  <c r="B417" i="20"/>
  <c r="P416" i="20"/>
  <c r="I416" i="20"/>
  <c r="B416" i="20"/>
  <c r="P415" i="20"/>
  <c r="I415" i="20"/>
  <c r="B415" i="20"/>
  <c r="P414" i="20"/>
  <c r="I414" i="20"/>
  <c r="B414" i="20"/>
  <c r="P413" i="20"/>
  <c r="I413" i="20"/>
  <c r="B413" i="20"/>
  <c r="P412" i="20"/>
  <c r="I412" i="20"/>
  <c r="I409" i="20" s="1"/>
  <c r="B412" i="20"/>
  <c r="P411" i="20"/>
  <c r="I411" i="20"/>
  <c r="B411" i="20"/>
  <c r="B409" i="20" s="1"/>
  <c r="S409" i="20"/>
  <c r="R409" i="20"/>
  <c r="N409" i="20"/>
  <c r="M409" i="20"/>
  <c r="L409" i="20"/>
  <c r="K409" i="20"/>
  <c r="G409" i="20"/>
  <c r="F409" i="20"/>
  <c r="E409" i="20"/>
  <c r="D409" i="20"/>
  <c r="P406" i="20"/>
  <c r="I406" i="20"/>
  <c r="B406" i="20"/>
  <c r="P405" i="20"/>
  <c r="I405" i="20"/>
  <c r="B405" i="20"/>
  <c r="P404" i="20"/>
  <c r="I404" i="20"/>
  <c r="B404" i="20"/>
  <c r="P403" i="20"/>
  <c r="I403" i="20"/>
  <c r="B403" i="20"/>
  <c r="P402" i="20"/>
  <c r="I402" i="20"/>
  <c r="B402" i="20"/>
  <c r="P401" i="20"/>
  <c r="I401" i="20"/>
  <c r="B401" i="20"/>
  <c r="P400" i="20"/>
  <c r="I400" i="20"/>
  <c r="B400" i="20"/>
  <c r="P399" i="20"/>
  <c r="I399" i="20"/>
  <c r="B399" i="20"/>
  <c r="P398" i="20"/>
  <c r="I398" i="20"/>
  <c r="B398" i="20"/>
  <c r="P397" i="20"/>
  <c r="I397" i="20"/>
  <c r="B397" i="20"/>
  <c r="P396" i="20"/>
  <c r="I396" i="20"/>
  <c r="B396" i="20"/>
  <c r="P395" i="20"/>
  <c r="I395" i="20"/>
  <c r="B395" i="20"/>
  <c r="P394" i="20"/>
  <c r="I394" i="20"/>
  <c r="B394" i="20"/>
  <c r="P393" i="20"/>
  <c r="I393" i="20"/>
  <c r="B393" i="20"/>
  <c r="P392" i="20"/>
  <c r="I392" i="20"/>
  <c r="B392" i="20"/>
  <c r="P391" i="20"/>
  <c r="I391" i="20"/>
  <c r="B391" i="20"/>
  <c r="P390" i="20"/>
  <c r="I390" i="20"/>
  <c r="B390" i="20"/>
  <c r="P389" i="20"/>
  <c r="I389" i="20"/>
  <c r="B389" i="20"/>
  <c r="P388" i="20"/>
  <c r="I388" i="20"/>
  <c r="B388" i="20"/>
  <c r="P387" i="20"/>
  <c r="I387" i="20"/>
  <c r="B387" i="20"/>
  <c r="P386" i="20"/>
  <c r="I386" i="20"/>
  <c r="B386" i="20"/>
  <c r="P385" i="20"/>
  <c r="I385" i="20"/>
  <c r="B385" i="20"/>
  <c r="P384" i="20"/>
  <c r="I384" i="20"/>
  <c r="B384" i="20"/>
  <c r="P383" i="20"/>
  <c r="I383" i="20"/>
  <c r="B383" i="20"/>
  <c r="P382" i="20"/>
  <c r="I382" i="20"/>
  <c r="B382" i="20"/>
  <c r="P381" i="20"/>
  <c r="I381" i="20"/>
  <c r="B381" i="20"/>
  <c r="P380" i="20"/>
  <c r="I380" i="20"/>
  <c r="B380" i="20"/>
  <c r="P379" i="20"/>
  <c r="I379" i="20"/>
  <c r="B379" i="20"/>
  <c r="P378" i="20"/>
  <c r="I378" i="20"/>
  <c r="B378" i="20"/>
  <c r="P377" i="20"/>
  <c r="P373" i="20" s="1"/>
  <c r="I377" i="20"/>
  <c r="B377" i="20"/>
  <c r="P376" i="20"/>
  <c r="I376" i="20"/>
  <c r="B376" i="20"/>
  <c r="P375" i="20"/>
  <c r="I375" i="20"/>
  <c r="B375" i="20"/>
  <c r="B373" i="20" s="1"/>
  <c r="S373" i="20"/>
  <c r="R373" i="20"/>
  <c r="N373" i="20"/>
  <c r="M373" i="20"/>
  <c r="L373" i="20"/>
  <c r="K373" i="20"/>
  <c r="I373" i="20"/>
  <c r="G373" i="20"/>
  <c r="F373" i="20"/>
  <c r="E373" i="20"/>
  <c r="D373" i="20"/>
  <c r="P370" i="20"/>
  <c r="I370" i="20"/>
  <c r="B370" i="20"/>
  <c r="P369" i="20"/>
  <c r="I369" i="20"/>
  <c r="B369" i="20"/>
  <c r="P368" i="20"/>
  <c r="I368" i="20"/>
  <c r="B368" i="20"/>
  <c r="P367" i="20"/>
  <c r="I367" i="20"/>
  <c r="B367" i="20"/>
  <c r="P366" i="20"/>
  <c r="I366" i="20"/>
  <c r="B366" i="20"/>
  <c r="P365" i="20"/>
  <c r="I365" i="20"/>
  <c r="B365" i="20"/>
  <c r="P364" i="20"/>
  <c r="I364" i="20"/>
  <c r="B364" i="20"/>
  <c r="P363" i="20"/>
  <c r="I363" i="20"/>
  <c r="B363" i="20"/>
  <c r="P362" i="20"/>
  <c r="I362" i="20"/>
  <c r="B362" i="20"/>
  <c r="P361" i="20"/>
  <c r="I361" i="20"/>
  <c r="B361" i="20"/>
  <c r="P360" i="20"/>
  <c r="I360" i="20"/>
  <c r="B360" i="20"/>
  <c r="P359" i="20"/>
  <c r="I359" i="20"/>
  <c r="B359" i="20"/>
  <c r="P358" i="20"/>
  <c r="I358" i="20"/>
  <c r="B358" i="20"/>
  <c r="P357" i="20"/>
  <c r="I357" i="20"/>
  <c r="B357" i="20"/>
  <c r="P356" i="20"/>
  <c r="I356" i="20"/>
  <c r="B356" i="20"/>
  <c r="P355" i="20"/>
  <c r="I355" i="20"/>
  <c r="B355" i="20"/>
  <c r="P354" i="20"/>
  <c r="I354" i="20"/>
  <c r="B354" i="20"/>
  <c r="P353" i="20"/>
  <c r="I353" i="20"/>
  <c r="B353" i="20"/>
  <c r="P352" i="20"/>
  <c r="I352" i="20"/>
  <c r="B352" i="20"/>
  <c r="P351" i="20"/>
  <c r="I351" i="20"/>
  <c r="B351" i="20"/>
  <c r="P350" i="20"/>
  <c r="I350" i="20"/>
  <c r="B350" i="20"/>
  <c r="P349" i="20"/>
  <c r="I349" i="20"/>
  <c r="B349" i="20"/>
  <c r="P348" i="20"/>
  <c r="I348" i="20"/>
  <c r="B348" i="20"/>
  <c r="P347" i="20"/>
  <c r="I347" i="20"/>
  <c r="B347" i="20"/>
  <c r="P346" i="20"/>
  <c r="I346" i="20"/>
  <c r="B346" i="20"/>
  <c r="P345" i="20"/>
  <c r="I345" i="20"/>
  <c r="B345" i="20"/>
  <c r="P344" i="20"/>
  <c r="I344" i="20"/>
  <c r="B344" i="20"/>
  <c r="P343" i="20"/>
  <c r="I343" i="20"/>
  <c r="B343" i="20"/>
  <c r="P342" i="20"/>
  <c r="I342" i="20"/>
  <c r="B342" i="20"/>
  <c r="P341" i="20"/>
  <c r="I341" i="20"/>
  <c r="B341" i="20"/>
  <c r="P340" i="20"/>
  <c r="I340" i="20"/>
  <c r="B340" i="20"/>
  <c r="P339" i="20"/>
  <c r="I339" i="20"/>
  <c r="I337" i="20" s="1"/>
  <c r="B339" i="20"/>
  <c r="S337" i="20"/>
  <c r="R337" i="20"/>
  <c r="P337" i="20"/>
  <c r="N337" i="20"/>
  <c r="M337" i="20"/>
  <c r="L337" i="20"/>
  <c r="K337" i="20"/>
  <c r="G337" i="20"/>
  <c r="F337" i="20"/>
  <c r="E337" i="20"/>
  <c r="D337" i="20"/>
  <c r="P334" i="20"/>
  <c r="I334" i="20"/>
  <c r="B334" i="20"/>
  <c r="P333" i="20"/>
  <c r="I333" i="20"/>
  <c r="B333" i="20"/>
  <c r="P332" i="20"/>
  <c r="I332" i="20"/>
  <c r="B332" i="20"/>
  <c r="P331" i="20"/>
  <c r="I331" i="20"/>
  <c r="B331" i="20"/>
  <c r="P330" i="20"/>
  <c r="I330" i="20"/>
  <c r="B330" i="20"/>
  <c r="P329" i="20"/>
  <c r="I329" i="20"/>
  <c r="B329" i="20"/>
  <c r="P328" i="20"/>
  <c r="I328" i="20"/>
  <c r="B328" i="20"/>
  <c r="P327" i="20"/>
  <c r="I327" i="20"/>
  <c r="B327" i="20"/>
  <c r="P326" i="20"/>
  <c r="I326" i="20"/>
  <c r="B326" i="20"/>
  <c r="P325" i="20"/>
  <c r="I325" i="20"/>
  <c r="B325" i="20"/>
  <c r="P324" i="20"/>
  <c r="I324" i="20"/>
  <c r="B324" i="20"/>
  <c r="P323" i="20"/>
  <c r="I323" i="20"/>
  <c r="B323" i="20"/>
  <c r="P322" i="20"/>
  <c r="I322" i="20"/>
  <c r="B322" i="20"/>
  <c r="P321" i="20"/>
  <c r="I321" i="20"/>
  <c r="B321" i="20"/>
  <c r="P320" i="20"/>
  <c r="I320" i="20"/>
  <c r="B320" i="20"/>
  <c r="P319" i="20"/>
  <c r="I319" i="20"/>
  <c r="B319" i="20"/>
  <c r="P318" i="20"/>
  <c r="I318" i="20"/>
  <c r="B318" i="20"/>
  <c r="P317" i="20"/>
  <c r="I317" i="20"/>
  <c r="B317" i="20"/>
  <c r="P316" i="20"/>
  <c r="I316" i="20"/>
  <c r="B316" i="20"/>
  <c r="P315" i="20"/>
  <c r="I315" i="20"/>
  <c r="B315" i="20"/>
  <c r="P314" i="20"/>
  <c r="I314" i="20"/>
  <c r="B314" i="20"/>
  <c r="P313" i="20"/>
  <c r="I313" i="20"/>
  <c r="B313" i="20"/>
  <c r="P312" i="20"/>
  <c r="I312" i="20"/>
  <c r="B312" i="20"/>
  <c r="I311" i="20"/>
  <c r="B311" i="20"/>
  <c r="P310" i="20"/>
  <c r="I310" i="20"/>
  <c r="B310" i="20"/>
  <c r="P309" i="20"/>
  <c r="I309" i="20"/>
  <c r="B309" i="20"/>
  <c r="P308" i="20"/>
  <c r="I308" i="20"/>
  <c r="B308" i="20"/>
  <c r="P307" i="20"/>
  <c r="I307" i="20"/>
  <c r="B307" i="20"/>
  <c r="P306" i="20"/>
  <c r="I306" i="20"/>
  <c r="B306" i="20"/>
  <c r="P305" i="20"/>
  <c r="I305" i="20"/>
  <c r="B305" i="20"/>
  <c r="P304" i="20"/>
  <c r="I304" i="20"/>
  <c r="B304" i="20"/>
  <c r="P303" i="20"/>
  <c r="I303" i="20"/>
  <c r="B303" i="20"/>
  <c r="B301" i="20" s="1"/>
  <c r="T301" i="20"/>
  <c r="S301" i="20"/>
  <c r="R301" i="20"/>
  <c r="P301" i="20"/>
  <c r="N301" i="20"/>
  <c r="M301" i="20"/>
  <c r="L301" i="20"/>
  <c r="K301" i="20"/>
  <c r="G301" i="20"/>
  <c r="F301" i="20"/>
  <c r="E301" i="20"/>
  <c r="D301" i="20"/>
  <c r="P298" i="20"/>
  <c r="I298" i="20"/>
  <c r="B298" i="20"/>
  <c r="P297" i="20"/>
  <c r="I297" i="20"/>
  <c r="B297" i="20"/>
  <c r="P296" i="20"/>
  <c r="I296" i="20"/>
  <c r="B296" i="20"/>
  <c r="P295" i="20"/>
  <c r="I295" i="20"/>
  <c r="B295" i="20"/>
  <c r="P294" i="20"/>
  <c r="I294" i="20"/>
  <c r="B294" i="20"/>
  <c r="P293" i="20"/>
  <c r="I293" i="20"/>
  <c r="B293" i="20"/>
  <c r="P292" i="20"/>
  <c r="I292" i="20"/>
  <c r="B292" i="20"/>
  <c r="P291" i="20"/>
  <c r="I291" i="20"/>
  <c r="B291" i="20"/>
  <c r="P290" i="20"/>
  <c r="I290" i="20"/>
  <c r="B290" i="20"/>
  <c r="P289" i="20"/>
  <c r="I289" i="20"/>
  <c r="B289" i="20"/>
  <c r="P288" i="20"/>
  <c r="I288" i="20"/>
  <c r="B288" i="20"/>
  <c r="P287" i="20"/>
  <c r="I287" i="20"/>
  <c r="B287" i="20"/>
  <c r="P286" i="20"/>
  <c r="I286" i="20"/>
  <c r="B286" i="20"/>
  <c r="P285" i="20"/>
  <c r="I285" i="20"/>
  <c r="B285" i="20"/>
  <c r="P284" i="20"/>
  <c r="I284" i="20"/>
  <c r="B284" i="20"/>
  <c r="P283" i="20"/>
  <c r="I283" i="20"/>
  <c r="B283" i="20"/>
  <c r="P282" i="20"/>
  <c r="I282" i="20"/>
  <c r="B282" i="20"/>
  <c r="P281" i="20"/>
  <c r="I281" i="20"/>
  <c r="B281" i="20"/>
  <c r="P280" i="20"/>
  <c r="I280" i="20"/>
  <c r="B280" i="20"/>
  <c r="P279" i="20"/>
  <c r="I279" i="20"/>
  <c r="B279" i="20"/>
  <c r="P278" i="20"/>
  <c r="I278" i="20"/>
  <c r="B278" i="20"/>
  <c r="P277" i="20"/>
  <c r="I277" i="20"/>
  <c r="B277" i="20"/>
  <c r="P276" i="20"/>
  <c r="I276" i="20"/>
  <c r="B276" i="20"/>
  <c r="P275" i="20"/>
  <c r="I275" i="20"/>
  <c r="B275" i="20"/>
  <c r="P274" i="20"/>
  <c r="I274" i="20"/>
  <c r="B274" i="20"/>
  <c r="P273" i="20"/>
  <c r="I273" i="20"/>
  <c r="B273" i="20"/>
  <c r="P272" i="20"/>
  <c r="I272" i="20"/>
  <c r="B272" i="20"/>
  <c r="P271" i="20"/>
  <c r="I271" i="20"/>
  <c r="B271" i="20"/>
  <c r="P270" i="20"/>
  <c r="I270" i="20"/>
  <c r="B270" i="20"/>
  <c r="P269" i="20"/>
  <c r="I269" i="20"/>
  <c r="B269" i="20"/>
  <c r="P268" i="20"/>
  <c r="I268" i="20"/>
  <c r="B268" i="20"/>
  <c r="B265" i="20" s="1"/>
  <c r="P267" i="20"/>
  <c r="P265" i="20" s="1"/>
  <c r="I267" i="20"/>
  <c r="B267" i="20"/>
  <c r="S265" i="20"/>
  <c r="R265" i="20"/>
  <c r="N265" i="20"/>
  <c r="M265" i="20"/>
  <c r="L265" i="20"/>
  <c r="K265" i="20"/>
  <c r="I265" i="20"/>
  <c r="G265" i="20"/>
  <c r="F265" i="20"/>
  <c r="E265" i="20"/>
  <c r="D265" i="20"/>
  <c r="P262" i="20"/>
  <c r="I262" i="20"/>
  <c r="B262" i="20"/>
  <c r="P261" i="20"/>
  <c r="I261" i="20"/>
  <c r="B261" i="20"/>
  <c r="P260" i="20"/>
  <c r="I260" i="20"/>
  <c r="B260" i="20"/>
  <c r="P259" i="20"/>
  <c r="I259" i="20"/>
  <c r="B259" i="20"/>
  <c r="P258" i="20"/>
  <c r="I258" i="20"/>
  <c r="B258" i="20"/>
  <c r="P257" i="20"/>
  <c r="I257" i="20"/>
  <c r="B257" i="20"/>
  <c r="P256" i="20"/>
  <c r="I256" i="20"/>
  <c r="B256" i="20"/>
  <c r="P255" i="20"/>
  <c r="I255" i="20"/>
  <c r="B255" i="20"/>
  <c r="P254" i="20"/>
  <c r="I254" i="20"/>
  <c r="B254" i="20"/>
  <c r="P253" i="20"/>
  <c r="I253" i="20"/>
  <c r="B253" i="20"/>
  <c r="P252" i="20"/>
  <c r="I252" i="20"/>
  <c r="B252" i="20"/>
  <c r="P251" i="20"/>
  <c r="I251" i="20"/>
  <c r="B251" i="20"/>
  <c r="P250" i="20"/>
  <c r="I250" i="20"/>
  <c r="B250" i="20"/>
  <c r="P249" i="20"/>
  <c r="I249" i="20"/>
  <c r="B249" i="20"/>
  <c r="P248" i="20"/>
  <c r="I248" i="20"/>
  <c r="B248" i="20"/>
  <c r="P247" i="20"/>
  <c r="I247" i="20"/>
  <c r="B247" i="20"/>
  <c r="P246" i="20"/>
  <c r="I246" i="20"/>
  <c r="B246" i="20"/>
  <c r="P245" i="20"/>
  <c r="I245" i="20"/>
  <c r="B245" i="20"/>
  <c r="P244" i="20"/>
  <c r="I244" i="20"/>
  <c r="B244" i="20"/>
  <c r="P243" i="20"/>
  <c r="I243" i="20"/>
  <c r="B243" i="20"/>
  <c r="P242" i="20"/>
  <c r="I242" i="20"/>
  <c r="B242" i="20"/>
  <c r="P241" i="20"/>
  <c r="I241" i="20"/>
  <c r="B241" i="20"/>
  <c r="P240" i="20"/>
  <c r="I240" i="20"/>
  <c r="B240" i="20"/>
  <c r="P239" i="20"/>
  <c r="I239" i="20"/>
  <c r="B239" i="20"/>
  <c r="P238" i="20"/>
  <c r="I238" i="20"/>
  <c r="B238" i="20"/>
  <c r="P237" i="20"/>
  <c r="I237" i="20"/>
  <c r="B237" i="20"/>
  <c r="P236" i="20"/>
  <c r="I236" i="20"/>
  <c r="B236" i="20"/>
  <c r="P235" i="20"/>
  <c r="I235" i="20"/>
  <c r="B235" i="20"/>
  <c r="P234" i="20"/>
  <c r="I234" i="20"/>
  <c r="B234" i="20"/>
  <c r="B229" i="20" s="1"/>
  <c r="P233" i="20"/>
  <c r="I233" i="20"/>
  <c r="B233" i="20"/>
  <c r="P232" i="20"/>
  <c r="I232" i="20"/>
  <c r="B232" i="20"/>
  <c r="P231" i="20"/>
  <c r="I231" i="20"/>
  <c r="I229" i="20" s="1"/>
  <c r="B231" i="20"/>
  <c r="S229" i="20"/>
  <c r="R229" i="20"/>
  <c r="P229" i="20"/>
  <c r="N229" i="20"/>
  <c r="M229" i="20"/>
  <c r="L229" i="20"/>
  <c r="K229" i="20"/>
  <c r="G229" i="20"/>
  <c r="F229" i="20"/>
  <c r="E229" i="20"/>
  <c r="D229" i="20"/>
  <c r="P226" i="20"/>
  <c r="I226" i="20"/>
  <c r="B226" i="20"/>
  <c r="P225" i="20"/>
  <c r="I225" i="20"/>
  <c r="B225" i="20"/>
  <c r="P224" i="20"/>
  <c r="I224" i="20"/>
  <c r="B224" i="20"/>
  <c r="P223" i="20"/>
  <c r="I223" i="20"/>
  <c r="B223" i="20"/>
  <c r="P222" i="20"/>
  <c r="I222" i="20"/>
  <c r="B222" i="20"/>
  <c r="P221" i="20"/>
  <c r="I221" i="20"/>
  <c r="B221" i="20"/>
  <c r="P220" i="20"/>
  <c r="I220" i="20"/>
  <c r="B220" i="20"/>
  <c r="P219" i="20"/>
  <c r="I219" i="20"/>
  <c r="B219" i="20"/>
  <c r="P218" i="20"/>
  <c r="I218" i="20"/>
  <c r="B218" i="20"/>
  <c r="P217" i="20"/>
  <c r="I217" i="20"/>
  <c r="B217" i="20"/>
  <c r="P216" i="20"/>
  <c r="I216" i="20"/>
  <c r="B216" i="20"/>
  <c r="P215" i="20"/>
  <c r="I215" i="20"/>
  <c r="B215" i="20"/>
  <c r="P214" i="20"/>
  <c r="I214" i="20"/>
  <c r="B214" i="20"/>
  <c r="P213" i="20"/>
  <c r="I213" i="20"/>
  <c r="B213" i="20"/>
  <c r="P212" i="20"/>
  <c r="I212" i="20"/>
  <c r="B212" i="20"/>
  <c r="P211" i="20"/>
  <c r="I211" i="20"/>
  <c r="B211" i="20"/>
  <c r="P210" i="20"/>
  <c r="I210" i="20"/>
  <c r="B210" i="20"/>
  <c r="P209" i="20"/>
  <c r="I209" i="20"/>
  <c r="B209" i="20"/>
  <c r="P208" i="20"/>
  <c r="I208" i="20"/>
  <c r="B208" i="20"/>
  <c r="P207" i="20"/>
  <c r="I207" i="20"/>
  <c r="B207" i="20"/>
  <c r="P206" i="20"/>
  <c r="I206" i="20"/>
  <c r="B206" i="20"/>
  <c r="P205" i="20"/>
  <c r="I205" i="20"/>
  <c r="B205" i="20"/>
  <c r="P204" i="20"/>
  <c r="I204" i="20"/>
  <c r="B204" i="20"/>
  <c r="P203" i="20"/>
  <c r="I203" i="20"/>
  <c r="B203" i="20"/>
  <c r="P202" i="20"/>
  <c r="I202" i="20"/>
  <c r="B202" i="20"/>
  <c r="P201" i="20"/>
  <c r="I201" i="20"/>
  <c r="B201" i="20"/>
  <c r="P200" i="20"/>
  <c r="I200" i="20"/>
  <c r="B200" i="20"/>
  <c r="P199" i="20"/>
  <c r="I199" i="20"/>
  <c r="B199" i="20"/>
  <c r="P198" i="20"/>
  <c r="I198" i="20"/>
  <c r="I193" i="20" s="1"/>
  <c r="B198" i="20"/>
  <c r="P197" i="20"/>
  <c r="I197" i="20"/>
  <c r="B197" i="20"/>
  <c r="P196" i="20"/>
  <c r="I196" i="20"/>
  <c r="B196" i="20"/>
  <c r="P195" i="20"/>
  <c r="P193" i="20" s="1"/>
  <c r="I195" i="20"/>
  <c r="B195" i="20"/>
  <c r="S193" i="20"/>
  <c r="R193" i="20"/>
  <c r="N193" i="20"/>
  <c r="M193" i="20"/>
  <c r="L193" i="20"/>
  <c r="K193" i="20"/>
  <c r="G193" i="20"/>
  <c r="F193" i="20"/>
  <c r="E193" i="20"/>
  <c r="D193" i="20"/>
  <c r="P190" i="20"/>
  <c r="I190" i="20"/>
  <c r="B190" i="20"/>
  <c r="P189" i="20"/>
  <c r="I189" i="20"/>
  <c r="B189" i="20"/>
  <c r="P188" i="20"/>
  <c r="I188" i="20"/>
  <c r="B188" i="20"/>
  <c r="P187" i="20"/>
  <c r="I187" i="20"/>
  <c r="B187" i="20"/>
  <c r="P186" i="20"/>
  <c r="I186" i="20"/>
  <c r="B186" i="20"/>
  <c r="P185" i="20"/>
  <c r="I185" i="20"/>
  <c r="B185" i="20"/>
  <c r="P184" i="20"/>
  <c r="I184" i="20"/>
  <c r="B184" i="20"/>
  <c r="P183" i="20"/>
  <c r="I183" i="20"/>
  <c r="B183" i="20"/>
  <c r="P182" i="20"/>
  <c r="I182" i="20"/>
  <c r="B182" i="20"/>
  <c r="P181" i="20"/>
  <c r="I181" i="20"/>
  <c r="B181" i="20"/>
  <c r="P180" i="20"/>
  <c r="I180" i="20"/>
  <c r="B180" i="20"/>
  <c r="P179" i="20"/>
  <c r="I179" i="20"/>
  <c r="B179" i="20"/>
  <c r="P178" i="20"/>
  <c r="I178" i="20"/>
  <c r="B178" i="20"/>
  <c r="P177" i="20"/>
  <c r="I177" i="20"/>
  <c r="B177" i="20"/>
  <c r="P176" i="20"/>
  <c r="I176" i="20"/>
  <c r="B176" i="20"/>
  <c r="P175" i="20"/>
  <c r="I175" i="20"/>
  <c r="B175" i="20"/>
  <c r="P174" i="20"/>
  <c r="I174" i="20"/>
  <c r="B174" i="20"/>
  <c r="P173" i="20"/>
  <c r="I173" i="20"/>
  <c r="B173" i="20"/>
  <c r="P172" i="20"/>
  <c r="I172" i="20"/>
  <c r="B172" i="20"/>
  <c r="P171" i="20"/>
  <c r="I171" i="20"/>
  <c r="B171" i="20"/>
  <c r="P170" i="20"/>
  <c r="I170" i="20"/>
  <c r="B170" i="20"/>
  <c r="P169" i="20"/>
  <c r="I169" i="20"/>
  <c r="B169" i="20"/>
  <c r="P168" i="20"/>
  <c r="I168" i="20"/>
  <c r="B168" i="20"/>
  <c r="P167" i="20"/>
  <c r="I167" i="20"/>
  <c r="B167" i="20"/>
  <c r="P166" i="20"/>
  <c r="I166" i="20"/>
  <c r="B166" i="20"/>
  <c r="P165" i="20"/>
  <c r="I165" i="20"/>
  <c r="B165" i="20"/>
  <c r="P164" i="20"/>
  <c r="I164" i="20"/>
  <c r="B164" i="20"/>
  <c r="P163" i="20"/>
  <c r="I163" i="20"/>
  <c r="B163" i="20"/>
  <c r="P162" i="20"/>
  <c r="I162" i="20"/>
  <c r="B162" i="20"/>
  <c r="P161" i="20"/>
  <c r="I161" i="20"/>
  <c r="B161" i="20"/>
  <c r="P160" i="20"/>
  <c r="I160" i="20"/>
  <c r="B160" i="20"/>
  <c r="B157" i="20" s="1"/>
  <c r="P159" i="20"/>
  <c r="P157" i="20" s="1"/>
  <c r="I159" i="20"/>
  <c r="B159" i="20"/>
  <c r="S157" i="20"/>
  <c r="R157" i="20"/>
  <c r="N157" i="20"/>
  <c r="M157" i="20"/>
  <c r="L157" i="20"/>
  <c r="K157" i="20"/>
  <c r="G157" i="20"/>
  <c r="F157" i="20"/>
  <c r="E157" i="20"/>
  <c r="D157" i="20"/>
  <c r="P154" i="20"/>
  <c r="I154" i="20"/>
  <c r="B154" i="20"/>
  <c r="P153" i="20"/>
  <c r="I153" i="20"/>
  <c r="B153" i="20"/>
  <c r="P152" i="20"/>
  <c r="I152" i="20"/>
  <c r="B152" i="20"/>
  <c r="P151" i="20"/>
  <c r="I151" i="20"/>
  <c r="B151" i="20"/>
  <c r="P150" i="20"/>
  <c r="I150" i="20"/>
  <c r="B150" i="20"/>
  <c r="P149" i="20"/>
  <c r="I149" i="20"/>
  <c r="B149" i="20"/>
  <c r="P148" i="20"/>
  <c r="I148" i="20"/>
  <c r="B148" i="20"/>
  <c r="P147" i="20"/>
  <c r="I147" i="20"/>
  <c r="B147" i="20"/>
  <c r="P146" i="20"/>
  <c r="I146" i="20"/>
  <c r="B146" i="20"/>
  <c r="P145" i="20"/>
  <c r="I145" i="20"/>
  <c r="B145" i="20"/>
  <c r="P144" i="20"/>
  <c r="I144" i="20"/>
  <c r="B144" i="20"/>
  <c r="P143" i="20"/>
  <c r="I143" i="20"/>
  <c r="B143" i="20"/>
  <c r="P142" i="20"/>
  <c r="I142" i="20"/>
  <c r="B142" i="20"/>
  <c r="P141" i="20"/>
  <c r="I141" i="20"/>
  <c r="B141" i="20"/>
  <c r="P140" i="20"/>
  <c r="I140" i="20"/>
  <c r="B140" i="20"/>
  <c r="P139" i="20"/>
  <c r="I139" i="20"/>
  <c r="B139" i="20"/>
  <c r="P138" i="20"/>
  <c r="I138" i="20"/>
  <c r="B138" i="20"/>
  <c r="P137" i="20"/>
  <c r="I137" i="20"/>
  <c r="B137" i="20"/>
  <c r="P136" i="20"/>
  <c r="I136" i="20"/>
  <c r="B136" i="20"/>
  <c r="P135" i="20"/>
  <c r="I135" i="20"/>
  <c r="B135" i="20"/>
  <c r="P134" i="20"/>
  <c r="I134" i="20"/>
  <c r="B134" i="20"/>
  <c r="P133" i="20"/>
  <c r="I133" i="20"/>
  <c r="B133" i="20"/>
  <c r="P132" i="20"/>
  <c r="I132" i="20"/>
  <c r="B132" i="20"/>
  <c r="P131" i="20"/>
  <c r="I131" i="20"/>
  <c r="B131" i="20"/>
  <c r="P130" i="20"/>
  <c r="I130" i="20"/>
  <c r="B130" i="20"/>
  <c r="P129" i="20"/>
  <c r="I129" i="20"/>
  <c r="B129" i="20"/>
  <c r="P128" i="20"/>
  <c r="I128" i="20"/>
  <c r="B128" i="20"/>
  <c r="P127" i="20"/>
  <c r="I127" i="20"/>
  <c r="B127" i="20"/>
  <c r="P126" i="20"/>
  <c r="I126" i="20"/>
  <c r="B126" i="20"/>
  <c r="P125" i="20"/>
  <c r="I125" i="20"/>
  <c r="B125" i="20"/>
  <c r="P124" i="20"/>
  <c r="I124" i="20"/>
  <c r="B124" i="20"/>
  <c r="P123" i="20"/>
  <c r="P121" i="20" s="1"/>
  <c r="I123" i="20"/>
  <c r="B123" i="20"/>
  <c r="S121" i="20"/>
  <c r="R121" i="20"/>
  <c r="N121" i="20"/>
  <c r="M121" i="20"/>
  <c r="L121" i="20"/>
  <c r="K121" i="20"/>
  <c r="G121" i="20"/>
  <c r="F121" i="20"/>
  <c r="E121" i="20"/>
  <c r="D121" i="20"/>
  <c r="P118" i="20"/>
  <c r="I118" i="20"/>
  <c r="B118" i="20"/>
  <c r="P117" i="20"/>
  <c r="I117" i="20"/>
  <c r="B117" i="20"/>
  <c r="P116" i="20"/>
  <c r="I116" i="20"/>
  <c r="B116" i="20"/>
  <c r="P115" i="20"/>
  <c r="I115" i="20"/>
  <c r="B115" i="20"/>
  <c r="P114" i="20"/>
  <c r="I114" i="20"/>
  <c r="B114" i="20"/>
  <c r="P113" i="20"/>
  <c r="I113" i="20"/>
  <c r="B113" i="20"/>
  <c r="P112" i="20"/>
  <c r="I112" i="20"/>
  <c r="B112" i="20"/>
  <c r="P111" i="20"/>
  <c r="I111" i="20"/>
  <c r="B111" i="20"/>
  <c r="P110" i="20"/>
  <c r="I110" i="20"/>
  <c r="B110" i="20"/>
  <c r="P109" i="20"/>
  <c r="I109" i="20"/>
  <c r="B109" i="20"/>
  <c r="P108" i="20"/>
  <c r="I108" i="20"/>
  <c r="B108" i="20"/>
  <c r="P107" i="20"/>
  <c r="I107" i="20"/>
  <c r="B107" i="20"/>
  <c r="P106" i="20"/>
  <c r="I106" i="20"/>
  <c r="B106" i="20"/>
  <c r="P105" i="20"/>
  <c r="I105" i="20"/>
  <c r="B105" i="20"/>
  <c r="P104" i="20"/>
  <c r="I104" i="20"/>
  <c r="B104" i="20"/>
  <c r="P103" i="20"/>
  <c r="I103" i="20"/>
  <c r="B103" i="20"/>
  <c r="P102" i="20"/>
  <c r="I102" i="20"/>
  <c r="B102" i="20"/>
  <c r="P101" i="20"/>
  <c r="I101" i="20"/>
  <c r="B101" i="20"/>
  <c r="P100" i="20"/>
  <c r="I100" i="20"/>
  <c r="B100" i="20"/>
  <c r="P99" i="20"/>
  <c r="I99" i="20"/>
  <c r="B99" i="20"/>
  <c r="P98" i="20"/>
  <c r="I98" i="20"/>
  <c r="B98" i="20"/>
  <c r="P97" i="20"/>
  <c r="I97" i="20"/>
  <c r="B97" i="20"/>
  <c r="P96" i="20"/>
  <c r="I96" i="20"/>
  <c r="B96" i="20"/>
  <c r="P95" i="20"/>
  <c r="I95" i="20"/>
  <c r="B95" i="20"/>
  <c r="P94" i="20"/>
  <c r="I94" i="20"/>
  <c r="B94" i="20"/>
  <c r="P93" i="20"/>
  <c r="I93" i="20"/>
  <c r="B93" i="20"/>
  <c r="P92" i="20"/>
  <c r="I92" i="20"/>
  <c r="B92" i="20"/>
  <c r="P91" i="20"/>
  <c r="I91" i="20"/>
  <c r="B91" i="20"/>
  <c r="P90" i="20"/>
  <c r="I90" i="20"/>
  <c r="B90" i="20"/>
  <c r="P89" i="20"/>
  <c r="P85" i="20" s="1"/>
  <c r="I89" i="20"/>
  <c r="I85" i="20" s="1"/>
  <c r="B89" i="20"/>
  <c r="P88" i="20"/>
  <c r="I88" i="20"/>
  <c r="B88" i="20"/>
  <c r="P87" i="20"/>
  <c r="I87" i="20"/>
  <c r="B87" i="20"/>
  <c r="S85" i="20"/>
  <c r="R85" i="20"/>
  <c r="N85" i="20"/>
  <c r="M85" i="20"/>
  <c r="L85" i="20"/>
  <c r="K85" i="20"/>
  <c r="G85" i="20"/>
  <c r="F85" i="20"/>
  <c r="E85" i="20"/>
  <c r="D85" i="20"/>
  <c r="B85" i="20"/>
  <c r="P82" i="20"/>
  <c r="I82" i="20"/>
  <c r="B82" i="20"/>
  <c r="P81" i="20"/>
  <c r="I81" i="20"/>
  <c r="B81" i="20"/>
  <c r="P80" i="20"/>
  <c r="I80" i="20"/>
  <c r="B80" i="20"/>
  <c r="P79" i="20"/>
  <c r="I79" i="20"/>
  <c r="B79" i="20"/>
  <c r="P78" i="20"/>
  <c r="I78" i="20"/>
  <c r="B78" i="20"/>
  <c r="P77" i="20"/>
  <c r="I77" i="20"/>
  <c r="B77" i="20"/>
  <c r="P76" i="20"/>
  <c r="I76" i="20"/>
  <c r="B76" i="20"/>
  <c r="P75" i="20"/>
  <c r="I75" i="20"/>
  <c r="B75" i="20"/>
  <c r="P74" i="20"/>
  <c r="I74" i="20"/>
  <c r="B74" i="20"/>
  <c r="P73" i="20"/>
  <c r="I73" i="20"/>
  <c r="B73" i="20"/>
  <c r="P72" i="20"/>
  <c r="I72" i="20"/>
  <c r="B72" i="20"/>
  <c r="P71" i="20"/>
  <c r="I71" i="20"/>
  <c r="B71" i="20"/>
  <c r="P70" i="20"/>
  <c r="I70" i="20"/>
  <c r="B70" i="20"/>
  <c r="P69" i="20"/>
  <c r="I69" i="20"/>
  <c r="B69" i="20"/>
  <c r="P68" i="20"/>
  <c r="I68" i="20"/>
  <c r="B68" i="20"/>
  <c r="P67" i="20"/>
  <c r="I67" i="20"/>
  <c r="B67" i="20"/>
  <c r="P66" i="20"/>
  <c r="I66" i="20"/>
  <c r="B66" i="20"/>
  <c r="P65" i="20"/>
  <c r="I65" i="20"/>
  <c r="B65" i="20"/>
  <c r="P64" i="20"/>
  <c r="I64" i="20"/>
  <c r="B64" i="20"/>
  <c r="P63" i="20"/>
  <c r="I63" i="20"/>
  <c r="B63" i="20"/>
  <c r="P62" i="20"/>
  <c r="I62" i="20"/>
  <c r="B62" i="20"/>
  <c r="P61" i="20"/>
  <c r="I61" i="20"/>
  <c r="B61" i="20"/>
  <c r="P60" i="20"/>
  <c r="I60" i="20"/>
  <c r="B60" i="20"/>
  <c r="P59" i="20"/>
  <c r="I59" i="20"/>
  <c r="B59" i="20"/>
  <c r="P58" i="20"/>
  <c r="I58" i="20"/>
  <c r="B58" i="20"/>
  <c r="P57" i="20"/>
  <c r="I57" i="20"/>
  <c r="B57" i="20"/>
  <c r="P56" i="20"/>
  <c r="I56" i="20"/>
  <c r="B56" i="20"/>
  <c r="P55" i="20"/>
  <c r="I55" i="20"/>
  <c r="B55" i="20"/>
  <c r="P54" i="20"/>
  <c r="I54" i="20"/>
  <c r="B54" i="20"/>
  <c r="P53" i="20"/>
  <c r="P49" i="20" s="1"/>
  <c r="I53" i="20"/>
  <c r="B53" i="20"/>
  <c r="P52" i="20"/>
  <c r="I52" i="20"/>
  <c r="B52" i="20"/>
  <c r="P51" i="20"/>
  <c r="I51" i="20"/>
  <c r="B51" i="20"/>
  <c r="B49" i="20" s="1"/>
  <c r="S49" i="20"/>
  <c r="R49" i="20"/>
  <c r="N49" i="20"/>
  <c r="M49" i="20"/>
  <c r="L49" i="20"/>
  <c r="K49" i="20"/>
  <c r="I49" i="20"/>
  <c r="G49" i="20"/>
  <c r="F49" i="20"/>
  <c r="E49" i="20"/>
  <c r="D49" i="20"/>
  <c r="P46" i="20"/>
  <c r="I46" i="20"/>
  <c r="B46" i="20"/>
  <c r="P45" i="20"/>
  <c r="I45" i="20"/>
  <c r="B45" i="20"/>
  <c r="P44" i="20"/>
  <c r="I44" i="20"/>
  <c r="B44" i="20"/>
  <c r="P43" i="20"/>
  <c r="I43" i="20"/>
  <c r="B43" i="20"/>
  <c r="P42" i="20"/>
  <c r="I42" i="20"/>
  <c r="B42" i="20"/>
  <c r="P41" i="20"/>
  <c r="I41" i="20"/>
  <c r="B41" i="20"/>
  <c r="P40" i="20"/>
  <c r="I40" i="20"/>
  <c r="B40" i="20"/>
  <c r="P39" i="20"/>
  <c r="I39" i="20"/>
  <c r="B39" i="20"/>
  <c r="P38" i="20"/>
  <c r="I38" i="20"/>
  <c r="B38" i="20"/>
  <c r="P37" i="20"/>
  <c r="I37" i="20"/>
  <c r="B37" i="20"/>
  <c r="P36" i="20"/>
  <c r="I36" i="20"/>
  <c r="B36" i="20"/>
  <c r="P35" i="20"/>
  <c r="I35" i="20"/>
  <c r="B35" i="20"/>
  <c r="P34" i="20"/>
  <c r="I34" i="20"/>
  <c r="B34" i="20"/>
  <c r="P33" i="20"/>
  <c r="I33" i="20"/>
  <c r="B33" i="20"/>
  <c r="P32" i="20"/>
  <c r="I32" i="20"/>
  <c r="B32" i="20"/>
  <c r="P31" i="20"/>
  <c r="I31" i="20"/>
  <c r="B31" i="20"/>
  <c r="P30" i="20"/>
  <c r="I30" i="20"/>
  <c r="B30" i="20"/>
  <c r="P29" i="20"/>
  <c r="I29" i="20"/>
  <c r="B29" i="20"/>
  <c r="P28" i="20"/>
  <c r="I28" i="20"/>
  <c r="B28" i="20"/>
  <c r="P27" i="20"/>
  <c r="I27" i="20"/>
  <c r="B27" i="20"/>
  <c r="P26" i="20"/>
  <c r="I26" i="20"/>
  <c r="B26" i="20"/>
  <c r="P25" i="20"/>
  <c r="I25" i="20"/>
  <c r="B25" i="20"/>
  <c r="P24" i="20"/>
  <c r="I24" i="20"/>
  <c r="B24" i="20"/>
  <c r="P23" i="20"/>
  <c r="I23" i="20"/>
  <c r="B23" i="20"/>
  <c r="P22" i="20"/>
  <c r="I22" i="20"/>
  <c r="B22" i="20"/>
  <c r="P21" i="20"/>
  <c r="I21" i="20"/>
  <c r="B21" i="20"/>
  <c r="P20" i="20"/>
  <c r="I20" i="20"/>
  <c r="B20" i="20"/>
  <c r="P19" i="20"/>
  <c r="I19" i="20"/>
  <c r="B19" i="20"/>
  <c r="P18" i="20"/>
  <c r="P13" i="20" s="1"/>
  <c r="I18" i="20"/>
  <c r="B18" i="20"/>
  <c r="P17" i="20"/>
  <c r="I17" i="20"/>
  <c r="B17" i="20"/>
  <c r="P16" i="20"/>
  <c r="I16" i="20"/>
  <c r="B16" i="20"/>
  <c r="B13" i="20" s="1"/>
  <c r="P15" i="20"/>
  <c r="I15" i="20"/>
  <c r="B15" i="20"/>
  <c r="S13" i="20"/>
  <c r="R13" i="20"/>
  <c r="N13" i="20"/>
  <c r="M13" i="20"/>
  <c r="L13" i="20"/>
  <c r="K13" i="20"/>
  <c r="G13" i="20"/>
  <c r="F13" i="20"/>
  <c r="E13" i="20"/>
  <c r="D13" i="20"/>
  <c r="B800" i="19"/>
  <c r="B799" i="19"/>
  <c r="B798" i="19"/>
  <c r="B797" i="19"/>
  <c r="B796" i="19"/>
  <c r="B795" i="19"/>
  <c r="B794" i="19"/>
  <c r="B793" i="19"/>
  <c r="B792" i="19"/>
  <c r="B791" i="19"/>
  <c r="B790" i="19"/>
  <c r="B789" i="19"/>
  <c r="B788" i="19"/>
  <c r="B787" i="19"/>
  <c r="B786" i="19"/>
  <c r="B785" i="19"/>
  <c r="B784" i="19"/>
  <c r="B783" i="19"/>
  <c r="B782" i="19"/>
  <c r="B781" i="19"/>
  <c r="B780" i="19"/>
  <c r="B779" i="19"/>
  <c r="B778" i="19"/>
  <c r="B777" i="19"/>
  <c r="B776" i="19"/>
  <c r="B775" i="19"/>
  <c r="B774" i="19"/>
  <c r="B773" i="19"/>
  <c r="B772" i="19"/>
  <c r="B771" i="19"/>
  <c r="B770" i="19"/>
  <c r="B769" i="19"/>
  <c r="L767" i="19"/>
  <c r="K767" i="19"/>
  <c r="J767" i="19"/>
  <c r="I767" i="19"/>
  <c r="H767" i="19"/>
  <c r="G767" i="19"/>
  <c r="F767" i="19"/>
  <c r="E767" i="19"/>
  <c r="D767" i="19"/>
  <c r="B764" i="19"/>
  <c r="B763" i="19"/>
  <c r="B762" i="19"/>
  <c r="B761" i="19"/>
  <c r="B760" i="19"/>
  <c r="B759" i="19"/>
  <c r="B758" i="19"/>
  <c r="B757" i="19"/>
  <c r="B756" i="19"/>
  <c r="B755" i="19"/>
  <c r="B754" i="19"/>
  <c r="B753" i="19"/>
  <c r="B752" i="19"/>
  <c r="B751" i="19"/>
  <c r="B750" i="19"/>
  <c r="B749" i="19"/>
  <c r="B748" i="19"/>
  <c r="B747" i="19"/>
  <c r="B746" i="19"/>
  <c r="B745" i="19"/>
  <c r="B744" i="19"/>
  <c r="B743" i="19"/>
  <c r="B742" i="19"/>
  <c r="B741" i="19"/>
  <c r="B740" i="19"/>
  <c r="B739" i="19"/>
  <c r="B738" i="19"/>
  <c r="B737" i="19"/>
  <c r="B736" i="19"/>
  <c r="B735" i="19"/>
  <c r="B734" i="19"/>
  <c r="B731" i="19" s="1"/>
  <c r="B733" i="19"/>
  <c r="L731" i="19"/>
  <c r="K731" i="19"/>
  <c r="J731" i="19"/>
  <c r="I731" i="19"/>
  <c r="H731" i="19"/>
  <c r="G731" i="19"/>
  <c r="F731" i="19"/>
  <c r="E731" i="19"/>
  <c r="D731" i="19"/>
  <c r="B728" i="19"/>
  <c r="B727" i="19"/>
  <c r="B726" i="19"/>
  <c r="B725" i="19"/>
  <c r="B724" i="19"/>
  <c r="B723" i="19"/>
  <c r="B722" i="19"/>
  <c r="B721" i="19"/>
  <c r="B720" i="19"/>
  <c r="B719" i="19"/>
  <c r="B718" i="19"/>
  <c r="B717" i="19"/>
  <c r="B716" i="19"/>
  <c r="B715" i="19"/>
  <c r="B714" i="19"/>
  <c r="B713" i="19"/>
  <c r="B712" i="19"/>
  <c r="B711" i="19"/>
  <c r="B710" i="19"/>
  <c r="B709" i="19"/>
  <c r="B708" i="19"/>
  <c r="B707" i="19"/>
  <c r="B706" i="19"/>
  <c r="B705" i="19"/>
  <c r="B704" i="19"/>
  <c r="B703" i="19"/>
  <c r="B702" i="19"/>
  <c r="B701" i="19"/>
  <c r="B700" i="19"/>
  <c r="B699" i="19"/>
  <c r="B698" i="19"/>
  <c r="B697" i="19"/>
  <c r="L695" i="19"/>
  <c r="K695" i="19"/>
  <c r="J695" i="19"/>
  <c r="I695" i="19"/>
  <c r="H695" i="19"/>
  <c r="G695" i="19"/>
  <c r="F695" i="19"/>
  <c r="E695" i="19"/>
  <c r="D695" i="19"/>
  <c r="B692" i="19"/>
  <c r="B691" i="19"/>
  <c r="B690" i="19"/>
  <c r="B689" i="19"/>
  <c r="B688" i="19"/>
  <c r="B687" i="19"/>
  <c r="B686" i="19"/>
  <c r="B685" i="19"/>
  <c r="B684" i="19"/>
  <c r="B683" i="19"/>
  <c r="B682" i="19"/>
  <c r="B681" i="19"/>
  <c r="B680" i="19"/>
  <c r="B679" i="19"/>
  <c r="B678" i="19"/>
  <c r="B677" i="19"/>
  <c r="B676" i="19"/>
  <c r="B675" i="19"/>
  <c r="B674" i="19"/>
  <c r="B673" i="19"/>
  <c r="B672" i="19"/>
  <c r="B671" i="19"/>
  <c r="B670" i="19"/>
  <c r="B669" i="19"/>
  <c r="B668" i="19"/>
  <c r="B667" i="19"/>
  <c r="B666" i="19"/>
  <c r="B665" i="19"/>
  <c r="B664" i="19"/>
  <c r="B663" i="19"/>
  <c r="B662" i="19"/>
  <c r="B661" i="19"/>
  <c r="L659" i="19"/>
  <c r="K659" i="19"/>
  <c r="J659" i="19"/>
  <c r="I659" i="19"/>
  <c r="H659" i="19"/>
  <c r="G659" i="19"/>
  <c r="F659" i="19"/>
  <c r="E659" i="19"/>
  <c r="D659" i="19"/>
  <c r="B656" i="19"/>
  <c r="B655" i="19"/>
  <c r="B654" i="19"/>
  <c r="B653" i="19"/>
  <c r="B652" i="19"/>
  <c r="B651" i="19"/>
  <c r="B650" i="19"/>
  <c r="B649" i="19"/>
  <c r="B648" i="19"/>
  <c r="B647" i="19"/>
  <c r="B646" i="19"/>
  <c r="B645" i="19"/>
  <c r="B644" i="19"/>
  <c r="B643" i="19"/>
  <c r="B642" i="19"/>
  <c r="B641" i="19"/>
  <c r="B640" i="19"/>
  <c r="B639" i="19"/>
  <c r="B638" i="19"/>
  <c r="B637" i="19"/>
  <c r="B636" i="19"/>
  <c r="B635" i="19"/>
  <c r="B634" i="19"/>
  <c r="B633" i="19"/>
  <c r="B632" i="19"/>
  <c r="B631" i="19"/>
  <c r="B630" i="19"/>
  <c r="B629" i="19"/>
  <c r="B628" i="19"/>
  <c r="B627" i="19"/>
  <c r="B626" i="19"/>
  <c r="B625" i="19"/>
  <c r="L623" i="19"/>
  <c r="K623" i="19"/>
  <c r="J623" i="19"/>
  <c r="I623" i="19"/>
  <c r="H623" i="19"/>
  <c r="G623" i="19"/>
  <c r="F623" i="19"/>
  <c r="E623" i="19"/>
  <c r="D623" i="19"/>
  <c r="B584" i="19"/>
  <c r="B583" i="19"/>
  <c r="B582" i="19"/>
  <c r="B581" i="19"/>
  <c r="B580" i="19"/>
  <c r="B579" i="19"/>
  <c r="B578" i="19"/>
  <c r="B577" i="19"/>
  <c r="B576" i="19"/>
  <c r="B575" i="19"/>
  <c r="B574" i="19"/>
  <c r="B573" i="19"/>
  <c r="B572" i="19"/>
  <c r="B571" i="19"/>
  <c r="B570" i="19"/>
  <c r="B569" i="19"/>
  <c r="B568" i="19"/>
  <c r="B567" i="19"/>
  <c r="B566" i="19"/>
  <c r="B565" i="19"/>
  <c r="B564" i="19"/>
  <c r="B563" i="19"/>
  <c r="B562" i="19"/>
  <c r="B561" i="19"/>
  <c r="B560" i="19"/>
  <c r="B559" i="19"/>
  <c r="B558" i="19"/>
  <c r="B557" i="19"/>
  <c r="B556" i="19"/>
  <c r="B555" i="19"/>
  <c r="B554" i="19"/>
  <c r="B553" i="19"/>
  <c r="L551" i="19"/>
  <c r="K551" i="19"/>
  <c r="J551" i="19"/>
  <c r="H551" i="19"/>
  <c r="G551" i="19"/>
  <c r="F551" i="19"/>
  <c r="E551" i="19"/>
  <c r="D551" i="19"/>
  <c r="B548" i="19"/>
  <c r="B547" i="19"/>
  <c r="B546" i="19"/>
  <c r="B545" i="19"/>
  <c r="B544" i="19"/>
  <c r="B543" i="19"/>
  <c r="B542" i="19"/>
  <c r="B541" i="19"/>
  <c r="B540" i="19"/>
  <c r="B539" i="19"/>
  <c r="B538" i="19"/>
  <c r="B537" i="19"/>
  <c r="B536" i="19"/>
  <c r="B535" i="19"/>
  <c r="B534" i="19"/>
  <c r="B533" i="19"/>
  <c r="B532" i="19"/>
  <c r="B531" i="19"/>
  <c r="B530" i="19"/>
  <c r="B529" i="19"/>
  <c r="B528" i="19"/>
  <c r="B527" i="19"/>
  <c r="B526" i="19"/>
  <c r="B525" i="19"/>
  <c r="B524" i="19"/>
  <c r="B523" i="19"/>
  <c r="B522" i="19"/>
  <c r="B521" i="19"/>
  <c r="B520" i="19"/>
  <c r="B519" i="19"/>
  <c r="B518" i="19"/>
  <c r="B517" i="19"/>
  <c r="L515" i="19"/>
  <c r="K515" i="19"/>
  <c r="J515" i="19"/>
  <c r="H515" i="19"/>
  <c r="G515" i="19"/>
  <c r="F515" i="19"/>
  <c r="E515" i="19"/>
  <c r="D515" i="19"/>
  <c r="B512" i="19"/>
  <c r="B511" i="19"/>
  <c r="B510" i="19"/>
  <c r="B509" i="19"/>
  <c r="B508" i="19"/>
  <c r="B507" i="19"/>
  <c r="B506" i="19"/>
  <c r="B505" i="19"/>
  <c r="B504" i="19"/>
  <c r="B503" i="19"/>
  <c r="B502" i="19"/>
  <c r="B501" i="19"/>
  <c r="B500" i="19"/>
  <c r="B499" i="19"/>
  <c r="B498" i="19"/>
  <c r="B497" i="19"/>
  <c r="B496" i="19"/>
  <c r="B495" i="19"/>
  <c r="B494" i="19"/>
  <c r="B493" i="19"/>
  <c r="B492" i="19"/>
  <c r="B491" i="19"/>
  <c r="B490" i="19"/>
  <c r="B489" i="19"/>
  <c r="B488" i="19"/>
  <c r="B487" i="19"/>
  <c r="B486" i="19"/>
  <c r="B485" i="19"/>
  <c r="B484" i="19"/>
  <c r="B483" i="19"/>
  <c r="B482" i="19"/>
  <c r="B481" i="19"/>
  <c r="B479" i="19" s="1"/>
  <c r="L479" i="19"/>
  <c r="K479" i="19"/>
  <c r="J479" i="19"/>
  <c r="H479" i="19"/>
  <c r="G479" i="19"/>
  <c r="F479" i="19"/>
  <c r="E479" i="19"/>
  <c r="D479" i="19"/>
  <c r="B476" i="19"/>
  <c r="B475" i="19"/>
  <c r="B474" i="19"/>
  <c r="B473" i="19"/>
  <c r="B472" i="19"/>
  <c r="B471" i="19"/>
  <c r="B470" i="19"/>
  <c r="B469" i="19"/>
  <c r="B468" i="19"/>
  <c r="B467" i="19"/>
  <c r="B466" i="19"/>
  <c r="B465" i="19"/>
  <c r="B464" i="19"/>
  <c r="B463" i="19"/>
  <c r="B462" i="19"/>
  <c r="B461" i="19"/>
  <c r="B460" i="19"/>
  <c r="B459" i="19"/>
  <c r="B458" i="19"/>
  <c r="B457" i="19"/>
  <c r="B456" i="19"/>
  <c r="B455" i="19"/>
  <c r="B454" i="19"/>
  <c r="B453" i="19"/>
  <c r="B452" i="19"/>
  <c r="B451" i="19"/>
  <c r="B450" i="19"/>
  <c r="B449" i="19"/>
  <c r="B448" i="19"/>
  <c r="B447" i="19"/>
  <c r="B446" i="19"/>
  <c r="B445" i="19"/>
  <c r="L443" i="19"/>
  <c r="K443" i="19"/>
  <c r="J443" i="19"/>
  <c r="H443" i="19"/>
  <c r="G443" i="19"/>
  <c r="F443" i="19"/>
  <c r="E443" i="19"/>
  <c r="D443" i="19"/>
  <c r="B440" i="19"/>
  <c r="B439" i="19"/>
  <c r="B438" i="19"/>
  <c r="B437" i="19"/>
  <c r="B436" i="19"/>
  <c r="B435" i="19"/>
  <c r="B434" i="19"/>
  <c r="B433" i="19"/>
  <c r="B432" i="19"/>
  <c r="B431" i="19"/>
  <c r="B430" i="19"/>
  <c r="B429" i="19"/>
  <c r="B428" i="19"/>
  <c r="B427" i="19"/>
  <c r="B426" i="19"/>
  <c r="B425" i="19"/>
  <c r="B424" i="19"/>
  <c r="B423" i="19"/>
  <c r="B422" i="19"/>
  <c r="B421" i="19"/>
  <c r="B420" i="19"/>
  <c r="B419" i="19"/>
  <c r="B418" i="19"/>
  <c r="B417" i="19"/>
  <c r="B416" i="19"/>
  <c r="B415" i="19"/>
  <c r="B414" i="19"/>
  <c r="B413" i="19"/>
  <c r="B412" i="19"/>
  <c r="B411" i="19"/>
  <c r="B410" i="19"/>
  <c r="B409" i="19"/>
  <c r="L407" i="19"/>
  <c r="K407" i="19"/>
  <c r="J407" i="19"/>
  <c r="H407" i="19"/>
  <c r="G407" i="19"/>
  <c r="F407" i="19"/>
  <c r="E407" i="19"/>
  <c r="D407" i="19"/>
  <c r="B404" i="19"/>
  <c r="B403" i="19"/>
  <c r="B402" i="19"/>
  <c r="B401" i="19"/>
  <c r="B400" i="19"/>
  <c r="B399" i="19"/>
  <c r="B398" i="19"/>
  <c r="B397" i="19"/>
  <c r="B396" i="19"/>
  <c r="B395" i="19"/>
  <c r="B394" i="19"/>
  <c r="B393" i="19"/>
  <c r="B392" i="19"/>
  <c r="B391" i="19"/>
  <c r="B390" i="19"/>
  <c r="B389" i="19"/>
  <c r="B388" i="19"/>
  <c r="B387" i="19"/>
  <c r="B386" i="19"/>
  <c r="B385" i="19"/>
  <c r="B384" i="19"/>
  <c r="B383" i="19"/>
  <c r="B382" i="19"/>
  <c r="B381" i="19"/>
  <c r="B380" i="19"/>
  <c r="B379" i="19"/>
  <c r="B378" i="19"/>
  <c r="B377" i="19"/>
  <c r="B376" i="19"/>
  <c r="B375" i="19"/>
  <c r="B374" i="19"/>
  <c r="B373" i="19"/>
  <c r="L371" i="19"/>
  <c r="K371" i="19"/>
  <c r="J371" i="19"/>
  <c r="H371" i="19"/>
  <c r="G371" i="19"/>
  <c r="F371" i="19"/>
  <c r="E371" i="19"/>
  <c r="D371" i="19"/>
  <c r="B368" i="19"/>
  <c r="B367" i="19"/>
  <c r="B366" i="19"/>
  <c r="B365" i="19"/>
  <c r="B364" i="19"/>
  <c r="B363" i="19"/>
  <c r="B362" i="19"/>
  <c r="B361" i="19"/>
  <c r="B360" i="19"/>
  <c r="B359" i="19"/>
  <c r="B358" i="19"/>
  <c r="B357" i="19"/>
  <c r="B356" i="19"/>
  <c r="B355" i="19"/>
  <c r="B354" i="19"/>
  <c r="B353" i="19"/>
  <c r="B352" i="19"/>
  <c r="B351" i="19"/>
  <c r="B350" i="19"/>
  <c r="B349" i="19"/>
  <c r="B348" i="19"/>
  <c r="B347" i="19"/>
  <c r="B346" i="19"/>
  <c r="B345" i="19"/>
  <c r="B344" i="19"/>
  <c r="B343" i="19"/>
  <c r="B342" i="19"/>
  <c r="B341" i="19"/>
  <c r="B340" i="19"/>
  <c r="B339" i="19"/>
  <c r="B338" i="19"/>
  <c r="B337" i="19"/>
  <c r="L335" i="19"/>
  <c r="K335" i="19"/>
  <c r="J335" i="19"/>
  <c r="I335" i="19"/>
  <c r="H335" i="19"/>
  <c r="G335" i="19"/>
  <c r="F335" i="19"/>
  <c r="E335" i="19"/>
  <c r="D335" i="19"/>
  <c r="B332" i="19"/>
  <c r="B331" i="19"/>
  <c r="B330" i="19"/>
  <c r="B329" i="19"/>
  <c r="B328" i="19"/>
  <c r="B327" i="19"/>
  <c r="B326" i="19"/>
  <c r="B325" i="19"/>
  <c r="B324" i="19"/>
  <c r="B323" i="19"/>
  <c r="B322" i="19"/>
  <c r="B321" i="19"/>
  <c r="B320" i="19"/>
  <c r="B319" i="19"/>
  <c r="B318" i="19"/>
  <c r="B317" i="19"/>
  <c r="B316" i="19"/>
  <c r="B315" i="19"/>
  <c r="B314" i="19"/>
  <c r="B313" i="19"/>
  <c r="B312" i="19"/>
  <c r="B311" i="19"/>
  <c r="B310" i="19"/>
  <c r="B309" i="19"/>
  <c r="B308" i="19"/>
  <c r="B307" i="19"/>
  <c r="B306" i="19"/>
  <c r="B305" i="19"/>
  <c r="B304" i="19"/>
  <c r="B299" i="19" s="1"/>
  <c r="B303" i="19"/>
  <c r="B302" i="19"/>
  <c r="B301" i="19"/>
  <c r="L299" i="19"/>
  <c r="K299" i="19"/>
  <c r="J299" i="19"/>
  <c r="I299" i="19"/>
  <c r="H299" i="19"/>
  <c r="G299" i="19"/>
  <c r="F299" i="19"/>
  <c r="E299" i="19"/>
  <c r="D299" i="19"/>
  <c r="B296" i="19"/>
  <c r="B295" i="19"/>
  <c r="B294" i="19"/>
  <c r="B293" i="19"/>
  <c r="B292" i="19"/>
  <c r="B291" i="19"/>
  <c r="B290" i="19"/>
  <c r="B289" i="19"/>
  <c r="B288" i="19"/>
  <c r="B287" i="19"/>
  <c r="B286" i="19"/>
  <c r="B285" i="19"/>
  <c r="B284" i="19"/>
  <c r="B283" i="19"/>
  <c r="B282" i="19"/>
  <c r="B281" i="19"/>
  <c r="B280" i="19"/>
  <c r="B279" i="19"/>
  <c r="B278" i="19"/>
  <c r="B277" i="19"/>
  <c r="B276" i="19"/>
  <c r="B275" i="19"/>
  <c r="B274" i="19"/>
  <c r="B273" i="19"/>
  <c r="B272" i="19"/>
  <c r="B271" i="19"/>
  <c r="B270" i="19"/>
  <c r="B269" i="19"/>
  <c r="B268" i="19"/>
  <c r="B267" i="19"/>
  <c r="B266" i="19"/>
  <c r="B265" i="19"/>
  <c r="L263" i="19"/>
  <c r="K263" i="19"/>
  <c r="J263" i="19"/>
  <c r="I263" i="19"/>
  <c r="H263" i="19"/>
  <c r="G263" i="19"/>
  <c r="F263" i="19"/>
  <c r="E263" i="19"/>
  <c r="D263" i="19"/>
  <c r="B260" i="19"/>
  <c r="B259" i="19"/>
  <c r="B258" i="19"/>
  <c r="B257" i="19"/>
  <c r="B256" i="19"/>
  <c r="B255" i="19"/>
  <c r="B254" i="19"/>
  <c r="B253" i="19"/>
  <c r="B252" i="19"/>
  <c r="B251" i="19"/>
  <c r="B250" i="19"/>
  <c r="B249" i="19"/>
  <c r="B248" i="19"/>
  <c r="B247" i="19"/>
  <c r="B246" i="19"/>
  <c r="B245" i="19"/>
  <c r="B244" i="19"/>
  <c r="B243" i="19"/>
  <c r="B242" i="19"/>
  <c r="B241" i="19"/>
  <c r="B240" i="19"/>
  <c r="B239" i="19"/>
  <c r="B238" i="19"/>
  <c r="B237" i="19"/>
  <c r="B236" i="19"/>
  <c r="B235" i="19"/>
  <c r="B234" i="19"/>
  <c r="B233" i="19"/>
  <c r="B232" i="19"/>
  <c r="B231" i="19"/>
  <c r="B230" i="19"/>
  <c r="B227" i="19" s="1"/>
  <c r="B229" i="19"/>
  <c r="L227" i="19"/>
  <c r="K227" i="19"/>
  <c r="J227" i="19"/>
  <c r="I227" i="19"/>
  <c r="H227" i="19"/>
  <c r="G227" i="19"/>
  <c r="F227" i="19"/>
  <c r="E227" i="19"/>
  <c r="D227" i="19"/>
  <c r="B224" i="19"/>
  <c r="B223" i="19"/>
  <c r="B222" i="19"/>
  <c r="B221" i="19"/>
  <c r="B220" i="19"/>
  <c r="B219" i="19"/>
  <c r="B218" i="19"/>
  <c r="B217" i="19"/>
  <c r="B216" i="19"/>
  <c r="B215" i="19"/>
  <c r="B214" i="19"/>
  <c r="B213" i="19"/>
  <c r="B212" i="19"/>
  <c r="B211" i="19"/>
  <c r="B210" i="19"/>
  <c r="B209" i="19"/>
  <c r="B208" i="19"/>
  <c r="B207" i="19"/>
  <c r="B206" i="19"/>
  <c r="B205" i="19"/>
  <c r="B204" i="19"/>
  <c r="B203" i="19"/>
  <c r="B202" i="19"/>
  <c r="B201" i="19"/>
  <c r="B200" i="19"/>
  <c r="B199" i="19"/>
  <c r="B198" i="19"/>
  <c r="B197" i="19"/>
  <c r="B196" i="19"/>
  <c r="B195" i="19"/>
  <c r="B194" i="19"/>
  <c r="B193" i="19"/>
  <c r="L191" i="19"/>
  <c r="K191" i="19"/>
  <c r="J191" i="19"/>
  <c r="I191" i="19"/>
  <c r="H191" i="19"/>
  <c r="G191" i="19"/>
  <c r="F191" i="19"/>
  <c r="E191" i="19"/>
  <c r="D191" i="19"/>
  <c r="B188" i="19"/>
  <c r="B187" i="19"/>
  <c r="B186" i="19"/>
  <c r="B185" i="19"/>
  <c r="B184" i="19"/>
  <c r="B183" i="19"/>
  <c r="B182" i="19"/>
  <c r="B181" i="19"/>
  <c r="B180" i="19"/>
  <c r="B179" i="19"/>
  <c r="B178" i="19"/>
  <c r="B177" i="19"/>
  <c r="B176" i="19"/>
  <c r="B175" i="19"/>
  <c r="B174" i="19"/>
  <c r="B173" i="19"/>
  <c r="B172" i="19"/>
  <c r="B171" i="19"/>
  <c r="B170" i="19"/>
  <c r="B169" i="19"/>
  <c r="B168" i="19"/>
  <c r="B167" i="19"/>
  <c r="B166" i="19"/>
  <c r="B165" i="19"/>
  <c r="B164" i="19"/>
  <c r="B163" i="19"/>
  <c r="B162" i="19"/>
  <c r="B161" i="19"/>
  <c r="B160" i="19"/>
  <c r="B159" i="19"/>
  <c r="B158" i="19"/>
  <c r="B157" i="19"/>
  <c r="L155" i="19"/>
  <c r="K155" i="19"/>
  <c r="J155" i="19"/>
  <c r="I155" i="19"/>
  <c r="H155" i="19"/>
  <c r="G155" i="19"/>
  <c r="F155" i="19"/>
  <c r="E155" i="19"/>
  <c r="D155" i="19"/>
  <c r="B152" i="19"/>
  <c r="B151" i="19"/>
  <c r="B150" i="19"/>
  <c r="B149" i="19"/>
  <c r="B148" i="19"/>
  <c r="B147" i="19"/>
  <c r="B146" i="19"/>
  <c r="B145" i="19"/>
  <c r="B144" i="19"/>
  <c r="B143" i="19"/>
  <c r="B142" i="19"/>
  <c r="B141" i="19"/>
  <c r="B140" i="19"/>
  <c r="B139" i="19"/>
  <c r="B138" i="19"/>
  <c r="B137" i="19"/>
  <c r="B136" i="19"/>
  <c r="B135" i="19"/>
  <c r="B134" i="19"/>
  <c r="B133" i="19"/>
  <c r="B132" i="19"/>
  <c r="B131" i="19"/>
  <c r="B130" i="19"/>
  <c r="B129" i="19"/>
  <c r="B128" i="19"/>
  <c r="B127" i="19"/>
  <c r="B126" i="19"/>
  <c r="B125" i="19"/>
  <c r="B124" i="19"/>
  <c r="B123" i="19"/>
  <c r="B122" i="19"/>
  <c r="B121" i="19"/>
  <c r="L119" i="19"/>
  <c r="K119" i="19"/>
  <c r="J119" i="19"/>
  <c r="I119" i="19"/>
  <c r="H119" i="19"/>
  <c r="G119" i="19"/>
  <c r="F119" i="19"/>
  <c r="E119" i="19"/>
  <c r="D119" i="19"/>
  <c r="B116" i="19"/>
  <c r="B115" i="19"/>
  <c r="B114" i="19"/>
  <c r="B113" i="19"/>
  <c r="B112" i="19"/>
  <c r="B111" i="19"/>
  <c r="B110" i="19"/>
  <c r="B109" i="19"/>
  <c r="B108" i="19"/>
  <c r="B107" i="19"/>
  <c r="B106" i="19"/>
  <c r="B105" i="19"/>
  <c r="B104" i="19"/>
  <c r="B103" i="19"/>
  <c r="B102" i="19"/>
  <c r="B101" i="19"/>
  <c r="B100" i="19"/>
  <c r="B99" i="19"/>
  <c r="B98" i="19"/>
  <c r="B97" i="19"/>
  <c r="B96" i="19"/>
  <c r="B95" i="19"/>
  <c r="B94" i="19"/>
  <c r="B93" i="19"/>
  <c r="B92" i="19"/>
  <c r="B91" i="19"/>
  <c r="B90" i="19"/>
  <c r="B89" i="19"/>
  <c r="B88" i="19"/>
  <c r="B87" i="19"/>
  <c r="B86" i="19"/>
  <c r="B85" i="19"/>
  <c r="L83" i="19"/>
  <c r="K83" i="19"/>
  <c r="J83" i="19"/>
  <c r="I83" i="19"/>
  <c r="H83" i="19"/>
  <c r="G83" i="19"/>
  <c r="F83" i="19"/>
  <c r="E83" i="19"/>
  <c r="D83" i="19"/>
  <c r="B80" i="19"/>
  <c r="B79" i="19"/>
  <c r="B78" i="19"/>
  <c r="B77" i="19"/>
  <c r="B76" i="19"/>
  <c r="B75" i="19"/>
  <c r="B74" i="19"/>
  <c r="B73" i="19"/>
  <c r="B72" i="19"/>
  <c r="B71" i="19"/>
  <c r="B70" i="19"/>
  <c r="B69" i="19"/>
  <c r="B68" i="19"/>
  <c r="B67" i="19"/>
  <c r="B66" i="19"/>
  <c r="B65" i="19"/>
  <c r="B64" i="19"/>
  <c r="B63" i="19"/>
  <c r="B62" i="19"/>
  <c r="B61" i="19"/>
  <c r="B60" i="19"/>
  <c r="B59" i="19"/>
  <c r="B58" i="19"/>
  <c r="B57" i="19"/>
  <c r="B56" i="19"/>
  <c r="B55" i="19"/>
  <c r="B54" i="19"/>
  <c r="B53" i="19"/>
  <c r="B52" i="19"/>
  <c r="B51" i="19"/>
  <c r="B50" i="19"/>
  <c r="B49" i="19"/>
  <c r="L47" i="19"/>
  <c r="K47" i="19"/>
  <c r="J47" i="19"/>
  <c r="I47" i="19"/>
  <c r="H47" i="19"/>
  <c r="G47" i="19"/>
  <c r="F47" i="19"/>
  <c r="E47" i="19"/>
  <c r="D47" i="19"/>
  <c r="B44" i="19"/>
  <c r="B43" i="19"/>
  <c r="B42" i="19"/>
  <c r="B41" i="19"/>
  <c r="B40" i="19"/>
  <c r="B39" i="19"/>
  <c r="B38" i="19"/>
  <c r="B37" i="19"/>
  <c r="B36" i="19"/>
  <c r="B35" i="19"/>
  <c r="B34" i="19"/>
  <c r="B33" i="19"/>
  <c r="B32" i="19"/>
  <c r="B31" i="19"/>
  <c r="B30" i="19"/>
  <c r="B29" i="19"/>
  <c r="B28" i="19"/>
  <c r="B27" i="19"/>
  <c r="B26" i="19"/>
  <c r="B25" i="19"/>
  <c r="B24" i="19"/>
  <c r="B23" i="19"/>
  <c r="B22" i="19"/>
  <c r="B21" i="19"/>
  <c r="B20" i="19"/>
  <c r="B19" i="19"/>
  <c r="B18" i="19"/>
  <c r="B17" i="19"/>
  <c r="B16" i="19"/>
  <c r="B15" i="19"/>
  <c r="B14" i="19"/>
  <c r="B13" i="19"/>
  <c r="L11" i="19"/>
  <c r="K11" i="19"/>
  <c r="J11" i="19"/>
  <c r="I11" i="19"/>
  <c r="H11" i="19"/>
  <c r="G11" i="19"/>
  <c r="F11" i="19"/>
  <c r="E11" i="19"/>
  <c r="D11" i="19"/>
  <c r="F803" i="18"/>
  <c r="B803" i="18" s="1"/>
  <c r="F802" i="18"/>
  <c r="B802" i="18"/>
  <c r="F801" i="18"/>
  <c r="B801" i="18" s="1"/>
  <c r="F800" i="18"/>
  <c r="B800" i="18" s="1"/>
  <c r="F799" i="18"/>
  <c r="B799" i="18" s="1"/>
  <c r="F798" i="18"/>
  <c r="B798" i="18" s="1"/>
  <c r="F797" i="18"/>
  <c r="B797" i="18" s="1"/>
  <c r="F796" i="18"/>
  <c r="B796" i="18" s="1"/>
  <c r="F795" i="18"/>
  <c r="B795" i="18" s="1"/>
  <c r="F794" i="18"/>
  <c r="B794" i="18"/>
  <c r="F793" i="18"/>
  <c r="B793" i="18" s="1"/>
  <c r="F792" i="18"/>
  <c r="B792" i="18" s="1"/>
  <c r="F791" i="18"/>
  <c r="B791" i="18" s="1"/>
  <c r="F790" i="18"/>
  <c r="B790" i="18" s="1"/>
  <c r="F789" i="18"/>
  <c r="B789" i="18" s="1"/>
  <c r="F788" i="18"/>
  <c r="B788" i="18" s="1"/>
  <c r="F787" i="18"/>
  <c r="B787" i="18" s="1"/>
  <c r="F786" i="18"/>
  <c r="B786" i="18"/>
  <c r="F785" i="18"/>
  <c r="B785" i="18" s="1"/>
  <c r="F784" i="18"/>
  <c r="B784" i="18" s="1"/>
  <c r="F783" i="18"/>
  <c r="B783" i="18" s="1"/>
  <c r="F782" i="18"/>
  <c r="B782" i="18" s="1"/>
  <c r="F781" i="18"/>
  <c r="B781" i="18" s="1"/>
  <c r="F780" i="18"/>
  <c r="B780" i="18" s="1"/>
  <c r="F779" i="18"/>
  <c r="B779" i="18" s="1"/>
  <c r="F778" i="18"/>
  <c r="B778" i="18" s="1"/>
  <c r="F777" i="18"/>
  <c r="B777" i="18" s="1"/>
  <c r="F776" i="18"/>
  <c r="B776" i="18" s="1"/>
  <c r="F775" i="18"/>
  <c r="B775" i="18" s="1"/>
  <c r="F774" i="18"/>
  <c r="B774" i="18" s="1"/>
  <c r="F773" i="18"/>
  <c r="B773" i="18" s="1"/>
  <c r="F772" i="18"/>
  <c r="L770" i="18"/>
  <c r="K770" i="18"/>
  <c r="J770" i="18"/>
  <c r="I770" i="18"/>
  <c r="H770" i="18"/>
  <c r="D770" i="18"/>
  <c r="F767" i="18"/>
  <c r="B767" i="18" s="1"/>
  <c r="F766" i="18"/>
  <c r="B766" i="18"/>
  <c r="F765" i="18"/>
  <c r="B765" i="18" s="1"/>
  <c r="F764" i="18"/>
  <c r="B764" i="18" s="1"/>
  <c r="F763" i="18"/>
  <c r="B763" i="18" s="1"/>
  <c r="F762" i="18"/>
  <c r="B762" i="18" s="1"/>
  <c r="F761" i="18"/>
  <c r="B761" i="18" s="1"/>
  <c r="F760" i="18"/>
  <c r="B760" i="18" s="1"/>
  <c r="F759" i="18"/>
  <c r="B759" i="18" s="1"/>
  <c r="F758" i="18"/>
  <c r="B758" i="18"/>
  <c r="F757" i="18"/>
  <c r="B757" i="18" s="1"/>
  <c r="F756" i="18"/>
  <c r="B756" i="18"/>
  <c r="F755" i="18"/>
  <c r="B755" i="18" s="1"/>
  <c r="F754" i="18"/>
  <c r="B754" i="18" s="1"/>
  <c r="F753" i="18"/>
  <c r="B753" i="18" s="1"/>
  <c r="F752" i="18"/>
  <c r="B752" i="18"/>
  <c r="F751" i="18"/>
  <c r="B751" i="18" s="1"/>
  <c r="F750" i="18"/>
  <c r="B750" i="18" s="1"/>
  <c r="F749" i="18"/>
  <c r="B749" i="18" s="1"/>
  <c r="F748" i="18"/>
  <c r="B748" i="18" s="1"/>
  <c r="F747" i="18"/>
  <c r="B747" i="18" s="1"/>
  <c r="F746" i="18"/>
  <c r="B746" i="18" s="1"/>
  <c r="F745" i="18"/>
  <c r="B745" i="18" s="1"/>
  <c r="F744" i="18"/>
  <c r="B744" i="18"/>
  <c r="F743" i="18"/>
  <c r="B743" i="18" s="1"/>
  <c r="F742" i="18"/>
  <c r="B742" i="18" s="1"/>
  <c r="F741" i="18"/>
  <c r="B741" i="18" s="1"/>
  <c r="F740" i="18"/>
  <c r="B740" i="18" s="1"/>
  <c r="F739" i="18"/>
  <c r="B739" i="18" s="1"/>
  <c r="F738" i="18"/>
  <c r="B738" i="18" s="1"/>
  <c r="F737" i="18"/>
  <c r="B737" i="18" s="1"/>
  <c r="F736" i="18"/>
  <c r="B736" i="18"/>
  <c r="L734" i="18"/>
  <c r="K734" i="18"/>
  <c r="J734" i="18"/>
  <c r="I734" i="18"/>
  <c r="H734" i="18"/>
  <c r="D734" i="18"/>
  <c r="F731" i="18"/>
  <c r="B731" i="18" s="1"/>
  <c r="F730" i="18"/>
  <c r="B730" i="18"/>
  <c r="F729" i="18"/>
  <c r="B729" i="18" s="1"/>
  <c r="F728" i="18"/>
  <c r="B728" i="18" s="1"/>
  <c r="F727" i="18"/>
  <c r="B727" i="18" s="1"/>
  <c r="F726" i="18"/>
  <c r="B726" i="18"/>
  <c r="F725" i="18"/>
  <c r="B725" i="18" s="1"/>
  <c r="F724" i="18"/>
  <c r="B724" i="18"/>
  <c r="F723" i="18"/>
  <c r="B723" i="18" s="1"/>
  <c r="F722" i="18"/>
  <c r="B722" i="18" s="1"/>
  <c r="F721" i="18"/>
  <c r="B721" i="18" s="1"/>
  <c r="F720" i="18"/>
  <c r="B720" i="18" s="1"/>
  <c r="F719" i="18"/>
  <c r="B719" i="18" s="1"/>
  <c r="F718" i="18"/>
  <c r="B718" i="18"/>
  <c r="F717" i="18"/>
  <c r="B717" i="18" s="1"/>
  <c r="F716" i="18"/>
  <c r="B716" i="18" s="1"/>
  <c r="F715" i="18"/>
  <c r="B715" i="18" s="1"/>
  <c r="F714" i="18"/>
  <c r="B714" i="18" s="1"/>
  <c r="F713" i="18"/>
  <c r="B713" i="18" s="1"/>
  <c r="F712" i="18"/>
  <c r="B712" i="18" s="1"/>
  <c r="F711" i="18"/>
  <c r="B711" i="18" s="1"/>
  <c r="F710" i="18"/>
  <c r="B710" i="18" s="1"/>
  <c r="F709" i="18"/>
  <c r="B709" i="18" s="1"/>
  <c r="F708" i="18"/>
  <c r="B708" i="18" s="1"/>
  <c r="F707" i="18"/>
  <c r="B707" i="18" s="1"/>
  <c r="F706" i="18"/>
  <c r="B706" i="18"/>
  <c r="F705" i="18"/>
  <c r="B705" i="18" s="1"/>
  <c r="F704" i="18"/>
  <c r="B704" i="18" s="1"/>
  <c r="F703" i="18"/>
  <c r="B703" i="18" s="1"/>
  <c r="F702" i="18"/>
  <c r="B702" i="18" s="1"/>
  <c r="F701" i="18"/>
  <c r="B701" i="18" s="1"/>
  <c r="F700" i="18"/>
  <c r="B700" i="18"/>
  <c r="L698" i="18"/>
  <c r="K698" i="18"/>
  <c r="J698" i="18"/>
  <c r="I698" i="18"/>
  <c r="H698" i="18"/>
  <c r="D698" i="18"/>
  <c r="F695" i="18"/>
  <c r="B695" i="18" s="1"/>
  <c r="F694" i="18"/>
  <c r="B694" i="18" s="1"/>
  <c r="F693" i="18"/>
  <c r="B693" i="18" s="1"/>
  <c r="F692" i="18"/>
  <c r="B692" i="18"/>
  <c r="F691" i="18"/>
  <c r="B691" i="18" s="1"/>
  <c r="F690" i="18"/>
  <c r="B690" i="18" s="1"/>
  <c r="F689" i="18"/>
  <c r="B689" i="18" s="1"/>
  <c r="F688" i="18"/>
  <c r="B688" i="18" s="1"/>
  <c r="F687" i="18"/>
  <c r="B687" i="18" s="1"/>
  <c r="F686" i="18"/>
  <c r="B686" i="18" s="1"/>
  <c r="F685" i="18"/>
  <c r="B685" i="18" s="1"/>
  <c r="F684" i="18"/>
  <c r="B684" i="18"/>
  <c r="F683" i="18"/>
  <c r="B683" i="18"/>
  <c r="F682" i="18"/>
  <c r="B682" i="18"/>
  <c r="F681" i="18"/>
  <c r="B681" i="18"/>
  <c r="F680" i="18"/>
  <c r="B680" i="18"/>
  <c r="F679" i="18"/>
  <c r="B679" i="18"/>
  <c r="F678" i="18"/>
  <c r="B678" i="18"/>
  <c r="F677" i="18"/>
  <c r="B677" i="18"/>
  <c r="F676" i="18"/>
  <c r="B676" i="18"/>
  <c r="F675" i="18"/>
  <c r="B675" i="18"/>
  <c r="F674" i="18"/>
  <c r="B674" i="18"/>
  <c r="F673" i="18"/>
  <c r="B673" i="18"/>
  <c r="F672" i="18"/>
  <c r="B672" i="18"/>
  <c r="F671" i="18"/>
  <c r="B671" i="18"/>
  <c r="F670" i="18"/>
  <c r="B670" i="18"/>
  <c r="F669" i="18"/>
  <c r="B669" i="18"/>
  <c r="F668" i="18"/>
  <c r="B668" i="18"/>
  <c r="F667" i="18"/>
  <c r="B667" i="18"/>
  <c r="F666" i="18"/>
  <c r="B666" i="18"/>
  <c r="F665" i="18"/>
  <c r="B665" i="18"/>
  <c r="F664" i="18"/>
  <c r="B664" i="18"/>
  <c r="L662" i="18"/>
  <c r="K662" i="18"/>
  <c r="J662" i="18"/>
  <c r="I662" i="18"/>
  <c r="H662" i="18"/>
  <c r="D662" i="18"/>
  <c r="F659" i="18"/>
  <c r="B659" i="18"/>
  <c r="F658" i="18"/>
  <c r="B658" i="18"/>
  <c r="F657" i="18"/>
  <c r="B657" i="18"/>
  <c r="F656" i="18"/>
  <c r="B656" i="18"/>
  <c r="F655" i="18"/>
  <c r="B655" i="18"/>
  <c r="F654" i="18"/>
  <c r="B654" i="18"/>
  <c r="F653" i="18"/>
  <c r="B653" i="18"/>
  <c r="F652" i="18"/>
  <c r="B652" i="18"/>
  <c r="F651" i="18"/>
  <c r="B651" i="18"/>
  <c r="F650" i="18"/>
  <c r="B650" i="18"/>
  <c r="F649" i="18"/>
  <c r="B649" i="18"/>
  <c r="F648" i="18"/>
  <c r="B648" i="18"/>
  <c r="F647" i="18"/>
  <c r="B647" i="18"/>
  <c r="F646" i="18"/>
  <c r="B646" i="18"/>
  <c r="F645" i="18"/>
  <c r="B645" i="18"/>
  <c r="F644" i="18"/>
  <c r="B644" i="18"/>
  <c r="F643" i="18"/>
  <c r="B643" i="18"/>
  <c r="F642" i="18"/>
  <c r="B642" i="18"/>
  <c r="F641" i="18"/>
  <c r="B641" i="18"/>
  <c r="F640" i="18"/>
  <c r="B640" i="18"/>
  <c r="F639" i="18"/>
  <c r="B639" i="18"/>
  <c r="F638" i="18"/>
  <c r="B638" i="18"/>
  <c r="F637" i="18"/>
  <c r="B637" i="18"/>
  <c r="F636" i="18"/>
  <c r="B636" i="18"/>
  <c r="F635" i="18"/>
  <c r="B635" i="18"/>
  <c r="F634" i="18"/>
  <c r="B634" i="18"/>
  <c r="F633" i="18"/>
  <c r="B633" i="18"/>
  <c r="F632" i="18"/>
  <c r="B632" i="18"/>
  <c r="F631" i="18"/>
  <c r="B631" i="18"/>
  <c r="F630" i="18"/>
  <c r="B630" i="18"/>
  <c r="F629" i="18"/>
  <c r="B629" i="18"/>
  <c r="F628" i="18"/>
  <c r="F626" i="18" s="1"/>
  <c r="B628" i="18"/>
  <c r="B626" i="18" s="1"/>
  <c r="L626" i="18"/>
  <c r="K626" i="18"/>
  <c r="J626" i="18"/>
  <c r="I626" i="18"/>
  <c r="H626" i="18"/>
  <c r="D626" i="18"/>
  <c r="F623" i="18"/>
  <c r="B623" i="18" s="1"/>
  <c r="F622" i="18"/>
  <c r="B622" i="18" s="1"/>
  <c r="F621" i="18"/>
  <c r="B621" i="18" s="1"/>
  <c r="F620" i="18"/>
  <c r="B620" i="18" s="1"/>
  <c r="F619" i="18"/>
  <c r="B619" i="18" s="1"/>
  <c r="F618" i="18"/>
  <c r="B618" i="18" s="1"/>
  <c r="F617" i="18"/>
  <c r="B617" i="18" s="1"/>
  <c r="F616" i="18"/>
  <c r="B616" i="18" s="1"/>
  <c r="F615" i="18"/>
  <c r="B615" i="18" s="1"/>
  <c r="F614" i="18"/>
  <c r="B614" i="18" s="1"/>
  <c r="F613" i="18"/>
  <c r="B613" i="18" s="1"/>
  <c r="F612" i="18"/>
  <c r="B612" i="18" s="1"/>
  <c r="F611" i="18"/>
  <c r="B611" i="18" s="1"/>
  <c r="F610" i="18"/>
  <c r="B610" i="18" s="1"/>
  <c r="F609" i="18"/>
  <c r="B609" i="18" s="1"/>
  <c r="F608" i="18"/>
  <c r="B608" i="18"/>
  <c r="F607" i="18"/>
  <c r="B607" i="18" s="1"/>
  <c r="F606" i="18"/>
  <c r="B606" i="18"/>
  <c r="F605" i="18"/>
  <c r="B605" i="18" s="1"/>
  <c r="F604" i="18"/>
  <c r="B604" i="18"/>
  <c r="F603" i="18"/>
  <c r="B603" i="18" s="1"/>
  <c r="F602" i="18"/>
  <c r="B602" i="18"/>
  <c r="F601" i="18"/>
  <c r="B601" i="18" s="1"/>
  <c r="F600" i="18"/>
  <c r="B600" i="18"/>
  <c r="F599" i="18"/>
  <c r="B599" i="18" s="1"/>
  <c r="F598" i="18"/>
  <c r="B598" i="18"/>
  <c r="F597" i="18"/>
  <c r="B597" i="18" s="1"/>
  <c r="F596" i="18"/>
  <c r="B596" i="18"/>
  <c r="F595" i="18"/>
  <c r="B595" i="18" s="1"/>
  <c r="F594" i="18"/>
  <c r="B594" i="18"/>
  <c r="F593" i="18"/>
  <c r="B593" i="18" s="1"/>
  <c r="B590" i="18" s="1"/>
  <c r="F592" i="18"/>
  <c r="B592" i="18"/>
  <c r="L590" i="18"/>
  <c r="K590" i="18"/>
  <c r="J590" i="18"/>
  <c r="I590" i="18"/>
  <c r="H590" i="18"/>
  <c r="D590" i="18"/>
  <c r="F587" i="18"/>
  <c r="B587" i="18"/>
  <c r="F586" i="18"/>
  <c r="B586" i="18" s="1"/>
  <c r="F585" i="18"/>
  <c r="B585" i="18"/>
  <c r="F584" i="18"/>
  <c r="B584" i="18" s="1"/>
  <c r="F583" i="18"/>
  <c r="B583" i="18"/>
  <c r="F582" i="18"/>
  <c r="B582" i="18" s="1"/>
  <c r="F581" i="18"/>
  <c r="B581" i="18"/>
  <c r="F580" i="18"/>
  <c r="B580" i="18"/>
  <c r="F579" i="18"/>
  <c r="B579" i="18"/>
  <c r="F578" i="18"/>
  <c r="B578" i="18"/>
  <c r="F577" i="18"/>
  <c r="B577" i="18"/>
  <c r="F576" i="18"/>
  <c r="B576" i="18"/>
  <c r="F575" i="18"/>
  <c r="B575" i="18"/>
  <c r="F574" i="18"/>
  <c r="B574" i="18"/>
  <c r="F573" i="18"/>
  <c r="B573" i="18"/>
  <c r="F572" i="18"/>
  <c r="B572" i="18"/>
  <c r="F571" i="18"/>
  <c r="B571" i="18"/>
  <c r="F570" i="18"/>
  <c r="B570" i="18"/>
  <c r="F569" i="18"/>
  <c r="B569" i="18"/>
  <c r="F568" i="18"/>
  <c r="B568" i="18"/>
  <c r="F567" i="18"/>
  <c r="B567" i="18"/>
  <c r="F566" i="18"/>
  <c r="B566" i="18"/>
  <c r="F565" i="18"/>
  <c r="B565" i="18"/>
  <c r="F564" i="18"/>
  <c r="B564" i="18"/>
  <c r="F563" i="18"/>
  <c r="B563" i="18"/>
  <c r="F562" i="18"/>
  <c r="B562" i="18"/>
  <c r="F561" i="18"/>
  <c r="B561" i="18"/>
  <c r="F560" i="18"/>
  <c r="B560" i="18"/>
  <c r="F559" i="18"/>
  <c r="B559" i="18"/>
  <c r="F558" i="18"/>
  <c r="B558" i="18"/>
  <c r="F557" i="18"/>
  <c r="B557" i="18"/>
  <c r="F556" i="18"/>
  <c r="F554" i="18" s="1"/>
  <c r="B556" i="18"/>
  <c r="L554" i="18"/>
  <c r="K554" i="18"/>
  <c r="J554" i="18"/>
  <c r="I554" i="18"/>
  <c r="H554" i="18"/>
  <c r="D554" i="18"/>
  <c r="F551" i="18"/>
  <c r="B551" i="18"/>
  <c r="F550" i="18"/>
  <c r="B550" i="18"/>
  <c r="F549" i="18"/>
  <c r="B549" i="18"/>
  <c r="F548" i="18"/>
  <c r="B548" i="18"/>
  <c r="F547" i="18"/>
  <c r="B547" i="18"/>
  <c r="F546" i="18"/>
  <c r="B546" i="18"/>
  <c r="F545" i="18"/>
  <c r="B545" i="18"/>
  <c r="F544" i="18"/>
  <c r="B544" i="18"/>
  <c r="F543" i="18"/>
  <c r="B543" i="18"/>
  <c r="F542" i="18"/>
  <c r="B542" i="18"/>
  <c r="F541" i="18"/>
  <c r="B541" i="18"/>
  <c r="F540" i="18"/>
  <c r="B540" i="18"/>
  <c r="F539" i="18"/>
  <c r="B539" i="18"/>
  <c r="F538" i="18"/>
  <c r="B538" i="18"/>
  <c r="F537" i="18"/>
  <c r="B537" i="18"/>
  <c r="F536" i="18"/>
  <c r="B536" i="18"/>
  <c r="F535" i="18"/>
  <c r="B535" i="18"/>
  <c r="F534" i="18"/>
  <c r="B534" i="18"/>
  <c r="F533" i="18"/>
  <c r="B533" i="18"/>
  <c r="F532" i="18"/>
  <c r="B532" i="18"/>
  <c r="F531" i="18"/>
  <c r="B531" i="18"/>
  <c r="F530" i="18"/>
  <c r="B530" i="18"/>
  <c r="F529" i="18"/>
  <c r="B529" i="18"/>
  <c r="F528" i="18"/>
  <c r="B528" i="18"/>
  <c r="F527" i="18"/>
  <c r="B527" i="18"/>
  <c r="F526" i="18"/>
  <c r="B526" i="18"/>
  <c r="F525" i="18"/>
  <c r="B525" i="18"/>
  <c r="F524" i="18"/>
  <c r="B524" i="18"/>
  <c r="F523" i="18"/>
  <c r="B523" i="18"/>
  <c r="F522" i="18"/>
  <c r="B522" i="18"/>
  <c r="F521" i="18"/>
  <c r="B521" i="18"/>
  <c r="F520" i="18"/>
  <c r="F518" i="18" s="1"/>
  <c r="B520" i="18"/>
  <c r="B518" i="18" s="1"/>
  <c r="L518" i="18"/>
  <c r="K518" i="18"/>
  <c r="J518" i="18"/>
  <c r="I518" i="18"/>
  <c r="H518" i="18"/>
  <c r="D518" i="18"/>
  <c r="F515" i="18"/>
  <c r="B515" i="18" s="1"/>
  <c r="F514" i="18"/>
  <c r="B514" i="18" s="1"/>
  <c r="F513" i="18"/>
  <c r="B513" i="18" s="1"/>
  <c r="F512" i="18"/>
  <c r="B512" i="18" s="1"/>
  <c r="F511" i="18"/>
  <c r="B511" i="18" s="1"/>
  <c r="F510" i="18"/>
  <c r="B510" i="18"/>
  <c r="F509" i="18"/>
  <c r="B509" i="18" s="1"/>
  <c r="F508" i="18"/>
  <c r="B508" i="18"/>
  <c r="F507" i="18"/>
  <c r="B507" i="18" s="1"/>
  <c r="F506" i="18"/>
  <c r="B506" i="18"/>
  <c r="F505" i="18"/>
  <c r="B505" i="18" s="1"/>
  <c r="F504" i="18"/>
  <c r="B504" i="18"/>
  <c r="F503" i="18"/>
  <c r="B503" i="18" s="1"/>
  <c r="F502" i="18"/>
  <c r="B502" i="18"/>
  <c r="F501" i="18"/>
  <c r="B501" i="18" s="1"/>
  <c r="F500" i="18"/>
  <c r="B500" i="18"/>
  <c r="F499" i="18"/>
  <c r="B499" i="18" s="1"/>
  <c r="F498" i="18"/>
  <c r="B498" i="18"/>
  <c r="F497" i="18"/>
  <c r="B497" i="18" s="1"/>
  <c r="F496" i="18"/>
  <c r="B496" i="18"/>
  <c r="F495" i="18"/>
  <c r="B495" i="18" s="1"/>
  <c r="F494" i="18"/>
  <c r="B494" i="18"/>
  <c r="F493" i="18"/>
  <c r="B493" i="18" s="1"/>
  <c r="F492" i="18"/>
  <c r="B492" i="18"/>
  <c r="F491" i="18"/>
  <c r="B491" i="18" s="1"/>
  <c r="F490" i="18"/>
  <c r="B490" i="18"/>
  <c r="F489" i="18"/>
  <c r="B489" i="18" s="1"/>
  <c r="F488" i="18"/>
  <c r="B488" i="18"/>
  <c r="F487" i="18"/>
  <c r="B487" i="18" s="1"/>
  <c r="F486" i="18"/>
  <c r="B486" i="18"/>
  <c r="F485" i="18"/>
  <c r="B485" i="18" s="1"/>
  <c r="F484" i="18"/>
  <c r="B484" i="18"/>
  <c r="L482" i="18"/>
  <c r="K482" i="18"/>
  <c r="J482" i="18"/>
  <c r="I482" i="18"/>
  <c r="H482" i="18"/>
  <c r="D482" i="18"/>
  <c r="F479" i="18"/>
  <c r="B479" i="18"/>
  <c r="F478" i="18"/>
  <c r="B478" i="18" s="1"/>
  <c r="F477" i="18"/>
  <c r="B477" i="18"/>
  <c r="F476" i="18"/>
  <c r="B476" i="18" s="1"/>
  <c r="F475" i="18"/>
  <c r="B475" i="18"/>
  <c r="F474" i="18"/>
  <c r="B474" i="18" s="1"/>
  <c r="F473" i="18"/>
  <c r="B473" i="18"/>
  <c r="F472" i="18"/>
  <c r="B472" i="18" s="1"/>
  <c r="F471" i="18"/>
  <c r="B471" i="18"/>
  <c r="F470" i="18"/>
  <c r="B470" i="18" s="1"/>
  <c r="F469" i="18"/>
  <c r="B469" i="18"/>
  <c r="F468" i="18"/>
  <c r="B468" i="18" s="1"/>
  <c r="F467" i="18"/>
  <c r="B467" i="18"/>
  <c r="F466" i="18"/>
  <c r="B466" i="18" s="1"/>
  <c r="F465" i="18"/>
  <c r="B465" i="18"/>
  <c r="F464" i="18"/>
  <c r="B464" i="18" s="1"/>
  <c r="F463" i="18"/>
  <c r="B463" i="18"/>
  <c r="F462" i="18"/>
  <c r="B462" i="18" s="1"/>
  <c r="F461" i="18"/>
  <c r="B461" i="18"/>
  <c r="F460" i="18"/>
  <c r="B460" i="18" s="1"/>
  <c r="F459" i="18"/>
  <c r="B459" i="18"/>
  <c r="F458" i="18"/>
  <c r="B458" i="18" s="1"/>
  <c r="F457" i="18"/>
  <c r="B457" i="18"/>
  <c r="F456" i="18"/>
  <c r="B456" i="18" s="1"/>
  <c r="F455" i="18"/>
  <c r="B455" i="18"/>
  <c r="F454" i="18"/>
  <c r="B454" i="18" s="1"/>
  <c r="F453" i="18"/>
  <c r="B453" i="18"/>
  <c r="F452" i="18"/>
  <c r="B452" i="18" s="1"/>
  <c r="F451" i="18"/>
  <c r="B451" i="18"/>
  <c r="F450" i="18"/>
  <c r="B450" i="18" s="1"/>
  <c r="F449" i="18"/>
  <c r="B449" i="18"/>
  <c r="F448" i="18"/>
  <c r="F446" i="18" s="1"/>
  <c r="L446" i="18"/>
  <c r="K446" i="18"/>
  <c r="J446" i="18"/>
  <c r="I446" i="18"/>
  <c r="H446" i="18"/>
  <c r="D446" i="18"/>
  <c r="F443" i="18"/>
  <c r="B443" i="18" s="1"/>
  <c r="F442" i="18"/>
  <c r="B442" i="18"/>
  <c r="F441" i="18"/>
  <c r="B441" i="18" s="1"/>
  <c r="F440" i="18"/>
  <c r="B440" i="18"/>
  <c r="F439" i="18"/>
  <c r="B439" i="18" s="1"/>
  <c r="F438" i="18"/>
  <c r="B438" i="18"/>
  <c r="F437" i="18"/>
  <c r="B437" i="18" s="1"/>
  <c r="F436" i="18"/>
  <c r="B436" i="18"/>
  <c r="F435" i="18"/>
  <c r="B435" i="18" s="1"/>
  <c r="F434" i="18"/>
  <c r="B434" i="18"/>
  <c r="F433" i="18"/>
  <c r="B433" i="18" s="1"/>
  <c r="F432" i="18"/>
  <c r="B432" i="18"/>
  <c r="F431" i="18"/>
  <c r="B431" i="18" s="1"/>
  <c r="F430" i="18"/>
  <c r="B430" i="18"/>
  <c r="F429" i="18"/>
  <c r="B429" i="18" s="1"/>
  <c r="F428" i="18"/>
  <c r="B428" i="18"/>
  <c r="F427" i="18"/>
  <c r="B427" i="18" s="1"/>
  <c r="F426" i="18"/>
  <c r="B426" i="18"/>
  <c r="F425" i="18"/>
  <c r="B425" i="18" s="1"/>
  <c r="F424" i="18"/>
  <c r="B424" i="18"/>
  <c r="F423" i="18"/>
  <c r="B423" i="18" s="1"/>
  <c r="F422" i="18"/>
  <c r="B422" i="18"/>
  <c r="F421" i="18"/>
  <c r="B421" i="18"/>
  <c r="F420" i="18"/>
  <c r="B420" i="18"/>
  <c r="F419" i="18"/>
  <c r="B419" i="18"/>
  <c r="F418" i="18"/>
  <c r="B418" i="18"/>
  <c r="F417" i="18"/>
  <c r="B417" i="18"/>
  <c r="F416" i="18"/>
  <c r="B416" i="18"/>
  <c r="F415" i="18"/>
  <c r="B415" i="18"/>
  <c r="F414" i="18"/>
  <c r="B414" i="18"/>
  <c r="F413" i="18"/>
  <c r="B413" i="18"/>
  <c r="F412" i="18"/>
  <c r="B412" i="18"/>
  <c r="L410" i="18"/>
  <c r="K410" i="18"/>
  <c r="J410" i="18"/>
  <c r="I410" i="18"/>
  <c r="H410" i="18"/>
  <c r="D410" i="18"/>
  <c r="F407" i="18"/>
  <c r="B407" i="18"/>
  <c r="F406" i="18"/>
  <c r="B406" i="18"/>
  <c r="F405" i="18"/>
  <c r="B405" i="18"/>
  <c r="F404" i="18"/>
  <c r="B404" i="18"/>
  <c r="F403" i="18"/>
  <c r="B403" i="18"/>
  <c r="F402" i="18"/>
  <c r="B402" i="18"/>
  <c r="F401" i="18"/>
  <c r="B401" i="18"/>
  <c r="F400" i="18"/>
  <c r="B400" i="18"/>
  <c r="F399" i="18"/>
  <c r="B399" i="18"/>
  <c r="F398" i="18"/>
  <c r="B398" i="18"/>
  <c r="F397" i="18"/>
  <c r="B397" i="18"/>
  <c r="F396" i="18"/>
  <c r="B396" i="18"/>
  <c r="F395" i="18"/>
  <c r="B395" i="18"/>
  <c r="F394" i="18"/>
  <c r="B394" i="18"/>
  <c r="F393" i="18"/>
  <c r="B393" i="18"/>
  <c r="F392" i="18"/>
  <c r="B392" i="18"/>
  <c r="F391" i="18"/>
  <c r="B391" i="18"/>
  <c r="F390" i="18"/>
  <c r="B390" i="18"/>
  <c r="F389" i="18"/>
  <c r="B389" i="18"/>
  <c r="F388" i="18"/>
  <c r="B388" i="18"/>
  <c r="F387" i="18"/>
  <c r="B387" i="18"/>
  <c r="F386" i="18"/>
  <c r="B386" i="18"/>
  <c r="F385" i="18"/>
  <c r="B385" i="18"/>
  <c r="F384" i="18"/>
  <c r="B384" i="18"/>
  <c r="F383" i="18"/>
  <c r="B383" i="18"/>
  <c r="F382" i="18"/>
  <c r="B382" i="18"/>
  <c r="F381" i="18"/>
  <c r="B381" i="18"/>
  <c r="F380" i="18"/>
  <c r="B380" i="18"/>
  <c r="F379" i="18"/>
  <c r="B379" i="18"/>
  <c r="F378" i="18"/>
  <c r="B378" i="18"/>
  <c r="F377" i="18"/>
  <c r="B377" i="18"/>
  <c r="F376" i="18"/>
  <c r="F374" i="18" s="1"/>
  <c r="B376" i="18"/>
  <c r="B374" i="18" s="1"/>
  <c r="L374" i="18"/>
  <c r="K374" i="18"/>
  <c r="J374" i="18"/>
  <c r="I374" i="18"/>
  <c r="H374" i="18"/>
  <c r="D374" i="18"/>
  <c r="F371" i="18"/>
  <c r="B371" i="18" s="1"/>
  <c r="F370" i="18"/>
  <c r="B370" i="18" s="1"/>
  <c r="F369" i="18"/>
  <c r="B369" i="18" s="1"/>
  <c r="F368" i="18"/>
  <c r="B368" i="18" s="1"/>
  <c r="F367" i="18"/>
  <c r="B367" i="18" s="1"/>
  <c r="F366" i="18"/>
  <c r="B366" i="18" s="1"/>
  <c r="F365" i="18"/>
  <c r="B365" i="18" s="1"/>
  <c r="F364" i="18"/>
  <c r="B364" i="18" s="1"/>
  <c r="F363" i="18"/>
  <c r="B363" i="18" s="1"/>
  <c r="F362" i="18"/>
  <c r="B362" i="18" s="1"/>
  <c r="F361" i="18"/>
  <c r="B361" i="18" s="1"/>
  <c r="F360" i="18"/>
  <c r="B360" i="18" s="1"/>
  <c r="F359" i="18"/>
  <c r="B359" i="18" s="1"/>
  <c r="F358" i="18"/>
  <c r="B358" i="18" s="1"/>
  <c r="F357" i="18"/>
  <c r="B357" i="18" s="1"/>
  <c r="F356" i="18"/>
  <c r="B356" i="18" s="1"/>
  <c r="F355" i="18"/>
  <c r="B355" i="18" s="1"/>
  <c r="F354" i="18"/>
  <c r="B354" i="18" s="1"/>
  <c r="F353" i="18"/>
  <c r="B353" i="18" s="1"/>
  <c r="F352" i="18"/>
  <c r="B352" i="18" s="1"/>
  <c r="F351" i="18"/>
  <c r="B351" i="18" s="1"/>
  <c r="F350" i="18"/>
  <c r="B350" i="18" s="1"/>
  <c r="F349" i="18"/>
  <c r="B349" i="18" s="1"/>
  <c r="F348" i="18"/>
  <c r="B348" i="18" s="1"/>
  <c r="F347" i="18"/>
  <c r="B347" i="18" s="1"/>
  <c r="F346" i="18"/>
  <c r="B346" i="18" s="1"/>
  <c r="F345" i="18"/>
  <c r="B345" i="18" s="1"/>
  <c r="F344" i="18"/>
  <c r="B344" i="18" s="1"/>
  <c r="F343" i="18"/>
  <c r="B343" i="18" s="1"/>
  <c r="F342" i="18"/>
  <c r="B342" i="18" s="1"/>
  <c r="F341" i="18"/>
  <c r="B341" i="18" s="1"/>
  <c r="F340" i="18"/>
  <c r="F338" i="18" s="1"/>
  <c r="L338" i="18"/>
  <c r="K338" i="18"/>
  <c r="J338" i="18"/>
  <c r="I338" i="18"/>
  <c r="H338" i="18"/>
  <c r="D338" i="18"/>
  <c r="F335" i="18"/>
  <c r="B335" i="18"/>
  <c r="F334" i="18"/>
  <c r="B334" i="18"/>
  <c r="F333" i="18"/>
  <c r="B333" i="18"/>
  <c r="F332" i="18"/>
  <c r="B332" i="18"/>
  <c r="F331" i="18"/>
  <c r="B331" i="18"/>
  <c r="F330" i="18"/>
  <c r="B330" i="18"/>
  <c r="F329" i="18"/>
  <c r="B329" i="18"/>
  <c r="F328" i="18"/>
  <c r="B328" i="18"/>
  <c r="F327" i="18"/>
  <c r="B327" i="18"/>
  <c r="F326" i="18"/>
  <c r="B326" i="18"/>
  <c r="F325" i="18"/>
  <c r="B325" i="18"/>
  <c r="F324" i="18"/>
  <c r="B324" i="18"/>
  <c r="F323" i="18"/>
  <c r="B323" i="18"/>
  <c r="F322" i="18"/>
  <c r="B322" i="18"/>
  <c r="F321" i="18"/>
  <c r="B321" i="18"/>
  <c r="F320" i="18"/>
  <c r="B320" i="18"/>
  <c r="F319" i="18"/>
  <c r="B319" i="18"/>
  <c r="F318" i="18"/>
  <c r="B318" i="18"/>
  <c r="F317" i="18"/>
  <c r="B317" i="18"/>
  <c r="F316" i="18"/>
  <c r="B316" i="18"/>
  <c r="F315" i="18"/>
  <c r="B315" i="18"/>
  <c r="F314" i="18"/>
  <c r="B314" i="18"/>
  <c r="F313" i="18"/>
  <c r="B313" i="18"/>
  <c r="F312" i="18"/>
  <c r="B312" i="18"/>
  <c r="F311" i="18"/>
  <c r="B311" i="18"/>
  <c r="F310" i="18"/>
  <c r="B310" i="18"/>
  <c r="F309" i="18"/>
  <c r="B309" i="18"/>
  <c r="F308" i="18"/>
  <c r="B308" i="18"/>
  <c r="F307" i="18"/>
  <c r="B307" i="18"/>
  <c r="F306" i="18"/>
  <c r="B306" i="18"/>
  <c r="F305" i="18"/>
  <c r="B305" i="18"/>
  <c r="F304" i="18"/>
  <c r="B304" i="18"/>
  <c r="L302" i="18"/>
  <c r="K302" i="18"/>
  <c r="J302" i="18"/>
  <c r="I302" i="18"/>
  <c r="H302" i="18"/>
  <c r="F302" i="18"/>
  <c r="D302" i="18"/>
  <c r="B302" i="18"/>
  <c r="F299" i="18"/>
  <c r="B299" i="18"/>
  <c r="F298" i="18"/>
  <c r="B298" i="18"/>
  <c r="F297" i="18"/>
  <c r="B297" i="18"/>
  <c r="F296" i="18"/>
  <c r="B296" i="18"/>
  <c r="F295" i="18"/>
  <c r="B295" i="18"/>
  <c r="F294" i="18"/>
  <c r="B294" i="18"/>
  <c r="F293" i="18"/>
  <c r="B293" i="18"/>
  <c r="F292" i="18"/>
  <c r="B292" i="18"/>
  <c r="F291" i="18"/>
  <c r="B291" i="18"/>
  <c r="F290" i="18"/>
  <c r="B290" i="18"/>
  <c r="F289" i="18"/>
  <c r="B289" i="18"/>
  <c r="F288" i="18"/>
  <c r="B288" i="18"/>
  <c r="F287" i="18"/>
  <c r="B287" i="18"/>
  <c r="F286" i="18"/>
  <c r="B286" i="18"/>
  <c r="F285" i="18"/>
  <c r="B285" i="18"/>
  <c r="F284" i="18"/>
  <c r="B284" i="18"/>
  <c r="F283" i="18"/>
  <c r="B283" i="18"/>
  <c r="F282" i="18"/>
  <c r="B282" i="18"/>
  <c r="F281" i="18"/>
  <c r="B281" i="18"/>
  <c r="F280" i="18"/>
  <c r="B280" i="18"/>
  <c r="F279" i="18"/>
  <c r="B279" i="18"/>
  <c r="F278" i="18"/>
  <c r="B278" i="18"/>
  <c r="F277" i="18"/>
  <c r="B277" i="18"/>
  <c r="F276" i="18"/>
  <c r="B276" i="18"/>
  <c r="F275" i="18"/>
  <c r="B275" i="18"/>
  <c r="F274" i="18"/>
  <c r="B274" i="18"/>
  <c r="F273" i="18"/>
  <c r="B273" i="18"/>
  <c r="F272" i="18"/>
  <c r="B272" i="18"/>
  <c r="F271" i="18"/>
  <c r="B271" i="18"/>
  <c r="F270" i="18"/>
  <c r="B270" i="18"/>
  <c r="F269" i="18"/>
  <c r="B269" i="18"/>
  <c r="F268" i="18"/>
  <c r="B268" i="18"/>
  <c r="B266" i="18" s="1"/>
  <c r="L266" i="18"/>
  <c r="K266" i="18"/>
  <c r="J266" i="18"/>
  <c r="I266" i="18"/>
  <c r="H266" i="18"/>
  <c r="F266" i="18"/>
  <c r="D266" i="18"/>
  <c r="F263" i="18"/>
  <c r="B263" i="18"/>
  <c r="F262" i="18"/>
  <c r="B262" i="18"/>
  <c r="F261" i="18"/>
  <c r="B261" i="18"/>
  <c r="F260" i="18"/>
  <c r="B260" i="18"/>
  <c r="F259" i="18"/>
  <c r="B259" i="18"/>
  <c r="F258" i="18"/>
  <c r="B258" i="18"/>
  <c r="B257" i="18"/>
  <c r="F256" i="18"/>
  <c r="B256" i="18" s="1"/>
  <c r="F255" i="18"/>
  <c r="B255" i="18" s="1"/>
  <c r="F254" i="18"/>
  <c r="B254" i="18" s="1"/>
  <c r="F253" i="18"/>
  <c r="B253" i="18" s="1"/>
  <c r="B252" i="18"/>
  <c r="F251" i="18"/>
  <c r="B251" i="18"/>
  <c r="B250" i="18"/>
  <c r="F249" i="18"/>
  <c r="B249" i="18" s="1"/>
  <c r="F248" i="18"/>
  <c r="B248" i="18" s="1"/>
  <c r="F247" i="18"/>
  <c r="B247" i="18" s="1"/>
  <c r="F246" i="18"/>
  <c r="B246" i="18" s="1"/>
  <c r="B245" i="18"/>
  <c r="F244" i="18"/>
  <c r="B244" i="18"/>
  <c r="F243" i="18"/>
  <c r="B243" i="18"/>
  <c r="F242" i="18"/>
  <c r="B242" i="18"/>
  <c r="F241" i="18"/>
  <c r="F239" i="18"/>
  <c r="B239" i="18" s="1"/>
  <c r="F238" i="18"/>
  <c r="B238" i="18" s="1"/>
  <c r="F237" i="18"/>
  <c r="B237" i="18" s="1"/>
  <c r="B236" i="18"/>
  <c r="F235" i="18"/>
  <c r="B235" i="18" s="1"/>
  <c r="F234" i="18"/>
  <c r="F230" i="18" s="1"/>
  <c r="F233" i="18"/>
  <c r="B233" i="18" s="1"/>
  <c r="B232" i="18"/>
  <c r="L230" i="18"/>
  <c r="K230" i="18"/>
  <c r="J230" i="18"/>
  <c r="I230" i="18"/>
  <c r="H230" i="18"/>
  <c r="D230" i="18"/>
  <c r="F227" i="18"/>
  <c r="B227" i="18" s="1"/>
  <c r="F226" i="18"/>
  <c r="B226" i="18" s="1"/>
  <c r="F225" i="18"/>
  <c r="B225" i="18" s="1"/>
  <c r="F224" i="18"/>
  <c r="B224" i="18" s="1"/>
  <c r="F223" i="18"/>
  <c r="B223" i="18" s="1"/>
  <c r="F222" i="18"/>
  <c r="B222" i="18" s="1"/>
  <c r="F221" i="18"/>
  <c r="B221" i="18" s="1"/>
  <c r="F220" i="18"/>
  <c r="B220" i="18" s="1"/>
  <c r="F219" i="18"/>
  <c r="B219" i="18" s="1"/>
  <c r="F218" i="18"/>
  <c r="B218" i="18" s="1"/>
  <c r="F217" i="18"/>
  <c r="B217" i="18" s="1"/>
  <c r="F216" i="18"/>
  <c r="B216" i="18" s="1"/>
  <c r="F215" i="18"/>
  <c r="B215" i="18" s="1"/>
  <c r="F214" i="18"/>
  <c r="B214" i="18" s="1"/>
  <c r="F213" i="18"/>
  <c r="B213" i="18" s="1"/>
  <c r="F212" i="18"/>
  <c r="B212" i="18" s="1"/>
  <c r="F211" i="18"/>
  <c r="B211" i="18" s="1"/>
  <c r="F210" i="18"/>
  <c r="B210" i="18" s="1"/>
  <c r="F209" i="18"/>
  <c r="B209" i="18" s="1"/>
  <c r="F208" i="18"/>
  <c r="B208" i="18" s="1"/>
  <c r="F207" i="18"/>
  <c r="B207" i="18" s="1"/>
  <c r="F206" i="18"/>
  <c r="B206" i="18" s="1"/>
  <c r="F205" i="18"/>
  <c r="B205" i="18" s="1"/>
  <c r="F204" i="18"/>
  <c r="B204" i="18" s="1"/>
  <c r="F203" i="18"/>
  <c r="B203" i="18" s="1"/>
  <c r="F202" i="18"/>
  <c r="B202" i="18" s="1"/>
  <c r="F201" i="18"/>
  <c r="B201" i="18" s="1"/>
  <c r="F200" i="18"/>
  <c r="B200" i="18" s="1"/>
  <c r="F199" i="18"/>
  <c r="B199" i="18" s="1"/>
  <c r="F198" i="18"/>
  <c r="B198" i="18" s="1"/>
  <c r="F197" i="18"/>
  <c r="B197" i="18" s="1"/>
  <c r="F196" i="18"/>
  <c r="B196" i="18" s="1"/>
  <c r="L194" i="18"/>
  <c r="K194" i="18"/>
  <c r="J194" i="18"/>
  <c r="I194" i="18"/>
  <c r="H194" i="18"/>
  <c r="D194" i="18"/>
  <c r="F191" i="18"/>
  <c r="B191" i="18" s="1"/>
  <c r="F190" i="18"/>
  <c r="B190" i="18" s="1"/>
  <c r="F189" i="18"/>
  <c r="B189" i="18" s="1"/>
  <c r="F188" i="18"/>
  <c r="B188" i="18" s="1"/>
  <c r="F187" i="18"/>
  <c r="B187" i="18" s="1"/>
  <c r="F186" i="18"/>
  <c r="B186" i="18"/>
  <c r="F185" i="18"/>
  <c r="B185" i="18" s="1"/>
  <c r="F184" i="18"/>
  <c r="B184" i="18" s="1"/>
  <c r="F183" i="18"/>
  <c r="B183" i="18" s="1"/>
  <c r="F182" i="18"/>
  <c r="B182" i="18" s="1"/>
  <c r="F181" i="18"/>
  <c r="B181" i="18" s="1"/>
  <c r="F180" i="18"/>
  <c r="B180" i="18" s="1"/>
  <c r="F179" i="18"/>
  <c r="B179" i="18" s="1"/>
  <c r="F178" i="18"/>
  <c r="B178" i="18" s="1"/>
  <c r="F177" i="18"/>
  <c r="B177" i="18" s="1"/>
  <c r="F176" i="18"/>
  <c r="B176" i="18"/>
  <c r="F175" i="18"/>
  <c r="B175" i="18" s="1"/>
  <c r="F174" i="18"/>
  <c r="B174" i="18" s="1"/>
  <c r="F173" i="18"/>
  <c r="B173" i="18" s="1"/>
  <c r="F172" i="18"/>
  <c r="B172" i="18" s="1"/>
  <c r="F171" i="18"/>
  <c r="B171" i="18" s="1"/>
  <c r="F170" i="18"/>
  <c r="B170" i="18" s="1"/>
  <c r="F169" i="18"/>
  <c r="B169" i="18" s="1"/>
  <c r="F168" i="18"/>
  <c r="B168" i="18" s="1"/>
  <c r="F167" i="18"/>
  <c r="B167" i="18" s="1"/>
  <c r="F166" i="18"/>
  <c r="B166" i="18" s="1"/>
  <c r="F165" i="18"/>
  <c r="B165" i="18" s="1"/>
  <c r="F164" i="18"/>
  <c r="B164" i="18" s="1"/>
  <c r="F163" i="18"/>
  <c r="B163" i="18" s="1"/>
  <c r="F162" i="18"/>
  <c r="B162" i="18" s="1"/>
  <c r="F161" i="18"/>
  <c r="B161" i="18" s="1"/>
  <c r="F160" i="18"/>
  <c r="B160" i="18" s="1"/>
  <c r="L158" i="18"/>
  <c r="K158" i="18"/>
  <c r="J158" i="18"/>
  <c r="I158" i="18"/>
  <c r="H158" i="18"/>
  <c r="D158" i="18"/>
  <c r="F155" i="18"/>
  <c r="B155" i="18" s="1"/>
  <c r="F154" i="18"/>
  <c r="B154" i="18" s="1"/>
  <c r="F153" i="18"/>
  <c r="B153" i="18"/>
  <c r="F152" i="18"/>
  <c r="B152" i="18" s="1"/>
  <c r="F151" i="18"/>
  <c r="B151" i="18"/>
  <c r="F150" i="18"/>
  <c r="B150" i="18" s="1"/>
  <c r="F149" i="18"/>
  <c r="B149" i="18" s="1"/>
  <c r="F148" i="18"/>
  <c r="B148" i="18" s="1"/>
  <c r="F147" i="18"/>
  <c r="B147" i="18" s="1"/>
  <c r="F146" i="18"/>
  <c r="B146" i="18" s="1"/>
  <c r="F145" i="18"/>
  <c r="B145" i="18" s="1"/>
  <c r="F144" i="18"/>
  <c r="B144" i="18" s="1"/>
  <c r="F143" i="18"/>
  <c r="B143" i="18" s="1"/>
  <c r="F142" i="18"/>
  <c r="B142" i="18" s="1"/>
  <c r="F141" i="18"/>
  <c r="B141" i="18" s="1"/>
  <c r="F140" i="18"/>
  <c r="B140" i="18" s="1"/>
  <c r="F139" i="18"/>
  <c r="B139" i="18" s="1"/>
  <c r="F138" i="18"/>
  <c r="B138" i="18" s="1"/>
  <c r="F137" i="18"/>
  <c r="B137" i="18"/>
  <c r="F136" i="18"/>
  <c r="B136" i="18" s="1"/>
  <c r="F135" i="18"/>
  <c r="B135" i="18"/>
  <c r="F134" i="18"/>
  <c r="B134" i="18" s="1"/>
  <c r="F133" i="18"/>
  <c r="B133" i="18" s="1"/>
  <c r="F132" i="18"/>
  <c r="B132" i="18" s="1"/>
  <c r="F131" i="18"/>
  <c r="B131" i="18" s="1"/>
  <c r="F130" i="18"/>
  <c r="B130" i="18" s="1"/>
  <c r="F129" i="18"/>
  <c r="B129" i="18" s="1"/>
  <c r="F128" i="18"/>
  <c r="B128" i="18" s="1"/>
  <c r="F127" i="18"/>
  <c r="B127" i="18" s="1"/>
  <c r="F126" i="18"/>
  <c r="B126" i="18" s="1"/>
  <c r="F125" i="18"/>
  <c r="B125" i="18" s="1"/>
  <c r="F124" i="18"/>
  <c r="B124" i="18" s="1"/>
  <c r="L122" i="18"/>
  <c r="K122" i="18"/>
  <c r="J122" i="18"/>
  <c r="I122" i="18"/>
  <c r="H122" i="18"/>
  <c r="D122" i="18"/>
  <c r="F119" i="18"/>
  <c r="B119" i="18"/>
  <c r="F118" i="18"/>
  <c r="B118" i="18" s="1"/>
  <c r="F117" i="18"/>
  <c r="B117" i="18"/>
  <c r="F116" i="18"/>
  <c r="B116" i="18" s="1"/>
  <c r="F115" i="18"/>
  <c r="B115" i="18" s="1"/>
  <c r="F114" i="18"/>
  <c r="B114" i="18" s="1"/>
  <c r="F113" i="18"/>
  <c r="B113" i="18" s="1"/>
  <c r="F112" i="18"/>
  <c r="B112" i="18" s="1"/>
  <c r="F111" i="18"/>
  <c r="B111" i="18" s="1"/>
  <c r="F110" i="18"/>
  <c r="B110" i="18" s="1"/>
  <c r="F109" i="18"/>
  <c r="B109" i="18" s="1"/>
  <c r="F108" i="18"/>
  <c r="B108" i="18" s="1"/>
  <c r="F107" i="18"/>
  <c r="B107" i="18" s="1"/>
  <c r="F106" i="18"/>
  <c r="B106" i="18" s="1"/>
  <c r="F105" i="18"/>
  <c r="B105" i="18" s="1"/>
  <c r="F104" i="18"/>
  <c r="B104" i="18" s="1"/>
  <c r="F103" i="18"/>
  <c r="B103" i="18"/>
  <c r="F102" i="18"/>
  <c r="B102" i="18" s="1"/>
  <c r="F101" i="18"/>
  <c r="B101" i="18"/>
  <c r="F100" i="18"/>
  <c r="B100" i="18" s="1"/>
  <c r="F99" i="18"/>
  <c r="B99" i="18" s="1"/>
  <c r="F98" i="18"/>
  <c r="B98" i="18" s="1"/>
  <c r="F97" i="18"/>
  <c r="B97" i="18" s="1"/>
  <c r="F96" i="18"/>
  <c r="B96" i="18" s="1"/>
  <c r="F95" i="18"/>
  <c r="B95" i="18" s="1"/>
  <c r="F94" i="18"/>
  <c r="B94" i="18" s="1"/>
  <c r="F93" i="18"/>
  <c r="B93" i="18" s="1"/>
  <c r="F92" i="18"/>
  <c r="B92" i="18" s="1"/>
  <c r="F91" i="18"/>
  <c r="B91" i="18" s="1"/>
  <c r="F90" i="18"/>
  <c r="B90" i="18" s="1"/>
  <c r="F89" i="18"/>
  <c r="B89" i="18" s="1"/>
  <c r="F88" i="18"/>
  <c r="B88" i="18" s="1"/>
  <c r="L86" i="18"/>
  <c r="K86" i="18"/>
  <c r="J86" i="18"/>
  <c r="I86" i="18"/>
  <c r="H86" i="18"/>
  <c r="F86" i="18"/>
  <c r="D86" i="18"/>
  <c r="F83" i="18"/>
  <c r="B83" i="18"/>
  <c r="F82" i="18"/>
  <c r="B82" i="18" s="1"/>
  <c r="F81" i="18"/>
  <c r="B81" i="18" s="1"/>
  <c r="F80" i="18"/>
  <c r="B80" i="18" s="1"/>
  <c r="F79" i="18"/>
  <c r="B79" i="18" s="1"/>
  <c r="F78" i="18"/>
  <c r="B78" i="18" s="1"/>
  <c r="F77" i="18"/>
  <c r="B77" i="18" s="1"/>
  <c r="F76" i="18"/>
  <c r="B76" i="18" s="1"/>
  <c r="F75" i="18"/>
  <c r="B75" i="18" s="1"/>
  <c r="F74" i="18"/>
  <c r="B74" i="18" s="1"/>
  <c r="F73" i="18"/>
  <c r="B73" i="18" s="1"/>
  <c r="F72" i="18"/>
  <c r="B72" i="18" s="1"/>
  <c r="F71" i="18"/>
  <c r="B71" i="18" s="1"/>
  <c r="F70" i="18"/>
  <c r="B70" i="18" s="1"/>
  <c r="F69" i="18"/>
  <c r="B69" i="18"/>
  <c r="F68" i="18"/>
  <c r="B68" i="18" s="1"/>
  <c r="F67" i="18"/>
  <c r="B67" i="18" s="1"/>
  <c r="F66" i="18"/>
  <c r="B66" i="18" s="1"/>
  <c r="F65" i="18"/>
  <c r="B65" i="18" s="1"/>
  <c r="F64" i="18"/>
  <c r="B64" i="18" s="1"/>
  <c r="F63" i="18"/>
  <c r="B63" i="18" s="1"/>
  <c r="F62" i="18"/>
  <c r="B62" i="18" s="1"/>
  <c r="F61" i="18"/>
  <c r="B61" i="18"/>
  <c r="F60" i="18"/>
  <c r="B60" i="18" s="1"/>
  <c r="F59" i="18"/>
  <c r="B59" i="18" s="1"/>
  <c r="F58" i="18"/>
  <c r="B58" i="18" s="1"/>
  <c r="F57" i="18"/>
  <c r="B57" i="18" s="1"/>
  <c r="F56" i="18"/>
  <c r="B56" i="18" s="1"/>
  <c r="F55" i="18"/>
  <c r="F54" i="18"/>
  <c r="B54" i="18" s="1"/>
  <c r="F53" i="18"/>
  <c r="B53" i="18"/>
  <c r="F52" i="18"/>
  <c r="B52" i="18" s="1"/>
  <c r="L50" i="18"/>
  <c r="K50" i="18"/>
  <c r="J50" i="18"/>
  <c r="I50" i="18"/>
  <c r="H50" i="18"/>
  <c r="D50" i="18"/>
  <c r="F47" i="18"/>
  <c r="B47" i="18" s="1"/>
  <c r="F46" i="18"/>
  <c r="B46" i="18" s="1"/>
  <c r="F45" i="18"/>
  <c r="B45" i="18" s="1"/>
  <c r="F44" i="18"/>
  <c r="B44" i="18" s="1"/>
  <c r="F43" i="18"/>
  <c r="B43" i="18" s="1"/>
  <c r="F42" i="18"/>
  <c r="B42" i="18" s="1"/>
  <c r="F41" i="18"/>
  <c r="B41" i="18"/>
  <c r="F40" i="18"/>
  <c r="B40" i="18" s="1"/>
  <c r="F39" i="18"/>
  <c r="B39" i="18" s="1"/>
  <c r="F38" i="18"/>
  <c r="B38" i="18" s="1"/>
  <c r="F37" i="18"/>
  <c r="B37" i="18" s="1"/>
  <c r="F36" i="18"/>
  <c r="B36" i="18" s="1"/>
  <c r="F35" i="18"/>
  <c r="B35" i="18" s="1"/>
  <c r="F34" i="18"/>
  <c r="B34" i="18" s="1"/>
  <c r="F33" i="18"/>
  <c r="B33" i="18"/>
  <c r="F32" i="18"/>
  <c r="B32" i="18" s="1"/>
  <c r="F31" i="18"/>
  <c r="B31" i="18" s="1"/>
  <c r="F30" i="18"/>
  <c r="B30" i="18" s="1"/>
  <c r="F29" i="18"/>
  <c r="B29" i="18" s="1"/>
  <c r="F28" i="18"/>
  <c r="B28" i="18" s="1"/>
  <c r="F27" i="18"/>
  <c r="B27" i="18" s="1"/>
  <c r="F26" i="18"/>
  <c r="B26" i="18" s="1"/>
  <c r="F25" i="18"/>
  <c r="B25" i="18"/>
  <c r="F24" i="18"/>
  <c r="B24" i="18" s="1"/>
  <c r="F23" i="18"/>
  <c r="B23" i="18" s="1"/>
  <c r="F22" i="18"/>
  <c r="B22" i="18" s="1"/>
  <c r="F21" i="18"/>
  <c r="B21" i="18" s="1"/>
  <c r="F20" i="18"/>
  <c r="B20" i="18" s="1"/>
  <c r="F19" i="18"/>
  <c r="B19" i="18" s="1"/>
  <c r="F18" i="18"/>
  <c r="B18" i="18" s="1"/>
  <c r="F17" i="18"/>
  <c r="B17" i="18"/>
  <c r="F16" i="18"/>
  <c r="L14" i="18"/>
  <c r="K14" i="18"/>
  <c r="J14" i="18"/>
  <c r="I14" i="18"/>
  <c r="H14" i="18"/>
  <c r="D14" i="18"/>
  <c r="D836" i="17"/>
  <c r="B836" i="17" s="1"/>
  <c r="D835" i="17"/>
  <c r="B835" i="17" s="1"/>
  <c r="D834" i="17"/>
  <c r="B834" i="17"/>
  <c r="D833" i="17"/>
  <c r="B833" i="17" s="1"/>
  <c r="D832" i="17"/>
  <c r="B832" i="17"/>
  <c r="D831" i="17"/>
  <c r="B831" i="17" s="1"/>
  <c r="D830" i="17"/>
  <c r="B830" i="17" s="1"/>
  <c r="D829" i="17"/>
  <c r="B829" i="17" s="1"/>
  <c r="D828" i="17"/>
  <c r="B828" i="17" s="1"/>
  <c r="D827" i="17"/>
  <c r="B827" i="17"/>
  <c r="D826" i="17"/>
  <c r="B826" i="17" s="1"/>
  <c r="D825" i="17"/>
  <c r="B825" i="17"/>
  <c r="D824" i="17"/>
  <c r="B824" i="17" s="1"/>
  <c r="D823" i="17"/>
  <c r="B823" i="17"/>
  <c r="D822" i="17"/>
  <c r="B822" i="17" s="1"/>
  <c r="D821" i="17"/>
  <c r="B821" i="17"/>
  <c r="D820" i="17"/>
  <c r="B820" i="17" s="1"/>
  <c r="D819" i="17"/>
  <c r="B819" i="17"/>
  <c r="D818" i="17"/>
  <c r="B818" i="17" s="1"/>
  <c r="D817" i="17"/>
  <c r="B817" i="17"/>
  <c r="D816" i="17"/>
  <c r="B816" i="17" s="1"/>
  <c r="D815" i="17"/>
  <c r="B815" i="17"/>
  <c r="D814" i="17"/>
  <c r="B814" i="17" s="1"/>
  <c r="D813" i="17"/>
  <c r="B813" i="17"/>
  <c r="D812" i="17"/>
  <c r="B812" i="17" s="1"/>
  <c r="D811" i="17"/>
  <c r="B811" i="17"/>
  <c r="D810" i="17"/>
  <c r="B810" i="17" s="1"/>
  <c r="D809" i="17"/>
  <c r="B809" i="17"/>
  <c r="D808" i="17"/>
  <c r="B808" i="17" s="1"/>
  <c r="D807" i="17"/>
  <c r="B807" i="17"/>
  <c r="D806" i="17"/>
  <c r="D805" i="17"/>
  <c r="B805" i="17"/>
  <c r="I803" i="17"/>
  <c r="H803" i="17"/>
  <c r="G803" i="17"/>
  <c r="F803" i="17"/>
  <c r="E803" i="17"/>
  <c r="D800" i="17"/>
  <c r="B800" i="17"/>
  <c r="D799" i="17"/>
  <c r="B799" i="17" s="1"/>
  <c r="D798" i="17"/>
  <c r="B798" i="17"/>
  <c r="D797" i="17"/>
  <c r="B797" i="17" s="1"/>
  <c r="D796" i="17"/>
  <c r="B796" i="17"/>
  <c r="D795" i="17"/>
  <c r="B795" i="17" s="1"/>
  <c r="D794" i="17"/>
  <c r="B794" i="17"/>
  <c r="D793" i="17"/>
  <c r="B793" i="17" s="1"/>
  <c r="D792" i="17"/>
  <c r="B792" i="17"/>
  <c r="D791" i="17"/>
  <c r="B791" i="17" s="1"/>
  <c r="D790" i="17"/>
  <c r="B790" i="17"/>
  <c r="D789" i="17"/>
  <c r="B789" i="17" s="1"/>
  <c r="D788" i="17"/>
  <c r="B788" i="17"/>
  <c r="D787" i="17"/>
  <c r="B787" i="17" s="1"/>
  <c r="D786" i="17"/>
  <c r="B786" i="17"/>
  <c r="D785" i="17"/>
  <c r="B785" i="17" s="1"/>
  <c r="D784" i="17"/>
  <c r="B784" i="17"/>
  <c r="D783" i="17"/>
  <c r="B783" i="17" s="1"/>
  <c r="D782" i="17"/>
  <c r="B782" i="17"/>
  <c r="D781" i="17"/>
  <c r="B781" i="17" s="1"/>
  <c r="D780" i="17"/>
  <c r="B780" i="17"/>
  <c r="D779" i="17"/>
  <c r="B779" i="17" s="1"/>
  <c r="D778" i="17"/>
  <c r="B778" i="17"/>
  <c r="D777" i="17"/>
  <c r="B777" i="17" s="1"/>
  <c r="D776" i="17"/>
  <c r="B776" i="17"/>
  <c r="D775" i="17"/>
  <c r="B775" i="17" s="1"/>
  <c r="D774" i="17"/>
  <c r="B774" i="17"/>
  <c r="D773" i="17"/>
  <c r="B773" i="17" s="1"/>
  <c r="D772" i="17"/>
  <c r="B772" i="17"/>
  <c r="D771" i="17"/>
  <c r="B771" i="17" s="1"/>
  <c r="D770" i="17"/>
  <c r="B770" i="17"/>
  <c r="D769" i="17"/>
  <c r="B769" i="17" s="1"/>
  <c r="B767" i="17" s="1"/>
  <c r="I767" i="17"/>
  <c r="H767" i="17"/>
  <c r="G767" i="17"/>
  <c r="F767" i="17"/>
  <c r="E767" i="17"/>
  <c r="D767" i="17"/>
  <c r="D764" i="17"/>
  <c r="B764" i="17"/>
  <c r="D763" i="17"/>
  <c r="B763" i="17" s="1"/>
  <c r="D762" i="17"/>
  <c r="B762" i="17"/>
  <c r="D761" i="17"/>
  <c r="B761" i="17" s="1"/>
  <c r="D760" i="17"/>
  <c r="B760" i="17"/>
  <c r="D759" i="17"/>
  <c r="B759" i="17" s="1"/>
  <c r="D758" i="17"/>
  <c r="B758" i="17"/>
  <c r="D757" i="17"/>
  <c r="B757" i="17" s="1"/>
  <c r="D756" i="17"/>
  <c r="B756" i="17"/>
  <c r="D755" i="17"/>
  <c r="B755" i="17" s="1"/>
  <c r="D754" i="17"/>
  <c r="B754" i="17"/>
  <c r="D753" i="17"/>
  <c r="B753" i="17" s="1"/>
  <c r="D752" i="17"/>
  <c r="B752" i="17"/>
  <c r="D751" i="17"/>
  <c r="B751" i="17" s="1"/>
  <c r="D750" i="17"/>
  <c r="B750" i="17"/>
  <c r="D749" i="17"/>
  <c r="B749" i="17" s="1"/>
  <c r="D748" i="17"/>
  <c r="B748" i="17"/>
  <c r="D747" i="17"/>
  <c r="B747" i="17" s="1"/>
  <c r="D746" i="17"/>
  <c r="B746" i="17"/>
  <c r="D745" i="17"/>
  <c r="B745" i="17" s="1"/>
  <c r="D744" i="17"/>
  <c r="B744" i="17"/>
  <c r="D743" i="17"/>
  <c r="B743" i="17" s="1"/>
  <c r="D742" i="17"/>
  <c r="B742" i="17"/>
  <c r="D741" i="17"/>
  <c r="B741" i="17" s="1"/>
  <c r="D740" i="17"/>
  <c r="B740" i="17"/>
  <c r="D739" i="17"/>
  <c r="B739" i="17" s="1"/>
  <c r="D738" i="17"/>
  <c r="B738" i="17"/>
  <c r="D737" i="17"/>
  <c r="B737" i="17" s="1"/>
  <c r="D736" i="17"/>
  <c r="B736" i="17"/>
  <c r="D735" i="17"/>
  <c r="B735" i="17" s="1"/>
  <c r="D734" i="17"/>
  <c r="B734" i="17"/>
  <c r="D733" i="17"/>
  <c r="I731" i="17"/>
  <c r="H731" i="17"/>
  <c r="G731" i="17"/>
  <c r="F731" i="17"/>
  <c r="E731" i="17"/>
  <c r="D728" i="17"/>
  <c r="B728" i="17" s="1"/>
  <c r="D727" i="17"/>
  <c r="B727" i="17"/>
  <c r="D726" i="17"/>
  <c r="B726" i="17" s="1"/>
  <c r="D725" i="17"/>
  <c r="B725" i="17"/>
  <c r="D724" i="17"/>
  <c r="B724" i="17" s="1"/>
  <c r="D723" i="17"/>
  <c r="B723" i="17"/>
  <c r="D722" i="17"/>
  <c r="B722" i="17" s="1"/>
  <c r="D721" i="17"/>
  <c r="B721" i="17"/>
  <c r="D720" i="17"/>
  <c r="B720" i="17" s="1"/>
  <c r="D719" i="17"/>
  <c r="B719" i="17"/>
  <c r="D718" i="17"/>
  <c r="B718" i="17" s="1"/>
  <c r="D717" i="17"/>
  <c r="B717" i="17"/>
  <c r="D716" i="17"/>
  <c r="B716" i="17" s="1"/>
  <c r="D715" i="17"/>
  <c r="B715" i="17"/>
  <c r="D714" i="17"/>
  <c r="B714" i="17" s="1"/>
  <c r="D713" i="17"/>
  <c r="B713" i="17"/>
  <c r="D712" i="17"/>
  <c r="B712" i="17" s="1"/>
  <c r="D711" i="17"/>
  <c r="B711" i="17"/>
  <c r="D710" i="17"/>
  <c r="B710" i="17" s="1"/>
  <c r="D709" i="17"/>
  <c r="B709" i="17"/>
  <c r="D708" i="17"/>
  <c r="B708" i="17" s="1"/>
  <c r="D707" i="17"/>
  <c r="B707" i="17"/>
  <c r="D706" i="17"/>
  <c r="B706" i="17" s="1"/>
  <c r="D705" i="17"/>
  <c r="B705" i="17"/>
  <c r="D704" i="17"/>
  <c r="B704" i="17" s="1"/>
  <c r="D703" i="17"/>
  <c r="B703" i="17"/>
  <c r="D702" i="17"/>
  <c r="B702" i="17" s="1"/>
  <c r="D701" i="17"/>
  <c r="B701" i="17"/>
  <c r="D700" i="17"/>
  <c r="B700" i="17"/>
  <c r="D699" i="17"/>
  <c r="B699" i="17"/>
  <c r="D698" i="17"/>
  <c r="B698" i="17"/>
  <c r="D697" i="17"/>
  <c r="D695" i="17" s="1"/>
  <c r="B697" i="17"/>
  <c r="I695" i="17"/>
  <c r="H695" i="17"/>
  <c r="G695" i="17"/>
  <c r="F695" i="17"/>
  <c r="E695" i="17"/>
  <c r="D692" i="17"/>
  <c r="B692" i="17" s="1"/>
  <c r="D691" i="17"/>
  <c r="B691" i="17"/>
  <c r="D690" i="17"/>
  <c r="B690" i="17" s="1"/>
  <c r="D689" i="17"/>
  <c r="B689" i="17"/>
  <c r="D688" i="17"/>
  <c r="B688" i="17" s="1"/>
  <c r="D687" i="17"/>
  <c r="B687" i="17"/>
  <c r="D686" i="17"/>
  <c r="B686" i="17" s="1"/>
  <c r="D685" i="17"/>
  <c r="B685" i="17"/>
  <c r="D684" i="17"/>
  <c r="B684" i="17" s="1"/>
  <c r="D683" i="17"/>
  <c r="B683" i="17"/>
  <c r="D682" i="17"/>
  <c r="B682" i="17" s="1"/>
  <c r="D681" i="17"/>
  <c r="B681" i="17"/>
  <c r="D680" i="17"/>
  <c r="B680" i="17" s="1"/>
  <c r="D679" i="17"/>
  <c r="B679" i="17"/>
  <c r="D678" i="17"/>
  <c r="B678" i="17" s="1"/>
  <c r="D677" i="17"/>
  <c r="B677" i="17"/>
  <c r="D676" i="17"/>
  <c r="B676" i="17" s="1"/>
  <c r="D675" i="17"/>
  <c r="B675" i="17"/>
  <c r="D674" i="17"/>
  <c r="B674" i="17" s="1"/>
  <c r="D673" i="17"/>
  <c r="B673" i="17"/>
  <c r="D672" i="17"/>
  <c r="B672" i="17" s="1"/>
  <c r="D671" i="17"/>
  <c r="B671" i="17"/>
  <c r="D670" i="17"/>
  <c r="B670" i="17" s="1"/>
  <c r="D669" i="17"/>
  <c r="B669" i="17"/>
  <c r="D668" i="17"/>
  <c r="B668" i="17" s="1"/>
  <c r="D667" i="17"/>
  <c r="B667" i="17"/>
  <c r="D666" i="17"/>
  <c r="B666" i="17" s="1"/>
  <c r="D665" i="17"/>
  <c r="B665" i="17"/>
  <c r="D664" i="17"/>
  <c r="B664" i="17" s="1"/>
  <c r="D663" i="17"/>
  <c r="B663" i="17"/>
  <c r="D662" i="17"/>
  <c r="D661" i="17"/>
  <c r="B661" i="17"/>
  <c r="I659" i="17"/>
  <c r="H659" i="17"/>
  <c r="G659" i="17"/>
  <c r="F659" i="17"/>
  <c r="E659" i="17"/>
  <c r="D656" i="17"/>
  <c r="B656" i="17"/>
  <c r="D655" i="17"/>
  <c r="B655" i="17" s="1"/>
  <c r="D654" i="17"/>
  <c r="B654" i="17"/>
  <c r="D653" i="17"/>
  <c r="B653" i="17" s="1"/>
  <c r="D652" i="17"/>
  <c r="B652" i="17"/>
  <c r="D651" i="17"/>
  <c r="B651" i="17" s="1"/>
  <c r="D650" i="17"/>
  <c r="B650" i="17"/>
  <c r="D649" i="17"/>
  <c r="B649" i="17" s="1"/>
  <c r="D648" i="17"/>
  <c r="B648" i="17"/>
  <c r="D647" i="17"/>
  <c r="B647" i="17" s="1"/>
  <c r="D646" i="17"/>
  <c r="B646" i="17"/>
  <c r="D645" i="17"/>
  <c r="B645" i="17" s="1"/>
  <c r="D644" i="17"/>
  <c r="B644" i="17"/>
  <c r="D643" i="17"/>
  <c r="B643" i="17" s="1"/>
  <c r="D642" i="17"/>
  <c r="B642" i="17"/>
  <c r="D641" i="17"/>
  <c r="B641" i="17" s="1"/>
  <c r="D640" i="17"/>
  <c r="B640" i="17"/>
  <c r="D639" i="17"/>
  <c r="B639" i="17" s="1"/>
  <c r="D638" i="17"/>
  <c r="B638" i="17"/>
  <c r="D637" i="17"/>
  <c r="B637" i="17" s="1"/>
  <c r="D636" i="17"/>
  <c r="B636" i="17"/>
  <c r="D635" i="17"/>
  <c r="B635" i="17" s="1"/>
  <c r="D634" i="17"/>
  <c r="B634" i="17"/>
  <c r="D633" i="17"/>
  <c r="B633" i="17" s="1"/>
  <c r="D632" i="17"/>
  <c r="B632" i="17"/>
  <c r="D631" i="17"/>
  <c r="B631" i="17" s="1"/>
  <c r="D630" i="17"/>
  <c r="B630" i="17"/>
  <c r="D629" i="17"/>
  <c r="B629" i="17" s="1"/>
  <c r="D628" i="17"/>
  <c r="B628" i="17"/>
  <c r="D627" i="17"/>
  <c r="B627" i="17" s="1"/>
  <c r="D626" i="17"/>
  <c r="B626" i="17"/>
  <c r="D625" i="17"/>
  <c r="B625" i="17" s="1"/>
  <c r="B623" i="17" s="1"/>
  <c r="I623" i="17"/>
  <c r="H623" i="17"/>
  <c r="G623" i="17"/>
  <c r="F623" i="17"/>
  <c r="E623" i="17"/>
  <c r="D623" i="17"/>
  <c r="D620" i="17"/>
  <c r="B620" i="17"/>
  <c r="D619" i="17"/>
  <c r="B619" i="17" s="1"/>
  <c r="D618" i="17"/>
  <c r="B618" i="17"/>
  <c r="D617" i="17"/>
  <c r="B617" i="17" s="1"/>
  <c r="D616" i="17"/>
  <c r="B616" i="17"/>
  <c r="D615" i="17"/>
  <c r="B615" i="17" s="1"/>
  <c r="D614" i="17"/>
  <c r="B614" i="17"/>
  <c r="D613" i="17"/>
  <c r="B613" i="17" s="1"/>
  <c r="D612" i="17"/>
  <c r="B612" i="17"/>
  <c r="D611" i="17"/>
  <c r="B611" i="17" s="1"/>
  <c r="D610" i="17"/>
  <c r="B610" i="17"/>
  <c r="D609" i="17"/>
  <c r="B609" i="17" s="1"/>
  <c r="D608" i="17"/>
  <c r="B608" i="17"/>
  <c r="D607" i="17"/>
  <c r="B607" i="17" s="1"/>
  <c r="D606" i="17"/>
  <c r="B606" i="17"/>
  <c r="D605" i="17"/>
  <c r="B605" i="17" s="1"/>
  <c r="D604" i="17"/>
  <c r="B604" i="17"/>
  <c r="D603" i="17"/>
  <c r="B603" i="17" s="1"/>
  <c r="D602" i="17"/>
  <c r="B602" i="17"/>
  <c r="D601" i="17"/>
  <c r="B601" i="17" s="1"/>
  <c r="D600" i="17"/>
  <c r="B600" i="17"/>
  <c r="D599" i="17"/>
  <c r="B599" i="17" s="1"/>
  <c r="D598" i="17"/>
  <c r="B598" i="17"/>
  <c r="D597" i="17"/>
  <c r="B597" i="17" s="1"/>
  <c r="D596" i="17"/>
  <c r="B596" i="17"/>
  <c r="D595" i="17"/>
  <c r="B595" i="17" s="1"/>
  <c r="D594" i="17"/>
  <c r="B594" i="17"/>
  <c r="D593" i="17"/>
  <c r="B593" i="17" s="1"/>
  <c r="D592" i="17"/>
  <c r="B592" i="17"/>
  <c r="D591" i="17"/>
  <c r="B591" i="17" s="1"/>
  <c r="D590" i="17"/>
  <c r="B590" i="17"/>
  <c r="D589" i="17"/>
  <c r="I587" i="17"/>
  <c r="H587" i="17"/>
  <c r="G587" i="17"/>
  <c r="F587" i="17"/>
  <c r="E587" i="17"/>
  <c r="D584" i="17"/>
  <c r="B584" i="17"/>
  <c r="D583" i="17"/>
  <c r="B583" i="17"/>
  <c r="D582" i="17"/>
  <c r="B582" i="17"/>
  <c r="D581" i="17"/>
  <c r="B581" i="17"/>
  <c r="D580" i="17"/>
  <c r="B580" i="17"/>
  <c r="D579" i="17"/>
  <c r="B579" i="17"/>
  <c r="D578" i="17"/>
  <c r="B578" i="17"/>
  <c r="D577" i="17"/>
  <c r="B577" i="17"/>
  <c r="D576" i="17"/>
  <c r="B576" i="17"/>
  <c r="D575" i="17"/>
  <c r="B575" i="17"/>
  <c r="D574" i="17"/>
  <c r="B574" i="17"/>
  <c r="D573" i="17"/>
  <c r="B573" i="17"/>
  <c r="D572" i="17"/>
  <c r="B572" i="17"/>
  <c r="D571" i="17"/>
  <c r="B571" i="17"/>
  <c r="D570" i="17"/>
  <c r="B570" i="17"/>
  <c r="D569" i="17"/>
  <c r="B569" i="17"/>
  <c r="D568" i="17"/>
  <c r="B568" i="17"/>
  <c r="D567" i="17"/>
  <c r="B567" i="17"/>
  <c r="D566" i="17"/>
  <c r="B566" i="17"/>
  <c r="D565" i="17"/>
  <c r="B565" i="17"/>
  <c r="D564" i="17"/>
  <c r="B564" i="17"/>
  <c r="D563" i="17"/>
  <c r="B563" i="17"/>
  <c r="D562" i="17"/>
  <c r="B562" i="17"/>
  <c r="B561" i="17"/>
  <c r="D560" i="17"/>
  <c r="B560" i="17" s="1"/>
  <c r="D559" i="17"/>
  <c r="B559" i="17"/>
  <c r="D558" i="17"/>
  <c r="B558" i="17" s="1"/>
  <c r="D557" i="17"/>
  <c r="B557" i="17"/>
  <c r="D556" i="17"/>
  <c r="B556" i="17" s="1"/>
  <c r="D555" i="17"/>
  <c r="B555" i="17"/>
  <c r="D554" i="17"/>
  <c r="D553" i="17"/>
  <c r="B553" i="17"/>
  <c r="I551" i="17"/>
  <c r="H551" i="17"/>
  <c r="G551" i="17"/>
  <c r="F551" i="17"/>
  <c r="E551" i="17"/>
  <c r="D548" i="17"/>
  <c r="B548" i="17"/>
  <c r="D547" i="17"/>
  <c r="B547" i="17"/>
  <c r="D546" i="17"/>
  <c r="B546" i="17"/>
  <c r="D545" i="17"/>
  <c r="B545" i="17"/>
  <c r="D544" i="17"/>
  <c r="B544" i="17"/>
  <c r="D543" i="17"/>
  <c r="B543" i="17"/>
  <c r="D542" i="17"/>
  <c r="B542" i="17"/>
  <c r="D541" i="17"/>
  <c r="B541" i="17"/>
  <c r="D540" i="17"/>
  <c r="B540" i="17"/>
  <c r="D539" i="17"/>
  <c r="B539" i="17"/>
  <c r="D538" i="17"/>
  <c r="B538" i="17"/>
  <c r="D537" i="17"/>
  <c r="B537" i="17"/>
  <c r="D536" i="17"/>
  <c r="B536" i="17"/>
  <c r="D535" i="17"/>
  <c r="B535" i="17"/>
  <c r="D534" i="17"/>
  <c r="B534" i="17"/>
  <c r="D533" i="17"/>
  <c r="B533" i="17"/>
  <c r="D532" i="17"/>
  <c r="B532" i="17"/>
  <c r="D531" i="17"/>
  <c r="B531" i="17"/>
  <c r="D530" i="17"/>
  <c r="B530" i="17"/>
  <c r="D529" i="17"/>
  <c r="B529" i="17"/>
  <c r="D528" i="17"/>
  <c r="B528" i="17"/>
  <c r="D527" i="17"/>
  <c r="B527" i="17"/>
  <c r="D526" i="17"/>
  <c r="B526" i="17"/>
  <c r="B525" i="17"/>
  <c r="D524" i="17"/>
  <c r="B524" i="17"/>
  <c r="D523" i="17"/>
  <c r="B523" i="17" s="1"/>
  <c r="D522" i="17"/>
  <c r="B522" i="17"/>
  <c r="D521" i="17"/>
  <c r="B521" i="17" s="1"/>
  <c r="D520" i="17"/>
  <c r="B520" i="17"/>
  <c r="D519" i="17"/>
  <c r="B519" i="17" s="1"/>
  <c r="D518" i="17"/>
  <c r="B518" i="17"/>
  <c r="D517" i="17"/>
  <c r="I515" i="17"/>
  <c r="H515" i="17"/>
  <c r="G515" i="17"/>
  <c r="F515" i="17"/>
  <c r="E515" i="17"/>
  <c r="D512" i="17"/>
  <c r="B512" i="17"/>
  <c r="D511" i="17"/>
  <c r="B511" i="17"/>
  <c r="D510" i="17"/>
  <c r="B510" i="17"/>
  <c r="D509" i="17"/>
  <c r="B509" i="17"/>
  <c r="D508" i="17"/>
  <c r="B508" i="17"/>
  <c r="D507" i="17"/>
  <c r="B507" i="17"/>
  <c r="D506" i="17"/>
  <c r="B506" i="17"/>
  <c r="D505" i="17"/>
  <c r="B505" i="17"/>
  <c r="D504" i="17"/>
  <c r="B504" i="17"/>
  <c r="D503" i="17"/>
  <c r="B503" i="17"/>
  <c r="D502" i="17"/>
  <c r="B502" i="17"/>
  <c r="D501" i="17"/>
  <c r="B501" i="17"/>
  <c r="D500" i="17"/>
  <c r="B500" i="17"/>
  <c r="D499" i="17"/>
  <c r="B499" i="17"/>
  <c r="D498" i="17"/>
  <c r="B498" i="17"/>
  <c r="D497" i="17"/>
  <c r="B497" i="17"/>
  <c r="D496" i="17"/>
  <c r="B496" i="17"/>
  <c r="D495" i="17"/>
  <c r="B495" i="17"/>
  <c r="D494" i="17"/>
  <c r="B494" i="17"/>
  <c r="D493" i="17"/>
  <c r="B493" i="17"/>
  <c r="D492" i="17"/>
  <c r="B492" i="17"/>
  <c r="D491" i="17"/>
  <c r="B491" i="17"/>
  <c r="D490" i="17"/>
  <c r="B490" i="17"/>
  <c r="D489" i="17"/>
  <c r="B489" i="17"/>
  <c r="D488" i="17"/>
  <c r="B488" i="17"/>
  <c r="D487" i="17"/>
  <c r="B487" i="17"/>
  <c r="D486" i="17"/>
  <c r="B486" i="17"/>
  <c r="D485" i="17"/>
  <c r="B485" i="17"/>
  <c r="D484" i="17"/>
  <c r="B484" i="17"/>
  <c r="D483" i="17"/>
  <c r="B483" i="17"/>
  <c r="D482" i="17"/>
  <c r="B482" i="17"/>
  <c r="D481" i="17"/>
  <c r="D479" i="17" s="1"/>
  <c r="B481" i="17"/>
  <c r="B479" i="17" s="1"/>
  <c r="I479" i="17"/>
  <c r="H479" i="17"/>
  <c r="G479" i="17"/>
  <c r="F479" i="17"/>
  <c r="E479" i="17"/>
  <c r="D476" i="17"/>
  <c r="B476" i="17" s="1"/>
  <c r="D475" i="17"/>
  <c r="B475" i="17"/>
  <c r="D474" i="17"/>
  <c r="B474" i="17" s="1"/>
  <c r="D473" i="17"/>
  <c r="B473" i="17"/>
  <c r="D472" i="17"/>
  <c r="B472" i="17" s="1"/>
  <c r="D471" i="17"/>
  <c r="B471" i="17"/>
  <c r="D470" i="17"/>
  <c r="B470" i="17" s="1"/>
  <c r="D469" i="17"/>
  <c r="B469" i="17"/>
  <c r="D468" i="17"/>
  <c r="B468" i="17" s="1"/>
  <c r="D467" i="17"/>
  <c r="B467" i="17"/>
  <c r="D466" i="17"/>
  <c r="B466" i="17" s="1"/>
  <c r="D465" i="17"/>
  <c r="B465" i="17"/>
  <c r="D464" i="17"/>
  <c r="B464" i="17" s="1"/>
  <c r="D463" i="17"/>
  <c r="B463" i="17"/>
  <c r="D462" i="17"/>
  <c r="B462" i="17" s="1"/>
  <c r="D461" i="17"/>
  <c r="B461" i="17"/>
  <c r="D460" i="17"/>
  <c r="B460" i="17" s="1"/>
  <c r="D459" i="17"/>
  <c r="B459" i="17"/>
  <c r="D458" i="17"/>
  <c r="B458" i="17" s="1"/>
  <c r="D457" i="17"/>
  <c r="B457" i="17"/>
  <c r="D456" i="17"/>
  <c r="B456" i="17" s="1"/>
  <c r="D455" i="17"/>
  <c r="B455" i="17"/>
  <c r="D454" i="17"/>
  <c r="B454" i="17" s="1"/>
  <c r="D453" i="17"/>
  <c r="B453" i="17"/>
  <c r="D452" i="17"/>
  <c r="B452" i="17" s="1"/>
  <c r="D451" i="17"/>
  <c r="B451" i="17"/>
  <c r="D450" i="17"/>
  <c r="B450" i="17" s="1"/>
  <c r="D449" i="17"/>
  <c r="B449" i="17"/>
  <c r="D448" i="17"/>
  <c r="B448" i="17" s="1"/>
  <c r="D447" i="17"/>
  <c r="B447" i="17"/>
  <c r="D446" i="17"/>
  <c r="D445" i="17"/>
  <c r="B445" i="17"/>
  <c r="I443" i="17"/>
  <c r="H443" i="17"/>
  <c r="G443" i="17"/>
  <c r="F443" i="17"/>
  <c r="E443" i="17"/>
  <c r="D440" i="17"/>
  <c r="B440" i="17"/>
  <c r="D439" i="17"/>
  <c r="B439" i="17" s="1"/>
  <c r="D438" i="17"/>
  <c r="B438" i="17"/>
  <c r="D437" i="17"/>
  <c r="B437" i="17" s="1"/>
  <c r="D436" i="17"/>
  <c r="B436" i="17"/>
  <c r="D435" i="17"/>
  <c r="B435" i="17" s="1"/>
  <c r="D434" i="17"/>
  <c r="B434" i="17"/>
  <c r="D433" i="17"/>
  <c r="B433" i="17" s="1"/>
  <c r="D432" i="17"/>
  <c r="B432" i="17"/>
  <c r="D431" i="17"/>
  <c r="B431" i="17" s="1"/>
  <c r="D430" i="17"/>
  <c r="B430" i="17"/>
  <c r="D429" i="17"/>
  <c r="B429" i="17"/>
  <c r="D428" i="17"/>
  <c r="B428" i="17"/>
  <c r="D427" i="17"/>
  <c r="B427" i="17"/>
  <c r="D426" i="17"/>
  <c r="B426" i="17"/>
  <c r="D425" i="17"/>
  <c r="B425" i="17"/>
  <c r="D424" i="17"/>
  <c r="B424" i="17"/>
  <c r="D423" i="17"/>
  <c r="B423" i="17"/>
  <c r="D422" i="17"/>
  <c r="B422" i="17"/>
  <c r="D421" i="17"/>
  <c r="B421" i="17"/>
  <c r="D420" i="17"/>
  <c r="B420" i="17"/>
  <c r="D419" i="17"/>
  <c r="B419" i="17"/>
  <c r="D418" i="17"/>
  <c r="B418" i="17"/>
  <c r="D417" i="17"/>
  <c r="B417" i="17"/>
  <c r="D416" i="17"/>
  <c r="B416" i="17"/>
  <c r="D415" i="17"/>
  <c r="B415" i="17"/>
  <c r="D414" i="17"/>
  <c r="B414" i="17"/>
  <c r="D413" i="17"/>
  <c r="B413" i="17"/>
  <c r="D412" i="17"/>
  <c r="B412" i="17"/>
  <c r="D411" i="17"/>
  <c r="B411" i="17"/>
  <c r="D410" i="17"/>
  <c r="B410" i="17"/>
  <c r="B407" i="17" s="1"/>
  <c r="D409" i="17"/>
  <c r="B409" i="17"/>
  <c r="I407" i="17"/>
  <c r="H407" i="17"/>
  <c r="G407" i="17"/>
  <c r="F407" i="17"/>
  <c r="E407" i="17"/>
  <c r="D407" i="17"/>
  <c r="D404" i="17"/>
  <c r="D403" i="17"/>
  <c r="D402" i="17"/>
  <c r="D401" i="17"/>
  <c r="D400" i="17"/>
  <c r="D399" i="17"/>
  <c r="D398" i="17"/>
  <c r="D397" i="17"/>
  <c r="D396" i="17"/>
  <c r="D395" i="17"/>
  <c r="D394" i="17"/>
  <c r="D393" i="17"/>
  <c r="D392" i="17"/>
  <c r="D391" i="17"/>
  <c r="D390" i="17"/>
  <c r="D389" i="17"/>
  <c r="D388" i="17"/>
  <c r="D387" i="17"/>
  <c r="D386" i="17"/>
  <c r="D385" i="17"/>
  <c r="D384" i="17"/>
  <c r="D383" i="17"/>
  <c r="D382" i="17"/>
  <c r="D381" i="17"/>
  <c r="D380" i="17"/>
  <c r="D379" i="17"/>
  <c r="D378" i="17"/>
  <c r="D377" i="17"/>
  <c r="D376" i="17"/>
  <c r="D375" i="17"/>
  <c r="D374" i="17"/>
  <c r="D371" i="17" s="1"/>
  <c r="D373" i="17"/>
  <c r="I371" i="17"/>
  <c r="H371" i="17"/>
  <c r="G371" i="17"/>
  <c r="F371" i="17"/>
  <c r="E371" i="17"/>
  <c r="B371" i="17"/>
  <c r="D368" i="17"/>
  <c r="B368" i="17"/>
  <c r="D367" i="17"/>
  <c r="B367" i="17"/>
  <c r="D366" i="17"/>
  <c r="B366" i="17"/>
  <c r="D365" i="17"/>
  <c r="B365" i="17"/>
  <c r="D364" i="17"/>
  <c r="B364" i="17"/>
  <c r="D363" i="17"/>
  <c r="B363" i="17"/>
  <c r="D362" i="17"/>
  <c r="B362" i="17"/>
  <c r="D361" i="17"/>
  <c r="B361" i="17"/>
  <c r="D360" i="17"/>
  <c r="B360" i="17"/>
  <c r="D359" i="17"/>
  <c r="B359" i="17"/>
  <c r="D358" i="17"/>
  <c r="B358" i="17"/>
  <c r="D357" i="17"/>
  <c r="B357" i="17"/>
  <c r="D356" i="17"/>
  <c r="B356" i="17"/>
  <c r="D355" i="17"/>
  <c r="B355" i="17"/>
  <c r="D354" i="17"/>
  <c r="B354" i="17"/>
  <c r="D353" i="17"/>
  <c r="B353" i="17"/>
  <c r="D352" i="17"/>
  <c r="B352" i="17"/>
  <c r="D351" i="17"/>
  <c r="B351" i="17"/>
  <c r="D350" i="17"/>
  <c r="B350" i="17"/>
  <c r="D349" i="17"/>
  <c r="B349" i="17"/>
  <c r="D348" i="17"/>
  <c r="B348" i="17"/>
  <c r="D347" i="17"/>
  <c r="B347" i="17"/>
  <c r="D346" i="17"/>
  <c r="B346" i="17"/>
  <c r="D345" i="17"/>
  <c r="B345" i="17"/>
  <c r="D344" i="17"/>
  <c r="B344" i="17"/>
  <c r="D343" i="17"/>
  <c r="B343" i="17"/>
  <c r="D342" i="17"/>
  <c r="B342" i="17"/>
  <c r="D341" i="17"/>
  <c r="B341" i="17"/>
  <c r="D340" i="17"/>
  <c r="B340" i="17" s="1"/>
  <c r="D339" i="17"/>
  <c r="B339" i="17"/>
  <c r="D338" i="17"/>
  <c r="B338" i="17" s="1"/>
  <c r="D337" i="17"/>
  <c r="D335" i="17" s="1"/>
  <c r="B337" i="17"/>
  <c r="B335" i="17" s="1"/>
  <c r="I335" i="17"/>
  <c r="H335" i="17"/>
  <c r="G335" i="17"/>
  <c r="F335" i="17"/>
  <c r="E335" i="17"/>
  <c r="D332" i="17"/>
  <c r="B332" i="17" s="1"/>
  <c r="D331" i="17"/>
  <c r="B331" i="17"/>
  <c r="D330" i="17"/>
  <c r="B330" i="17" s="1"/>
  <c r="D329" i="17"/>
  <c r="B329" i="17"/>
  <c r="D328" i="17"/>
  <c r="B328" i="17" s="1"/>
  <c r="D327" i="17"/>
  <c r="B327" i="17"/>
  <c r="D326" i="17"/>
  <c r="B326" i="17" s="1"/>
  <c r="D325" i="17"/>
  <c r="B325" i="17"/>
  <c r="D324" i="17"/>
  <c r="B324" i="17" s="1"/>
  <c r="D323" i="17"/>
  <c r="B323" i="17"/>
  <c r="D322" i="17"/>
  <c r="B322" i="17" s="1"/>
  <c r="D321" i="17"/>
  <c r="B321" i="17"/>
  <c r="D320" i="17"/>
  <c r="B320" i="17" s="1"/>
  <c r="D319" i="17"/>
  <c r="B319" i="17"/>
  <c r="D318" i="17"/>
  <c r="B318" i="17" s="1"/>
  <c r="D317" i="17"/>
  <c r="B317" i="17"/>
  <c r="D316" i="17"/>
  <c r="B316" i="17" s="1"/>
  <c r="D315" i="17"/>
  <c r="B315" i="17"/>
  <c r="D314" i="17"/>
  <c r="B314" i="17" s="1"/>
  <c r="D313" i="17"/>
  <c r="B313" i="17"/>
  <c r="D312" i="17"/>
  <c r="B312" i="17" s="1"/>
  <c r="D311" i="17"/>
  <c r="B311" i="17"/>
  <c r="D310" i="17"/>
  <c r="B310" i="17" s="1"/>
  <c r="D309" i="17"/>
  <c r="B309" i="17"/>
  <c r="D308" i="17"/>
  <c r="B308" i="17" s="1"/>
  <c r="D307" i="17"/>
  <c r="B307" i="17"/>
  <c r="D306" i="17"/>
  <c r="B306" i="17" s="1"/>
  <c r="D305" i="17"/>
  <c r="B305" i="17"/>
  <c r="D304" i="17"/>
  <c r="B304" i="17" s="1"/>
  <c r="D303" i="17"/>
  <c r="B303" i="17"/>
  <c r="D302" i="17"/>
  <c r="D301" i="17"/>
  <c r="B301" i="17"/>
  <c r="I299" i="17"/>
  <c r="H299" i="17"/>
  <c r="G299" i="17"/>
  <c r="F299" i="17"/>
  <c r="E299" i="17"/>
  <c r="D296" i="17"/>
  <c r="B296" i="17"/>
  <c r="D295" i="17"/>
  <c r="B295" i="17" s="1"/>
  <c r="D294" i="17"/>
  <c r="B294" i="17"/>
  <c r="D293" i="17"/>
  <c r="B293" i="17" s="1"/>
  <c r="D292" i="17"/>
  <c r="B292" i="17"/>
  <c r="D291" i="17"/>
  <c r="B291" i="17" s="1"/>
  <c r="D290" i="17"/>
  <c r="B290" i="17"/>
  <c r="D289" i="17"/>
  <c r="B289" i="17" s="1"/>
  <c r="D288" i="17"/>
  <c r="B288" i="17"/>
  <c r="D287" i="17"/>
  <c r="B287" i="17" s="1"/>
  <c r="D286" i="17"/>
  <c r="B286" i="17"/>
  <c r="D285" i="17"/>
  <c r="B285" i="17" s="1"/>
  <c r="D284" i="17"/>
  <c r="B284" i="17"/>
  <c r="D283" i="17"/>
  <c r="B283" i="17" s="1"/>
  <c r="D282" i="17"/>
  <c r="B282" i="17"/>
  <c r="D281" i="17"/>
  <c r="B281" i="17" s="1"/>
  <c r="D280" i="17"/>
  <c r="B280" i="17"/>
  <c r="D279" i="17"/>
  <c r="B279" i="17" s="1"/>
  <c r="D278" i="17"/>
  <c r="B278" i="17"/>
  <c r="D277" i="17"/>
  <c r="B277" i="17" s="1"/>
  <c r="D276" i="17"/>
  <c r="B276" i="17"/>
  <c r="D275" i="17"/>
  <c r="B275" i="17" s="1"/>
  <c r="D274" i="17"/>
  <c r="B274" i="17"/>
  <c r="D273" i="17"/>
  <c r="B273" i="17" s="1"/>
  <c r="D272" i="17"/>
  <c r="B272" i="17"/>
  <c r="D271" i="17"/>
  <c r="B271" i="17" s="1"/>
  <c r="D270" i="17"/>
  <c r="B270" i="17"/>
  <c r="D269" i="17"/>
  <c r="B269" i="17" s="1"/>
  <c r="D268" i="17"/>
  <c r="B268" i="17"/>
  <c r="D267" i="17"/>
  <c r="B267" i="17" s="1"/>
  <c r="D266" i="17"/>
  <c r="B266" i="17"/>
  <c r="D265" i="17"/>
  <c r="B265" i="17" s="1"/>
  <c r="I263" i="17"/>
  <c r="H263" i="17"/>
  <c r="G263" i="17"/>
  <c r="F263" i="17"/>
  <c r="E263" i="17"/>
  <c r="D263" i="17"/>
  <c r="D260" i="17"/>
  <c r="B260" i="17"/>
  <c r="D259" i="17"/>
  <c r="B259" i="17" s="1"/>
  <c r="D258" i="17"/>
  <c r="B258" i="17"/>
  <c r="D257" i="17"/>
  <c r="B257" i="17" s="1"/>
  <c r="D256" i="17"/>
  <c r="B256" i="17"/>
  <c r="D255" i="17"/>
  <c r="B255" i="17" s="1"/>
  <c r="D254" i="17"/>
  <c r="B254" i="17"/>
  <c r="D253" i="17"/>
  <c r="B253" i="17" s="1"/>
  <c r="D252" i="17"/>
  <c r="B252" i="17"/>
  <c r="D251" i="17"/>
  <c r="B251" i="17" s="1"/>
  <c r="D250" i="17"/>
  <c r="B250" i="17"/>
  <c r="D249" i="17"/>
  <c r="B249" i="17" s="1"/>
  <c r="D248" i="17"/>
  <c r="B248" i="17"/>
  <c r="D247" i="17"/>
  <c r="B247" i="17" s="1"/>
  <c r="D246" i="17"/>
  <c r="B246" i="17"/>
  <c r="D245" i="17"/>
  <c r="B245" i="17" s="1"/>
  <c r="D244" i="17"/>
  <c r="B244" i="17"/>
  <c r="D243" i="17"/>
  <c r="B243" i="17" s="1"/>
  <c r="D242" i="17"/>
  <c r="B242" i="17"/>
  <c r="D241" i="17"/>
  <c r="B241" i="17" s="1"/>
  <c r="D240" i="17"/>
  <c r="B240" i="17"/>
  <c r="D239" i="17"/>
  <c r="B239" i="17" s="1"/>
  <c r="D238" i="17"/>
  <c r="B238" i="17"/>
  <c r="D237" i="17"/>
  <c r="B237" i="17" s="1"/>
  <c r="D236" i="17"/>
  <c r="B236" i="17"/>
  <c r="D235" i="17"/>
  <c r="B235" i="17" s="1"/>
  <c r="D234" i="17"/>
  <c r="B234" i="17"/>
  <c r="D233" i="17"/>
  <c r="B233" i="17" s="1"/>
  <c r="D232" i="17"/>
  <c r="B232" i="17"/>
  <c r="D231" i="17"/>
  <c r="B231" i="17" s="1"/>
  <c r="D230" i="17"/>
  <c r="B230" i="17"/>
  <c r="D229" i="17"/>
  <c r="I227" i="17"/>
  <c r="H227" i="17"/>
  <c r="G227" i="17"/>
  <c r="F227" i="17"/>
  <c r="E227" i="17"/>
  <c r="D224" i="17"/>
  <c r="B224" i="17"/>
  <c r="D223" i="17"/>
  <c r="B223" i="17"/>
  <c r="D222" i="17"/>
  <c r="B222" i="17"/>
  <c r="D221" i="17"/>
  <c r="B221" i="17"/>
  <c r="D220" i="17"/>
  <c r="B220" i="17"/>
  <c r="D219" i="17"/>
  <c r="B219" i="17"/>
  <c r="D218" i="17"/>
  <c r="B218" i="17"/>
  <c r="D217" i="17"/>
  <c r="B217" i="17"/>
  <c r="D216" i="17"/>
  <c r="B216" i="17"/>
  <c r="D215" i="17"/>
  <c r="B215" i="17"/>
  <c r="D214" i="17"/>
  <c r="B214" i="17"/>
  <c r="D213" i="17"/>
  <c r="B213" i="17"/>
  <c r="D212" i="17"/>
  <c r="B212" i="17"/>
  <c r="D211" i="17"/>
  <c r="B211" i="17"/>
  <c r="D210" i="17"/>
  <c r="B210" i="17"/>
  <c r="D209" i="17"/>
  <c r="B209" i="17"/>
  <c r="D208" i="17"/>
  <c r="B208" i="17"/>
  <c r="D207" i="17"/>
  <c r="B207" i="17"/>
  <c r="D206" i="17"/>
  <c r="B206" i="17"/>
  <c r="D205" i="17"/>
  <c r="B205" i="17"/>
  <c r="D204" i="17"/>
  <c r="B204" i="17"/>
  <c r="D203" i="17"/>
  <c r="B203" i="17"/>
  <c r="D202" i="17"/>
  <c r="B202" i="17"/>
  <c r="D201" i="17"/>
  <c r="B201" i="17"/>
  <c r="D200" i="17"/>
  <c r="B200" i="17"/>
  <c r="D199" i="17"/>
  <c r="B199" i="17"/>
  <c r="D198" i="17"/>
  <c r="B198" i="17"/>
  <c r="D197" i="17"/>
  <c r="B197" i="17"/>
  <c r="D196" i="17"/>
  <c r="B196" i="17"/>
  <c r="D195" i="17"/>
  <c r="B195" i="17"/>
  <c r="D194" i="17"/>
  <c r="B194" i="17"/>
  <c r="D193" i="17"/>
  <c r="B193" i="17"/>
  <c r="B191" i="17" s="1"/>
  <c r="I191" i="17"/>
  <c r="H191" i="17"/>
  <c r="G191" i="17"/>
  <c r="F191" i="17"/>
  <c r="E191" i="17"/>
  <c r="D191" i="17"/>
  <c r="D188" i="17"/>
  <c r="B188" i="17"/>
  <c r="D187" i="17"/>
  <c r="B187" i="17"/>
  <c r="D186" i="17"/>
  <c r="B186" i="17"/>
  <c r="D185" i="17"/>
  <c r="B185" i="17"/>
  <c r="D184" i="17"/>
  <c r="B184" i="17"/>
  <c r="D183" i="17"/>
  <c r="B183" i="17"/>
  <c r="D182" i="17"/>
  <c r="B182" i="17"/>
  <c r="D181" i="17"/>
  <c r="B181" i="17"/>
  <c r="D180" i="17"/>
  <c r="B180" i="17"/>
  <c r="D179" i="17"/>
  <c r="B179" i="17"/>
  <c r="D178" i="17"/>
  <c r="B178" i="17"/>
  <c r="D177" i="17"/>
  <c r="B177" i="17"/>
  <c r="D176" i="17"/>
  <c r="B176" i="17"/>
  <c r="D175" i="17"/>
  <c r="B175" i="17"/>
  <c r="D174" i="17"/>
  <c r="B174" i="17"/>
  <c r="D173" i="17"/>
  <c r="B173" i="17"/>
  <c r="D172" i="17"/>
  <c r="B172" i="17"/>
  <c r="D171" i="17"/>
  <c r="B171" i="17"/>
  <c r="D170" i="17"/>
  <c r="B170" i="17"/>
  <c r="D169" i="17"/>
  <c r="B169" i="17"/>
  <c r="D168" i="17"/>
  <c r="B168" i="17"/>
  <c r="D167" i="17"/>
  <c r="B167" i="17"/>
  <c r="D166" i="17"/>
  <c r="B166" i="17"/>
  <c r="D165" i="17"/>
  <c r="B165" i="17"/>
  <c r="D164" i="17"/>
  <c r="B164" i="17"/>
  <c r="D163" i="17"/>
  <c r="B163" i="17"/>
  <c r="D162" i="17"/>
  <c r="B162" i="17"/>
  <c r="D161" i="17"/>
  <c r="B161" i="17"/>
  <c r="D160" i="17"/>
  <c r="B160" i="17"/>
  <c r="D159" i="17"/>
  <c r="B159" i="17"/>
  <c r="D158" i="17"/>
  <c r="D155" i="17" s="1"/>
  <c r="B158" i="17"/>
  <c r="D157" i="17"/>
  <c r="B157" i="17"/>
  <c r="I155" i="17"/>
  <c r="H155" i="17"/>
  <c r="G155" i="17"/>
  <c r="F155" i="17"/>
  <c r="E155" i="17"/>
  <c r="B155" i="17"/>
  <c r="D152" i="17"/>
  <c r="B152" i="17"/>
  <c r="D151" i="17"/>
  <c r="B151" i="17"/>
  <c r="D150" i="17"/>
  <c r="B150" i="17"/>
  <c r="D149" i="17"/>
  <c r="B149" i="17"/>
  <c r="D148" i="17"/>
  <c r="B148" i="17"/>
  <c r="D147" i="17"/>
  <c r="B147" i="17"/>
  <c r="D146" i="17"/>
  <c r="B146" i="17"/>
  <c r="D145" i="17"/>
  <c r="B145" i="17"/>
  <c r="D144" i="17"/>
  <c r="B144" i="17"/>
  <c r="D143" i="17"/>
  <c r="B143" i="17"/>
  <c r="D142" i="17"/>
  <c r="B142" i="17"/>
  <c r="D141" i="17"/>
  <c r="B141" i="17"/>
  <c r="D140" i="17"/>
  <c r="B140" i="17"/>
  <c r="D139" i="17"/>
  <c r="B139" i="17"/>
  <c r="D138" i="17"/>
  <c r="B138" i="17"/>
  <c r="D137" i="17"/>
  <c r="B137" i="17"/>
  <c r="D136" i="17"/>
  <c r="B136" i="17"/>
  <c r="D135" i="17"/>
  <c r="B135" i="17"/>
  <c r="D134" i="17"/>
  <c r="B134" i="17"/>
  <c r="D133" i="17"/>
  <c r="B133" i="17"/>
  <c r="D132" i="17"/>
  <c r="B132" i="17"/>
  <c r="D131" i="17"/>
  <c r="B131" i="17"/>
  <c r="D130" i="17"/>
  <c r="B130" i="17"/>
  <c r="D129" i="17"/>
  <c r="B129" i="17"/>
  <c r="D128" i="17"/>
  <c r="B128" i="17"/>
  <c r="D127" i="17"/>
  <c r="B127" i="17"/>
  <c r="D126" i="17"/>
  <c r="B126" i="17"/>
  <c r="D125" i="17"/>
  <c r="B125" i="17"/>
  <c r="D124" i="17"/>
  <c r="B124" i="17"/>
  <c r="D123" i="17"/>
  <c r="B123" i="17"/>
  <c r="D122" i="17"/>
  <c r="B122" i="17"/>
  <c r="D121" i="17"/>
  <c r="B121" i="17"/>
  <c r="I119" i="17"/>
  <c r="H119" i="17"/>
  <c r="G119" i="17"/>
  <c r="F119" i="17"/>
  <c r="E119" i="17"/>
  <c r="D119" i="17"/>
  <c r="D116" i="17"/>
  <c r="B116" i="17" s="1"/>
  <c r="D115" i="17"/>
  <c r="B115" i="17" s="1"/>
  <c r="D114" i="17"/>
  <c r="B114" i="17" s="1"/>
  <c r="D113" i="17"/>
  <c r="B113" i="17" s="1"/>
  <c r="D112" i="17"/>
  <c r="B112" i="17" s="1"/>
  <c r="D111" i="17"/>
  <c r="B111" i="17" s="1"/>
  <c r="D110" i="17"/>
  <c r="B110" i="17" s="1"/>
  <c r="D109" i="17"/>
  <c r="B109" i="17" s="1"/>
  <c r="D108" i="17"/>
  <c r="B108" i="17" s="1"/>
  <c r="D107" i="17"/>
  <c r="B107" i="17" s="1"/>
  <c r="D106" i="17"/>
  <c r="B106" i="17" s="1"/>
  <c r="D105" i="17"/>
  <c r="B105" i="17" s="1"/>
  <c r="D104" i="17"/>
  <c r="B104" i="17" s="1"/>
  <c r="D103" i="17"/>
  <c r="B103" i="17" s="1"/>
  <c r="D102" i="17"/>
  <c r="B102" i="17" s="1"/>
  <c r="D101" i="17"/>
  <c r="B101" i="17" s="1"/>
  <c r="D100" i="17"/>
  <c r="B100" i="17" s="1"/>
  <c r="D99" i="17"/>
  <c r="B99" i="17" s="1"/>
  <c r="D98" i="17"/>
  <c r="B98" i="17" s="1"/>
  <c r="D97" i="17"/>
  <c r="B97" i="17" s="1"/>
  <c r="D96" i="17"/>
  <c r="B96" i="17" s="1"/>
  <c r="D95" i="17"/>
  <c r="B95" i="17" s="1"/>
  <c r="D94" i="17"/>
  <c r="B94" i="17" s="1"/>
  <c r="D93" i="17"/>
  <c r="B93" i="17" s="1"/>
  <c r="D92" i="17"/>
  <c r="B92" i="17" s="1"/>
  <c r="D91" i="17"/>
  <c r="B91" i="17" s="1"/>
  <c r="D90" i="17"/>
  <c r="B90" i="17" s="1"/>
  <c r="D89" i="17"/>
  <c r="B89" i="17" s="1"/>
  <c r="D88" i="17"/>
  <c r="B88" i="17" s="1"/>
  <c r="D87" i="17"/>
  <c r="B87" i="17" s="1"/>
  <c r="D86" i="17"/>
  <c r="B86" i="17" s="1"/>
  <c r="D85" i="17"/>
  <c r="I83" i="17"/>
  <c r="H83" i="17"/>
  <c r="G83" i="17"/>
  <c r="F83" i="17"/>
  <c r="E83" i="17"/>
  <c r="D80" i="17"/>
  <c r="B80" i="17"/>
  <c r="D79" i="17"/>
  <c r="B79" i="17"/>
  <c r="D78" i="17"/>
  <c r="B78" i="17"/>
  <c r="D77" i="17"/>
  <c r="B77" i="17"/>
  <c r="D76" i="17"/>
  <c r="B76" i="17"/>
  <c r="D75" i="17"/>
  <c r="B75" i="17"/>
  <c r="D74" i="17"/>
  <c r="B74" i="17"/>
  <c r="D73" i="17"/>
  <c r="B73" i="17"/>
  <c r="D72" i="17"/>
  <c r="B72" i="17"/>
  <c r="D71" i="17"/>
  <c r="B71" i="17"/>
  <c r="D70" i="17"/>
  <c r="B70" i="17"/>
  <c r="D69" i="17"/>
  <c r="B69" i="17"/>
  <c r="D68" i="17"/>
  <c r="B68" i="17"/>
  <c r="D67" i="17"/>
  <c r="B67" i="17"/>
  <c r="D66" i="17"/>
  <c r="B66" i="17"/>
  <c r="D65" i="17"/>
  <c r="B65" i="17"/>
  <c r="D64" i="17"/>
  <c r="B64" i="17"/>
  <c r="D63" i="17"/>
  <c r="B63" i="17"/>
  <c r="D62" i="17"/>
  <c r="B62" i="17"/>
  <c r="D61" i="17"/>
  <c r="B61" i="17"/>
  <c r="D60" i="17"/>
  <c r="B60" i="17"/>
  <c r="D59" i="17"/>
  <c r="B59" i="17"/>
  <c r="D58" i="17"/>
  <c r="B58" i="17"/>
  <c r="D57" i="17"/>
  <c r="B57" i="17"/>
  <c r="D56" i="17"/>
  <c r="B56" i="17"/>
  <c r="D55" i="17"/>
  <c r="B55" i="17"/>
  <c r="D54" i="17"/>
  <c r="B54" i="17"/>
  <c r="D53" i="17"/>
  <c r="B53" i="17"/>
  <c r="D52" i="17"/>
  <c r="B52" i="17"/>
  <c r="D51" i="17"/>
  <c r="B51" i="17"/>
  <c r="D50" i="17"/>
  <c r="B50" i="17"/>
  <c r="D49" i="17"/>
  <c r="D47" i="17" s="1"/>
  <c r="B49" i="17"/>
  <c r="I47" i="17"/>
  <c r="H47" i="17"/>
  <c r="G47" i="17"/>
  <c r="F47" i="17"/>
  <c r="E47" i="17"/>
  <c r="B47" i="17"/>
  <c r="D44" i="17"/>
  <c r="B44" i="17" s="1"/>
  <c r="D43" i="17"/>
  <c r="B43" i="17"/>
  <c r="D42" i="17"/>
  <c r="B42" i="17" s="1"/>
  <c r="D41" i="17"/>
  <c r="B41" i="17"/>
  <c r="D40" i="17"/>
  <c r="B40" i="17"/>
  <c r="D39" i="17"/>
  <c r="B39" i="17"/>
  <c r="D38" i="17"/>
  <c r="B38" i="17"/>
  <c r="D37" i="17"/>
  <c r="B37" i="17"/>
  <c r="D36" i="17"/>
  <c r="B36" i="17"/>
  <c r="D35" i="17"/>
  <c r="B35" i="17"/>
  <c r="D34" i="17"/>
  <c r="B34" i="17"/>
  <c r="D33" i="17"/>
  <c r="B33" i="17"/>
  <c r="D32" i="17"/>
  <c r="B32" i="17"/>
  <c r="D31" i="17"/>
  <c r="B31" i="17"/>
  <c r="D30" i="17"/>
  <c r="B30" i="17"/>
  <c r="D29" i="17"/>
  <c r="B29" i="17"/>
  <c r="D28" i="17"/>
  <c r="B28" i="17"/>
  <c r="D27" i="17"/>
  <c r="B27" i="17"/>
  <c r="D26" i="17"/>
  <c r="B26" i="17"/>
  <c r="D25" i="17"/>
  <c r="B25" i="17"/>
  <c r="D24" i="17"/>
  <c r="B24" i="17"/>
  <c r="D23" i="17"/>
  <c r="B23" i="17"/>
  <c r="D22" i="17"/>
  <c r="B22" i="17"/>
  <c r="D21" i="17"/>
  <c r="B21" i="17"/>
  <c r="D20" i="17"/>
  <c r="B20" i="17"/>
  <c r="D19" i="17"/>
  <c r="B19" i="17"/>
  <c r="D18" i="17"/>
  <c r="B18" i="17"/>
  <c r="D17" i="17"/>
  <c r="B17" i="17"/>
  <c r="D16" i="17"/>
  <c r="B16" i="17"/>
  <c r="D15" i="17"/>
  <c r="B15" i="17"/>
  <c r="D14" i="17"/>
  <c r="B14" i="17"/>
  <c r="D13" i="17"/>
  <c r="B13" i="17"/>
  <c r="B11" i="17" s="1"/>
  <c r="I11" i="17"/>
  <c r="H11" i="17"/>
  <c r="G11" i="17"/>
  <c r="F11" i="17"/>
  <c r="E11" i="17"/>
  <c r="D11" i="17"/>
  <c r="H839" i="16"/>
  <c r="D839" i="16" s="1"/>
  <c r="B839" i="16" s="1"/>
  <c r="H838" i="16"/>
  <c r="D838" i="16"/>
  <c r="B838" i="16" s="1"/>
  <c r="H837" i="16"/>
  <c r="D837" i="16" s="1"/>
  <c r="B837" i="16" s="1"/>
  <c r="H836" i="16"/>
  <c r="D836" i="16"/>
  <c r="B836" i="16" s="1"/>
  <c r="H835" i="16"/>
  <c r="D835" i="16" s="1"/>
  <c r="B835" i="16" s="1"/>
  <c r="H834" i="16"/>
  <c r="D834" i="16"/>
  <c r="B834" i="16" s="1"/>
  <c r="H833" i="16"/>
  <c r="D833" i="16" s="1"/>
  <c r="B833" i="16" s="1"/>
  <c r="H832" i="16"/>
  <c r="D832" i="16"/>
  <c r="B832" i="16" s="1"/>
  <c r="H831" i="16"/>
  <c r="D831" i="16" s="1"/>
  <c r="B831" i="16" s="1"/>
  <c r="H830" i="16"/>
  <c r="D830" i="16"/>
  <c r="B830" i="16" s="1"/>
  <c r="H829" i="16"/>
  <c r="D829" i="16" s="1"/>
  <c r="B829" i="16" s="1"/>
  <c r="H828" i="16"/>
  <c r="D828" i="16"/>
  <c r="B828" i="16" s="1"/>
  <c r="H827" i="16"/>
  <c r="D827" i="16" s="1"/>
  <c r="B827" i="16" s="1"/>
  <c r="H826" i="16"/>
  <c r="D826" i="16"/>
  <c r="B826" i="16" s="1"/>
  <c r="H825" i="16"/>
  <c r="D825" i="16" s="1"/>
  <c r="B825" i="16" s="1"/>
  <c r="H824" i="16"/>
  <c r="D824" i="16"/>
  <c r="B824" i="16" s="1"/>
  <c r="H823" i="16"/>
  <c r="D823" i="16" s="1"/>
  <c r="B823" i="16" s="1"/>
  <c r="H822" i="16"/>
  <c r="D822" i="16"/>
  <c r="B822" i="16" s="1"/>
  <c r="H821" i="16"/>
  <c r="D821" i="16" s="1"/>
  <c r="B821" i="16" s="1"/>
  <c r="H820" i="16"/>
  <c r="D820" i="16"/>
  <c r="B820" i="16" s="1"/>
  <c r="H819" i="16"/>
  <c r="D819" i="16" s="1"/>
  <c r="B819" i="16" s="1"/>
  <c r="H818" i="16"/>
  <c r="D818" i="16"/>
  <c r="B818" i="16" s="1"/>
  <c r="H817" i="16"/>
  <c r="D817" i="16" s="1"/>
  <c r="B817" i="16" s="1"/>
  <c r="H816" i="16"/>
  <c r="D816" i="16"/>
  <c r="B816" i="16" s="1"/>
  <c r="H815" i="16"/>
  <c r="D815" i="16" s="1"/>
  <c r="B815" i="16" s="1"/>
  <c r="H814" i="16"/>
  <c r="D814" i="16"/>
  <c r="B814" i="16" s="1"/>
  <c r="H813" i="16"/>
  <c r="D813" i="16" s="1"/>
  <c r="B813" i="16" s="1"/>
  <c r="H812" i="16"/>
  <c r="D812" i="16"/>
  <c r="B812" i="16" s="1"/>
  <c r="H811" i="16"/>
  <c r="D811" i="16" s="1"/>
  <c r="B811" i="16" s="1"/>
  <c r="H810" i="16"/>
  <c r="D810" i="16"/>
  <c r="B810" i="16" s="1"/>
  <c r="H809" i="16"/>
  <c r="D809" i="16" s="1"/>
  <c r="B809" i="16" s="1"/>
  <c r="H808" i="16"/>
  <c r="D808" i="16"/>
  <c r="B808" i="16" s="1"/>
  <c r="Q806" i="16"/>
  <c r="P806" i="16"/>
  <c r="N806" i="16"/>
  <c r="M806" i="16"/>
  <c r="L806" i="16"/>
  <c r="K806" i="16"/>
  <c r="J806" i="16"/>
  <c r="F806" i="16"/>
  <c r="H803" i="16"/>
  <c r="D803" i="16"/>
  <c r="B803" i="16" s="1"/>
  <c r="H802" i="16"/>
  <c r="D802" i="16" s="1"/>
  <c r="B802" i="16" s="1"/>
  <c r="H801" i="16"/>
  <c r="D801" i="16"/>
  <c r="B801" i="16" s="1"/>
  <c r="H800" i="16"/>
  <c r="D800" i="16" s="1"/>
  <c r="B800" i="16" s="1"/>
  <c r="H799" i="16"/>
  <c r="D799" i="16"/>
  <c r="B799" i="16" s="1"/>
  <c r="H798" i="16"/>
  <c r="D798" i="16" s="1"/>
  <c r="B798" i="16" s="1"/>
  <c r="H797" i="16"/>
  <c r="D797" i="16"/>
  <c r="B797" i="16" s="1"/>
  <c r="H796" i="16"/>
  <c r="D796" i="16" s="1"/>
  <c r="B796" i="16" s="1"/>
  <c r="H795" i="16"/>
  <c r="D795" i="16"/>
  <c r="B795" i="16" s="1"/>
  <c r="H794" i="16"/>
  <c r="D794" i="16" s="1"/>
  <c r="B794" i="16" s="1"/>
  <c r="H793" i="16"/>
  <c r="D793" i="16"/>
  <c r="B793" i="16" s="1"/>
  <c r="H792" i="16"/>
  <c r="D792" i="16" s="1"/>
  <c r="B792" i="16" s="1"/>
  <c r="H791" i="16"/>
  <c r="D791" i="16"/>
  <c r="B791" i="16" s="1"/>
  <c r="H790" i="16"/>
  <c r="D790" i="16" s="1"/>
  <c r="B790" i="16" s="1"/>
  <c r="H789" i="16"/>
  <c r="D789" i="16"/>
  <c r="B789" i="16" s="1"/>
  <c r="H788" i="16"/>
  <c r="D788" i="16" s="1"/>
  <c r="B788" i="16" s="1"/>
  <c r="H787" i="16"/>
  <c r="D787" i="16"/>
  <c r="B787" i="16" s="1"/>
  <c r="H786" i="16"/>
  <c r="D786" i="16" s="1"/>
  <c r="B786" i="16" s="1"/>
  <c r="H785" i="16"/>
  <c r="D785" i="16"/>
  <c r="B785" i="16" s="1"/>
  <c r="H784" i="16"/>
  <c r="D784" i="16" s="1"/>
  <c r="B784" i="16" s="1"/>
  <c r="H783" i="16"/>
  <c r="D783" i="16"/>
  <c r="B783" i="16" s="1"/>
  <c r="H782" i="16"/>
  <c r="D782" i="16" s="1"/>
  <c r="B782" i="16" s="1"/>
  <c r="H781" i="16"/>
  <c r="D781" i="16"/>
  <c r="B781" i="16" s="1"/>
  <c r="H780" i="16"/>
  <c r="D780" i="16" s="1"/>
  <c r="B780" i="16" s="1"/>
  <c r="H779" i="16"/>
  <c r="D779" i="16"/>
  <c r="B779" i="16" s="1"/>
  <c r="H778" i="16"/>
  <c r="D778" i="16" s="1"/>
  <c r="B778" i="16" s="1"/>
  <c r="H777" i="16"/>
  <c r="D777" i="16"/>
  <c r="B777" i="16" s="1"/>
  <c r="H776" i="16"/>
  <c r="D776" i="16" s="1"/>
  <c r="B776" i="16"/>
  <c r="H775" i="16"/>
  <c r="D775" i="16"/>
  <c r="B775" i="16" s="1"/>
  <c r="H774" i="16"/>
  <c r="D774" i="16" s="1"/>
  <c r="B774" i="16" s="1"/>
  <c r="H773" i="16"/>
  <c r="D773" i="16"/>
  <c r="B773" i="16" s="1"/>
  <c r="H772" i="16"/>
  <c r="D772" i="16" s="1"/>
  <c r="D770" i="16" s="1"/>
  <c r="Q770" i="16"/>
  <c r="P770" i="16"/>
  <c r="N770" i="16"/>
  <c r="M770" i="16"/>
  <c r="L770" i="16"/>
  <c r="K770" i="16"/>
  <c r="J770" i="16"/>
  <c r="H770" i="16"/>
  <c r="F770" i="16"/>
  <c r="H767" i="16"/>
  <c r="D767" i="16" s="1"/>
  <c r="B767" i="16" s="1"/>
  <c r="H766" i="16"/>
  <c r="D766" i="16"/>
  <c r="B766" i="16" s="1"/>
  <c r="H765" i="16"/>
  <c r="D765" i="16" s="1"/>
  <c r="B765" i="16"/>
  <c r="H764" i="16"/>
  <c r="D764" i="16"/>
  <c r="B764" i="16" s="1"/>
  <c r="H763" i="16"/>
  <c r="D763" i="16" s="1"/>
  <c r="B763" i="16" s="1"/>
  <c r="H762" i="16"/>
  <c r="D762" i="16"/>
  <c r="B762" i="16" s="1"/>
  <c r="H761" i="16"/>
  <c r="D761" i="16" s="1"/>
  <c r="B761" i="16" s="1"/>
  <c r="H760" i="16"/>
  <c r="D760" i="16"/>
  <c r="B760" i="16" s="1"/>
  <c r="H759" i="16"/>
  <c r="D759" i="16" s="1"/>
  <c r="B759" i="16" s="1"/>
  <c r="H758" i="16"/>
  <c r="D758" i="16"/>
  <c r="B758" i="16" s="1"/>
  <c r="H757" i="16"/>
  <c r="D757" i="16" s="1"/>
  <c r="B757" i="16" s="1"/>
  <c r="H756" i="16"/>
  <c r="D756" i="16"/>
  <c r="B756" i="16" s="1"/>
  <c r="H755" i="16"/>
  <c r="D755" i="16" s="1"/>
  <c r="B755" i="16" s="1"/>
  <c r="H754" i="16"/>
  <c r="D754" i="16"/>
  <c r="B754" i="16" s="1"/>
  <c r="H753" i="16"/>
  <c r="D753" i="16" s="1"/>
  <c r="B753" i="16"/>
  <c r="H752" i="16"/>
  <c r="D752" i="16"/>
  <c r="B752" i="16" s="1"/>
  <c r="H751" i="16"/>
  <c r="D751" i="16" s="1"/>
  <c r="B751" i="16" s="1"/>
  <c r="H750" i="16"/>
  <c r="D750" i="16"/>
  <c r="B750" i="16" s="1"/>
  <c r="H749" i="16"/>
  <c r="D749" i="16" s="1"/>
  <c r="B749" i="16"/>
  <c r="H748" i="16"/>
  <c r="D748" i="16"/>
  <c r="B748" i="16" s="1"/>
  <c r="H747" i="16"/>
  <c r="D747" i="16" s="1"/>
  <c r="B747" i="16" s="1"/>
  <c r="H746" i="16"/>
  <c r="D746" i="16"/>
  <c r="B746" i="16" s="1"/>
  <c r="H745" i="16"/>
  <c r="D745" i="16" s="1"/>
  <c r="B745" i="16"/>
  <c r="H744" i="16"/>
  <c r="D744" i="16"/>
  <c r="B744" i="16" s="1"/>
  <c r="H743" i="16"/>
  <c r="D743" i="16" s="1"/>
  <c r="B743" i="16" s="1"/>
  <c r="H742" i="16"/>
  <c r="D742" i="16"/>
  <c r="B742" i="16" s="1"/>
  <c r="H741" i="16"/>
  <c r="D741" i="16" s="1"/>
  <c r="B741" i="16" s="1"/>
  <c r="H740" i="16"/>
  <c r="D740" i="16"/>
  <c r="B740" i="16" s="1"/>
  <c r="H739" i="16"/>
  <c r="D739" i="16" s="1"/>
  <c r="B739" i="16" s="1"/>
  <c r="H738" i="16"/>
  <c r="D738" i="16"/>
  <c r="B738" i="16" s="1"/>
  <c r="H737" i="16"/>
  <c r="D737" i="16" s="1"/>
  <c r="B737" i="16"/>
  <c r="H736" i="16"/>
  <c r="D736" i="16"/>
  <c r="Q734" i="16"/>
  <c r="P734" i="16"/>
  <c r="N734" i="16"/>
  <c r="M734" i="16"/>
  <c r="L734" i="16"/>
  <c r="K734" i="16"/>
  <c r="J734" i="16"/>
  <c r="F734" i="16"/>
  <c r="H731" i="16"/>
  <c r="D731" i="16"/>
  <c r="B731" i="16" s="1"/>
  <c r="H730" i="16"/>
  <c r="D730" i="16" s="1"/>
  <c r="B730" i="16"/>
  <c r="H729" i="16"/>
  <c r="D729" i="16"/>
  <c r="B729" i="16" s="1"/>
  <c r="H728" i="16"/>
  <c r="D728" i="16" s="1"/>
  <c r="B728" i="16" s="1"/>
  <c r="H727" i="16"/>
  <c r="D727" i="16"/>
  <c r="B727" i="16" s="1"/>
  <c r="H726" i="16"/>
  <c r="D726" i="16" s="1"/>
  <c r="B726" i="16" s="1"/>
  <c r="H725" i="16"/>
  <c r="D725" i="16"/>
  <c r="B725" i="16" s="1"/>
  <c r="H724" i="16"/>
  <c r="D724" i="16" s="1"/>
  <c r="B724" i="16" s="1"/>
  <c r="H723" i="16"/>
  <c r="D723" i="16"/>
  <c r="B723" i="16" s="1"/>
  <c r="H722" i="16"/>
  <c r="D722" i="16" s="1"/>
  <c r="B722" i="16"/>
  <c r="H721" i="16"/>
  <c r="D721" i="16"/>
  <c r="B721" i="16" s="1"/>
  <c r="H720" i="16"/>
  <c r="D720" i="16" s="1"/>
  <c r="B720" i="16" s="1"/>
  <c r="H719" i="16"/>
  <c r="D719" i="16"/>
  <c r="B719" i="16" s="1"/>
  <c r="H718" i="16"/>
  <c r="D718" i="16" s="1"/>
  <c r="B718" i="16"/>
  <c r="H717" i="16"/>
  <c r="D717" i="16"/>
  <c r="B717" i="16" s="1"/>
  <c r="H716" i="16"/>
  <c r="D716" i="16" s="1"/>
  <c r="B716" i="16" s="1"/>
  <c r="H715" i="16"/>
  <c r="D715" i="16"/>
  <c r="B715" i="16" s="1"/>
  <c r="H714" i="16"/>
  <c r="D714" i="16" s="1"/>
  <c r="B714" i="16"/>
  <c r="H713" i="16"/>
  <c r="D713" i="16"/>
  <c r="B713" i="16" s="1"/>
  <c r="H712" i="16"/>
  <c r="D712" i="16" s="1"/>
  <c r="B712" i="16" s="1"/>
  <c r="H711" i="16"/>
  <c r="D711" i="16"/>
  <c r="B711" i="16" s="1"/>
  <c r="H710" i="16"/>
  <c r="D710" i="16" s="1"/>
  <c r="B710" i="16" s="1"/>
  <c r="H709" i="16"/>
  <c r="D709" i="16"/>
  <c r="B709" i="16" s="1"/>
  <c r="H708" i="16"/>
  <c r="D708" i="16" s="1"/>
  <c r="B708" i="16" s="1"/>
  <c r="H707" i="16"/>
  <c r="D707" i="16"/>
  <c r="B707" i="16" s="1"/>
  <c r="H706" i="16"/>
  <c r="D706" i="16" s="1"/>
  <c r="B706" i="16"/>
  <c r="H705" i="16"/>
  <c r="D705" i="16"/>
  <c r="B705" i="16" s="1"/>
  <c r="H704" i="16"/>
  <c r="D704" i="16" s="1"/>
  <c r="B704" i="16" s="1"/>
  <c r="H703" i="16"/>
  <c r="D703" i="16"/>
  <c r="B703" i="16" s="1"/>
  <c r="H702" i="16"/>
  <c r="D702" i="16" s="1"/>
  <c r="B702" i="16" s="1"/>
  <c r="H701" i="16"/>
  <c r="D701" i="16"/>
  <c r="B701" i="16" s="1"/>
  <c r="H700" i="16"/>
  <c r="Q698" i="16"/>
  <c r="P698" i="16"/>
  <c r="N698" i="16"/>
  <c r="M698" i="16"/>
  <c r="L698" i="16"/>
  <c r="K698" i="16"/>
  <c r="J698" i="16"/>
  <c r="F698" i="16"/>
  <c r="H695" i="16"/>
  <c r="D695" i="16" s="1"/>
  <c r="B695" i="16" s="1"/>
  <c r="H694" i="16"/>
  <c r="D694" i="16"/>
  <c r="B694" i="16" s="1"/>
  <c r="H693" i="16"/>
  <c r="D693" i="16" s="1"/>
  <c r="B693" i="16" s="1"/>
  <c r="H692" i="16"/>
  <c r="D692" i="16"/>
  <c r="B692" i="16" s="1"/>
  <c r="H691" i="16"/>
  <c r="D691" i="16" s="1"/>
  <c r="B691" i="16"/>
  <c r="H690" i="16"/>
  <c r="D690" i="16"/>
  <c r="B690" i="16" s="1"/>
  <c r="H689" i="16"/>
  <c r="D689" i="16" s="1"/>
  <c r="B689" i="16" s="1"/>
  <c r="H688" i="16"/>
  <c r="D688" i="16"/>
  <c r="B688" i="16" s="1"/>
  <c r="H687" i="16"/>
  <c r="D687" i="16" s="1"/>
  <c r="B687" i="16"/>
  <c r="H686" i="16"/>
  <c r="D686" i="16"/>
  <c r="B686" i="16" s="1"/>
  <c r="H685" i="16"/>
  <c r="D685" i="16" s="1"/>
  <c r="B685" i="16" s="1"/>
  <c r="H684" i="16"/>
  <c r="D684" i="16"/>
  <c r="B684" i="16" s="1"/>
  <c r="H683" i="16"/>
  <c r="D683" i="16" s="1"/>
  <c r="B683" i="16"/>
  <c r="H682" i="16"/>
  <c r="D682" i="16"/>
  <c r="B682" i="16" s="1"/>
  <c r="H681" i="16"/>
  <c r="D681" i="16" s="1"/>
  <c r="B681" i="16" s="1"/>
  <c r="H680" i="16"/>
  <c r="D680" i="16"/>
  <c r="B680" i="16" s="1"/>
  <c r="H679" i="16"/>
  <c r="D679" i="16" s="1"/>
  <c r="B679" i="16" s="1"/>
  <c r="H678" i="16"/>
  <c r="D678" i="16"/>
  <c r="B678" i="16" s="1"/>
  <c r="H677" i="16"/>
  <c r="D677" i="16" s="1"/>
  <c r="B677" i="16" s="1"/>
  <c r="H676" i="16"/>
  <c r="D676" i="16"/>
  <c r="B676" i="16" s="1"/>
  <c r="H675" i="16"/>
  <c r="D675" i="16" s="1"/>
  <c r="B675" i="16"/>
  <c r="H674" i="16"/>
  <c r="D674" i="16"/>
  <c r="B674" i="16" s="1"/>
  <c r="H673" i="16"/>
  <c r="D673" i="16" s="1"/>
  <c r="B673" i="16" s="1"/>
  <c r="H672" i="16"/>
  <c r="D672" i="16"/>
  <c r="B672" i="16" s="1"/>
  <c r="H671" i="16"/>
  <c r="D671" i="16" s="1"/>
  <c r="B671" i="16" s="1"/>
  <c r="H670" i="16"/>
  <c r="D670" i="16"/>
  <c r="B670" i="16" s="1"/>
  <c r="H669" i="16"/>
  <c r="D669" i="16" s="1"/>
  <c r="B669" i="16" s="1"/>
  <c r="H668" i="16"/>
  <c r="D668" i="16"/>
  <c r="B668" i="16" s="1"/>
  <c r="H667" i="16"/>
  <c r="D667" i="16" s="1"/>
  <c r="B667" i="16"/>
  <c r="H666" i="16"/>
  <c r="D666" i="16"/>
  <c r="B666" i="16" s="1"/>
  <c r="H665" i="16"/>
  <c r="H664" i="16"/>
  <c r="D664" i="16"/>
  <c r="Q662" i="16"/>
  <c r="P662" i="16"/>
  <c r="N662" i="16"/>
  <c r="M662" i="16"/>
  <c r="L662" i="16"/>
  <c r="K662" i="16"/>
  <c r="J662" i="16"/>
  <c r="F662" i="16"/>
  <c r="H659" i="16"/>
  <c r="D659" i="16"/>
  <c r="B659" i="16" s="1"/>
  <c r="H658" i="16"/>
  <c r="D658" i="16" s="1"/>
  <c r="B658" i="16" s="1"/>
  <c r="H657" i="16"/>
  <c r="D657" i="16"/>
  <c r="B657" i="16" s="1"/>
  <c r="H656" i="16"/>
  <c r="D656" i="16" s="1"/>
  <c r="B656" i="16" s="1"/>
  <c r="H655" i="16"/>
  <c r="D655" i="16"/>
  <c r="B655" i="16" s="1"/>
  <c r="H654" i="16"/>
  <c r="D654" i="16" s="1"/>
  <c r="B654" i="16" s="1"/>
  <c r="H653" i="16"/>
  <c r="D653" i="16"/>
  <c r="B653" i="16" s="1"/>
  <c r="H652" i="16"/>
  <c r="D652" i="16" s="1"/>
  <c r="B652" i="16"/>
  <c r="H651" i="16"/>
  <c r="D651" i="16"/>
  <c r="B651" i="16" s="1"/>
  <c r="H650" i="16"/>
  <c r="D650" i="16" s="1"/>
  <c r="B650" i="16" s="1"/>
  <c r="H649" i="16"/>
  <c r="D649" i="16"/>
  <c r="B649" i="16" s="1"/>
  <c r="H648" i="16"/>
  <c r="D648" i="16" s="1"/>
  <c r="B648" i="16" s="1"/>
  <c r="H647" i="16"/>
  <c r="D647" i="16"/>
  <c r="B647" i="16" s="1"/>
  <c r="H646" i="16"/>
  <c r="D646" i="16" s="1"/>
  <c r="B646" i="16" s="1"/>
  <c r="H645" i="16"/>
  <c r="D645" i="16"/>
  <c r="B645" i="16" s="1"/>
  <c r="H644" i="16"/>
  <c r="D644" i="16" s="1"/>
  <c r="B644" i="16"/>
  <c r="H643" i="16"/>
  <c r="D643" i="16"/>
  <c r="B643" i="16" s="1"/>
  <c r="H642" i="16"/>
  <c r="D642" i="16" s="1"/>
  <c r="B642" i="16" s="1"/>
  <c r="H641" i="16"/>
  <c r="D641" i="16"/>
  <c r="B641" i="16" s="1"/>
  <c r="H640" i="16"/>
  <c r="D640" i="16" s="1"/>
  <c r="B640" i="16" s="1"/>
  <c r="H639" i="16"/>
  <c r="D639" i="16"/>
  <c r="B639" i="16" s="1"/>
  <c r="H638" i="16"/>
  <c r="D638" i="16" s="1"/>
  <c r="B638" i="16" s="1"/>
  <c r="H637" i="16"/>
  <c r="D637" i="16"/>
  <c r="B637" i="16" s="1"/>
  <c r="H636" i="16"/>
  <c r="D636" i="16" s="1"/>
  <c r="B636" i="16"/>
  <c r="H635" i="16"/>
  <c r="D635" i="16"/>
  <c r="B635" i="16" s="1"/>
  <c r="H634" i="16"/>
  <c r="D634" i="16" s="1"/>
  <c r="B634" i="16" s="1"/>
  <c r="H633" i="16"/>
  <c r="D633" i="16"/>
  <c r="B633" i="16" s="1"/>
  <c r="H632" i="16"/>
  <c r="D632" i="16" s="1"/>
  <c r="B632" i="16" s="1"/>
  <c r="H631" i="16"/>
  <c r="D631" i="16"/>
  <c r="B631" i="16" s="1"/>
  <c r="H630" i="16"/>
  <c r="D630" i="16" s="1"/>
  <c r="B630" i="16" s="1"/>
  <c r="H629" i="16"/>
  <c r="D629" i="16"/>
  <c r="B629" i="16" s="1"/>
  <c r="H628" i="16"/>
  <c r="D628" i="16" s="1"/>
  <c r="B628" i="16"/>
  <c r="Q626" i="16"/>
  <c r="P626" i="16"/>
  <c r="N626" i="16"/>
  <c r="M626" i="16"/>
  <c r="L626" i="16"/>
  <c r="K626" i="16"/>
  <c r="J626" i="16"/>
  <c r="H626" i="16"/>
  <c r="F626" i="16"/>
  <c r="H623" i="16"/>
  <c r="H622" i="16"/>
  <c r="H621" i="16"/>
  <c r="H620" i="16"/>
  <c r="H619" i="16"/>
  <c r="H618" i="16"/>
  <c r="H617" i="16"/>
  <c r="H616" i="16"/>
  <c r="H615" i="16"/>
  <c r="H614" i="16"/>
  <c r="H613" i="16"/>
  <c r="H612" i="16"/>
  <c r="H611" i="16"/>
  <c r="H610" i="16"/>
  <c r="H609" i="16"/>
  <c r="H608" i="16"/>
  <c r="H607" i="16"/>
  <c r="H606" i="16"/>
  <c r="H605" i="16"/>
  <c r="H604" i="16"/>
  <c r="H603" i="16"/>
  <c r="H602" i="16"/>
  <c r="H601" i="16"/>
  <c r="H600" i="16"/>
  <c r="H599" i="16"/>
  <c r="H598" i="16"/>
  <c r="H597" i="16"/>
  <c r="H596" i="16"/>
  <c r="H595" i="16"/>
  <c r="H594" i="16"/>
  <c r="H593" i="16"/>
  <c r="H590" i="16" s="1"/>
  <c r="H592" i="16"/>
  <c r="Q590" i="16"/>
  <c r="P590" i="16"/>
  <c r="N590" i="16"/>
  <c r="M590" i="16"/>
  <c r="L590" i="16"/>
  <c r="K590" i="16"/>
  <c r="J590" i="16"/>
  <c r="F590" i="16"/>
  <c r="D590" i="16"/>
  <c r="B590" i="16"/>
  <c r="H587" i="16"/>
  <c r="D587" i="16"/>
  <c r="B587" i="16" s="1"/>
  <c r="H586" i="16"/>
  <c r="D586" i="16" s="1"/>
  <c r="B586" i="16" s="1"/>
  <c r="H585" i="16"/>
  <c r="D585" i="16"/>
  <c r="B585" i="16" s="1"/>
  <c r="H584" i="16"/>
  <c r="D584" i="16" s="1"/>
  <c r="B584" i="16" s="1"/>
  <c r="H583" i="16"/>
  <c r="D583" i="16"/>
  <c r="B583" i="16" s="1"/>
  <c r="H582" i="16"/>
  <c r="D582" i="16" s="1"/>
  <c r="B582" i="16"/>
  <c r="H581" i="16"/>
  <c r="D581" i="16"/>
  <c r="B581" i="16" s="1"/>
  <c r="H580" i="16"/>
  <c r="D580" i="16" s="1"/>
  <c r="B580" i="16" s="1"/>
  <c r="H579" i="16"/>
  <c r="D579" i="16"/>
  <c r="B579" i="16" s="1"/>
  <c r="H578" i="16"/>
  <c r="D578" i="16" s="1"/>
  <c r="B578" i="16" s="1"/>
  <c r="H577" i="16"/>
  <c r="D577" i="16"/>
  <c r="B577" i="16" s="1"/>
  <c r="H576" i="16"/>
  <c r="D576" i="16" s="1"/>
  <c r="B576" i="16" s="1"/>
  <c r="H575" i="16"/>
  <c r="D575" i="16"/>
  <c r="B575" i="16" s="1"/>
  <c r="H574" i="16"/>
  <c r="D574" i="16" s="1"/>
  <c r="B574" i="16"/>
  <c r="H573" i="16"/>
  <c r="D573" i="16"/>
  <c r="B573" i="16" s="1"/>
  <c r="H572" i="16"/>
  <c r="D572" i="16" s="1"/>
  <c r="B572" i="16" s="1"/>
  <c r="H571" i="16"/>
  <c r="D571" i="16"/>
  <c r="B571" i="16" s="1"/>
  <c r="H570" i="16"/>
  <c r="D570" i="16" s="1"/>
  <c r="B570" i="16" s="1"/>
  <c r="H569" i="16"/>
  <c r="D569" i="16"/>
  <c r="B569" i="16" s="1"/>
  <c r="H568" i="16"/>
  <c r="D568" i="16" s="1"/>
  <c r="B568" i="16" s="1"/>
  <c r="H567" i="16"/>
  <c r="D567" i="16"/>
  <c r="B567" i="16" s="1"/>
  <c r="H566" i="16"/>
  <c r="D566" i="16" s="1"/>
  <c r="B566" i="16"/>
  <c r="H565" i="16"/>
  <c r="D565" i="16"/>
  <c r="B565" i="16" s="1"/>
  <c r="H564" i="16"/>
  <c r="D564" i="16" s="1"/>
  <c r="B564" i="16" s="1"/>
  <c r="H563" i="16"/>
  <c r="D563" i="16"/>
  <c r="B563" i="16" s="1"/>
  <c r="H562" i="16"/>
  <c r="D562" i="16" s="1"/>
  <c r="B562" i="16" s="1"/>
  <c r="H561" i="16"/>
  <c r="D561" i="16"/>
  <c r="B561" i="16" s="1"/>
  <c r="H560" i="16"/>
  <c r="D560" i="16" s="1"/>
  <c r="B560" i="16" s="1"/>
  <c r="H559" i="16"/>
  <c r="D559" i="16"/>
  <c r="B559" i="16" s="1"/>
  <c r="H558" i="16"/>
  <c r="D558" i="16" s="1"/>
  <c r="B558" i="16"/>
  <c r="H557" i="16"/>
  <c r="D557" i="16"/>
  <c r="B557" i="16" s="1"/>
  <c r="H556" i="16"/>
  <c r="Q554" i="16"/>
  <c r="P554" i="16"/>
  <c r="N554" i="16"/>
  <c r="M554" i="16"/>
  <c r="L554" i="16"/>
  <c r="K554" i="16"/>
  <c r="J554" i="16"/>
  <c r="F554" i="16"/>
  <c r="H551" i="16"/>
  <c r="D551" i="16" s="1"/>
  <c r="B551" i="16"/>
  <c r="H550" i="16"/>
  <c r="D550" i="16"/>
  <c r="B550" i="16" s="1"/>
  <c r="H549" i="16"/>
  <c r="D549" i="16" s="1"/>
  <c r="B549" i="16" s="1"/>
  <c r="H548" i="16"/>
  <c r="D548" i="16"/>
  <c r="B548" i="16" s="1"/>
  <c r="H547" i="16"/>
  <c r="D547" i="16" s="1"/>
  <c r="B547" i="16" s="1"/>
  <c r="H546" i="16"/>
  <c r="D546" i="16"/>
  <c r="B546" i="16" s="1"/>
  <c r="H545" i="16"/>
  <c r="D545" i="16" s="1"/>
  <c r="B545" i="16" s="1"/>
  <c r="H544" i="16"/>
  <c r="D544" i="16"/>
  <c r="B544" i="16" s="1"/>
  <c r="H543" i="16"/>
  <c r="D543" i="16" s="1"/>
  <c r="B543" i="16"/>
  <c r="H542" i="16"/>
  <c r="D542" i="16"/>
  <c r="B542" i="16" s="1"/>
  <c r="H541" i="16"/>
  <c r="D541" i="16" s="1"/>
  <c r="B541" i="16" s="1"/>
  <c r="H540" i="16"/>
  <c r="D540" i="16"/>
  <c r="B540" i="16" s="1"/>
  <c r="H539" i="16"/>
  <c r="D539" i="16" s="1"/>
  <c r="B539" i="16" s="1"/>
  <c r="H538" i="16"/>
  <c r="D538" i="16"/>
  <c r="B538" i="16" s="1"/>
  <c r="H537" i="16"/>
  <c r="D537" i="16" s="1"/>
  <c r="B537" i="16" s="1"/>
  <c r="H536" i="16"/>
  <c r="D536" i="16"/>
  <c r="B536" i="16" s="1"/>
  <c r="H535" i="16"/>
  <c r="D535" i="16" s="1"/>
  <c r="B535" i="16"/>
  <c r="H534" i="16"/>
  <c r="D534" i="16"/>
  <c r="B534" i="16" s="1"/>
  <c r="H533" i="16"/>
  <c r="D533" i="16" s="1"/>
  <c r="B533" i="16" s="1"/>
  <c r="H532" i="16"/>
  <c r="D532" i="16"/>
  <c r="B532" i="16" s="1"/>
  <c r="H531" i="16"/>
  <c r="D531" i="16" s="1"/>
  <c r="B531" i="16" s="1"/>
  <c r="H530" i="16"/>
  <c r="D530" i="16"/>
  <c r="B530" i="16" s="1"/>
  <c r="H529" i="16"/>
  <c r="D529" i="16" s="1"/>
  <c r="B529" i="16" s="1"/>
  <c r="H528" i="16"/>
  <c r="D528" i="16"/>
  <c r="B528" i="16" s="1"/>
  <c r="H527" i="16"/>
  <c r="D527" i="16" s="1"/>
  <c r="B527" i="16"/>
  <c r="H526" i="16"/>
  <c r="D526" i="16"/>
  <c r="B526" i="16" s="1"/>
  <c r="H525" i="16"/>
  <c r="D525" i="16" s="1"/>
  <c r="B525" i="16" s="1"/>
  <c r="H524" i="16"/>
  <c r="D524" i="16"/>
  <c r="B524" i="16" s="1"/>
  <c r="H523" i="16"/>
  <c r="D523" i="16" s="1"/>
  <c r="B523" i="16" s="1"/>
  <c r="H522" i="16"/>
  <c r="D522" i="16"/>
  <c r="B522" i="16" s="1"/>
  <c r="H521" i="16"/>
  <c r="H520" i="16"/>
  <c r="D520" i="16"/>
  <c r="Q518" i="16"/>
  <c r="P518" i="16"/>
  <c r="N518" i="16"/>
  <c r="M518" i="16"/>
  <c r="L518" i="16"/>
  <c r="K518" i="16"/>
  <c r="J518" i="16"/>
  <c r="F518" i="16"/>
  <c r="H515" i="16"/>
  <c r="D515" i="16"/>
  <c r="B515" i="16" s="1"/>
  <c r="H514" i="16"/>
  <c r="D514" i="16" s="1"/>
  <c r="B514" i="16" s="1"/>
  <c r="H513" i="16"/>
  <c r="D513" i="16"/>
  <c r="B513" i="16" s="1"/>
  <c r="H512" i="16"/>
  <c r="D512" i="16" s="1"/>
  <c r="B512" i="16"/>
  <c r="H511" i="16"/>
  <c r="D511" i="16"/>
  <c r="B511" i="16" s="1"/>
  <c r="H510" i="16"/>
  <c r="D510" i="16" s="1"/>
  <c r="B510" i="16" s="1"/>
  <c r="H509" i="16"/>
  <c r="D509" i="16"/>
  <c r="B509" i="16" s="1"/>
  <c r="H508" i="16"/>
  <c r="D508" i="16" s="1"/>
  <c r="B508" i="16" s="1"/>
  <c r="H507" i="16"/>
  <c r="D507" i="16"/>
  <c r="B507" i="16" s="1"/>
  <c r="H506" i="16"/>
  <c r="D506" i="16" s="1"/>
  <c r="B506" i="16" s="1"/>
  <c r="H505" i="16"/>
  <c r="D505" i="16"/>
  <c r="B505" i="16" s="1"/>
  <c r="H504" i="16"/>
  <c r="D504" i="16" s="1"/>
  <c r="B504" i="16"/>
  <c r="H503" i="16"/>
  <c r="D503" i="16"/>
  <c r="B503" i="16" s="1"/>
  <c r="H502" i="16"/>
  <c r="D502" i="16" s="1"/>
  <c r="B502" i="16" s="1"/>
  <c r="H501" i="16"/>
  <c r="D501" i="16"/>
  <c r="B501" i="16" s="1"/>
  <c r="H500" i="16"/>
  <c r="D500" i="16"/>
  <c r="B500" i="16"/>
  <c r="H499" i="16"/>
  <c r="D499" i="16"/>
  <c r="B499" i="16"/>
  <c r="H498" i="16"/>
  <c r="D498" i="16" s="1"/>
  <c r="B498" i="16" s="1"/>
  <c r="H497" i="16"/>
  <c r="D497" i="16"/>
  <c r="B497" i="16" s="1"/>
  <c r="H496" i="16"/>
  <c r="D496" i="16"/>
  <c r="B496" i="16"/>
  <c r="H495" i="16"/>
  <c r="D495" i="16"/>
  <c r="B495" i="16"/>
  <c r="H494" i="16"/>
  <c r="D494" i="16" s="1"/>
  <c r="B494" i="16" s="1"/>
  <c r="H493" i="16"/>
  <c r="D493" i="16"/>
  <c r="B493" i="16" s="1"/>
  <c r="H492" i="16"/>
  <c r="D492" i="16"/>
  <c r="B492" i="16"/>
  <c r="H491" i="16"/>
  <c r="D491" i="16"/>
  <c r="B491" i="16"/>
  <c r="H490" i="16"/>
  <c r="D490" i="16" s="1"/>
  <c r="B490" i="16" s="1"/>
  <c r="H489" i="16"/>
  <c r="D489" i="16"/>
  <c r="B489" i="16" s="1"/>
  <c r="H488" i="16"/>
  <c r="D488" i="16"/>
  <c r="B488" i="16"/>
  <c r="H487" i="16"/>
  <c r="D487" i="16"/>
  <c r="B487" i="16"/>
  <c r="H486" i="16"/>
  <c r="D486" i="16" s="1"/>
  <c r="B486" i="16" s="1"/>
  <c r="H485" i="16"/>
  <c r="D485" i="16"/>
  <c r="B485" i="16" s="1"/>
  <c r="H484" i="16"/>
  <c r="D484" i="16"/>
  <c r="B484" i="16"/>
  <c r="Q482" i="16"/>
  <c r="P482" i="16"/>
  <c r="N482" i="16"/>
  <c r="M482" i="16"/>
  <c r="L482" i="16"/>
  <c r="K482" i="16"/>
  <c r="J482" i="16"/>
  <c r="H482" i="16"/>
  <c r="F482" i="16"/>
  <c r="H479" i="16"/>
  <c r="D479" i="16" s="1"/>
  <c r="B479" i="16" s="1"/>
  <c r="H478" i="16"/>
  <c r="D478" i="16"/>
  <c r="B478" i="16" s="1"/>
  <c r="H477" i="16"/>
  <c r="D477" i="16"/>
  <c r="B477" i="16"/>
  <c r="H476" i="16"/>
  <c r="D476" i="16"/>
  <c r="B476" i="16"/>
  <c r="H475" i="16"/>
  <c r="D475" i="16" s="1"/>
  <c r="B475" i="16" s="1"/>
  <c r="H474" i="16"/>
  <c r="D474" i="16"/>
  <c r="B474" i="16" s="1"/>
  <c r="H473" i="16"/>
  <c r="D473" i="16"/>
  <c r="B473" i="16"/>
  <c r="H472" i="16"/>
  <c r="D472" i="16"/>
  <c r="B472" i="16"/>
  <c r="H471" i="16"/>
  <c r="D471" i="16" s="1"/>
  <c r="B471" i="16" s="1"/>
  <c r="H470" i="16"/>
  <c r="D470" i="16"/>
  <c r="B470" i="16" s="1"/>
  <c r="H469" i="16"/>
  <c r="D469" i="16"/>
  <c r="B469" i="16"/>
  <c r="H468" i="16"/>
  <c r="D468" i="16"/>
  <c r="B468" i="16"/>
  <c r="H467" i="16"/>
  <c r="D467" i="16" s="1"/>
  <c r="B467" i="16" s="1"/>
  <c r="H466" i="16"/>
  <c r="D466" i="16"/>
  <c r="B466" i="16" s="1"/>
  <c r="H465" i="16"/>
  <c r="D465" i="16"/>
  <c r="B465" i="16"/>
  <c r="H464" i="16"/>
  <c r="D464" i="16"/>
  <c r="B464" i="16"/>
  <c r="H463" i="16"/>
  <c r="D463" i="16" s="1"/>
  <c r="B463" i="16" s="1"/>
  <c r="H462" i="16"/>
  <c r="D462" i="16"/>
  <c r="B462" i="16" s="1"/>
  <c r="H461" i="16"/>
  <c r="D461" i="16"/>
  <c r="B461" i="16"/>
  <c r="H460" i="16"/>
  <c r="D460" i="16"/>
  <c r="B460" i="16"/>
  <c r="H459" i="16"/>
  <c r="D459" i="16" s="1"/>
  <c r="B459" i="16" s="1"/>
  <c r="H458" i="16"/>
  <c r="D458" i="16"/>
  <c r="B458" i="16" s="1"/>
  <c r="H457" i="16"/>
  <c r="D457" i="16"/>
  <c r="B457" i="16"/>
  <c r="H456" i="16"/>
  <c r="D456" i="16"/>
  <c r="B456" i="16"/>
  <c r="H455" i="16"/>
  <c r="D455" i="16" s="1"/>
  <c r="B455" i="16" s="1"/>
  <c r="H454" i="16"/>
  <c r="D454" i="16"/>
  <c r="B454" i="16" s="1"/>
  <c r="H453" i="16"/>
  <c r="D453" i="16"/>
  <c r="B453" i="16"/>
  <c r="H452" i="16"/>
  <c r="D452" i="16"/>
  <c r="B452" i="16"/>
  <c r="H451" i="16"/>
  <c r="H450" i="16"/>
  <c r="D450" i="16"/>
  <c r="B450" i="16" s="1"/>
  <c r="H449" i="16"/>
  <c r="D449" i="16"/>
  <c r="B449" i="16"/>
  <c r="H448" i="16"/>
  <c r="D448" i="16"/>
  <c r="B448" i="16"/>
  <c r="Q446" i="16"/>
  <c r="P446" i="16"/>
  <c r="N446" i="16"/>
  <c r="M446" i="16"/>
  <c r="L446" i="16"/>
  <c r="K446" i="16"/>
  <c r="J446" i="16"/>
  <c r="F446" i="16"/>
  <c r="H443" i="16"/>
  <c r="D443" i="16"/>
  <c r="B443" i="16" s="1"/>
  <c r="H442" i="16"/>
  <c r="D442" i="16"/>
  <c r="B442" i="16"/>
  <c r="H441" i="16"/>
  <c r="D441" i="16"/>
  <c r="B441" i="16"/>
  <c r="H440" i="16"/>
  <c r="D440" i="16" s="1"/>
  <c r="B440" i="16" s="1"/>
  <c r="H439" i="16"/>
  <c r="D439" i="16"/>
  <c r="B439" i="16" s="1"/>
  <c r="H438" i="16"/>
  <c r="D438" i="16"/>
  <c r="B438" i="16"/>
  <c r="H437" i="16"/>
  <c r="D437" i="16"/>
  <c r="B437" i="16"/>
  <c r="H436" i="16"/>
  <c r="D436" i="16" s="1"/>
  <c r="B436" i="16" s="1"/>
  <c r="H435" i="16"/>
  <c r="D435" i="16"/>
  <c r="B435" i="16" s="1"/>
  <c r="H434" i="16"/>
  <c r="D434" i="16"/>
  <c r="B434" i="16"/>
  <c r="H433" i="16"/>
  <c r="D433" i="16"/>
  <c r="B433" i="16"/>
  <c r="H432" i="16"/>
  <c r="D432" i="16" s="1"/>
  <c r="B432" i="16" s="1"/>
  <c r="H431" i="16"/>
  <c r="D431" i="16"/>
  <c r="B431" i="16" s="1"/>
  <c r="H430" i="16"/>
  <c r="D430" i="16"/>
  <c r="B430" i="16"/>
  <c r="H429" i="16"/>
  <c r="D429" i="16"/>
  <c r="B429" i="16"/>
  <c r="H428" i="16"/>
  <c r="D428" i="16" s="1"/>
  <c r="B428" i="16" s="1"/>
  <c r="H427" i="16"/>
  <c r="D427" i="16"/>
  <c r="B427" i="16" s="1"/>
  <c r="H426" i="16"/>
  <c r="D426" i="16"/>
  <c r="B426" i="16"/>
  <c r="H425" i="16"/>
  <c r="D425" i="16"/>
  <c r="B425" i="16"/>
  <c r="H424" i="16"/>
  <c r="D424" i="16" s="1"/>
  <c r="B424" i="16" s="1"/>
  <c r="H423" i="16"/>
  <c r="D423" i="16"/>
  <c r="B423" i="16" s="1"/>
  <c r="H422" i="16"/>
  <c r="D422" i="16"/>
  <c r="B422" i="16"/>
  <c r="H421" i="16"/>
  <c r="D421" i="16"/>
  <c r="B421" i="16"/>
  <c r="H419" i="16"/>
  <c r="D419" i="16" s="1"/>
  <c r="B419" i="16" s="1"/>
  <c r="H418" i="16"/>
  <c r="D418" i="16"/>
  <c r="B418" i="16" s="1"/>
  <c r="H417" i="16"/>
  <c r="D417" i="16"/>
  <c r="B417" i="16"/>
  <c r="H416" i="16"/>
  <c r="D416" i="16"/>
  <c r="B416" i="16"/>
  <c r="H415" i="16"/>
  <c r="H414" i="16"/>
  <c r="D414" i="16"/>
  <c r="B414" i="16" s="1"/>
  <c r="H413" i="16"/>
  <c r="D413" i="16"/>
  <c r="B413" i="16"/>
  <c r="H412" i="16"/>
  <c r="D412" i="16"/>
  <c r="B412" i="16"/>
  <c r="Q410" i="16"/>
  <c r="P410" i="16"/>
  <c r="N410" i="16"/>
  <c r="M410" i="16"/>
  <c r="L410" i="16"/>
  <c r="K410" i="16"/>
  <c r="J410" i="16"/>
  <c r="F410" i="16"/>
  <c r="H407" i="16"/>
  <c r="D407" i="16"/>
  <c r="B407" i="16" s="1"/>
  <c r="H406" i="16"/>
  <c r="D406" i="16"/>
  <c r="B406" i="16"/>
  <c r="H405" i="16"/>
  <c r="D405" i="16"/>
  <c r="B405" i="16"/>
  <c r="H404" i="16"/>
  <c r="D404" i="16" s="1"/>
  <c r="B404" i="16" s="1"/>
  <c r="H403" i="16"/>
  <c r="D403" i="16"/>
  <c r="B403" i="16" s="1"/>
  <c r="H402" i="16"/>
  <c r="D402" i="16"/>
  <c r="B402" i="16"/>
  <c r="H401" i="16"/>
  <c r="D401" i="16"/>
  <c r="B401" i="16"/>
  <c r="H400" i="16"/>
  <c r="D400" i="16" s="1"/>
  <c r="B400" i="16" s="1"/>
  <c r="H399" i="16"/>
  <c r="D399" i="16"/>
  <c r="B399" i="16" s="1"/>
  <c r="H398" i="16"/>
  <c r="D398" i="16"/>
  <c r="B398" i="16"/>
  <c r="H397" i="16"/>
  <c r="D397" i="16"/>
  <c r="B397" i="16"/>
  <c r="H396" i="16"/>
  <c r="D396" i="16" s="1"/>
  <c r="B396" i="16" s="1"/>
  <c r="H395" i="16"/>
  <c r="D395" i="16"/>
  <c r="B395" i="16" s="1"/>
  <c r="H394" i="16"/>
  <c r="D394" i="16"/>
  <c r="B394" i="16"/>
  <c r="H393" i="16"/>
  <c r="D393" i="16"/>
  <c r="B393" i="16"/>
  <c r="H392" i="16"/>
  <c r="D392" i="16" s="1"/>
  <c r="B392" i="16" s="1"/>
  <c r="H391" i="16"/>
  <c r="D391" i="16"/>
  <c r="B391" i="16" s="1"/>
  <c r="H390" i="16"/>
  <c r="D390" i="16"/>
  <c r="B390" i="16"/>
  <c r="H389" i="16"/>
  <c r="D389" i="16"/>
  <c r="B389" i="16"/>
  <c r="H388" i="16"/>
  <c r="D388" i="16" s="1"/>
  <c r="B388" i="16" s="1"/>
  <c r="H387" i="16"/>
  <c r="D387" i="16"/>
  <c r="B387" i="16" s="1"/>
  <c r="H386" i="16"/>
  <c r="D386" i="16"/>
  <c r="B386" i="16"/>
  <c r="H385" i="16"/>
  <c r="D385" i="16"/>
  <c r="B385" i="16"/>
  <c r="H384" i="16"/>
  <c r="D384" i="16" s="1"/>
  <c r="B384" i="16" s="1"/>
  <c r="H383" i="16"/>
  <c r="D383" i="16"/>
  <c r="B383" i="16" s="1"/>
  <c r="H382" i="16"/>
  <c r="D382" i="16"/>
  <c r="B382" i="16"/>
  <c r="H381" i="16"/>
  <c r="D381" i="16"/>
  <c r="B381" i="16"/>
  <c r="H380" i="16"/>
  <c r="D380" i="16" s="1"/>
  <c r="B380" i="16" s="1"/>
  <c r="H379" i="16"/>
  <c r="D379" i="16"/>
  <c r="B379" i="16" s="1"/>
  <c r="H378" i="16"/>
  <c r="D378" i="16"/>
  <c r="B378" i="16"/>
  <c r="H377" i="16"/>
  <c r="D377" i="16"/>
  <c r="B377" i="16"/>
  <c r="H376" i="16"/>
  <c r="Q374" i="16"/>
  <c r="P374" i="16"/>
  <c r="N374" i="16"/>
  <c r="M374" i="16"/>
  <c r="L374" i="16"/>
  <c r="K374" i="16"/>
  <c r="J374" i="16"/>
  <c r="F374" i="16"/>
  <c r="H371" i="16"/>
  <c r="D371" i="16"/>
  <c r="B371" i="16"/>
  <c r="H370" i="16"/>
  <c r="D370" i="16"/>
  <c r="B370" i="16"/>
  <c r="H369" i="16"/>
  <c r="D369" i="16" s="1"/>
  <c r="B369" i="16" s="1"/>
  <c r="H368" i="16"/>
  <c r="D368" i="16"/>
  <c r="B368" i="16" s="1"/>
  <c r="H367" i="16"/>
  <c r="D367" i="16"/>
  <c r="B367" i="16"/>
  <c r="H366" i="16"/>
  <c r="D366" i="16"/>
  <c r="B366" i="16"/>
  <c r="H365" i="16"/>
  <c r="D365" i="16" s="1"/>
  <c r="B365" i="16" s="1"/>
  <c r="H364" i="16"/>
  <c r="D364" i="16"/>
  <c r="B364" i="16" s="1"/>
  <c r="H363" i="16"/>
  <c r="D363" i="16"/>
  <c r="B363" i="16"/>
  <c r="H362" i="16"/>
  <c r="D362" i="16" s="1"/>
  <c r="B362" i="16" s="1"/>
  <c r="H361" i="16"/>
  <c r="D361" i="16" s="1"/>
  <c r="B361" i="16" s="1"/>
  <c r="H360" i="16"/>
  <c r="D360" i="16"/>
  <c r="B360" i="16" s="1"/>
  <c r="H359" i="16"/>
  <c r="D359" i="16"/>
  <c r="B359" i="16"/>
  <c r="H358" i="16"/>
  <c r="D358" i="16" s="1"/>
  <c r="B358" i="16" s="1"/>
  <c r="H357" i="16"/>
  <c r="D357" i="16" s="1"/>
  <c r="B357" i="16" s="1"/>
  <c r="H356" i="16"/>
  <c r="D356" i="16"/>
  <c r="B356" i="16" s="1"/>
  <c r="H355" i="16"/>
  <c r="D355" i="16"/>
  <c r="B355" i="16"/>
  <c r="H354" i="16"/>
  <c r="D354" i="16" s="1"/>
  <c r="B354" i="16" s="1"/>
  <c r="H353" i="16"/>
  <c r="D353" i="16" s="1"/>
  <c r="B353" i="16" s="1"/>
  <c r="H352" i="16"/>
  <c r="D352" i="16"/>
  <c r="B352" i="16" s="1"/>
  <c r="H351" i="16"/>
  <c r="D351" i="16"/>
  <c r="B351" i="16"/>
  <c r="H350" i="16"/>
  <c r="D350" i="16"/>
  <c r="B350" i="16"/>
  <c r="H349" i="16"/>
  <c r="D349" i="16" s="1"/>
  <c r="B349" i="16" s="1"/>
  <c r="H348" i="16"/>
  <c r="D348" i="16"/>
  <c r="B348" i="16" s="1"/>
  <c r="H347" i="16"/>
  <c r="D347" i="16"/>
  <c r="B347" i="16"/>
  <c r="H346" i="16"/>
  <c r="D346" i="16"/>
  <c r="B346" i="16"/>
  <c r="H345" i="16"/>
  <c r="D345" i="16" s="1"/>
  <c r="B345" i="16" s="1"/>
  <c r="H344" i="16"/>
  <c r="D344" i="16"/>
  <c r="B344" i="16" s="1"/>
  <c r="H343" i="16"/>
  <c r="D343" i="16"/>
  <c r="B343" i="16"/>
  <c r="H342" i="16"/>
  <c r="D342" i="16"/>
  <c r="B342" i="16"/>
  <c r="H341" i="16"/>
  <c r="D341" i="16" s="1"/>
  <c r="B341" i="16" s="1"/>
  <c r="H340" i="16"/>
  <c r="H338" i="16" s="1"/>
  <c r="D340" i="16"/>
  <c r="Q338" i="16"/>
  <c r="P338" i="16"/>
  <c r="N338" i="16"/>
  <c r="M338" i="16"/>
  <c r="L338" i="16"/>
  <c r="K338" i="16"/>
  <c r="J338" i="16"/>
  <c r="F338" i="16"/>
  <c r="H335" i="16"/>
  <c r="D335" i="16"/>
  <c r="B335" i="16"/>
  <c r="H334" i="16"/>
  <c r="D334" i="16" s="1"/>
  <c r="B334" i="16" s="1"/>
  <c r="H333" i="16"/>
  <c r="D333" i="16"/>
  <c r="B333" i="16" s="1"/>
  <c r="H332" i="16"/>
  <c r="D332" i="16"/>
  <c r="B332" i="16"/>
  <c r="H331" i="16"/>
  <c r="D331" i="16"/>
  <c r="B331" i="16"/>
  <c r="H330" i="16"/>
  <c r="D330" i="16" s="1"/>
  <c r="B330" i="16" s="1"/>
  <c r="H329" i="16"/>
  <c r="D329" i="16"/>
  <c r="B329" i="16" s="1"/>
  <c r="H328" i="16"/>
  <c r="D328" i="16"/>
  <c r="B328" i="16"/>
  <c r="H327" i="16"/>
  <c r="D327" i="16"/>
  <c r="B327" i="16"/>
  <c r="H326" i="16"/>
  <c r="D326" i="16" s="1"/>
  <c r="B326" i="16" s="1"/>
  <c r="H325" i="16"/>
  <c r="D325" i="16"/>
  <c r="B325" i="16" s="1"/>
  <c r="H324" i="16"/>
  <c r="D324" i="16"/>
  <c r="B324" i="16"/>
  <c r="H323" i="16"/>
  <c r="D323" i="16"/>
  <c r="B323" i="16"/>
  <c r="H322" i="16"/>
  <c r="D322" i="16" s="1"/>
  <c r="B322" i="16" s="1"/>
  <c r="H321" i="16"/>
  <c r="D321" i="16"/>
  <c r="B321" i="16" s="1"/>
  <c r="H320" i="16"/>
  <c r="D320" i="16"/>
  <c r="B320" i="16"/>
  <c r="H319" i="16"/>
  <c r="D319" i="16"/>
  <c r="B319" i="16"/>
  <c r="H318" i="16"/>
  <c r="D318" i="16" s="1"/>
  <c r="B318" i="16" s="1"/>
  <c r="H317" i="16"/>
  <c r="D317" i="16"/>
  <c r="B317" i="16" s="1"/>
  <c r="H316" i="16"/>
  <c r="D316" i="16"/>
  <c r="B316" i="16"/>
  <c r="H315" i="16"/>
  <c r="D315" i="16"/>
  <c r="B315" i="16"/>
  <c r="H314" i="16"/>
  <c r="D314" i="16" s="1"/>
  <c r="B314" i="16" s="1"/>
  <c r="H313" i="16"/>
  <c r="D313" i="16"/>
  <c r="B313" i="16" s="1"/>
  <c r="H312" i="16"/>
  <c r="D312" i="16"/>
  <c r="B312" i="16"/>
  <c r="H311" i="16"/>
  <c r="D311" i="16"/>
  <c r="B311" i="16"/>
  <c r="H310" i="16"/>
  <c r="D310" i="16" s="1"/>
  <c r="B310" i="16" s="1"/>
  <c r="H309" i="16"/>
  <c r="D309" i="16"/>
  <c r="B309" i="16" s="1"/>
  <c r="H308" i="16"/>
  <c r="D308" i="16"/>
  <c r="B308" i="16"/>
  <c r="H307" i="16"/>
  <c r="D307" i="16"/>
  <c r="B307" i="16"/>
  <c r="H306" i="16"/>
  <c r="D306" i="16" s="1"/>
  <c r="B306" i="16" s="1"/>
  <c r="H305" i="16"/>
  <c r="D305" i="16"/>
  <c r="B305" i="16" s="1"/>
  <c r="H304" i="16"/>
  <c r="D304" i="16"/>
  <c r="B304" i="16"/>
  <c r="Q302" i="16"/>
  <c r="P302" i="16"/>
  <c r="N302" i="16"/>
  <c r="M302" i="16"/>
  <c r="L302" i="16"/>
  <c r="K302" i="16"/>
  <c r="J302" i="16"/>
  <c r="H302" i="16"/>
  <c r="F302" i="16"/>
  <c r="H299" i="16"/>
  <c r="D299" i="16" s="1"/>
  <c r="B299" i="16" s="1"/>
  <c r="H298" i="16"/>
  <c r="D298" i="16"/>
  <c r="B298" i="16" s="1"/>
  <c r="H297" i="16"/>
  <c r="D297" i="16"/>
  <c r="B297" i="16"/>
  <c r="H296" i="16"/>
  <c r="D296" i="16"/>
  <c r="B296" i="16"/>
  <c r="H295" i="16"/>
  <c r="D295" i="16" s="1"/>
  <c r="B295" i="16" s="1"/>
  <c r="H294" i="16"/>
  <c r="D294" i="16"/>
  <c r="B294" i="16" s="1"/>
  <c r="H293" i="16"/>
  <c r="D293" i="16"/>
  <c r="B293" i="16"/>
  <c r="H292" i="16"/>
  <c r="D292" i="16"/>
  <c r="B292" i="16"/>
  <c r="H291" i="16"/>
  <c r="D291" i="16" s="1"/>
  <c r="B291" i="16" s="1"/>
  <c r="H290" i="16"/>
  <c r="D290" i="16"/>
  <c r="B290" i="16" s="1"/>
  <c r="H289" i="16"/>
  <c r="D289" i="16"/>
  <c r="B289" i="16"/>
  <c r="H288" i="16"/>
  <c r="D288" i="16"/>
  <c r="B288" i="16"/>
  <c r="H287" i="16"/>
  <c r="D287" i="16" s="1"/>
  <c r="B287" i="16" s="1"/>
  <c r="H286" i="16"/>
  <c r="D286" i="16"/>
  <c r="B286" i="16" s="1"/>
  <c r="H285" i="16"/>
  <c r="D285" i="16"/>
  <c r="B285" i="16"/>
  <c r="H284" i="16"/>
  <c r="D284" i="16"/>
  <c r="B284" i="16"/>
  <c r="H283" i="16"/>
  <c r="D283" i="16" s="1"/>
  <c r="B283" i="16" s="1"/>
  <c r="H282" i="16"/>
  <c r="D282" i="16"/>
  <c r="B282" i="16" s="1"/>
  <c r="H281" i="16"/>
  <c r="D281" i="16"/>
  <c r="B281" i="16"/>
  <c r="H280" i="16"/>
  <c r="D280" i="16"/>
  <c r="B280" i="16"/>
  <c r="H279" i="16"/>
  <c r="D279" i="16" s="1"/>
  <c r="B279" i="16" s="1"/>
  <c r="H278" i="16"/>
  <c r="D278" i="16"/>
  <c r="B278" i="16" s="1"/>
  <c r="H277" i="16"/>
  <c r="D277" i="16"/>
  <c r="B277" i="16"/>
  <c r="H276" i="16"/>
  <c r="D276" i="16"/>
  <c r="B276" i="16"/>
  <c r="H275" i="16"/>
  <c r="D275" i="16" s="1"/>
  <c r="B275" i="16" s="1"/>
  <c r="H274" i="16"/>
  <c r="D274" i="16"/>
  <c r="B274" i="16" s="1"/>
  <c r="H273" i="16"/>
  <c r="D273" i="16"/>
  <c r="B273" i="16"/>
  <c r="H272" i="16"/>
  <c r="D272" i="16"/>
  <c r="B272" i="16"/>
  <c r="H271" i="16"/>
  <c r="H270" i="16"/>
  <c r="D270" i="16"/>
  <c r="B270" i="16" s="1"/>
  <c r="H269" i="16"/>
  <c r="D269" i="16"/>
  <c r="B269" i="16"/>
  <c r="H268" i="16"/>
  <c r="D268" i="16"/>
  <c r="B268" i="16"/>
  <c r="Q266" i="16"/>
  <c r="P266" i="16"/>
  <c r="N266" i="16"/>
  <c r="M266" i="16"/>
  <c r="L266" i="16"/>
  <c r="K266" i="16"/>
  <c r="J266" i="16"/>
  <c r="F266" i="16"/>
  <c r="H263" i="16"/>
  <c r="D263" i="16"/>
  <c r="B263" i="16" s="1"/>
  <c r="H262" i="16"/>
  <c r="D262" i="16"/>
  <c r="B262" i="16"/>
  <c r="H261" i="16"/>
  <c r="D261" i="16"/>
  <c r="B261" i="16"/>
  <c r="H260" i="16"/>
  <c r="D260" i="16" s="1"/>
  <c r="B260" i="16" s="1"/>
  <c r="R259" i="16"/>
  <c r="H259" i="16"/>
  <c r="D259" i="16" s="1"/>
  <c r="B259" i="16" s="1"/>
  <c r="D258" i="16"/>
  <c r="B258" i="16"/>
  <c r="H257" i="16"/>
  <c r="D257" i="16"/>
  <c r="B257" i="16"/>
  <c r="H256" i="16"/>
  <c r="D256" i="16" s="1"/>
  <c r="B256" i="16" s="1"/>
  <c r="H255" i="16"/>
  <c r="D255" i="16"/>
  <c r="B255" i="16" s="1"/>
  <c r="H254" i="16"/>
  <c r="D254" i="16"/>
  <c r="B254" i="16"/>
  <c r="H253" i="16"/>
  <c r="D253" i="16"/>
  <c r="B253" i="16"/>
  <c r="D252" i="16"/>
  <c r="B252" i="16" s="1"/>
  <c r="H251" i="16"/>
  <c r="D251" i="16"/>
  <c r="B251" i="16"/>
  <c r="H250" i="16"/>
  <c r="D250" i="16"/>
  <c r="B250" i="16"/>
  <c r="H249" i="16"/>
  <c r="D249" i="16" s="1"/>
  <c r="B249" i="16" s="1"/>
  <c r="H248" i="16"/>
  <c r="D248" i="16"/>
  <c r="B248" i="16" s="1"/>
  <c r="H247" i="16"/>
  <c r="D247" i="16"/>
  <c r="B247" i="16"/>
  <c r="H246" i="16"/>
  <c r="D246" i="16"/>
  <c r="B246" i="16"/>
  <c r="H245" i="16"/>
  <c r="D245" i="16" s="1"/>
  <c r="B245" i="16" s="1"/>
  <c r="H244" i="16"/>
  <c r="D244" i="16"/>
  <c r="B244" i="16" s="1"/>
  <c r="H243" i="16"/>
  <c r="D243" i="16"/>
  <c r="B243" i="16"/>
  <c r="H242" i="16"/>
  <c r="D242" i="16"/>
  <c r="B242" i="16"/>
  <c r="H241" i="16"/>
  <c r="D241" i="16" s="1"/>
  <c r="B241" i="16" s="1"/>
  <c r="H240" i="16"/>
  <c r="D240" i="16"/>
  <c r="B240" i="16" s="1"/>
  <c r="H239" i="16"/>
  <c r="D239" i="16"/>
  <c r="B239" i="16"/>
  <c r="D238" i="16"/>
  <c r="B238" i="16"/>
  <c r="H237" i="16"/>
  <c r="D237" i="16"/>
  <c r="B237" i="16" s="1"/>
  <c r="H236" i="16"/>
  <c r="D236" i="16"/>
  <c r="B236" i="16"/>
  <c r="H235" i="16"/>
  <c r="D235" i="16"/>
  <c r="B235" i="16" s="1"/>
  <c r="H234" i="16"/>
  <c r="D234" i="16" s="1"/>
  <c r="B234" i="16" s="1"/>
  <c r="H233" i="16"/>
  <c r="D233" i="16"/>
  <c r="B233" i="16" s="1"/>
  <c r="H232" i="16"/>
  <c r="D232" i="16" s="1"/>
  <c r="D230" i="16" s="1"/>
  <c r="Q230" i="16"/>
  <c r="P230" i="16"/>
  <c r="N230" i="16"/>
  <c r="M230" i="16"/>
  <c r="L230" i="16"/>
  <c r="K230" i="16"/>
  <c r="J230" i="16"/>
  <c r="F230" i="16"/>
  <c r="H227" i="16"/>
  <c r="D227" i="16" s="1"/>
  <c r="B227" i="16" s="1"/>
  <c r="H226" i="16"/>
  <c r="D226" i="16"/>
  <c r="B226" i="16" s="1"/>
  <c r="H225" i="16"/>
  <c r="D225" i="16" s="1"/>
  <c r="B225" i="16" s="1"/>
  <c r="H224" i="16"/>
  <c r="D224" i="16"/>
  <c r="B224" i="16" s="1"/>
  <c r="H223" i="16"/>
  <c r="D223" i="16" s="1"/>
  <c r="B223" i="16" s="1"/>
  <c r="H222" i="16"/>
  <c r="D222" i="16"/>
  <c r="B222" i="16" s="1"/>
  <c r="H221" i="16"/>
  <c r="D221" i="16" s="1"/>
  <c r="B221" i="16"/>
  <c r="H220" i="16"/>
  <c r="D220" i="16"/>
  <c r="B220" i="16" s="1"/>
  <c r="H219" i="16"/>
  <c r="D219" i="16" s="1"/>
  <c r="B219" i="16" s="1"/>
  <c r="H218" i="16"/>
  <c r="D218" i="16"/>
  <c r="B218" i="16" s="1"/>
  <c r="H217" i="16"/>
  <c r="D217" i="16" s="1"/>
  <c r="B217" i="16" s="1"/>
  <c r="H216" i="16"/>
  <c r="D216" i="16"/>
  <c r="B216" i="16" s="1"/>
  <c r="H215" i="16"/>
  <c r="D215" i="16" s="1"/>
  <c r="B215" i="16" s="1"/>
  <c r="H214" i="16"/>
  <c r="D214" i="16"/>
  <c r="B214" i="16" s="1"/>
  <c r="H213" i="16"/>
  <c r="D213" i="16" s="1"/>
  <c r="B213" i="16"/>
  <c r="H212" i="16"/>
  <c r="D212" i="16"/>
  <c r="B212" i="16" s="1"/>
  <c r="H211" i="16"/>
  <c r="D211" i="16" s="1"/>
  <c r="B211" i="16" s="1"/>
  <c r="H210" i="16"/>
  <c r="D210" i="16"/>
  <c r="B210" i="16" s="1"/>
  <c r="H209" i="16"/>
  <c r="D209" i="16" s="1"/>
  <c r="B209" i="16" s="1"/>
  <c r="H208" i="16"/>
  <c r="D208" i="16"/>
  <c r="B208" i="16" s="1"/>
  <c r="H207" i="16"/>
  <c r="D207" i="16" s="1"/>
  <c r="B207" i="16" s="1"/>
  <c r="H206" i="16"/>
  <c r="D206" i="16"/>
  <c r="B206" i="16" s="1"/>
  <c r="H205" i="16"/>
  <c r="D205" i="16" s="1"/>
  <c r="B205" i="16" s="1"/>
  <c r="H204" i="16"/>
  <c r="D204" i="16"/>
  <c r="B204" i="16" s="1"/>
  <c r="H203" i="16"/>
  <c r="D203" i="16" s="1"/>
  <c r="B203" i="16" s="1"/>
  <c r="H202" i="16"/>
  <c r="D202" i="16" s="1"/>
  <c r="B202" i="16" s="1"/>
  <c r="H201" i="16"/>
  <c r="D201" i="16" s="1"/>
  <c r="B201" i="16" s="1"/>
  <c r="H200" i="16"/>
  <c r="D200" i="16"/>
  <c r="B200" i="16" s="1"/>
  <c r="H199" i="16"/>
  <c r="D199" i="16" s="1"/>
  <c r="B199" i="16" s="1"/>
  <c r="H198" i="16"/>
  <c r="D198" i="16" s="1"/>
  <c r="B198" i="16" s="1"/>
  <c r="H197" i="16"/>
  <c r="D197" i="16" s="1"/>
  <c r="B197" i="16" s="1"/>
  <c r="H196" i="16"/>
  <c r="D196" i="16"/>
  <c r="B196" i="16" s="1"/>
  <c r="Q194" i="16"/>
  <c r="P194" i="16"/>
  <c r="N194" i="16"/>
  <c r="M194" i="16"/>
  <c r="L194" i="16"/>
  <c r="K194" i="16"/>
  <c r="J194" i="16"/>
  <c r="F194" i="16"/>
  <c r="H191" i="16"/>
  <c r="D191" i="16"/>
  <c r="B191" i="16" s="1"/>
  <c r="H190" i="16"/>
  <c r="D190" i="16" s="1"/>
  <c r="B190" i="16" s="1"/>
  <c r="H189" i="16"/>
  <c r="D189" i="16"/>
  <c r="B189" i="16" s="1"/>
  <c r="H188" i="16"/>
  <c r="D188" i="16" s="1"/>
  <c r="B188" i="16" s="1"/>
  <c r="H187" i="16"/>
  <c r="D187" i="16"/>
  <c r="B187" i="16" s="1"/>
  <c r="H186" i="16"/>
  <c r="D186" i="16" s="1"/>
  <c r="B186" i="16" s="1"/>
  <c r="H185" i="16"/>
  <c r="D185" i="16"/>
  <c r="B185" i="16" s="1"/>
  <c r="H184" i="16"/>
  <c r="D184" i="16" s="1"/>
  <c r="B184" i="16" s="1"/>
  <c r="H183" i="16"/>
  <c r="D183" i="16"/>
  <c r="B183" i="16" s="1"/>
  <c r="H182" i="16"/>
  <c r="D182" i="16" s="1"/>
  <c r="B182" i="16" s="1"/>
  <c r="H181" i="16"/>
  <c r="D181" i="16"/>
  <c r="B181" i="16" s="1"/>
  <c r="H180" i="16"/>
  <c r="D180" i="16" s="1"/>
  <c r="B180" i="16" s="1"/>
  <c r="H179" i="16"/>
  <c r="D179" i="16"/>
  <c r="B179" i="16" s="1"/>
  <c r="H178" i="16"/>
  <c r="D178" i="16" s="1"/>
  <c r="B178" i="16" s="1"/>
  <c r="H177" i="16"/>
  <c r="D177" i="16"/>
  <c r="B177" i="16" s="1"/>
  <c r="H176" i="16"/>
  <c r="D176" i="16" s="1"/>
  <c r="B176" i="16" s="1"/>
  <c r="H175" i="16"/>
  <c r="D175" i="16"/>
  <c r="B175" i="16" s="1"/>
  <c r="H174" i="16"/>
  <c r="D174" i="16" s="1"/>
  <c r="B174" i="16" s="1"/>
  <c r="H173" i="16"/>
  <c r="D173" i="16"/>
  <c r="B173" i="16" s="1"/>
  <c r="H172" i="16"/>
  <c r="D172" i="16" s="1"/>
  <c r="B172" i="16" s="1"/>
  <c r="H171" i="16"/>
  <c r="D171" i="16"/>
  <c r="B171" i="16" s="1"/>
  <c r="H170" i="16"/>
  <c r="D170" i="16" s="1"/>
  <c r="B170" i="16" s="1"/>
  <c r="H169" i="16"/>
  <c r="D169" i="16"/>
  <c r="B169" i="16" s="1"/>
  <c r="H168" i="16"/>
  <c r="D168" i="16" s="1"/>
  <c r="B168" i="16" s="1"/>
  <c r="H167" i="16"/>
  <c r="D167" i="16"/>
  <c r="B167" i="16" s="1"/>
  <c r="H166" i="16"/>
  <c r="D166" i="16" s="1"/>
  <c r="B166" i="16" s="1"/>
  <c r="H165" i="16"/>
  <c r="D165" i="16"/>
  <c r="B165" i="16" s="1"/>
  <c r="H164" i="16"/>
  <c r="D164" i="16" s="1"/>
  <c r="B164" i="16" s="1"/>
  <c r="H163" i="16"/>
  <c r="D163" i="16"/>
  <c r="B163" i="16" s="1"/>
  <c r="H162" i="16"/>
  <c r="D162" i="16" s="1"/>
  <c r="B162" i="16" s="1"/>
  <c r="H161" i="16"/>
  <c r="D161" i="16"/>
  <c r="B161" i="16" s="1"/>
  <c r="H160" i="16"/>
  <c r="D160" i="16" s="1"/>
  <c r="Q158" i="16"/>
  <c r="P158" i="16"/>
  <c r="N158" i="16"/>
  <c r="M158" i="16"/>
  <c r="L158" i="16"/>
  <c r="K158" i="16"/>
  <c r="J158" i="16"/>
  <c r="H158" i="16"/>
  <c r="F158" i="16"/>
  <c r="H155" i="16"/>
  <c r="D155" i="16" s="1"/>
  <c r="B155" i="16" s="1"/>
  <c r="H154" i="16"/>
  <c r="D154" i="16"/>
  <c r="B154" i="16" s="1"/>
  <c r="H153" i="16"/>
  <c r="D153" i="16" s="1"/>
  <c r="B153" i="16" s="1"/>
  <c r="H152" i="16"/>
  <c r="D152" i="16"/>
  <c r="B152" i="16" s="1"/>
  <c r="H151" i="16"/>
  <c r="D151" i="16" s="1"/>
  <c r="B151" i="16" s="1"/>
  <c r="H150" i="16"/>
  <c r="D150" i="16"/>
  <c r="B150" i="16" s="1"/>
  <c r="H149" i="16"/>
  <c r="D149" i="16" s="1"/>
  <c r="B149" i="16" s="1"/>
  <c r="H148" i="16"/>
  <c r="D148" i="16"/>
  <c r="B148" i="16" s="1"/>
  <c r="H147" i="16"/>
  <c r="D147" i="16" s="1"/>
  <c r="B147" i="16" s="1"/>
  <c r="H146" i="16"/>
  <c r="D146" i="16"/>
  <c r="B146" i="16" s="1"/>
  <c r="H145" i="16"/>
  <c r="D145" i="16" s="1"/>
  <c r="B145" i="16" s="1"/>
  <c r="H144" i="16"/>
  <c r="D144" i="16"/>
  <c r="B144" i="16" s="1"/>
  <c r="H143" i="16"/>
  <c r="D143" i="16" s="1"/>
  <c r="B143" i="16" s="1"/>
  <c r="H142" i="16"/>
  <c r="D142" i="16"/>
  <c r="B142" i="16" s="1"/>
  <c r="H141" i="16"/>
  <c r="D141" i="16" s="1"/>
  <c r="B141" i="16" s="1"/>
  <c r="H140" i="16"/>
  <c r="D140" i="16"/>
  <c r="B140" i="16" s="1"/>
  <c r="H139" i="16"/>
  <c r="D139" i="16" s="1"/>
  <c r="B139" i="16" s="1"/>
  <c r="H138" i="16"/>
  <c r="D138" i="16"/>
  <c r="B138" i="16" s="1"/>
  <c r="H137" i="16"/>
  <c r="D137" i="16" s="1"/>
  <c r="B137" i="16" s="1"/>
  <c r="H136" i="16"/>
  <c r="D136" i="16"/>
  <c r="B136" i="16" s="1"/>
  <c r="H135" i="16"/>
  <c r="D135" i="16" s="1"/>
  <c r="B135" i="16" s="1"/>
  <c r="H134" i="16"/>
  <c r="D134" i="16"/>
  <c r="B134" i="16" s="1"/>
  <c r="H133" i="16"/>
  <c r="D133" i="16" s="1"/>
  <c r="B133" i="16" s="1"/>
  <c r="H132" i="16"/>
  <c r="D132" i="16"/>
  <c r="B132" i="16" s="1"/>
  <c r="H131" i="16"/>
  <c r="D131" i="16" s="1"/>
  <c r="B131" i="16" s="1"/>
  <c r="H130" i="16"/>
  <c r="D130" i="16"/>
  <c r="B130" i="16" s="1"/>
  <c r="H129" i="16"/>
  <c r="D129" i="16" s="1"/>
  <c r="B129" i="16" s="1"/>
  <c r="H128" i="16"/>
  <c r="D128" i="16"/>
  <c r="B128" i="16" s="1"/>
  <c r="H127" i="16"/>
  <c r="D127" i="16" s="1"/>
  <c r="B127" i="16" s="1"/>
  <c r="H126" i="16"/>
  <c r="D126" i="16"/>
  <c r="B126" i="16" s="1"/>
  <c r="H125" i="16"/>
  <c r="D125" i="16" s="1"/>
  <c r="B125" i="16" s="1"/>
  <c r="H124" i="16"/>
  <c r="D124" i="16"/>
  <c r="D122" i="16" s="1"/>
  <c r="Q122" i="16"/>
  <c r="P122" i="16"/>
  <c r="N122" i="16"/>
  <c r="M122" i="16"/>
  <c r="L122" i="16"/>
  <c r="K122" i="16"/>
  <c r="J122" i="16"/>
  <c r="F122" i="16"/>
  <c r="H119" i="16"/>
  <c r="D119" i="16"/>
  <c r="B119" i="16" s="1"/>
  <c r="H118" i="16"/>
  <c r="D118" i="16" s="1"/>
  <c r="B118" i="16" s="1"/>
  <c r="H117" i="16"/>
  <c r="D117" i="16"/>
  <c r="B117" i="16" s="1"/>
  <c r="H116" i="16"/>
  <c r="D116" i="16" s="1"/>
  <c r="B116" i="16" s="1"/>
  <c r="H115" i="16"/>
  <c r="D115" i="16"/>
  <c r="B115" i="16" s="1"/>
  <c r="H114" i="16"/>
  <c r="D114" i="16" s="1"/>
  <c r="B114" i="16" s="1"/>
  <c r="H113" i="16"/>
  <c r="D113" i="16"/>
  <c r="B113" i="16" s="1"/>
  <c r="H112" i="16"/>
  <c r="D112" i="16" s="1"/>
  <c r="B112" i="16" s="1"/>
  <c r="H111" i="16"/>
  <c r="D111" i="16"/>
  <c r="B111" i="16" s="1"/>
  <c r="H110" i="16"/>
  <c r="D110" i="16" s="1"/>
  <c r="B110" i="16" s="1"/>
  <c r="H109" i="16"/>
  <c r="D109" i="16"/>
  <c r="B109" i="16" s="1"/>
  <c r="H108" i="16"/>
  <c r="D108" i="16" s="1"/>
  <c r="B108" i="16" s="1"/>
  <c r="H107" i="16"/>
  <c r="D107" i="16"/>
  <c r="B107" i="16" s="1"/>
  <c r="H106" i="16"/>
  <c r="D106" i="16" s="1"/>
  <c r="B106" i="16" s="1"/>
  <c r="H105" i="16"/>
  <c r="D105" i="16"/>
  <c r="B105" i="16" s="1"/>
  <c r="H104" i="16"/>
  <c r="D104" i="16" s="1"/>
  <c r="B104" i="16" s="1"/>
  <c r="H103" i="16"/>
  <c r="D103" i="16"/>
  <c r="B103" i="16" s="1"/>
  <c r="H102" i="16"/>
  <c r="D102" i="16" s="1"/>
  <c r="B102" i="16" s="1"/>
  <c r="H101" i="16"/>
  <c r="D101" i="16"/>
  <c r="B101" i="16" s="1"/>
  <c r="H100" i="16"/>
  <c r="D100" i="16" s="1"/>
  <c r="B100" i="16" s="1"/>
  <c r="H99" i="16"/>
  <c r="D99" i="16"/>
  <c r="B99" i="16" s="1"/>
  <c r="H98" i="16"/>
  <c r="D98" i="16" s="1"/>
  <c r="B98" i="16" s="1"/>
  <c r="H97" i="16"/>
  <c r="D97" i="16"/>
  <c r="B97" i="16" s="1"/>
  <c r="H96" i="16"/>
  <c r="D96" i="16" s="1"/>
  <c r="B96" i="16" s="1"/>
  <c r="H95" i="16"/>
  <c r="D95" i="16"/>
  <c r="B95" i="16" s="1"/>
  <c r="H94" i="16"/>
  <c r="D94" i="16" s="1"/>
  <c r="B94" i="16" s="1"/>
  <c r="H93" i="16"/>
  <c r="D93" i="16"/>
  <c r="B93" i="16" s="1"/>
  <c r="H92" i="16"/>
  <c r="D92" i="16" s="1"/>
  <c r="B92" i="16" s="1"/>
  <c r="H91" i="16"/>
  <c r="D91" i="16"/>
  <c r="B91" i="16" s="1"/>
  <c r="H90" i="16"/>
  <c r="D90" i="16" s="1"/>
  <c r="B90" i="16" s="1"/>
  <c r="H89" i="16"/>
  <c r="D89" i="16"/>
  <c r="B89" i="16" s="1"/>
  <c r="H88" i="16"/>
  <c r="D88" i="16" s="1"/>
  <c r="Q86" i="16"/>
  <c r="P86" i="16"/>
  <c r="N86" i="16"/>
  <c r="M86" i="16"/>
  <c r="L86" i="16"/>
  <c r="K86" i="16"/>
  <c r="J86" i="16"/>
  <c r="F86" i="16"/>
  <c r="H83" i="16"/>
  <c r="D83" i="16" s="1"/>
  <c r="B83" i="16" s="1"/>
  <c r="H82" i="16"/>
  <c r="D82" i="16"/>
  <c r="B82" i="16" s="1"/>
  <c r="H81" i="16"/>
  <c r="D81" i="16" s="1"/>
  <c r="B81" i="16" s="1"/>
  <c r="H80" i="16"/>
  <c r="D80" i="16"/>
  <c r="B80" i="16" s="1"/>
  <c r="H79" i="16"/>
  <c r="D79" i="16" s="1"/>
  <c r="B79" i="16" s="1"/>
  <c r="H78" i="16"/>
  <c r="D78" i="16"/>
  <c r="B78" i="16" s="1"/>
  <c r="H77" i="16"/>
  <c r="D77" i="16" s="1"/>
  <c r="B77" i="16" s="1"/>
  <c r="H76" i="16"/>
  <c r="D76" i="16"/>
  <c r="B76" i="16" s="1"/>
  <c r="H75" i="16"/>
  <c r="D75" i="16" s="1"/>
  <c r="B75" i="16" s="1"/>
  <c r="H74" i="16"/>
  <c r="D74" i="16"/>
  <c r="B74" i="16" s="1"/>
  <c r="H73" i="16"/>
  <c r="D73" i="16" s="1"/>
  <c r="B73" i="16" s="1"/>
  <c r="H72" i="16"/>
  <c r="D72" i="16"/>
  <c r="B72" i="16" s="1"/>
  <c r="H71" i="16"/>
  <c r="D71" i="16" s="1"/>
  <c r="B71" i="16" s="1"/>
  <c r="H70" i="16"/>
  <c r="D70" i="16"/>
  <c r="B70" i="16" s="1"/>
  <c r="H69" i="16"/>
  <c r="D69" i="16" s="1"/>
  <c r="B69" i="16" s="1"/>
  <c r="H68" i="16"/>
  <c r="D68" i="16"/>
  <c r="B68" i="16" s="1"/>
  <c r="H67" i="16"/>
  <c r="D67" i="16" s="1"/>
  <c r="B67" i="16" s="1"/>
  <c r="H66" i="16"/>
  <c r="D66" i="16"/>
  <c r="B66" i="16" s="1"/>
  <c r="H65" i="16"/>
  <c r="D65" i="16" s="1"/>
  <c r="B65" i="16" s="1"/>
  <c r="H64" i="16"/>
  <c r="D64" i="16"/>
  <c r="B64" i="16" s="1"/>
  <c r="H63" i="16"/>
  <c r="D63" i="16" s="1"/>
  <c r="B63" i="16" s="1"/>
  <c r="H62" i="16"/>
  <c r="D62" i="16"/>
  <c r="B62" i="16" s="1"/>
  <c r="H61" i="16"/>
  <c r="D61" i="16" s="1"/>
  <c r="B61" i="16" s="1"/>
  <c r="H60" i="16"/>
  <c r="D60" i="16"/>
  <c r="B60" i="16" s="1"/>
  <c r="H59" i="16"/>
  <c r="D59" i="16" s="1"/>
  <c r="B59" i="16" s="1"/>
  <c r="H58" i="16"/>
  <c r="D58" i="16"/>
  <c r="B58" i="16" s="1"/>
  <c r="H57" i="16"/>
  <c r="D57" i="16" s="1"/>
  <c r="B57" i="16" s="1"/>
  <c r="H56" i="16"/>
  <c r="D56" i="16"/>
  <c r="B56" i="16" s="1"/>
  <c r="H55" i="16"/>
  <c r="D55" i="16" s="1"/>
  <c r="B55" i="16" s="1"/>
  <c r="H54" i="16"/>
  <c r="D54" i="16"/>
  <c r="B54" i="16" s="1"/>
  <c r="H53" i="16"/>
  <c r="D53" i="16" s="1"/>
  <c r="B53" i="16" s="1"/>
  <c r="H52" i="16"/>
  <c r="D52" i="16"/>
  <c r="B52" i="16" s="1"/>
  <c r="B50" i="16" s="1"/>
  <c r="Q50" i="16"/>
  <c r="P50" i="16"/>
  <c r="N50" i="16"/>
  <c r="M50" i="16"/>
  <c r="L50" i="16"/>
  <c r="K50" i="16"/>
  <c r="J50" i="16"/>
  <c r="F50" i="16"/>
  <c r="H47" i="16"/>
  <c r="D47" i="16"/>
  <c r="B47" i="16" s="1"/>
  <c r="H46" i="16"/>
  <c r="D46" i="16" s="1"/>
  <c r="B46" i="16" s="1"/>
  <c r="H45" i="16"/>
  <c r="D45" i="16"/>
  <c r="B45" i="16" s="1"/>
  <c r="H44" i="16"/>
  <c r="D44" i="16" s="1"/>
  <c r="B44" i="16" s="1"/>
  <c r="H43" i="16"/>
  <c r="D43" i="16"/>
  <c r="B43" i="16" s="1"/>
  <c r="H42" i="16"/>
  <c r="D42" i="16" s="1"/>
  <c r="B42" i="16" s="1"/>
  <c r="H41" i="16"/>
  <c r="D41" i="16"/>
  <c r="B41" i="16" s="1"/>
  <c r="H40" i="16"/>
  <c r="D40" i="16" s="1"/>
  <c r="B40" i="16" s="1"/>
  <c r="H39" i="16"/>
  <c r="D39" i="16"/>
  <c r="B39" i="16" s="1"/>
  <c r="H38" i="16"/>
  <c r="D38" i="16" s="1"/>
  <c r="B38" i="16" s="1"/>
  <c r="H37" i="16"/>
  <c r="D37" i="16"/>
  <c r="B37" i="16" s="1"/>
  <c r="H36" i="16"/>
  <c r="D36" i="16" s="1"/>
  <c r="B36" i="16" s="1"/>
  <c r="H35" i="16"/>
  <c r="D35" i="16"/>
  <c r="B35" i="16" s="1"/>
  <c r="H34" i="16"/>
  <c r="D34" i="16" s="1"/>
  <c r="B34" i="16" s="1"/>
  <c r="H33" i="16"/>
  <c r="D33" i="16"/>
  <c r="B33" i="16" s="1"/>
  <c r="H32" i="16"/>
  <c r="D32" i="16" s="1"/>
  <c r="B32" i="16" s="1"/>
  <c r="H31" i="16"/>
  <c r="D31" i="16"/>
  <c r="B31" i="16" s="1"/>
  <c r="H30" i="16"/>
  <c r="D30" i="16" s="1"/>
  <c r="B30" i="16" s="1"/>
  <c r="H29" i="16"/>
  <c r="D29" i="16"/>
  <c r="B29" i="16" s="1"/>
  <c r="H28" i="16"/>
  <c r="D28" i="16" s="1"/>
  <c r="B28" i="16" s="1"/>
  <c r="H27" i="16"/>
  <c r="D27" i="16"/>
  <c r="B27" i="16" s="1"/>
  <c r="H26" i="16"/>
  <c r="D26" i="16" s="1"/>
  <c r="B26" i="16" s="1"/>
  <c r="H25" i="16"/>
  <c r="D25" i="16"/>
  <c r="B25" i="16" s="1"/>
  <c r="H24" i="16"/>
  <c r="D24" i="16" s="1"/>
  <c r="B24" i="16" s="1"/>
  <c r="H23" i="16"/>
  <c r="D23" i="16"/>
  <c r="B23" i="16" s="1"/>
  <c r="H22" i="16"/>
  <c r="D22" i="16" s="1"/>
  <c r="B22" i="16" s="1"/>
  <c r="H21" i="16"/>
  <c r="D21" i="16"/>
  <c r="B21" i="16" s="1"/>
  <c r="H20" i="16"/>
  <c r="D20" i="16" s="1"/>
  <c r="B20" i="16" s="1"/>
  <c r="H19" i="16"/>
  <c r="D19" i="16"/>
  <c r="B19" i="16" s="1"/>
  <c r="H18" i="16"/>
  <c r="D18" i="16" s="1"/>
  <c r="B18" i="16" s="1"/>
  <c r="H17" i="16"/>
  <c r="D17" i="16"/>
  <c r="B17" i="16" s="1"/>
  <c r="H16" i="16"/>
  <c r="D16" i="16" s="1"/>
  <c r="Q14" i="16"/>
  <c r="P14" i="16"/>
  <c r="N14" i="16"/>
  <c r="M14" i="16"/>
  <c r="L14" i="16"/>
  <c r="K14" i="16"/>
  <c r="J14" i="16"/>
  <c r="H14" i="16"/>
  <c r="F14" i="16"/>
  <c r="H803" i="15"/>
  <c r="G803" i="15"/>
  <c r="D803" i="15"/>
  <c r="C803" i="15"/>
  <c r="B803" i="15"/>
  <c r="H767" i="15"/>
  <c r="G767" i="15"/>
  <c r="F767" i="15"/>
  <c r="E767" i="15"/>
  <c r="D767" i="15"/>
  <c r="C767" i="15"/>
  <c r="B767" i="15"/>
  <c r="H731" i="15"/>
  <c r="G731" i="15"/>
  <c r="F731" i="15"/>
  <c r="E731" i="15"/>
  <c r="D731" i="15"/>
  <c r="C731" i="15"/>
  <c r="B731" i="15"/>
  <c r="H695" i="15"/>
  <c r="G695" i="15"/>
  <c r="E695" i="15"/>
  <c r="D695" i="15"/>
  <c r="C695" i="15"/>
  <c r="B695" i="15"/>
  <c r="H659" i="15"/>
  <c r="G659" i="15"/>
  <c r="F659" i="15"/>
  <c r="E659" i="15"/>
  <c r="D659" i="15"/>
  <c r="C659" i="15"/>
  <c r="B659" i="15"/>
  <c r="H623" i="15"/>
  <c r="G623" i="15"/>
  <c r="F623" i="15"/>
  <c r="E623" i="15"/>
  <c r="D623" i="15"/>
  <c r="C623" i="15"/>
  <c r="B623" i="15"/>
  <c r="H587" i="15"/>
  <c r="G587" i="15"/>
  <c r="F587" i="15"/>
  <c r="E587" i="15"/>
  <c r="D587" i="15"/>
  <c r="C587" i="15"/>
  <c r="B587" i="15"/>
  <c r="H551" i="15"/>
  <c r="G551" i="15"/>
  <c r="F551" i="15"/>
  <c r="E551" i="15"/>
  <c r="D551" i="15"/>
  <c r="C551" i="15"/>
  <c r="B551" i="15"/>
  <c r="H515" i="15"/>
  <c r="G515" i="15"/>
  <c r="F515" i="15"/>
  <c r="E515" i="15"/>
  <c r="D515" i="15"/>
  <c r="C515" i="15"/>
  <c r="B515" i="15"/>
  <c r="H479" i="15"/>
  <c r="G479" i="15"/>
  <c r="F479" i="15"/>
  <c r="E479" i="15"/>
  <c r="D479" i="15"/>
  <c r="C479" i="15"/>
  <c r="B479" i="15"/>
  <c r="H443" i="15"/>
  <c r="G443" i="15"/>
  <c r="F443" i="15"/>
  <c r="E443" i="15"/>
  <c r="D443" i="15"/>
  <c r="C443" i="15"/>
  <c r="B443" i="15"/>
  <c r="H407" i="15"/>
  <c r="G407" i="15"/>
  <c r="F407" i="15"/>
  <c r="E407" i="15"/>
  <c r="D407" i="15"/>
  <c r="C407" i="15"/>
  <c r="B407" i="15"/>
  <c r="H371" i="15"/>
  <c r="G371" i="15"/>
  <c r="F371" i="15"/>
  <c r="E371" i="15"/>
  <c r="D371" i="15"/>
  <c r="C371" i="15"/>
  <c r="B371" i="15"/>
  <c r="H335" i="15"/>
  <c r="G335" i="15"/>
  <c r="F335" i="15"/>
  <c r="E335" i="15"/>
  <c r="D335" i="15"/>
  <c r="C335" i="15"/>
  <c r="B335" i="15"/>
  <c r="H299" i="15"/>
  <c r="G299" i="15"/>
  <c r="F299" i="15"/>
  <c r="E299" i="15"/>
  <c r="D299" i="15"/>
  <c r="C299" i="15"/>
  <c r="B299" i="15"/>
  <c r="H263" i="15"/>
  <c r="G263" i="15"/>
  <c r="F263" i="15"/>
  <c r="E263" i="15"/>
  <c r="D263" i="15"/>
  <c r="C263" i="15"/>
  <c r="B263" i="15"/>
  <c r="H227" i="15"/>
  <c r="G227" i="15"/>
  <c r="F227" i="15"/>
  <c r="E227" i="15"/>
  <c r="D227" i="15"/>
  <c r="C227" i="15"/>
  <c r="B227" i="15"/>
  <c r="H191" i="15"/>
  <c r="G191" i="15"/>
  <c r="F191" i="15"/>
  <c r="E191" i="15"/>
  <c r="D191" i="15"/>
  <c r="C191" i="15"/>
  <c r="B191" i="15"/>
  <c r="H155" i="15"/>
  <c r="G155" i="15"/>
  <c r="F155" i="15"/>
  <c r="E155" i="15"/>
  <c r="D155" i="15"/>
  <c r="C155" i="15"/>
  <c r="B155" i="15"/>
  <c r="H119" i="15"/>
  <c r="G119" i="15"/>
  <c r="F119" i="15"/>
  <c r="E119" i="15"/>
  <c r="D119" i="15"/>
  <c r="C119" i="15"/>
  <c r="B119" i="15"/>
  <c r="H83" i="15"/>
  <c r="G83" i="15"/>
  <c r="F83" i="15"/>
  <c r="E83" i="15"/>
  <c r="D83" i="15"/>
  <c r="C83" i="15"/>
  <c r="B83" i="15"/>
  <c r="H47" i="15"/>
  <c r="G47" i="15"/>
  <c r="F47" i="15"/>
  <c r="E47" i="15"/>
  <c r="D47" i="15"/>
  <c r="C47" i="15"/>
  <c r="B47" i="15"/>
  <c r="H11" i="15"/>
  <c r="G11" i="15"/>
  <c r="F11" i="15"/>
  <c r="E11" i="15"/>
  <c r="D11" i="15"/>
  <c r="C11" i="15"/>
  <c r="B11" i="15"/>
  <c r="B835" i="14"/>
  <c r="B834" i="14"/>
  <c r="B833" i="14"/>
  <c r="B832" i="14"/>
  <c r="B831" i="14"/>
  <c r="B830" i="14"/>
  <c r="B829" i="14"/>
  <c r="B828" i="14"/>
  <c r="B827" i="14"/>
  <c r="B826" i="14"/>
  <c r="B825" i="14"/>
  <c r="B824" i="14"/>
  <c r="B823" i="14"/>
  <c r="B822" i="14"/>
  <c r="B821" i="14"/>
  <c r="B820" i="14"/>
  <c r="B819" i="14"/>
  <c r="B818" i="14"/>
  <c r="B817" i="14"/>
  <c r="B816" i="14"/>
  <c r="B815" i="14"/>
  <c r="B814" i="14"/>
  <c r="B813" i="14"/>
  <c r="B812" i="14"/>
  <c r="B811" i="14"/>
  <c r="B810" i="14"/>
  <c r="B809" i="14"/>
  <c r="B808" i="14"/>
  <c r="B807" i="14"/>
  <c r="B806" i="14"/>
  <c r="B805" i="14"/>
  <c r="B802" i="14" s="1"/>
  <c r="B804" i="14"/>
  <c r="M802" i="14"/>
  <c r="L802" i="14"/>
  <c r="K802" i="14"/>
  <c r="J802" i="14"/>
  <c r="H802" i="14"/>
  <c r="G802" i="14"/>
  <c r="E802" i="14"/>
  <c r="D802" i="14"/>
  <c r="C802" i="14"/>
  <c r="B799" i="14"/>
  <c r="B798" i="14"/>
  <c r="B797" i="14"/>
  <c r="B796" i="14"/>
  <c r="B795" i="14"/>
  <c r="B794" i="14"/>
  <c r="B793" i="14"/>
  <c r="B792" i="14"/>
  <c r="B791" i="14"/>
  <c r="B790" i="14"/>
  <c r="B789" i="14"/>
  <c r="B788" i="14"/>
  <c r="B787" i="14"/>
  <c r="B786" i="14"/>
  <c r="B785" i="14"/>
  <c r="B784" i="14"/>
  <c r="B783" i="14"/>
  <c r="B782" i="14"/>
  <c r="B781" i="14"/>
  <c r="B780" i="14"/>
  <c r="B779" i="14"/>
  <c r="B778" i="14"/>
  <c r="B777" i="14"/>
  <c r="B776" i="14"/>
  <c r="B775" i="14"/>
  <c r="B774" i="14"/>
  <c r="B773" i="14"/>
  <c r="B772" i="14"/>
  <c r="B771" i="14"/>
  <c r="B770" i="14"/>
  <c r="B769" i="14"/>
  <c r="B766" i="14" s="1"/>
  <c r="B768" i="14"/>
  <c r="M766" i="14"/>
  <c r="L766" i="14"/>
  <c r="K766" i="14"/>
  <c r="J766" i="14"/>
  <c r="H766" i="14"/>
  <c r="G766" i="14"/>
  <c r="E766" i="14"/>
  <c r="D766" i="14"/>
  <c r="C766" i="14"/>
  <c r="B763" i="14"/>
  <c r="B762" i="14"/>
  <c r="B761" i="14"/>
  <c r="B760" i="14"/>
  <c r="B759" i="14"/>
  <c r="B758" i="14"/>
  <c r="B757" i="14"/>
  <c r="B756" i="14"/>
  <c r="B755" i="14"/>
  <c r="B754" i="14"/>
  <c r="B753" i="14"/>
  <c r="B752" i="14"/>
  <c r="B751" i="14"/>
  <c r="B750" i="14"/>
  <c r="B749" i="14"/>
  <c r="B748" i="14"/>
  <c r="B747" i="14"/>
  <c r="B746" i="14"/>
  <c r="B745" i="14"/>
  <c r="B744" i="14"/>
  <c r="B743" i="14"/>
  <c r="B742" i="14"/>
  <c r="B741" i="14"/>
  <c r="B740" i="14"/>
  <c r="B739" i="14"/>
  <c r="B738" i="14"/>
  <c r="B737" i="14"/>
  <c r="B736" i="14"/>
  <c r="B735" i="14"/>
  <c r="B734" i="14"/>
  <c r="B733" i="14"/>
  <c r="B730" i="14" s="1"/>
  <c r="B732" i="14"/>
  <c r="M730" i="14"/>
  <c r="L730" i="14"/>
  <c r="K730" i="14"/>
  <c r="J730" i="14"/>
  <c r="H730" i="14"/>
  <c r="G730" i="14"/>
  <c r="E730" i="14"/>
  <c r="D730" i="14"/>
  <c r="C730" i="14"/>
  <c r="B727" i="14"/>
  <c r="B726" i="14"/>
  <c r="B725" i="14"/>
  <c r="B724" i="14"/>
  <c r="B723" i="14"/>
  <c r="B722" i="14"/>
  <c r="B721" i="14"/>
  <c r="B720" i="14"/>
  <c r="B719" i="14"/>
  <c r="B718" i="14"/>
  <c r="B717" i="14"/>
  <c r="B716" i="14"/>
  <c r="B715" i="14"/>
  <c r="B714" i="14"/>
  <c r="B713" i="14"/>
  <c r="B712" i="14"/>
  <c r="B711" i="14"/>
  <c r="B710" i="14"/>
  <c r="B709" i="14"/>
  <c r="B708" i="14"/>
  <c r="B707" i="14"/>
  <c r="B706" i="14"/>
  <c r="B705" i="14"/>
  <c r="B704" i="14"/>
  <c r="B703" i="14"/>
  <c r="B702" i="14"/>
  <c r="B701" i="14"/>
  <c r="B700" i="14"/>
  <c r="B699" i="14"/>
  <c r="B698" i="14"/>
  <c r="B697" i="14"/>
  <c r="B694" i="14" s="1"/>
  <c r="B696" i="14"/>
  <c r="M694" i="14"/>
  <c r="L694" i="14"/>
  <c r="K694" i="14"/>
  <c r="J694" i="14"/>
  <c r="H694" i="14"/>
  <c r="G694" i="14"/>
  <c r="E694" i="14"/>
  <c r="D694" i="14"/>
  <c r="C694" i="14"/>
  <c r="B691" i="14"/>
  <c r="B690" i="14"/>
  <c r="B689" i="14"/>
  <c r="B688" i="14"/>
  <c r="B687" i="14"/>
  <c r="B686" i="14"/>
  <c r="B685" i="14"/>
  <c r="B684" i="14"/>
  <c r="B683" i="14"/>
  <c r="B682" i="14"/>
  <c r="B681" i="14"/>
  <c r="B680" i="14"/>
  <c r="B679" i="14"/>
  <c r="B678" i="14"/>
  <c r="B677" i="14"/>
  <c r="B676" i="14"/>
  <c r="B675" i="14"/>
  <c r="B674" i="14"/>
  <c r="B673" i="14"/>
  <c r="B672" i="14"/>
  <c r="B671" i="14"/>
  <c r="B670" i="14"/>
  <c r="B669" i="14"/>
  <c r="B668" i="14"/>
  <c r="B667" i="14"/>
  <c r="B666" i="14"/>
  <c r="B665" i="14"/>
  <c r="B664" i="14"/>
  <c r="B663" i="14"/>
  <c r="B662" i="14"/>
  <c r="B661" i="14"/>
  <c r="B658" i="14" s="1"/>
  <c r="B660" i="14"/>
  <c r="M658" i="14"/>
  <c r="L658" i="14"/>
  <c r="K658" i="14"/>
  <c r="J658" i="14"/>
  <c r="H658" i="14"/>
  <c r="G658" i="14"/>
  <c r="E658" i="14"/>
  <c r="D658" i="14"/>
  <c r="C658" i="14"/>
  <c r="B655" i="14"/>
  <c r="B654" i="14"/>
  <c r="B653" i="14"/>
  <c r="B652" i="14"/>
  <c r="B651" i="14"/>
  <c r="B650" i="14"/>
  <c r="B649" i="14"/>
  <c r="B648" i="14"/>
  <c r="B647" i="14"/>
  <c r="B646" i="14"/>
  <c r="B645" i="14"/>
  <c r="B644" i="14"/>
  <c r="B643" i="14"/>
  <c r="B642" i="14"/>
  <c r="B641" i="14"/>
  <c r="B640" i="14"/>
  <c r="B639" i="14"/>
  <c r="B638" i="14"/>
  <c r="B637" i="14"/>
  <c r="B636" i="14"/>
  <c r="B635" i="14"/>
  <c r="B634" i="14"/>
  <c r="B633" i="14"/>
  <c r="B632" i="14"/>
  <c r="B631" i="14"/>
  <c r="B630" i="14"/>
  <c r="B629" i="14"/>
  <c r="B628" i="14"/>
  <c r="B627" i="14"/>
  <c r="B626" i="14"/>
  <c r="B625" i="14"/>
  <c r="B622" i="14" s="1"/>
  <c r="B624" i="14"/>
  <c r="M622" i="14"/>
  <c r="L622" i="14"/>
  <c r="K622" i="14"/>
  <c r="J622" i="14"/>
  <c r="H622" i="14"/>
  <c r="G622" i="14"/>
  <c r="E622" i="14"/>
  <c r="D622" i="14"/>
  <c r="C622" i="14"/>
  <c r="B619" i="14"/>
  <c r="B618" i="14"/>
  <c r="B617" i="14"/>
  <c r="B616" i="14"/>
  <c r="B615" i="14"/>
  <c r="B614" i="14"/>
  <c r="B613" i="14"/>
  <c r="B612" i="14"/>
  <c r="B611" i="14"/>
  <c r="B610" i="14"/>
  <c r="B609" i="14"/>
  <c r="B608" i="14"/>
  <c r="B607" i="14"/>
  <c r="B606" i="14"/>
  <c r="B605" i="14"/>
  <c r="B604" i="14"/>
  <c r="B603" i="14"/>
  <c r="B602" i="14"/>
  <c r="B601" i="14"/>
  <c r="B600" i="14"/>
  <c r="B599" i="14"/>
  <c r="B598" i="14"/>
  <c r="B597" i="14"/>
  <c r="B596" i="14"/>
  <c r="B595" i="14"/>
  <c r="B594" i="14"/>
  <c r="B593" i="14"/>
  <c r="B592" i="14"/>
  <c r="B591" i="14"/>
  <c r="B590" i="14"/>
  <c r="B589" i="14"/>
  <c r="B586" i="14" s="1"/>
  <c r="B588" i="14"/>
  <c r="M586" i="14"/>
  <c r="L586" i="14"/>
  <c r="K586" i="14"/>
  <c r="J586" i="14"/>
  <c r="H586" i="14"/>
  <c r="G586" i="14"/>
  <c r="E586" i="14"/>
  <c r="D586" i="14"/>
  <c r="C586" i="14"/>
  <c r="B583" i="14"/>
  <c r="B582" i="14"/>
  <c r="B581" i="14"/>
  <c r="B580" i="14"/>
  <c r="B579" i="14"/>
  <c r="B578" i="14"/>
  <c r="B577" i="14"/>
  <c r="B576" i="14"/>
  <c r="B575" i="14"/>
  <c r="B574" i="14"/>
  <c r="B573" i="14"/>
  <c r="B572" i="14"/>
  <c r="B571" i="14"/>
  <c r="B570" i="14"/>
  <c r="B569" i="14"/>
  <c r="B568" i="14"/>
  <c r="B567" i="14"/>
  <c r="B566" i="14"/>
  <c r="B565" i="14"/>
  <c r="B564" i="14"/>
  <c r="B563" i="14"/>
  <c r="B562" i="14"/>
  <c r="B561" i="14"/>
  <c r="B560" i="14"/>
  <c r="B559" i="14"/>
  <c r="B558" i="14"/>
  <c r="B557" i="14"/>
  <c r="B556" i="14"/>
  <c r="B555" i="14"/>
  <c r="B554" i="14"/>
  <c r="B553" i="14"/>
  <c r="B552" i="14"/>
  <c r="M550" i="14"/>
  <c r="L550" i="14"/>
  <c r="K550" i="14"/>
  <c r="H550" i="14"/>
  <c r="G550" i="14"/>
  <c r="E550" i="14"/>
  <c r="D550" i="14"/>
  <c r="C550" i="14"/>
  <c r="B550" i="14"/>
  <c r="B547" i="14"/>
  <c r="B546" i="14"/>
  <c r="B545" i="14"/>
  <c r="B544" i="14"/>
  <c r="B543" i="14"/>
  <c r="B542" i="14"/>
  <c r="B541" i="14"/>
  <c r="B540" i="14"/>
  <c r="B539" i="14"/>
  <c r="B538" i="14"/>
  <c r="B537" i="14"/>
  <c r="B536" i="14"/>
  <c r="B535" i="14"/>
  <c r="B534" i="14"/>
  <c r="B533" i="14"/>
  <c r="B532" i="14"/>
  <c r="B531" i="14"/>
  <c r="B530" i="14"/>
  <c r="B529" i="14"/>
  <c r="B528" i="14"/>
  <c r="B527" i="14"/>
  <c r="B526" i="14"/>
  <c r="B525" i="14"/>
  <c r="B524" i="14"/>
  <c r="B523" i="14"/>
  <c r="B522" i="14"/>
  <c r="B521" i="14"/>
  <c r="B520" i="14"/>
  <c r="B519" i="14"/>
  <c r="B518" i="14"/>
  <c r="B517" i="14"/>
  <c r="B516" i="14"/>
  <c r="B514" i="14" s="1"/>
  <c r="M514" i="14"/>
  <c r="L514" i="14"/>
  <c r="K514" i="14"/>
  <c r="H514" i="14"/>
  <c r="G514" i="14"/>
  <c r="E514" i="14"/>
  <c r="D514" i="14"/>
  <c r="C514" i="14"/>
  <c r="B511" i="14"/>
  <c r="B510" i="14"/>
  <c r="B509" i="14"/>
  <c r="B508" i="14"/>
  <c r="B507" i="14"/>
  <c r="B506" i="14"/>
  <c r="B505" i="14"/>
  <c r="B504" i="14"/>
  <c r="B503" i="14"/>
  <c r="B502" i="14"/>
  <c r="B501" i="14"/>
  <c r="B500" i="14"/>
  <c r="B499" i="14"/>
  <c r="B498" i="14"/>
  <c r="B497" i="14"/>
  <c r="B496" i="14"/>
  <c r="B495" i="14"/>
  <c r="B494" i="14"/>
  <c r="B493" i="14"/>
  <c r="B492" i="14"/>
  <c r="B491" i="14"/>
  <c r="B490" i="14"/>
  <c r="B489" i="14"/>
  <c r="B488" i="14"/>
  <c r="B487" i="14"/>
  <c r="B486" i="14"/>
  <c r="B485" i="14"/>
  <c r="B484" i="14"/>
  <c r="B483" i="14"/>
  <c r="B482" i="14"/>
  <c r="B481" i="14"/>
  <c r="B480" i="14"/>
  <c r="M478" i="14"/>
  <c r="L478" i="14"/>
  <c r="K478" i="14"/>
  <c r="H478" i="14"/>
  <c r="G478" i="14"/>
  <c r="E478" i="14"/>
  <c r="D478" i="14"/>
  <c r="C478" i="14"/>
  <c r="B478" i="14"/>
  <c r="B475" i="14"/>
  <c r="B474" i="14"/>
  <c r="B473" i="14"/>
  <c r="B472" i="14"/>
  <c r="B471" i="14"/>
  <c r="B470" i="14"/>
  <c r="B469" i="14"/>
  <c r="B468" i="14"/>
  <c r="B467" i="14"/>
  <c r="B466" i="14"/>
  <c r="B465" i="14"/>
  <c r="B464" i="14"/>
  <c r="B463" i="14"/>
  <c r="B462" i="14"/>
  <c r="B461" i="14"/>
  <c r="B460" i="14"/>
  <c r="B459" i="14"/>
  <c r="B458" i="14"/>
  <c r="B457" i="14"/>
  <c r="B456" i="14"/>
  <c r="B455" i="14"/>
  <c r="B454" i="14"/>
  <c r="B453" i="14"/>
  <c r="B452" i="14"/>
  <c r="B451" i="14"/>
  <c r="B450" i="14"/>
  <c r="B449" i="14"/>
  <c r="B448" i="14"/>
  <c r="B447" i="14"/>
  <c r="B446" i="14"/>
  <c r="B445" i="14"/>
  <c r="B444" i="14"/>
  <c r="B442" i="14" s="1"/>
  <c r="M442" i="14"/>
  <c r="L442" i="14"/>
  <c r="K442" i="14"/>
  <c r="H442" i="14"/>
  <c r="G442" i="14"/>
  <c r="E442" i="14"/>
  <c r="D442" i="14"/>
  <c r="C442" i="14"/>
  <c r="B439" i="14"/>
  <c r="B438" i="14"/>
  <c r="B437" i="14"/>
  <c r="B436" i="14"/>
  <c r="B435" i="14"/>
  <c r="B434" i="14"/>
  <c r="B433" i="14"/>
  <c r="B432" i="14"/>
  <c r="B431" i="14"/>
  <c r="B430" i="14"/>
  <c r="B429" i="14"/>
  <c r="B428" i="14"/>
  <c r="B427" i="14"/>
  <c r="B426" i="14"/>
  <c r="B425" i="14"/>
  <c r="B424" i="14"/>
  <c r="B423" i="14"/>
  <c r="B422" i="14"/>
  <c r="B421" i="14"/>
  <c r="B420" i="14"/>
  <c r="B419" i="14"/>
  <c r="B418" i="14"/>
  <c r="B417" i="14"/>
  <c r="B416" i="14"/>
  <c r="B415" i="14"/>
  <c r="B414" i="14"/>
  <c r="B413" i="14"/>
  <c r="B412" i="14"/>
  <c r="B411" i="14"/>
  <c r="B410" i="14"/>
  <c r="B409" i="14"/>
  <c r="B406" i="14" s="1"/>
  <c r="B408" i="14"/>
  <c r="M406" i="14"/>
  <c r="L406" i="14"/>
  <c r="K406" i="14"/>
  <c r="H406" i="14"/>
  <c r="G406" i="14"/>
  <c r="E406" i="14"/>
  <c r="D406" i="14"/>
  <c r="C406" i="14"/>
  <c r="B403" i="14"/>
  <c r="B402" i="14"/>
  <c r="B401" i="14"/>
  <c r="B400" i="14"/>
  <c r="B399" i="14"/>
  <c r="B398" i="14"/>
  <c r="B397" i="14"/>
  <c r="B396" i="14"/>
  <c r="B395" i="14"/>
  <c r="B394" i="14"/>
  <c r="B393" i="14"/>
  <c r="B392" i="14"/>
  <c r="B391" i="14"/>
  <c r="B390" i="14"/>
  <c r="B389" i="14"/>
  <c r="B388" i="14"/>
  <c r="B387" i="14"/>
  <c r="B386" i="14"/>
  <c r="B385" i="14"/>
  <c r="B384" i="14"/>
  <c r="B383" i="14"/>
  <c r="B382" i="14"/>
  <c r="B381" i="14"/>
  <c r="B380" i="14"/>
  <c r="B379" i="14"/>
  <c r="B378" i="14"/>
  <c r="B377" i="14"/>
  <c r="B376" i="14"/>
  <c r="B375" i="14"/>
  <c r="B374" i="14"/>
  <c r="B373" i="14"/>
  <c r="B372" i="14"/>
  <c r="B370" i="14" s="1"/>
  <c r="M370" i="14"/>
  <c r="L370" i="14"/>
  <c r="K370" i="14"/>
  <c r="H370" i="14"/>
  <c r="G370" i="14"/>
  <c r="E370" i="14"/>
  <c r="D370" i="14"/>
  <c r="C370" i="14"/>
  <c r="B367" i="14"/>
  <c r="B366" i="14"/>
  <c r="B365" i="14"/>
  <c r="B364" i="14"/>
  <c r="B363" i="14"/>
  <c r="B362" i="14"/>
  <c r="B361" i="14"/>
  <c r="B360" i="14"/>
  <c r="B359" i="14"/>
  <c r="B358" i="14"/>
  <c r="B357" i="14"/>
  <c r="B356" i="14"/>
  <c r="B355" i="14"/>
  <c r="B354" i="14"/>
  <c r="B353" i="14"/>
  <c r="B352" i="14"/>
  <c r="B351" i="14"/>
  <c r="B350" i="14"/>
  <c r="B349" i="14"/>
  <c r="B348" i="14"/>
  <c r="B347" i="14"/>
  <c r="B346" i="14"/>
  <c r="B345" i="14"/>
  <c r="B344" i="14"/>
  <c r="B343" i="14"/>
  <c r="B342" i="14"/>
  <c r="B341" i="14"/>
  <c r="B340" i="14"/>
  <c r="B339" i="14"/>
  <c r="B338" i="14"/>
  <c r="B337" i="14"/>
  <c r="B334" i="14" s="1"/>
  <c r="B336" i="14"/>
  <c r="M334" i="14"/>
  <c r="L334" i="14"/>
  <c r="K334" i="14"/>
  <c r="J334" i="14"/>
  <c r="H334" i="14"/>
  <c r="G334" i="14"/>
  <c r="E334" i="14"/>
  <c r="D334" i="14"/>
  <c r="C334" i="14"/>
  <c r="B331" i="14"/>
  <c r="B330" i="14"/>
  <c r="B329" i="14"/>
  <c r="B328" i="14"/>
  <c r="B327" i="14"/>
  <c r="B326" i="14"/>
  <c r="B325" i="14"/>
  <c r="B324" i="14"/>
  <c r="B323" i="14"/>
  <c r="B322" i="14"/>
  <c r="B321" i="14"/>
  <c r="B320" i="14"/>
  <c r="B319" i="14"/>
  <c r="B318" i="14"/>
  <c r="B317" i="14"/>
  <c r="B316" i="14"/>
  <c r="B315" i="14"/>
  <c r="B314" i="14"/>
  <c r="B313" i="14"/>
  <c r="B312" i="14"/>
  <c r="B311" i="14"/>
  <c r="B310" i="14"/>
  <c r="B309" i="14"/>
  <c r="B308" i="14"/>
  <c r="B307" i="14"/>
  <c r="B306" i="14"/>
  <c r="B305" i="14"/>
  <c r="B304" i="14"/>
  <c r="B303" i="14"/>
  <c r="B302" i="14"/>
  <c r="B301" i="14"/>
  <c r="B298" i="14" s="1"/>
  <c r="B300" i="14"/>
  <c r="M298" i="14"/>
  <c r="L298" i="14"/>
  <c r="K298" i="14"/>
  <c r="J298" i="14"/>
  <c r="H298" i="14"/>
  <c r="G298" i="14"/>
  <c r="E298" i="14"/>
  <c r="D298" i="14"/>
  <c r="C298" i="14"/>
  <c r="B295" i="14"/>
  <c r="B294" i="14"/>
  <c r="B293" i="14"/>
  <c r="B292" i="14"/>
  <c r="B291" i="14"/>
  <c r="B290" i="14"/>
  <c r="B289" i="14"/>
  <c r="B288" i="14"/>
  <c r="B287" i="14"/>
  <c r="B286" i="14"/>
  <c r="B285" i="14"/>
  <c r="B284" i="14"/>
  <c r="B283" i="14"/>
  <c r="B282" i="14"/>
  <c r="B281" i="14"/>
  <c r="B280" i="14"/>
  <c r="B279" i="14"/>
  <c r="B278" i="14"/>
  <c r="B277" i="14"/>
  <c r="B276" i="14"/>
  <c r="B275" i="14"/>
  <c r="B274" i="14"/>
  <c r="B273" i="14"/>
  <c r="B272" i="14"/>
  <c r="B271" i="14"/>
  <c r="B270" i="14"/>
  <c r="B269" i="14"/>
  <c r="B268" i="14"/>
  <c r="B267" i="14"/>
  <c r="B266" i="14"/>
  <c r="B265" i="14"/>
  <c r="B264" i="14"/>
  <c r="B262" i="14" s="1"/>
  <c r="M262" i="14"/>
  <c r="L262" i="14"/>
  <c r="K262" i="14"/>
  <c r="J262" i="14"/>
  <c r="H262" i="14"/>
  <c r="G262" i="14"/>
  <c r="E262" i="14"/>
  <c r="D262" i="14"/>
  <c r="C262" i="14"/>
  <c r="B259" i="14"/>
  <c r="B258" i="14"/>
  <c r="B257" i="14"/>
  <c r="B256" i="14"/>
  <c r="B255" i="14"/>
  <c r="B254" i="14"/>
  <c r="B253" i="14"/>
  <c r="B252" i="14"/>
  <c r="B251" i="14"/>
  <c r="B250" i="14"/>
  <c r="B249" i="14"/>
  <c r="B248" i="14"/>
  <c r="B247" i="14"/>
  <c r="B246" i="14"/>
  <c r="B245" i="14"/>
  <c r="B244" i="14"/>
  <c r="B243" i="14"/>
  <c r="B242" i="14"/>
  <c r="B241" i="14"/>
  <c r="B240" i="14"/>
  <c r="B239" i="14"/>
  <c r="B238" i="14"/>
  <c r="B237" i="14"/>
  <c r="B236" i="14"/>
  <c r="B235" i="14"/>
  <c r="B234" i="14"/>
  <c r="B233" i="14"/>
  <c r="B232" i="14"/>
  <c r="B231" i="14"/>
  <c r="B230" i="14"/>
  <c r="B229" i="14"/>
  <c r="B226" i="14" s="1"/>
  <c r="B228" i="14"/>
  <c r="M226" i="14"/>
  <c r="L226" i="14"/>
  <c r="K226" i="14"/>
  <c r="J226" i="14"/>
  <c r="H226" i="14"/>
  <c r="G226" i="14"/>
  <c r="E226" i="14"/>
  <c r="D226" i="14"/>
  <c r="C226" i="14"/>
  <c r="B223" i="14"/>
  <c r="B222" i="14"/>
  <c r="B221" i="14"/>
  <c r="B220" i="14"/>
  <c r="B219" i="14"/>
  <c r="B218" i="14"/>
  <c r="B217" i="14"/>
  <c r="B216" i="14"/>
  <c r="B215" i="14"/>
  <c r="B214" i="14"/>
  <c r="B213" i="14"/>
  <c r="B212" i="14"/>
  <c r="B211" i="14"/>
  <c r="B210" i="14"/>
  <c r="B209" i="14"/>
  <c r="B208" i="14"/>
  <c r="B207" i="14"/>
  <c r="B206" i="14"/>
  <c r="B205" i="14"/>
  <c r="B204" i="14"/>
  <c r="B203" i="14"/>
  <c r="B202" i="14"/>
  <c r="B201" i="14"/>
  <c r="B200" i="14"/>
  <c r="B199" i="14"/>
  <c r="B198" i="14"/>
  <c r="B197" i="14"/>
  <c r="B196" i="14"/>
  <c r="B195" i="14"/>
  <c r="B194" i="14"/>
  <c r="B193" i="14"/>
  <c r="B190" i="14" s="1"/>
  <c r="B192" i="14"/>
  <c r="M190" i="14"/>
  <c r="L190" i="14"/>
  <c r="K190" i="14"/>
  <c r="J190" i="14"/>
  <c r="H190" i="14"/>
  <c r="G190" i="14"/>
  <c r="E190" i="14"/>
  <c r="D190" i="14"/>
  <c r="C190" i="14"/>
  <c r="B187" i="14"/>
  <c r="B186" i="14"/>
  <c r="B185" i="14"/>
  <c r="B184" i="14"/>
  <c r="B183" i="14"/>
  <c r="B182" i="14"/>
  <c r="B181" i="14"/>
  <c r="B180" i="14"/>
  <c r="B179" i="14"/>
  <c r="B178" i="14"/>
  <c r="B177" i="14"/>
  <c r="B176" i="14"/>
  <c r="B175" i="14"/>
  <c r="B174" i="14"/>
  <c r="B173" i="14"/>
  <c r="B172" i="14"/>
  <c r="B171" i="14"/>
  <c r="B170" i="14"/>
  <c r="B169" i="14"/>
  <c r="B168" i="14"/>
  <c r="B167" i="14"/>
  <c r="B166" i="14"/>
  <c r="B165" i="14"/>
  <c r="B164" i="14"/>
  <c r="B163" i="14"/>
  <c r="B162" i="14"/>
  <c r="B161" i="14"/>
  <c r="B160" i="14"/>
  <c r="B159" i="14"/>
  <c r="B158" i="14"/>
  <c r="B157" i="14"/>
  <c r="B154" i="14" s="1"/>
  <c r="B156" i="14"/>
  <c r="M154" i="14"/>
  <c r="L154" i="14"/>
  <c r="K154" i="14"/>
  <c r="J154" i="14"/>
  <c r="H154" i="14"/>
  <c r="G154" i="14"/>
  <c r="E154" i="14"/>
  <c r="D154" i="14"/>
  <c r="C154" i="14"/>
  <c r="B151" i="14"/>
  <c r="B150" i="14"/>
  <c r="B149" i="14"/>
  <c r="B148" i="14"/>
  <c r="B147" i="14"/>
  <c r="B146" i="14"/>
  <c r="B145" i="14"/>
  <c r="B144" i="14"/>
  <c r="B143" i="14"/>
  <c r="B142" i="14"/>
  <c r="B141" i="14"/>
  <c r="B140" i="14"/>
  <c r="B139" i="14"/>
  <c r="B138" i="14"/>
  <c r="B137" i="14"/>
  <c r="B136" i="14"/>
  <c r="B135" i="14"/>
  <c r="B134" i="14"/>
  <c r="B133" i="14"/>
  <c r="B132" i="14"/>
  <c r="B131" i="14"/>
  <c r="B130" i="14"/>
  <c r="B129" i="14"/>
  <c r="B128" i="14"/>
  <c r="B127" i="14"/>
  <c r="B126" i="14"/>
  <c r="B125" i="14"/>
  <c r="B124" i="14"/>
  <c r="B123" i="14"/>
  <c r="B122" i="14"/>
  <c r="B121" i="14"/>
  <c r="B118" i="14" s="1"/>
  <c r="B120" i="14"/>
  <c r="M118" i="14"/>
  <c r="L118" i="14"/>
  <c r="K118" i="14"/>
  <c r="J118" i="14"/>
  <c r="H118" i="14"/>
  <c r="G118" i="14"/>
  <c r="E118" i="14"/>
  <c r="D118" i="14"/>
  <c r="C118" i="14"/>
  <c r="B115" i="14"/>
  <c r="B114" i="14"/>
  <c r="B113" i="14"/>
  <c r="B112" i="14"/>
  <c r="B111" i="14"/>
  <c r="B110" i="14"/>
  <c r="B109" i="14"/>
  <c r="B108" i="14"/>
  <c r="B107" i="14"/>
  <c r="B106" i="14"/>
  <c r="B105" i="14"/>
  <c r="B104" i="14"/>
  <c r="B103" i="14"/>
  <c r="B102" i="14"/>
  <c r="B101" i="14"/>
  <c r="B100" i="14"/>
  <c r="B99" i="14"/>
  <c r="B98" i="14"/>
  <c r="B97" i="14"/>
  <c r="B96" i="14"/>
  <c r="B95" i="14"/>
  <c r="B94" i="14"/>
  <c r="B93" i="14"/>
  <c r="B92" i="14"/>
  <c r="B91" i="14"/>
  <c r="B90" i="14"/>
  <c r="B89" i="14"/>
  <c r="B88" i="14"/>
  <c r="B87" i="14"/>
  <c r="B86" i="14"/>
  <c r="B85" i="14"/>
  <c r="B82" i="14" s="1"/>
  <c r="B84" i="14"/>
  <c r="M82" i="14"/>
  <c r="L82" i="14"/>
  <c r="K82" i="14"/>
  <c r="J82" i="14"/>
  <c r="H82" i="14"/>
  <c r="G82" i="14"/>
  <c r="E82" i="14"/>
  <c r="D82" i="14"/>
  <c r="C82" i="14"/>
  <c r="B79" i="14"/>
  <c r="B78" i="14"/>
  <c r="B77" i="14"/>
  <c r="B76" i="14"/>
  <c r="B75" i="14"/>
  <c r="B74" i="14"/>
  <c r="B73" i="14"/>
  <c r="B72" i="14"/>
  <c r="B71" i="14"/>
  <c r="B70" i="14"/>
  <c r="B69" i="14"/>
  <c r="B68" i="14"/>
  <c r="B67" i="14"/>
  <c r="B66" i="14"/>
  <c r="B65" i="14"/>
  <c r="B64" i="14"/>
  <c r="B63" i="14"/>
  <c r="B62" i="14"/>
  <c r="B61" i="14"/>
  <c r="B60" i="14"/>
  <c r="B59" i="14"/>
  <c r="B58" i="14"/>
  <c r="B57" i="14"/>
  <c r="B56" i="14"/>
  <c r="B55" i="14"/>
  <c r="B54" i="14"/>
  <c r="B53" i="14"/>
  <c r="B52" i="14"/>
  <c r="B51" i="14"/>
  <c r="B50" i="14"/>
  <c r="B49" i="14"/>
  <c r="B46" i="14" s="1"/>
  <c r="B48" i="14"/>
  <c r="M46" i="14"/>
  <c r="L46" i="14"/>
  <c r="K46" i="14"/>
  <c r="J46" i="14"/>
  <c r="H46" i="14"/>
  <c r="G46" i="14"/>
  <c r="E46" i="14"/>
  <c r="D46" i="14"/>
  <c r="C46" i="14"/>
  <c r="B43" i="14"/>
  <c r="B42" i="14"/>
  <c r="B41" i="14"/>
  <c r="B40" i="14"/>
  <c r="B39" i="14"/>
  <c r="B38" i="14"/>
  <c r="B37" i="14"/>
  <c r="B36" i="14"/>
  <c r="B35" i="14"/>
  <c r="B34" i="14"/>
  <c r="B33" i="14"/>
  <c r="B32" i="14"/>
  <c r="B31" i="14"/>
  <c r="B30" i="14"/>
  <c r="B29" i="14"/>
  <c r="B28" i="14"/>
  <c r="B27" i="14"/>
  <c r="B26" i="14"/>
  <c r="B25" i="14"/>
  <c r="B24" i="14"/>
  <c r="B23" i="14"/>
  <c r="B22" i="14"/>
  <c r="B21" i="14"/>
  <c r="B20" i="14"/>
  <c r="B19" i="14"/>
  <c r="B18" i="14"/>
  <c r="B17" i="14"/>
  <c r="B16" i="14"/>
  <c r="B15" i="14"/>
  <c r="B14" i="14"/>
  <c r="B13" i="14"/>
  <c r="B10" i="14" s="1"/>
  <c r="B12" i="14"/>
  <c r="M10" i="14"/>
  <c r="L10" i="14"/>
  <c r="K10" i="14"/>
  <c r="J10" i="14"/>
  <c r="H10" i="14"/>
  <c r="G10" i="14"/>
  <c r="E10" i="14"/>
  <c r="D10" i="14"/>
  <c r="C10" i="14"/>
  <c r="B155" i="19" l="1"/>
  <c r="B371" i="19"/>
  <c r="B443" i="19"/>
  <c r="B659" i="19"/>
  <c r="B695" i="19"/>
  <c r="B191" i="19"/>
  <c r="B515" i="19"/>
  <c r="B11" i="19"/>
  <c r="B83" i="19"/>
  <c r="B407" i="19"/>
  <c r="B551" i="19"/>
  <c r="B482" i="18"/>
  <c r="F410" i="18"/>
  <c r="B662" i="18"/>
  <c r="B698" i="18"/>
  <c r="B194" i="18"/>
  <c r="B448" i="18"/>
  <c r="B446" i="18" s="1"/>
  <c r="F482" i="18"/>
  <c r="B554" i="18"/>
  <c r="F590" i="18"/>
  <c r="B410" i="18"/>
  <c r="B234" i="18"/>
  <c r="B340" i="18"/>
  <c r="B338" i="18" s="1"/>
  <c r="B626" i="28"/>
  <c r="B626" i="27"/>
  <c r="D14" i="16"/>
  <c r="B16" i="16"/>
  <c r="B14" i="16" s="1"/>
  <c r="B88" i="16"/>
  <c r="B86" i="16" s="1"/>
  <c r="D86" i="16"/>
  <c r="D158" i="16"/>
  <c r="B160" i="16"/>
  <c r="B158" i="16" s="1"/>
  <c r="B194" i="16"/>
  <c r="B520" i="16"/>
  <c r="B626" i="16"/>
  <c r="D50" i="16"/>
  <c r="H122" i="16"/>
  <c r="B124" i="16"/>
  <c r="B122" i="16" s="1"/>
  <c r="D194" i="16"/>
  <c r="D271" i="16"/>
  <c r="B271" i="16" s="1"/>
  <c r="B266" i="16" s="1"/>
  <c r="H266" i="16"/>
  <c r="D451" i="16"/>
  <c r="B451" i="16" s="1"/>
  <c r="B446" i="16" s="1"/>
  <c r="H446" i="16"/>
  <c r="D556" i="16"/>
  <c r="H554" i="16"/>
  <c r="D626" i="16"/>
  <c r="B664" i="16"/>
  <c r="B806" i="16"/>
  <c r="H86" i="16"/>
  <c r="D266" i="16"/>
  <c r="B302" i="16"/>
  <c r="D376" i="16"/>
  <c r="H374" i="16"/>
  <c r="B410" i="16"/>
  <c r="D415" i="16"/>
  <c r="B415" i="16" s="1"/>
  <c r="H410" i="16"/>
  <c r="B482" i="16"/>
  <c r="D521" i="16"/>
  <c r="B521" i="16" s="1"/>
  <c r="H518" i="16"/>
  <c r="D700" i="16"/>
  <c r="H698" i="16"/>
  <c r="D734" i="16"/>
  <c r="H50" i="16"/>
  <c r="H194" i="16"/>
  <c r="H230" i="16"/>
  <c r="B232" i="16"/>
  <c r="B230" i="16" s="1"/>
  <c r="D302" i="16"/>
  <c r="B340" i="16"/>
  <c r="B338" i="16" s="1"/>
  <c r="D338" i="16"/>
  <c r="D482" i="16"/>
  <c r="D665" i="16"/>
  <c r="B665" i="16" s="1"/>
  <c r="H662" i="16"/>
  <c r="H734" i="16"/>
  <c r="B772" i="16"/>
  <c r="B770" i="16" s="1"/>
  <c r="B85" i="17"/>
  <c r="B83" i="17" s="1"/>
  <c r="D83" i="17"/>
  <c r="B229" i="17"/>
  <c r="B227" i="17" s="1"/>
  <c r="D227" i="17"/>
  <c r="B446" i="17"/>
  <c r="D443" i="17"/>
  <c r="B736" i="16"/>
  <c r="B734" i="16" s="1"/>
  <c r="D806" i="16"/>
  <c r="B302" i="17"/>
  <c r="D299" i="17"/>
  <c r="B517" i="17"/>
  <c r="B515" i="17" s="1"/>
  <c r="D515" i="17"/>
  <c r="B803" i="17"/>
  <c r="B16" i="18"/>
  <c r="B14" i="18" s="1"/>
  <c r="F14" i="18"/>
  <c r="B119" i="17"/>
  <c r="B263" i="17"/>
  <c r="B443" i="17"/>
  <c r="B589" i="17"/>
  <c r="B587" i="17" s="1"/>
  <c r="D587" i="17"/>
  <c r="B695" i="17"/>
  <c r="B733" i="17"/>
  <c r="B731" i="17" s="1"/>
  <c r="D731" i="17"/>
  <c r="H806" i="16"/>
  <c r="B299" i="17"/>
  <c r="B554" i="17"/>
  <c r="B551" i="17" s="1"/>
  <c r="D551" i="17"/>
  <c r="B662" i="17"/>
  <c r="B659" i="17" s="1"/>
  <c r="D659" i="17"/>
  <c r="B806" i="17"/>
  <c r="D803" i="17"/>
  <c r="B55" i="18"/>
  <c r="F50" i="18"/>
  <c r="F122" i="18"/>
  <c r="B122" i="18"/>
  <c r="B86" i="18"/>
  <c r="B230" i="18"/>
  <c r="F770" i="18"/>
  <c r="B772" i="18"/>
  <c r="B770" i="18" s="1"/>
  <c r="B50" i="18"/>
  <c r="B158" i="18"/>
  <c r="F194" i="18"/>
  <c r="B623" i="19"/>
  <c r="B767" i="19"/>
  <c r="F158" i="18"/>
  <c r="B734" i="18"/>
  <c r="B121" i="20"/>
  <c r="B733" i="20"/>
  <c r="F662" i="18"/>
  <c r="I121" i="20"/>
  <c r="F734" i="18"/>
  <c r="B119" i="19"/>
  <c r="I301" i="20"/>
  <c r="F698" i="18"/>
  <c r="B47" i="19"/>
  <c r="B335" i="19"/>
  <c r="I13" i="20"/>
  <c r="B193" i="20"/>
  <c r="P409" i="20"/>
  <c r="B625" i="20"/>
  <c r="B769" i="20"/>
  <c r="B662" i="21"/>
  <c r="B263" i="19"/>
  <c r="M551" i="19"/>
  <c r="I157" i="20"/>
  <c r="B337" i="20"/>
  <c r="I589" i="20"/>
  <c r="I733" i="20"/>
  <c r="B446" i="21"/>
  <c r="F122" i="13"/>
  <c r="B122" i="13" s="1"/>
  <c r="F121" i="13"/>
  <c r="B121" i="13"/>
  <c r="F120" i="13"/>
  <c r="B120" i="13" s="1"/>
  <c r="F119" i="13"/>
  <c r="B119" i="13"/>
  <c r="F118" i="13"/>
  <c r="B118" i="13" s="1"/>
  <c r="F117" i="13"/>
  <c r="B117" i="13"/>
  <c r="F116" i="13"/>
  <c r="B116" i="13" s="1"/>
  <c r="F115" i="13"/>
  <c r="B115" i="13"/>
  <c r="F114" i="13"/>
  <c r="B114" i="13" s="1"/>
  <c r="F113" i="13"/>
  <c r="B113" i="13"/>
  <c r="F112" i="13"/>
  <c r="B112" i="13" s="1"/>
  <c r="F111" i="13"/>
  <c r="B111" i="13"/>
  <c r="F110" i="13"/>
  <c r="B110" i="13" s="1"/>
  <c r="F109" i="13"/>
  <c r="B109" i="13"/>
  <c r="F108" i="13"/>
  <c r="B108" i="13" s="1"/>
  <c r="F107" i="13"/>
  <c r="B107" i="13"/>
  <c r="F106" i="13"/>
  <c r="B106" i="13" s="1"/>
  <c r="F105" i="13"/>
  <c r="B105" i="13"/>
  <c r="F104" i="13"/>
  <c r="B104" i="13" s="1"/>
  <c r="F103" i="13"/>
  <c r="B103" i="13"/>
  <c r="F102" i="13"/>
  <c r="B102" i="13" s="1"/>
  <c r="F101" i="13"/>
  <c r="B101" i="13"/>
  <c r="F100" i="13"/>
  <c r="B100" i="13" s="1"/>
  <c r="F99" i="13"/>
  <c r="B99" i="13"/>
  <c r="F98" i="13"/>
  <c r="B98" i="13" s="1"/>
  <c r="F97" i="13"/>
  <c r="B97" i="13"/>
  <c r="F96" i="13"/>
  <c r="B96" i="13" s="1"/>
  <c r="F95" i="13"/>
  <c r="B95" i="13"/>
  <c r="F94" i="13"/>
  <c r="B94" i="13" s="1"/>
  <c r="F93" i="13"/>
  <c r="B93" i="13"/>
  <c r="F92" i="13"/>
  <c r="B92" i="13" s="1"/>
  <c r="F91" i="13"/>
  <c r="B91" i="13"/>
  <c r="K89" i="13"/>
  <c r="J89" i="13"/>
  <c r="I89" i="13"/>
  <c r="H89" i="13"/>
  <c r="G89" i="13"/>
  <c r="D89" i="13"/>
  <c r="F85" i="13"/>
  <c r="B85" i="13" s="1"/>
  <c r="F84" i="13"/>
  <c r="B84" i="13"/>
  <c r="F83" i="13"/>
  <c r="B83" i="13" s="1"/>
  <c r="F82" i="13"/>
  <c r="B82" i="13"/>
  <c r="F81" i="13"/>
  <c r="B81" i="13" s="1"/>
  <c r="F80" i="13"/>
  <c r="B80" i="13"/>
  <c r="F79" i="13"/>
  <c r="B79" i="13" s="1"/>
  <c r="F78" i="13"/>
  <c r="B78" i="13"/>
  <c r="F77" i="13"/>
  <c r="B77" i="13" s="1"/>
  <c r="F76" i="13"/>
  <c r="B76" i="13"/>
  <c r="F75" i="13"/>
  <c r="B75" i="13" s="1"/>
  <c r="F74" i="13"/>
  <c r="B74" i="13"/>
  <c r="F73" i="13"/>
  <c r="B73" i="13" s="1"/>
  <c r="F72" i="13"/>
  <c r="B72" i="13"/>
  <c r="F71" i="13"/>
  <c r="B71" i="13" s="1"/>
  <c r="F70" i="13"/>
  <c r="B70" i="13"/>
  <c r="F69" i="13"/>
  <c r="B69" i="13" s="1"/>
  <c r="F68" i="13"/>
  <c r="B68" i="13"/>
  <c r="F67" i="13"/>
  <c r="B67" i="13" s="1"/>
  <c r="F66" i="13"/>
  <c r="B66" i="13"/>
  <c r="F65" i="13"/>
  <c r="B65" i="13" s="1"/>
  <c r="F64" i="13"/>
  <c r="B64" i="13"/>
  <c r="F63" i="13"/>
  <c r="B63" i="13" s="1"/>
  <c r="F62" i="13"/>
  <c r="B62" i="13"/>
  <c r="F61" i="13"/>
  <c r="B61" i="13" s="1"/>
  <c r="F60" i="13"/>
  <c r="B60" i="13"/>
  <c r="F59" i="13"/>
  <c r="B59" i="13" s="1"/>
  <c r="F58" i="13"/>
  <c r="B58" i="13"/>
  <c r="F57" i="13"/>
  <c r="B57" i="13" s="1"/>
  <c r="F56" i="13"/>
  <c r="B56" i="13"/>
  <c r="F55" i="13"/>
  <c r="B55" i="13" s="1"/>
  <c r="F54" i="13"/>
  <c r="B54" i="13"/>
  <c r="K52" i="13"/>
  <c r="J52" i="13"/>
  <c r="I52" i="13"/>
  <c r="H52" i="13"/>
  <c r="G52" i="13"/>
  <c r="D52" i="13"/>
  <c r="F48" i="13"/>
  <c r="B48" i="13" s="1"/>
  <c r="F47" i="13"/>
  <c r="B47" i="13"/>
  <c r="F46" i="13"/>
  <c r="B46" i="13" s="1"/>
  <c r="F45" i="13"/>
  <c r="B45" i="13"/>
  <c r="F44" i="13"/>
  <c r="B44" i="13" s="1"/>
  <c r="F43" i="13"/>
  <c r="B43" i="13"/>
  <c r="F42" i="13"/>
  <c r="B42" i="13" s="1"/>
  <c r="F41" i="13"/>
  <c r="B41" i="13"/>
  <c r="F40" i="13"/>
  <c r="B40" i="13" s="1"/>
  <c r="F39" i="13"/>
  <c r="B39" i="13"/>
  <c r="F38" i="13"/>
  <c r="B38" i="13" s="1"/>
  <c r="F37" i="13"/>
  <c r="B37" i="13"/>
  <c r="F36" i="13"/>
  <c r="B36" i="13" s="1"/>
  <c r="F35" i="13"/>
  <c r="B35" i="13"/>
  <c r="F34" i="13"/>
  <c r="B34" i="13" s="1"/>
  <c r="F33" i="13"/>
  <c r="B33" i="13"/>
  <c r="F32" i="13"/>
  <c r="B32" i="13" s="1"/>
  <c r="F31" i="13"/>
  <c r="B31" i="13"/>
  <c r="F30" i="13"/>
  <c r="B30" i="13" s="1"/>
  <c r="F29" i="13"/>
  <c r="B29" i="13"/>
  <c r="F28" i="13"/>
  <c r="B28" i="13" s="1"/>
  <c r="F27" i="13"/>
  <c r="B27" i="13"/>
  <c r="F26" i="13"/>
  <c r="B26" i="13" s="1"/>
  <c r="F25" i="13"/>
  <c r="B25" i="13"/>
  <c r="F24" i="13"/>
  <c r="B24" i="13" s="1"/>
  <c r="F23" i="13"/>
  <c r="B23" i="13"/>
  <c r="F22" i="13"/>
  <c r="B22" i="13" s="1"/>
  <c r="F21" i="13"/>
  <c r="B21" i="13"/>
  <c r="F20" i="13"/>
  <c r="B20" i="13" s="1"/>
  <c r="F19" i="13"/>
  <c r="B19" i="13"/>
  <c r="F18" i="13"/>
  <c r="B18" i="13" s="1"/>
  <c r="F17" i="13"/>
  <c r="B17" i="13"/>
  <c r="K15" i="13"/>
  <c r="J15" i="13"/>
  <c r="I15" i="13"/>
  <c r="H15" i="13"/>
  <c r="G15" i="13"/>
  <c r="D15" i="13"/>
  <c r="B700" i="16" l="1"/>
  <c r="B698" i="16" s="1"/>
  <c r="D698" i="16"/>
  <c r="B376" i="16"/>
  <c r="B374" i="16" s="1"/>
  <c r="D374" i="16"/>
  <c r="D446" i="16"/>
  <c r="D410" i="16"/>
  <c r="D662" i="16"/>
  <c r="B556" i="16"/>
  <c r="D554" i="16"/>
  <c r="B554" i="16" s="1"/>
  <c r="D518" i="16"/>
  <c r="B662" i="16"/>
  <c r="B518" i="16"/>
  <c r="B52" i="13"/>
  <c r="B15" i="13"/>
  <c r="B89" i="13"/>
  <c r="F15" i="13"/>
  <c r="F52" i="13"/>
  <c r="F89" i="13"/>
  <c r="G801" i="12"/>
  <c r="B801" i="12"/>
  <c r="G800" i="12"/>
  <c r="B800" i="12"/>
  <c r="G799" i="12"/>
  <c r="B799" i="12"/>
  <c r="G798" i="12"/>
  <c r="B798" i="12"/>
  <c r="G797" i="12"/>
  <c r="B797" i="12"/>
  <c r="G796" i="12"/>
  <c r="B796" i="12"/>
  <c r="G795" i="12"/>
  <c r="B795" i="12"/>
  <c r="G794" i="12"/>
  <c r="B794" i="12"/>
  <c r="G793" i="12"/>
  <c r="B793" i="12"/>
  <c r="G792" i="12"/>
  <c r="B792" i="12"/>
  <c r="G791" i="12"/>
  <c r="B791" i="12"/>
  <c r="G790" i="12"/>
  <c r="B790" i="12"/>
  <c r="G789" i="12"/>
  <c r="B789" i="12"/>
  <c r="G788" i="12"/>
  <c r="B788" i="12"/>
  <c r="G787" i="12"/>
  <c r="B787" i="12"/>
  <c r="G786" i="12"/>
  <c r="B786" i="12"/>
  <c r="G785" i="12"/>
  <c r="B785" i="12"/>
  <c r="G784" i="12"/>
  <c r="B784" i="12"/>
  <c r="G783" i="12"/>
  <c r="B783" i="12"/>
  <c r="G782" i="12"/>
  <c r="B782" i="12"/>
  <c r="G781" i="12"/>
  <c r="B781" i="12"/>
  <c r="G780" i="12"/>
  <c r="B780" i="12"/>
  <c r="G779" i="12"/>
  <c r="B779" i="12"/>
  <c r="G778" i="12"/>
  <c r="B778" i="12"/>
  <c r="G777" i="12"/>
  <c r="B777" i="12"/>
  <c r="G776" i="12"/>
  <c r="B776" i="12"/>
  <c r="G775" i="12"/>
  <c r="B775" i="12"/>
  <c r="G774" i="12"/>
  <c r="B774" i="12"/>
  <c r="G773" i="12"/>
  <c r="B773" i="12"/>
  <c r="G772" i="12"/>
  <c r="B772" i="12"/>
  <c r="G771" i="12"/>
  <c r="B771" i="12"/>
  <c r="G770" i="12"/>
  <c r="B770" i="12"/>
  <c r="J768" i="12"/>
  <c r="I768" i="12"/>
  <c r="H768" i="12"/>
  <c r="G768" i="12"/>
  <c r="E768" i="12"/>
  <c r="D768" i="12"/>
  <c r="C768" i="12"/>
  <c r="B768" i="12"/>
  <c r="G765" i="12"/>
  <c r="B765" i="12"/>
  <c r="G764" i="12"/>
  <c r="B764" i="12"/>
  <c r="G763" i="12"/>
  <c r="B763" i="12"/>
  <c r="G762" i="12"/>
  <c r="B762" i="12"/>
  <c r="G761" i="12"/>
  <c r="B761" i="12"/>
  <c r="G760" i="12"/>
  <c r="B760" i="12"/>
  <c r="G759" i="12"/>
  <c r="B759" i="12"/>
  <c r="G758" i="12"/>
  <c r="B758" i="12"/>
  <c r="G757" i="12"/>
  <c r="B757" i="12"/>
  <c r="G756" i="12"/>
  <c r="B756" i="12"/>
  <c r="G755" i="12"/>
  <c r="B755" i="12"/>
  <c r="G754" i="12"/>
  <c r="B754" i="12"/>
  <c r="G753" i="12"/>
  <c r="B753" i="12"/>
  <c r="G752" i="12"/>
  <c r="B752" i="12"/>
  <c r="G751" i="12"/>
  <c r="B751" i="12"/>
  <c r="G750" i="12"/>
  <c r="B750" i="12"/>
  <c r="G749" i="12"/>
  <c r="B749" i="12"/>
  <c r="G748" i="12"/>
  <c r="B748" i="12"/>
  <c r="G747" i="12"/>
  <c r="B747" i="12"/>
  <c r="G746" i="12"/>
  <c r="B746" i="12"/>
  <c r="G745" i="12"/>
  <c r="B745" i="12"/>
  <c r="G744" i="12"/>
  <c r="B744" i="12"/>
  <c r="G743" i="12"/>
  <c r="B743" i="12"/>
  <c r="G742" i="12"/>
  <c r="B742" i="12"/>
  <c r="G741" i="12"/>
  <c r="B741" i="12"/>
  <c r="G740" i="12"/>
  <c r="B740" i="12"/>
  <c r="G739" i="12"/>
  <c r="B739" i="12"/>
  <c r="G738" i="12"/>
  <c r="B738" i="12"/>
  <c r="G737" i="12"/>
  <c r="B737" i="12"/>
  <c r="G736" i="12"/>
  <c r="B736" i="12"/>
  <c r="G735" i="12"/>
  <c r="B735" i="12"/>
  <c r="G734" i="12"/>
  <c r="B734" i="12"/>
  <c r="J732" i="12"/>
  <c r="I732" i="12"/>
  <c r="H732" i="12"/>
  <c r="G732" i="12"/>
  <c r="E732" i="12"/>
  <c r="D732" i="12"/>
  <c r="C732" i="12"/>
  <c r="B732" i="12"/>
  <c r="G729" i="12"/>
  <c r="B729" i="12"/>
  <c r="G728" i="12"/>
  <c r="B728" i="12"/>
  <c r="G727" i="12"/>
  <c r="B727" i="12"/>
  <c r="G726" i="12"/>
  <c r="B726" i="12"/>
  <c r="G725" i="12"/>
  <c r="B725" i="12"/>
  <c r="G724" i="12"/>
  <c r="B724" i="12"/>
  <c r="G723" i="12"/>
  <c r="B723" i="12"/>
  <c r="G722" i="12"/>
  <c r="B722" i="12"/>
  <c r="G721" i="12"/>
  <c r="B721" i="12"/>
  <c r="G720" i="12"/>
  <c r="B720" i="12"/>
  <c r="G719" i="12"/>
  <c r="B719" i="12"/>
  <c r="G718" i="12"/>
  <c r="B718" i="12"/>
  <c r="G717" i="12"/>
  <c r="B717" i="12"/>
  <c r="G716" i="12"/>
  <c r="B716" i="12"/>
  <c r="G715" i="12"/>
  <c r="B715" i="12"/>
  <c r="G714" i="12"/>
  <c r="B714" i="12"/>
  <c r="G713" i="12"/>
  <c r="B713" i="12"/>
  <c r="G712" i="12"/>
  <c r="B712" i="12"/>
  <c r="G711" i="12"/>
  <c r="B711" i="12"/>
  <c r="G710" i="12"/>
  <c r="B710" i="12"/>
  <c r="G709" i="12"/>
  <c r="B709" i="12"/>
  <c r="G708" i="12"/>
  <c r="B708" i="12"/>
  <c r="G707" i="12"/>
  <c r="B707" i="12"/>
  <c r="G706" i="12"/>
  <c r="B706" i="12"/>
  <c r="G705" i="12"/>
  <c r="B705" i="12"/>
  <c r="G704" i="12"/>
  <c r="B704" i="12"/>
  <c r="G703" i="12"/>
  <c r="B703" i="12"/>
  <c r="G702" i="12"/>
  <c r="B702" i="12"/>
  <c r="G701" i="12"/>
  <c r="B701" i="12"/>
  <c r="G700" i="12"/>
  <c r="B700" i="12"/>
  <c r="G699" i="12"/>
  <c r="B699" i="12"/>
  <c r="G698" i="12"/>
  <c r="B698" i="12"/>
  <c r="J696" i="12"/>
  <c r="I696" i="12"/>
  <c r="H696" i="12"/>
  <c r="G696" i="12"/>
  <c r="E696" i="12"/>
  <c r="D696" i="12"/>
  <c r="C696" i="12"/>
  <c r="B696" i="12"/>
  <c r="G693" i="12"/>
  <c r="B693" i="12"/>
  <c r="G692" i="12"/>
  <c r="B692" i="12"/>
  <c r="G691" i="12"/>
  <c r="B691" i="12"/>
  <c r="G690" i="12"/>
  <c r="B690" i="12"/>
  <c r="G689" i="12"/>
  <c r="B689" i="12"/>
  <c r="G688" i="12"/>
  <c r="B688" i="12"/>
  <c r="G687" i="12"/>
  <c r="B687" i="12"/>
  <c r="G686" i="12"/>
  <c r="B686" i="12"/>
  <c r="G685" i="12"/>
  <c r="B685" i="12"/>
  <c r="G684" i="12"/>
  <c r="B684" i="12"/>
  <c r="G683" i="12"/>
  <c r="B683" i="12"/>
  <c r="G682" i="12"/>
  <c r="B682" i="12"/>
  <c r="G681" i="12"/>
  <c r="B681" i="12"/>
  <c r="G680" i="12"/>
  <c r="B680" i="12"/>
  <c r="G679" i="12"/>
  <c r="B679" i="12"/>
  <c r="G678" i="12"/>
  <c r="B678" i="12"/>
  <c r="G677" i="12"/>
  <c r="B677" i="12"/>
  <c r="G676" i="12"/>
  <c r="B676" i="12"/>
  <c r="G675" i="12"/>
  <c r="B675" i="12"/>
  <c r="G674" i="12"/>
  <c r="B674" i="12"/>
  <c r="G673" i="12"/>
  <c r="B673" i="12"/>
  <c r="G672" i="12"/>
  <c r="B672" i="12"/>
  <c r="G671" i="12"/>
  <c r="B671" i="12"/>
  <c r="G670" i="12"/>
  <c r="B670" i="12"/>
  <c r="G669" i="12"/>
  <c r="B669" i="12"/>
  <c r="G668" i="12"/>
  <c r="B668" i="12"/>
  <c r="G667" i="12"/>
  <c r="B667" i="12"/>
  <c r="G666" i="12"/>
  <c r="B666" i="12"/>
  <c r="G665" i="12"/>
  <c r="B665" i="12"/>
  <c r="G664" i="12"/>
  <c r="B664" i="12"/>
  <c r="G663" i="12"/>
  <c r="B663" i="12"/>
  <c r="G662" i="12"/>
  <c r="B662" i="12"/>
  <c r="J660" i="12"/>
  <c r="I660" i="12"/>
  <c r="H660" i="12"/>
  <c r="G660" i="12"/>
  <c r="E660" i="12"/>
  <c r="D660" i="12"/>
  <c r="C660" i="12"/>
  <c r="B660" i="12"/>
  <c r="G657" i="12"/>
  <c r="B657" i="12"/>
  <c r="G656" i="12"/>
  <c r="B656" i="12"/>
  <c r="G655" i="12"/>
  <c r="B655" i="12"/>
  <c r="G654" i="12"/>
  <c r="B654" i="12"/>
  <c r="G653" i="12"/>
  <c r="B653" i="12"/>
  <c r="G652" i="12"/>
  <c r="B652" i="12"/>
  <c r="G651" i="12"/>
  <c r="B651" i="12"/>
  <c r="G650" i="12"/>
  <c r="B650" i="12"/>
  <c r="G649" i="12"/>
  <c r="B649" i="12"/>
  <c r="G648" i="12"/>
  <c r="B648" i="12"/>
  <c r="G647" i="12"/>
  <c r="B647" i="12"/>
  <c r="G646" i="12"/>
  <c r="B646" i="12"/>
  <c r="G645" i="12"/>
  <c r="B645" i="12"/>
  <c r="G644" i="12"/>
  <c r="B644" i="12"/>
  <c r="G643" i="12"/>
  <c r="B643" i="12"/>
  <c r="G642" i="12"/>
  <c r="B642" i="12"/>
  <c r="G641" i="12"/>
  <c r="B641" i="12"/>
  <c r="G640" i="12"/>
  <c r="B640" i="12"/>
  <c r="G639" i="12"/>
  <c r="B639" i="12"/>
  <c r="G638" i="12"/>
  <c r="B638" i="12"/>
  <c r="G637" i="12"/>
  <c r="B637" i="12"/>
  <c r="G636" i="12"/>
  <c r="B636" i="12"/>
  <c r="G635" i="12"/>
  <c r="B635" i="12"/>
  <c r="G634" i="12"/>
  <c r="B634" i="12"/>
  <c r="G633" i="12"/>
  <c r="B633" i="12"/>
  <c r="G632" i="12"/>
  <c r="B632" i="12"/>
  <c r="G631" i="12"/>
  <c r="B631" i="12"/>
  <c r="G630" i="12"/>
  <c r="B630" i="12"/>
  <c r="G629" i="12"/>
  <c r="B629" i="12"/>
  <c r="G628" i="12"/>
  <c r="B628" i="12"/>
  <c r="G627" i="12"/>
  <c r="B627" i="12"/>
  <c r="G626" i="12"/>
  <c r="B626" i="12"/>
  <c r="J624" i="12"/>
  <c r="I624" i="12"/>
  <c r="H624" i="12"/>
  <c r="G624" i="12"/>
  <c r="E624" i="12"/>
  <c r="D624" i="12"/>
  <c r="C624" i="12"/>
  <c r="B624" i="12"/>
  <c r="G621" i="12"/>
  <c r="B621" i="12"/>
  <c r="G620" i="12"/>
  <c r="B620" i="12"/>
  <c r="G619" i="12"/>
  <c r="B619" i="12"/>
  <c r="G618" i="12"/>
  <c r="B618" i="12"/>
  <c r="G617" i="12"/>
  <c r="B617" i="12"/>
  <c r="G616" i="12"/>
  <c r="B616" i="12"/>
  <c r="G615" i="12"/>
  <c r="B615" i="12"/>
  <c r="G614" i="12"/>
  <c r="B614" i="12"/>
  <c r="G613" i="12"/>
  <c r="B613" i="12"/>
  <c r="G612" i="12"/>
  <c r="B612" i="12"/>
  <c r="G611" i="12"/>
  <c r="B611" i="12"/>
  <c r="G610" i="12"/>
  <c r="B610" i="12"/>
  <c r="G609" i="12"/>
  <c r="B609" i="12"/>
  <c r="G608" i="12"/>
  <c r="B608" i="12"/>
  <c r="G607" i="12"/>
  <c r="B607" i="12"/>
  <c r="G606" i="12"/>
  <c r="B606" i="12"/>
  <c r="G605" i="12"/>
  <c r="B605" i="12"/>
  <c r="G604" i="12"/>
  <c r="B604" i="12"/>
  <c r="G603" i="12"/>
  <c r="B603" i="12"/>
  <c r="G602" i="12"/>
  <c r="B602" i="12"/>
  <c r="G601" i="12"/>
  <c r="B601" i="12"/>
  <c r="G600" i="12"/>
  <c r="B600" i="12"/>
  <c r="G599" i="12"/>
  <c r="B599" i="12"/>
  <c r="G598" i="12"/>
  <c r="B598" i="12"/>
  <c r="G597" i="12"/>
  <c r="B597" i="12"/>
  <c r="G596" i="12"/>
  <c r="B596" i="12"/>
  <c r="G595" i="12"/>
  <c r="B595" i="12"/>
  <c r="G594" i="12"/>
  <c r="B594" i="12"/>
  <c r="G593" i="12"/>
  <c r="B593" i="12"/>
  <c r="G592" i="12"/>
  <c r="B592" i="12"/>
  <c r="G591" i="12"/>
  <c r="B591" i="12"/>
  <c r="G590" i="12"/>
  <c r="B590" i="12"/>
  <c r="J588" i="12"/>
  <c r="I588" i="12"/>
  <c r="H588" i="12"/>
  <c r="G588" i="12"/>
  <c r="E588" i="12"/>
  <c r="D588" i="12"/>
  <c r="C588" i="12"/>
  <c r="B588" i="12"/>
  <c r="G585" i="12"/>
  <c r="B585" i="12"/>
  <c r="G584" i="12"/>
  <c r="B584" i="12"/>
  <c r="G583" i="12"/>
  <c r="B583" i="12"/>
  <c r="G582" i="12"/>
  <c r="B582" i="12"/>
  <c r="G581" i="12"/>
  <c r="B581" i="12"/>
  <c r="G580" i="12"/>
  <c r="B580" i="12"/>
  <c r="G579" i="12"/>
  <c r="B579" i="12"/>
  <c r="G578" i="12"/>
  <c r="B578" i="12"/>
  <c r="G577" i="12"/>
  <c r="B577" i="12"/>
  <c r="G576" i="12"/>
  <c r="B576" i="12"/>
  <c r="G575" i="12"/>
  <c r="B575" i="12"/>
  <c r="G574" i="12"/>
  <c r="B574" i="12"/>
  <c r="G573" i="12"/>
  <c r="B573" i="12"/>
  <c r="G572" i="12"/>
  <c r="B572" i="12"/>
  <c r="G571" i="12"/>
  <c r="B571" i="12"/>
  <c r="G570" i="12"/>
  <c r="B570" i="12"/>
  <c r="G569" i="12"/>
  <c r="B569" i="12"/>
  <c r="G568" i="12"/>
  <c r="B568" i="12"/>
  <c r="G567" i="12"/>
  <c r="B567" i="12"/>
  <c r="G566" i="12"/>
  <c r="B566" i="12"/>
  <c r="G565" i="12"/>
  <c r="B565" i="12"/>
  <c r="G564" i="12"/>
  <c r="B564" i="12"/>
  <c r="G563" i="12"/>
  <c r="B563" i="12"/>
  <c r="G562" i="12"/>
  <c r="B562" i="12"/>
  <c r="G561" i="12"/>
  <c r="B561" i="12"/>
  <c r="G560" i="12"/>
  <c r="B560" i="12"/>
  <c r="G559" i="12"/>
  <c r="B559" i="12"/>
  <c r="G558" i="12"/>
  <c r="B558" i="12"/>
  <c r="G557" i="12"/>
  <c r="B557" i="12"/>
  <c r="G556" i="12"/>
  <c r="B556" i="12"/>
  <c r="G555" i="12"/>
  <c r="B555" i="12"/>
  <c r="G554" i="12"/>
  <c r="B554" i="12"/>
  <c r="J552" i="12"/>
  <c r="I552" i="12"/>
  <c r="H552" i="12"/>
  <c r="G552" i="12"/>
  <c r="E552" i="12"/>
  <c r="D552" i="12"/>
  <c r="C552" i="12"/>
  <c r="B552" i="12"/>
  <c r="G549" i="12"/>
  <c r="B549" i="12"/>
  <c r="G548" i="12"/>
  <c r="B548" i="12"/>
  <c r="G547" i="12"/>
  <c r="B547" i="12"/>
  <c r="G546" i="12"/>
  <c r="B546" i="12"/>
  <c r="G545" i="12"/>
  <c r="B545" i="12"/>
  <c r="G544" i="12"/>
  <c r="B544" i="12"/>
  <c r="G543" i="12"/>
  <c r="B543" i="12"/>
  <c r="G542" i="12"/>
  <c r="B542" i="12"/>
  <c r="G541" i="12"/>
  <c r="B541" i="12"/>
  <c r="G540" i="12"/>
  <c r="B540" i="12"/>
  <c r="G539" i="12"/>
  <c r="B539" i="12"/>
  <c r="G538" i="12"/>
  <c r="B538" i="12"/>
  <c r="G537" i="12"/>
  <c r="B537" i="12"/>
  <c r="G536" i="12"/>
  <c r="B536" i="12"/>
  <c r="G535" i="12"/>
  <c r="B535" i="12"/>
  <c r="G534" i="12"/>
  <c r="B534" i="12"/>
  <c r="G533" i="12"/>
  <c r="B533" i="12"/>
  <c r="G532" i="12"/>
  <c r="B532" i="12"/>
  <c r="G531" i="12"/>
  <c r="B531" i="12"/>
  <c r="G530" i="12"/>
  <c r="B530" i="12"/>
  <c r="G529" i="12"/>
  <c r="B529" i="12"/>
  <c r="G528" i="12"/>
  <c r="B528" i="12"/>
  <c r="G527" i="12"/>
  <c r="B527" i="12"/>
  <c r="G526" i="12"/>
  <c r="B526" i="12"/>
  <c r="G525" i="12"/>
  <c r="B525" i="12"/>
  <c r="G524" i="12"/>
  <c r="B524" i="12"/>
  <c r="G523" i="12"/>
  <c r="B523" i="12"/>
  <c r="G522" i="12"/>
  <c r="B522" i="12"/>
  <c r="G521" i="12"/>
  <c r="B521" i="12"/>
  <c r="G520" i="12"/>
  <c r="B520" i="12"/>
  <c r="G519" i="12"/>
  <c r="B519" i="12"/>
  <c r="G518" i="12"/>
  <c r="B518" i="12"/>
  <c r="J516" i="12"/>
  <c r="I516" i="12"/>
  <c r="H516" i="12"/>
  <c r="G516" i="12"/>
  <c r="E516" i="12"/>
  <c r="D516" i="12"/>
  <c r="C516" i="12"/>
  <c r="B516" i="12"/>
  <c r="G513" i="12"/>
  <c r="B513" i="12"/>
  <c r="G512" i="12"/>
  <c r="B512" i="12"/>
  <c r="G511" i="12"/>
  <c r="B511" i="12"/>
  <c r="G510" i="12"/>
  <c r="B510" i="12"/>
  <c r="G509" i="12"/>
  <c r="B509" i="12"/>
  <c r="G508" i="12"/>
  <c r="B508" i="12"/>
  <c r="G507" i="12"/>
  <c r="B507" i="12"/>
  <c r="G506" i="12"/>
  <c r="B506" i="12"/>
  <c r="G505" i="12"/>
  <c r="B505" i="12"/>
  <c r="G504" i="12"/>
  <c r="B504" i="12"/>
  <c r="G503" i="12"/>
  <c r="B503" i="12"/>
  <c r="G502" i="12"/>
  <c r="B502" i="12"/>
  <c r="G501" i="12"/>
  <c r="B501" i="12"/>
  <c r="G500" i="12"/>
  <c r="B500" i="12"/>
  <c r="G499" i="12"/>
  <c r="B499" i="12"/>
  <c r="G498" i="12"/>
  <c r="B498" i="12"/>
  <c r="G497" i="12"/>
  <c r="B497" i="12"/>
  <c r="G496" i="12"/>
  <c r="B496" i="12"/>
  <c r="G495" i="12"/>
  <c r="B495" i="12"/>
  <c r="G494" i="12"/>
  <c r="B494" i="12"/>
  <c r="G493" i="12"/>
  <c r="B493" i="12"/>
  <c r="G492" i="12"/>
  <c r="B492" i="12"/>
  <c r="G491" i="12"/>
  <c r="B491" i="12"/>
  <c r="G490" i="12"/>
  <c r="B490" i="12"/>
  <c r="G489" i="12"/>
  <c r="B489" i="12"/>
  <c r="G488" i="12"/>
  <c r="B488" i="12"/>
  <c r="G487" i="12"/>
  <c r="B487" i="12"/>
  <c r="G486" i="12"/>
  <c r="B486" i="12"/>
  <c r="G485" i="12"/>
  <c r="B485" i="12"/>
  <c r="G484" i="12"/>
  <c r="B484" i="12"/>
  <c r="G483" i="12"/>
  <c r="B483" i="12"/>
  <c r="G482" i="12"/>
  <c r="B482" i="12"/>
  <c r="J480" i="12"/>
  <c r="I480" i="12"/>
  <c r="H480" i="12"/>
  <c r="G480" i="12"/>
  <c r="E480" i="12"/>
  <c r="D480" i="12"/>
  <c r="C480" i="12"/>
  <c r="B480" i="12"/>
  <c r="G477" i="12"/>
  <c r="B477" i="12"/>
  <c r="G476" i="12"/>
  <c r="B476" i="12"/>
  <c r="G475" i="12"/>
  <c r="B475" i="12"/>
  <c r="G474" i="12"/>
  <c r="B474" i="12"/>
  <c r="G473" i="12"/>
  <c r="B473" i="12"/>
  <c r="G472" i="12"/>
  <c r="B472" i="12"/>
  <c r="G471" i="12"/>
  <c r="B471" i="12"/>
  <c r="G470" i="12"/>
  <c r="B470" i="12"/>
  <c r="G469" i="12"/>
  <c r="B469" i="12"/>
  <c r="G468" i="12"/>
  <c r="B468" i="12"/>
  <c r="G467" i="12"/>
  <c r="B467" i="12"/>
  <c r="G466" i="12"/>
  <c r="B466" i="12"/>
  <c r="G465" i="12"/>
  <c r="B465" i="12"/>
  <c r="G464" i="12"/>
  <c r="B464" i="12"/>
  <c r="G463" i="12"/>
  <c r="B463" i="12"/>
  <c r="G462" i="12"/>
  <c r="B462" i="12"/>
  <c r="G461" i="12"/>
  <c r="B461" i="12"/>
  <c r="G460" i="12"/>
  <c r="B460" i="12"/>
  <c r="G459" i="12"/>
  <c r="B459" i="12"/>
  <c r="G458" i="12"/>
  <c r="B458" i="12"/>
  <c r="G457" i="12"/>
  <c r="B457" i="12"/>
  <c r="G456" i="12"/>
  <c r="B456" i="12"/>
  <c r="G455" i="12"/>
  <c r="B455" i="12"/>
  <c r="G454" i="12"/>
  <c r="B454" i="12"/>
  <c r="G453" i="12"/>
  <c r="B453" i="12"/>
  <c r="G452" i="12"/>
  <c r="B452" i="12"/>
  <c r="G451" i="12"/>
  <c r="B451" i="12"/>
  <c r="G450" i="12"/>
  <c r="B450" i="12"/>
  <c r="G449" i="12"/>
  <c r="B449" i="12"/>
  <c r="G448" i="12"/>
  <c r="B448" i="12"/>
  <c r="G447" i="12"/>
  <c r="B447" i="12"/>
  <c r="G446" i="12"/>
  <c r="B446" i="12"/>
  <c r="J444" i="12"/>
  <c r="I444" i="12"/>
  <c r="H444" i="12"/>
  <c r="G444" i="12"/>
  <c r="E444" i="12"/>
  <c r="D444" i="12"/>
  <c r="C444" i="12"/>
  <c r="B444" i="12"/>
  <c r="G441" i="12"/>
  <c r="B441" i="12"/>
  <c r="G440" i="12"/>
  <c r="B440" i="12"/>
  <c r="G439" i="12"/>
  <c r="B439" i="12"/>
  <c r="G438" i="12"/>
  <c r="B438" i="12"/>
  <c r="G437" i="12"/>
  <c r="B437" i="12"/>
  <c r="G436" i="12"/>
  <c r="B436" i="12"/>
  <c r="G435" i="12"/>
  <c r="B435" i="12"/>
  <c r="G434" i="12"/>
  <c r="B434" i="12"/>
  <c r="G433" i="12"/>
  <c r="B433" i="12"/>
  <c r="G432" i="12"/>
  <c r="B432" i="12"/>
  <c r="G431" i="12"/>
  <c r="B431" i="12"/>
  <c r="G430" i="12"/>
  <c r="B430" i="12"/>
  <c r="G429" i="12"/>
  <c r="B429" i="12"/>
  <c r="G428" i="12"/>
  <c r="B428" i="12"/>
  <c r="G427" i="12"/>
  <c r="B427" i="12"/>
  <c r="G426" i="12"/>
  <c r="B426" i="12"/>
  <c r="G425" i="12"/>
  <c r="B425" i="12"/>
  <c r="G424" i="12"/>
  <c r="B424" i="12"/>
  <c r="G423" i="12"/>
  <c r="B423" i="12"/>
  <c r="G422" i="12"/>
  <c r="B422" i="12"/>
  <c r="G421" i="12"/>
  <c r="B421" i="12"/>
  <c r="G420" i="12"/>
  <c r="B420" i="12"/>
  <c r="G419" i="12"/>
  <c r="B419" i="12"/>
  <c r="G418" i="12"/>
  <c r="B418" i="12"/>
  <c r="G417" i="12"/>
  <c r="B417" i="12"/>
  <c r="G416" i="12"/>
  <c r="B416" i="12"/>
  <c r="G415" i="12"/>
  <c r="B415" i="12"/>
  <c r="G414" i="12"/>
  <c r="B414" i="12"/>
  <c r="G413" i="12"/>
  <c r="B413" i="12"/>
  <c r="G412" i="12"/>
  <c r="B412" i="12"/>
  <c r="G411" i="12"/>
  <c r="B411" i="12"/>
  <c r="G410" i="12"/>
  <c r="B410" i="12"/>
  <c r="J408" i="12"/>
  <c r="I408" i="12"/>
  <c r="H408" i="12"/>
  <c r="G408" i="12"/>
  <c r="E408" i="12"/>
  <c r="D408" i="12"/>
  <c r="C408" i="12"/>
  <c r="B408" i="12"/>
  <c r="G405" i="12"/>
  <c r="B405" i="12"/>
  <c r="G404" i="12"/>
  <c r="B404" i="12"/>
  <c r="G403" i="12"/>
  <c r="B403" i="12"/>
  <c r="G402" i="12"/>
  <c r="B402" i="12"/>
  <c r="G401" i="12"/>
  <c r="B401" i="12"/>
  <c r="G400" i="12"/>
  <c r="B400" i="12"/>
  <c r="G399" i="12"/>
  <c r="B399" i="12"/>
  <c r="G398" i="12"/>
  <c r="B398" i="12"/>
  <c r="G397" i="12"/>
  <c r="B397" i="12"/>
  <c r="G396" i="12"/>
  <c r="B396" i="12"/>
  <c r="G395" i="12"/>
  <c r="B395" i="12"/>
  <c r="G394" i="12"/>
  <c r="B394" i="12"/>
  <c r="G393" i="12"/>
  <c r="B393" i="12"/>
  <c r="G392" i="12"/>
  <c r="B392" i="12"/>
  <c r="G391" i="12"/>
  <c r="B391" i="12"/>
  <c r="G390" i="12"/>
  <c r="B390" i="12"/>
  <c r="G389" i="12"/>
  <c r="B389" i="12"/>
  <c r="G388" i="12"/>
  <c r="B388" i="12"/>
  <c r="G387" i="12"/>
  <c r="B387" i="12"/>
  <c r="G386" i="12"/>
  <c r="B386" i="12"/>
  <c r="G385" i="12"/>
  <c r="B385" i="12"/>
  <c r="G384" i="12"/>
  <c r="B384" i="12"/>
  <c r="G383" i="12"/>
  <c r="B383" i="12"/>
  <c r="G382" i="12"/>
  <c r="B382" i="12"/>
  <c r="G381" i="12"/>
  <c r="B381" i="12"/>
  <c r="G380" i="12"/>
  <c r="B380" i="12"/>
  <c r="G379" i="12"/>
  <c r="B379" i="12"/>
  <c r="G378" i="12"/>
  <c r="B378" i="12"/>
  <c r="G377" i="12"/>
  <c r="B377" i="12"/>
  <c r="G376" i="12"/>
  <c r="B376" i="12"/>
  <c r="G375" i="12"/>
  <c r="B375" i="12"/>
  <c r="G374" i="12"/>
  <c r="B374" i="12"/>
  <c r="J372" i="12"/>
  <c r="I372" i="12"/>
  <c r="H372" i="12"/>
  <c r="G372" i="12"/>
  <c r="E372" i="12"/>
  <c r="D372" i="12"/>
  <c r="C372" i="12"/>
  <c r="B372" i="12"/>
  <c r="G369" i="12"/>
  <c r="B369" i="12"/>
  <c r="G368" i="12"/>
  <c r="B368" i="12"/>
  <c r="G367" i="12"/>
  <c r="B367" i="12"/>
  <c r="G366" i="12"/>
  <c r="B366" i="12"/>
  <c r="G365" i="12"/>
  <c r="B365" i="12"/>
  <c r="G364" i="12"/>
  <c r="B364" i="12"/>
  <c r="G363" i="12"/>
  <c r="B363" i="12"/>
  <c r="G362" i="12"/>
  <c r="B362" i="12"/>
  <c r="G361" i="12"/>
  <c r="B361" i="12"/>
  <c r="G360" i="12"/>
  <c r="B360" i="12"/>
  <c r="G359" i="12"/>
  <c r="B359" i="12"/>
  <c r="G358" i="12"/>
  <c r="B358" i="12"/>
  <c r="G357" i="12"/>
  <c r="B357" i="12"/>
  <c r="G356" i="12"/>
  <c r="B356" i="12"/>
  <c r="G355" i="12"/>
  <c r="B355" i="12"/>
  <c r="G354" i="12"/>
  <c r="B354" i="12"/>
  <c r="G353" i="12"/>
  <c r="B353" i="12"/>
  <c r="G352" i="12"/>
  <c r="B352" i="12"/>
  <c r="G351" i="12"/>
  <c r="B351" i="12"/>
  <c r="G350" i="12"/>
  <c r="B350" i="12"/>
  <c r="G349" i="12"/>
  <c r="B349" i="12"/>
  <c r="G348" i="12"/>
  <c r="B348" i="12"/>
  <c r="G347" i="12"/>
  <c r="B347" i="12"/>
  <c r="G346" i="12"/>
  <c r="B346" i="12"/>
  <c r="G345" i="12"/>
  <c r="B345" i="12"/>
  <c r="G344" i="12"/>
  <c r="B344" i="12"/>
  <c r="G343" i="12"/>
  <c r="B343" i="12"/>
  <c r="G342" i="12"/>
  <c r="B342" i="12"/>
  <c r="G341" i="12"/>
  <c r="B341" i="12"/>
  <c r="G340" i="12"/>
  <c r="B340" i="12"/>
  <c r="G339" i="12"/>
  <c r="B339" i="12"/>
  <c r="G338" i="12"/>
  <c r="B338" i="12"/>
  <c r="J336" i="12"/>
  <c r="I336" i="12"/>
  <c r="H336" i="12"/>
  <c r="G336" i="12"/>
  <c r="E336" i="12"/>
  <c r="D336" i="12"/>
  <c r="C336" i="12"/>
  <c r="B336" i="12"/>
  <c r="G333" i="12"/>
  <c r="B333" i="12"/>
  <c r="G332" i="12"/>
  <c r="B332" i="12"/>
  <c r="G331" i="12"/>
  <c r="B331" i="12"/>
  <c r="G330" i="12"/>
  <c r="B330" i="12"/>
  <c r="G329" i="12"/>
  <c r="B329" i="12"/>
  <c r="G328" i="12"/>
  <c r="B328" i="12"/>
  <c r="G327" i="12"/>
  <c r="B327" i="12"/>
  <c r="G326" i="12"/>
  <c r="B326" i="12"/>
  <c r="G325" i="12"/>
  <c r="B325" i="12"/>
  <c r="G324" i="12"/>
  <c r="B324" i="12"/>
  <c r="G323" i="12"/>
  <c r="B323" i="12"/>
  <c r="G322" i="12"/>
  <c r="B322" i="12"/>
  <c r="G321" i="12"/>
  <c r="B321" i="12"/>
  <c r="G320" i="12"/>
  <c r="B320" i="12"/>
  <c r="G319" i="12"/>
  <c r="B319" i="12"/>
  <c r="G318" i="12"/>
  <c r="B318" i="12"/>
  <c r="G317" i="12"/>
  <c r="B317" i="12"/>
  <c r="G316" i="12"/>
  <c r="B316" i="12"/>
  <c r="G315" i="12"/>
  <c r="B315" i="12"/>
  <c r="G314" i="12"/>
  <c r="B314" i="12"/>
  <c r="G313" i="12"/>
  <c r="B313" i="12"/>
  <c r="G312" i="12"/>
  <c r="B312" i="12"/>
  <c r="G311" i="12"/>
  <c r="B311" i="12"/>
  <c r="G310" i="12"/>
  <c r="B310" i="12"/>
  <c r="G309" i="12"/>
  <c r="B309" i="12"/>
  <c r="G308" i="12"/>
  <c r="B308" i="12"/>
  <c r="G307" i="12"/>
  <c r="B307" i="12"/>
  <c r="G306" i="12"/>
  <c r="B306" i="12"/>
  <c r="G305" i="12"/>
  <c r="B305" i="12"/>
  <c r="G304" i="12"/>
  <c r="B304" i="12"/>
  <c r="G303" i="12"/>
  <c r="B303" i="12"/>
  <c r="G302" i="12"/>
  <c r="B302" i="12"/>
  <c r="J300" i="12"/>
  <c r="I300" i="12"/>
  <c r="H300" i="12"/>
  <c r="G300" i="12"/>
  <c r="E300" i="12"/>
  <c r="D300" i="12"/>
  <c r="C300" i="12"/>
  <c r="B300" i="12"/>
  <c r="G297" i="12"/>
  <c r="B297" i="12"/>
  <c r="G296" i="12"/>
  <c r="B296" i="12"/>
  <c r="G295" i="12"/>
  <c r="B295" i="12"/>
  <c r="G294" i="12"/>
  <c r="B294" i="12"/>
  <c r="G293" i="12"/>
  <c r="B293" i="12"/>
  <c r="G292" i="12"/>
  <c r="B292" i="12"/>
  <c r="G291" i="12"/>
  <c r="B291" i="12"/>
  <c r="G290" i="12"/>
  <c r="B290" i="12"/>
  <c r="G289" i="12"/>
  <c r="B289" i="12"/>
  <c r="G288" i="12"/>
  <c r="B288" i="12"/>
  <c r="G287" i="12"/>
  <c r="B287" i="12"/>
  <c r="G286" i="12"/>
  <c r="B286" i="12"/>
  <c r="G285" i="12"/>
  <c r="B285" i="12"/>
  <c r="G284" i="12"/>
  <c r="B284" i="12"/>
  <c r="G283" i="12"/>
  <c r="B283" i="12"/>
  <c r="G282" i="12"/>
  <c r="B282" i="12"/>
  <c r="G281" i="12"/>
  <c r="B281" i="12"/>
  <c r="G280" i="12"/>
  <c r="B280" i="12"/>
  <c r="G279" i="12"/>
  <c r="B279" i="12"/>
  <c r="G278" i="12"/>
  <c r="B278" i="12"/>
  <c r="G277" i="12"/>
  <c r="B277" i="12"/>
  <c r="G276" i="12"/>
  <c r="B276" i="12"/>
  <c r="G275" i="12"/>
  <c r="B275" i="12"/>
  <c r="G274" i="12"/>
  <c r="B274" i="12"/>
  <c r="G273" i="12"/>
  <c r="B273" i="12"/>
  <c r="G272" i="12"/>
  <c r="B272" i="12"/>
  <c r="G271" i="12"/>
  <c r="B271" i="12"/>
  <c r="G270" i="12"/>
  <c r="B270" i="12"/>
  <c r="G269" i="12"/>
  <c r="B269" i="12"/>
  <c r="G268" i="12"/>
  <c r="B268" i="12"/>
  <c r="G267" i="12"/>
  <c r="B267" i="12"/>
  <c r="G266" i="12"/>
  <c r="B266" i="12"/>
  <c r="J264" i="12"/>
  <c r="I264" i="12"/>
  <c r="H264" i="12"/>
  <c r="G264" i="12"/>
  <c r="E264" i="12"/>
  <c r="D264" i="12"/>
  <c r="C264" i="12"/>
  <c r="B264" i="12"/>
  <c r="G261" i="12"/>
  <c r="B261" i="12"/>
  <c r="G260" i="12"/>
  <c r="B260" i="12"/>
  <c r="G259" i="12"/>
  <c r="B259" i="12"/>
  <c r="G258" i="12"/>
  <c r="B258" i="12"/>
  <c r="G257" i="12"/>
  <c r="B257" i="12"/>
  <c r="G256" i="12"/>
  <c r="B256" i="12"/>
  <c r="G255" i="12"/>
  <c r="B255" i="12"/>
  <c r="G254" i="12"/>
  <c r="B254" i="12"/>
  <c r="G253" i="12"/>
  <c r="B253" i="12"/>
  <c r="G252" i="12"/>
  <c r="B252" i="12"/>
  <c r="G251" i="12"/>
  <c r="B251" i="12"/>
  <c r="G250" i="12"/>
  <c r="B250" i="12"/>
  <c r="G249" i="12"/>
  <c r="B249" i="12"/>
  <c r="G248" i="12"/>
  <c r="B248" i="12"/>
  <c r="G247" i="12"/>
  <c r="B247" i="12"/>
  <c r="G246" i="12"/>
  <c r="B246" i="12"/>
  <c r="G245" i="12"/>
  <c r="B245" i="12"/>
  <c r="G244" i="12"/>
  <c r="B244" i="12"/>
  <c r="G243" i="12"/>
  <c r="B243" i="12"/>
  <c r="G242" i="12"/>
  <c r="B242" i="12"/>
  <c r="G241" i="12"/>
  <c r="B241" i="12"/>
  <c r="G240" i="12"/>
  <c r="B240" i="12"/>
  <c r="G239" i="12"/>
  <c r="B239" i="12"/>
  <c r="G238" i="12"/>
  <c r="B238" i="12"/>
  <c r="G237" i="12"/>
  <c r="B237" i="12"/>
  <c r="G236" i="12"/>
  <c r="B236" i="12"/>
  <c r="G235" i="12"/>
  <c r="B235" i="12"/>
  <c r="G234" i="12"/>
  <c r="B234" i="12"/>
  <c r="G233" i="12"/>
  <c r="B233" i="12"/>
  <c r="G232" i="12"/>
  <c r="B232" i="12"/>
  <c r="G231" i="12"/>
  <c r="B231" i="12"/>
  <c r="G230" i="12"/>
  <c r="B230" i="12"/>
  <c r="J228" i="12"/>
  <c r="I228" i="12"/>
  <c r="H228" i="12"/>
  <c r="G228" i="12"/>
  <c r="E228" i="12"/>
  <c r="D228" i="12"/>
  <c r="C228" i="12"/>
  <c r="B228" i="12"/>
  <c r="G225" i="12"/>
  <c r="B225" i="12"/>
  <c r="G224" i="12"/>
  <c r="B224" i="12"/>
  <c r="G223" i="12"/>
  <c r="B223" i="12"/>
  <c r="G222" i="12"/>
  <c r="B222" i="12"/>
  <c r="G221" i="12"/>
  <c r="B221" i="12"/>
  <c r="G220" i="12"/>
  <c r="B220" i="12"/>
  <c r="G219" i="12"/>
  <c r="B219" i="12"/>
  <c r="G218" i="12"/>
  <c r="B218" i="12"/>
  <c r="G217" i="12"/>
  <c r="B217" i="12"/>
  <c r="G216" i="12"/>
  <c r="B216" i="12"/>
  <c r="G215" i="12"/>
  <c r="B215" i="12"/>
  <c r="G214" i="12"/>
  <c r="B214" i="12"/>
  <c r="G213" i="12"/>
  <c r="B213" i="12"/>
  <c r="G212" i="12"/>
  <c r="B212" i="12"/>
  <c r="G211" i="12"/>
  <c r="B211" i="12"/>
  <c r="G210" i="12"/>
  <c r="B210" i="12"/>
  <c r="G209" i="12"/>
  <c r="B209" i="12"/>
  <c r="G208" i="12"/>
  <c r="B208" i="12"/>
  <c r="G207" i="12"/>
  <c r="B207" i="12"/>
  <c r="G206" i="12"/>
  <c r="B206" i="12"/>
  <c r="G205" i="12"/>
  <c r="B205" i="12"/>
  <c r="G204" i="12"/>
  <c r="B204" i="12"/>
  <c r="G203" i="12"/>
  <c r="B203" i="12"/>
  <c r="G202" i="12"/>
  <c r="B202" i="12"/>
  <c r="G201" i="12"/>
  <c r="B201" i="12"/>
  <c r="G200" i="12"/>
  <c r="B200" i="12"/>
  <c r="G199" i="12"/>
  <c r="B199" i="12"/>
  <c r="G198" i="12"/>
  <c r="B198" i="12"/>
  <c r="G197" i="12"/>
  <c r="B197" i="12"/>
  <c r="G196" i="12"/>
  <c r="B196" i="12"/>
  <c r="G195" i="12"/>
  <c r="B195" i="12"/>
  <c r="G194" i="12"/>
  <c r="B194" i="12"/>
  <c r="J192" i="12"/>
  <c r="I192" i="12"/>
  <c r="H192" i="12"/>
  <c r="G192" i="12"/>
  <c r="E192" i="12"/>
  <c r="D192" i="12"/>
  <c r="C192" i="12"/>
  <c r="B192" i="12"/>
  <c r="G189" i="12"/>
  <c r="B189" i="12"/>
  <c r="G188" i="12"/>
  <c r="B188" i="12"/>
  <c r="G187" i="12"/>
  <c r="B187" i="12"/>
  <c r="G186" i="12"/>
  <c r="B186" i="12"/>
  <c r="G185" i="12"/>
  <c r="B185" i="12"/>
  <c r="G184" i="12"/>
  <c r="B184" i="12"/>
  <c r="G183" i="12"/>
  <c r="B183" i="12"/>
  <c r="G182" i="12"/>
  <c r="B182" i="12"/>
  <c r="G181" i="12"/>
  <c r="B181" i="12"/>
  <c r="G180" i="12"/>
  <c r="B180" i="12"/>
  <c r="G179" i="12"/>
  <c r="B179" i="12"/>
  <c r="G178" i="12"/>
  <c r="B178" i="12"/>
  <c r="G177" i="12"/>
  <c r="B177" i="12"/>
  <c r="G176" i="12"/>
  <c r="B176" i="12"/>
  <c r="G175" i="12"/>
  <c r="B175" i="12"/>
  <c r="G174" i="12"/>
  <c r="B174" i="12"/>
  <c r="G173" i="12"/>
  <c r="B173" i="12"/>
  <c r="G172" i="12"/>
  <c r="B172" i="12"/>
  <c r="G171" i="12"/>
  <c r="B171" i="12"/>
  <c r="G170" i="12"/>
  <c r="B170" i="12"/>
  <c r="G169" i="12"/>
  <c r="B169" i="12"/>
  <c r="G168" i="12"/>
  <c r="B168" i="12"/>
  <c r="G167" i="12"/>
  <c r="B167" i="12"/>
  <c r="G166" i="12"/>
  <c r="B166" i="12"/>
  <c r="G165" i="12"/>
  <c r="B165" i="12"/>
  <c r="G164" i="12"/>
  <c r="B164" i="12"/>
  <c r="G163" i="12"/>
  <c r="B163" i="12"/>
  <c r="G162" i="12"/>
  <c r="B162" i="12"/>
  <c r="G161" i="12"/>
  <c r="B161" i="12"/>
  <c r="G160" i="12"/>
  <c r="B160" i="12"/>
  <c r="G159" i="12"/>
  <c r="G156" i="12" s="1"/>
  <c r="B159" i="12"/>
  <c r="G158" i="12"/>
  <c r="B158" i="12"/>
  <c r="J156" i="12"/>
  <c r="I156" i="12"/>
  <c r="H156" i="12"/>
  <c r="E156" i="12"/>
  <c r="D156" i="12"/>
  <c r="C156" i="12"/>
  <c r="B156" i="12"/>
  <c r="G153" i="12"/>
  <c r="B153" i="12"/>
  <c r="G152" i="12"/>
  <c r="B152" i="12"/>
  <c r="G151" i="12"/>
  <c r="B151" i="12"/>
  <c r="G150" i="12"/>
  <c r="B150" i="12"/>
  <c r="G149" i="12"/>
  <c r="B149" i="12"/>
  <c r="G148" i="12"/>
  <c r="B148" i="12"/>
  <c r="G147" i="12"/>
  <c r="B147" i="12"/>
  <c r="G146" i="12"/>
  <c r="B146" i="12"/>
  <c r="G145" i="12"/>
  <c r="B145" i="12"/>
  <c r="G144" i="12"/>
  <c r="B144" i="12"/>
  <c r="G143" i="12"/>
  <c r="B143" i="12"/>
  <c r="G142" i="12"/>
  <c r="B142" i="12"/>
  <c r="G141" i="12"/>
  <c r="B141" i="12"/>
  <c r="G140" i="12"/>
  <c r="B140" i="12"/>
  <c r="G139" i="12"/>
  <c r="B139" i="12"/>
  <c r="G138" i="12"/>
  <c r="B138" i="12"/>
  <c r="G137" i="12"/>
  <c r="B137" i="12"/>
  <c r="G136" i="12"/>
  <c r="B136" i="12"/>
  <c r="G135" i="12"/>
  <c r="B135" i="12"/>
  <c r="G134" i="12"/>
  <c r="B134" i="12"/>
  <c r="G133" i="12"/>
  <c r="B133" i="12"/>
  <c r="G132" i="12"/>
  <c r="B132" i="12"/>
  <c r="G131" i="12"/>
  <c r="B131" i="12"/>
  <c r="G130" i="12"/>
  <c r="B130" i="12"/>
  <c r="G129" i="12"/>
  <c r="B129" i="12"/>
  <c r="G128" i="12"/>
  <c r="B128" i="12"/>
  <c r="G127" i="12"/>
  <c r="B127" i="12"/>
  <c r="G126" i="12"/>
  <c r="B126" i="12"/>
  <c r="G125" i="12"/>
  <c r="B125" i="12"/>
  <c r="G124" i="12"/>
  <c r="B124" i="12"/>
  <c r="G123" i="12"/>
  <c r="G120" i="12" s="1"/>
  <c r="B123" i="12"/>
  <c r="G122" i="12"/>
  <c r="B122" i="12"/>
  <c r="J120" i="12"/>
  <c r="I120" i="12"/>
  <c r="H120" i="12"/>
  <c r="E120" i="12"/>
  <c r="D120" i="12"/>
  <c r="C120" i="12"/>
  <c r="B120" i="12"/>
  <c r="G117" i="12"/>
  <c r="B117" i="12"/>
  <c r="G116" i="12"/>
  <c r="B116" i="12"/>
  <c r="G115" i="12"/>
  <c r="B115" i="12"/>
  <c r="G114" i="12"/>
  <c r="B114" i="12"/>
  <c r="G113" i="12"/>
  <c r="B113" i="12"/>
  <c r="G112" i="12"/>
  <c r="B112" i="12"/>
  <c r="G111" i="12"/>
  <c r="B111" i="12"/>
  <c r="G110" i="12"/>
  <c r="B110" i="12"/>
  <c r="G109" i="12"/>
  <c r="B109" i="12"/>
  <c r="G108" i="12"/>
  <c r="B108" i="12"/>
  <c r="G107" i="12"/>
  <c r="B107" i="12"/>
  <c r="G106" i="12"/>
  <c r="B106" i="12"/>
  <c r="G105" i="12"/>
  <c r="B105" i="12"/>
  <c r="G104" i="12"/>
  <c r="B104" i="12"/>
  <c r="G103" i="12"/>
  <c r="B103" i="12"/>
  <c r="G102" i="12"/>
  <c r="B102" i="12"/>
  <c r="G101" i="12"/>
  <c r="B101" i="12"/>
  <c r="G100" i="12"/>
  <c r="B100" i="12"/>
  <c r="G99" i="12"/>
  <c r="B99" i="12"/>
  <c r="G98" i="12"/>
  <c r="B98" i="12"/>
  <c r="G97" i="12"/>
  <c r="B97" i="12"/>
  <c r="G96" i="12"/>
  <c r="B96" i="12"/>
  <c r="G95" i="12"/>
  <c r="B95" i="12"/>
  <c r="G94" i="12"/>
  <c r="B94" i="12"/>
  <c r="G93" i="12"/>
  <c r="B93" i="12"/>
  <c r="G92" i="12"/>
  <c r="B92" i="12"/>
  <c r="G91" i="12"/>
  <c r="B91" i="12"/>
  <c r="G90" i="12"/>
  <c r="B90" i="12"/>
  <c r="G89" i="12"/>
  <c r="B89" i="12"/>
  <c r="G88" i="12"/>
  <c r="B88" i="12"/>
  <c r="G87" i="12"/>
  <c r="G84" i="12" s="1"/>
  <c r="B87" i="12"/>
  <c r="G86" i="12"/>
  <c r="B86" i="12"/>
  <c r="J84" i="12"/>
  <c r="I84" i="12"/>
  <c r="H84" i="12"/>
  <c r="E84" i="12"/>
  <c r="D84" i="12"/>
  <c r="C84" i="12"/>
  <c r="B84" i="12"/>
  <c r="G81" i="12"/>
  <c r="B81" i="12"/>
  <c r="G80" i="12"/>
  <c r="B80" i="12"/>
  <c r="G79" i="12"/>
  <c r="B79" i="12"/>
  <c r="G78" i="12"/>
  <c r="B78" i="12"/>
  <c r="G77" i="12"/>
  <c r="B77" i="12"/>
  <c r="G76" i="12"/>
  <c r="B76" i="12"/>
  <c r="G75" i="12"/>
  <c r="B75" i="12"/>
  <c r="G74" i="12"/>
  <c r="B74" i="12"/>
  <c r="G73" i="12"/>
  <c r="B73" i="12"/>
  <c r="G72" i="12"/>
  <c r="B72" i="12"/>
  <c r="G71" i="12"/>
  <c r="B71" i="12"/>
  <c r="G70" i="12"/>
  <c r="B70" i="12"/>
  <c r="G69" i="12"/>
  <c r="B69" i="12"/>
  <c r="G68" i="12"/>
  <c r="B68" i="12"/>
  <c r="G67" i="12"/>
  <c r="B67" i="12"/>
  <c r="G66" i="12"/>
  <c r="B66" i="12"/>
  <c r="G65" i="12"/>
  <c r="B65" i="12"/>
  <c r="G64" i="12"/>
  <c r="B64" i="12"/>
  <c r="G63" i="12"/>
  <c r="B63" i="12"/>
  <c r="G62" i="12"/>
  <c r="B62" i="12"/>
  <c r="G61" i="12"/>
  <c r="B61" i="12"/>
  <c r="G60" i="12"/>
  <c r="B60" i="12"/>
  <c r="G59" i="12"/>
  <c r="B59" i="12"/>
  <c r="G58" i="12"/>
  <c r="B58" i="12"/>
  <c r="G57" i="12"/>
  <c r="B57" i="12"/>
  <c r="G56" i="12"/>
  <c r="B56" i="12"/>
  <c r="G55" i="12"/>
  <c r="B55" i="12"/>
  <c r="G54" i="12"/>
  <c r="B54" i="12"/>
  <c r="B48" i="12" s="1"/>
  <c r="G53" i="12"/>
  <c r="B53" i="12"/>
  <c r="G52" i="12"/>
  <c r="B52" i="12"/>
  <c r="G51" i="12"/>
  <c r="G48" i="12" s="1"/>
  <c r="B51" i="12"/>
  <c r="G50" i="12"/>
  <c r="B50" i="12"/>
  <c r="J48" i="12"/>
  <c r="I48" i="12"/>
  <c r="H48" i="12"/>
  <c r="E48" i="12"/>
  <c r="D48" i="12"/>
  <c r="C48" i="12"/>
  <c r="G45" i="12"/>
  <c r="B45" i="12"/>
  <c r="G44" i="12"/>
  <c r="B44" i="12"/>
  <c r="G43" i="12"/>
  <c r="B43" i="12"/>
  <c r="G42" i="12"/>
  <c r="B42" i="12"/>
  <c r="G41" i="12"/>
  <c r="B41" i="12"/>
  <c r="G40" i="12"/>
  <c r="B40" i="12"/>
  <c r="G39" i="12"/>
  <c r="B39" i="12"/>
  <c r="G38" i="12"/>
  <c r="B38" i="12"/>
  <c r="G37" i="12"/>
  <c r="B37" i="12"/>
  <c r="G36" i="12"/>
  <c r="B36" i="12"/>
  <c r="G35" i="12"/>
  <c r="B35" i="12"/>
  <c r="G34" i="12"/>
  <c r="B34" i="12"/>
  <c r="G33" i="12"/>
  <c r="B33" i="12"/>
  <c r="G32" i="12"/>
  <c r="B32" i="12"/>
  <c r="G31" i="12"/>
  <c r="B31" i="12"/>
  <c r="G30" i="12"/>
  <c r="B30" i="12"/>
  <c r="G29" i="12"/>
  <c r="B29" i="12"/>
  <c r="G28" i="12"/>
  <c r="B28" i="12"/>
  <c r="G27" i="12"/>
  <c r="B27" i="12"/>
  <c r="G26" i="12"/>
  <c r="B26" i="12"/>
  <c r="G25" i="12"/>
  <c r="B25" i="12"/>
  <c r="G24" i="12"/>
  <c r="B24" i="12"/>
  <c r="G23" i="12"/>
  <c r="B23" i="12"/>
  <c r="G22" i="12"/>
  <c r="B22" i="12"/>
  <c r="G21" i="12"/>
  <c r="B21" i="12"/>
  <c r="G20" i="12"/>
  <c r="B20" i="12"/>
  <c r="G19" i="12"/>
  <c r="B19" i="12"/>
  <c r="G18" i="12"/>
  <c r="B18" i="12"/>
  <c r="G17" i="12"/>
  <c r="B17" i="12"/>
  <c r="G16" i="12"/>
  <c r="B16" i="12"/>
  <c r="G15" i="12"/>
  <c r="G12" i="12" s="1"/>
  <c r="B15" i="12"/>
  <c r="G14" i="12"/>
  <c r="B14" i="12"/>
  <c r="J12" i="12"/>
  <c r="I12" i="12"/>
  <c r="H12" i="12"/>
  <c r="E12" i="12"/>
  <c r="D12" i="12"/>
  <c r="C12" i="12"/>
  <c r="B12" i="12"/>
  <c r="J769" i="11"/>
  <c r="I769" i="11"/>
  <c r="H769" i="11"/>
  <c r="G769" i="11"/>
  <c r="F769" i="11"/>
  <c r="E769" i="11"/>
  <c r="D769" i="11"/>
  <c r="C769" i="11"/>
  <c r="B769" i="11"/>
  <c r="J733" i="11"/>
  <c r="I733" i="11"/>
  <c r="H733" i="11"/>
  <c r="G733" i="11"/>
  <c r="F733" i="11"/>
  <c r="E733" i="11"/>
  <c r="D733" i="11"/>
  <c r="C733" i="11"/>
  <c r="B733" i="11"/>
  <c r="J697" i="11"/>
  <c r="I697" i="11"/>
  <c r="H697" i="11"/>
  <c r="G697" i="11"/>
  <c r="F697" i="11"/>
  <c r="E697" i="11"/>
  <c r="D697" i="11"/>
  <c r="C697" i="11"/>
  <c r="B697" i="11"/>
  <c r="J661" i="11"/>
  <c r="I661" i="11"/>
  <c r="H661" i="11"/>
  <c r="G661" i="11"/>
  <c r="F661" i="11"/>
  <c r="E661" i="11"/>
  <c r="D661" i="11"/>
  <c r="C661" i="11"/>
  <c r="B661" i="11"/>
  <c r="J625" i="11"/>
  <c r="I625" i="11"/>
  <c r="H625" i="11"/>
  <c r="G625" i="11"/>
  <c r="F625" i="11"/>
  <c r="E625" i="11"/>
  <c r="D625" i="11"/>
  <c r="C625" i="11"/>
  <c r="B625" i="11"/>
  <c r="J589" i="11"/>
  <c r="I589" i="11"/>
  <c r="H589" i="11"/>
  <c r="G589" i="11"/>
  <c r="F589" i="11"/>
  <c r="E589" i="11"/>
  <c r="D589" i="11"/>
  <c r="C589" i="11"/>
  <c r="B589" i="11"/>
  <c r="J553" i="11"/>
  <c r="I553" i="11"/>
  <c r="H553" i="11"/>
  <c r="G553" i="11"/>
  <c r="F553" i="11"/>
  <c r="E553" i="11"/>
  <c r="D553" i="11"/>
  <c r="C553" i="11"/>
  <c r="B553" i="11"/>
  <c r="J517" i="11"/>
  <c r="I517" i="11"/>
  <c r="H517" i="11"/>
  <c r="G517" i="11"/>
  <c r="F517" i="11"/>
  <c r="E517" i="11"/>
  <c r="D517" i="11"/>
  <c r="C517" i="11"/>
  <c r="B517" i="11"/>
  <c r="J481" i="11"/>
  <c r="I481" i="11"/>
  <c r="H481" i="11"/>
  <c r="G481" i="11"/>
  <c r="F481" i="11"/>
  <c r="E481" i="11"/>
  <c r="D481" i="11"/>
  <c r="C481" i="11"/>
  <c r="B481" i="11"/>
  <c r="J445" i="11"/>
  <c r="I445" i="11"/>
  <c r="H445" i="11"/>
  <c r="G445" i="11"/>
  <c r="F445" i="11"/>
  <c r="E445" i="11"/>
  <c r="D445" i="11"/>
  <c r="C445" i="11"/>
  <c r="B445" i="11"/>
  <c r="J409" i="11"/>
  <c r="I409" i="11"/>
  <c r="H409" i="11"/>
  <c r="G409" i="11"/>
  <c r="F409" i="11"/>
  <c r="E409" i="11"/>
  <c r="D409" i="11"/>
  <c r="C409" i="11"/>
  <c r="B409" i="11"/>
  <c r="J373" i="11"/>
  <c r="I373" i="11"/>
  <c r="H373" i="11"/>
  <c r="G373" i="11"/>
  <c r="F373" i="11"/>
  <c r="E373" i="11"/>
  <c r="D373" i="11"/>
  <c r="C373" i="11"/>
  <c r="B373" i="11"/>
  <c r="J337" i="11"/>
  <c r="I337" i="11"/>
  <c r="H337" i="11"/>
  <c r="G337" i="11"/>
  <c r="F337" i="11"/>
  <c r="E337" i="11"/>
  <c r="D337" i="11"/>
  <c r="C337" i="11"/>
  <c r="B337" i="11"/>
  <c r="J301" i="11"/>
  <c r="I301" i="11"/>
  <c r="H301" i="11"/>
  <c r="G301" i="11"/>
  <c r="F301" i="11"/>
  <c r="E301" i="11"/>
  <c r="D301" i="11"/>
  <c r="C301" i="11"/>
  <c r="B301" i="11"/>
  <c r="I265" i="11"/>
  <c r="H265" i="11"/>
  <c r="G265" i="11"/>
  <c r="F265" i="11"/>
  <c r="E265" i="11"/>
  <c r="D265" i="11"/>
  <c r="C265" i="11"/>
  <c r="B265" i="11"/>
  <c r="J229" i="11"/>
  <c r="I229" i="11"/>
  <c r="H229" i="11"/>
  <c r="G229" i="11"/>
  <c r="F229" i="11"/>
  <c r="E229" i="11"/>
  <c r="D229" i="11"/>
  <c r="C229" i="11"/>
  <c r="B229" i="11"/>
  <c r="J193" i="11"/>
  <c r="I193" i="11"/>
  <c r="H193" i="11"/>
  <c r="G193" i="11"/>
  <c r="F193" i="11"/>
  <c r="E193" i="11"/>
  <c r="D193" i="11"/>
  <c r="C193" i="11"/>
  <c r="B193" i="11"/>
  <c r="J157" i="11"/>
  <c r="I157" i="11"/>
  <c r="H157" i="11"/>
  <c r="G157" i="11"/>
  <c r="F157" i="11"/>
  <c r="E157" i="11"/>
  <c r="D157" i="11"/>
  <c r="C157" i="11"/>
  <c r="B157" i="11"/>
  <c r="J121" i="11"/>
  <c r="I121" i="11"/>
  <c r="H121" i="11"/>
  <c r="G121" i="11"/>
  <c r="F121" i="11"/>
  <c r="E121" i="11"/>
  <c r="D121" i="11"/>
  <c r="C121" i="11"/>
  <c r="B121" i="11"/>
  <c r="J85" i="11"/>
  <c r="I85" i="11"/>
  <c r="H85" i="11"/>
  <c r="G85" i="11"/>
  <c r="F85" i="11"/>
  <c r="E85" i="11"/>
  <c r="D85" i="11"/>
  <c r="C85" i="11"/>
  <c r="B85" i="11"/>
  <c r="J49" i="11"/>
  <c r="I49" i="11"/>
  <c r="H49" i="11"/>
  <c r="G49" i="11"/>
  <c r="F49" i="11"/>
  <c r="E49" i="11"/>
  <c r="D49" i="11"/>
  <c r="C49" i="11"/>
  <c r="B49" i="11"/>
  <c r="J13" i="11"/>
  <c r="I13" i="11"/>
  <c r="H13" i="11"/>
  <c r="G13" i="11"/>
  <c r="F13" i="11"/>
  <c r="E13" i="11"/>
  <c r="D13" i="11"/>
  <c r="C13" i="11"/>
  <c r="B13" i="11"/>
  <c r="B696" i="10" l="1"/>
  <c r="B695" i="10"/>
  <c r="B694" i="10"/>
  <c r="B693" i="10"/>
  <c r="B692" i="10"/>
  <c r="B691" i="10"/>
  <c r="B690" i="10"/>
  <c r="B689" i="10"/>
  <c r="B688" i="10"/>
  <c r="B687" i="10"/>
  <c r="B686" i="10"/>
  <c r="B685" i="10"/>
  <c r="B684" i="10"/>
  <c r="B683" i="10"/>
  <c r="B682" i="10"/>
  <c r="B681" i="10"/>
  <c r="B680" i="10"/>
  <c r="B679" i="10"/>
  <c r="B678" i="10"/>
  <c r="B677" i="10"/>
  <c r="B676" i="10"/>
  <c r="B675" i="10"/>
  <c r="B674" i="10"/>
  <c r="B673" i="10"/>
  <c r="B672" i="10"/>
  <c r="B671" i="10"/>
  <c r="B670" i="10"/>
  <c r="B669" i="10"/>
  <c r="B668" i="10"/>
  <c r="B667" i="10"/>
  <c r="B666" i="10"/>
  <c r="B665" i="10"/>
  <c r="B663" i="10" s="1"/>
  <c r="K663" i="10"/>
  <c r="J663" i="10"/>
  <c r="I663" i="10"/>
  <c r="H663" i="10"/>
  <c r="G663" i="10"/>
  <c r="F663" i="10"/>
  <c r="E663" i="10"/>
  <c r="D663" i="10"/>
  <c r="C663" i="10"/>
  <c r="B660" i="10"/>
  <c r="B659" i="10"/>
  <c r="B658" i="10"/>
  <c r="B657" i="10"/>
  <c r="B656" i="10"/>
  <c r="B655" i="10"/>
  <c r="B654" i="10"/>
  <c r="B653" i="10"/>
  <c r="B652" i="10"/>
  <c r="B651" i="10"/>
  <c r="B650" i="10"/>
  <c r="B649" i="10"/>
  <c r="B648" i="10"/>
  <c r="B647" i="10"/>
  <c r="B646" i="10"/>
  <c r="B645" i="10"/>
  <c r="B644" i="10"/>
  <c r="B643" i="10"/>
  <c r="B642" i="10"/>
  <c r="B641" i="10"/>
  <c r="B640" i="10"/>
  <c r="B639" i="10"/>
  <c r="B638" i="10"/>
  <c r="B637" i="10"/>
  <c r="B636" i="10"/>
  <c r="B635" i="10"/>
  <c r="B634" i="10"/>
  <c r="B633" i="10"/>
  <c r="B632" i="10"/>
  <c r="B631" i="10"/>
  <c r="B630" i="10"/>
  <c r="B629" i="10"/>
  <c r="K627" i="10"/>
  <c r="J627" i="10"/>
  <c r="I627" i="10"/>
  <c r="H627" i="10"/>
  <c r="G627" i="10"/>
  <c r="F627" i="10"/>
  <c r="E627" i="10"/>
  <c r="D627" i="10"/>
  <c r="C627" i="10"/>
  <c r="B627" i="10"/>
  <c r="B624" i="10"/>
  <c r="B623" i="10"/>
  <c r="B622" i="10"/>
  <c r="B621" i="10"/>
  <c r="B620" i="10"/>
  <c r="B619" i="10"/>
  <c r="B618" i="10"/>
  <c r="B617" i="10"/>
  <c r="B616" i="10"/>
  <c r="B615" i="10"/>
  <c r="B614" i="10"/>
  <c r="B613" i="10"/>
  <c r="B612" i="10"/>
  <c r="B611" i="10"/>
  <c r="B610" i="10"/>
  <c r="B609" i="10"/>
  <c r="B608" i="10"/>
  <c r="B607" i="10"/>
  <c r="B606" i="10"/>
  <c r="B605" i="10"/>
  <c r="B604" i="10"/>
  <c r="B603" i="10"/>
  <c r="B602" i="10"/>
  <c r="B601" i="10"/>
  <c r="B600" i="10"/>
  <c r="B599" i="10"/>
  <c r="B598" i="10"/>
  <c r="B597" i="10"/>
  <c r="B596" i="10"/>
  <c r="B595" i="10"/>
  <c r="B594" i="10"/>
  <c r="B593" i="10"/>
  <c r="B591" i="10" s="1"/>
  <c r="K591" i="10"/>
  <c r="J591" i="10"/>
  <c r="I591" i="10"/>
  <c r="H591" i="10"/>
  <c r="G591" i="10"/>
  <c r="F591" i="10"/>
  <c r="E591" i="10"/>
  <c r="D591" i="10"/>
  <c r="C591" i="10"/>
  <c r="B588" i="10"/>
  <c r="B587" i="10"/>
  <c r="B586" i="10"/>
  <c r="B585" i="10"/>
  <c r="B584" i="10"/>
  <c r="B583" i="10"/>
  <c r="B582" i="10"/>
  <c r="B581" i="10"/>
  <c r="B580" i="10"/>
  <c r="B579" i="10"/>
  <c r="B578" i="10"/>
  <c r="B577" i="10"/>
  <c r="B576" i="10"/>
  <c r="B575" i="10"/>
  <c r="B574" i="10"/>
  <c r="B573" i="10"/>
  <c r="B572" i="10"/>
  <c r="B571" i="10"/>
  <c r="B570" i="10"/>
  <c r="B569" i="10"/>
  <c r="B568" i="10"/>
  <c r="B567" i="10"/>
  <c r="B566" i="10"/>
  <c r="B565" i="10"/>
  <c r="B564" i="10"/>
  <c r="B563" i="10"/>
  <c r="B562" i="10"/>
  <c r="B561" i="10"/>
  <c r="B560" i="10"/>
  <c r="B559" i="10"/>
  <c r="B558" i="10"/>
  <c r="B557" i="10"/>
  <c r="K555" i="10"/>
  <c r="J555" i="10"/>
  <c r="I555" i="10"/>
  <c r="H555" i="10"/>
  <c r="G555" i="10"/>
  <c r="F555" i="10"/>
  <c r="E555" i="10"/>
  <c r="D555" i="10"/>
  <c r="C555" i="10"/>
  <c r="B555" i="10"/>
  <c r="B552" i="10"/>
  <c r="B551" i="10"/>
  <c r="B550" i="10"/>
  <c r="B549" i="10"/>
  <c r="B548" i="10"/>
  <c r="B547" i="10"/>
  <c r="B546" i="10"/>
  <c r="B545" i="10"/>
  <c r="B544" i="10"/>
  <c r="B543" i="10"/>
  <c r="B542" i="10"/>
  <c r="B541" i="10"/>
  <c r="B540" i="10"/>
  <c r="B539" i="10"/>
  <c r="B538" i="10"/>
  <c r="B537" i="10"/>
  <c r="B536" i="10"/>
  <c r="B535" i="10"/>
  <c r="B534" i="10"/>
  <c r="B533" i="10"/>
  <c r="B532" i="10"/>
  <c r="B531" i="10"/>
  <c r="B530" i="10"/>
  <c r="B529" i="10"/>
  <c r="B528" i="10"/>
  <c r="B527" i="10"/>
  <c r="B526" i="10"/>
  <c r="B525" i="10"/>
  <c r="B524" i="10"/>
  <c r="B523" i="10"/>
  <c r="B522" i="10"/>
  <c r="B521" i="10"/>
  <c r="B519" i="10" s="1"/>
  <c r="K519" i="10"/>
  <c r="J519" i="10"/>
  <c r="I519" i="10"/>
  <c r="H519" i="10"/>
  <c r="G519" i="10"/>
  <c r="F519" i="10"/>
  <c r="E519" i="10"/>
  <c r="D519" i="10"/>
  <c r="C519" i="10"/>
  <c r="B516" i="10"/>
  <c r="B515" i="10"/>
  <c r="B514" i="10"/>
  <c r="B513" i="10"/>
  <c r="B512" i="10"/>
  <c r="B511" i="10"/>
  <c r="B510" i="10"/>
  <c r="B509" i="10"/>
  <c r="B508" i="10"/>
  <c r="B507" i="10"/>
  <c r="B506" i="10"/>
  <c r="B505" i="10"/>
  <c r="B504" i="10"/>
  <c r="B503" i="10"/>
  <c r="B502" i="10"/>
  <c r="B501" i="10"/>
  <c r="B500" i="10"/>
  <c r="B499" i="10"/>
  <c r="B498" i="10"/>
  <c r="B497" i="10"/>
  <c r="B496" i="10"/>
  <c r="B495" i="10"/>
  <c r="B494" i="10"/>
  <c r="B493" i="10"/>
  <c r="B492" i="10"/>
  <c r="B491" i="10"/>
  <c r="B490" i="10"/>
  <c r="B489" i="10"/>
  <c r="B488" i="10"/>
  <c r="B487" i="10"/>
  <c r="B486" i="10"/>
  <c r="B485" i="10"/>
  <c r="K483" i="10"/>
  <c r="J483" i="10"/>
  <c r="I483" i="10"/>
  <c r="H483" i="10"/>
  <c r="G483" i="10"/>
  <c r="F483" i="10"/>
  <c r="E483" i="10"/>
  <c r="D483" i="10"/>
  <c r="C483" i="10"/>
  <c r="B483" i="10"/>
  <c r="B480" i="10"/>
  <c r="B479" i="10"/>
  <c r="B478" i="10"/>
  <c r="B477" i="10"/>
  <c r="B476" i="10"/>
  <c r="B475" i="10"/>
  <c r="B474" i="10"/>
  <c r="B473" i="10"/>
  <c r="B472" i="10"/>
  <c r="B471" i="10"/>
  <c r="B470" i="10"/>
  <c r="B469" i="10"/>
  <c r="B468" i="10"/>
  <c r="B467" i="10"/>
  <c r="B466" i="10"/>
  <c r="B465" i="10"/>
  <c r="B464" i="10"/>
  <c r="B463" i="10"/>
  <c r="B462" i="10"/>
  <c r="B461" i="10"/>
  <c r="B460" i="10"/>
  <c r="B459" i="10"/>
  <c r="B458" i="10"/>
  <c r="B457" i="10"/>
  <c r="B456" i="10"/>
  <c r="B455" i="10"/>
  <c r="B454" i="10"/>
  <c r="B453" i="10"/>
  <c r="B448" i="10" s="1"/>
  <c r="B452" i="10"/>
  <c r="B451" i="10"/>
  <c r="B450" i="10"/>
  <c r="K448" i="10"/>
  <c r="J448" i="10"/>
  <c r="I448" i="10"/>
  <c r="H448" i="10"/>
  <c r="G448" i="10"/>
  <c r="F448" i="10"/>
  <c r="E448" i="10"/>
  <c r="D448" i="10"/>
  <c r="C448" i="10"/>
  <c r="B445" i="10"/>
  <c r="B444" i="10"/>
  <c r="B443" i="10"/>
  <c r="B442" i="10"/>
  <c r="B441" i="10"/>
  <c r="B440" i="10"/>
  <c r="B439" i="10"/>
  <c r="B438" i="10"/>
  <c r="B437" i="10"/>
  <c r="B436" i="10"/>
  <c r="B435" i="10"/>
  <c r="B434" i="10"/>
  <c r="B433" i="10"/>
  <c r="B432" i="10"/>
  <c r="B431" i="10"/>
  <c r="B430" i="10"/>
  <c r="B429" i="10"/>
  <c r="B428" i="10"/>
  <c r="B427" i="10"/>
  <c r="B426" i="10"/>
  <c r="B425" i="10"/>
  <c r="B424" i="10"/>
  <c r="B423" i="10"/>
  <c r="B422" i="10"/>
  <c r="B421" i="10"/>
  <c r="B420" i="10"/>
  <c r="B419" i="10"/>
  <c r="B418" i="10"/>
  <c r="B417" i="10"/>
  <c r="B416" i="10"/>
  <c r="B415" i="10"/>
  <c r="B413" i="10" s="1"/>
  <c r="K413" i="10"/>
  <c r="J413" i="10"/>
  <c r="I413" i="10"/>
  <c r="H413" i="10"/>
  <c r="G413" i="10"/>
  <c r="F413" i="10"/>
  <c r="E413" i="10"/>
  <c r="D413" i="10"/>
  <c r="C413" i="10"/>
  <c r="B410" i="10"/>
  <c r="B409" i="10"/>
  <c r="B408" i="10"/>
  <c r="B407" i="10"/>
  <c r="B406" i="10"/>
  <c r="B405" i="10"/>
  <c r="B404" i="10"/>
  <c r="B403" i="10"/>
  <c r="B402" i="10"/>
  <c r="B401" i="10"/>
  <c r="B400" i="10"/>
  <c r="B399" i="10"/>
  <c r="B398" i="10"/>
  <c r="B397" i="10"/>
  <c r="B396" i="10"/>
  <c r="B395" i="10"/>
  <c r="B394" i="10"/>
  <c r="B393" i="10"/>
  <c r="B392" i="10"/>
  <c r="B391" i="10"/>
  <c r="B390" i="10"/>
  <c r="B389" i="10"/>
  <c r="B388" i="10"/>
  <c r="B387" i="10"/>
  <c r="B386" i="10"/>
  <c r="B385" i="10"/>
  <c r="B384" i="10"/>
  <c r="B383" i="10"/>
  <c r="B382" i="10"/>
  <c r="B381" i="10"/>
  <c r="B378" i="10" s="1"/>
  <c r="B380" i="10"/>
  <c r="K378" i="10"/>
  <c r="J378" i="10"/>
  <c r="I378" i="10"/>
  <c r="H378" i="10"/>
  <c r="G378" i="10"/>
  <c r="F378" i="10"/>
  <c r="E378" i="10"/>
  <c r="D378" i="10"/>
  <c r="C378" i="10"/>
  <c r="B375" i="10"/>
  <c r="B374" i="10"/>
  <c r="B373" i="10"/>
  <c r="B372" i="10"/>
  <c r="B371" i="10"/>
  <c r="B370" i="10"/>
  <c r="B369" i="10"/>
  <c r="B368" i="10"/>
  <c r="B367" i="10"/>
  <c r="B366" i="10"/>
  <c r="B365" i="10"/>
  <c r="B364" i="10"/>
  <c r="B363" i="10"/>
  <c r="B362" i="10"/>
  <c r="B361" i="10"/>
  <c r="B360" i="10"/>
  <c r="B359" i="10"/>
  <c r="B358" i="10"/>
  <c r="B357" i="10"/>
  <c r="B356" i="10"/>
  <c r="B355" i="10"/>
  <c r="B354" i="10"/>
  <c r="B353" i="10"/>
  <c r="B352" i="10"/>
  <c r="B351" i="10"/>
  <c r="B350" i="10"/>
  <c r="B349" i="10"/>
  <c r="B348" i="10"/>
  <c r="B347" i="10"/>
  <c r="B346" i="10"/>
  <c r="B345" i="10"/>
  <c r="K343" i="10"/>
  <c r="J343" i="10"/>
  <c r="I343" i="10"/>
  <c r="H343" i="10"/>
  <c r="G343" i="10"/>
  <c r="F343" i="10"/>
  <c r="E343" i="10"/>
  <c r="D343" i="10"/>
  <c r="C343" i="10"/>
  <c r="B343" i="10"/>
  <c r="B340" i="10"/>
  <c r="B339" i="10"/>
  <c r="B338" i="10"/>
  <c r="B337" i="10"/>
  <c r="B336" i="10"/>
  <c r="B335" i="10"/>
  <c r="B334" i="10"/>
  <c r="B333" i="10"/>
  <c r="B332" i="10"/>
  <c r="B331" i="10"/>
  <c r="B330" i="10"/>
  <c r="B329" i="10"/>
  <c r="B328" i="10"/>
  <c r="B327" i="10"/>
  <c r="B326" i="10"/>
  <c r="B325" i="10"/>
  <c r="B324" i="10"/>
  <c r="B323" i="10"/>
  <c r="B322" i="10"/>
  <c r="B321" i="10"/>
  <c r="B320" i="10"/>
  <c r="B319" i="10"/>
  <c r="B318" i="10"/>
  <c r="B317" i="10"/>
  <c r="B316" i="10"/>
  <c r="B315" i="10"/>
  <c r="B314" i="10"/>
  <c r="B313" i="10"/>
  <c r="B308" i="10" s="1"/>
  <c r="B312" i="10"/>
  <c r="B311" i="10"/>
  <c r="B310" i="10"/>
  <c r="K308" i="10"/>
  <c r="J308" i="10"/>
  <c r="I308" i="10"/>
  <c r="H308" i="10"/>
  <c r="G308" i="10"/>
  <c r="F308" i="10"/>
  <c r="E308" i="10"/>
  <c r="D308" i="10"/>
  <c r="C308" i="10"/>
  <c r="B305" i="10"/>
  <c r="B304" i="10"/>
  <c r="B303" i="10"/>
  <c r="B302" i="10"/>
  <c r="B301" i="10"/>
  <c r="B300" i="10"/>
  <c r="B299" i="10"/>
  <c r="B298" i="10"/>
  <c r="B297" i="10"/>
  <c r="B296" i="10"/>
  <c r="B295" i="10"/>
  <c r="B294" i="10"/>
  <c r="B293" i="10"/>
  <c r="B292" i="10"/>
  <c r="B291" i="10"/>
  <c r="B290" i="10"/>
  <c r="B289" i="10"/>
  <c r="B288" i="10"/>
  <c r="B287" i="10"/>
  <c r="B286" i="10"/>
  <c r="B285" i="10"/>
  <c r="B284" i="10"/>
  <c r="B283" i="10"/>
  <c r="B282" i="10"/>
  <c r="B281" i="10"/>
  <c r="B280" i="10"/>
  <c r="B279" i="10"/>
  <c r="B278" i="10"/>
  <c r="B277" i="10"/>
  <c r="B276" i="10"/>
  <c r="B275" i="10"/>
  <c r="B273" i="10" s="1"/>
  <c r="K273" i="10"/>
  <c r="J273" i="10"/>
  <c r="I273" i="10"/>
  <c r="H273" i="10"/>
  <c r="G273" i="10"/>
  <c r="F273" i="10"/>
  <c r="E273" i="10"/>
  <c r="D273" i="10"/>
  <c r="C273" i="10"/>
  <c r="B270" i="10"/>
  <c r="B269" i="10"/>
  <c r="B268" i="10"/>
  <c r="B267" i="10"/>
  <c r="B266" i="10"/>
  <c r="B265" i="10"/>
  <c r="B264" i="10"/>
  <c r="B263" i="10"/>
  <c r="B262" i="10"/>
  <c r="B261" i="10"/>
  <c r="B260" i="10"/>
  <c r="B259" i="10"/>
  <c r="B258" i="10"/>
  <c r="B257" i="10"/>
  <c r="B256" i="10"/>
  <c r="B255" i="10"/>
  <c r="B254" i="10"/>
  <c r="B253" i="10"/>
  <c r="B252" i="10"/>
  <c r="B251" i="10"/>
  <c r="B250" i="10"/>
  <c r="B249" i="10"/>
  <c r="B248" i="10"/>
  <c r="B247" i="10"/>
  <c r="B246" i="10"/>
  <c r="B245" i="10"/>
  <c r="B244" i="10"/>
  <c r="B243" i="10"/>
  <c r="B242" i="10"/>
  <c r="B241" i="10"/>
  <c r="B238" i="10" s="1"/>
  <c r="B240" i="10"/>
  <c r="K238" i="10"/>
  <c r="J238" i="10"/>
  <c r="I238" i="10"/>
  <c r="H238" i="10"/>
  <c r="G238" i="10"/>
  <c r="F238" i="10"/>
  <c r="E238" i="10"/>
  <c r="D238" i="10"/>
  <c r="C238" i="10"/>
  <c r="B235" i="10"/>
  <c r="B234" i="10"/>
  <c r="B233" i="10"/>
  <c r="B232" i="10"/>
  <c r="B231" i="10"/>
  <c r="B230" i="10"/>
  <c r="B229" i="10"/>
  <c r="B228" i="10"/>
  <c r="B227" i="10"/>
  <c r="B226" i="10"/>
  <c r="B225" i="10"/>
  <c r="B224" i="10"/>
  <c r="B223" i="10"/>
  <c r="B222" i="10"/>
  <c r="B221" i="10"/>
  <c r="B220" i="10"/>
  <c r="B219" i="10"/>
  <c r="B218" i="10"/>
  <c r="B217" i="10"/>
  <c r="B216" i="10"/>
  <c r="B215" i="10"/>
  <c r="B214" i="10"/>
  <c r="B213" i="10"/>
  <c r="B212" i="10"/>
  <c r="B211" i="10"/>
  <c r="B210" i="10"/>
  <c r="B209" i="10"/>
  <c r="B208" i="10"/>
  <c r="B207" i="10"/>
  <c r="B206" i="10"/>
  <c r="B205" i="10"/>
  <c r="K203" i="10"/>
  <c r="J203" i="10"/>
  <c r="I203" i="10"/>
  <c r="H203" i="10"/>
  <c r="G203" i="10"/>
  <c r="F203" i="10"/>
  <c r="E203" i="10"/>
  <c r="D203" i="10"/>
  <c r="C203" i="10"/>
  <c r="B203" i="10"/>
  <c r="B200" i="10"/>
  <c r="B199" i="10"/>
  <c r="B198" i="10"/>
  <c r="B197" i="10"/>
  <c r="B196" i="10"/>
  <c r="B195" i="10"/>
  <c r="B194" i="10"/>
  <c r="B193" i="10"/>
  <c r="B192" i="10"/>
  <c r="B191" i="10"/>
  <c r="B190" i="10"/>
  <c r="B189" i="10"/>
  <c r="B188" i="10"/>
  <c r="B187" i="10"/>
  <c r="B186" i="10"/>
  <c r="B185" i="10"/>
  <c r="B184" i="10"/>
  <c r="B183" i="10"/>
  <c r="B182" i="10"/>
  <c r="B181" i="10"/>
  <c r="B180" i="10"/>
  <c r="K179" i="10"/>
  <c r="C179" i="10"/>
  <c r="B179" i="10"/>
  <c r="B178" i="10"/>
  <c r="B177" i="10"/>
  <c r="B176" i="10"/>
  <c r="B175" i="10"/>
  <c r="B170" i="10" s="1"/>
  <c r="B174" i="10"/>
  <c r="B173" i="10"/>
  <c r="B172" i="10"/>
  <c r="K170" i="10"/>
  <c r="J170" i="10"/>
  <c r="I170" i="10"/>
  <c r="H170" i="10"/>
  <c r="G170" i="10"/>
  <c r="F170" i="10"/>
  <c r="E170" i="10"/>
  <c r="D170" i="10"/>
  <c r="C170" i="10"/>
  <c r="B167" i="10"/>
  <c r="B166" i="10"/>
  <c r="B165" i="10"/>
  <c r="B164" i="10"/>
  <c r="B163" i="10"/>
  <c r="B162" i="10"/>
  <c r="B161" i="10"/>
  <c r="B160" i="10"/>
  <c r="B159" i="10"/>
  <c r="B158" i="10"/>
  <c r="B157" i="10"/>
  <c r="B156" i="10"/>
  <c r="B155" i="10"/>
  <c r="B154" i="10"/>
  <c r="B153" i="10"/>
  <c r="B152" i="10"/>
  <c r="B151" i="10"/>
  <c r="B150" i="10"/>
  <c r="B149" i="10"/>
  <c r="B148" i="10"/>
  <c r="B147" i="10"/>
  <c r="B146" i="10"/>
  <c r="B145" i="10"/>
  <c r="B144" i="10"/>
  <c r="B143" i="10"/>
  <c r="B142" i="10"/>
  <c r="B141" i="10"/>
  <c r="B140" i="10"/>
  <c r="B139" i="10"/>
  <c r="K137" i="10"/>
  <c r="J137" i="10"/>
  <c r="I137" i="10"/>
  <c r="H137" i="10"/>
  <c r="G137" i="10"/>
  <c r="F137" i="10"/>
  <c r="E137" i="10"/>
  <c r="D137" i="10"/>
  <c r="C137" i="10"/>
  <c r="B137" i="10"/>
  <c r="B134" i="10"/>
  <c r="B133" i="10"/>
  <c r="B132" i="10"/>
  <c r="B131" i="10"/>
  <c r="B130" i="10"/>
  <c r="B129" i="10"/>
  <c r="B128" i="10"/>
  <c r="B127" i="10"/>
  <c r="B126" i="10"/>
  <c r="B125" i="10"/>
  <c r="B124" i="10"/>
  <c r="B123" i="10"/>
  <c r="B122" i="10"/>
  <c r="B121" i="10"/>
  <c r="B120" i="10"/>
  <c r="B119" i="10"/>
  <c r="B118" i="10"/>
  <c r="B117" i="10"/>
  <c r="B116" i="10"/>
  <c r="B115" i="10"/>
  <c r="B114" i="10"/>
  <c r="B113" i="10"/>
  <c r="B112" i="10"/>
  <c r="B111" i="10"/>
  <c r="B110" i="10"/>
  <c r="B109" i="10"/>
  <c r="B108" i="10"/>
  <c r="B107" i="10"/>
  <c r="B105" i="10" s="1"/>
  <c r="K105" i="10"/>
  <c r="J105" i="10"/>
  <c r="I105" i="10"/>
  <c r="H105" i="10"/>
  <c r="G105" i="10"/>
  <c r="F105" i="10"/>
  <c r="E105" i="10"/>
  <c r="D105" i="10"/>
  <c r="C105" i="10"/>
  <c r="B102" i="10"/>
  <c r="B101" i="10"/>
  <c r="B100" i="10"/>
  <c r="B99" i="10"/>
  <c r="B98" i="10"/>
  <c r="B97" i="10"/>
  <c r="B96" i="10"/>
  <c r="B95" i="10"/>
  <c r="B94" i="10"/>
  <c r="B93" i="10"/>
  <c r="B92" i="10"/>
  <c r="B91" i="10"/>
  <c r="B90" i="10"/>
  <c r="B89" i="10"/>
  <c r="B88" i="10"/>
  <c r="B87" i="10"/>
  <c r="B86" i="10"/>
  <c r="B85" i="10"/>
  <c r="B84" i="10"/>
  <c r="B83" i="10"/>
  <c r="B82" i="10"/>
  <c r="B81" i="10"/>
  <c r="B80" i="10"/>
  <c r="B79" i="10"/>
  <c r="B78" i="10"/>
  <c r="B77" i="10"/>
  <c r="B76" i="10"/>
  <c r="B75" i="10"/>
  <c r="K73" i="10"/>
  <c r="J73" i="10"/>
  <c r="I73" i="10"/>
  <c r="H73" i="10"/>
  <c r="G73" i="10"/>
  <c r="F73" i="10"/>
  <c r="E73" i="10"/>
  <c r="D73" i="10"/>
  <c r="C73" i="10"/>
  <c r="B73" i="10"/>
  <c r="B70" i="10"/>
  <c r="B69" i="10"/>
  <c r="B68" i="10"/>
  <c r="B67" i="10"/>
  <c r="B66" i="10"/>
  <c r="B65" i="10"/>
  <c r="B64" i="10"/>
  <c r="B63" i="10"/>
  <c r="B62" i="10"/>
  <c r="B61" i="10"/>
  <c r="B60" i="10"/>
  <c r="B59" i="10"/>
  <c r="B58" i="10"/>
  <c r="B57" i="10"/>
  <c r="B56" i="10"/>
  <c r="B55" i="10"/>
  <c r="B54" i="10"/>
  <c r="B53" i="10"/>
  <c r="B52" i="10"/>
  <c r="B51" i="10"/>
  <c r="B50" i="10"/>
  <c r="B49" i="10"/>
  <c r="B48" i="10"/>
  <c r="B47" i="10"/>
  <c r="B46" i="10"/>
  <c r="B45" i="10"/>
  <c r="B44" i="10"/>
  <c r="B43" i="10"/>
  <c r="B41" i="10" s="1"/>
  <c r="K41" i="10"/>
  <c r="J41" i="10"/>
  <c r="I41" i="10"/>
  <c r="H41" i="10"/>
  <c r="G41" i="10"/>
  <c r="F41" i="10"/>
  <c r="E41" i="10"/>
  <c r="D41" i="10"/>
  <c r="C41" i="10"/>
  <c r="B38" i="10"/>
  <c r="B37" i="10"/>
  <c r="B36" i="10"/>
  <c r="B35" i="10"/>
  <c r="B34" i="10"/>
  <c r="B33" i="10"/>
  <c r="B32" i="10"/>
  <c r="B31" i="10"/>
  <c r="B30" i="10"/>
  <c r="B29" i="10"/>
  <c r="B28" i="10"/>
  <c r="B27" i="10"/>
  <c r="B26" i="10"/>
  <c r="B25" i="10"/>
  <c r="B24" i="10"/>
  <c r="B23" i="10"/>
  <c r="B22" i="10"/>
  <c r="B21" i="10"/>
  <c r="B20" i="10"/>
  <c r="B19" i="10"/>
  <c r="B18" i="10"/>
  <c r="B17" i="10"/>
  <c r="B16" i="10"/>
  <c r="B15" i="10"/>
  <c r="B14" i="10"/>
  <c r="B13" i="10"/>
  <c r="B10" i="10" s="1"/>
  <c r="B12" i="10"/>
  <c r="K10" i="10"/>
  <c r="J10" i="10"/>
  <c r="I10" i="10"/>
  <c r="H10" i="10"/>
  <c r="G10" i="10"/>
  <c r="F10" i="10"/>
  <c r="E10" i="10"/>
  <c r="D10" i="10"/>
  <c r="C10" i="10"/>
  <c r="B693" i="9"/>
  <c r="B692" i="9"/>
  <c r="B691" i="9"/>
  <c r="B690" i="9"/>
  <c r="B689" i="9"/>
  <c r="B688" i="9"/>
  <c r="B687" i="9"/>
  <c r="B686" i="9"/>
  <c r="B685" i="9"/>
  <c r="B684" i="9"/>
  <c r="B683" i="9"/>
  <c r="B682" i="9"/>
  <c r="B681" i="9"/>
  <c r="B680" i="9"/>
  <c r="B679" i="9"/>
  <c r="B678" i="9"/>
  <c r="B677" i="9"/>
  <c r="B676" i="9"/>
  <c r="B675" i="9"/>
  <c r="B674" i="9"/>
  <c r="B673" i="9"/>
  <c r="B672" i="9"/>
  <c r="B671" i="9"/>
  <c r="B670" i="9"/>
  <c r="B669" i="9"/>
  <c r="B668" i="9"/>
  <c r="B667" i="9"/>
  <c r="B666" i="9"/>
  <c r="B665" i="9"/>
  <c r="B664" i="9"/>
  <c r="B663" i="9"/>
  <c r="B662" i="9"/>
  <c r="E660" i="9"/>
  <c r="D660" i="9"/>
  <c r="C660" i="9"/>
  <c r="B657" i="9"/>
  <c r="B656" i="9"/>
  <c r="B655" i="9"/>
  <c r="B654" i="9"/>
  <c r="B653" i="9"/>
  <c r="B652" i="9"/>
  <c r="B651" i="9"/>
  <c r="B650" i="9"/>
  <c r="B649" i="9"/>
  <c r="B648" i="9"/>
  <c r="B647" i="9"/>
  <c r="B646" i="9"/>
  <c r="B645" i="9"/>
  <c r="B644" i="9"/>
  <c r="B643" i="9"/>
  <c r="B642" i="9"/>
  <c r="B641" i="9"/>
  <c r="B640" i="9"/>
  <c r="B639" i="9"/>
  <c r="B638" i="9"/>
  <c r="B637" i="9"/>
  <c r="B636" i="9"/>
  <c r="B635" i="9"/>
  <c r="B634" i="9"/>
  <c r="B633" i="9"/>
  <c r="B632" i="9"/>
  <c r="B631" i="9"/>
  <c r="B630" i="9"/>
  <c r="B629" i="9"/>
  <c r="B624" i="9" s="1"/>
  <c r="B628" i="9"/>
  <c r="B627" i="9"/>
  <c r="B626" i="9"/>
  <c r="E624" i="9"/>
  <c r="D624" i="9"/>
  <c r="C624" i="9"/>
  <c r="B621" i="9"/>
  <c r="B620" i="9"/>
  <c r="B619" i="9"/>
  <c r="B618" i="9"/>
  <c r="B617" i="9"/>
  <c r="B616" i="9"/>
  <c r="B615" i="9"/>
  <c r="B614" i="9"/>
  <c r="B613" i="9"/>
  <c r="B612" i="9"/>
  <c r="B611" i="9"/>
  <c r="B610" i="9"/>
  <c r="B609" i="9"/>
  <c r="B608" i="9"/>
  <c r="B607" i="9"/>
  <c r="B606" i="9"/>
  <c r="B605" i="9"/>
  <c r="B604" i="9"/>
  <c r="B603" i="9"/>
  <c r="B602" i="9"/>
  <c r="B601" i="9"/>
  <c r="B600" i="9"/>
  <c r="B599" i="9"/>
  <c r="B598" i="9"/>
  <c r="B597" i="9"/>
  <c r="B596" i="9"/>
  <c r="B595" i="9"/>
  <c r="B594" i="9"/>
  <c r="B593" i="9"/>
  <c r="B592" i="9"/>
  <c r="B591" i="9"/>
  <c r="B590" i="9"/>
  <c r="E588" i="9"/>
  <c r="D588" i="9"/>
  <c r="C588" i="9"/>
  <c r="B585" i="9"/>
  <c r="B584" i="9"/>
  <c r="B583" i="9"/>
  <c r="B582" i="9"/>
  <c r="B581" i="9"/>
  <c r="B580" i="9"/>
  <c r="B579" i="9"/>
  <c r="B578" i="9"/>
  <c r="B577" i="9"/>
  <c r="B576" i="9"/>
  <c r="B575" i="9"/>
  <c r="B574" i="9"/>
  <c r="B573" i="9"/>
  <c r="B572" i="9"/>
  <c r="B571" i="9"/>
  <c r="B570" i="9"/>
  <c r="B569" i="9"/>
  <c r="B568" i="9"/>
  <c r="B567" i="9"/>
  <c r="B566" i="9"/>
  <c r="B565" i="9"/>
  <c r="B564" i="9"/>
  <c r="B563" i="9"/>
  <c r="B562" i="9"/>
  <c r="B561" i="9"/>
  <c r="B560" i="9"/>
  <c r="B559" i="9"/>
  <c r="B558" i="9"/>
  <c r="B557" i="9"/>
  <c r="B556" i="9"/>
  <c r="B555" i="9"/>
  <c r="B554" i="9"/>
  <c r="E552" i="9"/>
  <c r="D552" i="9"/>
  <c r="C552" i="9"/>
  <c r="B549" i="9"/>
  <c r="B548" i="9"/>
  <c r="B547" i="9"/>
  <c r="B546" i="9"/>
  <c r="B545" i="9"/>
  <c r="B544" i="9"/>
  <c r="B543" i="9"/>
  <c r="B542" i="9"/>
  <c r="B541" i="9"/>
  <c r="B540" i="9"/>
  <c r="B539" i="9"/>
  <c r="B538" i="9"/>
  <c r="B537" i="9"/>
  <c r="B536" i="9"/>
  <c r="B535" i="9"/>
  <c r="B534" i="9"/>
  <c r="B533" i="9"/>
  <c r="B532" i="9"/>
  <c r="B531" i="9"/>
  <c r="B530" i="9"/>
  <c r="B529" i="9"/>
  <c r="B528" i="9"/>
  <c r="B527" i="9"/>
  <c r="B526" i="9"/>
  <c r="B525" i="9"/>
  <c r="B524" i="9"/>
  <c r="B523" i="9"/>
  <c r="B522" i="9"/>
  <c r="B521" i="9"/>
  <c r="B520" i="9"/>
  <c r="B519" i="9"/>
  <c r="B518" i="9"/>
  <c r="E516" i="9"/>
  <c r="D516" i="9"/>
  <c r="C516" i="9"/>
  <c r="B513" i="9"/>
  <c r="B512" i="9"/>
  <c r="B511" i="9"/>
  <c r="B510" i="9"/>
  <c r="B509" i="9"/>
  <c r="B508" i="9"/>
  <c r="B507" i="9"/>
  <c r="B506" i="9"/>
  <c r="B505" i="9"/>
  <c r="B504" i="9"/>
  <c r="B503" i="9"/>
  <c r="B502" i="9"/>
  <c r="B501" i="9"/>
  <c r="B500" i="9"/>
  <c r="B499" i="9"/>
  <c r="B498" i="9"/>
  <c r="B497" i="9"/>
  <c r="B496" i="9"/>
  <c r="B495" i="9"/>
  <c r="B494" i="9"/>
  <c r="B493" i="9"/>
  <c r="B492" i="9"/>
  <c r="B491" i="9"/>
  <c r="B490" i="9"/>
  <c r="B489" i="9"/>
  <c r="B488" i="9"/>
  <c r="B487" i="9"/>
  <c r="B486" i="9"/>
  <c r="B485" i="9"/>
  <c r="B484" i="9"/>
  <c r="B483" i="9"/>
  <c r="B482" i="9"/>
  <c r="E480" i="9"/>
  <c r="D480" i="9"/>
  <c r="C480" i="9"/>
  <c r="B477" i="9"/>
  <c r="B476" i="9"/>
  <c r="B475" i="9"/>
  <c r="B474" i="9"/>
  <c r="B473" i="9"/>
  <c r="B472" i="9"/>
  <c r="B471" i="9"/>
  <c r="B470" i="9"/>
  <c r="B469" i="9"/>
  <c r="B468" i="9"/>
  <c r="B467" i="9"/>
  <c r="B466" i="9"/>
  <c r="B465" i="9"/>
  <c r="B464" i="9"/>
  <c r="B463" i="9"/>
  <c r="B462" i="9"/>
  <c r="B461" i="9"/>
  <c r="B460" i="9"/>
  <c r="B459" i="9"/>
  <c r="B458" i="9"/>
  <c r="B457" i="9"/>
  <c r="B456" i="9"/>
  <c r="B455" i="9"/>
  <c r="B454" i="9"/>
  <c r="B453" i="9"/>
  <c r="B452" i="9"/>
  <c r="B451" i="9"/>
  <c r="B450" i="9"/>
  <c r="B449" i="9"/>
  <c r="B448" i="9"/>
  <c r="B447" i="9"/>
  <c r="E445" i="9"/>
  <c r="D445" i="9"/>
  <c r="C445" i="9"/>
  <c r="B442" i="9"/>
  <c r="B441" i="9"/>
  <c r="B440" i="9"/>
  <c r="B439" i="9"/>
  <c r="B438" i="9"/>
  <c r="B437" i="9"/>
  <c r="B436" i="9"/>
  <c r="B435" i="9"/>
  <c r="B434" i="9"/>
  <c r="B433" i="9"/>
  <c r="B432" i="9"/>
  <c r="B431" i="9"/>
  <c r="B430" i="9"/>
  <c r="B429" i="9"/>
  <c r="B428" i="9"/>
  <c r="B427" i="9"/>
  <c r="B426" i="9"/>
  <c r="B425" i="9"/>
  <c r="B424" i="9"/>
  <c r="B423" i="9"/>
  <c r="B422" i="9"/>
  <c r="B421" i="9"/>
  <c r="B420" i="9"/>
  <c r="B419" i="9"/>
  <c r="B418" i="9"/>
  <c r="B417" i="9"/>
  <c r="B416" i="9"/>
  <c r="B415" i="9"/>
  <c r="B414" i="9"/>
  <c r="B413" i="9"/>
  <c r="B412" i="9"/>
  <c r="E410" i="9"/>
  <c r="D410" i="9"/>
  <c r="C410" i="9"/>
  <c r="B407" i="9"/>
  <c r="B406" i="9"/>
  <c r="B405" i="9"/>
  <c r="B404" i="9"/>
  <c r="B403" i="9"/>
  <c r="B402" i="9"/>
  <c r="B401" i="9"/>
  <c r="B400" i="9"/>
  <c r="B399" i="9"/>
  <c r="B398" i="9"/>
  <c r="B397" i="9"/>
  <c r="B396" i="9"/>
  <c r="B395" i="9"/>
  <c r="B394" i="9"/>
  <c r="B393" i="9"/>
  <c r="B392" i="9"/>
  <c r="B391" i="9"/>
  <c r="B390" i="9"/>
  <c r="B389" i="9"/>
  <c r="B388" i="9"/>
  <c r="B387" i="9"/>
  <c r="B386" i="9"/>
  <c r="B385" i="9"/>
  <c r="B384" i="9"/>
  <c r="B383" i="9"/>
  <c r="B382" i="9"/>
  <c r="B381" i="9"/>
  <c r="B380" i="9"/>
  <c r="B379" i="9"/>
  <c r="B378" i="9"/>
  <c r="B375" i="9" s="1"/>
  <c r="B377" i="9"/>
  <c r="E375" i="9"/>
  <c r="D375" i="9"/>
  <c r="C375" i="9"/>
  <c r="B372" i="9"/>
  <c r="B371" i="9"/>
  <c r="B370" i="9"/>
  <c r="B369" i="9"/>
  <c r="B368" i="9"/>
  <c r="B367" i="9"/>
  <c r="B366" i="9"/>
  <c r="B365" i="9"/>
  <c r="B364" i="9"/>
  <c r="B363" i="9"/>
  <c r="B362" i="9"/>
  <c r="B361" i="9"/>
  <c r="B360" i="9"/>
  <c r="B359" i="9"/>
  <c r="B358" i="9"/>
  <c r="B357" i="9"/>
  <c r="B356" i="9"/>
  <c r="B355" i="9"/>
  <c r="B354" i="9"/>
  <c r="B353" i="9"/>
  <c r="B352" i="9"/>
  <c r="B351" i="9"/>
  <c r="B350" i="9"/>
  <c r="B349" i="9"/>
  <c r="B348" i="9"/>
  <c r="B347" i="9"/>
  <c r="B346" i="9"/>
  <c r="B345" i="9"/>
  <c r="B344" i="9"/>
  <c r="B343" i="9"/>
  <c r="B342" i="9"/>
  <c r="E340" i="9"/>
  <c r="D340" i="9"/>
  <c r="C340" i="9"/>
  <c r="B337" i="9"/>
  <c r="B336" i="9"/>
  <c r="B335" i="9"/>
  <c r="B334" i="9"/>
  <c r="B333" i="9"/>
  <c r="B332" i="9"/>
  <c r="B331" i="9"/>
  <c r="B330" i="9"/>
  <c r="B329" i="9"/>
  <c r="B328" i="9"/>
  <c r="B327" i="9"/>
  <c r="B326" i="9"/>
  <c r="B325" i="9"/>
  <c r="B324" i="9"/>
  <c r="B323" i="9"/>
  <c r="B322" i="9"/>
  <c r="B321" i="9"/>
  <c r="B320" i="9"/>
  <c r="B319" i="9"/>
  <c r="B318" i="9"/>
  <c r="B317" i="9"/>
  <c r="B316" i="9"/>
  <c r="B315" i="9"/>
  <c r="B314" i="9"/>
  <c r="B313" i="9"/>
  <c r="B312" i="9"/>
  <c r="B311" i="9"/>
  <c r="B310" i="9"/>
  <c r="B309" i="9"/>
  <c r="B305" i="9" s="1"/>
  <c r="B308" i="9"/>
  <c r="B307" i="9"/>
  <c r="E305" i="9"/>
  <c r="D305" i="9"/>
  <c r="C305" i="9"/>
  <c r="B302" i="9"/>
  <c r="B301" i="9"/>
  <c r="B300" i="9"/>
  <c r="B299" i="9"/>
  <c r="B298" i="9"/>
  <c r="B297" i="9"/>
  <c r="B296" i="9"/>
  <c r="B295" i="9"/>
  <c r="B294" i="9"/>
  <c r="B293" i="9"/>
  <c r="B292" i="9"/>
  <c r="B291" i="9"/>
  <c r="B290" i="9"/>
  <c r="B289" i="9"/>
  <c r="B288" i="9"/>
  <c r="B287" i="9"/>
  <c r="B286" i="9"/>
  <c r="B285" i="9"/>
  <c r="B284" i="9"/>
  <c r="B283" i="9"/>
  <c r="B282" i="9"/>
  <c r="B281" i="9"/>
  <c r="B280" i="9"/>
  <c r="B279" i="9"/>
  <c r="B278" i="9"/>
  <c r="B277" i="9"/>
  <c r="B276" i="9"/>
  <c r="B275" i="9"/>
  <c r="B274" i="9"/>
  <c r="B273" i="9"/>
  <c r="B272" i="9"/>
  <c r="E270" i="9"/>
  <c r="D270" i="9"/>
  <c r="C270" i="9"/>
  <c r="B267" i="9"/>
  <c r="B266" i="9"/>
  <c r="B265" i="9"/>
  <c r="B264" i="9"/>
  <c r="B263" i="9"/>
  <c r="B262" i="9"/>
  <c r="B261" i="9"/>
  <c r="B260" i="9"/>
  <c r="B259" i="9"/>
  <c r="B258" i="9"/>
  <c r="B257" i="9"/>
  <c r="B256" i="9"/>
  <c r="B255" i="9"/>
  <c r="B254" i="9"/>
  <c r="B253" i="9"/>
  <c r="B252" i="9"/>
  <c r="B251" i="9"/>
  <c r="B250" i="9"/>
  <c r="B249" i="9"/>
  <c r="B248" i="9"/>
  <c r="B247" i="9"/>
  <c r="B246" i="9"/>
  <c r="B245" i="9"/>
  <c r="B244" i="9"/>
  <c r="B243" i="9"/>
  <c r="B242" i="9"/>
  <c r="B241" i="9"/>
  <c r="B240" i="9"/>
  <c r="B239" i="9"/>
  <c r="B235" i="9" s="1"/>
  <c r="B238" i="9"/>
  <c r="B237" i="9"/>
  <c r="E235" i="9"/>
  <c r="D235" i="9"/>
  <c r="C235" i="9"/>
  <c r="B232" i="9"/>
  <c r="B231" i="9"/>
  <c r="B230" i="9"/>
  <c r="B229" i="9"/>
  <c r="B228" i="9"/>
  <c r="B227" i="9"/>
  <c r="B226" i="9"/>
  <c r="B225" i="9"/>
  <c r="B224" i="9"/>
  <c r="B223" i="9"/>
  <c r="B222" i="9"/>
  <c r="B221" i="9"/>
  <c r="B220" i="9"/>
  <c r="B219" i="9"/>
  <c r="B218" i="9"/>
  <c r="B217" i="9"/>
  <c r="B216" i="9"/>
  <c r="B215" i="9"/>
  <c r="B214" i="9"/>
  <c r="B213" i="9"/>
  <c r="B212" i="9"/>
  <c r="B211" i="9"/>
  <c r="B210" i="9"/>
  <c r="B209" i="9"/>
  <c r="B208" i="9"/>
  <c r="B207" i="9"/>
  <c r="B206" i="9"/>
  <c r="B205" i="9"/>
  <c r="B204" i="9"/>
  <c r="B203" i="9"/>
  <c r="B200" i="9" s="1"/>
  <c r="B202" i="9"/>
  <c r="E200" i="9"/>
  <c r="D200" i="9"/>
  <c r="C200" i="9"/>
  <c r="B197" i="9"/>
  <c r="B196" i="9"/>
  <c r="B195" i="9"/>
  <c r="B194" i="9"/>
  <c r="B193" i="9"/>
  <c r="B192" i="9"/>
  <c r="B191" i="9"/>
  <c r="B190" i="9"/>
  <c r="B189" i="9"/>
  <c r="B188" i="9"/>
  <c r="B187" i="9"/>
  <c r="B186" i="9"/>
  <c r="B185" i="9"/>
  <c r="B184" i="9"/>
  <c r="B183" i="9"/>
  <c r="B182" i="9"/>
  <c r="B181" i="9"/>
  <c r="B180" i="9"/>
  <c r="B179" i="9"/>
  <c r="B178" i="9"/>
  <c r="B177" i="9"/>
  <c r="B176" i="9"/>
  <c r="B175" i="9"/>
  <c r="B174" i="9"/>
  <c r="B173" i="9"/>
  <c r="B172" i="9"/>
  <c r="B171" i="9"/>
  <c r="B170" i="9"/>
  <c r="B169" i="9"/>
  <c r="E167" i="9"/>
  <c r="D167" i="9"/>
  <c r="C167" i="9"/>
  <c r="B164" i="9"/>
  <c r="B163" i="9"/>
  <c r="B162" i="9"/>
  <c r="B161" i="9"/>
  <c r="B160" i="9"/>
  <c r="B159" i="9"/>
  <c r="B158" i="9"/>
  <c r="B157" i="9"/>
  <c r="B156" i="9"/>
  <c r="B155" i="9"/>
  <c r="B154" i="9"/>
  <c r="B153" i="9"/>
  <c r="B152" i="9"/>
  <c r="B151" i="9"/>
  <c r="B150" i="9"/>
  <c r="B149" i="9"/>
  <c r="B148" i="9"/>
  <c r="B147" i="9"/>
  <c r="B146" i="9"/>
  <c r="B145" i="9"/>
  <c r="B144" i="9"/>
  <c r="B143" i="9"/>
  <c r="B142" i="9"/>
  <c r="B141" i="9"/>
  <c r="B140" i="9"/>
  <c r="B139" i="9"/>
  <c r="B138" i="9"/>
  <c r="B137" i="9"/>
  <c r="B134" i="9" s="1"/>
  <c r="B136" i="9"/>
  <c r="E134" i="9"/>
  <c r="D134" i="9"/>
  <c r="C134" i="9"/>
  <c r="B131" i="9"/>
  <c r="B130" i="9"/>
  <c r="B129" i="9"/>
  <c r="B128" i="9"/>
  <c r="B127" i="9"/>
  <c r="B126" i="9"/>
  <c r="B125" i="9"/>
  <c r="B124" i="9"/>
  <c r="B123" i="9"/>
  <c r="B122" i="9"/>
  <c r="B121" i="9"/>
  <c r="B120" i="9"/>
  <c r="B119" i="9"/>
  <c r="B118" i="9"/>
  <c r="B117" i="9"/>
  <c r="B116" i="9"/>
  <c r="B115" i="9"/>
  <c r="B114" i="9"/>
  <c r="B113" i="9"/>
  <c r="B112" i="9"/>
  <c r="B111" i="9"/>
  <c r="B110" i="9"/>
  <c r="B109" i="9"/>
  <c r="B108" i="9"/>
  <c r="B107" i="9"/>
  <c r="B106" i="9"/>
  <c r="B105" i="9"/>
  <c r="B104" i="9"/>
  <c r="E102" i="9"/>
  <c r="D102" i="9"/>
  <c r="C102" i="9"/>
  <c r="B99" i="9"/>
  <c r="B98" i="9"/>
  <c r="B97" i="9"/>
  <c r="B96" i="9"/>
  <c r="B95" i="9"/>
  <c r="B94" i="9"/>
  <c r="B93" i="9"/>
  <c r="B92" i="9"/>
  <c r="B91" i="9"/>
  <c r="B90" i="9"/>
  <c r="B89" i="9"/>
  <c r="B88" i="9"/>
  <c r="B87" i="9"/>
  <c r="B86" i="9"/>
  <c r="B85" i="9"/>
  <c r="B84" i="9"/>
  <c r="B83" i="9"/>
  <c r="B82" i="9"/>
  <c r="B81" i="9"/>
  <c r="B80" i="9"/>
  <c r="B79" i="9"/>
  <c r="B78" i="9"/>
  <c r="B77" i="9"/>
  <c r="B76" i="9"/>
  <c r="B75" i="9"/>
  <c r="B71" i="9" s="1"/>
  <c r="B74" i="9"/>
  <c r="B73" i="9"/>
  <c r="E71" i="9"/>
  <c r="D71" i="9"/>
  <c r="C71" i="9"/>
  <c r="B68" i="9"/>
  <c r="B67" i="9"/>
  <c r="B66" i="9"/>
  <c r="B65" i="9"/>
  <c r="B64" i="9"/>
  <c r="B63" i="9"/>
  <c r="B62" i="9"/>
  <c r="B61" i="9"/>
  <c r="B60" i="9"/>
  <c r="B59" i="9"/>
  <c r="B58" i="9"/>
  <c r="B57" i="9"/>
  <c r="B56" i="9"/>
  <c r="B55" i="9"/>
  <c r="B54" i="9"/>
  <c r="B53" i="9"/>
  <c r="B52" i="9"/>
  <c r="B51" i="9"/>
  <c r="B50" i="9"/>
  <c r="B49" i="9"/>
  <c r="B48" i="9"/>
  <c r="B47" i="9"/>
  <c r="B46" i="9"/>
  <c r="B45" i="9"/>
  <c r="B44" i="9"/>
  <c r="B43" i="9"/>
  <c r="B40" i="9" s="1"/>
  <c r="B42" i="9"/>
  <c r="E40" i="9"/>
  <c r="D40" i="9"/>
  <c r="C40" i="9"/>
  <c r="B37" i="9"/>
  <c r="B36" i="9"/>
  <c r="B35" i="9"/>
  <c r="B34" i="9"/>
  <c r="B33" i="9"/>
  <c r="B32" i="9"/>
  <c r="B31" i="9"/>
  <c r="B30" i="9"/>
  <c r="B29" i="9"/>
  <c r="B28" i="9"/>
  <c r="B27" i="9"/>
  <c r="B26" i="9"/>
  <c r="B25" i="9"/>
  <c r="B24" i="9"/>
  <c r="B23" i="9"/>
  <c r="B22" i="9"/>
  <c r="B21" i="9"/>
  <c r="B20" i="9"/>
  <c r="B19" i="9"/>
  <c r="B18" i="9"/>
  <c r="B17" i="9"/>
  <c r="B16" i="9"/>
  <c r="B15" i="9"/>
  <c r="B14" i="9"/>
  <c r="B13" i="9"/>
  <c r="B12" i="9"/>
  <c r="B11" i="9"/>
  <c r="E9" i="9"/>
  <c r="D9" i="9"/>
  <c r="C9" i="9"/>
  <c r="L714" i="8"/>
  <c r="B714" i="8"/>
  <c r="L713" i="8"/>
  <c r="B713" i="8"/>
  <c r="L712" i="8"/>
  <c r="B712" i="8"/>
  <c r="L711" i="8"/>
  <c r="B711" i="8"/>
  <c r="L710" i="8"/>
  <c r="B710" i="8"/>
  <c r="L709" i="8"/>
  <c r="B709" i="8"/>
  <c r="L708" i="8"/>
  <c r="B708" i="8"/>
  <c r="L707" i="8"/>
  <c r="B707" i="8"/>
  <c r="L706" i="8"/>
  <c r="B706" i="8"/>
  <c r="L705" i="8"/>
  <c r="B705" i="8"/>
  <c r="L704" i="8"/>
  <c r="B704" i="8"/>
  <c r="L703" i="8"/>
  <c r="B703" i="8"/>
  <c r="L702" i="8"/>
  <c r="B702" i="8"/>
  <c r="L701" i="8"/>
  <c r="B701" i="8"/>
  <c r="L700" i="8"/>
  <c r="B700" i="8"/>
  <c r="L699" i="8"/>
  <c r="B699" i="8"/>
  <c r="L698" i="8"/>
  <c r="B698" i="8"/>
  <c r="L697" i="8"/>
  <c r="B697" i="8"/>
  <c r="L696" i="8"/>
  <c r="B696" i="8"/>
  <c r="L695" i="8"/>
  <c r="B695" i="8"/>
  <c r="L694" i="8"/>
  <c r="B694" i="8"/>
  <c r="L693" i="8"/>
  <c r="B693" i="8"/>
  <c r="L692" i="8"/>
  <c r="B692" i="8"/>
  <c r="L691" i="8"/>
  <c r="B691" i="8"/>
  <c r="L690" i="8"/>
  <c r="B690" i="8"/>
  <c r="L689" i="8"/>
  <c r="B689" i="8"/>
  <c r="L688" i="8"/>
  <c r="B688" i="8"/>
  <c r="L687" i="8"/>
  <c r="B687" i="8"/>
  <c r="L686" i="8"/>
  <c r="B686" i="8"/>
  <c r="L685" i="8"/>
  <c r="B685" i="8"/>
  <c r="L684" i="8"/>
  <c r="B684" i="8"/>
  <c r="B681" i="8" s="1"/>
  <c r="L683" i="8"/>
  <c r="B683" i="8"/>
  <c r="T681" i="8"/>
  <c r="S681" i="8"/>
  <c r="R681" i="8"/>
  <c r="Q681" i="8"/>
  <c r="P681" i="8"/>
  <c r="L681" i="8"/>
  <c r="J681" i="8"/>
  <c r="I681" i="8"/>
  <c r="H681" i="8"/>
  <c r="G681" i="8"/>
  <c r="F681" i="8"/>
  <c r="L678" i="8"/>
  <c r="B678" i="8"/>
  <c r="L677" i="8"/>
  <c r="B677" i="8"/>
  <c r="L676" i="8"/>
  <c r="B676" i="8"/>
  <c r="L675" i="8"/>
  <c r="B675" i="8"/>
  <c r="L674" i="8"/>
  <c r="B674" i="8"/>
  <c r="L673" i="8"/>
  <c r="B673" i="8"/>
  <c r="L672" i="8"/>
  <c r="B672" i="8"/>
  <c r="L671" i="8"/>
  <c r="B671" i="8"/>
  <c r="L670" i="8"/>
  <c r="B670" i="8"/>
  <c r="L669" i="8"/>
  <c r="B669" i="8"/>
  <c r="L668" i="8"/>
  <c r="B668" i="8"/>
  <c r="L667" i="8"/>
  <c r="B667" i="8"/>
  <c r="L666" i="8"/>
  <c r="B666" i="8"/>
  <c r="L665" i="8"/>
  <c r="B665" i="8"/>
  <c r="L664" i="8"/>
  <c r="B664" i="8"/>
  <c r="L663" i="8"/>
  <c r="B663" i="8"/>
  <c r="L662" i="8"/>
  <c r="B662" i="8"/>
  <c r="L661" i="8"/>
  <c r="B661" i="8"/>
  <c r="L660" i="8"/>
  <c r="B660" i="8"/>
  <c r="L659" i="8"/>
  <c r="B659" i="8"/>
  <c r="L658" i="8"/>
  <c r="B658" i="8"/>
  <c r="L657" i="8"/>
  <c r="B657" i="8"/>
  <c r="L656" i="8"/>
  <c r="B656" i="8"/>
  <c r="L655" i="8"/>
  <c r="B655" i="8"/>
  <c r="L654" i="8"/>
  <c r="B654" i="8"/>
  <c r="L653" i="8"/>
  <c r="B653" i="8"/>
  <c r="L652" i="8"/>
  <c r="B652" i="8"/>
  <c r="L651" i="8"/>
  <c r="B651" i="8"/>
  <c r="L650" i="8"/>
  <c r="B650" i="8"/>
  <c r="L649" i="8"/>
  <c r="B649" i="8"/>
  <c r="L648" i="8"/>
  <c r="B648" i="8"/>
  <c r="B645" i="8" s="1"/>
  <c r="L647" i="8"/>
  <c r="B647" i="8"/>
  <c r="T645" i="8"/>
  <c r="S645" i="8"/>
  <c r="R645" i="8"/>
  <c r="Q645" i="8"/>
  <c r="P645" i="8"/>
  <c r="L645" i="8"/>
  <c r="J645" i="8"/>
  <c r="I645" i="8"/>
  <c r="H645" i="8"/>
  <c r="G645" i="8"/>
  <c r="F645" i="8"/>
  <c r="L642" i="8"/>
  <c r="B642" i="8"/>
  <c r="L641" i="8"/>
  <c r="B641" i="8"/>
  <c r="L640" i="8"/>
  <c r="B640" i="8"/>
  <c r="L639" i="8"/>
  <c r="B639" i="8"/>
  <c r="L638" i="8"/>
  <c r="B638" i="8"/>
  <c r="L637" i="8"/>
  <c r="B637" i="8"/>
  <c r="L636" i="8"/>
  <c r="B636" i="8"/>
  <c r="L635" i="8"/>
  <c r="B635" i="8"/>
  <c r="L634" i="8"/>
  <c r="B634" i="8"/>
  <c r="L633" i="8"/>
  <c r="B633" i="8"/>
  <c r="L632" i="8"/>
  <c r="B632" i="8"/>
  <c r="L631" i="8"/>
  <c r="B631" i="8"/>
  <c r="L630" i="8"/>
  <c r="B630" i="8"/>
  <c r="L629" i="8"/>
  <c r="B629" i="8"/>
  <c r="L628" i="8"/>
  <c r="B628" i="8"/>
  <c r="L627" i="8"/>
  <c r="B627" i="8"/>
  <c r="L626" i="8"/>
  <c r="B626" i="8"/>
  <c r="L625" i="8"/>
  <c r="B625" i="8"/>
  <c r="L624" i="8"/>
  <c r="B624" i="8"/>
  <c r="L623" i="8"/>
  <c r="B623" i="8"/>
  <c r="L622" i="8"/>
  <c r="B622" i="8"/>
  <c r="L621" i="8"/>
  <c r="B621" i="8"/>
  <c r="L620" i="8"/>
  <c r="B620" i="8"/>
  <c r="L619" i="8"/>
  <c r="B619" i="8"/>
  <c r="L618" i="8"/>
  <c r="B618" i="8"/>
  <c r="L617" i="8"/>
  <c r="B617" i="8"/>
  <c r="L616" i="8"/>
  <c r="B616" i="8"/>
  <c r="L615" i="8"/>
  <c r="B615" i="8"/>
  <c r="L614" i="8"/>
  <c r="B614" i="8"/>
  <c r="L613" i="8"/>
  <c r="B613" i="8"/>
  <c r="L612" i="8"/>
  <c r="B612" i="8"/>
  <c r="B609" i="8" s="1"/>
  <c r="L611" i="8"/>
  <c r="B611" i="8"/>
  <c r="T609" i="8"/>
  <c r="S609" i="8"/>
  <c r="R609" i="8"/>
  <c r="Q609" i="8"/>
  <c r="P609" i="8"/>
  <c r="L609" i="8"/>
  <c r="J609" i="8"/>
  <c r="I609" i="8"/>
  <c r="H609" i="8"/>
  <c r="G609" i="8"/>
  <c r="F609" i="8"/>
  <c r="L606" i="8"/>
  <c r="B606" i="8"/>
  <c r="L605" i="8"/>
  <c r="B605" i="8"/>
  <c r="L604" i="8"/>
  <c r="B604" i="8"/>
  <c r="L603" i="8"/>
  <c r="B603" i="8"/>
  <c r="L602" i="8"/>
  <c r="B602" i="8"/>
  <c r="L601" i="8"/>
  <c r="B601" i="8"/>
  <c r="L600" i="8"/>
  <c r="B600" i="8"/>
  <c r="L599" i="8"/>
  <c r="B599" i="8"/>
  <c r="L598" i="8"/>
  <c r="B598" i="8"/>
  <c r="L597" i="8"/>
  <c r="B597" i="8"/>
  <c r="L596" i="8"/>
  <c r="B596" i="8"/>
  <c r="L595" i="8"/>
  <c r="B595" i="8"/>
  <c r="L594" i="8"/>
  <c r="B594" i="8"/>
  <c r="L593" i="8"/>
  <c r="B593" i="8"/>
  <c r="L592" i="8"/>
  <c r="B592" i="8"/>
  <c r="L591" i="8"/>
  <c r="B591" i="8"/>
  <c r="L590" i="8"/>
  <c r="B590" i="8"/>
  <c r="L589" i="8"/>
  <c r="B589" i="8"/>
  <c r="L588" i="8"/>
  <c r="B588" i="8"/>
  <c r="L587" i="8"/>
  <c r="B587" i="8"/>
  <c r="L586" i="8"/>
  <c r="B586" i="8"/>
  <c r="L585" i="8"/>
  <c r="B585" i="8"/>
  <c r="L584" i="8"/>
  <c r="B584" i="8"/>
  <c r="L583" i="8"/>
  <c r="B583" i="8"/>
  <c r="L582" i="8"/>
  <c r="B582" i="8"/>
  <c r="L581" i="8"/>
  <c r="B581" i="8"/>
  <c r="L580" i="8"/>
  <c r="B580" i="8"/>
  <c r="L579" i="8"/>
  <c r="B579" i="8"/>
  <c r="L578" i="8"/>
  <c r="B578" i="8"/>
  <c r="L577" i="8"/>
  <c r="B577" i="8"/>
  <c r="L576" i="8"/>
  <c r="B576" i="8"/>
  <c r="B573" i="8" s="1"/>
  <c r="L575" i="8"/>
  <c r="B575" i="8"/>
  <c r="T573" i="8"/>
  <c r="S573" i="8"/>
  <c r="R573" i="8"/>
  <c r="Q573" i="8"/>
  <c r="P573" i="8"/>
  <c r="L573" i="8"/>
  <c r="J573" i="8"/>
  <c r="I573" i="8"/>
  <c r="H573" i="8"/>
  <c r="G573" i="8"/>
  <c r="F573" i="8"/>
  <c r="L570" i="8"/>
  <c r="B570" i="8"/>
  <c r="L569" i="8"/>
  <c r="B569" i="8"/>
  <c r="L568" i="8"/>
  <c r="B568" i="8"/>
  <c r="L567" i="8"/>
  <c r="B567" i="8"/>
  <c r="L566" i="8"/>
  <c r="B566" i="8"/>
  <c r="L565" i="8"/>
  <c r="B565" i="8"/>
  <c r="L564" i="8"/>
  <c r="B564" i="8"/>
  <c r="L563" i="8"/>
  <c r="B563" i="8"/>
  <c r="L562" i="8"/>
  <c r="B562" i="8"/>
  <c r="L561" i="8"/>
  <c r="B561" i="8"/>
  <c r="L560" i="8"/>
  <c r="B560" i="8"/>
  <c r="L559" i="8"/>
  <c r="B559" i="8"/>
  <c r="L558" i="8"/>
  <c r="B558" i="8"/>
  <c r="L557" i="8"/>
  <c r="B557" i="8"/>
  <c r="L556" i="8"/>
  <c r="B556" i="8"/>
  <c r="L555" i="8"/>
  <c r="B555" i="8"/>
  <c r="L554" i="8"/>
  <c r="B554" i="8"/>
  <c r="L553" i="8"/>
  <c r="B553" i="8"/>
  <c r="L552" i="8"/>
  <c r="B552" i="8"/>
  <c r="L551" i="8"/>
  <c r="B551" i="8"/>
  <c r="L550" i="8"/>
  <c r="B550" i="8"/>
  <c r="L549" i="8"/>
  <c r="B549" i="8"/>
  <c r="L548" i="8"/>
  <c r="B548" i="8"/>
  <c r="L547" i="8"/>
  <c r="B547" i="8"/>
  <c r="L546" i="8"/>
  <c r="B546" i="8"/>
  <c r="L545" i="8"/>
  <c r="B545" i="8"/>
  <c r="L544" i="8"/>
  <c r="B544" i="8"/>
  <c r="L543" i="8"/>
  <c r="B543" i="8"/>
  <c r="L542" i="8"/>
  <c r="B542" i="8"/>
  <c r="L541" i="8"/>
  <c r="B541" i="8"/>
  <c r="L540" i="8"/>
  <c r="B540" i="8"/>
  <c r="B537" i="8" s="1"/>
  <c r="L539" i="8"/>
  <c r="L537" i="8" s="1"/>
  <c r="B539" i="8"/>
  <c r="T537" i="8"/>
  <c r="S537" i="8"/>
  <c r="R537" i="8"/>
  <c r="Q537" i="8"/>
  <c r="O537" i="8"/>
  <c r="N537" i="8"/>
  <c r="M537" i="8"/>
  <c r="J537" i="8"/>
  <c r="I537" i="8"/>
  <c r="H537" i="8"/>
  <c r="G537" i="8"/>
  <c r="E537" i="8"/>
  <c r="D537" i="8"/>
  <c r="C537" i="8"/>
  <c r="L534" i="8"/>
  <c r="B534" i="8"/>
  <c r="L533" i="8"/>
  <c r="B533" i="8"/>
  <c r="L532" i="8"/>
  <c r="B532" i="8"/>
  <c r="L531" i="8"/>
  <c r="B531" i="8"/>
  <c r="L530" i="8"/>
  <c r="B530" i="8"/>
  <c r="L529" i="8"/>
  <c r="B529" i="8"/>
  <c r="L528" i="8"/>
  <c r="B528" i="8"/>
  <c r="L527" i="8"/>
  <c r="B527" i="8"/>
  <c r="L526" i="8"/>
  <c r="B526" i="8"/>
  <c r="L525" i="8"/>
  <c r="B525" i="8"/>
  <c r="L524" i="8"/>
  <c r="B524" i="8"/>
  <c r="L523" i="8"/>
  <c r="B523" i="8"/>
  <c r="L522" i="8"/>
  <c r="B522" i="8"/>
  <c r="L521" i="8"/>
  <c r="B521" i="8"/>
  <c r="L520" i="8"/>
  <c r="B520" i="8"/>
  <c r="L519" i="8"/>
  <c r="B519" i="8"/>
  <c r="L518" i="8"/>
  <c r="B518" i="8"/>
  <c r="L517" i="8"/>
  <c r="B517" i="8"/>
  <c r="L516" i="8"/>
  <c r="B516" i="8"/>
  <c r="L515" i="8"/>
  <c r="B515" i="8"/>
  <c r="L514" i="8"/>
  <c r="B514" i="8"/>
  <c r="L513" i="8"/>
  <c r="B513" i="8"/>
  <c r="L512" i="8"/>
  <c r="B512" i="8"/>
  <c r="L511" i="8"/>
  <c r="B511" i="8"/>
  <c r="L510" i="8"/>
  <c r="B510" i="8"/>
  <c r="L509" i="8"/>
  <c r="B509" i="8"/>
  <c r="L508" i="8"/>
  <c r="B508" i="8"/>
  <c r="L507" i="8"/>
  <c r="B507" i="8"/>
  <c r="L506" i="8"/>
  <c r="B506" i="8"/>
  <c r="L505" i="8"/>
  <c r="B505" i="8"/>
  <c r="L504" i="8"/>
  <c r="B504" i="8"/>
  <c r="B501" i="8" s="1"/>
  <c r="L503" i="8"/>
  <c r="L501" i="8" s="1"/>
  <c r="B503" i="8"/>
  <c r="T501" i="8"/>
  <c r="S501" i="8"/>
  <c r="R501" i="8"/>
  <c r="Q501" i="8"/>
  <c r="O501" i="8"/>
  <c r="N501" i="8"/>
  <c r="M501" i="8"/>
  <c r="J501" i="8"/>
  <c r="I501" i="8"/>
  <c r="H501" i="8"/>
  <c r="G501" i="8"/>
  <c r="E501" i="8"/>
  <c r="D501" i="8"/>
  <c r="C501" i="8"/>
  <c r="L498" i="8"/>
  <c r="B498" i="8"/>
  <c r="L497" i="8"/>
  <c r="B497" i="8"/>
  <c r="L496" i="8"/>
  <c r="B496" i="8"/>
  <c r="L495" i="8"/>
  <c r="B495" i="8"/>
  <c r="L494" i="8"/>
  <c r="B494" i="8"/>
  <c r="L493" i="8"/>
  <c r="B493" i="8"/>
  <c r="L492" i="8"/>
  <c r="B492" i="8"/>
  <c r="L491" i="8"/>
  <c r="B491" i="8"/>
  <c r="L490" i="8"/>
  <c r="B490" i="8"/>
  <c r="L489" i="8"/>
  <c r="B489" i="8"/>
  <c r="L488" i="8"/>
  <c r="B488" i="8"/>
  <c r="L487" i="8"/>
  <c r="B487" i="8"/>
  <c r="L486" i="8"/>
  <c r="B486" i="8"/>
  <c r="L485" i="8"/>
  <c r="B485" i="8"/>
  <c r="L484" i="8"/>
  <c r="B484" i="8"/>
  <c r="L483" i="8"/>
  <c r="B483" i="8"/>
  <c r="L482" i="8"/>
  <c r="B482" i="8"/>
  <c r="L481" i="8"/>
  <c r="B481" i="8"/>
  <c r="L480" i="8"/>
  <c r="B480" i="8"/>
  <c r="L479" i="8"/>
  <c r="B479" i="8"/>
  <c r="L478" i="8"/>
  <c r="B478" i="8"/>
  <c r="L477" i="8"/>
  <c r="B477" i="8"/>
  <c r="L476" i="8"/>
  <c r="B476" i="8"/>
  <c r="L475" i="8"/>
  <c r="B475" i="8"/>
  <c r="L474" i="8"/>
  <c r="B474" i="8"/>
  <c r="L473" i="8"/>
  <c r="B473" i="8"/>
  <c r="L472" i="8"/>
  <c r="B472" i="8"/>
  <c r="L471" i="8"/>
  <c r="B471" i="8"/>
  <c r="L470" i="8"/>
  <c r="B470" i="8"/>
  <c r="L469" i="8"/>
  <c r="B469" i="8"/>
  <c r="L468" i="8"/>
  <c r="B468" i="8"/>
  <c r="B465" i="8" s="1"/>
  <c r="L467" i="8"/>
  <c r="L465" i="8" s="1"/>
  <c r="B467" i="8"/>
  <c r="T465" i="8"/>
  <c r="S465" i="8"/>
  <c r="R465" i="8"/>
  <c r="Q465" i="8"/>
  <c r="O465" i="8"/>
  <c r="N465" i="8"/>
  <c r="M465" i="8"/>
  <c r="J465" i="8"/>
  <c r="I465" i="8"/>
  <c r="H465" i="8"/>
  <c r="G465" i="8"/>
  <c r="E465" i="8"/>
  <c r="D465" i="8"/>
  <c r="C465" i="8"/>
  <c r="L462" i="8"/>
  <c r="B462" i="8"/>
  <c r="L461" i="8"/>
  <c r="B461" i="8"/>
  <c r="L460" i="8"/>
  <c r="B460" i="8"/>
  <c r="L459" i="8"/>
  <c r="B459" i="8"/>
  <c r="L458" i="8"/>
  <c r="B458" i="8"/>
  <c r="L457" i="8"/>
  <c r="B457" i="8"/>
  <c r="L456" i="8"/>
  <c r="B456" i="8"/>
  <c r="L455" i="8"/>
  <c r="B455" i="8"/>
  <c r="L454" i="8"/>
  <c r="B454" i="8"/>
  <c r="L453" i="8"/>
  <c r="B453" i="8"/>
  <c r="L452" i="8"/>
  <c r="B452" i="8"/>
  <c r="L451" i="8"/>
  <c r="B451" i="8"/>
  <c r="L450" i="8"/>
  <c r="B450" i="8"/>
  <c r="L449" i="8"/>
  <c r="B449" i="8"/>
  <c r="L448" i="8"/>
  <c r="B448" i="8"/>
  <c r="L447" i="8"/>
  <c r="B447" i="8"/>
  <c r="L446" i="8"/>
  <c r="B446" i="8"/>
  <c r="L445" i="8"/>
  <c r="B445" i="8"/>
  <c r="L444" i="8"/>
  <c r="B444" i="8"/>
  <c r="L443" i="8"/>
  <c r="B443" i="8"/>
  <c r="L442" i="8"/>
  <c r="B442" i="8"/>
  <c r="L441" i="8"/>
  <c r="B441" i="8"/>
  <c r="L440" i="8"/>
  <c r="B440" i="8"/>
  <c r="L439" i="8"/>
  <c r="B439" i="8"/>
  <c r="L438" i="8"/>
  <c r="B438" i="8"/>
  <c r="L437" i="8"/>
  <c r="B437" i="8"/>
  <c r="L436" i="8"/>
  <c r="B436" i="8"/>
  <c r="L435" i="8"/>
  <c r="B435" i="8"/>
  <c r="L434" i="8"/>
  <c r="B434" i="8"/>
  <c r="L433" i="8"/>
  <c r="B433" i="8"/>
  <c r="L432" i="8"/>
  <c r="B432" i="8"/>
  <c r="B429" i="8" s="1"/>
  <c r="L431" i="8"/>
  <c r="B431" i="8"/>
  <c r="R429" i="8"/>
  <c r="Q429" i="8"/>
  <c r="O429" i="8"/>
  <c r="N429" i="8"/>
  <c r="M429" i="8"/>
  <c r="L429" i="8"/>
  <c r="H429" i="8"/>
  <c r="G429" i="8"/>
  <c r="E429" i="8"/>
  <c r="D429" i="8"/>
  <c r="C429" i="8"/>
  <c r="L426" i="8"/>
  <c r="B426" i="8"/>
  <c r="L425" i="8"/>
  <c r="B425" i="8"/>
  <c r="L424" i="8"/>
  <c r="B424" i="8"/>
  <c r="L423" i="8"/>
  <c r="B423" i="8"/>
  <c r="L422" i="8"/>
  <c r="B422" i="8"/>
  <c r="L421" i="8"/>
  <c r="B421" i="8"/>
  <c r="L420" i="8"/>
  <c r="B420" i="8"/>
  <c r="L419" i="8"/>
  <c r="B419" i="8"/>
  <c r="L418" i="8"/>
  <c r="B418" i="8"/>
  <c r="L417" i="8"/>
  <c r="B417" i="8"/>
  <c r="L416" i="8"/>
  <c r="B416" i="8"/>
  <c r="L415" i="8"/>
  <c r="B415" i="8"/>
  <c r="L414" i="8"/>
  <c r="B414" i="8"/>
  <c r="L413" i="8"/>
  <c r="B413" i="8"/>
  <c r="L412" i="8"/>
  <c r="B412" i="8"/>
  <c r="L411" i="8"/>
  <c r="B411" i="8"/>
  <c r="L410" i="8"/>
  <c r="B410" i="8"/>
  <c r="L409" i="8"/>
  <c r="B409" i="8"/>
  <c r="L408" i="8"/>
  <c r="B408" i="8"/>
  <c r="L407" i="8"/>
  <c r="B407" i="8"/>
  <c r="L406" i="8"/>
  <c r="B406" i="8"/>
  <c r="L405" i="8"/>
  <c r="B405" i="8"/>
  <c r="L404" i="8"/>
  <c r="B404" i="8"/>
  <c r="L403" i="8"/>
  <c r="B403" i="8"/>
  <c r="L402" i="8"/>
  <c r="B402" i="8"/>
  <c r="L401" i="8"/>
  <c r="B401" i="8"/>
  <c r="L400" i="8"/>
  <c r="B400" i="8"/>
  <c r="L399" i="8"/>
  <c r="B399" i="8"/>
  <c r="L398" i="8"/>
  <c r="B398" i="8"/>
  <c r="L397" i="8"/>
  <c r="B397" i="8"/>
  <c r="L396" i="8"/>
  <c r="B396" i="8"/>
  <c r="B393" i="8" s="1"/>
  <c r="L395" i="8"/>
  <c r="B395" i="8"/>
  <c r="R393" i="8"/>
  <c r="Q393" i="8"/>
  <c r="O393" i="8"/>
  <c r="N393" i="8"/>
  <c r="M393" i="8"/>
  <c r="L393" i="8"/>
  <c r="H393" i="8"/>
  <c r="G393" i="8"/>
  <c r="E393" i="8"/>
  <c r="D393" i="8"/>
  <c r="C393" i="8"/>
  <c r="L390" i="8"/>
  <c r="B390" i="8"/>
  <c r="L389" i="8"/>
  <c r="B389" i="8"/>
  <c r="L388" i="8"/>
  <c r="B388" i="8"/>
  <c r="L387" i="8"/>
  <c r="B387" i="8"/>
  <c r="L386" i="8"/>
  <c r="B386" i="8"/>
  <c r="L385" i="8"/>
  <c r="B385" i="8"/>
  <c r="L384" i="8"/>
  <c r="B384" i="8"/>
  <c r="L383" i="8"/>
  <c r="B383" i="8"/>
  <c r="L382" i="8"/>
  <c r="B382" i="8"/>
  <c r="L381" i="8"/>
  <c r="B381" i="8"/>
  <c r="L380" i="8"/>
  <c r="B380" i="8"/>
  <c r="L379" i="8"/>
  <c r="B379" i="8"/>
  <c r="L378" i="8"/>
  <c r="B378" i="8"/>
  <c r="L377" i="8"/>
  <c r="B377" i="8"/>
  <c r="L376" i="8"/>
  <c r="B376" i="8"/>
  <c r="L375" i="8"/>
  <c r="B375" i="8"/>
  <c r="L374" i="8"/>
  <c r="B374" i="8"/>
  <c r="L373" i="8"/>
  <c r="B373" i="8"/>
  <c r="L372" i="8"/>
  <c r="B372" i="8"/>
  <c r="L371" i="8"/>
  <c r="B371" i="8"/>
  <c r="L370" i="8"/>
  <c r="B370" i="8"/>
  <c r="L369" i="8"/>
  <c r="B369" i="8"/>
  <c r="L368" i="8"/>
  <c r="B368" i="8"/>
  <c r="L367" i="8"/>
  <c r="B367" i="8"/>
  <c r="L366" i="8"/>
  <c r="B366" i="8"/>
  <c r="L365" i="8"/>
  <c r="B365" i="8"/>
  <c r="L364" i="8"/>
  <c r="B364" i="8"/>
  <c r="L363" i="8"/>
  <c r="B363" i="8"/>
  <c r="L362" i="8"/>
  <c r="B362" i="8"/>
  <c r="L361" i="8"/>
  <c r="B361" i="8"/>
  <c r="L360" i="8"/>
  <c r="B360" i="8"/>
  <c r="L359" i="8"/>
  <c r="B359" i="8"/>
  <c r="Q357" i="8"/>
  <c r="O357" i="8"/>
  <c r="N357" i="8"/>
  <c r="M357" i="8"/>
  <c r="L357" i="8"/>
  <c r="G357" i="8"/>
  <c r="E357" i="8"/>
  <c r="D357" i="8"/>
  <c r="C357" i="8"/>
  <c r="B357" i="8"/>
  <c r="L354" i="8"/>
  <c r="B354" i="8"/>
  <c r="L353" i="8"/>
  <c r="B353" i="8"/>
  <c r="L352" i="8"/>
  <c r="B352" i="8"/>
  <c r="L351" i="8"/>
  <c r="B351" i="8"/>
  <c r="L350" i="8"/>
  <c r="B350" i="8"/>
  <c r="L349" i="8"/>
  <c r="B349" i="8"/>
  <c r="L348" i="8"/>
  <c r="B348" i="8"/>
  <c r="L347" i="8"/>
  <c r="B347" i="8"/>
  <c r="L346" i="8"/>
  <c r="B346" i="8"/>
  <c r="L345" i="8"/>
  <c r="B345" i="8"/>
  <c r="L344" i="8"/>
  <c r="B344" i="8"/>
  <c r="L343" i="8"/>
  <c r="B343" i="8"/>
  <c r="L342" i="8"/>
  <c r="B342" i="8"/>
  <c r="L341" i="8"/>
  <c r="B341" i="8"/>
  <c r="L340" i="8"/>
  <c r="B340" i="8"/>
  <c r="L339" i="8"/>
  <c r="B339" i="8"/>
  <c r="L338" i="8"/>
  <c r="B338" i="8"/>
  <c r="L337" i="8"/>
  <c r="B337" i="8"/>
  <c r="L336" i="8"/>
  <c r="B336" i="8"/>
  <c r="L335" i="8"/>
  <c r="B335" i="8"/>
  <c r="L334" i="8"/>
  <c r="B334" i="8"/>
  <c r="L333" i="8"/>
  <c r="B333" i="8"/>
  <c r="L332" i="8"/>
  <c r="B332" i="8"/>
  <c r="L331" i="8"/>
  <c r="B331" i="8"/>
  <c r="L330" i="8"/>
  <c r="B330" i="8"/>
  <c r="L329" i="8"/>
  <c r="B329" i="8"/>
  <c r="L328" i="8"/>
  <c r="B328" i="8"/>
  <c r="L327" i="8"/>
  <c r="B327" i="8"/>
  <c r="L326" i="8"/>
  <c r="B326" i="8"/>
  <c r="L325" i="8"/>
  <c r="B325" i="8"/>
  <c r="L324" i="8"/>
  <c r="B324" i="8"/>
  <c r="L323" i="8"/>
  <c r="B323" i="8"/>
  <c r="B321" i="8" s="1"/>
  <c r="Q321" i="8"/>
  <c r="O321" i="8"/>
  <c r="N321" i="8"/>
  <c r="M321" i="8"/>
  <c r="L321" i="8"/>
  <c r="G321" i="8"/>
  <c r="E321" i="8"/>
  <c r="D321" i="8"/>
  <c r="C321" i="8"/>
  <c r="L318" i="8"/>
  <c r="B318" i="8"/>
  <c r="L317" i="8"/>
  <c r="B317" i="8"/>
  <c r="L316" i="8"/>
  <c r="B316" i="8"/>
  <c r="L315" i="8"/>
  <c r="B315" i="8"/>
  <c r="L314" i="8"/>
  <c r="B314" i="8"/>
  <c r="L313" i="8"/>
  <c r="B313" i="8"/>
  <c r="L312" i="8"/>
  <c r="B312" i="8"/>
  <c r="L311" i="8"/>
  <c r="B311" i="8"/>
  <c r="L310" i="8"/>
  <c r="B310" i="8"/>
  <c r="L309" i="8"/>
  <c r="B309" i="8"/>
  <c r="L308" i="8"/>
  <c r="B308" i="8"/>
  <c r="L307" i="8"/>
  <c r="B307" i="8"/>
  <c r="L306" i="8"/>
  <c r="B306" i="8"/>
  <c r="L305" i="8"/>
  <c r="B305" i="8"/>
  <c r="L304" i="8"/>
  <c r="B304" i="8"/>
  <c r="L303" i="8"/>
  <c r="B303" i="8"/>
  <c r="L302" i="8"/>
  <c r="B302" i="8"/>
  <c r="L301" i="8"/>
  <c r="B301" i="8"/>
  <c r="L300" i="8"/>
  <c r="B300" i="8"/>
  <c r="L299" i="8"/>
  <c r="B299" i="8"/>
  <c r="L298" i="8"/>
  <c r="B298" i="8"/>
  <c r="L297" i="8"/>
  <c r="B297" i="8"/>
  <c r="L296" i="8"/>
  <c r="B296" i="8"/>
  <c r="L295" i="8"/>
  <c r="B295" i="8"/>
  <c r="L294" i="8"/>
  <c r="B294" i="8"/>
  <c r="L293" i="8"/>
  <c r="B293" i="8"/>
  <c r="L292" i="8"/>
  <c r="B292" i="8"/>
  <c r="L291" i="8"/>
  <c r="B291" i="8"/>
  <c r="L290" i="8"/>
  <c r="B290" i="8"/>
  <c r="L289" i="8"/>
  <c r="B289" i="8"/>
  <c r="L288" i="8"/>
  <c r="B288" i="8"/>
  <c r="B286" i="8" s="1"/>
  <c r="Q286" i="8"/>
  <c r="O286" i="8"/>
  <c r="N286" i="8"/>
  <c r="M286" i="8"/>
  <c r="L286" i="8"/>
  <c r="G286" i="8"/>
  <c r="E286" i="8"/>
  <c r="D286" i="8"/>
  <c r="C286" i="8"/>
  <c r="L283" i="8"/>
  <c r="B283" i="8"/>
  <c r="L282" i="8"/>
  <c r="B282" i="8"/>
  <c r="L281" i="8"/>
  <c r="B281" i="8"/>
  <c r="L280" i="8"/>
  <c r="B280" i="8"/>
  <c r="L279" i="8"/>
  <c r="B279" i="8"/>
  <c r="L278" i="8"/>
  <c r="B278" i="8"/>
  <c r="L277" i="8"/>
  <c r="B277" i="8"/>
  <c r="L276" i="8"/>
  <c r="B276" i="8"/>
  <c r="L275" i="8"/>
  <c r="B275" i="8"/>
  <c r="L274" i="8"/>
  <c r="B274" i="8"/>
  <c r="L273" i="8"/>
  <c r="B273" i="8"/>
  <c r="L272" i="8"/>
  <c r="B272" i="8"/>
  <c r="L271" i="8"/>
  <c r="B271" i="8"/>
  <c r="L270" i="8"/>
  <c r="B270" i="8"/>
  <c r="L269" i="8"/>
  <c r="B269" i="8"/>
  <c r="L268" i="8"/>
  <c r="B268" i="8"/>
  <c r="L267" i="8"/>
  <c r="B267" i="8"/>
  <c r="L266" i="8"/>
  <c r="B266" i="8"/>
  <c r="L265" i="8"/>
  <c r="B265" i="8"/>
  <c r="L264" i="8"/>
  <c r="B264" i="8"/>
  <c r="L263" i="8"/>
  <c r="B263" i="8"/>
  <c r="L262" i="8"/>
  <c r="B262" i="8"/>
  <c r="L261" i="8"/>
  <c r="B261" i="8"/>
  <c r="L260" i="8"/>
  <c r="B260" i="8"/>
  <c r="L259" i="8"/>
  <c r="B259" i="8"/>
  <c r="L258" i="8"/>
  <c r="B258" i="8"/>
  <c r="L257" i="8"/>
  <c r="B257" i="8"/>
  <c r="L256" i="8"/>
  <c r="B256" i="8"/>
  <c r="L255" i="8"/>
  <c r="B255" i="8"/>
  <c r="L254" i="8"/>
  <c r="B254" i="8"/>
  <c r="L253" i="8"/>
  <c r="B253" i="8"/>
  <c r="B251" i="8" s="1"/>
  <c r="Q251" i="8"/>
  <c r="O251" i="8"/>
  <c r="N251" i="8"/>
  <c r="M251" i="8"/>
  <c r="L251" i="8"/>
  <c r="G251" i="8"/>
  <c r="E251" i="8"/>
  <c r="D251" i="8"/>
  <c r="C251" i="8"/>
  <c r="L248" i="8"/>
  <c r="B248" i="8"/>
  <c r="L247" i="8"/>
  <c r="B247" i="8"/>
  <c r="L246" i="8"/>
  <c r="B246" i="8"/>
  <c r="L245" i="8"/>
  <c r="B245" i="8"/>
  <c r="L244" i="8"/>
  <c r="B244" i="8"/>
  <c r="L243" i="8"/>
  <c r="B243" i="8"/>
  <c r="L242" i="8"/>
  <c r="B242" i="8"/>
  <c r="L241" i="8"/>
  <c r="B241" i="8"/>
  <c r="L240" i="8"/>
  <c r="B240" i="8"/>
  <c r="L239" i="8"/>
  <c r="B239" i="8"/>
  <c r="L238" i="8"/>
  <c r="B238" i="8"/>
  <c r="L237" i="8"/>
  <c r="B237" i="8"/>
  <c r="L236" i="8"/>
  <c r="B236" i="8"/>
  <c r="L235" i="8"/>
  <c r="B235" i="8"/>
  <c r="L234" i="8"/>
  <c r="B234" i="8"/>
  <c r="L233" i="8"/>
  <c r="B233" i="8"/>
  <c r="L232" i="8"/>
  <c r="B232" i="8"/>
  <c r="L231" i="8"/>
  <c r="B231" i="8"/>
  <c r="L230" i="8"/>
  <c r="B230" i="8"/>
  <c r="L229" i="8"/>
  <c r="B229" i="8"/>
  <c r="L228" i="8"/>
  <c r="B228" i="8"/>
  <c r="L227" i="8"/>
  <c r="B227" i="8"/>
  <c r="L226" i="8"/>
  <c r="B226" i="8"/>
  <c r="L225" i="8"/>
  <c r="B225" i="8"/>
  <c r="L224" i="8"/>
  <c r="B224" i="8"/>
  <c r="L223" i="8"/>
  <c r="B223" i="8"/>
  <c r="L222" i="8"/>
  <c r="B222" i="8"/>
  <c r="L221" i="8"/>
  <c r="B221" i="8"/>
  <c r="L220" i="8"/>
  <c r="B220" i="8"/>
  <c r="L219" i="8"/>
  <c r="B219" i="8"/>
  <c r="L218" i="8"/>
  <c r="B218" i="8"/>
  <c r="B216" i="8" s="1"/>
  <c r="Q216" i="8"/>
  <c r="O216" i="8"/>
  <c r="N216" i="8"/>
  <c r="M216" i="8"/>
  <c r="L216" i="8"/>
  <c r="G216" i="8"/>
  <c r="E216" i="8"/>
  <c r="D216" i="8"/>
  <c r="C216" i="8"/>
  <c r="L213" i="8"/>
  <c r="B213" i="8"/>
  <c r="L212" i="8"/>
  <c r="B212" i="8"/>
  <c r="Q211" i="8"/>
  <c r="O211" i="8"/>
  <c r="O181" i="8" s="1"/>
  <c r="N211" i="8"/>
  <c r="M211" i="8"/>
  <c r="E211" i="8"/>
  <c r="B211" i="8" s="1"/>
  <c r="D211" i="8"/>
  <c r="C211" i="8"/>
  <c r="Q210" i="8"/>
  <c r="O210" i="8"/>
  <c r="N210" i="8"/>
  <c r="M210" i="8"/>
  <c r="L210" i="8"/>
  <c r="E210" i="8"/>
  <c r="D210" i="8"/>
  <c r="C210" i="8"/>
  <c r="B210" i="8"/>
  <c r="L209" i="8"/>
  <c r="B209" i="8"/>
  <c r="L208" i="8"/>
  <c r="B208" i="8"/>
  <c r="L207" i="8"/>
  <c r="B207" i="8"/>
  <c r="L206" i="8"/>
  <c r="B206" i="8"/>
  <c r="Q205" i="8"/>
  <c r="O205" i="8"/>
  <c r="N205" i="8"/>
  <c r="M205" i="8"/>
  <c r="L205" i="8" s="1"/>
  <c r="E205" i="8"/>
  <c r="D205" i="8"/>
  <c r="C205" i="8"/>
  <c r="B205" i="8" s="1"/>
  <c r="L204" i="8"/>
  <c r="B204" i="8"/>
  <c r="Q203" i="8"/>
  <c r="O203" i="8"/>
  <c r="N203" i="8"/>
  <c r="M203" i="8"/>
  <c r="L203" i="8"/>
  <c r="E203" i="8"/>
  <c r="D203" i="8"/>
  <c r="C203" i="8"/>
  <c r="B203" i="8"/>
  <c r="L202" i="8"/>
  <c r="B202" i="8"/>
  <c r="L201" i="8"/>
  <c r="B201" i="8"/>
  <c r="N200" i="8"/>
  <c r="M200" i="8"/>
  <c r="L200" i="8"/>
  <c r="D200" i="8"/>
  <c r="C200" i="8"/>
  <c r="B200" i="8" s="1"/>
  <c r="L199" i="8"/>
  <c r="B199" i="8"/>
  <c r="L198" i="8"/>
  <c r="B198" i="8"/>
  <c r="L197" i="8"/>
  <c r="B197" i="8"/>
  <c r="N196" i="8"/>
  <c r="L196" i="8"/>
  <c r="B196" i="8"/>
  <c r="Q195" i="8"/>
  <c r="O195" i="8"/>
  <c r="N195" i="8"/>
  <c r="M195" i="8"/>
  <c r="L195" i="8"/>
  <c r="E195" i="8"/>
  <c r="D195" i="8"/>
  <c r="C195" i="8"/>
  <c r="B195" i="8"/>
  <c r="L194" i="8"/>
  <c r="B194" i="8"/>
  <c r="L193" i="8"/>
  <c r="B193" i="8"/>
  <c r="Q192" i="8"/>
  <c r="O192" i="8"/>
  <c r="N192" i="8"/>
  <c r="M192" i="8"/>
  <c r="L192" i="8" s="1"/>
  <c r="E192" i="8"/>
  <c r="D192" i="8"/>
  <c r="C192" i="8"/>
  <c r="B192" i="8" s="1"/>
  <c r="L191" i="8"/>
  <c r="B191" i="8"/>
  <c r="Q190" i="8"/>
  <c r="Q181" i="8" s="1"/>
  <c r="O190" i="8"/>
  <c r="N190" i="8"/>
  <c r="M190" i="8"/>
  <c r="L190" i="8"/>
  <c r="E190" i="8"/>
  <c r="D190" i="8"/>
  <c r="C190" i="8"/>
  <c r="B190" i="8"/>
  <c r="O189" i="8"/>
  <c r="N189" i="8"/>
  <c r="M189" i="8"/>
  <c r="L189" i="8"/>
  <c r="E189" i="8"/>
  <c r="D189" i="8"/>
  <c r="C189" i="8"/>
  <c r="B189" i="8"/>
  <c r="Q188" i="8"/>
  <c r="O188" i="8"/>
  <c r="N188" i="8"/>
  <c r="M188" i="8"/>
  <c r="L188" i="8" s="1"/>
  <c r="E188" i="8"/>
  <c r="D188" i="8"/>
  <c r="C188" i="8"/>
  <c r="B188" i="8" s="1"/>
  <c r="Q187" i="8"/>
  <c r="O187" i="8"/>
  <c r="N187" i="8"/>
  <c r="M187" i="8"/>
  <c r="L187" i="8" s="1"/>
  <c r="E187" i="8"/>
  <c r="D187" i="8"/>
  <c r="C187" i="8"/>
  <c r="B187" i="8" s="1"/>
  <c r="L186" i="8"/>
  <c r="B186" i="8"/>
  <c r="Q185" i="8"/>
  <c r="O185" i="8"/>
  <c r="N185" i="8"/>
  <c r="M185" i="8"/>
  <c r="L185" i="8" s="1"/>
  <c r="E185" i="8"/>
  <c r="D185" i="8"/>
  <c r="C185" i="8"/>
  <c r="B185" i="8" s="1"/>
  <c r="Q184" i="8"/>
  <c r="O184" i="8"/>
  <c r="N184" i="8"/>
  <c r="L184" i="8" s="1"/>
  <c r="M184" i="8"/>
  <c r="E184" i="8"/>
  <c r="D184" i="8"/>
  <c r="B184" i="8" s="1"/>
  <c r="C184" i="8"/>
  <c r="L183" i="8"/>
  <c r="B183" i="8"/>
  <c r="M181" i="8"/>
  <c r="G181" i="8"/>
  <c r="D181" i="8"/>
  <c r="N178" i="8"/>
  <c r="L178" i="8"/>
  <c r="D178" i="8"/>
  <c r="B178" i="8"/>
  <c r="L177" i="8"/>
  <c r="B177" i="8"/>
  <c r="L176" i="8"/>
  <c r="B176" i="8"/>
  <c r="L175" i="8"/>
  <c r="B175" i="8"/>
  <c r="L174" i="8"/>
  <c r="B174" i="8"/>
  <c r="L173" i="8"/>
  <c r="B173" i="8"/>
  <c r="L172" i="8"/>
  <c r="B172" i="8"/>
  <c r="L171" i="8"/>
  <c r="B171" i="8"/>
  <c r="L170" i="8"/>
  <c r="B170" i="8"/>
  <c r="L169" i="8"/>
  <c r="B169" i="8"/>
  <c r="L168" i="8"/>
  <c r="B168" i="8"/>
  <c r="L167" i="8"/>
  <c r="B167" i="8"/>
  <c r="L166" i="8"/>
  <c r="B166" i="8"/>
  <c r="L165" i="8"/>
  <c r="B165" i="8"/>
  <c r="N164" i="8"/>
  <c r="L164" i="8"/>
  <c r="D164" i="8"/>
  <c r="B164" i="8"/>
  <c r="L163" i="8"/>
  <c r="B163" i="8"/>
  <c r="L162" i="8"/>
  <c r="B162" i="8"/>
  <c r="N161" i="8"/>
  <c r="L161" i="8"/>
  <c r="D161" i="8"/>
  <c r="B161" i="8"/>
  <c r="L160" i="8"/>
  <c r="B160" i="8"/>
  <c r="L159" i="8"/>
  <c r="B159" i="8"/>
  <c r="L158" i="8"/>
  <c r="B158" i="8"/>
  <c r="N157" i="8"/>
  <c r="L157" i="8"/>
  <c r="D157" i="8"/>
  <c r="B157" i="8"/>
  <c r="N156" i="8"/>
  <c r="L156" i="8"/>
  <c r="L146" i="8" s="1"/>
  <c r="D156" i="8"/>
  <c r="B156" i="8"/>
  <c r="L155" i="8"/>
  <c r="B155" i="8"/>
  <c r="N154" i="8"/>
  <c r="L154" i="8"/>
  <c r="D154" i="8"/>
  <c r="B154" i="8"/>
  <c r="L153" i="8"/>
  <c r="B153" i="8"/>
  <c r="L152" i="8"/>
  <c r="B152" i="8"/>
  <c r="L151" i="8"/>
  <c r="B151" i="8"/>
  <c r="L150" i="8"/>
  <c r="B150" i="8"/>
  <c r="L149" i="8"/>
  <c r="B149" i="8"/>
  <c r="L148" i="8"/>
  <c r="B148" i="8"/>
  <c r="B146" i="8" s="1"/>
  <c r="Q146" i="8"/>
  <c r="O146" i="8"/>
  <c r="N146" i="8"/>
  <c r="M146" i="8"/>
  <c r="G146" i="8"/>
  <c r="E146" i="8"/>
  <c r="D146" i="8"/>
  <c r="C146" i="8"/>
  <c r="L143" i="8"/>
  <c r="B143" i="8"/>
  <c r="L142" i="8"/>
  <c r="B142" i="8"/>
  <c r="L141" i="8"/>
  <c r="B141" i="8"/>
  <c r="L140" i="8"/>
  <c r="B140" i="8"/>
  <c r="L139" i="8"/>
  <c r="B139" i="8"/>
  <c r="L138" i="8"/>
  <c r="B138" i="8"/>
  <c r="L137" i="8"/>
  <c r="B137" i="8"/>
  <c r="L136" i="8"/>
  <c r="B136" i="8"/>
  <c r="L135" i="8"/>
  <c r="B135" i="8"/>
  <c r="L134" i="8"/>
  <c r="B134" i="8"/>
  <c r="L133" i="8"/>
  <c r="B133" i="8"/>
  <c r="L132" i="8"/>
  <c r="B132" i="8"/>
  <c r="L131" i="8"/>
  <c r="B131" i="8"/>
  <c r="L130" i="8"/>
  <c r="B130" i="8"/>
  <c r="L129" i="8"/>
  <c r="B129" i="8"/>
  <c r="L128" i="8"/>
  <c r="B128" i="8"/>
  <c r="L127" i="8"/>
  <c r="B127" i="8"/>
  <c r="L126" i="8"/>
  <c r="B126" i="8"/>
  <c r="L125" i="8"/>
  <c r="B125" i="8"/>
  <c r="L124" i="8"/>
  <c r="B124" i="8"/>
  <c r="L123" i="8"/>
  <c r="B123" i="8"/>
  <c r="L122" i="8"/>
  <c r="B122" i="8"/>
  <c r="L121" i="8"/>
  <c r="B121" i="8"/>
  <c r="L120" i="8"/>
  <c r="B120" i="8"/>
  <c r="L119" i="8"/>
  <c r="B119" i="8"/>
  <c r="L118" i="8"/>
  <c r="B118" i="8"/>
  <c r="L117" i="8"/>
  <c r="B117" i="8"/>
  <c r="L116" i="8"/>
  <c r="B116" i="8"/>
  <c r="L115" i="8"/>
  <c r="B115" i="8"/>
  <c r="L114" i="8"/>
  <c r="B114" i="8"/>
  <c r="Q112" i="8"/>
  <c r="O112" i="8"/>
  <c r="N112" i="8"/>
  <c r="M112" i="8"/>
  <c r="L112" i="8"/>
  <c r="G112" i="8"/>
  <c r="E112" i="8"/>
  <c r="D112" i="8"/>
  <c r="C112" i="8"/>
  <c r="B112" i="8"/>
  <c r="L109" i="8"/>
  <c r="B109" i="8"/>
  <c r="L108" i="8"/>
  <c r="B108" i="8"/>
  <c r="L107" i="8"/>
  <c r="B107" i="8"/>
  <c r="L106" i="8"/>
  <c r="B106" i="8"/>
  <c r="L105" i="8"/>
  <c r="B105" i="8"/>
  <c r="L104" i="8"/>
  <c r="B104" i="8"/>
  <c r="L103" i="8"/>
  <c r="B103" i="8"/>
  <c r="L102" i="8"/>
  <c r="B102" i="8"/>
  <c r="L101" i="8"/>
  <c r="B101" i="8"/>
  <c r="L100" i="8"/>
  <c r="B100" i="8"/>
  <c r="L99" i="8"/>
  <c r="B99" i="8"/>
  <c r="L98" i="8"/>
  <c r="B98" i="8"/>
  <c r="L97" i="8"/>
  <c r="B97" i="8"/>
  <c r="L96" i="8"/>
  <c r="B96" i="8"/>
  <c r="L95" i="8"/>
  <c r="B95" i="8"/>
  <c r="L94" i="8"/>
  <c r="B94" i="8"/>
  <c r="L93" i="8"/>
  <c r="B93" i="8"/>
  <c r="L92" i="8"/>
  <c r="B92" i="8"/>
  <c r="L91" i="8"/>
  <c r="B91" i="8"/>
  <c r="L90" i="8"/>
  <c r="B90" i="8"/>
  <c r="L89" i="8"/>
  <c r="B89" i="8"/>
  <c r="L88" i="8"/>
  <c r="B88" i="8"/>
  <c r="L87" i="8"/>
  <c r="B87" i="8"/>
  <c r="L86" i="8"/>
  <c r="B86" i="8"/>
  <c r="L85" i="8"/>
  <c r="B85" i="8"/>
  <c r="L84" i="8"/>
  <c r="B84" i="8"/>
  <c r="L83" i="8"/>
  <c r="B83" i="8"/>
  <c r="L82" i="8"/>
  <c r="B82" i="8"/>
  <c r="L81" i="8"/>
  <c r="B81" i="8"/>
  <c r="Q79" i="8"/>
  <c r="O79" i="8"/>
  <c r="N79" i="8"/>
  <c r="M79" i="8"/>
  <c r="L79" i="8"/>
  <c r="G79" i="8"/>
  <c r="E79" i="8"/>
  <c r="D79" i="8"/>
  <c r="C79" i="8"/>
  <c r="B79" i="8"/>
  <c r="L76" i="8"/>
  <c r="B76" i="8"/>
  <c r="L75" i="8"/>
  <c r="B75" i="8"/>
  <c r="L74" i="8"/>
  <c r="B74" i="8"/>
  <c r="L73" i="8"/>
  <c r="B73" i="8"/>
  <c r="L72" i="8"/>
  <c r="B72" i="8"/>
  <c r="L71" i="8"/>
  <c r="B71" i="8"/>
  <c r="L70" i="8"/>
  <c r="B70" i="8"/>
  <c r="L69" i="8"/>
  <c r="B69" i="8"/>
  <c r="L68" i="8"/>
  <c r="B68" i="8"/>
  <c r="L67" i="8"/>
  <c r="B67" i="8"/>
  <c r="L66" i="8"/>
  <c r="B66" i="8"/>
  <c r="L65" i="8"/>
  <c r="B65" i="8"/>
  <c r="L64" i="8"/>
  <c r="B64" i="8"/>
  <c r="L63" i="8"/>
  <c r="B63" i="8"/>
  <c r="L62" i="8"/>
  <c r="B62" i="8"/>
  <c r="L61" i="8"/>
  <c r="B61" i="8"/>
  <c r="L60" i="8"/>
  <c r="B60" i="8"/>
  <c r="L59" i="8"/>
  <c r="B59" i="8"/>
  <c r="L58" i="8"/>
  <c r="B58" i="8"/>
  <c r="L57" i="8"/>
  <c r="B57" i="8"/>
  <c r="L56" i="8"/>
  <c r="B56" i="8"/>
  <c r="L55" i="8"/>
  <c r="B55" i="8"/>
  <c r="L54" i="8"/>
  <c r="B54" i="8"/>
  <c r="L53" i="8"/>
  <c r="B53" i="8"/>
  <c r="L52" i="8"/>
  <c r="B52" i="8"/>
  <c r="L51" i="8"/>
  <c r="B51" i="8"/>
  <c r="L50" i="8"/>
  <c r="B50" i="8"/>
  <c r="L49" i="8"/>
  <c r="B49" i="8"/>
  <c r="L48" i="8"/>
  <c r="B48" i="8"/>
  <c r="Q46" i="8"/>
  <c r="O46" i="8"/>
  <c r="N46" i="8"/>
  <c r="M46" i="8"/>
  <c r="L46" i="8"/>
  <c r="G46" i="8"/>
  <c r="E46" i="8"/>
  <c r="D46" i="8"/>
  <c r="C46" i="8"/>
  <c r="B46" i="8"/>
  <c r="L43" i="8"/>
  <c r="B43" i="8"/>
  <c r="L42" i="8"/>
  <c r="B42" i="8"/>
  <c r="L41" i="8"/>
  <c r="B41" i="8"/>
  <c r="L40" i="8"/>
  <c r="B40" i="8"/>
  <c r="L39" i="8"/>
  <c r="B39" i="8"/>
  <c r="L38" i="8"/>
  <c r="B38" i="8"/>
  <c r="L37" i="8"/>
  <c r="B37" i="8"/>
  <c r="L36" i="8"/>
  <c r="B36" i="8"/>
  <c r="L35" i="8"/>
  <c r="B35" i="8"/>
  <c r="L34" i="8"/>
  <c r="B34" i="8"/>
  <c r="L33" i="8"/>
  <c r="B33" i="8"/>
  <c r="L32" i="8"/>
  <c r="B32" i="8"/>
  <c r="L31" i="8"/>
  <c r="B31" i="8"/>
  <c r="L30" i="8"/>
  <c r="B30" i="8"/>
  <c r="L29" i="8"/>
  <c r="B29" i="8"/>
  <c r="L28" i="8"/>
  <c r="B28" i="8"/>
  <c r="L27" i="8"/>
  <c r="B27" i="8"/>
  <c r="L26" i="8"/>
  <c r="B26" i="8"/>
  <c r="L25" i="8"/>
  <c r="B25" i="8"/>
  <c r="L24" i="8"/>
  <c r="B24" i="8"/>
  <c r="L23" i="8"/>
  <c r="B23" i="8"/>
  <c r="L22" i="8"/>
  <c r="B22" i="8"/>
  <c r="L21" i="8"/>
  <c r="B21" i="8"/>
  <c r="L20" i="8"/>
  <c r="B20" i="8"/>
  <c r="L19" i="8"/>
  <c r="B19" i="8"/>
  <c r="L18" i="8"/>
  <c r="B18" i="8"/>
  <c r="L17" i="8"/>
  <c r="B17" i="8"/>
  <c r="L16" i="8"/>
  <c r="B16" i="8"/>
  <c r="L15" i="8"/>
  <c r="B15" i="8"/>
  <c r="Q13" i="8"/>
  <c r="O13" i="8"/>
  <c r="N13" i="8"/>
  <c r="M13" i="8"/>
  <c r="L13" i="8"/>
  <c r="G13" i="8"/>
  <c r="E13" i="8"/>
  <c r="D13" i="8"/>
  <c r="C13" i="8"/>
  <c r="B13" i="8"/>
  <c r="U8" i="7"/>
  <c r="T8" i="7"/>
  <c r="S8" i="7"/>
  <c r="R8" i="7"/>
  <c r="Q8" i="7"/>
  <c r="P8" i="7"/>
  <c r="O8" i="7"/>
  <c r="N8" i="7"/>
  <c r="M8" i="7"/>
  <c r="L8" i="7"/>
  <c r="K8" i="7"/>
  <c r="J8" i="7"/>
  <c r="I8" i="7"/>
  <c r="H8" i="7"/>
  <c r="G8" i="7"/>
  <c r="F8" i="7"/>
  <c r="E8" i="7"/>
  <c r="D8" i="7"/>
  <c r="C8" i="7"/>
  <c r="B8" i="7"/>
  <c r="B102" i="9" l="1"/>
  <c r="B270" i="9"/>
  <c r="B445" i="9"/>
  <c r="B516" i="9"/>
  <c r="B588" i="9"/>
  <c r="B410" i="9"/>
  <c r="B480" i="9"/>
  <c r="B552" i="9"/>
  <c r="B9" i="9"/>
  <c r="B167" i="9"/>
  <c r="B340" i="9"/>
  <c r="B660" i="9"/>
  <c r="B181" i="8"/>
  <c r="L181" i="8"/>
  <c r="E181" i="8"/>
  <c r="N181" i="8"/>
  <c r="L211" i="8"/>
  <c r="C181" i="8"/>
  <c r="D827" i="1" l="1"/>
  <c r="B827" i="1" l="1"/>
  <c r="I827" i="1" l="1"/>
  <c r="F845" i="1" l="1"/>
  <c r="J845" i="1" s="1"/>
  <c r="F824" i="1"/>
  <c r="J824" i="1" s="1"/>
  <c r="F823" i="1"/>
  <c r="J823" i="1" s="1"/>
  <c r="F822" i="1"/>
  <c r="J822" i="1" s="1"/>
  <c r="F821" i="1"/>
  <c r="J821" i="1" s="1"/>
  <c r="F820" i="1"/>
  <c r="J820" i="1" s="1"/>
  <c r="F819" i="1"/>
  <c r="J819" i="1" s="1"/>
  <c r="F818" i="1"/>
  <c r="J818" i="1" s="1"/>
  <c r="F817" i="1"/>
  <c r="J817" i="1" s="1"/>
  <c r="F816" i="1"/>
  <c r="J816" i="1" s="1"/>
  <c r="F815" i="1"/>
  <c r="J815" i="1" s="1"/>
  <c r="F814" i="1"/>
  <c r="J814" i="1" s="1"/>
  <c r="F813" i="1"/>
  <c r="J813" i="1" s="1"/>
  <c r="F812" i="1"/>
  <c r="J812" i="1" s="1"/>
  <c r="F811" i="1"/>
  <c r="J811" i="1" s="1"/>
  <c r="F810" i="1"/>
  <c r="J810" i="1" s="1"/>
  <c r="F809" i="1"/>
  <c r="J809" i="1" s="1"/>
  <c r="F808" i="1"/>
  <c r="J808" i="1" s="1"/>
  <c r="F807" i="1"/>
  <c r="J807" i="1" s="1"/>
  <c r="F806" i="1"/>
  <c r="J806" i="1" s="1"/>
  <c r="F805" i="1"/>
  <c r="J805" i="1" s="1"/>
  <c r="F804" i="1"/>
  <c r="J804" i="1" s="1"/>
  <c r="F803" i="1"/>
  <c r="J803" i="1" s="1"/>
  <c r="F802" i="1"/>
  <c r="J802" i="1" s="1"/>
  <c r="F801" i="1"/>
  <c r="J801" i="1" s="1"/>
  <c r="F800" i="1"/>
  <c r="J800" i="1" s="1"/>
  <c r="F799" i="1"/>
  <c r="J799" i="1" s="1"/>
  <c r="F798" i="1"/>
  <c r="J798" i="1" s="1"/>
  <c r="F797" i="1"/>
  <c r="J797" i="1" s="1"/>
  <c r="F796" i="1"/>
  <c r="J796" i="1" s="1"/>
  <c r="F795" i="1"/>
  <c r="J795" i="1" s="1"/>
  <c r="F794" i="1"/>
  <c r="F793" i="1"/>
  <c r="J793" i="1" s="1"/>
  <c r="F792" i="1"/>
  <c r="J792" i="1" s="1"/>
  <c r="O790" i="1"/>
  <c r="N790" i="1"/>
  <c r="M790" i="1"/>
  <c r="L790" i="1"/>
  <c r="I790" i="1"/>
  <c r="H790" i="1"/>
  <c r="G790" i="1"/>
  <c r="D790" i="1"/>
  <c r="B790" i="1"/>
  <c r="F790" i="1" l="1"/>
  <c r="J794" i="1"/>
  <c r="J790" i="1" s="1"/>
  <c r="F861" i="1"/>
  <c r="J861" i="1" s="1"/>
  <c r="F860" i="1"/>
  <c r="J860" i="1" s="1"/>
  <c r="F859" i="1"/>
  <c r="J859" i="1" s="1"/>
  <c r="F858" i="1"/>
  <c r="J858" i="1" s="1"/>
  <c r="F857" i="1"/>
  <c r="J857" i="1" s="1"/>
  <c r="F856" i="1"/>
  <c r="J856" i="1" s="1"/>
  <c r="F855" i="1"/>
  <c r="J855" i="1" s="1"/>
  <c r="F854" i="1"/>
  <c r="J854" i="1" s="1"/>
  <c r="F853" i="1"/>
  <c r="J853" i="1" s="1"/>
  <c r="F852" i="1"/>
  <c r="J852" i="1" s="1"/>
  <c r="F851" i="1"/>
  <c r="J851" i="1" s="1"/>
  <c r="F850" i="1"/>
  <c r="J850" i="1" s="1"/>
  <c r="F849" i="1"/>
  <c r="J849" i="1" s="1"/>
  <c r="F848" i="1"/>
  <c r="J848" i="1" s="1"/>
  <c r="F847" i="1"/>
  <c r="J847" i="1" s="1"/>
  <c r="F846" i="1"/>
  <c r="J846" i="1" s="1"/>
  <c r="F844" i="1"/>
  <c r="J844" i="1" s="1"/>
  <c r="F843" i="1"/>
  <c r="J843" i="1" s="1"/>
  <c r="F842" i="1"/>
  <c r="J842" i="1" s="1"/>
  <c r="F841" i="1"/>
  <c r="J841" i="1" s="1"/>
  <c r="F840" i="1"/>
  <c r="J840" i="1" s="1"/>
  <c r="F839" i="1"/>
  <c r="J839" i="1" s="1"/>
  <c r="F838" i="1"/>
  <c r="J838" i="1" s="1"/>
  <c r="F837" i="1"/>
  <c r="J837" i="1" s="1"/>
  <c r="F836" i="1"/>
  <c r="J836" i="1" s="1"/>
  <c r="F835" i="1"/>
  <c r="J835" i="1" s="1"/>
  <c r="F834" i="1"/>
  <c r="J834" i="1" s="1"/>
  <c r="F833" i="1"/>
  <c r="J833" i="1" s="1"/>
  <c r="F832" i="1"/>
  <c r="J832" i="1" s="1"/>
  <c r="F831" i="1"/>
  <c r="J831" i="1" s="1"/>
  <c r="F830" i="1"/>
  <c r="J830" i="1" s="1"/>
  <c r="F829" i="1"/>
  <c r="J829" i="1" s="1"/>
  <c r="O827" i="1"/>
  <c r="N827" i="1"/>
  <c r="M827" i="1"/>
  <c r="L827" i="1"/>
  <c r="H827" i="1"/>
  <c r="G827" i="1"/>
  <c r="F787" i="1"/>
  <c r="J787" i="1" s="1"/>
  <c r="F786" i="1"/>
  <c r="J786" i="1" s="1"/>
  <c r="F785" i="1"/>
  <c r="J785" i="1" s="1"/>
  <c r="F784" i="1"/>
  <c r="J784" i="1" s="1"/>
  <c r="F783" i="1"/>
  <c r="J783" i="1" s="1"/>
  <c r="F782" i="1"/>
  <c r="J782" i="1" s="1"/>
  <c r="F781" i="1"/>
  <c r="J781" i="1" s="1"/>
  <c r="F780" i="1"/>
  <c r="J780" i="1" s="1"/>
  <c r="F779" i="1"/>
  <c r="J779" i="1" s="1"/>
  <c r="F778" i="1"/>
  <c r="J778" i="1" s="1"/>
  <c r="F777" i="1"/>
  <c r="J777" i="1" s="1"/>
  <c r="F776" i="1"/>
  <c r="J776" i="1" s="1"/>
  <c r="F775" i="1"/>
  <c r="J775" i="1" s="1"/>
  <c r="F774" i="1"/>
  <c r="J774" i="1" s="1"/>
  <c r="F773" i="1"/>
  <c r="J773" i="1" s="1"/>
  <c r="F772" i="1"/>
  <c r="J772" i="1" s="1"/>
  <c r="F771" i="1"/>
  <c r="J771" i="1" s="1"/>
  <c r="F770" i="1"/>
  <c r="J770" i="1" s="1"/>
  <c r="F769" i="1"/>
  <c r="J769" i="1" s="1"/>
  <c r="F768" i="1"/>
  <c r="J768" i="1" s="1"/>
  <c r="F767" i="1"/>
  <c r="J767" i="1" s="1"/>
  <c r="F766" i="1"/>
  <c r="J766" i="1" s="1"/>
  <c r="F765" i="1"/>
  <c r="J765" i="1" s="1"/>
  <c r="F764" i="1"/>
  <c r="J764" i="1" s="1"/>
  <c r="F763" i="1"/>
  <c r="J763" i="1" s="1"/>
  <c r="F762" i="1"/>
  <c r="J762" i="1" s="1"/>
  <c r="F761" i="1"/>
  <c r="J761" i="1" s="1"/>
  <c r="F760" i="1"/>
  <c r="J760" i="1" s="1"/>
  <c r="F759" i="1"/>
  <c r="J759" i="1" s="1"/>
  <c r="F758" i="1"/>
  <c r="J758" i="1" s="1"/>
  <c r="F757" i="1"/>
  <c r="J757" i="1" s="1"/>
  <c r="F756" i="1"/>
  <c r="J756" i="1" s="1"/>
  <c r="F755" i="1"/>
  <c r="J755" i="1" s="1"/>
  <c r="O753" i="1"/>
  <c r="N753" i="1"/>
  <c r="M753" i="1"/>
  <c r="L753" i="1"/>
  <c r="I753" i="1"/>
  <c r="H753" i="1"/>
  <c r="G753" i="1"/>
  <c r="D753" i="1"/>
  <c r="B753" i="1"/>
  <c r="O750" i="1"/>
  <c r="F750" i="1"/>
  <c r="O749" i="1"/>
  <c r="F749" i="1"/>
  <c r="O748" i="1"/>
  <c r="F748" i="1"/>
  <c r="O747" i="1"/>
  <c r="F747" i="1"/>
  <c r="O746" i="1"/>
  <c r="F746" i="1"/>
  <c r="O745" i="1"/>
  <c r="F745" i="1"/>
  <c r="O744" i="1"/>
  <c r="F744" i="1"/>
  <c r="O743" i="1"/>
  <c r="F743" i="1"/>
  <c r="O742" i="1"/>
  <c r="F742" i="1"/>
  <c r="O741" i="1"/>
  <c r="F741" i="1"/>
  <c r="O740" i="1"/>
  <c r="F740" i="1"/>
  <c r="O739" i="1"/>
  <c r="F739" i="1"/>
  <c r="O738" i="1"/>
  <c r="F738" i="1"/>
  <c r="O737" i="1"/>
  <c r="F737" i="1"/>
  <c r="O736" i="1"/>
  <c r="F736" i="1"/>
  <c r="O735" i="1"/>
  <c r="F735" i="1"/>
  <c r="O734" i="1"/>
  <c r="F734" i="1"/>
  <c r="O733" i="1"/>
  <c r="F733" i="1"/>
  <c r="F732" i="1"/>
  <c r="O731" i="1"/>
  <c r="F731" i="1"/>
  <c r="O730" i="1"/>
  <c r="F730" i="1"/>
  <c r="O729" i="1"/>
  <c r="F729" i="1"/>
  <c r="O728" i="1"/>
  <c r="F728" i="1"/>
  <c r="O727" i="1"/>
  <c r="F727" i="1"/>
  <c r="O726" i="1"/>
  <c r="F726" i="1"/>
  <c r="O725" i="1"/>
  <c r="F725" i="1"/>
  <c r="O724" i="1"/>
  <c r="F724" i="1"/>
  <c r="O723" i="1"/>
  <c r="F723" i="1"/>
  <c r="O722" i="1"/>
  <c r="F722" i="1"/>
  <c r="O721" i="1"/>
  <c r="F721" i="1"/>
  <c r="O720" i="1"/>
  <c r="F720" i="1"/>
  <c r="O719" i="1"/>
  <c r="F719" i="1"/>
  <c r="O718" i="1"/>
  <c r="F718" i="1"/>
  <c r="N716" i="1"/>
  <c r="M716" i="1"/>
  <c r="L716" i="1"/>
  <c r="J716" i="1"/>
  <c r="I716" i="1"/>
  <c r="H716" i="1"/>
  <c r="G716" i="1"/>
  <c r="D716" i="1"/>
  <c r="B716" i="1"/>
  <c r="F713" i="1"/>
  <c r="F712" i="1"/>
  <c r="F711" i="1"/>
  <c r="F710" i="1"/>
  <c r="F709" i="1"/>
  <c r="F708" i="1"/>
  <c r="F707" i="1"/>
  <c r="F706" i="1"/>
  <c r="F705" i="1"/>
  <c r="F704" i="1"/>
  <c r="F703" i="1"/>
  <c r="F702" i="1"/>
  <c r="F701" i="1"/>
  <c r="F700" i="1"/>
  <c r="F699" i="1"/>
  <c r="F698" i="1"/>
  <c r="F697" i="1"/>
  <c r="F696" i="1"/>
  <c r="F695" i="1"/>
  <c r="F694" i="1"/>
  <c r="F693" i="1"/>
  <c r="F692" i="1"/>
  <c r="F691" i="1"/>
  <c r="F690" i="1"/>
  <c r="F689" i="1"/>
  <c r="F688" i="1"/>
  <c r="F687" i="1"/>
  <c r="F686" i="1"/>
  <c r="F685" i="1"/>
  <c r="F684" i="1"/>
  <c r="F683" i="1"/>
  <c r="F682" i="1"/>
  <c r="F681" i="1"/>
  <c r="O679" i="1"/>
  <c r="N679" i="1"/>
  <c r="M679" i="1"/>
  <c r="L679" i="1"/>
  <c r="J679" i="1"/>
  <c r="I679" i="1"/>
  <c r="H679" i="1"/>
  <c r="G679" i="1"/>
  <c r="D679" i="1"/>
  <c r="B679" i="1"/>
  <c r="F676" i="1"/>
  <c r="F675" i="1"/>
  <c r="F674" i="1"/>
  <c r="F673" i="1"/>
  <c r="F672" i="1"/>
  <c r="F671" i="1"/>
  <c r="F670" i="1"/>
  <c r="F669" i="1"/>
  <c r="F668" i="1"/>
  <c r="F667" i="1"/>
  <c r="F666" i="1"/>
  <c r="F665" i="1"/>
  <c r="F664" i="1"/>
  <c r="F663" i="1"/>
  <c r="F662" i="1"/>
  <c r="F661" i="1"/>
  <c r="F660" i="1"/>
  <c r="F659" i="1"/>
  <c r="F658" i="1"/>
  <c r="F657" i="1"/>
  <c r="F656" i="1"/>
  <c r="F655" i="1"/>
  <c r="F654" i="1"/>
  <c r="F653" i="1"/>
  <c r="F652" i="1"/>
  <c r="F651" i="1"/>
  <c r="F650" i="1"/>
  <c r="F649" i="1"/>
  <c r="F648" i="1"/>
  <c r="F647" i="1"/>
  <c r="F646" i="1"/>
  <c r="F645" i="1"/>
  <c r="F644" i="1"/>
  <c r="O642" i="1"/>
  <c r="N642" i="1"/>
  <c r="M642" i="1"/>
  <c r="L642" i="1"/>
  <c r="J642" i="1"/>
  <c r="I642" i="1"/>
  <c r="H642" i="1"/>
  <c r="G642" i="1"/>
  <c r="D642" i="1"/>
  <c r="B642" i="1"/>
  <c r="F639" i="1"/>
  <c r="F638" i="1"/>
  <c r="F637" i="1"/>
  <c r="F636" i="1"/>
  <c r="F635" i="1"/>
  <c r="F634" i="1"/>
  <c r="F633" i="1"/>
  <c r="F632" i="1"/>
  <c r="F631" i="1"/>
  <c r="F630" i="1"/>
  <c r="F629" i="1"/>
  <c r="F628" i="1"/>
  <c r="F627" i="1"/>
  <c r="F626" i="1"/>
  <c r="F625" i="1"/>
  <c r="F624" i="1"/>
  <c r="F623" i="1"/>
  <c r="F622" i="1"/>
  <c r="F621" i="1"/>
  <c r="F620" i="1"/>
  <c r="F619" i="1"/>
  <c r="F618" i="1"/>
  <c r="F617" i="1"/>
  <c r="F616" i="1"/>
  <c r="F615" i="1"/>
  <c r="F614" i="1"/>
  <c r="F613" i="1"/>
  <c r="F612" i="1"/>
  <c r="F611" i="1"/>
  <c r="F610" i="1"/>
  <c r="F609" i="1"/>
  <c r="F608" i="1"/>
  <c r="F607" i="1"/>
  <c r="O605" i="1"/>
  <c r="N605" i="1"/>
  <c r="M605" i="1"/>
  <c r="L605" i="1"/>
  <c r="J605" i="1"/>
  <c r="I605" i="1"/>
  <c r="H605" i="1"/>
  <c r="G605" i="1"/>
  <c r="D605" i="1"/>
  <c r="B605" i="1"/>
  <c r="O602" i="1"/>
  <c r="F602" i="1"/>
  <c r="J602" i="1" s="1"/>
  <c r="O601" i="1"/>
  <c r="F601" i="1"/>
  <c r="J601" i="1" s="1"/>
  <c r="O600" i="1"/>
  <c r="F600" i="1"/>
  <c r="J600" i="1" s="1"/>
  <c r="O599" i="1"/>
  <c r="F599" i="1"/>
  <c r="J599" i="1" s="1"/>
  <c r="O598" i="1"/>
  <c r="F598" i="1"/>
  <c r="J598" i="1" s="1"/>
  <c r="O597" i="1"/>
  <c r="F597" i="1"/>
  <c r="J597" i="1" s="1"/>
  <c r="O596" i="1"/>
  <c r="F596" i="1"/>
  <c r="J596" i="1" s="1"/>
  <c r="O595" i="1"/>
  <c r="F595" i="1"/>
  <c r="J595" i="1" s="1"/>
  <c r="O594" i="1"/>
  <c r="F594" i="1"/>
  <c r="J594" i="1" s="1"/>
  <c r="O593" i="1"/>
  <c r="F593" i="1"/>
  <c r="J593" i="1" s="1"/>
  <c r="O592" i="1"/>
  <c r="F592" i="1"/>
  <c r="J592" i="1" s="1"/>
  <c r="O591" i="1"/>
  <c r="F591" i="1"/>
  <c r="J591" i="1" s="1"/>
  <c r="O590" i="1"/>
  <c r="J590" i="1"/>
  <c r="F590" i="1"/>
  <c r="O589" i="1"/>
  <c r="F589" i="1"/>
  <c r="J589" i="1" s="1"/>
  <c r="O588" i="1"/>
  <c r="F588" i="1"/>
  <c r="J588" i="1" s="1"/>
  <c r="O587" i="1"/>
  <c r="F587" i="1"/>
  <c r="J587" i="1" s="1"/>
  <c r="O586" i="1"/>
  <c r="F586" i="1"/>
  <c r="J586" i="1" s="1"/>
  <c r="O585" i="1"/>
  <c r="F585" i="1"/>
  <c r="J585" i="1" s="1"/>
  <c r="O584" i="1"/>
  <c r="F584" i="1"/>
  <c r="J584" i="1" s="1"/>
  <c r="O583" i="1"/>
  <c r="F583" i="1"/>
  <c r="J583" i="1" s="1"/>
  <c r="O582" i="1"/>
  <c r="F582" i="1"/>
  <c r="J582" i="1" s="1"/>
  <c r="O581" i="1"/>
  <c r="F581" i="1"/>
  <c r="J581" i="1" s="1"/>
  <c r="O580" i="1"/>
  <c r="F580" i="1"/>
  <c r="J580" i="1" s="1"/>
  <c r="O579" i="1"/>
  <c r="F579" i="1"/>
  <c r="J579" i="1" s="1"/>
  <c r="O578" i="1"/>
  <c r="F578" i="1"/>
  <c r="J578" i="1" s="1"/>
  <c r="O577" i="1"/>
  <c r="F577" i="1"/>
  <c r="J577" i="1" s="1"/>
  <c r="O576" i="1"/>
  <c r="F576" i="1"/>
  <c r="J576" i="1" s="1"/>
  <c r="O575" i="1"/>
  <c r="F575" i="1"/>
  <c r="J575" i="1" s="1"/>
  <c r="O574" i="1"/>
  <c r="F574" i="1"/>
  <c r="J574" i="1" s="1"/>
  <c r="O573" i="1"/>
  <c r="F573" i="1"/>
  <c r="J573" i="1" s="1"/>
  <c r="O572" i="1"/>
  <c r="F572" i="1"/>
  <c r="O571" i="1"/>
  <c r="F571" i="1"/>
  <c r="J571" i="1" s="1"/>
  <c r="O570" i="1"/>
  <c r="F570" i="1"/>
  <c r="J570" i="1" s="1"/>
  <c r="N568" i="1"/>
  <c r="M568" i="1"/>
  <c r="L568" i="1"/>
  <c r="I568" i="1"/>
  <c r="H568" i="1"/>
  <c r="G568" i="1"/>
  <c r="D568" i="1"/>
  <c r="B568" i="1"/>
  <c r="O565" i="1"/>
  <c r="F565" i="1"/>
  <c r="J565" i="1" s="1"/>
  <c r="O564" i="1"/>
  <c r="F564" i="1"/>
  <c r="J564" i="1" s="1"/>
  <c r="O563" i="1"/>
  <c r="F563" i="1"/>
  <c r="J563" i="1" s="1"/>
  <c r="O562" i="1"/>
  <c r="F562" i="1"/>
  <c r="J562" i="1" s="1"/>
  <c r="O561" i="1"/>
  <c r="F561" i="1"/>
  <c r="J561" i="1" s="1"/>
  <c r="O560" i="1"/>
  <c r="F560" i="1"/>
  <c r="J560" i="1" s="1"/>
  <c r="O559" i="1"/>
  <c r="F559" i="1"/>
  <c r="J559" i="1" s="1"/>
  <c r="O558" i="1"/>
  <c r="F558" i="1"/>
  <c r="J558" i="1" s="1"/>
  <c r="O557" i="1"/>
  <c r="F557" i="1"/>
  <c r="J557" i="1" s="1"/>
  <c r="O556" i="1"/>
  <c r="F556" i="1"/>
  <c r="J556" i="1" s="1"/>
  <c r="O555" i="1"/>
  <c r="F555" i="1"/>
  <c r="J555" i="1" s="1"/>
  <c r="O554" i="1"/>
  <c r="F554" i="1"/>
  <c r="J554" i="1" s="1"/>
  <c r="O553" i="1"/>
  <c r="F553" i="1"/>
  <c r="J553" i="1" s="1"/>
  <c r="O552" i="1"/>
  <c r="F552" i="1"/>
  <c r="J552" i="1" s="1"/>
  <c r="O551" i="1"/>
  <c r="F551" i="1"/>
  <c r="J551" i="1" s="1"/>
  <c r="O550" i="1"/>
  <c r="F550" i="1"/>
  <c r="J550" i="1" s="1"/>
  <c r="O549" i="1"/>
  <c r="F549" i="1"/>
  <c r="J549" i="1" s="1"/>
  <c r="O548" i="1"/>
  <c r="F548" i="1"/>
  <c r="J548" i="1" s="1"/>
  <c r="O547" i="1"/>
  <c r="F547" i="1"/>
  <c r="J547" i="1" s="1"/>
  <c r="O546" i="1"/>
  <c r="F546" i="1"/>
  <c r="J546" i="1" s="1"/>
  <c r="O545" i="1"/>
  <c r="F545" i="1"/>
  <c r="J545" i="1" s="1"/>
  <c r="O544" i="1"/>
  <c r="F544" i="1"/>
  <c r="J544" i="1" s="1"/>
  <c r="O543" i="1"/>
  <c r="F543" i="1"/>
  <c r="J543" i="1" s="1"/>
  <c r="O542" i="1"/>
  <c r="F542" i="1"/>
  <c r="J542" i="1" s="1"/>
  <c r="O541" i="1"/>
  <c r="F541" i="1"/>
  <c r="J541" i="1" s="1"/>
  <c r="O540" i="1"/>
  <c r="F540" i="1"/>
  <c r="J540" i="1" s="1"/>
  <c r="O539" i="1"/>
  <c r="F539" i="1"/>
  <c r="J539" i="1" s="1"/>
  <c r="O538" i="1"/>
  <c r="F538" i="1"/>
  <c r="J538" i="1" s="1"/>
  <c r="O537" i="1"/>
  <c r="F537" i="1"/>
  <c r="J537" i="1" s="1"/>
  <c r="O536" i="1"/>
  <c r="F536" i="1"/>
  <c r="J536" i="1" s="1"/>
  <c r="O535" i="1"/>
  <c r="F535" i="1"/>
  <c r="J535" i="1" s="1"/>
  <c r="O534" i="1"/>
  <c r="F534" i="1"/>
  <c r="J534" i="1" s="1"/>
  <c r="O533" i="1"/>
  <c r="F533" i="1"/>
  <c r="N531" i="1"/>
  <c r="M531" i="1"/>
  <c r="L531" i="1"/>
  <c r="I531" i="1"/>
  <c r="H531" i="1"/>
  <c r="G531" i="1"/>
  <c r="D531" i="1"/>
  <c r="B531" i="1"/>
  <c r="O528" i="1"/>
  <c r="F528" i="1"/>
  <c r="J528" i="1" s="1"/>
  <c r="O527" i="1"/>
  <c r="F527" i="1"/>
  <c r="J527" i="1" s="1"/>
  <c r="O526" i="1"/>
  <c r="F526" i="1"/>
  <c r="J526" i="1" s="1"/>
  <c r="O525" i="1"/>
  <c r="F525" i="1"/>
  <c r="J525" i="1" s="1"/>
  <c r="O524" i="1"/>
  <c r="F524" i="1"/>
  <c r="J524" i="1" s="1"/>
  <c r="O523" i="1"/>
  <c r="F523" i="1"/>
  <c r="J523" i="1" s="1"/>
  <c r="O522" i="1"/>
  <c r="F522" i="1"/>
  <c r="J522" i="1" s="1"/>
  <c r="O521" i="1"/>
  <c r="F521" i="1"/>
  <c r="J521" i="1" s="1"/>
  <c r="O520" i="1"/>
  <c r="F520" i="1"/>
  <c r="J520" i="1" s="1"/>
  <c r="O519" i="1"/>
  <c r="F519" i="1"/>
  <c r="J519" i="1" s="1"/>
  <c r="O518" i="1"/>
  <c r="F518" i="1"/>
  <c r="J518" i="1" s="1"/>
  <c r="O517" i="1"/>
  <c r="F517" i="1"/>
  <c r="J517" i="1" s="1"/>
  <c r="O516" i="1"/>
  <c r="F516" i="1"/>
  <c r="J516" i="1" s="1"/>
  <c r="O515" i="1"/>
  <c r="F515" i="1"/>
  <c r="J515" i="1" s="1"/>
  <c r="O514" i="1"/>
  <c r="F514" i="1"/>
  <c r="J514" i="1" s="1"/>
  <c r="O513" i="1"/>
  <c r="F513" i="1"/>
  <c r="J513" i="1" s="1"/>
  <c r="O512" i="1"/>
  <c r="F512" i="1"/>
  <c r="J512" i="1" s="1"/>
  <c r="O511" i="1"/>
  <c r="F511" i="1"/>
  <c r="J511" i="1" s="1"/>
  <c r="O510" i="1"/>
  <c r="F510" i="1"/>
  <c r="J510" i="1" s="1"/>
  <c r="O509" i="1"/>
  <c r="F509" i="1"/>
  <c r="J509" i="1" s="1"/>
  <c r="O508" i="1"/>
  <c r="F508" i="1"/>
  <c r="J508" i="1" s="1"/>
  <c r="O507" i="1"/>
  <c r="F507" i="1"/>
  <c r="J507" i="1" s="1"/>
  <c r="O506" i="1"/>
  <c r="F506" i="1"/>
  <c r="J506" i="1" s="1"/>
  <c r="O505" i="1"/>
  <c r="F505" i="1"/>
  <c r="J505" i="1" s="1"/>
  <c r="O504" i="1"/>
  <c r="F504" i="1"/>
  <c r="J504" i="1" s="1"/>
  <c r="O503" i="1"/>
  <c r="F503" i="1"/>
  <c r="J503" i="1" s="1"/>
  <c r="O502" i="1"/>
  <c r="F502" i="1"/>
  <c r="J502" i="1" s="1"/>
  <c r="O501" i="1"/>
  <c r="F501" i="1"/>
  <c r="J501" i="1" s="1"/>
  <c r="O500" i="1"/>
  <c r="F500" i="1"/>
  <c r="J500" i="1" s="1"/>
  <c r="O499" i="1"/>
  <c r="J499" i="1"/>
  <c r="F499" i="1"/>
  <c r="O498" i="1"/>
  <c r="F498" i="1"/>
  <c r="O497" i="1"/>
  <c r="F497" i="1"/>
  <c r="J497" i="1" s="1"/>
  <c r="O496" i="1"/>
  <c r="F496" i="1"/>
  <c r="J496" i="1" s="1"/>
  <c r="N494" i="1"/>
  <c r="M494" i="1"/>
  <c r="L494" i="1"/>
  <c r="I494" i="1"/>
  <c r="H494" i="1"/>
  <c r="G494" i="1"/>
  <c r="D494" i="1"/>
  <c r="B494" i="1"/>
  <c r="O491" i="1"/>
  <c r="F491" i="1"/>
  <c r="J491" i="1" s="1"/>
  <c r="O490" i="1"/>
  <c r="F490" i="1"/>
  <c r="J490" i="1" s="1"/>
  <c r="O489" i="1"/>
  <c r="F489" i="1"/>
  <c r="J489" i="1" s="1"/>
  <c r="O488" i="1"/>
  <c r="F488" i="1"/>
  <c r="J488" i="1" s="1"/>
  <c r="O487" i="1"/>
  <c r="F487" i="1"/>
  <c r="J487" i="1" s="1"/>
  <c r="O486" i="1"/>
  <c r="F486" i="1"/>
  <c r="J486" i="1" s="1"/>
  <c r="O485" i="1"/>
  <c r="F485" i="1"/>
  <c r="J485" i="1" s="1"/>
  <c r="O484" i="1"/>
  <c r="F484" i="1"/>
  <c r="J484" i="1" s="1"/>
  <c r="O483" i="1"/>
  <c r="F483" i="1"/>
  <c r="J483" i="1" s="1"/>
  <c r="O482" i="1"/>
  <c r="F482" i="1"/>
  <c r="J482" i="1" s="1"/>
  <c r="O481" i="1"/>
  <c r="F481" i="1"/>
  <c r="J481" i="1" s="1"/>
  <c r="O480" i="1"/>
  <c r="F480" i="1"/>
  <c r="J480" i="1" s="1"/>
  <c r="O479" i="1"/>
  <c r="F479" i="1"/>
  <c r="J479" i="1" s="1"/>
  <c r="O478" i="1"/>
  <c r="F478" i="1"/>
  <c r="J478" i="1" s="1"/>
  <c r="O477" i="1"/>
  <c r="F477" i="1"/>
  <c r="J477" i="1" s="1"/>
  <c r="O476" i="1"/>
  <c r="F476" i="1"/>
  <c r="J476" i="1" s="1"/>
  <c r="O475" i="1"/>
  <c r="F475" i="1"/>
  <c r="J475" i="1" s="1"/>
  <c r="O474" i="1"/>
  <c r="F474" i="1"/>
  <c r="J474" i="1" s="1"/>
  <c r="O473" i="1"/>
  <c r="F473" i="1"/>
  <c r="J473" i="1" s="1"/>
  <c r="O472" i="1"/>
  <c r="F472" i="1"/>
  <c r="J472" i="1" s="1"/>
  <c r="O471" i="1"/>
  <c r="F471" i="1"/>
  <c r="J471" i="1" s="1"/>
  <c r="O470" i="1"/>
  <c r="F470" i="1"/>
  <c r="J470" i="1" s="1"/>
  <c r="O469" i="1"/>
  <c r="F469" i="1"/>
  <c r="J469" i="1" s="1"/>
  <c r="O468" i="1"/>
  <c r="F468" i="1"/>
  <c r="J468" i="1" s="1"/>
  <c r="O467" i="1"/>
  <c r="F467" i="1"/>
  <c r="J467" i="1" s="1"/>
  <c r="O466" i="1"/>
  <c r="F466" i="1"/>
  <c r="J466" i="1" s="1"/>
  <c r="O465" i="1"/>
  <c r="F465" i="1"/>
  <c r="J465" i="1" s="1"/>
  <c r="O464" i="1"/>
  <c r="F464" i="1"/>
  <c r="J464" i="1" s="1"/>
  <c r="O463" i="1"/>
  <c r="F463" i="1"/>
  <c r="J463" i="1" s="1"/>
  <c r="O462" i="1"/>
  <c r="F462" i="1"/>
  <c r="J462" i="1" s="1"/>
  <c r="O461" i="1"/>
  <c r="J461" i="1"/>
  <c r="F461" i="1"/>
  <c r="O460" i="1"/>
  <c r="F460" i="1"/>
  <c r="J460" i="1" s="1"/>
  <c r="O459" i="1"/>
  <c r="F459" i="1"/>
  <c r="N457" i="1"/>
  <c r="M457" i="1"/>
  <c r="L457" i="1"/>
  <c r="I457" i="1"/>
  <c r="H457" i="1"/>
  <c r="G457" i="1"/>
  <c r="D457" i="1"/>
  <c r="B457" i="1"/>
  <c r="O454" i="1"/>
  <c r="F454" i="1"/>
  <c r="J454" i="1" s="1"/>
  <c r="O453" i="1"/>
  <c r="F453" i="1"/>
  <c r="J453" i="1" s="1"/>
  <c r="O452" i="1"/>
  <c r="F452" i="1"/>
  <c r="J452" i="1" s="1"/>
  <c r="O451" i="1"/>
  <c r="F451" i="1"/>
  <c r="J451" i="1" s="1"/>
  <c r="O450" i="1"/>
  <c r="F450" i="1"/>
  <c r="J450" i="1" s="1"/>
  <c r="O449" i="1"/>
  <c r="F449" i="1"/>
  <c r="J449" i="1" s="1"/>
  <c r="O448" i="1"/>
  <c r="F448" i="1"/>
  <c r="J448" i="1" s="1"/>
  <c r="O447" i="1"/>
  <c r="F447" i="1"/>
  <c r="J447" i="1" s="1"/>
  <c r="O446" i="1"/>
  <c r="F446" i="1"/>
  <c r="J446" i="1" s="1"/>
  <c r="O445" i="1"/>
  <c r="J445" i="1"/>
  <c r="F445" i="1"/>
  <c r="O444" i="1"/>
  <c r="F444" i="1"/>
  <c r="J444" i="1" s="1"/>
  <c r="O443" i="1"/>
  <c r="F443" i="1"/>
  <c r="J443" i="1" s="1"/>
  <c r="O442" i="1"/>
  <c r="F442" i="1"/>
  <c r="J442" i="1" s="1"/>
  <c r="O441" i="1"/>
  <c r="F441" i="1"/>
  <c r="J441" i="1" s="1"/>
  <c r="O440" i="1"/>
  <c r="F440" i="1"/>
  <c r="J440" i="1" s="1"/>
  <c r="O439" i="1"/>
  <c r="F439" i="1"/>
  <c r="J439" i="1" s="1"/>
  <c r="O438" i="1"/>
  <c r="F438" i="1"/>
  <c r="J438" i="1" s="1"/>
  <c r="O437" i="1"/>
  <c r="F437" i="1"/>
  <c r="J437" i="1" s="1"/>
  <c r="O436" i="1"/>
  <c r="F436" i="1"/>
  <c r="J436" i="1" s="1"/>
  <c r="O435" i="1"/>
  <c r="F435" i="1"/>
  <c r="J435" i="1" s="1"/>
  <c r="O434" i="1"/>
  <c r="F434" i="1"/>
  <c r="J434" i="1" s="1"/>
  <c r="O433" i="1"/>
  <c r="F433" i="1"/>
  <c r="J433" i="1" s="1"/>
  <c r="O432" i="1"/>
  <c r="F432" i="1"/>
  <c r="J432" i="1" s="1"/>
  <c r="O431" i="1"/>
  <c r="F431" i="1"/>
  <c r="J431" i="1" s="1"/>
  <c r="O430" i="1"/>
  <c r="F430" i="1"/>
  <c r="J430" i="1" s="1"/>
  <c r="O429" i="1"/>
  <c r="F429" i="1"/>
  <c r="J429" i="1" s="1"/>
  <c r="O428" i="1"/>
  <c r="F428" i="1"/>
  <c r="J428" i="1" s="1"/>
  <c r="O427" i="1"/>
  <c r="F427" i="1"/>
  <c r="J427" i="1" s="1"/>
  <c r="O426" i="1"/>
  <c r="F426" i="1"/>
  <c r="J426" i="1" s="1"/>
  <c r="O425" i="1"/>
  <c r="F425" i="1"/>
  <c r="J425" i="1" s="1"/>
  <c r="O424" i="1"/>
  <c r="F424" i="1"/>
  <c r="J424" i="1" s="1"/>
  <c r="O423" i="1"/>
  <c r="F423" i="1"/>
  <c r="J423" i="1" s="1"/>
  <c r="O422" i="1"/>
  <c r="F422" i="1"/>
  <c r="J422" i="1" s="1"/>
  <c r="N420" i="1"/>
  <c r="M420" i="1"/>
  <c r="L420" i="1"/>
  <c r="I420" i="1"/>
  <c r="H420" i="1"/>
  <c r="G420" i="1"/>
  <c r="D420" i="1"/>
  <c r="B420" i="1"/>
  <c r="O417" i="1"/>
  <c r="F417" i="1"/>
  <c r="J417" i="1" s="1"/>
  <c r="O416" i="1"/>
  <c r="F416" i="1"/>
  <c r="J416" i="1" s="1"/>
  <c r="O415" i="1"/>
  <c r="F415" i="1"/>
  <c r="J415" i="1" s="1"/>
  <c r="O414" i="1"/>
  <c r="F414" i="1"/>
  <c r="J414" i="1" s="1"/>
  <c r="O413" i="1"/>
  <c r="F413" i="1"/>
  <c r="J413" i="1" s="1"/>
  <c r="O412" i="1"/>
  <c r="F412" i="1"/>
  <c r="J412" i="1" s="1"/>
  <c r="O411" i="1"/>
  <c r="F411" i="1"/>
  <c r="J411" i="1" s="1"/>
  <c r="O410" i="1"/>
  <c r="F410" i="1"/>
  <c r="J410" i="1" s="1"/>
  <c r="O409" i="1"/>
  <c r="F409" i="1"/>
  <c r="J409" i="1" s="1"/>
  <c r="O408" i="1"/>
  <c r="F408" i="1"/>
  <c r="J408" i="1" s="1"/>
  <c r="O407" i="1"/>
  <c r="F407" i="1"/>
  <c r="J407" i="1" s="1"/>
  <c r="O406" i="1"/>
  <c r="F406" i="1"/>
  <c r="J406" i="1" s="1"/>
  <c r="O405" i="1"/>
  <c r="F405" i="1"/>
  <c r="J405" i="1" s="1"/>
  <c r="O404" i="1"/>
  <c r="F404" i="1"/>
  <c r="J404" i="1" s="1"/>
  <c r="O403" i="1"/>
  <c r="F403" i="1"/>
  <c r="J403" i="1" s="1"/>
  <c r="O402" i="1"/>
  <c r="F402" i="1"/>
  <c r="J402" i="1" s="1"/>
  <c r="O401" i="1"/>
  <c r="F401" i="1"/>
  <c r="J401" i="1" s="1"/>
  <c r="O400" i="1"/>
  <c r="F400" i="1"/>
  <c r="J400" i="1" s="1"/>
  <c r="O399" i="1"/>
  <c r="F399" i="1"/>
  <c r="J399" i="1" s="1"/>
  <c r="O398" i="1"/>
  <c r="J398" i="1"/>
  <c r="F398" i="1"/>
  <c r="O397" i="1"/>
  <c r="F397" i="1"/>
  <c r="J397" i="1" s="1"/>
  <c r="O396" i="1"/>
  <c r="F396" i="1"/>
  <c r="J396" i="1" s="1"/>
  <c r="O395" i="1"/>
  <c r="F395" i="1"/>
  <c r="J395" i="1" s="1"/>
  <c r="O394" i="1"/>
  <c r="F394" i="1"/>
  <c r="J394" i="1" s="1"/>
  <c r="O393" i="1"/>
  <c r="F393" i="1"/>
  <c r="J393" i="1" s="1"/>
  <c r="O392" i="1"/>
  <c r="F392" i="1"/>
  <c r="J392" i="1" s="1"/>
  <c r="O391" i="1"/>
  <c r="F391" i="1"/>
  <c r="J391" i="1" s="1"/>
  <c r="O390" i="1"/>
  <c r="F390" i="1"/>
  <c r="J390" i="1" s="1"/>
  <c r="O389" i="1"/>
  <c r="F389" i="1"/>
  <c r="J389" i="1" s="1"/>
  <c r="O388" i="1"/>
  <c r="F388" i="1"/>
  <c r="J388" i="1" s="1"/>
  <c r="O387" i="1"/>
  <c r="F387" i="1"/>
  <c r="J387" i="1" s="1"/>
  <c r="O386" i="1"/>
  <c r="F386" i="1"/>
  <c r="J386" i="1" s="1"/>
  <c r="O385" i="1"/>
  <c r="F385" i="1"/>
  <c r="N383" i="1"/>
  <c r="M383" i="1"/>
  <c r="L383" i="1"/>
  <c r="I383" i="1"/>
  <c r="H383" i="1"/>
  <c r="G383" i="1"/>
  <c r="D383" i="1"/>
  <c r="B383" i="1"/>
  <c r="O380" i="1"/>
  <c r="F380" i="1"/>
  <c r="J380" i="1" s="1"/>
  <c r="O379" i="1"/>
  <c r="F379" i="1"/>
  <c r="J379" i="1" s="1"/>
  <c r="O378" i="1"/>
  <c r="F378" i="1"/>
  <c r="J378" i="1" s="1"/>
  <c r="O377" i="1"/>
  <c r="F377" i="1"/>
  <c r="J377" i="1" s="1"/>
  <c r="O376" i="1"/>
  <c r="F376" i="1"/>
  <c r="J376" i="1" s="1"/>
  <c r="O375" i="1"/>
  <c r="F375" i="1"/>
  <c r="J375" i="1" s="1"/>
  <c r="O374" i="1"/>
  <c r="F374" i="1"/>
  <c r="J374" i="1" s="1"/>
  <c r="O373" i="1"/>
  <c r="J373" i="1"/>
  <c r="F373" i="1"/>
  <c r="O372" i="1"/>
  <c r="F372" i="1"/>
  <c r="J372" i="1" s="1"/>
  <c r="O371" i="1"/>
  <c r="F371" i="1"/>
  <c r="J371" i="1" s="1"/>
  <c r="O370" i="1"/>
  <c r="F370" i="1"/>
  <c r="J370" i="1" s="1"/>
  <c r="O369" i="1"/>
  <c r="F369" i="1"/>
  <c r="J369" i="1" s="1"/>
  <c r="O368" i="1"/>
  <c r="F368" i="1"/>
  <c r="J368" i="1" s="1"/>
  <c r="O367" i="1"/>
  <c r="F367" i="1"/>
  <c r="J367" i="1" s="1"/>
  <c r="O366" i="1"/>
  <c r="F366" i="1"/>
  <c r="J366" i="1" s="1"/>
  <c r="O365" i="1"/>
  <c r="F365" i="1"/>
  <c r="J365" i="1" s="1"/>
  <c r="O364" i="1"/>
  <c r="F364" i="1"/>
  <c r="J364" i="1" s="1"/>
  <c r="O363" i="1"/>
  <c r="F363" i="1"/>
  <c r="J363" i="1" s="1"/>
  <c r="O362" i="1"/>
  <c r="F362" i="1"/>
  <c r="J362" i="1" s="1"/>
  <c r="O361" i="1"/>
  <c r="F361" i="1"/>
  <c r="J361" i="1" s="1"/>
  <c r="O360" i="1"/>
  <c r="F360" i="1"/>
  <c r="J360" i="1" s="1"/>
  <c r="O359" i="1"/>
  <c r="F359" i="1"/>
  <c r="J359" i="1" s="1"/>
  <c r="O358" i="1"/>
  <c r="F358" i="1"/>
  <c r="J358" i="1" s="1"/>
  <c r="O357" i="1"/>
  <c r="F357" i="1"/>
  <c r="J357" i="1" s="1"/>
  <c r="O356" i="1"/>
  <c r="F356" i="1"/>
  <c r="J356" i="1" s="1"/>
  <c r="O355" i="1"/>
  <c r="F355" i="1"/>
  <c r="J355" i="1" s="1"/>
  <c r="O354" i="1"/>
  <c r="F354" i="1"/>
  <c r="J354" i="1" s="1"/>
  <c r="O353" i="1"/>
  <c r="F353" i="1"/>
  <c r="J353" i="1" s="1"/>
  <c r="O352" i="1"/>
  <c r="F352" i="1"/>
  <c r="J352" i="1" s="1"/>
  <c r="O351" i="1"/>
  <c r="F351" i="1"/>
  <c r="J351" i="1" s="1"/>
  <c r="O350" i="1"/>
  <c r="F350" i="1"/>
  <c r="J350" i="1" s="1"/>
  <c r="O349" i="1"/>
  <c r="F349" i="1"/>
  <c r="J349" i="1" s="1"/>
  <c r="O348" i="1"/>
  <c r="F348" i="1"/>
  <c r="J348" i="1" s="1"/>
  <c r="N346" i="1"/>
  <c r="M346" i="1"/>
  <c r="L346" i="1"/>
  <c r="I346" i="1"/>
  <c r="H346" i="1"/>
  <c r="G346" i="1"/>
  <c r="D346" i="1"/>
  <c r="B346" i="1"/>
  <c r="O343" i="1"/>
  <c r="F343" i="1"/>
  <c r="J343" i="1" s="1"/>
  <c r="O342" i="1"/>
  <c r="F342" i="1"/>
  <c r="J342" i="1" s="1"/>
  <c r="O341" i="1"/>
  <c r="F341" i="1"/>
  <c r="J341" i="1" s="1"/>
  <c r="O340" i="1"/>
  <c r="F340" i="1"/>
  <c r="J340" i="1" s="1"/>
  <c r="O339" i="1"/>
  <c r="F339" i="1"/>
  <c r="J339" i="1" s="1"/>
  <c r="O338" i="1"/>
  <c r="F338" i="1"/>
  <c r="J338" i="1" s="1"/>
  <c r="O337" i="1"/>
  <c r="F337" i="1"/>
  <c r="J337" i="1" s="1"/>
  <c r="O336" i="1"/>
  <c r="F336" i="1"/>
  <c r="J336" i="1" s="1"/>
  <c r="O335" i="1"/>
  <c r="F335" i="1"/>
  <c r="J335" i="1" s="1"/>
  <c r="O334" i="1"/>
  <c r="F334" i="1"/>
  <c r="J334" i="1" s="1"/>
  <c r="O333" i="1"/>
  <c r="F333" i="1"/>
  <c r="J333" i="1" s="1"/>
  <c r="O332" i="1"/>
  <c r="F332" i="1"/>
  <c r="J332" i="1" s="1"/>
  <c r="O331" i="1"/>
  <c r="F331" i="1"/>
  <c r="J331" i="1" s="1"/>
  <c r="O330" i="1"/>
  <c r="F330" i="1"/>
  <c r="J330" i="1" s="1"/>
  <c r="O329" i="1"/>
  <c r="F329" i="1"/>
  <c r="J329" i="1" s="1"/>
  <c r="O328" i="1"/>
  <c r="F328" i="1"/>
  <c r="J328" i="1" s="1"/>
  <c r="O327" i="1"/>
  <c r="F327" i="1"/>
  <c r="J327" i="1" s="1"/>
  <c r="O326" i="1"/>
  <c r="F326" i="1"/>
  <c r="J326" i="1" s="1"/>
  <c r="O325" i="1"/>
  <c r="F325" i="1"/>
  <c r="J325" i="1" s="1"/>
  <c r="O324" i="1"/>
  <c r="F324" i="1"/>
  <c r="J324" i="1" s="1"/>
  <c r="O323" i="1"/>
  <c r="F323" i="1"/>
  <c r="J323" i="1" s="1"/>
  <c r="O322" i="1"/>
  <c r="F322" i="1"/>
  <c r="J322" i="1" s="1"/>
  <c r="O321" i="1"/>
  <c r="F321" i="1"/>
  <c r="J321" i="1" s="1"/>
  <c r="O320" i="1"/>
  <c r="F320" i="1"/>
  <c r="J320" i="1" s="1"/>
  <c r="O319" i="1"/>
  <c r="F319" i="1"/>
  <c r="J319" i="1" s="1"/>
  <c r="O318" i="1"/>
  <c r="F318" i="1"/>
  <c r="J318" i="1" s="1"/>
  <c r="O317" i="1"/>
  <c r="F317" i="1"/>
  <c r="J317" i="1" s="1"/>
  <c r="O316" i="1"/>
  <c r="F316" i="1"/>
  <c r="J316" i="1" s="1"/>
  <c r="O315" i="1"/>
  <c r="F315" i="1"/>
  <c r="J315" i="1" s="1"/>
  <c r="O314" i="1"/>
  <c r="F314" i="1"/>
  <c r="J314" i="1" s="1"/>
  <c r="O313" i="1"/>
  <c r="F313" i="1"/>
  <c r="J313" i="1" s="1"/>
  <c r="O312" i="1"/>
  <c r="F312" i="1"/>
  <c r="J312" i="1" s="1"/>
  <c r="O311" i="1"/>
  <c r="F311" i="1"/>
  <c r="N309" i="1"/>
  <c r="M309" i="1"/>
  <c r="L309" i="1"/>
  <c r="I309" i="1"/>
  <c r="H309" i="1"/>
  <c r="G309" i="1"/>
  <c r="D309" i="1"/>
  <c r="B309" i="1"/>
  <c r="O306" i="1"/>
  <c r="F306" i="1"/>
  <c r="J306" i="1" s="1"/>
  <c r="O305" i="1"/>
  <c r="F305" i="1"/>
  <c r="J305" i="1" s="1"/>
  <c r="O304" i="1"/>
  <c r="F304" i="1"/>
  <c r="J304" i="1" s="1"/>
  <c r="O303" i="1"/>
  <c r="F303" i="1"/>
  <c r="J303" i="1" s="1"/>
  <c r="O302" i="1"/>
  <c r="F302" i="1"/>
  <c r="J302" i="1" s="1"/>
  <c r="O301" i="1"/>
  <c r="F301" i="1"/>
  <c r="J301" i="1" s="1"/>
  <c r="O300" i="1"/>
  <c r="F300" i="1"/>
  <c r="J300" i="1" s="1"/>
  <c r="O299" i="1"/>
  <c r="F299" i="1"/>
  <c r="J299" i="1" s="1"/>
  <c r="O298" i="1"/>
  <c r="F298" i="1"/>
  <c r="J298" i="1" s="1"/>
  <c r="O297" i="1"/>
  <c r="F297" i="1"/>
  <c r="J297" i="1" s="1"/>
  <c r="O296" i="1"/>
  <c r="F296" i="1"/>
  <c r="J296" i="1" s="1"/>
  <c r="O295" i="1"/>
  <c r="F295" i="1"/>
  <c r="J295" i="1" s="1"/>
  <c r="O294" i="1"/>
  <c r="F294" i="1"/>
  <c r="J294" i="1" s="1"/>
  <c r="O293" i="1"/>
  <c r="F293" i="1"/>
  <c r="J293" i="1" s="1"/>
  <c r="O292" i="1"/>
  <c r="F292" i="1"/>
  <c r="J292" i="1" s="1"/>
  <c r="O291" i="1"/>
  <c r="F291" i="1"/>
  <c r="J291" i="1" s="1"/>
  <c r="O290" i="1"/>
  <c r="F290" i="1"/>
  <c r="J290" i="1" s="1"/>
  <c r="O289" i="1"/>
  <c r="F289" i="1"/>
  <c r="J289" i="1" s="1"/>
  <c r="O288" i="1"/>
  <c r="F288" i="1"/>
  <c r="J288" i="1" s="1"/>
  <c r="O287" i="1"/>
  <c r="F287" i="1"/>
  <c r="J287" i="1" s="1"/>
  <c r="O286" i="1"/>
  <c r="F286" i="1"/>
  <c r="J286" i="1" s="1"/>
  <c r="O285" i="1"/>
  <c r="F285" i="1"/>
  <c r="J285" i="1" s="1"/>
  <c r="O284" i="1"/>
  <c r="F284" i="1"/>
  <c r="J284" i="1" s="1"/>
  <c r="O283" i="1"/>
  <c r="F283" i="1"/>
  <c r="J283" i="1" s="1"/>
  <c r="O282" i="1"/>
  <c r="F282" i="1"/>
  <c r="J282" i="1" s="1"/>
  <c r="O281" i="1"/>
  <c r="F281" i="1"/>
  <c r="J281" i="1" s="1"/>
  <c r="O280" i="1"/>
  <c r="F280" i="1"/>
  <c r="J280" i="1" s="1"/>
  <c r="O279" i="1"/>
  <c r="F279" i="1"/>
  <c r="J279" i="1" s="1"/>
  <c r="O278" i="1"/>
  <c r="F278" i="1"/>
  <c r="J278" i="1" s="1"/>
  <c r="O277" i="1"/>
  <c r="F277" i="1"/>
  <c r="J277" i="1" s="1"/>
  <c r="O276" i="1"/>
  <c r="F276" i="1"/>
  <c r="J276" i="1" s="1"/>
  <c r="O275" i="1"/>
  <c r="F275" i="1"/>
  <c r="J275" i="1" s="1"/>
  <c r="O274" i="1"/>
  <c r="F274" i="1"/>
  <c r="J274" i="1" s="1"/>
  <c r="N272" i="1"/>
  <c r="M272" i="1"/>
  <c r="L272" i="1"/>
  <c r="I272" i="1"/>
  <c r="H272" i="1"/>
  <c r="G272" i="1"/>
  <c r="D272" i="1"/>
  <c r="B272" i="1"/>
  <c r="O269" i="1"/>
  <c r="J269" i="1"/>
  <c r="F269" i="1"/>
  <c r="O268" i="1"/>
  <c r="F268" i="1"/>
  <c r="J268" i="1" s="1"/>
  <c r="O267" i="1"/>
  <c r="F267" i="1"/>
  <c r="J267" i="1" s="1"/>
  <c r="O266" i="1"/>
  <c r="F266" i="1"/>
  <c r="J266" i="1" s="1"/>
  <c r="O265" i="1"/>
  <c r="F265" i="1"/>
  <c r="J265" i="1" s="1"/>
  <c r="O264" i="1"/>
  <c r="F264" i="1"/>
  <c r="J264" i="1" s="1"/>
  <c r="O263" i="1"/>
  <c r="F263" i="1"/>
  <c r="J263" i="1" s="1"/>
  <c r="O262" i="1"/>
  <c r="F262" i="1"/>
  <c r="J262" i="1" s="1"/>
  <c r="O261" i="1"/>
  <c r="F261" i="1"/>
  <c r="J261" i="1" s="1"/>
  <c r="O260" i="1"/>
  <c r="F260" i="1"/>
  <c r="J260" i="1" s="1"/>
  <c r="O259" i="1"/>
  <c r="F259" i="1"/>
  <c r="J259" i="1" s="1"/>
  <c r="O258" i="1"/>
  <c r="F258" i="1"/>
  <c r="J258" i="1" s="1"/>
  <c r="O257" i="1"/>
  <c r="F257" i="1"/>
  <c r="J257" i="1" s="1"/>
  <c r="O256" i="1"/>
  <c r="F256" i="1"/>
  <c r="J256" i="1" s="1"/>
  <c r="O255" i="1"/>
  <c r="F255" i="1"/>
  <c r="J255" i="1" s="1"/>
  <c r="O254" i="1"/>
  <c r="F254" i="1"/>
  <c r="J254" i="1" s="1"/>
  <c r="O253" i="1"/>
  <c r="F253" i="1"/>
  <c r="J253" i="1" s="1"/>
  <c r="O252" i="1"/>
  <c r="F252" i="1"/>
  <c r="J252" i="1" s="1"/>
  <c r="O251" i="1"/>
  <c r="F251" i="1"/>
  <c r="J251" i="1" s="1"/>
  <c r="O250" i="1"/>
  <c r="F250" i="1"/>
  <c r="J250" i="1" s="1"/>
  <c r="O249" i="1"/>
  <c r="F249" i="1"/>
  <c r="J249" i="1" s="1"/>
  <c r="O248" i="1"/>
  <c r="F248" i="1"/>
  <c r="J248" i="1" s="1"/>
  <c r="O247" i="1"/>
  <c r="F247" i="1"/>
  <c r="J247" i="1" s="1"/>
  <c r="O246" i="1"/>
  <c r="F246" i="1"/>
  <c r="J246" i="1" s="1"/>
  <c r="O245" i="1"/>
  <c r="J245" i="1"/>
  <c r="F245" i="1"/>
  <c r="O244" i="1"/>
  <c r="F244" i="1"/>
  <c r="J244" i="1" s="1"/>
  <c r="O243" i="1"/>
  <c r="F243" i="1"/>
  <c r="J243" i="1" s="1"/>
  <c r="O242" i="1"/>
  <c r="F242" i="1"/>
  <c r="J242" i="1" s="1"/>
  <c r="O241" i="1"/>
  <c r="F241" i="1"/>
  <c r="J241" i="1" s="1"/>
  <c r="O240" i="1"/>
  <c r="F240" i="1"/>
  <c r="J240" i="1" s="1"/>
  <c r="O239" i="1"/>
  <c r="F239" i="1"/>
  <c r="J239" i="1" s="1"/>
  <c r="O238" i="1"/>
  <c r="F238" i="1"/>
  <c r="J238" i="1" s="1"/>
  <c r="O237" i="1"/>
  <c r="F237" i="1"/>
  <c r="J237" i="1" s="1"/>
  <c r="N235" i="1"/>
  <c r="M235" i="1"/>
  <c r="L235" i="1"/>
  <c r="I235" i="1"/>
  <c r="H235" i="1"/>
  <c r="G235" i="1"/>
  <c r="D235" i="1"/>
  <c r="B235" i="1"/>
  <c r="O232" i="1"/>
  <c r="F232" i="1"/>
  <c r="J232" i="1" s="1"/>
  <c r="O231" i="1"/>
  <c r="F231" i="1"/>
  <c r="J231" i="1" s="1"/>
  <c r="O230" i="1"/>
  <c r="J230" i="1"/>
  <c r="F230" i="1"/>
  <c r="O229" i="1"/>
  <c r="F229" i="1"/>
  <c r="J229" i="1" s="1"/>
  <c r="O228" i="1"/>
  <c r="F228" i="1"/>
  <c r="J228" i="1" s="1"/>
  <c r="O227" i="1"/>
  <c r="F227" i="1"/>
  <c r="J227" i="1" s="1"/>
  <c r="O226" i="1"/>
  <c r="F226" i="1"/>
  <c r="J226" i="1" s="1"/>
  <c r="O225" i="1"/>
  <c r="F225" i="1"/>
  <c r="J225" i="1" s="1"/>
  <c r="O224" i="1"/>
  <c r="F224" i="1"/>
  <c r="J224" i="1" s="1"/>
  <c r="O223" i="1"/>
  <c r="F223" i="1"/>
  <c r="J223" i="1" s="1"/>
  <c r="O222" i="1"/>
  <c r="F222" i="1"/>
  <c r="J222" i="1" s="1"/>
  <c r="O221" i="1"/>
  <c r="F221" i="1"/>
  <c r="J221" i="1" s="1"/>
  <c r="O220" i="1"/>
  <c r="F220" i="1"/>
  <c r="J220" i="1" s="1"/>
  <c r="O219" i="1"/>
  <c r="F219" i="1"/>
  <c r="J219" i="1" s="1"/>
  <c r="O218" i="1"/>
  <c r="F218" i="1"/>
  <c r="J218" i="1" s="1"/>
  <c r="O217" i="1"/>
  <c r="F217" i="1"/>
  <c r="J217" i="1" s="1"/>
  <c r="O216" i="1"/>
  <c r="F216" i="1"/>
  <c r="J216" i="1" s="1"/>
  <c r="O215" i="1"/>
  <c r="F215" i="1"/>
  <c r="J215" i="1" s="1"/>
  <c r="O214" i="1"/>
  <c r="F214" i="1"/>
  <c r="J214" i="1" s="1"/>
  <c r="O213" i="1"/>
  <c r="F213" i="1"/>
  <c r="J213" i="1" s="1"/>
  <c r="O212" i="1"/>
  <c r="F212" i="1"/>
  <c r="J212" i="1" s="1"/>
  <c r="O211" i="1"/>
  <c r="F211" i="1"/>
  <c r="J211" i="1" s="1"/>
  <c r="O210" i="1"/>
  <c r="F210" i="1"/>
  <c r="J210" i="1" s="1"/>
  <c r="O209" i="1"/>
  <c r="F209" i="1"/>
  <c r="J209" i="1" s="1"/>
  <c r="O208" i="1"/>
  <c r="F208" i="1"/>
  <c r="J208" i="1" s="1"/>
  <c r="O207" i="1"/>
  <c r="F207" i="1"/>
  <c r="J207" i="1" s="1"/>
  <c r="O206" i="1"/>
  <c r="F206" i="1"/>
  <c r="J206" i="1" s="1"/>
  <c r="O205" i="1"/>
  <c r="F205" i="1"/>
  <c r="J205" i="1" s="1"/>
  <c r="O204" i="1"/>
  <c r="F204" i="1"/>
  <c r="J204" i="1" s="1"/>
  <c r="O203" i="1"/>
  <c r="F203" i="1"/>
  <c r="J203" i="1" s="1"/>
  <c r="O202" i="1"/>
  <c r="F202" i="1"/>
  <c r="J202" i="1" s="1"/>
  <c r="O201" i="1"/>
  <c r="F201" i="1"/>
  <c r="J201" i="1" s="1"/>
  <c r="O200" i="1"/>
  <c r="O198" i="1" s="1"/>
  <c r="F200" i="1"/>
  <c r="J200" i="1" s="1"/>
  <c r="N198" i="1"/>
  <c r="M198" i="1"/>
  <c r="L198" i="1"/>
  <c r="I198" i="1"/>
  <c r="H198" i="1"/>
  <c r="G198" i="1"/>
  <c r="F198" i="1"/>
  <c r="D198" i="1"/>
  <c r="B198" i="1"/>
  <c r="O195" i="1"/>
  <c r="J195" i="1"/>
  <c r="F195" i="1"/>
  <c r="O194" i="1"/>
  <c r="F194" i="1"/>
  <c r="J194" i="1" s="1"/>
  <c r="O193" i="1"/>
  <c r="F193" i="1"/>
  <c r="J193" i="1" s="1"/>
  <c r="O192" i="1"/>
  <c r="F192" i="1"/>
  <c r="J192" i="1" s="1"/>
  <c r="O191" i="1"/>
  <c r="F191" i="1"/>
  <c r="J191" i="1" s="1"/>
  <c r="O190" i="1"/>
  <c r="F190" i="1"/>
  <c r="J190" i="1" s="1"/>
  <c r="O189" i="1"/>
  <c r="F189" i="1"/>
  <c r="J189" i="1" s="1"/>
  <c r="O188" i="1"/>
  <c r="F188" i="1"/>
  <c r="J188" i="1" s="1"/>
  <c r="O187" i="1"/>
  <c r="F187" i="1"/>
  <c r="J187" i="1" s="1"/>
  <c r="O186" i="1"/>
  <c r="F186" i="1"/>
  <c r="J186" i="1" s="1"/>
  <c r="O185" i="1"/>
  <c r="F185" i="1"/>
  <c r="J185" i="1" s="1"/>
  <c r="O184" i="1"/>
  <c r="F184" i="1"/>
  <c r="J184" i="1" s="1"/>
  <c r="O183" i="1"/>
  <c r="F183" i="1"/>
  <c r="J183" i="1" s="1"/>
  <c r="O182" i="1"/>
  <c r="F182" i="1"/>
  <c r="J182" i="1" s="1"/>
  <c r="O181" i="1"/>
  <c r="F181" i="1"/>
  <c r="J181" i="1" s="1"/>
  <c r="O180" i="1"/>
  <c r="F180" i="1"/>
  <c r="J180" i="1" s="1"/>
  <c r="O179" i="1"/>
  <c r="F179" i="1"/>
  <c r="J179" i="1" s="1"/>
  <c r="O178" i="1"/>
  <c r="F178" i="1"/>
  <c r="J178" i="1" s="1"/>
  <c r="O177" i="1"/>
  <c r="F177" i="1"/>
  <c r="J177" i="1" s="1"/>
  <c r="O176" i="1"/>
  <c r="F176" i="1"/>
  <c r="J176" i="1" s="1"/>
  <c r="O175" i="1"/>
  <c r="F175" i="1"/>
  <c r="J175" i="1" s="1"/>
  <c r="O174" i="1"/>
  <c r="F174" i="1"/>
  <c r="J174" i="1" s="1"/>
  <c r="O173" i="1"/>
  <c r="F173" i="1"/>
  <c r="J173" i="1" s="1"/>
  <c r="O172" i="1"/>
  <c r="F172" i="1"/>
  <c r="J172" i="1" s="1"/>
  <c r="O171" i="1"/>
  <c r="F171" i="1"/>
  <c r="J171" i="1" s="1"/>
  <c r="O170" i="1"/>
  <c r="F170" i="1"/>
  <c r="J170" i="1" s="1"/>
  <c r="O169" i="1"/>
  <c r="F169" i="1"/>
  <c r="J169" i="1" s="1"/>
  <c r="O168" i="1"/>
  <c r="F168" i="1"/>
  <c r="J168" i="1" s="1"/>
  <c r="O167" i="1"/>
  <c r="F167" i="1"/>
  <c r="J167" i="1" s="1"/>
  <c r="O166" i="1"/>
  <c r="F166" i="1"/>
  <c r="J166" i="1" s="1"/>
  <c r="O165" i="1"/>
  <c r="F165" i="1"/>
  <c r="J165" i="1" s="1"/>
  <c r="O164" i="1"/>
  <c r="F164" i="1"/>
  <c r="J164" i="1" s="1"/>
  <c r="O163" i="1"/>
  <c r="J163" i="1"/>
  <c r="F163" i="1"/>
  <c r="N161" i="1"/>
  <c r="M161" i="1"/>
  <c r="L161" i="1"/>
  <c r="I161" i="1"/>
  <c r="H161" i="1"/>
  <c r="G161" i="1"/>
  <c r="D161" i="1"/>
  <c r="B161" i="1"/>
  <c r="O158" i="1"/>
  <c r="F158" i="1"/>
  <c r="J158" i="1" s="1"/>
  <c r="O157" i="1"/>
  <c r="F157" i="1"/>
  <c r="J157" i="1" s="1"/>
  <c r="O156" i="1"/>
  <c r="F156" i="1"/>
  <c r="J156" i="1" s="1"/>
  <c r="O155" i="1"/>
  <c r="F155" i="1"/>
  <c r="J155" i="1" s="1"/>
  <c r="O154" i="1"/>
  <c r="F154" i="1"/>
  <c r="J154" i="1" s="1"/>
  <c r="O153" i="1"/>
  <c r="F153" i="1"/>
  <c r="J153" i="1" s="1"/>
  <c r="O152" i="1"/>
  <c r="F152" i="1"/>
  <c r="J152" i="1" s="1"/>
  <c r="O151" i="1"/>
  <c r="F151" i="1"/>
  <c r="J151" i="1" s="1"/>
  <c r="O150" i="1"/>
  <c r="F150" i="1"/>
  <c r="J150" i="1" s="1"/>
  <c r="O149" i="1"/>
  <c r="F149" i="1"/>
  <c r="J149" i="1" s="1"/>
  <c r="O148" i="1"/>
  <c r="J148" i="1"/>
  <c r="F148" i="1"/>
  <c r="O147" i="1"/>
  <c r="F147" i="1"/>
  <c r="J147" i="1" s="1"/>
  <c r="O146" i="1"/>
  <c r="F146" i="1"/>
  <c r="J146" i="1" s="1"/>
  <c r="O145" i="1"/>
  <c r="F145" i="1"/>
  <c r="J145" i="1" s="1"/>
  <c r="O144" i="1"/>
  <c r="F144" i="1"/>
  <c r="J144" i="1" s="1"/>
  <c r="O143" i="1"/>
  <c r="F143" i="1"/>
  <c r="J143" i="1" s="1"/>
  <c r="O142" i="1"/>
  <c r="F142" i="1"/>
  <c r="J142" i="1" s="1"/>
  <c r="O141" i="1"/>
  <c r="F141" i="1"/>
  <c r="J141" i="1" s="1"/>
  <c r="O140" i="1"/>
  <c r="F140" i="1"/>
  <c r="J140" i="1" s="1"/>
  <c r="O139" i="1"/>
  <c r="F139" i="1"/>
  <c r="J139" i="1" s="1"/>
  <c r="O138" i="1"/>
  <c r="F138" i="1"/>
  <c r="J138" i="1" s="1"/>
  <c r="O137" i="1"/>
  <c r="F137" i="1"/>
  <c r="J137" i="1" s="1"/>
  <c r="O136" i="1"/>
  <c r="F136" i="1"/>
  <c r="J136" i="1" s="1"/>
  <c r="O135" i="1"/>
  <c r="F135" i="1"/>
  <c r="J135" i="1" s="1"/>
  <c r="O134" i="1"/>
  <c r="F134" i="1"/>
  <c r="J134" i="1" s="1"/>
  <c r="O133" i="1"/>
  <c r="F133" i="1"/>
  <c r="J133" i="1" s="1"/>
  <c r="O132" i="1"/>
  <c r="F132" i="1"/>
  <c r="J132" i="1" s="1"/>
  <c r="O131" i="1"/>
  <c r="F131" i="1"/>
  <c r="J131" i="1" s="1"/>
  <c r="O130" i="1"/>
  <c r="F130" i="1"/>
  <c r="J130" i="1" s="1"/>
  <c r="O129" i="1"/>
  <c r="F129" i="1"/>
  <c r="J129" i="1" s="1"/>
  <c r="O128" i="1"/>
  <c r="F128" i="1"/>
  <c r="J128" i="1" s="1"/>
  <c r="O127" i="1"/>
  <c r="F127" i="1"/>
  <c r="J127" i="1" s="1"/>
  <c r="O126" i="1"/>
  <c r="F126" i="1"/>
  <c r="J126" i="1" s="1"/>
  <c r="N124" i="1"/>
  <c r="M124" i="1"/>
  <c r="L124" i="1"/>
  <c r="I124" i="1"/>
  <c r="H124" i="1"/>
  <c r="G124" i="1"/>
  <c r="D124" i="1"/>
  <c r="B124" i="1"/>
  <c r="O121" i="1"/>
  <c r="F121" i="1"/>
  <c r="J121" i="1" s="1"/>
  <c r="O120" i="1"/>
  <c r="F120" i="1"/>
  <c r="J120" i="1" s="1"/>
  <c r="O119" i="1"/>
  <c r="F119" i="1"/>
  <c r="J119" i="1" s="1"/>
  <c r="O118" i="1"/>
  <c r="F118" i="1"/>
  <c r="J118" i="1" s="1"/>
  <c r="O117" i="1"/>
  <c r="F117" i="1"/>
  <c r="J117" i="1" s="1"/>
  <c r="O116" i="1"/>
  <c r="F116" i="1"/>
  <c r="J116" i="1" s="1"/>
  <c r="O115" i="1"/>
  <c r="F115" i="1"/>
  <c r="J115" i="1" s="1"/>
  <c r="O114" i="1"/>
  <c r="F114" i="1"/>
  <c r="J114" i="1" s="1"/>
  <c r="O113" i="1"/>
  <c r="F113" i="1"/>
  <c r="J113" i="1" s="1"/>
  <c r="O112" i="1"/>
  <c r="F112" i="1"/>
  <c r="J112" i="1" s="1"/>
  <c r="O111" i="1"/>
  <c r="F111" i="1"/>
  <c r="J111" i="1" s="1"/>
  <c r="O110" i="1"/>
  <c r="F110" i="1"/>
  <c r="J110" i="1" s="1"/>
  <c r="O109" i="1"/>
  <c r="F109" i="1"/>
  <c r="J109" i="1" s="1"/>
  <c r="O108" i="1"/>
  <c r="F108" i="1"/>
  <c r="J108" i="1" s="1"/>
  <c r="O107" i="1"/>
  <c r="F107" i="1"/>
  <c r="J107" i="1" s="1"/>
  <c r="O106" i="1"/>
  <c r="F106" i="1"/>
  <c r="J106" i="1" s="1"/>
  <c r="O105" i="1"/>
  <c r="F105" i="1"/>
  <c r="J105" i="1" s="1"/>
  <c r="O104" i="1"/>
  <c r="F104" i="1"/>
  <c r="J104" i="1" s="1"/>
  <c r="O103" i="1"/>
  <c r="F103" i="1"/>
  <c r="J103" i="1" s="1"/>
  <c r="O102" i="1"/>
  <c r="F102" i="1"/>
  <c r="J102" i="1" s="1"/>
  <c r="O101" i="1"/>
  <c r="F101" i="1"/>
  <c r="J101" i="1" s="1"/>
  <c r="O100" i="1"/>
  <c r="F100" i="1"/>
  <c r="J100" i="1" s="1"/>
  <c r="O99" i="1"/>
  <c r="F99" i="1"/>
  <c r="J99" i="1" s="1"/>
  <c r="O98" i="1"/>
  <c r="F98" i="1"/>
  <c r="J98" i="1" s="1"/>
  <c r="O97" i="1"/>
  <c r="F97" i="1"/>
  <c r="J97" i="1" s="1"/>
  <c r="O96" i="1"/>
  <c r="F96" i="1"/>
  <c r="J96" i="1" s="1"/>
  <c r="O95" i="1"/>
  <c r="F95" i="1"/>
  <c r="J95" i="1" s="1"/>
  <c r="O94" i="1"/>
  <c r="F94" i="1"/>
  <c r="J94" i="1" s="1"/>
  <c r="O93" i="1"/>
  <c r="F93" i="1"/>
  <c r="J93" i="1" s="1"/>
  <c r="O92" i="1"/>
  <c r="F92" i="1"/>
  <c r="J92" i="1" s="1"/>
  <c r="O91" i="1"/>
  <c r="F91" i="1"/>
  <c r="J91" i="1" s="1"/>
  <c r="O90" i="1"/>
  <c r="F90" i="1"/>
  <c r="J90" i="1" s="1"/>
  <c r="O89" i="1"/>
  <c r="F89" i="1"/>
  <c r="J89" i="1" s="1"/>
  <c r="N87" i="1"/>
  <c r="M87" i="1"/>
  <c r="L87" i="1"/>
  <c r="I87" i="1"/>
  <c r="H87" i="1"/>
  <c r="G87" i="1"/>
  <c r="D87" i="1"/>
  <c r="B87" i="1"/>
  <c r="O84" i="1"/>
  <c r="F84" i="1"/>
  <c r="J84" i="1" s="1"/>
  <c r="O83" i="1"/>
  <c r="F83" i="1"/>
  <c r="J83" i="1" s="1"/>
  <c r="O82" i="1"/>
  <c r="F82" i="1"/>
  <c r="J82" i="1" s="1"/>
  <c r="O81" i="1"/>
  <c r="F81" i="1"/>
  <c r="J81" i="1" s="1"/>
  <c r="O80" i="1"/>
  <c r="F80" i="1"/>
  <c r="J80" i="1" s="1"/>
  <c r="O79" i="1"/>
  <c r="F79" i="1"/>
  <c r="J79" i="1" s="1"/>
  <c r="O78" i="1"/>
  <c r="F78" i="1"/>
  <c r="J78" i="1" s="1"/>
  <c r="O77" i="1"/>
  <c r="F77" i="1"/>
  <c r="J77" i="1" s="1"/>
  <c r="O76" i="1"/>
  <c r="F76" i="1"/>
  <c r="J76" i="1" s="1"/>
  <c r="O75" i="1"/>
  <c r="F75" i="1"/>
  <c r="J75" i="1" s="1"/>
  <c r="O74" i="1"/>
  <c r="F74" i="1"/>
  <c r="J74" i="1" s="1"/>
  <c r="O73" i="1"/>
  <c r="F73" i="1"/>
  <c r="J73" i="1" s="1"/>
  <c r="O72" i="1"/>
  <c r="F72" i="1"/>
  <c r="J72" i="1" s="1"/>
  <c r="O71" i="1"/>
  <c r="F71" i="1"/>
  <c r="J71" i="1" s="1"/>
  <c r="O70" i="1"/>
  <c r="F70" i="1"/>
  <c r="J70" i="1" s="1"/>
  <c r="O69" i="1"/>
  <c r="F69" i="1"/>
  <c r="J69" i="1" s="1"/>
  <c r="O68" i="1"/>
  <c r="F68" i="1"/>
  <c r="J68" i="1" s="1"/>
  <c r="O67" i="1"/>
  <c r="F67" i="1"/>
  <c r="J67" i="1" s="1"/>
  <c r="O66" i="1"/>
  <c r="F66" i="1"/>
  <c r="J66" i="1" s="1"/>
  <c r="O65" i="1"/>
  <c r="F65" i="1"/>
  <c r="J65" i="1" s="1"/>
  <c r="O64" i="1"/>
  <c r="F64" i="1"/>
  <c r="J64" i="1" s="1"/>
  <c r="O63" i="1"/>
  <c r="F63" i="1"/>
  <c r="J63" i="1" s="1"/>
  <c r="O62" i="1"/>
  <c r="F62" i="1"/>
  <c r="J62" i="1" s="1"/>
  <c r="O61" i="1"/>
  <c r="F61" i="1"/>
  <c r="J61" i="1" s="1"/>
  <c r="O60" i="1"/>
  <c r="F60" i="1"/>
  <c r="J60" i="1" s="1"/>
  <c r="O59" i="1"/>
  <c r="F59" i="1"/>
  <c r="J59" i="1" s="1"/>
  <c r="O58" i="1"/>
  <c r="F58" i="1"/>
  <c r="J58" i="1" s="1"/>
  <c r="O57" i="1"/>
  <c r="F57" i="1"/>
  <c r="J57" i="1" s="1"/>
  <c r="O56" i="1"/>
  <c r="F56" i="1"/>
  <c r="J56" i="1" s="1"/>
  <c r="O55" i="1"/>
  <c r="F55" i="1"/>
  <c r="J55" i="1" s="1"/>
  <c r="O54" i="1"/>
  <c r="F54" i="1"/>
  <c r="J54" i="1" s="1"/>
  <c r="O53" i="1"/>
  <c r="F53" i="1"/>
  <c r="J53" i="1" s="1"/>
  <c r="O52" i="1"/>
  <c r="F52" i="1"/>
  <c r="J52" i="1" s="1"/>
  <c r="N50" i="1"/>
  <c r="M50" i="1"/>
  <c r="L50" i="1"/>
  <c r="I50" i="1"/>
  <c r="H50" i="1"/>
  <c r="G50" i="1"/>
  <c r="D50" i="1"/>
  <c r="B50" i="1"/>
  <c r="O47" i="1"/>
  <c r="F47" i="1"/>
  <c r="J47" i="1" s="1"/>
  <c r="O46" i="1"/>
  <c r="F46" i="1"/>
  <c r="J46" i="1" s="1"/>
  <c r="O45" i="1"/>
  <c r="F45" i="1"/>
  <c r="J45" i="1" s="1"/>
  <c r="O44" i="1"/>
  <c r="F44" i="1"/>
  <c r="J44" i="1" s="1"/>
  <c r="O43" i="1"/>
  <c r="F43" i="1"/>
  <c r="J43" i="1" s="1"/>
  <c r="O42" i="1"/>
  <c r="F42" i="1"/>
  <c r="J42" i="1" s="1"/>
  <c r="O41" i="1"/>
  <c r="F41" i="1"/>
  <c r="J41" i="1" s="1"/>
  <c r="O40" i="1"/>
  <c r="F40" i="1"/>
  <c r="J40" i="1" s="1"/>
  <c r="O39" i="1"/>
  <c r="J39" i="1"/>
  <c r="F39" i="1"/>
  <c r="O38" i="1"/>
  <c r="F38" i="1"/>
  <c r="J38" i="1" s="1"/>
  <c r="O37" i="1"/>
  <c r="F37" i="1"/>
  <c r="J37" i="1" s="1"/>
  <c r="O36" i="1"/>
  <c r="F36" i="1"/>
  <c r="J36" i="1" s="1"/>
  <c r="O35" i="1"/>
  <c r="F35" i="1"/>
  <c r="J35" i="1" s="1"/>
  <c r="O34" i="1"/>
  <c r="F34" i="1"/>
  <c r="J34" i="1" s="1"/>
  <c r="O33" i="1"/>
  <c r="F33" i="1"/>
  <c r="J33" i="1" s="1"/>
  <c r="O32" i="1"/>
  <c r="F32" i="1"/>
  <c r="J32" i="1" s="1"/>
  <c r="O31" i="1"/>
  <c r="F31" i="1"/>
  <c r="J31" i="1" s="1"/>
  <c r="O30" i="1"/>
  <c r="F30" i="1"/>
  <c r="J30" i="1" s="1"/>
  <c r="O29" i="1"/>
  <c r="F29" i="1"/>
  <c r="J29" i="1" s="1"/>
  <c r="O28" i="1"/>
  <c r="J28" i="1"/>
  <c r="F28" i="1"/>
  <c r="O27" i="1"/>
  <c r="F27" i="1"/>
  <c r="J27" i="1" s="1"/>
  <c r="O26" i="1"/>
  <c r="F26" i="1"/>
  <c r="J26" i="1" s="1"/>
  <c r="O25" i="1"/>
  <c r="F25" i="1"/>
  <c r="J25" i="1" s="1"/>
  <c r="O24" i="1"/>
  <c r="F24" i="1"/>
  <c r="J24" i="1" s="1"/>
  <c r="O23" i="1"/>
  <c r="F23" i="1"/>
  <c r="J23" i="1" s="1"/>
  <c r="O22" i="1"/>
  <c r="F22" i="1"/>
  <c r="J22" i="1" s="1"/>
  <c r="O21" i="1"/>
  <c r="F21" i="1"/>
  <c r="J21" i="1" s="1"/>
  <c r="O20" i="1"/>
  <c r="F20" i="1"/>
  <c r="J20" i="1" s="1"/>
  <c r="O19" i="1"/>
  <c r="F19" i="1"/>
  <c r="J19" i="1" s="1"/>
  <c r="O18" i="1"/>
  <c r="F18" i="1"/>
  <c r="J18" i="1" s="1"/>
  <c r="O17" i="1"/>
  <c r="F17" i="1"/>
  <c r="O16" i="1"/>
  <c r="F16" i="1"/>
  <c r="J16" i="1" s="1"/>
  <c r="O15" i="1"/>
  <c r="F15" i="1"/>
  <c r="J15" i="1" s="1"/>
  <c r="N13" i="1"/>
  <c r="M13" i="1"/>
  <c r="I13" i="1"/>
  <c r="H13" i="1"/>
  <c r="G13" i="1"/>
  <c r="B13" i="1"/>
  <c r="O124" i="1" l="1"/>
  <c r="J753" i="1"/>
  <c r="O272" i="1"/>
  <c r="F642" i="1"/>
  <c r="F124" i="1"/>
  <c r="O309" i="1"/>
  <c r="O383" i="1"/>
  <c r="F272" i="1"/>
  <c r="J272" i="1"/>
  <c r="F753" i="1"/>
  <c r="J827" i="1"/>
  <c r="J124" i="1"/>
  <c r="J198" i="1"/>
  <c r="F679" i="1"/>
  <c r="J87" i="1"/>
  <c r="J161" i="1"/>
  <c r="J50" i="1"/>
  <c r="F605" i="1"/>
  <c r="F716" i="1"/>
  <c r="O716" i="1"/>
  <c r="O50" i="1"/>
  <c r="J235" i="1"/>
  <c r="O457" i="1"/>
  <c r="F827" i="1"/>
  <c r="F50" i="1"/>
  <c r="O87" i="1"/>
  <c r="O161" i="1"/>
  <c r="O235" i="1"/>
  <c r="O13" i="1"/>
  <c r="F13" i="1"/>
  <c r="J17" i="1"/>
  <c r="J13" i="1" s="1"/>
  <c r="F87" i="1"/>
  <c r="F161" i="1"/>
  <c r="F235" i="1"/>
  <c r="J346" i="1"/>
  <c r="J420" i="1"/>
  <c r="J498" i="1"/>
  <c r="J494" i="1" s="1"/>
  <c r="F494" i="1"/>
  <c r="O346" i="1"/>
  <c r="O420" i="1"/>
  <c r="F457" i="1"/>
  <c r="J459" i="1"/>
  <c r="J457" i="1" s="1"/>
  <c r="O494" i="1"/>
  <c r="O531" i="1"/>
  <c r="J572" i="1"/>
  <c r="J568" i="1" s="1"/>
  <c r="F568" i="1"/>
  <c r="F309" i="1"/>
  <c r="J311" i="1"/>
  <c r="J309" i="1" s="1"/>
  <c r="F383" i="1"/>
  <c r="J385" i="1"/>
  <c r="J383" i="1" s="1"/>
  <c r="F531" i="1"/>
  <c r="J533" i="1"/>
  <c r="J531" i="1" s="1"/>
  <c r="O568" i="1"/>
  <c r="F346" i="1"/>
  <c r="F420" i="1"/>
</calcChain>
</file>

<file path=xl/sharedStrings.xml><?xml version="1.0" encoding="utf-8"?>
<sst xmlns="http://schemas.openxmlformats.org/spreadsheetml/2006/main" count="26626" uniqueCount="584">
  <si>
    <t>Asesorías especializadas, inconformidades y dictámenes médicos atendidos y concluidos</t>
  </si>
  <si>
    <t>Cuadro 5.29</t>
  </si>
  <si>
    <t>por la Comisión Nacional de Arbitraje Médico por entidad federativa</t>
  </si>
  <si>
    <t>Dictámenes atendidos b/</t>
  </si>
  <si>
    <t>Entidad
federativa</t>
  </si>
  <si>
    <t>Asesorías
especia-
lizadas a/</t>
  </si>
  <si>
    <t>Inconformidades atendidas b/</t>
  </si>
  <si>
    <t>En proceso</t>
  </si>
  <si>
    <t>Recibidas durante el año</t>
  </si>
  <si>
    <t>Concluidas c/</t>
  </si>
  <si>
    <t>Recibidos</t>
  </si>
  <si>
    <t>Concluidos</t>
  </si>
  <si>
    <t>al inicio</t>
  </si>
  <si>
    <t>Total</t>
  </si>
  <si>
    <t>Gestiones</t>
  </si>
  <si>
    <t>Quejas</t>
  </si>
  <si>
    <t>al término</t>
  </si>
  <si>
    <t>durante</t>
  </si>
  <si>
    <t>del año</t>
  </si>
  <si>
    <t>inmediatas</t>
  </si>
  <si>
    <t>el año</t>
  </si>
  <si>
    <t>Estados Unidos Mexicanos</t>
  </si>
  <si>
    <t>ND</t>
  </si>
  <si>
    <t>Aguascalientes</t>
  </si>
  <si>
    <t>Baja California</t>
  </si>
  <si>
    <t>Baja California Sur</t>
  </si>
  <si>
    <t>Campeche</t>
  </si>
  <si>
    <t>Coahuila de Zaragoza</t>
  </si>
  <si>
    <t>Colima</t>
  </si>
  <si>
    <t>Chiapas</t>
  </si>
  <si>
    <t>Chihuahua</t>
  </si>
  <si>
    <t>Durango</t>
  </si>
  <si>
    <t>Guanajuato</t>
  </si>
  <si>
    <t>Guerrero</t>
  </si>
  <si>
    <t>Hidalgo</t>
  </si>
  <si>
    <t>Jalisco</t>
  </si>
  <si>
    <t>México</t>
  </si>
  <si>
    <t>Michoacán de Ocampo</t>
  </si>
  <si>
    <t>Morelos</t>
  </si>
  <si>
    <t>Nayarit</t>
  </si>
  <si>
    <t>Nuevo León</t>
  </si>
  <si>
    <t>Oaxaca</t>
  </si>
  <si>
    <t>Puebla</t>
  </si>
  <si>
    <t>Querétaro</t>
  </si>
  <si>
    <t>Quintana Roo</t>
  </si>
  <si>
    <t>San Luis Potosí</t>
  </si>
  <si>
    <t>Sinaloa</t>
  </si>
  <si>
    <t>Sonora</t>
  </si>
  <si>
    <t>Tabasco</t>
  </si>
  <si>
    <t>Tamaulipas</t>
  </si>
  <si>
    <t>Tlaxcala</t>
  </si>
  <si>
    <t>Veracruz de Ignacio de la Llave</t>
  </si>
  <si>
    <t>Yucatán</t>
  </si>
  <si>
    <t>Zacatecas</t>
  </si>
  <si>
    <t>No especificado</t>
  </si>
  <si>
    <t>d/</t>
  </si>
  <si>
    <t>2017 P/</t>
  </si>
  <si>
    <t>a/ La información registrada se refiere a la entidad federativa de ubicación de la unidad médica implicada.</t>
  </si>
  <si>
    <t>b/ La información registrada se refiere a la entidad federativa de residencia habitual del usuario.</t>
  </si>
  <si>
    <t>c/ Comprende quejas y gestiones inmediatas.</t>
  </si>
  <si>
    <r>
      <t xml:space="preserve">Fuente: CONAMED. </t>
    </r>
    <r>
      <rPr>
        <sz val="6"/>
        <color theme="1"/>
        <rFont val="Arial"/>
        <family val="2"/>
      </rPr>
      <t>Sistema de Atención de Quejas Médicas y Dictámenes.</t>
    </r>
  </si>
  <si>
    <t>Serie anual de 1996 a 2018</t>
  </si>
  <si>
    <t>2018 P/</t>
  </si>
  <si>
    <t>Ciudad de México</t>
  </si>
  <si>
    <t>d/ Para este año, los asuntos registrados difieren respecto a la cifra reportada en proceso, al concluir el año anterior.</t>
  </si>
  <si>
    <t>5. Salud y seguridad social</t>
  </si>
  <si>
    <t>5.29</t>
  </si>
  <si>
    <t xml:space="preserve">Asesorías especializadas, inconformidades y dictámenes médicos atendidos y concluidos por la Comisión Nacional de Arbitraje Médico por entidad federativa
Serie anual de 1996 a 2018
</t>
  </si>
  <si>
    <t>Centros de atención a farmacodependientes por entidad federativa</t>
  </si>
  <si>
    <t>Cuadro 5.23</t>
  </si>
  <si>
    <t>Serie anual de 1999 a 2018</t>
  </si>
  <si>
    <t>Entidad federativa</t>
  </si>
  <si>
    <t>Nota: De 2008 a 2012 incluye unidades móviles y oficinas. Para 2013 incluye oficinas.</t>
  </si>
  <si>
    <t>Fuente: CIJ. Dirección de Planeación. Departamento de Evaluación.</t>
  </si>
  <si>
    <t>&amp;</t>
  </si>
  <si>
    <t>Acciones emprendidas y personas atendidas a través del proyecto preventivo</t>
  </si>
  <si>
    <t>Cuadro 5.24</t>
  </si>
  <si>
    <t>de la farmacodependencia por entidad federativa según servicio</t>
  </si>
  <si>
    <t>Acciones</t>
  </si>
  <si>
    <t>Personas</t>
  </si>
  <si>
    <t>Informa-
ción</t>
  </si>
  <si>
    <t>Orienta-
ción</t>
  </si>
  <si>
    <t>Capacita-
ción</t>
  </si>
  <si>
    <t>Prevención
universal</t>
  </si>
  <si>
    <t>Sensibili-
zación</t>
  </si>
  <si>
    <t>Prevención
selectiva</t>
  </si>
  <si>
    <t>Prevención
 indicada</t>
  </si>
  <si>
    <t>Promoción y difusión institucional</t>
  </si>
  <si>
    <t>Pacientes farmacodependientes por entidad federativa según sexo</t>
  </si>
  <si>
    <t>Cuadro 5.25</t>
  </si>
  <si>
    <t>Hombres</t>
  </si>
  <si>
    <t>Mujeres</t>
  </si>
  <si>
    <t>Pacientes farmacodependientes por entidad federativa según tipo de droga</t>
  </si>
  <si>
    <t>Cuadro 5.26</t>
  </si>
  <si>
    <t>Alcohol</t>
  </si>
  <si>
    <t>Anfeta-
minas</t>
  </si>
  <si>
    <t>Cannabis</t>
  </si>
  <si>
    <t>Cocaína</t>
  </si>
  <si>
    <t>Alucinó-
genos</t>
  </si>
  <si>
    <t>Inhala-
bles</t>
  </si>
  <si>
    <t>Opiáceos</t>
  </si>
  <si>
    <t>Sedantes</t>
  </si>
  <si>
    <t xml:space="preserve">Otras
</t>
  </si>
  <si>
    <t>Nota: Las sumas de los pacientes pueden no coincidir con los totales del cuadro anterior, ya que un paciente puede reportar el consumo de más de un tipo de droga.</t>
  </si>
  <si>
    <t>5.23</t>
  </si>
  <si>
    <t>5.24</t>
  </si>
  <si>
    <t>5.25</t>
  </si>
  <si>
    <t>5.26</t>
  </si>
  <si>
    <t xml:space="preserve">Centros de atención a farmacodependientes por entidad federativa
Serie anual de 1999 a 2018
</t>
  </si>
  <si>
    <t xml:space="preserve">Acciones emprendidas y personas atendidas a través del proyecto preventivo de la farmacodependencia por entidad federativa según servicio
Serie anual de 1999 a 2018
</t>
  </si>
  <si>
    <t xml:space="preserve">Pacientes farmacodependientes por entidad federativa según sexo
Serie anual de 1999 a 2018
</t>
  </si>
  <si>
    <t xml:space="preserve">Pacientes farmacodependientes por entidad federativa según tipo de droga
Serie anual de 1999 a 2018
</t>
  </si>
  <si>
    <t xml:space="preserve">Unidades operativas para la  prestación de servicios sociales del Instituto Mexicano </t>
  </si>
  <si>
    <t>Cuadro 5.27</t>
  </si>
  <si>
    <t>del Seguro Social por delegación</t>
  </si>
  <si>
    <t>Serie anual de 1997 a 2018</t>
  </si>
  <si>
    <t>Delegación</t>
  </si>
  <si>
    <t>Centros de ex-
tensión de co-
nocimientos a/</t>
  </si>
  <si>
    <t>Guarderías</t>
  </si>
  <si>
    <t>Centros
de día</t>
  </si>
  <si>
    <t>Centros</t>
  </si>
  <si>
    <t>Tiendas</t>
  </si>
  <si>
    <t>Centros de
bienestar
social
(CEBIS)</t>
  </si>
  <si>
    <t>Teatros</t>
  </si>
  <si>
    <t>Velato-
rios</t>
  </si>
  <si>
    <t>Centros
vacacio-
nales</t>
  </si>
  <si>
    <t>Coahuila</t>
  </si>
  <si>
    <t>Ciudad de México b/</t>
  </si>
  <si>
    <t>México c/</t>
  </si>
  <si>
    <t>Michoacán</t>
  </si>
  <si>
    <t>Veracruz d/</t>
  </si>
  <si>
    <t xml:space="preserve">a/ Comprende los centros ordinario y de esquema modificado. </t>
  </si>
  <si>
    <t xml:space="preserve">b/ Comprende las delegaciones Ciudad de México norte y Ciudad de México sur. </t>
  </si>
  <si>
    <t>c/ Comprende las delegaciones México oriente y México poniente.</t>
  </si>
  <si>
    <t>d/ Comprende las delegaciones Veracruz norte y Veracruz sur.</t>
  </si>
  <si>
    <r>
      <t xml:space="preserve">Fuente: IMSS. </t>
    </r>
    <r>
      <rPr>
        <i/>
        <sz val="6"/>
        <rFont val="Arial"/>
        <family val="2"/>
      </rPr>
      <t>Memoria Estadística</t>
    </r>
    <r>
      <rPr>
        <sz val="6"/>
        <rFont val="Arial"/>
        <family val="2"/>
      </rPr>
      <t xml:space="preserve"> (varios años).</t>
    </r>
  </si>
  <si>
    <t>Certificados y días de incapacidad tramitados en el Instituto Mexicano</t>
  </si>
  <si>
    <t>Cuadro 5.28</t>
  </si>
  <si>
    <t>del Seguro Social por delegación según rama de seguro</t>
  </si>
  <si>
    <t>Certificados</t>
  </si>
  <si>
    <t>Días</t>
  </si>
  <si>
    <t>Riesgo de
trabajo</t>
  </si>
  <si>
    <t>Enferme-
dad</t>
  </si>
  <si>
    <t>Materni-
dad</t>
  </si>
  <si>
    <t>Ciudad de México a/</t>
  </si>
  <si>
    <t>México b/</t>
  </si>
  <si>
    <t>Veracruz c/</t>
  </si>
  <si>
    <t xml:space="preserve">a/ Comprende las delegaciones Ciudad de México norte y Ciudad de México sur. </t>
  </si>
  <si>
    <t>b/  Comprende las delegaciones México oriente y México poniente.</t>
  </si>
  <si>
    <t>c/ Comprende las delegaciones Veracruz norte y Veracruz sur.</t>
  </si>
  <si>
    <r>
      <t xml:space="preserve">Fuente: IMSS. </t>
    </r>
    <r>
      <rPr>
        <i/>
        <sz val="6"/>
        <rFont val="Arial"/>
        <family val="2"/>
      </rPr>
      <t>Memoria Estadística</t>
    </r>
    <r>
      <rPr>
        <sz val="6"/>
        <rFont val="Arial"/>
        <family val="2"/>
      </rPr>
      <t xml:space="preserve"> (varios años). </t>
    </r>
  </si>
  <si>
    <t>5.27</t>
  </si>
  <si>
    <t>5.28</t>
  </si>
  <si>
    <t xml:space="preserve">Unidades operativas para la  prestación de servicios sociales del Instituto Mexicano del Seguro Social por delegación
Serie anual de 1997 a 2018
</t>
  </si>
  <si>
    <t xml:space="preserve">Certificados y días de incapacidad tramitados en el Instituto Mexicano del Seguro Social por delegación según rama de seguro
Serie anual de 1997 a 2018
</t>
  </si>
  <si>
    <t>5.1</t>
  </si>
  <si>
    <t>Población total por entidad federativa según condición de afiliación</t>
  </si>
  <si>
    <t>Cuadro 5.1</t>
  </si>
  <si>
    <t>y tipo de institución</t>
  </si>
  <si>
    <t>2009, 2013 y 2017</t>
  </si>
  <si>
    <t>Población
total a/</t>
  </si>
  <si>
    <t>Condición de afiliación</t>
  </si>
  <si>
    <t>No espe-
cificado</t>
  </si>
  <si>
    <t>Sin</t>
  </si>
  <si>
    <t>Tipo de institución a/</t>
  </si>
  <si>
    <t>afiliación</t>
  </si>
  <si>
    <t>IMSS</t>
  </si>
  <si>
    <t>ISSSTE</t>
  </si>
  <si>
    <t>SPSS - SSA b/</t>
  </si>
  <si>
    <t>Otra
institu-
ción c/</t>
  </si>
  <si>
    <t>2009 d/</t>
  </si>
  <si>
    <t>Distrito Federal</t>
  </si>
  <si>
    <t>2013 e/</t>
  </si>
  <si>
    <t>2017 e/</t>
  </si>
  <si>
    <t>a/ Comprende a las personas afiliadas en al menos una institución, clasificadas de acuerdo con la declarada en primer término.</t>
  </si>
  <si>
    <t>b/ Comprende a los afiliados al Sistema de Protección Social en Salud (Seguro Popular y Seguro Médico para una Nueva Generación).</t>
  </si>
  <si>
    <t>c/ Comprende a los afiliados en PEMEX, SEDENA, SEMAR, instituciones de seguridad social estatales y otras del sector público; así como a la población que adquirió el derecho a pres-</t>
  </si>
  <si>
    <t xml:space="preserve">    taciones y servicios médicos en instituciones privadas contratadas por el empleador o en forma personal mediante prepago.</t>
  </si>
  <si>
    <t>d/ Se refiere al periodo mayo - junio.</t>
  </si>
  <si>
    <t>e/ Se refiere al periodo julio - agosto.</t>
  </si>
  <si>
    <r>
      <t>Fuente: INEGI.</t>
    </r>
    <r>
      <rPr>
        <i/>
        <sz val="6"/>
        <rFont val="Arial"/>
        <family val="2"/>
      </rPr>
      <t xml:space="preserve"> Encuesta Nacional de Empleo y Seguridad Social 2009, 2014 y 2017. Tabulados básicos.</t>
    </r>
  </si>
  <si>
    <t xml:space="preserve"> </t>
  </si>
  <si>
    <t xml:space="preserve">Población total por entidad federativa según condición de afiliación y tipo de institución
2009, 2013 y 2017
</t>
  </si>
  <si>
    <t>Unidades médicas en instituciones públicas de salud por entidad federativa según institución</t>
  </si>
  <si>
    <t>Cuadro 5.3</t>
  </si>
  <si>
    <t>Serie anual de 1995 a 2017</t>
  </si>
  <si>
    <t>SSA</t>
  </si>
  <si>
    <t>IMSS-
Prospera</t>
  </si>
  <si>
    <t>PEMEX</t>
  </si>
  <si>
    <t>SEDENA</t>
  </si>
  <si>
    <t>SEMAR</t>
  </si>
  <si>
    <t xml:space="preserve">Estatal a/
</t>
  </si>
  <si>
    <t>Otros b/</t>
  </si>
  <si>
    <t>a/</t>
  </si>
  <si>
    <t>b/</t>
  </si>
  <si>
    <t>2014 P/</t>
  </si>
  <si>
    <t>Nota: La Dirección General de Información en Salud de la SSA con fundamento en el Artículo 11 que establece las medidas para el uso eficiente, transparente y eficaz de los recursos públicos, y las acciones</t>
  </si>
  <si>
    <t xml:space="preserve">          de disciplina presupuestaria en el ejercicio del gasto público, así como para la modernización de la Administración Pública Federal, publicado en el Diario Oficial de la Federación el 10 de diciembre 2012, </t>
  </si>
  <si>
    <r>
      <t xml:space="preserve">          determinó suspender la publicación de los </t>
    </r>
    <r>
      <rPr>
        <i/>
        <sz val="6"/>
        <rFont val="Arial"/>
        <family val="2"/>
      </rPr>
      <t>Boletines de Información Estadística</t>
    </r>
    <r>
      <rPr>
        <sz val="6"/>
        <rFont val="Arial"/>
        <family val="2"/>
      </rPr>
      <t xml:space="preserve"> para presentar dicha información en formato de cubos dinámicos a partir del ejercicio estadístico 2014. Cifras al 31 de </t>
    </r>
  </si>
  <si>
    <t xml:space="preserve">          diciembre de cada año. Se presenta información únicamente de las instituciones que reportaron cifras.                 </t>
  </si>
  <si>
    <t>a/ Incluye 430 unidades auxiliares de medicina familiar no desglosadas por entidad federativa.</t>
  </si>
  <si>
    <t xml:space="preserve">b/ La información es la misma que se presentó en 2003, debido a que no reportó información. </t>
  </si>
  <si>
    <r>
      <t xml:space="preserve">Fuente: Para 1995 a 2002: SSA. </t>
    </r>
    <r>
      <rPr>
        <i/>
        <sz val="6"/>
        <rFont val="Arial"/>
        <family val="2"/>
      </rPr>
      <t>Boletín de Información Estadística. Recursos y Servicios</t>
    </r>
    <r>
      <rPr>
        <sz val="6"/>
        <rFont val="Arial"/>
        <family val="2"/>
      </rPr>
      <t xml:space="preserve"> (varios años).</t>
    </r>
  </si>
  <si>
    <r>
      <t xml:space="preserve">             Para 2014 y 2017: Salud. Dirección General de Información en Salud. </t>
    </r>
    <r>
      <rPr>
        <i/>
        <sz val="6"/>
        <rFont val="Arial"/>
        <family val="2"/>
      </rPr>
      <t>Salud en Números. Cubos Dinámicos.</t>
    </r>
    <r>
      <rPr>
        <sz val="6"/>
        <rFont val="Arial"/>
        <family val="2"/>
      </rPr>
      <t xml:space="preserve"> En: www.gob.mx/salud (21 de agosto de 2019).</t>
    </r>
  </si>
  <si>
    <t>Recursos materiales seleccionados en instituciones públicas de salud por entidad federativa</t>
  </si>
  <si>
    <t>Cuadro 5.4</t>
  </si>
  <si>
    <t>Camas
censables</t>
  </si>
  <si>
    <t>Camas no
censables</t>
  </si>
  <si>
    <t>Consul-
torios a/</t>
  </si>
  <si>
    <t>Laboratorios
de análisis
clínicos</t>
  </si>
  <si>
    <t>Equipos de
rayos "x" b/</t>
  </si>
  <si>
    <t>Quiró-
fanos</t>
  </si>
  <si>
    <t>Salas de
expulsión</t>
  </si>
  <si>
    <t>2001 R/</t>
  </si>
  <si>
    <t>2005 R/</t>
  </si>
  <si>
    <t>2010 c/</t>
  </si>
  <si>
    <t xml:space="preserve">Estados Unidos Mexicanos </t>
  </si>
  <si>
    <t xml:space="preserve">Nota: La Dirección General de Información en Salud de la SSA con fundamento en el Artículo 11 que establece las medidas para el uso eficiente, transparente y eficaz de los recursos públicos, </t>
  </si>
  <si>
    <t xml:space="preserve">          y las acciones de disciplina presupuestaria en el ejercicio del gasto público, así como para la modernización de la Administración Pública Federal, publicado en el Diario Oficial de la </t>
  </si>
  <si>
    <r>
      <t xml:space="preserve">          Federación el 10 de diciembre 2012, determinó suspender la publicación de los</t>
    </r>
    <r>
      <rPr>
        <i/>
        <sz val="6"/>
        <rFont val="Arial"/>
        <family val="2"/>
      </rPr>
      <t xml:space="preserve"> Boletines de Información Estadística</t>
    </r>
    <r>
      <rPr>
        <sz val="6"/>
        <rFont val="Arial"/>
        <family val="2"/>
      </rPr>
      <t xml:space="preserve"> para presentar dicha información en formato de cubos dinámicos a </t>
    </r>
  </si>
  <si>
    <t xml:space="preserve">          partir del ejercicio estadístico 2014. Cifras al 31 de diciembre de cada año. </t>
  </si>
  <si>
    <t>a/ Comprende consultorios generales, de especialidades y otros.</t>
  </si>
  <si>
    <t xml:space="preserve">b/ Incluye equipos portátiles y excluye rayos "x" dentales. Hasta 2006 se refiere a Gabinetes de radiología. Para 2007, 2008  y 2009, incluye información de los Hospitales Federales de </t>
  </si>
  <si>
    <t xml:space="preserve">    Referencia e Institutos Nacionales de Salud; para 2010 además incluye Servicios de Atención Psiquiátrica y Hospitales Regionales de Alta Especialidad.</t>
  </si>
  <si>
    <t>c/ Los totales incluyen cifras de SEDENA no desglosadas por entidad federativa.</t>
  </si>
  <si>
    <t>Personal médico en instituciones públicas de salud por entidad federativa</t>
  </si>
  <si>
    <t>Cuadro 5.5</t>
  </si>
  <si>
    <t>Entidad 
federativa</t>
  </si>
  <si>
    <t>En contacto directo con el paciente</t>
  </si>
  <si>
    <t>En otras
labores</t>
  </si>
  <si>
    <t>Médicos
generales o
familiares</t>
  </si>
  <si>
    <t>Especialistas</t>
  </si>
  <si>
    <t xml:space="preserve">Residen-
tes a/
</t>
  </si>
  <si>
    <t>Pasantes</t>
  </si>
  <si>
    <t>Gineco-
obstetras</t>
  </si>
  <si>
    <t>Pedia-
tras</t>
  </si>
  <si>
    <t xml:space="preserve">Odontó-
logos
</t>
  </si>
  <si>
    <t>c/</t>
  </si>
  <si>
    <t>e/</t>
  </si>
  <si>
    <t>2010 R/</t>
  </si>
  <si>
    <t>Estados Unidos Mexicanos f/</t>
  </si>
  <si>
    <t>Estados Unidos Mexicanos g/</t>
  </si>
  <si>
    <t xml:space="preserve">Nota: La Dirección General de Información en Salud de la SSA con fundamento en el Artículo 11 que establece las medidas para el uso eficiente, transparente y eficaz de los recursos públicos, y las </t>
  </si>
  <si>
    <t xml:space="preserve">          acciones de disciplina presupuestaria en el ejercicio del gasto público, así como para la modernización de la Administración Pública Federal, publicado en el Diario Oficial de la Federación el</t>
  </si>
  <si>
    <r>
      <t xml:space="preserve">          10 de diciembre 2012, determinó suspender la publicación de los </t>
    </r>
    <r>
      <rPr>
        <i/>
        <sz val="6"/>
        <rFont val="Arial"/>
        <family val="2"/>
      </rPr>
      <t>Boletines de Información Estadística</t>
    </r>
    <r>
      <rPr>
        <sz val="6"/>
        <rFont val="Arial"/>
        <family val="2"/>
      </rPr>
      <t xml:space="preserve"> para presentar dicha información en formato de cubos dinámicos a partir del ejercicio esta-</t>
    </r>
  </si>
  <si>
    <t xml:space="preserve">          dístico 2014. Cifras al 31 de diciembre de cada año. </t>
  </si>
  <si>
    <t>a/ Comprende pasantes de odontología, internos de pregrado y residentes.</t>
  </si>
  <si>
    <t>b/ Comprende cirujanos, internistas y otros especialistas.</t>
  </si>
  <si>
    <t>c/ Incluye 394 médicos no desglosados por especialidad.</t>
  </si>
  <si>
    <t>d/ El total no coincide con la suma por especialidad, debido a que los hospitales universitarios y estatales no desglosaron información.</t>
  </si>
  <si>
    <t>e/ Incluye 49 médicos no desglosados por especialidad.</t>
  </si>
  <si>
    <t>f/ Los totales incluyen cifras de la SEDENA no desglosadas por entidad federativa.</t>
  </si>
  <si>
    <t>g/ Se presentan las cifras que reportó la fuente, aun cuando las sumas de los parciales no coinciden con los totales.</t>
  </si>
  <si>
    <t>Personal no médico en instituciones públicas de salud por entidad federativa</t>
  </si>
  <si>
    <t>Cuadro 5.6</t>
  </si>
  <si>
    <t>Enfermeras</t>
  </si>
  <si>
    <t>Otro a/</t>
  </si>
  <si>
    <t>Auxiliares</t>
  </si>
  <si>
    <t>Generales</t>
  </si>
  <si>
    <t>Especia-
listas</t>
  </si>
  <si>
    <t>En otras</t>
  </si>
  <si>
    <t>labores b/</t>
  </si>
  <si>
    <t>Estados Unidos Mexicanos c/</t>
  </si>
  <si>
    <t>Estados Unidos Mexicanos d/</t>
  </si>
  <si>
    <r>
      <t xml:space="preserve">          </t>
    </r>
    <r>
      <rPr>
        <sz val="6"/>
        <rFont val="Arial"/>
        <family val="2"/>
      </rPr>
      <t xml:space="preserve">dístico 2014.  </t>
    </r>
  </si>
  <si>
    <t>a/ A partir de 2003 incluye personal en servicios auxiliares de diagnóstico y tratamiento, personal administrativo, personal de trabajo social y otro personal.</t>
  </si>
  <si>
    <t>b/ Incluye enfermeras pasantes.</t>
  </si>
  <si>
    <t>c/ Se presentan las cifras que reportó la fuente, aun cuando las sumas de los parciales no coinciden con los totales.</t>
  </si>
  <si>
    <t>d/ Los totales incluyen cifras de SEDENA no desglosadas por entidad federativa.</t>
  </si>
  <si>
    <t xml:space="preserve">Consultas externas otorgadas en instituciones públicas de salud por entidad federativa </t>
  </si>
  <si>
    <t>Cuadro 5.7</t>
  </si>
  <si>
    <t>según tipo de consulta</t>
  </si>
  <si>
    <t>Serie anual de 1995 a 2016</t>
  </si>
  <si>
    <t>General</t>
  </si>
  <si>
    <t>Especializada</t>
  </si>
  <si>
    <t>De urgen-
cias</t>
  </si>
  <si>
    <t>Odonto-
lógica</t>
  </si>
  <si>
    <t>Gineco-
obste-
tricia</t>
  </si>
  <si>
    <t>Pediatría</t>
  </si>
  <si>
    <t>Otras a/</t>
  </si>
  <si>
    <t xml:space="preserve">Aguascalientes </t>
  </si>
  <si>
    <t xml:space="preserve">Campeche </t>
  </si>
  <si>
    <t xml:space="preserve">Coahuila de Zaragoza </t>
  </si>
  <si>
    <t xml:space="preserve">Colima </t>
  </si>
  <si>
    <t xml:space="preserve">Durango </t>
  </si>
  <si>
    <t xml:space="preserve">Jalisco </t>
  </si>
  <si>
    <t xml:space="preserve">Nuevo León </t>
  </si>
  <si>
    <t xml:space="preserve">Puebla </t>
  </si>
  <si>
    <t xml:space="preserve">Sonora </t>
  </si>
  <si>
    <t>Estados Unidos Mexicanos e/</t>
  </si>
  <si>
    <t>Baja California  g/</t>
  </si>
  <si>
    <t>Coahuila de Zaragoza  g/</t>
  </si>
  <si>
    <t>Sinaloa g/</t>
  </si>
  <si>
    <t>Baja California g/</t>
  </si>
  <si>
    <t>Puebla g/</t>
  </si>
  <si>
    <t>Nuevo León g/</t>
  </si>
  <si>
    <t>Puebla e/</t>
  </si>
  <si>
    <t>Estados Unidos Mexicanos h/</t>
  </si>
  <si>
    <t>a/ Incluye consultas externas de cirugía, medicina interna, otras especialidades y no especificado.</t>
  </si>
  <si>
    <t>b/ El total no coincide con la suma por especialidad, debido a que los hospitales universitarios y estatales no desglosaron información.</t>
  </si>
  <si>
    <t>c/ El total incluye  829 543 consultas de valoración previa en hospitales de unidades de tercer nivel en el IMSS, no distribuidas por especialidad.</t>
  </si>
  <si>
    <t>d/ Incluye 5 671 620 consultas externas correspondientes al seguro popular.</t>
  </si>
  <si>
    <t>e/ Se presetan las cifras que reportó la fuente, aun cuando las sumas de los parciales no coinciden con el total.</t>
  </si>
  <si>
    <t>f/  Los totales incluyen cifras de SEDENA no desglosadas por entidad federativa.</t>
  </si>
  <si>
    <t>g/ El total incluye el rubro no especificado.</t>
  </si>
  <si>
    <t>h/ El total incluye 32 695 consultas externas de urgencias, no específicadas por entidad federativa.</t>
  </si>
  <si>
    <r>
      <t xml:space="preserve">Fuente: Para 1995 a 2002: SSA. </t>
    </r>
    <r>
      <rPr>
        <i/>
        <sz val="6"/>
        <rFont val="Arial"/>
        <family val="2"/>
      </rPr>
      <t>Boletín de Información Estadística. Recursos y Servicios</t>
    </r>
    <r>
      <rPr>
        <sz val="6"/>
        <rFont val="Arial"/>
        <family val="2"/>
      </rPr>
      <t xml:space="preserve"> (varios años). México, DF.</t>
    </r>
  </si>
  <si>
    <r>
      <t xml:space="preserve">             Para 2003 a 2016: SSA.</t>
    </r>
    <r>
      <rPr>
        <i/>
        <sz val="6"/>
        <rFont val="Arial"/>
        <family val="2"/>
      </rPr>
      <t xml:space="preserve"> Boletín de Información Estadística. Recursos Físicos, Materiales y Humanos. </t>
    </r>
    <r>
      <rPr>
        <sz val="6"/>
        <rFont val="Arial"/>
        <family val="2"/>
      </rPr>
      <t>En: http://www.dgis.salud.gob.mx (23 de julio de 2019).</t>
    </r>
  </si>
  <si>
    <r>
      <t xml:space="preserve">             Para 2014: Salud. Dirección General de Información en Salud. </t>
    </r>
    <r>
      <rPr>
        <i/>
        <sz val="6"/>
        <rFont val="Arial"/>
        <family val="2"/>
      </rPr>
      <t>Salud en Números. Cubos Dinámicos.</t>
    </r>
    <r>
      <rPr>
        <sz val="6"/>
        <rFont val="Arial"/>
        <family val="2"/>
      </rPr>
      <t xml:space="preserve"> En: www.gob.mx/salud (21 de agosto de 2019).</t>
    </r>
  </si>
  <si>
    <t xml:space="preserve">Consultas de planificación familiar otorgadas en instituciones públicas de salud </t>
  </si>
  <si>
    <t>Cuadro 5.8</t>
  </si>
  <si>
    <t>por entidad federativa según institución</t>
  </si>
  <si>
    <t>Estatal</t>
  </si>
  <si>
    <t>Otros</t>
  </si>
  <si>
    <t>1995</t>
  </si>
  <si>
    <t>1996</t>
  </si>
  <si>
    <t>1997</t>
  </si>
  <si>
    <t>1998</t>
  </si>
  <si>
    <t>1999</t>
  </si>
  <si>
    <t>Estados Unidos Mexicanos a/</t>
  </si>
  <si>
    <t>Querétaro a/</t>
  </si>
  <si>
    <t>Sinaloa a/</t>
  </si>
  <si>
    <t>a/ Se presentan las cifras que reportó la fuente, aun cuando las sumas de los parciales no coinciden con los totales por institución.</t>
  </si>
  <si>
    <r>
      <t xml:space="preserve">Fuente: Para 1995 y 1996: SSA. </t>
    </r>
    <r>
      <rPr>
        <i/>
        <sz val="6"/>
        <rFont val="Arial"/>
        <family val="2"/>
      </rPr>
      <t xml:space="preserve">Boletín de Información Estadística. Recursos y Servicios, </t>
    </r>
    <r>
      <rPr>
        <sz val="6"/>
        <rFont val="Arial"/>
        <family val="2"/>
      </rPr>
      <t>1995 y 1996. México, DF.</t>
    </r>
  </si>
  <si>
    <r>
      <t xml:space="preserve">             Para 1997 a 2002: SSA. </t>
    </r>
    <r>
      <rPr>
        <i/>
        <sz val="6"/>
        <rFont val="Arial"/>
        <family val="2"/>
      </rPr>
      <t xml:space="preserve">Boletín de Información Estadística. Programas Sustantivos </t>
    </r>
    <r>
      <rPr>
        <sz val="6"/>
        <rFont val="Arial"/>
        <family val="2"/>
      </rPr>
      <t>(varios años). México, DF.</t>
    </r>
  </si>
  <si>
    <t xml:space="preserve">Nuevas aceptantes y usuarios activos de métodos anticonceptivos e intervenciones quirúrgicas </t>
  </si>
  <si>
    <t>Cuadro 5.9</t>
  </si>
  <si>
    <t>en instituciones públicas de salud por entidad federativa</t>
  </si>
  <si>
    <t>Intervenciones
quirúrgicas a/</t>
  </si>
  <si>
    <t>Nuevas aceptantes</t>
  </si>
  <si>
    <t>Usuarios activos</t>
  </si>
  <si>
    <t>Hormo-
nal</t>
  </si>
  <si>
    <t>DIU</t>
  </si>
  <si>
    <t>Quirúr-
gico</t>
  </si>
  <si>
    <t>Hom-
bres</t>
  </si>
  <si>
    <t>Muje-
res</t>
  </si>
  <si>
    <r>
      <t>Estados Unidos Mexicanos b</t>
    </r>
    <r>
      <rPr>
        <b/>
        <sz val="6"/>
        <rFont val="arial"/>
        <family val="2"/>
      </rPr>
      <t>/</t>
    </r>
  </si>
  <si>
    <t>f/</t>
  </si>
  <si>
    <t>g/</t>
  </si>
  <si>
    <t>h/</t>
  </si>
  <si>
    <t>i/</t>
  </si>
  <si>
    <t>Estados Unidos Mexicanos b/</t>
  </si>
  <si>
    <t>Estados Unidos Mexicanos j/</t>
  </si>
  <si>
    <t>Estados Unidos Mexicanos b/ j/</t>
  </si>
  <si>
    <t>para 2010 los datos del estado de oaxaca estan tomados 
del cuadro por entidad federativa III.1.2.37 con el fin de llegar 
a los totales de fuente señalados en el cuadro III.1.2.20</t>
  </si>
  <si>
    <t>a/ Intervenciones quirúrgicas de planificación familiar.</t>
  </si>
  <si>
    <t>b/ Se presentan las cifras que reportó la fuente, aun cuando las sumas de los parciales no coinciden con el total.</t>
  </si>
  <si>
    <t>c/ El total incluye 15 440 nuevas aceptantes no distribuidas por entidad federativa ni por método.</t>
  </si>
  <si>
    <t>d/ El total incluye 837 nuevas aceptantes no desagregadas por método.</t>
  </si>
  <si>
    <t>e/ El total incluye 2 566 usuarias activas no desagregadas por método.</t>
  </si>
  <si>
    <t>f/  El total incluye 166 intervenciones quirúrgicas no distribuidas por sexo.</t>
  </si>
  <si>
    <t>g/ El total incluye 28 intervenciones quirúrgicas no distribuidas por sexo.</t>
  </si>
  <si>
    <t>h/ El total incluye 3 638 usuarias activas no distribuidas por método.</t>
  </si>
  <si>
    <t>i/  Incluye el concepto de no especificado.</t>
  </si>
  <si>
    <t>j/  Los totales incluyen cifras de SEDENA no desglosadas por entidad federativa.</t>
  </si>
  <si>
    <r>
      <t xml:space="preserve">Fuente: Para 1995 y 1996: SSA. </t>
    </r>
    <r>
      <rPr>
        <i/>
        <sz val="6"/>
        <rFont val="Arial"/>
        <family val="2"/>
      </rPr>
      <t>Boletín de Información Estadística. Recursos y Servicios,</t>
    </r>
    <r>
      <rPr>
        <sz val="6"/>
        <rFont val="Arial"/>
        <family val="2"/>
      </rPr>
      <t xml:space="preserve"> 1995 y 1996. México, DF.</t>
    </r>
  </si>
  <si>
    <r>
      <t xml:space="preserve">             Para 1997 a 2002: SSA. </t>
    </r>
    <r>
      <rPr>
        <i/>
        <sz val="6"/>
        <rFont val="Arial"/>
        <family val="2"/>
      </rPr>
      <t>Boletín de Información Estadística. Programas Sustantivos</t>
    </r>
    <r>
      <rPr>
        <sz val="6"/>
        <rFont val="Arial"/>
        <family val="2"/>
      </rPr>
      <t xml:space="preserve"> (varios años). México, DF.</t>
    </r>
  </si>
  <si>
    <t xml:space="preserve">Inmunizaciones aplicadas en instituciones públicas de salud por entidad federativa </t>
  </si>
  <si>
    <t>Cuadro 5.10</t>
  </si>
  <si>
    <t>según biológico</t>
  </si>
  <si>
    <t>Serie anual de 1995 a 2015</t>
  </si>
  <si>
    <t>Antipolio-
mielítica</t>
  </si>
  <si>
    <t>Pentava-
lente a/</t>
  </si>
  <si>
    <t>Tuberculo-
sis, Bacilo
de Calmet
y Guerin
(BCG)</t>
  </si>
  <si>
    <t>Toxoide
tetánico
diftérico b/</t>
  </si>
  <si>
    <t>Triple
viral/</t>
  </si>
  <si>
    <t>Antirrábi-
ca humana</t>
  </si>
  <si>
    <t>Antiti-
foídica</t>
  </si>
  <si>
    <t>Otros bio-
lógicos</t>
  </si>
  <si>
    <t>(Sabin)</t>
  </si>
  <si>
    <t>SRP/AS c/</t>
  </si>
  <si>
    <t>Estados Unidos Mexicanos d/ e/</t>
  </si>
  <si>
    <t>México d/</t>
  </si>
  <si>
    <t>2013</t>
  </si>
  <si>
    <t>Estados Unidos Mexicanos  d/ f/</t>
  </si>
  <si>
    <t>Estados Unidos Mexicanos d/ f/</t>
  </si>
  <si>
    <t>Nota: Cifras al 31 de diciembre de cada año. Comprende inmunizaciones aplicadas en programas permanentes y semanas nacionales de vacunación.</t>
  </si>
  <si>
    <t>a/ Hasta 1998 se refiere a DPT (Difteria, Tosferina y Tétanos). A partir de 1999 se denomina pentavalente (difteria, tosferina, tétanos, hepatitis B e infecciones por H. influenzae B).</t>
  </si>
  <si>
    <t>b/ De 1995 a 1997 se refiere sólo a toxoide tetánico. A partir de 1998 se refiere a toxoide tetánico diftérico; desde 2000 incluye, además, toxoide tetánico a mujeres embarazadas.</t>
  </si>
  <si>
    <t>c/ Para 1995 se refiere sólo a la antisarampionosa. A partir de 1999 a la antisarampionosa triple viral SRP/AS (sarampión, rubéola y parotiditis).</t>
  </si>
  <si>
    <t>d/ Se presentan las cifras que reportó la fuente, aun cuando las sumas de los parciales no coinciden con el total.</t>
  </si>
  <si>
    <t>e/ El total incluye 40 123 dosis no distribuidas por entidad federativa.</t>
  </si>
  <si>
    <t xml:space="preserve">f/  La información se refiere sólo a programas permanentes. </t>
  </si>
  <si>
    <r>
      <t xml:space="preserve">Fuente: Para 1995: SSA. </t>
    </r>
    <r>
      <rPr>
        <i/>
        <sz val="6"/>
        <rFont val="Arial"/>
        <family val="2"/>
      </rPr>
      <t>Boletín de Información Estadística. Recursos y Servicios, 1995.</t>
    </r>
    <r>
      <rPr>
        <sz val="6"/>
        <rFont val="Arial"/>
        <family val="2"/>
      </rPr>
      <t xml:space="preserve"> México, DF, 1996.</t>
    </r>
  </si>
  <si>
    <r>
      <t xml:space="preserve">             Para 1996 a 2002: SSA. </t>
    </r>
    <r>
      <rPr>
        <i/>
        <sz val="6"/>
        <rFont val="Arial"/>
        <family val="2"/>
      </rPr>
      <t>Boletín de Información Estadística. Programas Sustantivos</t>
    </r>
    <r>
      <rPr>
        <sz val="6"/>
        <rFont val="Arial"/>
        <family val="2"/>
      </rPr>
      <t xml:space="preserve"> (varios años). México, DF.</t>
    </r>
  </si>
  <si>
    <r>
      <t xml:space="preserve">             Para 2003 a 2015: SSA. </t>
    </r>
    <r>
      <rPr>
        <i/>
        <sz val="6"/>
        <rFont val="Arial"/>
        <family val="2"/>
      </rPr>
      <t>Boletín de Información Estadística. Servicios Otorgados y Programas Sustantivos.</t>
    </r>
    <r>
      <rPr>
        <sz val="6"/>
        <rFont val="Arial"/>
        <family val="2"/>
      </rPr>
      <t xml:space="preserve"> En: http://www.dgis.salud.gob.mx (23 de julio de 2019).</t>
    </r>
  </si>
  <si>
    <t>Indicadores seleccionados en instituciones públicas de salud por entidad federativa</t>
  </si>
  <si>
    <t>Cuadro 5.11</t>
  </si>
  <si>
    <t>Camas
censables
por cada
100 000
 habitantes</t>
  </si>
  <si>
    <t>Consultorios
por cada
100 000
 habitantes</t>
  </si>
  <si>
    <t>Médicos en con-
tacto directo
con el pacien-
te por cada
100 000
habitantes</t>
  </si>
  <si>
    <t>Odontólogos
por cada
100 000
 habitantes</t>
  </si>
  <si>
    <t>Enfermeras
por cada
100 000
 habitantes</t>
  </si>
  <si>
    <t>Consultas
externas
generales
por cada
1 000
 habitantes</t>
  </si>
  <si>
    <t>Ocupación
hospitalaria</t>
  </si>
  <si>
    <t>(Por ciento)</t>
  </si>
  <si>
    <r>
      <t xml:space="preserve">          10 de diciembre 2012, determinó suspender la publicación de los</t>
    </r>
    <r>
      <rPr>
        <i/>
        <sz val="6"/>
        <rFont val="Arial"/>
        <family val="2"/>
      </rPr>
      <t xml:space="preserve"> Boletines de Información Estadística</t>
    </r>
    <r>
      <rPr>
        <sz val="6"/>
        <rFont val="Arial"/>
        <family val="2"/>
      </rPr>
      <t xml:space="preserve"> para presentar dicha información en formato de cubos dinámicos a partir del ejercicio </t>
    </r>
  </si>
  <si>
    <t xml:space="preserve">          estadístico 2014. Los indicadores de salud están calculados con la población proyectada a mitad de año por CONAPO.</t>
  </si>
  <si>
    <r>
      <t xml:space="preserve">             Para 2003 a 2013: SSA. </t>
    </r>
    <r>
      <rPr>
        <i/>
        <sz val="6"/>
        <rFont val="Arial"/>
        <family val="2"/>
      </rPr>
      <t>Boletín de Información Estadística.</t>
    </r>
    <r>
      <rPr>
        <sz val="6"/>
        <rFont val="Arial"/>
        <family val="2"/>
      </rPr>
      <t xml:space="preserve"> </t>
    </r>
    <r>
      <rPr>
        <i/>
        <sz val="6"/>
        <rFont val="Arial"/>
        <family val="2"/>
      </rPr>
      <t xml:space="preserve">Recursos Físicos, Materiales y Humanos </t>
    </r>
    <r>
      <rPr>
        <sz val="6"/>
        <rFont val="Arial"/>
        <family val="2"/>
      </rPr>
      <t>(varios años).</t>
    </r>
  </si>
  <si>
    <r>
      <t xml:space="preserve">                                            SSA. </t>
    </r>
    <r>
      <rPr>
        <i/>
        <sz val="6"/>
        <rFont val="Arial"/>
        <family val="2"/>
      </rPr>
      <t>Boletín de Información Estadística. Servicios Otorgados y Programas Sustantivos</t>
    </r>
    <r>
      <rPr>
        <sz val="6"/>
        <rFont val="Arial"/>
        <family val="2"/>
      </rPr>
      <t xml:space="preserve"> (varios años).</t>
    </r>
  </si>
  <si>
    <t xml:space="preserve">             Para 2014 y 2016: Salud. Dirección General de Información en Salud. Base de datos de recursos de salud y servicios estatales de salud. En: www.dgis.salud.gob.mx (9 de octubre de 2018).</t>
  </si>
  <si>
    <r>
      <t xml:space="preserve">             Para 2017: Salud. Dirección General de Información en Salud. </t>
    </r>
    <r>
      <rPr>
        <i/>
        <sz val="6"/>
        <rFont val="Arial"/>
        <family val="2"/>
      </rPr>
      <t>Salud en Números. Cubos Dinámicos.</t>
    </r>
    <r>
      <rPr>
        <sz val="6"/>
        <rFont val="Arial"/>
        <family val="2"/>
      </rPr>
      <t xml:space="preserve"> En: www.gob.mx/salud (21 de agosto de 2019).</t>
    </r>
  </si>
  <si>
    <t>5.3</t>
  </si>
  <si>
    <t>5.4</t>
  </si>
  <si>
    <t>5.5</t>
  </si>
  <si>
    <t>5.6</t>
  </si>
  <si>
    <t>5.7</t>
  </si>
  <si>
    <t>5.8</t>
  </si>
  <si>
    <t>5.9</t>
  </si>
  <si>
    <t>5.10</t>
  </si>
  <si>
    <t>5.11</t>
  </si>
  <si>
    <t xml:space="preserve">Unidades médicas en instituciones públicas de salud por entidad federativa según institución
Serie anual de 1995 a 2017
</t>
  </si>
  <si>
    <t xml:space="preserve">Recursos materiales seleccionados en instituciones públicas de salud por entidad federativa
Serie anual de 1995 a 2017
</t>
  </si>
  <si>
    <t xml:space="preserve">Personal médico en instituciones públicas de salud por entidad federativa
Serie anual de 1995 a 2017
</t>
  </si>
  <si>
    <t xml:space="preserve">Personal no médico en instituciones públicas de salud por entidad federativa
Serie anual de 1995 a 2017
</t>
  </si>
  <si>
    <t xml:space="preserve">Consultas externas otorgadas en instituciones públicas de salud por entidad federativa según tipo de consulta
Serie anual de 1995 a 2016
</t>
  </si>
  <si>
    <t xml:space="preserve">Consultas de planificación familiar otorgadas en instituciones públicas de salud por entidad federativa según institución
Serie anual de 1995 a 2016
</t>
  </si>
  <si>
    <t xml:space="preserve">Nuevas aceptantes y usuarios activos de métodos anticonceptivos e intervenciones quirúrgicas en instituciones públicas de salud por entidad federativa
Serie anual de 1995 a 2016
</t>
  </si>
  <si>
    <t xml:space="preserve">Inmunizaciones aplicadas en instituciones públicas de salud por entidad federativa según biológico
Serie anual de 1995 a 2015
</t>
  </si>
  <si>
    <t xml:space="preserve">Indicadores seleccionados en instituciones públicas de salud por entidad federativa
Serie anual de 1995 a 2017
</t>
  </si>
  <si>
    <t>Defunciones fetales por ámbito geográfico de residencia habitual de la madre</t>
  </si>
  <si>
    <t>Cuadro 5.20</t>
  </si>
  <si>
    <t>según grupo quinquenal de edad de la misma</t>
  </si>
  <si>
    <t>Serie anual de 1995 a 2018</t>
  </si>
  <si>
    <t>Ámbito
geográfico</t>
  </si>
  <si>
    <t>Menos de
15 años</t>
  </si>
  <si>
    <t>15 a 19
años</t>
  </si>
  <si>
    <t>20 a 24
años</t>
  </si>
  <si>
    <t>25 a 29
años</t>
  </si>
  <si>
    <t>30 a 34
años</t>
  </si>
  <si>
    <t>35 a 39
años</t>
  </si>
  <si>
    <t>40 a 44
años</t>
  </si>
  <si>
    <t>45 a 49
años</t>
  </si>
  <si>
    <t>50 y más
años</t>
  </si>
  <si>
    <t>En el extranjero</t>
  </si>
  <si>
    <t>2011</t>
  </si>
  <si>
    <t>2012</t>
  </si>
  <si>
    <r>
      <t xml:space="preserve">Fuente: INEGI. </t>
    </r>
    <r>
      <rPr>
        <i/>
        <sz val="6"/>
        <rFont val="Arial"/>
        <family val="2"/>
      </rPr>
      <t>Estadísticas de Mortalidad.</t>
    </r>
  </si>
  <si>
    <t>5.20</t>
  </si>
  <si>
    <t xml:space="preserve">Defunciones fetales por ámbito geográfico de residencia habitual de la madre según grupo quinquenal de edad de la misma
Serie anual de 1995 a 2018
</t>
  </si>
  <si>
    <t>Establecimientos particulares de salud por entidad federativa según especialidad</t>
  </si>
  <si>
    <t>Cuadro 5.12</t>
  </si>
  <si>
    <t>Psiquiatría</t>
  </si>
  <si>
    <t>Trauma-
tología</t>
  </si>
  <si>
    <t>Otras
especia-
lidades</t>
  </si>
  <si>
    <r>
      <t xml:space="preserve">Fuente: INEGI. </t>
    </r>
    <r>
      <rPr>
        <i/>
        <sz val="6"/>
        <color theme="1"/>
        <rFont val="Arial"/>
        <family val="2"/>
      </rPr>
      <t>Estadísticas de Salud.</t>
    </r>
  </si>
  <si>
    <t xml:space="preserve">Establecimientos particulares de salud por entidad federativa según número </t>
  </si>
  <si>
    <t>Cuadro 5.13</t>
  </si>
  <si>
    <t>de camas censables</t>
  </si>
  <si>
    <t>Estable-
cimientos</t>
  </si>
  <si>
    <t>Número de camas censables</t>
  </si>
  <si>
    <t>1 a 4</t>
  </si>
  <si>
    <t>5 a 9</t>
  </si>
  <si>
    <t>10 a 14</t>
  </si>
  <si>
    <t>15 a 24</t>
  </si>
  <si>
    <t>25 a 49</t>
  </si>
  <si>
    <t>50 y más</t>
  </si>
  <si>
    <t xml:space="preserve">Recursos materiales seleccionados en establecimientos particulares de salud </t>
  </si>
  <si>
    <t>Cuadro 5.14</t>
  </si>
  <si>
    <t>por entidad federativa</t>
  </si>
  <si>
    <t>.</t>
  </si>
  <si>
    <t>Salas o
gabinetes de
radiología</t>
  </si>
  <si>
    <t>Quiró-
fanos
(Salas)</t>
  </si>
  <si>
    <t>a/ Comprende consultorios generales y de especialidad.</t>
  </si>
  <si>
    <t>Personal médico en nómina que labora en establecimientos particulares de salud</t>
  </si>
  <si>
    <t>Cuadro 5.15</t>
  </si>
  <si>
    <t>por entidad federativa según especialidad</t>
  </si>
  <si>
    <t>Serie anual de 2001 a 2018</t>
  </si>
  <si>
    <t>Médicos
en otras
labores</t>
  </si>
  <si>
    <t>Médicos
generales</t>
  </si>
  <si>
    <t>Pasan-
tes</t>
  </si>
  <si>
    <t>Residen-
tes</t>
  </si>
  <si>
    <t>Odontó-
logos</t>
  </si>
  <si>
    <t>Otros a/</t>
  </si>
  <si>
    <t>LOGOS</t>
  </si>
  <si>
    <t>Nota: La fuente presenta un desglose adicional para esta desagregación, es por ello que no es comparable con periodos anteriores.</t>
  </si>
  <si>
    <t>a/ Incluye cirujanos, internistas, anestesiólogos y otros especialistas.</t>
  </si>
  <si>
    <t xml:space="preserve">Personal médico en acuerdo especial que labora en establecimientos particulares de salud </t>
  </si>
  <si>
    <t>Cuadro 5.16</t>
  </si>
  <si>
    <t>Recursos humanos en establecimientos particulares de salud por entidad federativa</t>
  </si>
  <si>
    <t>Cuadro 5.17</t>
  </si>
  <si>
    <t>Personal
médico a/</t>
  </si>
  <si>
    <t>Personal no médico</t>
  </si>
  <si>
    <t>Personal paramédico</t>
  </si>
  <si>
    <t>Personal de
procedi-
mientos en
medicina de
diagnósti-
co y tra-
tamiento</t>
  </si>
  <si>
    <t>Personal
adminis-
trativo</t>
  </si>
  <si>
    <t>Otro
personal</t>
  </si>
  <si>
    <t>Enfer-
meras b/</t>
  </si>
  <si>
    <t>Otro</t>
  </si>
  <si>
    <t>a/ Comprende personal médico en contacto directo con el paciente y médicos en otras labores. A partir de 2001, la fuente presenta un desglose adicional, es por ello que la información ya no se</t>
  </si>
  <si>
    <r>
      <t xml:space="preserve"> </t>
    </r>
    <r>
      <rPr>
        <sz val="6"/>
        <rFont val="Arial"/>
        <family val="2"/>
      </rPr>
      <t xml:space="preserve">   actualiza. Véanse cuadros 5.15 y 5.16.</t>
    </r>
  </si>
  <si>
    <t>b/ Comprende enfermeras generales, especializadas, auxiliares, pasantes de enfermería, y otras enfermeras.</t>
  </si>
  <si>
    <t xml:space="preserve">Consultas externas en establecimientos particulares de salud por entidad federativa </t>
  </si>
  <si>
    <t>Cuadro 5.18</t>
  </si>
  <si>
    <t>Medicina
preventiva</t>
  </si>
  <si>
    <t>De ur-
gencias</t>
  </si>
  <si>
    <t>Odon-
toló-
gica</t>
  </si>
  <si>
    <t>a/ Incluye cirugía, medicina interna, y otras especialidades.</t>
  </si>
  <si>
    <t>5.12</t>
  </si>
  <si>
    <t>5.13</t>
  </si>
  <si>
    <t>5.14</t>
  </si>
  <si>
    <t>5.15</t>
  </si>
  <si>
    <t>5.16</t>
  </si>
  <si>
    <t>5.17</t>
  </si>
  <si>
    <t>5.18</t>
  </si>
  <si>
    <t xml:space="preserve">Establecimientos particulares de salud por entidad federativa según especialidad
Serie anual de 1995 a 2018
</t>
  </si>
  <si>
    <t xml:space="preserve">Establecimientos particulares de salud por entidad federativa según número de camas censables
Serie anual de 1995 a 2018
</t>
  </si>
  <si>
    <t xml:space="preserve">Recursos materiales seleccionados en establecimientos particulares de salud por entidad federativa
Serie anual de 1995 a 2018
</t>
  </si>
  <si>
    <t xml:space="preserve">Personal médico en nómina que labora en establecimientos particulares de salud por entidad federativa según especialidad
Serie anual de 2001 a 2018
</t>
  </si>
  <si>
    <t xml:space="preserve">Personal médico en acuerdo especial que labora en establecimientos particulares de salud por entidad federativa según especialidad
Serie anual de 2001 a 2018
</t>
  </si>
  <si>
    <t xml:space="preserve">Recursos humanos en establecimientos particulares de salud por entidad federativa
Serie anual de 1995 a 2018
</t>
  </si>
  <si>
    <t xml:space="preserve">Consultas externas en establecimientos particulares de salud por entidad federativa según tipo de consulta
Serie anual de 1995 a 2018
</t>
  </si>
  <si>
    <r>
      <t xml:space="preserve">             Para 2003 a 2016: SSA.</t>
    </r>
    <r>
      <rPr>
        <i/>
        <sz val="6"/>
        <rFont val="Arial"/>
        <family val="2"/>
      </rPr>
      <t xml:space="preserve"> Boletín de Información Estadística. Recursos Físicos, Materiales y Humanos. </t>
    </r>
    <r>
      <rPr>
        <sz val="6"/>
        <rFont val="Arial"/>
        <family val="2"/>
      </rPr>
      <t>En:</t>
    </r>
    <r>
      <rPr>
        <i/>
        <sz val="6"/>
        <rFont val="Arial"/>
        <family val="2"/>
      </rPr>
      <t xml:space="preserve"> </t>
    </r>
    <r>
      <rPr>
        <sz val="6"/>
        <rFont val="Arial"/>
        <family val="2"/>
      </rPr>
      <t>http://www.dgis.salud.gob.mx (23 de julio de 2019).</t>
    </r>
  </si>
  <si>
    <t xml:space="preserve">          dístico 2014. Únicamente se presenta información de las instituciones que reportaron cifras.</t>
  </si>
  <si>
    <t>Nota: La Dirección General de Información en Salud de la SSA con fundamento en el Artículo 11 que establece las medidas para el uso eficiente, transparente y eficaz de los recursos</t>
  </si>
  <si>
    <t xml:space="preserve">          públicos, y las acciones de disciplina presupuestaria en el ejercicio del gasto público, así como para la modernización de la Administración Pública Federal, publicado en el</t>
  </si>
  <si>
    <r>
      <t xml:space="preserve">          Diario Oficial de la Federación el 10 de diciembre 2012, determinó suspender la publicación de los </t>
    </r>
    <r>
      <rPr>
        <i/>
        <sz val="6"/>
        <rFont val="Arial"/>
        <family val="2"/>
      </rPr>
      <t>Boletines de Información Estadística</t>
    </r>
    <r>
      <rPr>
        <sz val="6"/>
        <rFont val="Arial"/>
        <family val="2"/>
      </rPr>
      <t xml:space="preserve"> para presentar dicha información en</t>
    </r>
  </si>
  <si>
    <t xml:space="preserve">          formato de cubos dinámicos a partir del ejercicio estadístico 2014. Se presenta información únicamente de las instituciones que reportaron cifras.</t>
  </si>
  <si>
    <t xml:space="preserve">          formato de cubos dinámicos a partir del ejercicio estadístico 2014.</t>
  </si>
  <si>
    <r>
      <t xml:space="preserve">            CONAPO. </t>
    </r>
    <r>
      <rPr>
        <i/>
        <sz val="6"/>
        <rFont val="Arial"/>
        <family val="2"/>
      </rPr>
      <t>Proyecciones de la Población de México, 2016-2050.</t>
    </r>
    <r>
      <rPr>
        <sz val="6"/>
        <rFont val="Arial"/>
        <family val="2"/>
      </rPr>
      <t xml:space="preserve"> En: www.gob.mx/conapo (6 de junio de 2019).</t>
    </r>
  </si>
  <si>
    <t>5.19</t>
  </si>
  <si>
    <t>5.21</t>
  </si>
  <si>
    <t>5.22</t>
  </si>
  <si>
    <t xml:space="preserve">Defunciones generales por ámbito geográfico de residencia habitual del fallecido </t>
  </si>
  <si>
    <t>Cuadro 5.19</t>
  </si>
  <si>
    <t>según capítulo de causa de mortalidad</t>
  </si>
  <si>
    <t>Serie anual de 1998 a 2018</t>
  </si>
  <si>
    <t>I</t>
  </si>
  <si>
    <t>II</t>
  </si>
  <si>
    <t>IV</t>
  </si>
  <si>
    <t>IX</t>
  </si>
  <si>
    <t>X</t>
  </si>
  <si>
    <t>XI</t>
  </si>
  <si>
    <t>XIV</t>
  </si>
  <si>
    <t>XVI</t>
  </si>
  <si>
    <t>XVII</t>
  </si>
  <si>
    <t>XX</t>
  </si>
  <si>
    <t>Otros
capítulos a/</t>
  </si>
  <si>
    <t>2000</t>
  </si>
  <si>
    <t>Nota: Este cuadro presenta los datos conforme a la Clasificación Internacional de Enfermedades, 10a. Revisión.</t>
  </si>
  <si>
    <t>Ciertas enfermedades infecciosas y parasitarias.</t>
  </si>
  <si>
    <t>Tumores (neoplasias).</t>
  </si>
  <si>
    <t>Enfermedades endocrinas, nutricionales y metabólicas.</t>
  </si>
  <si>
    <t>Enfermedades del sistema circulatorio.</t>
  </si>
  <si>
    <t>Enfermedades del sistema respiratorio.</t>
  </si>
  <si>
    <t>Enfermedades del sistema digestivo.</t>
  </si>
  <si>
    <t>Enfermedades del sistema genitourinario.</t>
  </si>
  <si>
    <t>Ciertas afecciones originadas en el periodo perinatal.</t>
  </si>
  <si>
    <t>Malformaciones congénitas, deformidades y anomalías cromosómicas.</t>
  </si>
  <si>
    <t>Causas externas de morbilidad y mortalidad.</t>
  </si>
  <si>
    <t xml:space="preserve">a/ Incluye los capítulos: III Enfermedades de la sangre y de los órganos hematopoyéticos y ciertos trastornos que afectan el mecanismo de la inmunidad; V Trastornos mentales y </t>
  </si>
  <si>
    <t xml:space="preserve">    del comportamiento; VI Enfermedades del sistema nervioso; VII Enfermedades del ojo y sus anexos; VIII Enfermedades del oído y de la apófisis mastoides; XII Enfermedades de </t>
  </si>
  <si>
    <t xml:space="preserve">    la piel y del tejido subcutáneo; XIII Enfermedades del sistema osteomuscular y del tejido conjuntivo; XV Embarazo, parto y puerperio; XVIII Síntomas, signos y hallazgos anor-</t>
  </si>
  <si>
    <t xml:space="preserve">    males clínicos y de laboratorio, no clasificados en otra parte. Se excluyen los capítulos XIX y XXI, por ser exclusivos para morbilidad.</t>
  </si>
  <si>
    <r>
      <t>Fuente: INEGI.</t>
    </r>
    <r>
      <rPr>
        <i/>
        <sz val="6"/>
        <rFont val="Arial"/>
        <family val="2"/>
      </rPr>
      <t xml:space="preserve"> Estadísticas de Mortalidad.</t>
    </r>
  </si>
  <si>
    <t>Defunciones causadas por SIDA por ámbito geográfico de residencia habitual del fallecido</t>
  </si>
  <si>
    <t>Cuadro 5.21</t>
  </si>
  <si>
    <t>Ámbito geográfico</t>
  </si>
  <si>
    <t xml:space="preserve">Defunciones causadas por tumor maligno por ámbito geográfico de residencia habitual </t>
  </si>
  <si>
    <t>Cuadro 5.22</t>
  </si>
  <si>
    <t>del fallecido</t>
  </si>
  <si>
    <t>De la tráquea,
de los bron-
quios y del
pulmón</t>
  </si>
  <si>
    <t xml:space="preserve">Del estó-
mago
</t>
  </si>
  <si>
    <t xml:space="preserve">Del cuello
del útero
</t>
  </si>
  <si>
    <t xml:space="preserve">De la 
prós-
tata
</t>
  </si>
  <si>
    <t>De la
mama
de la
mujer</t>
  </si>
  <si>
    <t xml:space="preserve">Leucemia
</t>
  </si>
  <si>
    <t xml:space="preserve">Otros
</t>
  </si>
  <si>
    <t xml:space="preserve">Defunciones generales por ámbito geográfico de residencia habitual del fallecido según capítulo de causa de mortalidad
Serie anual de 1998 a 2018
</t>
  </si>
  <si>
    <t xml:space="preserve">Defunciones causadas por SIDA por ámbito geográfico de residencia habitual del fallecido
Serie anual de 1995 a 2018
</t>
  </si>
  <si>
    <t xml:space="preserve">Defunciones causadas por tumor maligno por ámbito geográfico de residencia habitual del fallecido
Serie anual de 1998 a 2018
</t>
  </si>
  <si>
    <t>Cuadro 5.2</t>
  </si>
  <si>
    <t>según institución</t>
  </si>
  <si>
    <t>NA</t>
  </si>
  <si>
    <t>5.2</t>
  </si>
  <si>
    <r>
      <t xml:space="preserve">             Para 2004 a 2014: SSA. </t>
    </r>
    <r>
      <rPr>
        <i/>
        <sz val="6"/>
        <rFont val="Arial"/>
        <family val="2"/>
      </rPr>
      <t>Boletín de Información Estadística. Servicios Otorgados y Programas Sustantivos.</t>
    </r>
    <r>
      <rPr>
        <sz val="6"/>
        <rFont val="Arial"/>
        <family val="2"/>
      </rPr>
      <t xml:space="preserve"> En: http://www.dgis.salud.gob.mx (9 de octubre de 2018).</t>
    </r>
  </si>
  <si>
    <t>a/ A partir de 2013 no fue posible separar la población proveniente del seguro popular que demanda servicios al menos una vez durante el año de la Secretaría de Salud.</t>
  </si>
  <si>
    <t>Nota: Hasta 2002 se denominaba población derechohabiente. Para 2003 no se dispone de información. Se presenta información únicamente de las instituciones que reportaron cifras.</t>
  </si>
  <si>
    <t>Veracruz de Ignacio de la Llave-Llave</t>
  </si>
  <si>
    <t>Seguro
popular a/</t>
  </si>
  <si>
    <t>Años seleccionados de 1995 a 2014</t>
  </si>
  <si>
    <t>Población asegurada en instituciones públicas de salud por ámbito geográfico</t>
  </si>
  <si>
    <t xml:space="preserve">Población asegurada en instituciones públicas de salud por ámbito geográfico según institución
Serie anual de 1995 a 2014
</t>
  </si>
  <si>
    <t>Ciudad de México 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</si>
</sst>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0">
    <numFmt numFmtId="164" formatCode="General_)"/>
    <numFmt numFmtId="165" formatCode="##\ ##0"/>
    <numFmt numFmtId="166" formatCode="#\ ##0"/>
    <numFmt numFmtId="167" formatCode="#\ ###\ ###\ ###"/>
    <numFmt numFmtId="168" formatCode="\ ###,###,##0"/>
    <numFmt numFmtId="169" formatCode="#\ ###\ ##0"/>
    <numFmt numFmtId="170" formatCode="#\ ###\ ##0;[Red]#\ ###\ ##0"/>
    <numFmt numFmtId="171" formatCode="#,##0.0"/>
    <numFmt numFmtId="172" formatCode="_-[$€-2]* #,##0.00_-;\-[$€-2]* #,##0.00_-;_-[$€-2]* &quot;-&quot;??_-"/>
    <numFmt numFmtId="173" formatCode="###\ ###\ ##0"/>
  </numFmts>
  <fonts count="36" x14ac:knownFonts="1">
    <font>
      <sz val="11"/>
      <color theme="1"/>
      <name val="Calibri"/>
      <family val="2"/>
      <scheme val="minor"/>
    </font>
    <font>
      <sz val="11"/>
      <color theme="1"/>
      <name val="Calibri"/>
      <family val="2"/>
      <scheme val="minor"/>
    </font>
    <font>
      <sz val="10"/>
      <name val="MS Sans Serif"/>
      <family val="2"/>
    </font>
    <font>
      <b/>
      <sz val="10"/>
      <name val="Arial"/>
      <family val="2"/>
    </font>
    <font>
      <sz val="8"/>
      <name val="Arial"/>
      <family val="2"/>
    </font>
    <font>
      <u/>
      <sz val="11"/>
      <color theme="10"/>
      <name val="Calibri"/>
      <family val="2"/>
      <scheme val="minor"/>
    </font>
    <font>
      <u/>
      <sz val="8"/>
      <name val="Arial"/>
      <family val="2"/>
    </font>
    <font>
      <b/>
      <sz val="8"/>
      <name val="Arial"/>
      <family val="2"/>
    </font>
    <font>
      <sz val="6"/>
      <name val="Arial"/>
      <family val="2"/>
    </font>
    <font>
      <b/>
      <sz val="6.5"/>
      <name val="Arial"/>
      <family val="2"/>
    </font>
    <font>
      <sz val="6.5"/>
      <name val="Arial"/>
      <family val="2"/>
    </font>
    <font>
      <sz val="10"/>
      <color indexed="8"/>
      <name val="Arial"/>
      <family val="2"/>
    </font>
    <font>
      <b/>
      <sz val="11"/>
      <color indexed="8"/>
      <name val="ARIAL"/>
      <family val="2"/>
    </font>
    <font>
      <sz val="11"/>
      <color indexed="8"/>
      <name val="Arial"/>
      <family val="2"/>
    </font>
    <font>
      <sz val="6"/>
      <color theme="1"/>
      <name val="Arial"/>
      <family val="2"/>
    </font>
    <font>
      <sz val="10"/>
      <name val="Arial"/>
      <family val="2"/>
    </font>
    <font>
      <sz val="7"/>
      <name val="Arial"/>
      <family val="2"/>
    </font>
    <font>
      <sz val="7"/>
      <color rgb="FFFF0000"/>
      <name val="Arial"/>
      <family val="2"/>
    </font>
    <font>
      <u/>
      <sz val="10"/>
      <color indexed="12"/>
      <name val="MS Sans Serif"/>
      <family val="2"/>
    </font>
    <font>
      <u/>
      <sz val="6.5"/>
      <name val="Arial"/>
      <family val="2"/>
    </font>
    <font>
      <u/>
      <sz val="13"/>
      <color indexed="12"/>
      <name val="Arial"/>
      <family val="2"/>
    </font>
    <font>
      <i/>
      <sz val="6"/>
      <name val="Arial"/>
      <family val="2"/>
    </font>
    <font>
      <sz val="12"/>
      <name val="Arial"/>
      <family val="2"/>
    </font>
    <font>
      <sz val="9"/>
      <name val="Arial"/>
      <family val="2"/>
    </font>
    <font>
      <sz val="6"/>
      <color rgb="FFFF0000"/>
      <name val="Arial"/>
      <family val="2"/>
    </font>
    <font>
      <vertAlign val="superscript"/>
      <sz val="7"/>
      <name val="Arial"/>
      <family val="2"/>
    </font>
    <font>
      <b/>
      <sz val="7"/>
      <name val="Arial"/>
      <family val="2"/>
    </font>
    <font>
      <sz val="11"/>
      <color indexed="8"/>
      <name val="Calibri"/>
      <family val="2"/>
    </font>
    <font>
      <b/>
      <sz val="6"/>
      <name val="arial"/>
      <family val="2"/>
    </font>
    <font>
      <b/>
      <sz val="6.5"/>
      <color indexed="10"/>
      <name val="Arial"/>
      <family val="2"/>
    </font>
    <font>
      <sz val="6.5"/>
      <color rgb="FFFF0000"/>
      <name val="Arial"/>
      <family val="2"/>
    </font>
    <font>
      <sz val="6.5"/>
      <color theme="1"/>
      <name val="Arial"/>
      <family val="2"/>
    </font>
    <font>
      <sz val="6"/>
      <color theme="10"/>
      <name val="Arial"/>
      <family val="2"/>
    </font>
    <font>
      <i/>
      <sz val="6"/>
      <color theme="1"/>
      <name val="Arial"/>
      <family val="2"/>
    </font>
    <font>
      <sz val="8.0500000000000007"/>
      <color indexed="8"/>
      <name val="Arial"/>
      <family val="2"/>
    </font>
    <font>
      <b/>
      <sz val="12"/>
      <name val="arial"/>
      <family val="2"/>
    </font>
  </fonts>
  <fills count="9">
    <fill>
      <patternFill patternType="none"/>
    </fill>
    <fill>
      <patternFill patternType="gray125"/>
    </fill>
    <fill>
      <patternFill patternType="solid">
        <fgColor indexed="22"/>
        <bgColor indexed="64"/>
      </patternFill>
    </fill>
    <fill>
      <patternFill patternType="solid">
        <fgColor indexed="65"/>
        <bgColor indexed="64"/>
      </patternFill>
    </fill>
    <fill>
      <patternFill patternType="solid">
        <fgColor indexed="9"/>
        <bgColor indexed="64"/>
      </patternFill>
    </fill>
    <fill>
      <patternFill patternType="solid">
        <fgColor theme="0" tint="-0.249977111117893"/>
        <bgColor indexed="64"/>
      </patternFill>
    </fill>
    <fill>
      <patternFill patternType="solid">
        <fgColor theme="0"/>
        <bgColor indexed="64"/>
      </patternFill>
    </fill>
    <fill>
      <patternFill patternType="solid">
        <fgColor rgb="FFFFFF00"/>
        <bgColor indexed="64"/>
      </patternFill>
    </fill>
    <fill>
      <patternFill patternType="solid">
        <fgColor theme="0" tint="-0.24994659260841701"/>
        <bgColor indexed="64"/>
      </patternFill>
    </fill>
  </fills>
  <borders count="5">
    <border>
      <left/>
      <right/>
      <top/>
      <bottom/>
      <diagonal/>
    </border>
    <border>
      <left/>
      <right/>
      <top/>
      <bottom style="thin">
        <color indexed="64"/>
      </bottom>
      <diagonal/>
    </border>
    <border>
      <left/>
      <right/>
      <top style="thin">
        <color auto="1"/>
      </top>
      <bottom/>
      <diagonal/>
    </border>
    <border>
      <left/>
      <right/>
      <top style="thin">
        <color indexed="64"/>
      </top>
      <bottom style="thin">
        <color indexed="64"/>
      </bottom>
      <diagonal/>
    </border>
    <border>
      <left style="thin">
        <color indexed="23"/>
      </left>
      <right style="thin">
        <color indexed="23"/>
      </right>
      <top/>
      <bottom/>
      <diagonal/>
    </border>
  </borders>
  <cellStyleXfs count="29">
    <xf numFmtId="0" fontId="0" fillId="0" borderId="0"/>
    <xf numFmtId="0" fontId="2" fillId="0" borderId="0"/>
    <xf numFmtId="0" fontId="5" fillId="0" borderId="0" applyNumberFormat="0" applyFill="0" applyBorder="0" applyAlignment="0" applyProtection="0"/>
    <xf numFmtId="0" fontId="2" fillId="0" borderId="0"/>
    <xf numFmtId="0" fontId="11" fillId="0" borderId="0">
      <alignment vertical="top"/>
    </xf>
    <xf numFmtId="0" fontId="1" fillId="0" borderId="0"/>
    <xf numFmtId="0" fontId="15" fillId="0" borderId="0"/>
    <xf numFmtId="0" fontId="15" fillId="0" borderId="0"/>
    <xf numFmtId="0" fontId="15" fillId="0" borderId="0"/>
    <xf numFmtId="0" fontId="2" fillId="0" borderId="0"/>
    <xf numFmtId="0" fontId="18" fillId="0" borderId="0" applyNumberFormat="0" applyFill="0" applyBorder="0" applyAlignment="0" applyProtection="0">
      <alignment vertical="top"/>
      <protection locked="0"/>
    </xf>
    <xf numFmtId="0" fontId="20" fillId="0" borderId="0" applyNumberFormat="0" applyFill="0" applyBorder="0" applyAlignment="0" applyProtection="0">
      <alignment vertical="top"/>
      <protection locked="0"/>
    </xf>
    <xf numFmtId="0" fontId="5" fillId="0" borderId="0" applyNumberFormat="0" applyFill="0" applyBorder="0" applyAlignment="0" applyProtection="0"/>
    <xf numFmtId="164" fontId="15" fillId="0" borderId="0"/>
    <xf numFmtId="0" fontId="2" fillId="0" borderId="0"/>
    <xf numFmtId="0" fontId="2" fillId="0" borderId="0"/>
    <xf numFmtId="0" fontId="2" fillId="0" borderId="0"/>
    <xf numFmtId="0" fontId="15" fillId="0" borderId="0"/>
    <xf numFmtId="0" fontId="2" fillId="0" borderId="0"/>
    <xf numFmtId="0" fontId="2" fillId="0" borderId="0"/>
    <xf numFmtId="0" fontId="27" fillId="0" borderId="0"/>
    <xf numFmtId="0" fontId="2" fillId="0" borderId="0"/>
    <xf numFmtId="0" fontId="15" fillId="0" borderId="0" applyNumberFormat="0" applyFill="0" applyBorder="0" applyAlignment="0" applyProtection="0"/>
    <xf numFmtId="0" fontId="15" fillId="0" borderId="0"/>
    <xf numFmtId="0" fontId="15" fillId="0" borderId="0"/>
    <xf numFmtId="0" fontId="1" fillId="0" borderId="0"/>
    <xf numFmtId="172" fontId="15" fillId="0" borderId="0" applyFont="0" applyFill="0" applyBorder="0" applyAlignment="0" applyProtection="0"/>
    <xf numFmtId="0" fontId="15" fillId="0" borderId="0"/>
    <xf numFmtId="0" fontId="2" fillId="0" borderId="0"/>
  </cellStyleXfs>
  <cellXfs count="877">
    <xf numFmtId="0" fontId="0" fillId="0" borderId="0" xfId="0"/>
    <xf numFmtId="0" fontId="3" fillId="0" borderId="0" xfId="1" applyNumberFormat="1" applyFont="1" applyFill="1" applyBorder="1" applyAlignment="1" applyProtection="1">
      <alignment vertical="center"/>
    </xf>
    <xf numFmtId="0" fontId="4" fillId="0" borderId="0" xfId="1" applyFont="1" applyFill="1" applyBorder="1" applyAlignment="1" applyProtection="1">
      <alignment vertical="center"/>
    </xf>
    <xf numFmtId="0" fontId="4" fillId="0" borderId="0" xfId="1" applyFont="1" applyFill="1" applyAlignment="1" applyProtection="1">
      <alignment vertical="center"/>
    </xf>
    <xf numFmtId="0" fontId="7" fillId="0" borderId="0" xfId="1" applyFont="1" applyFill="1" applyBorder="1" applyAlignment="1" applyProtection="1">
      <alignment horizontal="right" vertical="center"/>
    </xf>
    <xf numFmtId="0" fontId="7" fillId="0" borderId="0" xfId="1" applyFont="1" applyFill="1" applyBorder="1" applyAlignment="1" applyProtection="1">
      <alignment horizontal="centerContinuous" vertical="center"/>
    </xf>
    <xf numFmtId="0" fontId="4" fillId="0" borderId="0" xfId="1" applyFont="1" applyFill="1" applyBorder="1" applyAlignment="1" applyProtection="1">
      <alignment horizontal="centerContinuous" vertical="center"/>
    </xf>
    <xf numFmtId="0" fontId="3" fillId="0" borderId="0" xfId="1" applyFont="1" applyFill="1" applyBorder="1" applyAlignment="1" applyProtection="1">
      <alignment vertical="center"/>
    </xf>
    <xf numFmtId="0" fontId="4" fillId="0" borderId="0" xfId="1" applyFont="1" applyFill="1" applyBorder="1" applyAlignment="1" applyProtection="1">
      <alignment vertical="top"/>
    </xf>
    <xf numFmtId="0" fontId="7" fillId="0" borderId="0" xfId="1" applyFont="1" applyFill="1" applyBorder="1" applyAlignment="1" applyProtection="1">
      <alignment horizontal="right" vertical="top"/>
    </xf>
    <xf numFmtId="0" fontId="4" fillId="0" borderId="0" xfId="1" applyFont="1" applyFill="1" applyAlignment="1" applyProtection="1">
      <alignment vertical="top"/>
    </xf>
    <xf numFmtId="0" fontId="2" fillId="0" borderId="1" xfId="1" applyFont="1" applyFill="1" applyBorder="1" applyAlignment="1" applyProtection="1">
      <alignment vertical="center"/>
    </xf>
    <xf numFmtId="0" fontId="2" fillId="0" borderId="0" xfId="1" applyFont="1" applyFill="1" applyAlignment="1" applyProtection="1">
      <alignment vertical="center"/>
    </xf>
    <xf numFmtId="0" fontId="2" fillId="0" borderId="0" xfId="1" applyFont="1" applyFill="1" applyBorder="1" applyAlignment="1" applyProtection="1">
      <alignment vertical="center"/>
    </xf>
    <xf numFmtId="0" fontId="8" fillId="0" borderId="0" xfId="1" applyFont="1" applyFill="1" applyAlignment="1" applyProtection="1">
      <alignment vertical="center"/>
    </xf>
    <xf numFmtId="0" fontId="8" fillId="0" borderId="0" xfId="1" applyFont="1" applyFill="1" applyBorder="1" applyAlignment="1" applyProtection="1">
      <alignment horizontal="right" wrapText="1"/>
    </xf>
    <xf numFmtId="0" fontId="9" fillId="0" borderId="0" xfId="1" quotePrefix="1" applyFont="1" applyFill="1" applyBorder="1" applyAlignment="1" applyProtection="1">
      <alignment horizontal="left" vertical="center"/>
    </xf>
    <xf numFmtId="3" fontId="9" fillId="0" borderId="0" xfId="3" applyNumberFormat="1" applyFont="1" applyFill="1" applyBorder="1" applyAlignment="1" applyProtection="1">
      <alignment vertical="center"/>
    </xf>
    <xf numFmtId="0" fontId="10" fillId="0" borderId="0" xfId="1" applyFont="1" applyFill="1" applyAlignment="1" applyProtection="1">
      <alignment vertical="center"/>
    </xf>
    <xf numFmtId="0" fontId="9" fillId="0" borderId="0" xfId="1" applyFont="1" applyFill="1" applyBorder="1" applyAlignment="1" applyProtection="1">
      <alignment vertical="center"/>
    </xf>
    <xf numFmtId="3" fontId="9" fillId="0" borderId="0" xfId="1" applyNumberFormat="1" applyFont="1" applyFill="1" applyBorder="1" applyAlignment="1" applyProtection="1">
      <alignment vertical="center"/>
    </xf>
    <xf numFmtId="3" fontId="9" fillId="0" borderId="0" xfId="1" applyNumberFormat="1" applyFont="1" applyFill="1" applyBorder="1" applyAlignment="1" applyProtection="1">
      <alignment horizontal="right" vertical="center"/>
    </xf>
    <xf numFmtId="0" fontId="10" fillId="0" borderId="0" xfId="1" applyFont="1" applyFill="1" applyBorder="1" applyAlignment="1" applyProtection="1">
      <alignment vertical="center"/>
    </xf>
    <xf numFmtId="3" fontId="10" fillId="0" borderId="0" xfId="1" applyNumberFormat="1" applyFont="1" applyFill="1" applyBorder="1" applyAlignment="1" applyProtection="1">
      <alignment vertical="center"/>
    </xf>
    <xf numFmtId="3" fontId="10" fillId="0" borderId="0" xfId="1" applyNumberFormat="1" applyFont="1" applyFill="1" applyBorder="1" applyAlignment="1" applyProtection="1">
      <alignment horizontal="right" vertical="center"/>
    </xf>
    <xf numFmtId="3" fontId="10" fillId="0" borderId="0" xfId="1" applyNumberFormat="1" applyFont="1" applyFill="1" applyAlignment="1" applyProtection="1">
      <alignment vertical="center"/>
    </xf>
    <xf numFmtId="0" fontId="10" fillId="2" borderId="0" xfId="1" applyFont="1" applyFill="1" applyBorder="1" applyAlignment="1" applyProtection="1">
      <alignment vertical="center"/>
    </xf>
    <xf numFmtId="3" fontId="10" fillId="2" borderId="0" xfId="1" applyNumberFormat="1" applyFont="1" applyFill="1" applyBorder="1" applyAlignment="1" applyProtection="1">
      <alignment vertical="center"/>
    </xf>
    <xf numFmtId="3" fontId="10" fillId="2" borderId="0" xfId="1" applyNumberFormat="1" applyFont="1" applyFill="1" applyBorder="1" applyAlignment="1" applyProtection="1">
      <alignment horizontal="right" vertical="center"/>
    </xf>
    <xf numFmtId="3" fontId="10" fillId="2" borderId="0" xfId="1" applyNumberFormat="1" applyFont="1" applyFill="1" applyAlignment="1" applyProtection="1">
      <alignment vertical="center"/>
    </xf>
    <xf numFmtId="0" fontId="9" fillId="0" borderId="0" xfId="1" applyFont="1" applyFill="1" applyAlignment="1" applyProtection="1">
      <alignment horizontal="right" vertical="center"/>
    </xf>
    <xf numFmtId="0" fontId="9" fillId="0" borderId="0" xfId="1" applyFont="1" applyFill="1" applyBorder="1" applyAlignment="1" applyProtection="1">
      <alignment horizontal="left" vertical="center"/>
    </xf>
    <xf numFmtId="0" fontId="12" fillId="0" borderId="4" xfId="4" applyFont="1" applyBorder="1" applyAlignment="1" applyProtection="1">
      <alignment horizontal="left" vertical="center" wrapText="1"/>
    </xf>
    <xf numFmtId="0" fontId="13" fillId="0" borderId="4" xfId="4" applyFont="1" applyBorder="1" applyAlignment="1" applyProtection="1">
      <alignment horizontal="left" vertical="center" wrapText="1" indent="3"/>
    </xf>
    <xf numFmtId="3" fontId="9" fillId="0" borderId="0" xfId="1" applyNumberFormat="1" applyFont="1" applyFill="1" applyBorder="1" applyAlignment="1" applyProtection="1">
      <alignment horizontal="left" vertical="center"/>
    </xf>
    <xf numFmtId="3" fontId="10" fillId="0" borderId="1" xfId="1" applyNumberFormat="1" applyFont="1" applyFill="1" applyBorder="1" applyAlignment="1" applyProtection="1">
      <alignment vertical="center"/>
    </xf>
    <xf numFmtId="0" fontId="8" fillId="0" borderId="0" xfId="1" applyFont="1" applyFill="1" applyBorder="1" applyAlignment="1" applyProtection="1">
      <alignment vertical="center"/>
    </xf>
    <xf numFmtId="3" fontId="15" fillId="0" borderId="0" xfId="1" applyNumberFormat="1" applyFont="1" applyFill="1" applyBorder="1" applyAlignment="1" applyProtection="1">
      <alignment vertical="center"/>
    </xf>
    <xf numFmtId="3" fontId="2" fillId="0" borderId="0" xfId="1" applyNumberFormat="1" applyFont="1" applyFill="1" applyBorder="1" applyAlignment="1" applyProtection="1">
      <alignment vertical="center"/>
    </xf>
    <xf numFmtId="3" fontId="2" fillId="0" borderId="0" xfId="1" applyNumberFormat="1" applyFont="1" applyFill="1" applyAlignment="1" applyProtection="1">
      <alignment vertical="center"/>
    </xf>
    <xf numFmtId="0" fontId="3" fillId="0" borderId="0" xfId="1" quotePrefix="1" applyFont="1" applyFill="1" applyBorder="1" applyAlignment="1" applyProtection="1">
      <alignment vertical="center"/>
    </xf>
    <xf numFmtId="3" fontId="3" fillId="0" borderId="0" xfId="1" applyNumberFormat="1" applyFont="1" applyFill="1" applyBorder="1" applyAlignment="1" applyProtection="1">
      <alignment vertical="center"/>
    </xf>
    <xf numFmtId="0" fontId="8" fillId="0" borderId="0" xfId="6" applyFont="1" applyBorder="1" applyAlignment="1" applyProtection="1">
      <alignment vertical="center"/>
    </xf>
    <xf numFmtId="49" fontId="16" fillId="3" borderId="0" xfId="0" applyNumberFormat="1" applyFont="1" applyFill="1" applyAlignment="1" applyProtection="1">
      <alignment horizontal="left" vertical="top"/>
    </xf>
    <xf numFmtId="0" fontId="16" fillId="3" borderId="0" xfId="0" applyFont="1" applyFill="1" applyAlignment="1" applyProtection="1">
      <alignment horizontal="left" vertical="top"/>
    </xf>
    <xf numFmtId="0" fontId="16" fillId="3" borderId="0" xfId="0" applyFont="1" applyFill="1" applyProtection="1"/>
    <xf numFmtId="49" fontId="3" fillId="4" borderId="0" xfId="7" applyNumberFormat="1" applyFont="1" applyFill="1" applyAlignment="1" applyProtection="1">
      <alignment horizontal="left" vertical="top"/>
    </xf>
    <xf numFmtId="49" fontId="6" fillId="3" borderId="0" xfId="2" applyNumberFormat="1" applyFont="1" applyFill="1" applyAlignment="1" applyProtection="1">
      <alignment horizontal="left" vertical="top"/>
    </xf>
    <xf numFmtId="0" fontId="16" fillId="3" borderId="0" xfId="2" applyFont="1" applyFill="1" applyAlignment="1" applyProtection="1">
      <alignment horizontal="left" vertical="top" wrapText="1"/>
    </xf>
    <xf numFmtId="0" fontId="17" fillId="3" borderId="0" xfId="0" applyFont="1" applyFill="1" applyProtection="1"/>
    <xf numFmtId="0" fontId="3" fillId="0" borderId="0" xfId="8" applyFont="1" applyBorder="1" applyAlignment="1" applyProtection="1"/>
    <xf numFmtId="0" fontId="7" fillId="0" borderId="0" xfId="8" applyFont="1" applyBorder="1" applyAlignment="1" applyProtection="1">
      <alignment vertical="top"/>
    </xf>
    <xf numFmtId="0" fontId="10" fillId="0" borderId="0" xfId="9" applyFont="1" applyBorder="1" applyAlignment="1" applyProtection="1">
      <alignment horizontal="right" vertical="top"/>
    </xf>
    <xf numFmtId="0" fontId="19" fillId="0" borderId="0" xfId="10" applyFont="1" applyBorder="1" applyAlignment="1" applyProtection="1">
      <alignment horizontal="right" vertical="top"/>
    </xf>
    <xf numFmtId="0" fontId="6" fillId="0" borderId="0" xfId="11" applyFont="1" applyBorder="1" applyAlignment="1" applyProtection="1">
      <alignment horizontal="right" vertical="top"/>
    </xf>
    <xf numFmtId="0" fontId="4" fillId="0" borderId="0" xfId="8" applyFont="1" applyAlignment="1" applyProtection="1">
      <alignment vertical="top"/>
    </xf>
    <xf numFmtId="0" fontId="3" fillId="0" borderId="0" xfId="9" applyFont="1" applyBorder="1" applyAlignment="1" applyProtection="1">
      <alignment vertical="center"/>
    </xf>
    <xf numFmtId="0" fontId="15" fillId="0" borderId="1" xfId="8" applyFont="1" applyBorder="1" applyAlignment="1" applyProtection="1">
      <alignment vertical="center"/>
    </xf>
    <xf numFmtId="0" fontId="15" fillId="0" borderId="0" xfId="8" applyFont="1" applyAlignment="1" applyProtection="1">
      <alignment vertical="center"/>
    </xf>
    <xf numFmtId="0" fontId="15" fillId="0" borderId="0" xfId="8" applyFont="1" applyBorder="1" applyAlignment="1" applyProtection="1">
      <alignment vertical="center"/>
    </xf>
    <xf numFmtId="0" fontId="8" fillId="0" borderId="0" xfId="8" applyNumberFormat="1" applyFont="1" applyBorder="1" applyAlignment="1" applyProtection="1">
      <alignment horizontal="left" vertical="center"/>
    </xf>
    <xf numFmtId="0" fontId="8" fillId="0" borderId="0" xfId="8" applyFont="1" applyBorder="1" applyAlignment="1" applyProtection="1">
      <alignment horizontal="right" vertical="center"/>
    </xf>
    <xf numFmtId="0" fontId="9" fillId="0" borderId="0" xfId="8" applyFont="1" applyBorder="1" applyAlignment="1" applyProtection="1">
      <alignment vertical="center"/>
    </xf>
    <xf numFmtId="3" fontId="9" fillId="0" borderId="0" xfId="8" applyNumberFormat="1" applyFont="1" applyAlignment="1" applyProtection="1">
      <alignment horizontal="right" vertical="center"/>
    </xf>
    <xf numFmtId="3" fontId="9" fillId="0" borderId="0" xfId="8" applyNumberFormat="1" applyFont="1" applyFill="1" applyAlignment="1" applyProtection="1">
      <alignment horizontal="right" vertical="center"/>
    </xf>
    <xf numFmtId="0" fontId="9" fillId="0" borderId="0" xfId="8" applyFont="1" applyAlignment="1" applyProtection="1">
      <alignment vertical="center"/>
    </xf>
    <xf numFmtId="0" fontId="10" fillId="0" borderId="0" xfId="8" applyFont="1" applyBorder="1" applyAlignment="1" applyProtection="1">
      <alignment vertical="center"/>
    </xf>
    <xf numFmtId="3" fontId="10" fillId="0" borderId="0" xfId="13" applyNumberFormat="1" applyFont="1" applyFill="1" applyBorder="1" applyAlignment="1" applyProtection="1"/>
    <xf numFmtId="0" fontId="10" fillId="0" borderId="0" xfId="8" applyFont="1" applyAlignment="1" applyProtection="1">
      <alignment vertical="center"/>
    </xf>
    <xf numFmtId="0" fontId="10" fillId="2" borderId="0" xfId="8" applyFont="1" applyFill="1" applyBorder="1" applyAlignment="1" applyProtection="1">
      <alignment vertical="center"/>
    </xf>
    <xf numFmtId="3" fontId="10" fillId="2" borderId="0" xfId="13" applyNumberFormat="1" applyFont="1" applyFill="1" applyBorder="1" applyAlignment="1" applyProtection="1"/>
    <xf numFmtId="0" fontId="10" fillId="0" borderId="0" xfId="8" applyFont="1" applyFill="1" applyBorder="1" applyAlignment="1" applyProtection="1">
      <alignment vertical="center"/>
    </xf>
    <xf numFmtId="0" fontId="10" fillId="0" borderId="0" xfId="8" applyFont="1" applyFill="1" applyAlignment="1" applyProtection="1">
      <alignment vertical="center"/>
    </xf>
    <xf numFmtId="0" fontId="8" fillId="0" borderId="0" xfId="8" applyFont="1" applyBorder="1" applyAlignment="1" applyProtection="1">
      <alignment vertical="center"/>
    </xf>
    <xf numFmtId="0" fontId="8" fillId="0" borderId="0" xfId="8" applyFont="1" applyAlignment="1" applyProtection="1">
      <alignment vertical="center"/>
    </xf>
    <xf numFmtId="0" fontId="4" fillId="0" borderId="0" xfId="8" applyFont="1" applyBorder="1" applyAlignment="1" applyProtection="1">
      <alignment vertical="top"/>
    </xf>
    <xf numFmtId="0" fontId="10" fillId="0" borderId="0" xfId="9" applyFont="1" applyBorder="1" applyAlignment="1" applyProtection="1">
      <alignment horizontal="right" vertical="center"/>
    </xf>
    <xf numFmtId="0" fontId="4" fillId="0" borderId="0" xfId="8" applyFont="1" applyAlignment="1" applyProtection="1">
      <alignment horizontal="right" vertical="top"/>
    </xf>
    <xf numFmtId="0" fontId="8" fillId="0" borderId="2" xfId="8" applyFont="1" applyBorder="1" applyAlignment="1" applyProtection="1">
      <alignment horizontal="centerContinuous"/>
    </xf>
    <xf numFmtId="0" fontId="8" fillId="0" borderId="1" xfId="8" applyFont="1" applyBorder="1" applyAlignment="1" applyProtection="1">
      <alignment horizontal="centerContinuous"/>
    </xf>
    <xf numFmtId="0" fontId="8" fillId="0" borderId="0" xfId="8" applyFont="1" applyBorder="1" applyAlignment="1" applyProtection="1">
      <alignment horizontal="centerContinuous"/>
    </xf>
    <xf numFmtId="0" fontId="8" fillId="0" borderId="0" xfId="8" applyFont="1" applyAlignment="1" applyProtection="1">
      <alignment horizontal="right"/>
    </xf>
    <xf numFmtId="0" fontId="8" fillId="0" borderId="0" xfId="8" applyFont="1" applyAlignment="1" applyProtection="1">
      <alignment horizontal="right" vertical="center"/>
    </xf>
    <xf numFmtId="0" fontId="15" fillId="0" borderId="1" xfId="8" applyFont="1" applyBorder="1" applyProtection="1"/>
    <xf numFmtId="0" fontId="15" fillId="0" borderId="2" xfId="8" applyFont="1" applyBorder="1" applyAlignment="1" applyProtection="1">
      <alignment vertical="center"/>
    </xf>
    <xf numFmtId="0" fontId="9" fillId="0" borderId="0" xfId="8" applyFont="1" applyBorder="1" applyAlignment="1" applyProtection="1">
      <alignment horizontal="left" vertical="center"/>
    </xf>
    <xf numFmtId="165" fontId="9" fillId="0" borderId="0" xfId="8" applyNumberFormat="1" applyFont="1" applyAlignment="1" applyProtection="1">
      <alignment horizontal="right" vertical="center"/>
    </xf>
    <xf numFmtId="165" fontId="9" fillId="0" borderId="0" xfId="8" applyNumberFormat="1" applyFont="1" applyBorder="1" applyAlignment="1" applyProtection="1">
      <alignment horizontal="right" vertical="center"/>
    </xf>
    <xf numFmtId="3" fontId="10" fillId="0" borderId="0" xfId="8" applyNumberFormat="1" applyFont="1" applyAlignment="1" applyProtection="1">
      <alignment horizontal="right" vertical="center"/>
    </xf>
    <xf numFmtId="3" fontId="10" fillId="0" borderId="0" xfId="13" applyNumberFormat="1" applyFont="1" applyFill="1" applyBorder="1" applyAlignment="1" applyProtection="1">
      <alignment horizontal="right"/>
    </xf>
    <xf numFmtId="3" fontId="10" fillId="2" borderId="0" xfId="8" applyNumberFormat="1" applyFont="1" applyFill="1" applyAlignment="1" applyProtection="1">
      <alignment horizontal="right" vertical="center"/>
    </xf>
    <xf numFmtId="3" fontId="10" fillId="2" borderId="0" xfId="13" applyNumberFormat="1" applyFont="1" applyFill="1" applyBorder="1" applyAlignment="1" applyProtection="1">
      <alignment horizontal="right"/>
    </xf>
    <xf numFmtId="3" fontId="10" fillId="0" borderId="0" xfId="8" applyNumberFormat="1" applyFont="1" applyFill="1" applyAlignment="1" applyProtection="1">
      <alignment horizontal="right" vertical="center"/>
    </xf>
    <xf numFmtId="165" fontId="10" fillId="0" borderId="0" xfId="8" applyNumberFormat="1" applyFont="1" applyAlignment="1" applyProtection="1">
      <alignment horizontal="right" vertical="center"/>
    </xf>
    <xf numFmtId="3" fontId="10" fillId="0" borderId="0" xfId="8" applyNumberFormat="1" applyFont="1" applyAlignment="1" applyProtection="1">
      <alignment vertical="center"/>
    </xf>
    <xf numFmtId="3" fontId="10" fillId="0" borderId="0" xfId="8" applyNumberFormat="1" applyFont="1" applyBorder="1" applyAlignment="1" applyProtection="1">
      <alignment horizontal="right" vertical="center"/>
    </xf>
    <xf numFmtId="0" fontId="9" fillId="0" borderId="0" xfId="8" applyFont="1" applyFill="1" applyBorder="1" applyAlignment="1" applyProtection="1">
      <alignment horizontal="left" vertical="center"/>
    </xf>
    <xf numFmtId="165" fontId="9" fillId="0" borderId="0" xfId="8" applyNumberFormat="1" applyFont="1" applyFill="1" applyAlignment="1" applyProtection="1">
      <alignment horizontal="right" vertical="center"/>
    </xf>
    <xf numFmtId="165" fontId="9" fillId="0" borderId="0" xfId="8" applyNumberFormat="1" applyFont="1" applyFill="1" applyBorder="1" applyAlignment="1" applyProtection="1">
      <alignment horizontal="right" vertical="center"/>
    </xf>
    <xf numFmtId="0" fontId="9" fillId="0" borderId="0" xfId="8" applyFont="1" applyFill="1" applyBorder="1" applyAlignment="1" applyProtection="1">
      <alignment vertical="center"/>
    </xf>
    <xf numFmtId="0" fontId="9" fillId="0" borderId="0" xfId="8" applyFont="1" applyFill="1" applyAlignment="1" applyProtection="1">
      <alignment vertical="center"/>
    </xf>
    <xf numFmtId="3" fontId="9" fillId="0" borderId="0" xfId="8" applyNumberFormat="1" applyFont="1" applyAlignment="1" applyProtection="1">
      <alignment vertical="center"/>
    </xf>
    <xf numFmtId="3" fontId="10" fillId="5" borderId="0" xfId="8" applyNumberFormat="1" applyFont="1" applyFill="1" applyAlignment="1" applyProtection="1">
      <alignment horizontal="right" vertical="center"/>
    </xf>
    <xf numFmtId="3" fontId="10" fillId="5" borderId="0" xfId="13" applyNumberFormat="1" applyFont="1" applyFill="1" applyBorder="1" applyAlignment="1" applyProtection="1">
      <alignment horizontal="right"/>
    </xf>
    <xf numFmtId="0" fontId="10" fillId="0" borderId="1" xfId="8" applyFont="1" applyBorder="1" applyAlignment="1" applyProtection="1">
      <alignment vertical="center"/>
    </xf>
    <xf numFmtId="3" fontId="10" fillId="0" borderId="1" xfId="8" applyNumberFormat="1" applyFont="1" applyBorder="1" applyAlignment="1" applyProtection="1">
      <alignment horizontal="right" vertical="center"/>
    </xf>
    <xf numFmtId="3" fontId="10" fillId="0" borderId="1" xfId="13" applyNumberFormat="1" applyFont="1" applyFill="1" applyBorder="1" applyAlignment="1" applyProtection="1"/>
    <xf numFmtId="3" fontId="10" fillId="0" borderId="2" xfId="13" applyNumberFormat="1" applyFont="1" applyFill="1" applyBorder="1" applyAlignment="1" applyProtection="1"/>
    <xf numFmtId="3" fontId="15" fillId="0" borderId="0" xfId="8" applyNumberFormat="1" applyFont="1" applyAlignment="1" applyProtection="1">
      <alignment vertical="center"/>
    </xf>
    <xf numFmtId="3" fontId="10" fillId="0" borderId="0" xfId="8" applyNumberFormat="1" applyFont="1" applyFill="1" applyBorder="1" applyAlignment="1" applyProtection="1">
      <alignment horizontal="right" vertical="center"/>
    </xf>
    <xf numFmtId="3" fontId="10" fillId="2" borderId="0" xfId="8" applyNumberFormat="1" applyFont="1" applyFill="1" applyBorder="1" applyAlignment="1" applyProtection="1">
      <alignment horizontal="right" vertical="center"/>
    </xf>
    <xf numFmtId="0" fontId="10" fillId="0" borderId="1" xfId="8" applyFont="1" applyFill="1" applyBorder="1" applyAlignment="1" applyProtection="1">
      <alignment vertical="center"/>
    </xf>
    <xf numFmtId="3" fontId="10" fillId="0" borderId="1" xfId="8" applyNumberFormat="1" applyFont="1" applyFill="1" applyBorder="1" applyAlignment="1" applyProtection="1">
      <alignment horizontal="right" vertical="center"/>
    </xf>
    <xf numFmtId="165" fontId="10" fillId="0" borderId="0" xfId="8" applyNumberFormat="1" applyFont="1" applyFill="1" applyAlignment="1" applyProtection="1">
      <alignment horizontal="right" vertical="center"/>
    </xf>
    <xf numFmtId="0" fontId="8" fillId="0" borderId="0" xfId="8" applyFont="1" applyFill="1" applyAlignment="1" applyProtection="1">
      <alignment vertical="center"/>
    </xf>
    <xf numFmtId="3" fontId="9" fillId="0" borderId="0" xfId="8" applyNumberFormat="1" applyFont="1" applyBorder="1" applyAlignment="1" applyProtection="1">
      <alignment vertical="center"/>
    </xf>
    <xf numFmtId="3" fontId="10" fillId="0" borderId="0" xfId="13" applyNumberFormat="1" applyFont="1" applyFill="1" applyBorder="1" applyAlignment="1" applyProtection="1">
      <alignment horizontal="right" vertical="center"/>
    </xf>
    <xf numFmtId="3" fontId="10" fillId="0" borderId="0" xfId="13" applyNumberFormat="1" applyFont="1" applyFill="1" applyBorder="1" applyAlignment="1" applyProtection="1">
      <alignment vertical="center"/>
    </xf>
    <xf numFmtId="3" fontId="10" fillId="5" borderId="0" xfId="13" applyNumberFormat="1" applyFont="1" applyFill="1" applyBorder="1" applyAlignment="1" applyProtection="1">
      <alignment horizontal="right" vertical="center"/>
    </xf>
    <xf numFmtId="3" fontId="10" fillId="2" borderId="0" xfId="13" applyNumberFormat="1" applyFont="1" applyFill="1" applyBorder="1" applyAlignment="1" applyProtection="1">
      <alignment vertical="center"/>
    </xf>
    <xf numFmtId="3" fontId="10" fillId="2" borderId="0" xfId="13" applyNumberFormat="1" applyFont="1" applyFill="1" applyBorder="1" applyAlignment="1" applyProtection="1">
      <alignment horizontal="right" vertical="center"/>
    </xf>
    <xf numFmtId="0" fontId="3" fillId="0" borderId="0" xfId="14" applyFont="1" applyBorder="1" applyAlignment="1" applyProtection="1"/>
    <xf numFmtId="0" fontId="7" fillId="0" borderId="0" xfId="14" applyFont="1" applyBorder="1" applyAlignment="1" applyProtection="1">
      <alignment vertical="top"/>
    </xf>
    <xf numFmtId="0" fontId="4" fillId="0" borderId="0" xfId="14" applyFont="1" applyBorder="1" applyAlignment="1" applyProtection="1">
      <alignment vertical="top"/>
    </xf>
    <xf numFmtId="0" fontId="4" fillId="0" borderId="0" xfId="14" applyFont="1" applyAlignment="1" applyProtection="1">
      <alignment vertical="top"/>
    </xf>
    <xf numFmtId="0" fontId="10" fillId="0" borderId="0" xfId="14" applyFont="1" applyBorder="1" applyAlignment="1" applyProtection="1">
      <alignment horizontal="right" vertical="top"/>
    </xf>
    <xf numFmtId="0" fontId="3" fillId="0" borderId="0" xfId="14" applyFont="1" applyBorder="1" applyAlignment="1" applyProtection="1">
      <alignment vertical="center"/>
    </xf>
    <xf numFmtId="0" fontId="7" fillId="0" borderId="0" xfId="14" applyFont="1" applyBorder="1" applyAlignment="1" applyProtection="1">
      <alignment horizontal="left" vertical="top"/>
    </xf>
    <xf numFmtId="0" fontId="7" fillId="0" borderId="0" xfId="14" applyFont="1" applyBorder="1" applyAlignment="1" applyProtection="1">
      <alignment horizontal="right" vertical="top"/>
    </xf>
    <xf numFmtId="0" fontId="15" fillId="0" borderId="1" xfId="14" applyFont="1" applyBorder="1" applyAlignment="1" applyProtection="1">
      <alignment vertical="center"/>
    </xf>
    <xf numFmtId="0" fontId="15" fillId="0" borderId="0" xfId="14" applyFont="1" applyBorder="1" applyAlignment="1" applyProtection="1">
      <alignment vertical="center"/>
    </xf>
    <xf numFmtId="0" fontId="15" fillId="0" borderId="0" xfId="14" applyFont="1" applyAlignment="1" applyProtection="1">
      <alignment vertical="center"/>
    </xf>
    <xf numFmtId="0" fontId="8" fillId="0" borderId="0" xfId="14" applyFont="1" applyBorder="1" applyAlignment="1" applyProtection="1">
      <alignment horizontal="right" vertical="center"/>
    </xf>
    <xf numFmtId="0" fontId="8" fillId="0" borderId="0" xfId="14" applyFont="1" applyAlignment="1" applyProtection="1">
      <alignment vertical="center"/>
    </xf>
    <xf numFmtId="0" fontId="8" fillId="0" borderId="0" xfId="14" applyFont="1" applyProtection="1"/>
    <xf numFmtId="0" fontId="9" fillId="0" borderId="0" xfId="14" applyFont="1" applyBorder="1" applyAlignment="1" applyProtection="1">
      <alignment horizontal="left" vertical="center"/>
    </xf>
    <xf numFmtId="0" fontId="10" fillId="0" borderId="0" xfId="14" applyFont="1" applyAlignment="1" applyProtection="1">
      <alignment vertical="center"/>
    </xf>
    <xf numFmtId="0" fontId="10" fillId="0" borderId="0" xfId="14" applyFont="1" applyAlignment="1" applyProtection="1">
      <alignment horizontal="right" vertical="center"/>
    </xf>
    <xf numFmtId="0" fontId="9" fillId="0" borderId="0" xfId="14" applyFont="1" applyBorder="1" applyAlignment="1" applyProtection="1">
      <alignment vertical="center"/>
    </xf>
    <xf numFmtId="3" fontId="9" fillId="0" borderId="0" xfId="14" applyNumberFormat="1" applyFont="1" applyAlignment="1" applyProtection="1">
      <alignment vertical="center"/>
    </xf>
    <xf numFmtId="0" fontId="10" fillId="0" borderId="0" xfId="14" applyFont="1" applyBorder="1" applyAlignment="1" applyProtection="1">
      <alignment vertical="center"/>
    </xf>
    <xf numFmtId="0" fontId="10" fillId="2" borderId="0" xfId="14" applyFont="1" applyFill="1" applyBorder="1" applyAlignment="1" applyProtection="1">
      <alignment vertical="center"/>
    </xf>
    <xf numFmtId="0" fontId="10" fillId="2" borderId="0" xfId="14" applyFont="1" applyFill="1" applyAlignment="1" applyProtection="1">
      <alignment vertical="center"/>
    </xf>
    <xf numFmtId="0" fontId="10" fillId="2" borderId="0" xfId="14" applyFont="1" applyFill="1" applyAlignment="1" applyProtection="1">
      <alignment horizontal="right" vertical="center"/>
    </xf>
    <xf numFmtId="0" fontId="10" fillId="0" borderId="0" xfId="14" applyFont="1" applyFill="1" applyBorder="1" applyAlignment="1" applyProtection="1">
      <alignment vertical="center"/>
    </xf>
    <xf numFmtId="0" fontId="10" fillId="0" borderId="0" xfId="14" applyFont="1" applyFill="1" applyAlignment="1" applyProtection="1">
      <alignment vertical="center"/>
    </xf>
    <xf numFmtId="0" fontId="10" fillId="0" borderId="0" xfId="14" applyFont="1" applyFill="1" applyAlignment="1" applyProtection="1">
      <alignment horizontal="right" vertical="center"/>
    </xf>
    <xf numFmtId="3" fontId="10" fillId="0" borderId="0" xfId="14" applyNumberFormat="1" applyFont="1" applyBorder="1" applyAlignment="1" applyProtection="1">
      <alignment vertical="center"/>
    </xf>
    <xf numFmtId="3" fontId="9" fillId="0" borderId="0" xfId="14" applyNumberFormat="1" applyFont="1" applyBorder="1" applyAlignment="1" applyProtection="1">
      <alignment vertical="center"/>
    </xf>
    <xf numFmtId="3" fontId="10" fillId="0" borderId="0" xfId="14" applyNumberFormat="1" applyFont="1" applyBorder="1" applyAlignment="1" applyProtection="1">
      <alignment horizontal="right" vertical="center"/>
    </xf>
    <xf numFmtId="3" fontId="10" fillId="2" borderId="0" xfId="14" applyNumberFormat="1" applyFont="1" applyFill="1" applyBorder="1" applyAlignment="1" applyProtection="1">
      <alignment vertical="center"/>
    </xf>
    <xf numFmtId="3" fontId="10" fillId="2" borderId="0" xfId="14" applyNumberFormat="1" applyFont="1" applyFill="1" applyBorder="1" applyAlignment="1" applyProtection="1">
      <alignment horizontal="right" vertical="center"/>
    </xf>
    <xf numFmtId="3" fontId="10" fillId="0" borderId="0" xfId="14" applyNumberFormat="1" applyFont="1" applyFill="1" applyBorder="1" applyAlignment="1" applyProtection="1">
      <alignment vertical="center"/>
    </xf>
    <xf numFmtId="3" fontId="10" fillId="0" borderId="0" xfId="14" applyNumberFormat="1" applyFont="1" applyFill="1" applyBorder="1" applyAlignment="1" applyProtection="1">
      <alignment horizontal="right" vertical="center"/>
    </xf>
    <xf numFmtId="0" fontId="7" fillId="0" borderId="0" xfId="14" applyFont="1" applyBorder="1" applyAlignment="1" applyProtection="1">
      <alignment vertical="center"/>
    </xf>
    <xf numFmtId="0" fontId="10" fillId="0" borderId="0" xfId="14" applyFont="1" applyAlignment="1" applyProtection="1">
      <alignment horizontal="right" vertical="top"/>
    </xf>
    <xf numFmtId="0" fontId="10" fillId="6" borderId="0" xfId="14" applyFont="1" applyFill="1" applyBorder="1" applyAlignment="1" applyProtection="1">
      <alignment vertical="center"/>
    </xf>
    <xf numFmtId="3" fontId="10" fillId="6" borderId="0" xfId="14" applyNumberFormat="1" applyFont="1" applyFill="1" applyBorder="1" applyAlignment="1" applyProtection="1">
      <alignment vertical="center"/>
    </xf>
    <xf numFmtId="3" fontId="10" fillId="6" borderId="0" xfId="14" applyNumberFormat="1" applyFont="1" applyFill="1" applyBorder="1" applyAlignment="1" applyProtection="1">
      <alignment horizontal="right" vertical="center"/>
    </xf>
    <xf numFmtId="0" fontId="10" fillId="6" borderId="0" xfId="14" applyFont="1" applyFill="1" applyAlignment="1" applyProtection="1">
      <alignment vertical="center"/>
    </xf>
    <xf numFmtId="3" fontId="10" fillId="0" borderId="0" xfId="14" applyNumberFormat="1" applyFont="1" applyAlignment="1" applyProtection="1">
      <alignment vertical="center"/>
    </xf>
    <xf numFmtId="3" fontId="15" fillId="0" borderId="1" xfId="14" applyNumberFormat="1" applyFont="1" applyBorder="1" applyAlignment="1" applyProtection="1">
      <alignment vertical="center"/>
    </xf>
    <xf numFmtId="3" fontId="15" fillId="0" borderId="1" xfId="14" applyNumberFormat="1" applyFont="1" applyBorder="1" applyAlignment="1" applyProtection="1">
      <alignment horizontal="right" vertical="center"/>
    </xf>
    <xf numFmtId="3" fontId="15" fillId="0" borderId="0" xfId="14" applyNumberFormat="1" applyFont="1" applyBorder="1" applyAlignment="1" applyProtection="1">
      <alignment vertical="center"/>
    </xf>
    <xf numFmtId="3" fontId="15" fillId="0" borderId="0" xfId="14" applyNumberFormat="1" applyFont="1" applyBorder="1" applyAlignment="1" applyProtection="1">
      <alignment horizontal="right" vertical="center"/>
    </xf>
    <xf numFmtId="0" fontId="8" fillId="0" borderId="0" xfId="14" applyNumberFormat="1" applyFont="1" applyBorder="1" applyAlignment="1" applyProtection="1"/>
    <xf numFmtId="0" fontId="8" fillId="0" borderId="0" xfId="14" applyFont="1" applyBorder="1" applyAlignment="1" applyProtection="1">
      <alignment vertical="center"/>
    </xf>
    <xf numFmtId="3" fontId="8" fillId="0" borderId="0" xfId="14" applyNumberFormat="1" applyFont="1" applyBorder="1" applyAlignment="1" applyProtection="1">
      <alignment vertical="center"/>
    </xf>
    <xf numFmtId="3" fontId="8" fillId="0" borderId="0" xfId="14" applyNumberFormat="1" applyFont="1" applyBorder="1" applyAlignment="1" applyProtection="1">
      <alignment horizontal="right" vertical="center"/>
    </xf>
    <xf numFmtId="0" fontId="8" fillId="0" borderId="0" xfId="14" applyFont="1" applyBorder="1" applyAlignment="1" applyProtection="1"/>
    <xf numFmtId="0" fontId="3" fillId="0" borderId="0" xfId="14" applyFont="1" applyBorder="1" applyAlignment="1" applyProtection="1">
      <alignment horizontal="left" vertical="center"/>
    </xf>
    <xf numFmtId="3" fontId="3" fillId="0" borderId="0" xfId="14" applyNumberFormat="1" applyFont="1" applyAlignment="1" applyProtection="1">
      <alignment vertical="center"/>
    </xf>
    <xf numFmtId="0" fontId="15" fillId="0" borderId="0" xfId="14" applyFont="1" applyAlignment="1" applyProtection="1">
      <alignment horizontal="right" vertical="center"/>
    </xf>
    <xf numFmtId="0" fontId="2" fillId="0" borderId="1" xfId="14" applyBorder="1" applyAlignment="1" applyProtection="1">
      <alignment vertical="center"/>
    </xf>
    <xf numFmtId="0" fontId="2" fillId="0" borderId="0" xfId="14" applyAlignment="1" applyProtection="1">
      <alignment vertical="center"/>
    </xf>
    <xf numFmtId="0" fontId="2" fillId="0" borderId="0" xfId="14" applyBorder="1" applyAlignment="1" applyProtection="1">
      <alignment vertical="center"/>
    </xf>
    <xf numFmtId="0" fontId="8" fillId="0" borderId="1" xfId="14" applyFont="1" applyBorder="1" applyAlignment="1" applyProtection="1">
      <alignment horizontal="centerContinuous" vertical="center"/>
    </xf>
    <xf numFmtId="0" fontId="9" fillId="0" borderId="0" xfId="14" quotePrefix="1" applyFont="1" applyBorder="1" applyAlignment="1" applyProtection="1">
      <alignment horizontal="left" vertical="center"/>
    </xf>
    <xf numFmtId="3" fontId="9" fillId="0" borderId="0" xfId="14" applyNumberFormat="1" applyFont="1" applyFill="1" applyBorder="1" applyAlignment="1" applyProtection="1">
      <alignment vertical="center"/>
    </xf>
    <xf numFmtId="3" fontId="2" fillId="0" borderId="0" xfId="14" applyNumberFormat="1" applyBorder="1" applyAlignment="1" applyProtection="1">
      <alignment vertical="center"/>
    </xf>
    <xf numFmtId="0" fontId="3" fillId="0" borderId="0" xfId="14" quotePrefix="1" applyFont="1" applyBorder="1" applyAlignment="1" applyProtection="1">
      <alignment vertical="center"/>
    </xf>
    <xf numFmtId="3" fontId="2" fillId="0" borderId="0" xfId="14" applyNumberFormat="1" applyAlignment="1" applyProtection="1">
      <alignment vertical="center"/>
    </xf>
    <xf numFmtId="3" fontId="3" fillId="0" borderId="0" xfId="14" applyNumberFormat="1" applyFont="1" applyBorder="1" applyAlignment="1" applyProtection="1">
      <alignment vertical="center"/>
    </xf>
    <xf numFmtId="0" fontId="3" fillId="0" borderId="0" xfId="15" applyFont="1" applyBorder="1" applyAlignment="1" applyProtection="1">
      <alignment vertical="center"/>
    </xf>
    <xf numFmtId="0" fontId="4" fillId="0" borderId="0" xfId="15" applyFont="1" applyBorder="1" applyAlignment="1" applyProtection="1">
      <alignment vertical="top"/>
    </xf>
    <xf numFmtId="0" fontId="4" fillId="0" borderId="0" xfId="15" applyFont="1" applyAlignment="1" applyProtection="1">
      <alignment vertical="top"/>
    </xf>
    <xf numFmtId="0" fontId="19" fillId="0" borderId="0" xfId="10" applyFont="1" applyBorder="1" applyAlignment="1" applyProtection="1">
      <alignment horizontal="right" vertical="center"/>
    </xf>
    <xf numFmtId="0" fontId="3" fillId="0" borderId="0" xfId="15" applyFont="1" applyBorder="1" applyAlignment="1" applyProtection="1">
      <alignment horizontal="left" vertical="center"/>
    </xf>
    <xf numFmtId="0" fontId="4" fillId="0" borderId="0" xfId="15" applyFont="1" applyBorder="1" applyAlignment="1" applyProtection="1">
      <alignment horizontal="right" vertical="top"/>
    </xf>
    <xf numFmtId="0" fontId="22" fillId="0" borderId="1" xfId="15" applyFont="1" applyBorder="1" applyAlignment="1" applyProtection="1">
      <alignment horizontal="left" vertical="top"/>
    </xf>
    <xf numFmtId="0" fontId="15" fillId="0" borderId="1" xfId="15" applyFont="1" applyBorder="1" applyAlignment="1" applyProtection="1">
      <alignment vertical="center"/>
    </xf>
    <xf numFmtId="0" fontId="15" fillId="0" borderId="0" xfId="15" applyFont="1" applyAlignment="1" applyProtection="1">
      <alignment vertical="center"/>
    </xf>
    <xf numFmtId="0" fontId="15" fillId="0" borderId="0" xfId="15" applyFont="1" applyBorder="1" applyAlignment="1" applyProtection="1">
      <alignment vertical="center"/>
    </xf>
    <xf numFmtId="0" fontId="8" fillId="0" borderId="0" xfId="15" applyFont="1" applyAlignment="1" applyProtection="1">
      <alignment horizontal="right" wrapText="1"/>
    </xf>
    <xf numFmtId="0" fontId="8" fillId="0" borderId="1" xfId="15" applyFont="1" applyBorder="1" applyAlignment="1" applyProtection="1">
      <alignment horizontal="centerContinuous"/>
    </xf>
    <xf numFmtId="0" fontId="8" fillId="0" borderId="0" xfId="15" applyFont="1" applyAlignment="1" applyProtection="1">
      <alignment vertical="center"/>
    </xf>
    <xf numFmtId="0" fontId="8" fillId="0" borderId="0" xfId="15" applyFont="1" applyBorder="1" applyAlignment="1" applyProtection="1">
      <alignment horizontal="right"/>
    </xf>
    <xf numFmtId="0" fontId="8" fillId="0" borderId="0" xfId="15" applyFont="1" applyBorder="1" applyAlignment="1" applyProtection="1"/>
    <xf numFmtId="0" fontId="8" fillId="0" borderId="0" xfId="15" applyFont="1" applyAlignment="1" applyProtection="1">
      <alignment horizontal="right"/>
    </xf>
    <xf numFmtId="0" fontId="8" fillId="0" borderId="0" xfId="15" applyNumberFormat="1" applyFont="1" applyAlignment="1" applyProtection="1">
      <alignment horizontal="right"/>
    </xf>
    <xf numFmtId="0" fontId="8" fillId="0" borderId="0" xfId="15" applyFont="1" applyBorder="1" applyAlignment="1" applyProtection="1">
      <alignment horizontal="right" vertical="top" wrapText="1"/>
    </xf>
    <xf numFmtId="166" fontId="8" fillId="0" borderId="0" xfId="15" applyNumberFormat="1" applyFont="1" applyAlignment="1" applyProtection="1">
      <alignment horizontal="right"/>
    </xf>
    <xf numFmtId="0" fontId="8" fillId="0" borderId="0" xfId="15" applyFont="1" applyBorder="1" applyAlignment="1" applyProtection="1">
      <alignment horizontal="right" wrapText="1"/>
    </xf>
    <xf numFmtId="0" fontId="9" fillId="0" borderId="0" xfId="15" applyFont="1" applyBorder="1" applyAlignment="1" applyProtection="1">
      <alignment horizontal="left" vertical="center"/>
    </xf>
    <xf numFmtId="0" fontId="9" fillId="0" borderId="0" xfId="15" applyFont="1" applyAlignment="1" applyProtection="1">
      <alignment vertical="center"/>
    </xf>
    <xf numFmtId="3" fontId="9" fillId="0" borderId="0" xfId="15" applyNumberFormat="1" applyFont="1" applyAlignment="1" applyProtection="1">
      <alignment horizontal="right" vertical="center"/>
    </xf>
    <xf numFmtId="0" fontId="10" fillId="0" borderId="0" xfId="15" applyFont="1" applyAlignment="1" applyProtection="1">
      <alignment vertical="center"/>
    </xf>
    <xf numFmtId="3" fontId="10" fillId="0" borderId="0" xfId="15" applyNumberFormat="1" applyFont="1" applyAlignment="1" applyProtection="1">
      <alignment horizontal="right" vertical="center"/>
    </xf>
    <xf numFmtId="0" fontId="10" fillId="2" borderId="0" xfId="15" applyFont="1" applyFill="1" applyAlignment="1" applyProtection="1">
      <alignment vertical="center"/>
    </xf>
    <xf numFmtId="3" fontId="10" fillId="2" borderId="0" xfId="15" applyNumberFormat="1" applyFont="1" applyFill="1" applyAlignment="1" applyProtection="1">
      <alignment horizontal="right" vertical="center"/>
    </xf>
    <xf numFmtId="167" fontId="10" fillId="0" borderId="0" xfId="15" applyNumberFormat="1" applyFont="1" applyAlignment="1" applyProtection="1">
      <alignment vertical="center"/>
    </xf>
    <xf numFmtId="3" fontId="10" fillId="0" borderId="0" xfId="15" applyNumberFormat="1" applyFont="1" applyAlignment="1" applyProtection="1">
      <alignment vertical="center"/>
    </xf>
    <xf numFmtId="167" fontId="9" fillId="0" borderId="0" xfId="15" applyNumberFormat="1" applyFont="1" applyAlignment="1" applyProtection="1">
      <alignment vertical="center"/>
    </xf>
    <xf numFmtId="0" fontId="8" fillId="0" borderId="0" xfId="15" applyNumberFormat="1" applyFont="1" applyAlignment="1" applyProtection="1"/>
    <xf numFmtId="0" fontId="8" fillId="0" borderId="0" xfId="15" applyNumberFormat="1" applyFont="1" applyBorder="1" applyAlignment="1" applyProtection="1"/>
    <xf numFmtId="0" fontId="8" fillId="0" borderId="0" xfId="15" applyFont="1" applyBorder="1" applyAlignment="1" applyProtection="1">
      <alignment vertical="center"/>
    </xf>
    <xf numFmtId="0" fontId="23" fillId="0" borderId="0" xfId="15" applyFont="1" applyAlignment="1" applyProtection="1">
      <alignment vertical="center"/>
    </xf>
    <xf numFmtId="0" fontId="23" fillId="0" borderId="0" xfId="15" applyFont="1" applyProtection="1"/>
    <xf numFmtId="0" fontId="3" fillId="0" borderId="0" xfId="16" applyFont="1" applyBorder="1" applyAlignment="1" applyProtection="1"/>
    <xf numFmtId="0" fontId="4" fillId="0" borderId="0" xfId="16" applyFont="1" applyBorder="1" applyAlignment="1" applyProtection="1">
      <alignment vertical="top"/>
    </xf>
    <xf numFmtId="0" fontId="4" fillId="0" borderId="0" xfId="16" applyFont="1" applyAlignment="1" applyProtection="1">
      <alignment vertical="top"/>
    </xf>
    <xf numFmtId="0" fontId="3" fillId="0" borderId="0" xfId="16" applyFont="1" applyBorder="1" applyAlignment="1" applyProtection="1">
      <alignment vertical="center"/>
    </xf>
    <xf numFmtId="0" fontId="15" fillId="0" borderId="1" xfId="16" applyFont="1" applyBorder="1" applyAlignment="1" applyProtection="1">
      <alignment vertical="center"/>
    </xf>
    <xf numFmtId="0" fontId="15" fillId="0" borderId="0" xfId="16" applyFont="1" applyAlignment="1" applyProtection="1">
      <alignment vertical="center"/>
    </xf>
    <xf numFmtId="0" fontId="15" fillId="0" borderId="0" xfId="16" applyFont="1" applyBorder="1" applyAlignment="1" applyProtection="1">
      <alignment vertical="center"/>
    </xf>
    <xf numFmtId="0" fontId="8" fillId="0" borderId="0" xfId="16" applyFont="1" applyAlignment="1" applyProtection="1">
      <alignment vertical="center"/>
    </xf>
    <xf numFmtId="0" fontId="8" fillId="0" borderId="0" xfId="16" applyFont="1" applyAlignment="1" applyProtection="1">
      <alignment horizontal="right"/>
    </xf>
    <xf numFmtId="0" fontId="15" fillId="0" borderId="1" xfId="16" applyFont="1" applyBorder="1" applyProtection="1"/>
    <xf numFmtId="0" fontId="9" fillId="0" borderId="0" xfId="16" applyFont="1" applyAlignment="1" applyProtection="1">
      <alignment horizontal="left" vertical="center"/>
    </xf>
    <xf numFmtId="166" fontId="9" fillId="0" borderId="0" xfId="16" applyNumberFormat="1" applyFont="1" applyAlignment="1" applyProtection="1">
      <alignment horizontal="right" vertical="center"/>
    </xf>
    <xf numFmtId="0" fontId="10" fillId="0" borderId="0" xfId="16" applyFont="1" applyAlignment="1" applyProtection="1">
      <alignment vertical="center"/>
    </xf>
    <xf numFmtId="0" fontId="9" fillId="0" borderId="0" xfId="16" applyFont="1" applyBorder="1" applyAlignment="1" applyProtection="1">
      <alignment vertical="center"/>
    </xf>
    <xf numFmtId="165" fontId="9" fillId="0" borderId="0" xfId="16" applyNumberFormat="1" applyFont="1" applyAlignment="1" applyProtection="1">
      <alignment horizontal="right" vertical="center"/>
    </xf>
    <xf numFmtId="0" fontId="9" fillId="0" borderId="0" xfId="16" applyFont="1" applyAlignment="1" applyProtection="1">
      <alignment vertical="center"/>
    </xf>
    <xf numFmtId="165" fontId="10" fillId="0" borderId="0" xfId="16" applyNumberFormat="1" applyFont="1" applyAlignment="1" applyProtection="1">
      <alignment horizontal="right" vertical="center"/>
    </xf>
    <xf numFmtId="0" fontId="10" fillId="2" borderId="0" xfId="16" applyFont="1" applyFill="1" applyAlignment="1" applyProtection="1">
      <alignment vertical="center"/>
    </xf>
    <xf numFmtId="165" fontId="10" fillId="2" borderId="0" xfId="16" applyNumberFormat="1" applyFont="1" applyFill="1" applyAlignment="1" applyProtection="1">
      <alignment horizontal="right" vertical="center"/>
    </xf>
    <xf numFmtId="0" fontId="10" fillId="0" borderId="0" xfId="16" applyFont="1" applyFill="1" applyAlignment="1" applyProtection="1">
      <alignment vertical="center"/>
    </xf>
    <xf numFmtId="165" fontId="10" fillId="0" borderId="0" xfId="16" applyNumberFormat="1" applyFont="1" applyFill="1" applyAlignment="1" applyProtection="1">
      <alignment horizontal="right" vertical="center"/>
    </xf>
    <xf numFmtId="0" fontId="10" fillId="0" borderId="0" xfId="16" applyFont="1" applyAlignment="1" applyProtection="1">
      <alignment horizontal="right" vertical="top"/>
    </xf>
    <xf numFmtId="0" fontId="10" fillId="0" borderId="0" xfId="16" applyFont="1" applyBorder="1" applyAlignment="1" applyProtection="1">
      <alignment horizontal="right" vertical="top"/>
    </xf>
    <xf numFmtId="3" fontId="9" fillId="0" borderId="0" xfId="16" applyNumberFormat="1" applyFont="1" applyAlignment="1" applyProtection="1">
      <alignment horizontal="right" vertical="center"/>
    </xf>
    <xf numFmtId="3" fontId="10" fillId="0" borderId="0" xfId="16" applyNumberFormat="1" applyFont="1" applyAlignment="1" applyProtection="1">
      <alignment horizontal="right" vertical="center"/>
    </xf>
    <xf numFmtId="3" fontId="10" fillId="2" borderId="0" xfId="16" applyNumberFormat="1" applyFont="1" applyFill="1" applyAlignment="1" applyProtection="1">
      <alignment horizontal="right" vertical="center"/>
    </xf>
    <xf numFmtId="166" fontId="9" fillId="0" borderId="0" xfId="16" applyNumberFormat="1" applyFont="1" applyFill="1" applyAlignment="1" applyProtection="1">
      <alignment horizontal="right" vertical="center"/>
    </xf>
    <xf numFmtId="165" fontId="9" fillId="0" borderId="0" xfId="16" applyNumberFormat="1" applyFont="1" applyAlignment="1" applyProtection="1">
      <alignment horizontal="left" vertical="center"/>
    </xf>
    <xf numFmtId="165" fontId="10" fillId="0" borderId="0" xfId="16" applyNumberFormat="1" applyFont="1" applyAlignment="1" applyProtection="1">
      <alignment vertical="center"/>
    </xf>
    <xf numFmtId="0" fontId="8" fillId="0" borderId="0" xfId="17" applyFont="1" applyBorder="1" applyAlignment="1" applyProtection="1">
      <alignment vertical="center"/>
    </xf>
    <xf numFmtId="0" fontId="8" fillId="0" borderId="0" xfId="16" applyFont="1" applyAlignment="1" applyProtection="1">
      <alignment horizontal="left" vertical="center"/>
    </xf>
    <xf numFmtId="0" fontId="8" fillId="0" borderId="0" xfId="16" applyNumberFormat="1" applyFont="1" applyAlignment="1" applyProtection="1">
      <alignment horizontal="left" vertical="center"/>
    </xf>
    <xf numFmtId="0" fontId="5" fillId="0" borderId="0" xfId="2" applyAlignment="1" applyProtection="1">
      <alignment vertical="center"/>
    </xf>
    <xf numFmtId="0" fontId="7" fillId="0" borderId="0" xfId="16" applyFont="1" applyFill="1" applyAlignment="1" applyProtection="1">
      <alignment vertical="center"/>
    </xf>
    <xf numFmtId="0" fontId="7" fillId="7" borderId="0" xfId="16" applyFont="1" applyFill="1" applyAlignment="1" applyProtection="1">
      <alignment vertical="center"/>
    </xf>
    <xf numFmtId="0" fontId="24" fillId="0" borderId="0" xfId="16" applyNumberFormat="1" applyFont="1" applyAlignment="1" applyProtection="1">
      <alignment horizontal="left"/>
    </xf>
    <xf numFmtId="0" fontId="3" fillId="0" borderId="0" xfId="9" applyFont="1" applyAlignment="1" applyProtection="1"/>
    <xf numFmtId="0" fontId="4" fillId="0" borderId="0" xfId="9" applyFont="1" applyBorder="1" applyAlignment="1" applyProtection="1">
      <alignment vertical="top"/>
    </xf>
    <xf numFmtId="0" fontId="4" fillId="0" borderId="0" xfId="9" applyFont="1" applyAlignment="1" applyProtection="1">
      <alignment vertical="top"/>
    </xf>
    <xf numFmtId="0" fontId="15" fillId="0" borderId="1" xfId="9" applyFont="1" applyBorder="1" applyAlignment="1" applyProtection="1">
      <alignment vertical="center"/>
    </xf>
    <xf numFmtId="0" fontId="15" fillId="0" borderId="0" xfId="9" applyFont="1" applyAlignment="1" applyProtection="1">
      <alignment vertical="center"/>
    </xf>
    <xf numFmtId="0" fontId="15" fillId="0" borderId="0" xfId="9" applyFont="1" applyBorder="1" applyAlignment="1" applyProtection="1">
      <alignment vertical="center"/>
    </xf>
    <xf numFmtId="0" fontId="8" fillId="0" borderId="0" xfId="9" applyFont="1" applyAlignment="1" applyProtection="1">
      <alignment vertical="center"/>
    </xf>
    <xf numFmtId="0" fontId="9" fillId="0" borderId="0" xfId="9" applyFont="1" applyAlignment="1" applyProtection="1">
      <alignment horizontal="left" vertical="center"/>
    </xf>
    <xf numFmtId="166" fontId="9" fillId="0" borderId="0" xfId="9" applyNumberFormat="1" applyFont="1" applyAlignment="1" applyProtection="1">
      <alignment horizontal="right" vertical="center"/>
    </xf>
    <xf numFmtId="0" fontId="10" fillId="0" borderId="0" xfId="9" applyFont="1" applyAlignment="1" applyProtection="1">
      <alignment vertical="center"/>
    </xf>
    <xf numFmtId="0" fontId="9" fillId="0" borderId="0" xfId="9" applyFont="1" applyBorder="1" applyAlignment="1" applyProtection="1">
      <alignment vertical="center"/>
    </xf>
    <xf numFmtId="0" fontId="9" fillId="0" borderId="0" xfId="9" applyFont="1" applyAlignment="1" applyProtection="1">
      <alignment vertical="center"/>
    </xf>
    <xf numFmtId="166" fontId="10" fillId="0" borderId="0" xfId="9" applyNumberFormat="1" applyFont="1" applyAlignment="1" applyProtection="1">
      <alignment horizontal="right" vertical="center"/>
    </xf>
    <xf numFmtId="0" fontId="10" fillId="2" borderId="0" xfId="9" applyFont="1" applyFill="1" applyAlignment="1" applyProtection="1">
      <alignment vertical="center"/>
    </xf>
    <xf numFmtId="166" fontId="10" fillId="2" borderId="0" xfId="9" applyNumberFormat="1" applyFont="1" applyFill="1" applyAlignment="1" applyProtection="1">
      <alignment horizontal="right" vertical="center"/>
    </xf>
    <xf numFmtId="0" fontId="10" fillId="0" borderId="0" xfId="9" applyFont="1" applyFill="1" applyBorder="1" applyAlignment="1" applyProtection="1">
      <alignment vertical="center"/>
    </xf>
    <xf numFmtId="166" fontId="10" fillId="0" borderId="0" xfId="9" applyNumberFormat="1" applyFont="1" applyFill="1" applyBorder="1" applyAlignment="1" applyProtection="1">
      <alignment horizontal="right" vertical="center"/>
    </xf>
    <xf numFmtId="166" fontId="9" fillId="0" borderId="0" xfId="9" applyNumberFormat="1" applyFont="1" applyFill="1" applyAlignment="1" applyProtection="1">
      <alignment horizontal="right" vertical="center"/>
    </xf>
    <xf numFmtId="166" fontId="9" fillId="7" borderId="0" xfId="9" applyNumberFormat="1" applyFont="1" applyFill="1" applyAlignment="1" applyProtection="1">
      <alignment horizontal="right" vertical="center"/>
    </xf>
    <xf numFmtId="0" fontId="8" fillId="0" borderId="0" xfId="9" applyNumberFormat="1" applyFont="1" applyAlignment="1" applyProtection="1">
      <alignment horizontal="left"/>
    </xf>
    <xf numFmtId="166" fontId="8" fillId="0" borderId="0" xfId="9" applyNumberFormat="1" applyFont="1" applyAlignment="1" applyProtection="1"/>
    <xf numFmtId="0" fontId="8" fillId="0" borderId="1" xfId="9" applyFont="1" applyBorder="1" applyAlignment="1" applyProtection="1">
      <alignment horizontal="centerContinuous"/>
    </xf>
    <xf numFmtId="0" fontId="8" fillId="0" borderId="0" xfId="9" applyFont="1" applyBorder="1" applyAlignment="1" applyProtection="1">
      <alignment horizontal="centerContinuous"/>
    </xf>
    <xf numFmtId="0" fontId="8" fillId="0" borderId="2" xfId="9" applyFont="1" applyBorder="1" applyAlignment="1" applyProtection="1">
      <alignment horizontal="centerContinuous"/>
    </xf>
    <xf numFmtId="0" fontId="8" fillId="0" borderId="1" xfId="9" applyFont="1" applyBorder="1" applyAlignment="1" applyProtection="1">
      <alignment horizontal="centerContinuous" vertical="center"/>
    </xf>
    <xf numFmtId="166" fontId="8" fillId="0" borderId="0" xfId="9" applyNumberFormat="1" applyFont="1" applyAlignment="1" applyProtection="1">
      <alignment horizontal="right"/>
    </xf>
    <xf numFmtId="0" fontId="8" fillId="0" borderId="0" xfId="9" applyNumberFormat="1" applyFont="1" applyAlignment="1" applyProtection="1">
      <alignment horizontal="right" vertical="top"/>
    </xf>
    <xf numFmtId="0" fontId="8" fillId="0" borderId="0" xfId="9" applyFont="1" applyAlignment="1" applyProtection="1">
      <alignment vertical="top"/>
    </xf>
    <xf numFmtId="166" fontId="9" fillId="0" borderId="0" xfId="9" applyNumberFormat="1" applyFont="1" applyAlignment="1" applyProtection="1">
      <alignment vertical="center"/>
    </xf>
    <xf numFmtId="166" fontId="10" fillId="0" borderId="0" xfId="9" applyNumberFormat="1" applyFont="1" applyAlignment="1" applyProtection="1">
      <alignment vertical="center"/>
    </xf>
    <xf numFmtId="166" fontId="10" fillId="2" borderId="0" xfId="9" applyNumberFormat="1" applyFont="1" applyFill="1" applyAlignment="1" applyProtection="1">
      <alignment vertical="center"/>
    </xf>
    <xf numFmtId="166" fontId="10" fillId="0" borderId="0" xfId="9" applyNumberFormat="1" applyFont="1" applyFill="1" applyBorder="1" applyAlignment="1" applyProtection="1">
      <alignment vertical="center"/>
    </xf>
    <xf numFmtId="0" fontId="10" fillId="0" borderId="0" xfId="9" applyFont="1" applyFill="1" applyAlignment="1" applyProtection="1">
      <alignment vertical="center"/>
    </xf>
    <xf numFmtId="166" fontId="10" fillId="0" borderId="0" xfId="9" applyNumberFormat="1" applyFont="1" applyAlignment="1" applyProtection="1">
      <alignment horizontal="left" vertical="center"/>
    </xf>
    <xf numFmtId="166" fontId="9" fillId="0" borderId="0" xfId="9" applyNumberFormat="1" applyFont="1" applyAlignment="1" applyProtection="1">
      <alignment horizontal="left" vertical="center"/>
    </xf>
    <xf numFmtId="166" fontId="10" fillId="0" borderId="0" xfId="9" applyNumberFormat="1" applyFont="1" applyFill="1" applyAlignment="1" applyProtection="1">
      <alignment horizontal="right" vertical="center"/>
    </xf>
    <xf numFmtId="166" fontId="25" fillId="0" borderId="0" xfId="9" applyNumberFormat="1" applyFont="1" applyAlignment="1" applyProtection="1">
      <alignment horizontal="left" vertical="center"/>
    </xf>
    <xf numFmtId="166" fontId="10" fillId="0" borderId="0" xfId="9" applyNumberFormat="1" applyFont="1" applyFill="1" applyAlignment="1" applyProtection="1">
      <alignment vertical="center"/>
    </xf>
    <xf numFmtId="0" fontId="10" fillId="0" borderId="0" xfId="18" applyFont="1" applyAlignment="1" applyProtection="1">
      <alignment vertical="center"/>
    </xf>
    <xf numFmtId="166" fontId="10" fillId="0" borderId="0" xfId="18" applyNumberFormat="1" applyFont="1" applyAlignment="1" applyProtection="1">
      <alignment horizontal="right" vertical="center"/>
    </xf>
    <xf numFmtId="0" fontId="9" fillId="0" borderId="0" xfId="18" applyFont="1" applyAlignment="1" applyProtection="1">
      <alignment horizontal="left" vertical="center"/>
    </xf>
    <xf numFmtId="166" fontId="9" fillId="0" borderId="0" xfId="18" applyNumberFormat="1" applyFont="1" applyAlignment="1" applyProtection="1">
      <alignment horizontal="right" vertical="center"/>
    </xf>
    <xf numFmtId="0" fontId="9" fillId="0" borderId="0" xfId="18" applyFont="1" applyBorder="1" applyAlignment="1" applyProtection="1">
      <alignment vertical="center"/>
    </xf>
    <xf numFmtId="166" fontId="9" fillId="0" borderId="0" xfId="18" applyNumberFormat="1" applyFont="1" applyAlignment="1" applyProtection="1">
      <alignment horizontal="left" vertical="center"/>
    </xf>
    <xf numFmtId="166" fontId="9" fillId="0" borderId="0" xfId="18" applyNumberFormat="1" applyFont="1" applyAlignment="1" applyProtection="1">
      <alignment vertical="center"/>
    </xf>
    <xf numFmtId="166" fontId="10" fillId="0" borderId="0" xfId="18" applyNumberFormat="1" applyFont="1" applyAlignment="1" applyProtection="1">
      <alignment vertical="center"/>
    </xf>
    <xf numFmtId="0" fontId="10" fillId="2" borderId="0" xfId="18" applyFont="1" applyFill="1" applyAlignment="1" applyProtection="1">
      <alignment vertical="center"/>
    </xf>
    <xf numFmtId="166" fontId="10" fillId="2" borderId="0" xfId="18" applyNumberFormat="1" applyFont="1" applyFill="1" applyAlignment="1" applyProtection="1">
      <alignment horizontal="right" vertical="center"/>
    </xf>
    <xf numFmtId="166" fontId="10" fillId="2" borderId="0" xfId="18" applyNumberFormat="1" applyFont="1" applyFill="1" applyAlignment="1" applyProtection="1">
      <alignment vertical="center"/>
    </xf>
    <xf numFmtId="166" fontId="10" fillId="0" borderId="0" xfId="18" applyNumberFormat="1" applyFont="1" applyAlignment="1" applyProtection="1">
      <alignment horizontal="left" vertical="center"/>
    </xf>
    <xf numFmtId="166" fontId="25" fillId="0" borderId="0" xfId="18" applyNumberFormat="1" applyFont="1" applyAlignment="1" applyProtection="1">
      <alignment horizontal="left" vertical="center"/>
    </xf>
    <xf numFmtId="166" fontId="9" fillId="0" borderId="0" xfId="18" applyNumberFormat="1" applyFont="1" applyFill="1" applyAlignment="1" applyProtection="1">
      <alignment horizontal="right" vertical="center"/>
    </xf>
    <xf numFmtId="166" fontId="10" fillId="0" borderId="0" xfId="18" applyNumberFormat="1" applyFont="1" applyFill="1" applyAlignment="1" applyProtection="1">
      <alignment horizontal="right" vertical="center"/>
    </xf>
    <xf numFmtId="0" fontId="23" fillId="0" borderId="0" xfId="9" applyFont="1" applyAlignment="1" applyProtection="1">
      <alignment vertical="center"/>
    </xf>
    <xf numFmtId="0" fontId="8" fillId="0" borderId="0" xfId="9" applyNumberFormat="1" applyFont="1" applyAlignment="1" applyProtection="1"/>
    <xf numFmtId="0" fontId="8" fillId="0" borderId="0" xfId="18" applyNumberFormat="1" applyFont="1" applyAlignment="1" applyProtection="1"/>
    <xf numFmtId="0" fontId="8" fillId="0" borderId="0" xfId="18" applyFont="1" applyAlignment="1" applyProtection="1">
      <alignment vertical="center"/>
    </xf>
    <xf numFmtId="0" fontId="8" fillId="0" borderId="0" xfId="9" applyFont="1" applyAlignment="1" applyProtection="1"/>
    <xf numFmtId="0" fontId="3" fillId="0" borderId="0" xfId="9" applyFont="1" applyBorder="1" applyAlignment="1" applyProtection="1"/>
    <xf numFmtId="0" fontId="7" fillId="0" borderId="0" xfId="9" applyFont="1" applyBorder="1" applyAlignment="1" applyProtection="1">
      <alignment vertical="top"/>
    </xf>
    <xf numFmtId="0" fontId="7" fillId="0" borderId="0" xfId="9" applyFont="1" applyBorder="1" applyAlignment="1" applyProtection="1">
      <alignment vertical="center"/>
    </xf>
    <xf numFmtId="0" fontId="4" fillId="0" borderId="0" xfId="9" applyFont="1" applyFill="1" applyBorder="1" applyAlignment="1" applyProtection="1">
      <alignment vertical="top"/>
    </xf>
    <xf numFmtId="0" fontId="15" fillId="0" borderId="1" xfId="9" applyFont="1" applyFill="1" applyBorder="1" applyAlignment="1" applyProtection="1">
      <alignment vertical="center"/>
    </xf>
    <xf numFmtId="0" fontId="15" fillId="0" borderId="0" xfId="9" applyFont="1" applyFill="1" applyBorder="1" applyAlignment="1" applyProtection="1">
      <alignment vertical="center"/>
    </xf>
    <xf numFmtId="0" fontId="8" fillId="0" borderId="0" xfId="9" applyNumberFormat="1" applyFont="1" applyAlignment="1" applyProtection="1">
      <alignment horizontal="right"/>
    </xf>
    <xf numFmtId="0" fontId="8" fillId="0" borderId="0" xfId="9" applyFont="1" applyFill="1" applyAlignment="1" applyProtection="1">
      <alignment horizontal="right"/>
    </xf>
    <xf numFmtId="0" fontId="8" fillId="0" borderId="0" xfId="9" applyFont="1" applyProtection="1"/>
    <xf numFmtId="0" fontId="15" fillId="0" borderId="1" xfId="9" applyFont="1" applyBorder="1" applyProtection="1"/>
    <xf numFmtId="0" fontId="15" fillId="0" borderId="1" xfId="9" applyFont="1" applyFill="1" applyBorder="1" applyProtection="1"/>
    <xf numFmtId="0" fontId="9" fillId="0" borderId="0" xfId="9" applyFont="1" applyAlignment="1" applyProtection="1">
      <alignment horizontal="right" vertical="center"/>
    </xf>
    <xf numFmtId="0" fontId="10" fillId="0" borderId="0" xfId="9" applyFont="1" applyAlignment="1" applyProtection="1">
      <alignment horizontal="right" vertical="center"/>
    </xf>
    <xf numFmtId="165" fontId="9" fillId="0" borderId="0" xfId="9" applyNumberFormat="1" applyFont="1" applyAlignment="1" applyProtection="1">
      <alignment horizontal="right" vertical="center"/>
    </xf>
    <xf numFmtId="165" fontId="10" fillId="0" borderId="0" xfId="9" applyNumberFormat="1" applyFont="1" applyAlignment="1" applyProtection="1">
      <alignment vertical="center"/>
    </xf>
    <xf numFmtId="165" fontId="10" fillId="0" borderId="0" xfId="9" applyNumberFormat="1" applyFont="1" applyAlignment="1" applyProtection="1">
      <alignment horizontal="right" vertical="center"/>
    </xf>
    <xf numFmtId="165" fontId="10" fillId="2" borderId="0" xfId="9" applyNumberFormat="1" applyFont="1" applyFill="1" applyAlignment="1" applyProtection="1">
      <alignment vertical="center"/>
    </xf>
    <xf numFmtId="165" fontId="10" fillId="0" borderId="0" xfId="9" applyNumberFormat="1" applyFont="1" applyFill="1" applyAlignment="1" applyProtection="1">
      <alignment vertical="center"/>
    </xf>
    <xf numFmtId="165" fontId="10" fillId="0" borderId="0" xfId="9" applyNumberFormat="1" applyFont="1" applyFill="1" applyAlignment="1" applyProtection="1">
      <alignment horizontal="right" vertical="center"/>
    </xf>
    <xf numFmtId="165" fontId="9" fillId="0" borderId="0" xfId="9" applyNumberFormat="1" applyFont="1" applyAlignment="1" applyProtection="1">
      <alignment horizontal="left" vertical="center"/>
    </xf>
    <xf numFmtId="165" fontId="9" fillId="0" borderId="0" xfId="9" applyNumberFormat="1" applyFont="1" applyFill="1" applyAlignment="1" applyProtection="1">
      <alignment horizontal="right" vertical="center"/>
    </xf>
    <xf numFmtId="0" fontId="10" fillId="5" borderId="0" xfId="9" applyFont="1" applyFill="1" applyBorder="1" applyAlignment="1" applyProtection="1">
      <alignment vertical="center"/>
    </xf>
    <xf numFmtId="165" fontId="10" fillId="5" borderId="0" xfId="9" applyNumberFormat="1" applyFont="1" applyFill="1" applyAlignment="1" applyProtection="1">
      <alignment horizontal="right" vertical="center"/>
    </xf>
    <xf numFmtId="165" fontId="15" fillId="0" borderId="0" xfId="9" applyNumberFormat="1" applyFont="1" applyAlignment="1" applyProtection="1">
      <alignment vertical="center"/>
    </xf>
    <xf numFmtId="0" fontId="15" fillId="0" borderId="0" xfId="9" applyFont="1" applyFill="1" applyAlignment="1" applyProtection="1">
      <alignment vertical="center"/>
    </xf>
    <xf numFmtId="0" fontId="8" fillId="0" borderId="0" xfId="9" applyFont="1" applyFill="1" applyAlignment="1" applyProtection="1">
      <alignment vertical="center"/>
    </xf>
    <xf numFmtId="0" fontId="3" fillId="0" borderId="0" xfId="19" applyFont="1" applyBorder="1" applyAlignment="1" applyProtection="1"/>
    <xf numFmtId="0" fontId="4" fillId="0" borderId="0" xfId="19" applyFont="1" applyBorder="1" applyAlignment="1" applyProtection="1">
      <alignment vertical="top"/>
    </xf>
    <xf numFmtId="0" fontId="16" fillId="0" borderId="0" xfId="19" applyFont="1" applyBorder="1" applyAlignment="1" applyProtection="1">
      <alignment vertical="top"/>
    </xf>
    <xf numFmtId="0" fontId="4" fillId="0" borderId="0" xfId="19" applyFont="1" applyAlignment="1" applyProtection="1">
      <alignment vertical="top"/>
    </xf>
    <xf numFmtId="0" fontId="10" fillId="0" borderId="0" xfId="19" applyFont="1" applyBorder="1" applyAlignment="1" applyProtection="1">
      <alignment horizontal="right" vertical="top"/>
    </xf>
    <xf numFmtId="0" fontId="3" fillId="0" borderId="0" xfId="19" applyFont="1" applyBorder="1" applyAlignment="1" applyProtection="1">
      <alignment vertical="center"/>
    </xf>
    <xf numFmtId="0" fontId="15" fillId="0" borderId="1" xfId="19" applyFont="1" applyBorder="1" applyAlignment="1" applyProtection="1">
      <alignment vertical="center"/>
    </xf>
    <xf numFmtId="0" fontId="16" fillId="0" borderId="1" xfId="19" applyFont="1" applyBorder="1" applyAlignment="1" applyProtection="1">
      <alignment vertical="center"/>
    </xf>
    <xf numFmtId="0" fontId="15" fillId="0" borderId="0" xfId="19" applyFont="1" applyAlignment="1" applyProtection="1">
      <alignment vertical="center"/>
    </xf>
    <xf numFmtId="0" fontId="15" fillId="0" borderId="0" xfId="19" applyFont="1" applyBorder="1" applyAlignment="1" applyProtection="1">
      <alignment vertical="center"/>
    </xf>
    <xf numFmtId="0" fontId="16" fillId="0" borderId="0" xfId="19" applyFont="1" applyBorder="1" applyAlignment="1" applyProtection="1">
      <alignment vertical="center"/>
    </xf>
    <xf numFmtId="0" fontId="8" fillId="0" borderId="0" xfId="19" applyFont="1" applyProtection="1"/>
    <xf numFmtId="0" fontId="8" fillId="0" borderId="0" xfId="19" applyNumberFormat="1" applyFont="1" applyAlignment="1" applyProtection="1">
      <alignment horizontal="right"/>
    </xf>
    <xf numFmtId="0" fontId="8" fillId="0" borderId="0" xfId="19" applyFont="1" applyAlignment="1" applyProtection="1">
      <alignment horizontal="right"/>
    </xf>
    <xf numFmtId="0" fontId="8" fillId="0" borderId="1" xfId="19" applyFont="1" applyBorder="1" applyAlignment="1" applyProtection="1">
      <alignment horizontal="centerContinuous"/>
    </xf>
    <xf numFmtId="0" fontId="16" fillId="0" borderId="1" xfId="19" applyFont="1" applyBorder="1" applyAlignment="1" applyProtection="1">
      <alignment horizontal="centerContinuous"/>
    </xf>
    <xf numFmtId="0" fontId="8" fillId="0" borderId="0" xfId="19" applyFont="1" applyBorder="1" applyAlignment="1" applyProtection="1">
      <alignment horizontal="right" vertical="center"/>
    </xf>
    <xf numFmtId="0" fontId="8" fillId="0" borderId="0" xfId="19" applyFont="1" applyAlignment="1" applyProtection="1">
      <alignment horizontal="right" vertical="center"/>
    </xf>
    <xf numFmtId="0" fontId="8" fillId="0" borderId="0" xfId="19" applyFont="1" applyAlignment="1" applyProtection="1">
      <alignment vertical="center"/>
    </xf>
    <xf numFmtId="0" fontId="8" fillId="0" borderId="0" xfId="19" applyFont="1" applyBorder="1" applyAlignment="1" applyProtection="1">
      <alignment horizontal="centerContinuous"/>
    </xf>
    <xf numFmtId="0" fontId="16" fillId="0" borderId="0" xfId="19" applyFont="1" applyBorder="1" applyAlignment="1" applyProtection="1">
      <alignment horizontal="centerContinuous"/>
    </xf>
    <xf numFmtId="0" fontId="16" fillId="0" borderId="0" xfId="19" applyFont="1" applyAlignment="1" applyProtection="1">
      <alignment horizontal="right"/>
    </xf>
    <xf numFmtId="3" fontId="8" fillId="0" borderId="0" xfId="19" applyNumberFormat="1" applyFont="1" applyAlignment="1" applyProtection="1">
      <alignment horizontal="right"/>
    </xf>
    <xf numFmtId="0" fontId="15" fillId="0" borderId="1" xfId="19" applyFont="1" applyBorder="1" applyProtection="1"/>
    <xf numFmtId="0" fontId="16" fillId="0" borderId="1" xfId="19" applyFont="1" applyBorder="1" applyProtection="1"/>
    <xf numFmtId="0" fontId="9" fillId="0" borderId="0" xfId="19" applyFont="1" applyAlignment="1" applyProtection="1">
      <alignment horizontal="left" vertical="center"/>
    </xf>
    <xf numFmtId="166" fontId="9" fillId="0" borderId="0" xfId="19" applyNumberFormat="1" applyFont="1" applyAlignment="1" applyProtection="1">
      <alignment horizontal="right" vertical="center"/>
    </xf>
    <xf numFmtId="166" fontId="26" fillId="0" borderId="0" xfId="19" applyNumberFormat="1" applyFont="1" applyAlignment="1" applyProtection="1">
      <alignment horizontal="right" vertical="center"/>
    </xf>
    <xf numFmtId="0" fontId="10" fillId="0" borderId="0" xfId="19" applyFont="1" applyAlignment="1" applyProtection="1">
      <alignment vertical="center"/>
    </xf>
    <xf numFmtId="0" fontId="9" fillId="0" borderId="0" xfId="19" applyFont="1" applyBorder="1" applyAlignment="1" applyProtection="1">
      <alignment vertical="center"/>
    </xf>
    <xf numFmtId="3" fontId="9" fillId="0" borderId="0" xfId="19" applyNumberFormat="1" applyFont="1" applyAlignment="1" applyProtection="1">
      <alignment vertical="center"/>
    </xf>
    <xf numFmtId="3" fontId="26" fillId="0" borderId="0" xfId="19" applyNumberFormat="1" applyFont="1" applyAlignment="1" applyProtection="1">
      <alignment vertical="center"/>
    </xf>
    <xf numFmtId="166" fontId="9" fillId="0" borderId="0" xfId="19" applyNumberFormat="1" applyFont="1" applyAlignment="1" applyProtection="1">
      <alignment vertical="center"/>
    </xf>
    <xf numFmtId="0" fontId="9" fillId="0" borderId="0" xfId="19" applyFont="1" applyAlignment="1" applyProtection="1">
      <alignment vertical="center"/>
    </xf>
    <xf numFmtId="3" fontId="10" fillId="0" borderId="0" xfId="19" applyNumberFormat="1" applyFont="1" applyAlignment="1" applyProtection="1">
      <alignment vertical="center"/>
    </xf>
    <xf numFmtId="3" fontId="16" fillId="0" borderId="0" xfId="19" applyNumberFormat="1" applyFont="1" applyAlignment="1" applyProtection="1">
      <alignment vertical="center"/>
    </xf>
    <xf numFmtId="166" fontId="10" fillId="0" borderId="0" xfId="19" applyNumberFormat="1" applyFont="1" applyAlignment="1" applyProtection="1">
      <alignment vertical="center"/>
    </xf>
    <xf numFmtId="0" fontId="10" fillId="2" borderId="0" xfId="19" applyFont="1" applyFill="1" applyAlignment="1" applyProtection="1">
      <alignment vertical="center"/>
    </xf>
    <xf numFmtId="3" fontId="10" fillId="2" borderId="0" xfId="19" applyNumberFormat="1" applyFont="1" applyFill="1" applyAlignment="1" applyProtection="1">
      <alignment vertical="center"/>
    </xf>
    <xf numFmtId="3" fontId="16" fillId="2" borderId="0" xfId="19" applyNumberFormat="1" applyFont="1" applyFill="1" applyAlignment="1" applyProtection="1">
      <alignment vertical="center"/>
    </xf>
    <xf numFmtId="0" fontId="10" fillId="0" borderId="0" xfId="19" applyFont="1" applyFill="1" applyAlignment="1" applyProtection="1">
      <alignment vertical="center"/>
    </xf>
    <xf numFmtId="3" fontId="10" fillId="0" borderId="0" xfId="19" applyNumberFormat="1" applyFont="1" applyFill="1" applyAlignment="1" applyProtection="1">
      <alignment vertical="center"/>
    </xf>
    <xf numFmtId="3" fontId="16" fillId="0" borderId="0" xfId="19" applyNumberFormat="1" applyFont="1" applyFill="1" applyAlignment="1" applyProtection="1">
      <alignment vertical="center"/>
    </xf>
    <xf numFmtId="3" fontId="9" fillId="0" borderId="0" xfId="19" applyNumberFormat="1" applyFont="1" applyAlignment="1" applyProtection="1">
      <alignment horizontal="right" vertical="center"/>
    </xf>
    <xf numFmtId="3" fontId="26" fillId="0" borderId="0" xfId="19" applyNumberFormat="1" applyFont="1" applyAlignment="1" applyProtection="1">
      <alignment horizontal="right" vertical="center"/>
    </xf>
    <xf numFmtId="3" fontId="9" fillId="0" borderId="0" xfId="19" applyNumberFormat="1" applyFont="1" applyFill="1" applyAlignment="1" applyProtection="1">
      <alignment vertical="center"/>
    </xf>
    <xf numFmtId="166" fontId="9" fillId="0" borderId="0" xfId="19" applyNumberFormat="1" applyFont="1" applyFill="1" applyAlignment="1" applyProtection="1">
      <alignment horizontal="right" vertical="center"/>
    </xf>
    <xf numFmtId="0" fontId="9" fillId="0" borderId="0" xfId="19" applyNumberFormat="1" applyFont="1" applyBorder="1" applyAlignment="1" applyProtection="1">
      <alignment vertical="center"/>
    </xf>
    <xf numFmtId="3" fontId="10" fillId="0" borderId="0" xfId="19" applyNumberFormat="1" applyFont="1" applyBorder="1" applyAlignment="1" applyProtection="1">
      <alignment vertical="center"/>
    </xf>
    <xf numFmtId="3" fontId="10" fillId="0" borderId="0" xfId="19" applyNumberFormat="1" applyFont="1" applyAlignment="1" applyProtection="1">
      <alignment horizontal="left" vertical="center"/>
    </xf>
    <xf numFmtId="3" fontId="10" fillId="2" borderId="0" xfId="19" applyNumberFormat="1" applyFont="1" applyFill="1" applyBorder="1" applyAlignment="1" applyProtection="1">
      <alignment vertical="center"/>
    </xf>
    <xf numFmtId="3" fontId="10" fillId="2" borderId="0" xfId="19" applyNumberFormat="1" applyFont="1" applyFill="1" applyAlignment="1" applyProtection="1">
      <alignment horizontal="left" vertical="center"/>
    </xf>
    <xf numFmtId="3" fontId="9" fillId="0" borderId="0" xfId="19" applyNumberFormat="1" applyFont="1" applyFill="1" applyAlignment="1" applyProtection="1">
      <alignment horizontal="right" vertical="center"/>
    </xf>
    <xf numFmtId="3" fontId="26" fillId="0" borderId="0" xfId="19" applyNumberFormat="1" applyFont="1" applyFill="1" applyAlignment="1" applyProtection="1">
      <alignment horizontal="right" vertical="center"/>
    </xf>
    <xf numFmtId="0" fontId="9" fillId="0" borderId="0" xfId="19" applyFont="1" applyFill="1" applyAlignment="1" applyProtection="1">
      <alignment vertical="center"/>
    </xf>
    <xf numFmtId="3" fontId="25" fillId="0" borderId="0" xfId="19" applyNumberFormat="1" applyFont="1" applyAlignment="1" applyProtection="1">
      <alignment horizontal="left" vertical="center"/>
    </xf>
    <xf numFmtId="3" fontId="25" fillId="2" borderId="0" xfId="19" applyNumberFormat="1" applyFont="1" applyFill="1" applyAlignment="1" applyProtection="1">
      <alignment horizontal="left" vertical="center"/>
    </xf>
    <xf numFmtId="3" fontId="9" fillId="0" borderId="0" xfId="19" applyNumberFormat="1" applyFont="1" applyBorder="1" applyAlignment="1" applyProtection="1">
      <alignment vertical="center"/>
    </xf>
    <xf numFmtId="3" fontId="9" fillId="0" borderId="0" xfId="19" applyNumberFormat="1" applyFont="1" applyBorder="1" applyAlignment="1" applyProtection="1">
      <alignment horizontal="right" vertical="center"/>
    </xf>
    <xf numFmtId="3" fontId="26" fillId="0" borderId="0" xfId="19" applyNumberFormat="1" applyFont="1" applyBorder="1" applyAlignment="1" applyProtection="1">
      <alignment horizontal="right" vertical="center"/>
    </xf>
    <xf numFmtId="0" fontId="9" fillId="0" borderId="0" xfId="20" applyFont="1" applyBorder="1" applyAlignment="1" applyProtection="1">
      <alignment vertical="center"/>
    </xf>
    <xf numFmtId="0" fontId="9" fillId="0" borderId="0" xfId="20" applyFont="1" applyAlignment="1" applyProtection="1">
      <alignment vertical="center"/>
    </xf>
    <xf numFmtId="0" fontId="9" fillId="0" borderId="0" xfId="20" applyFont="1" applyAlignment="1" applyProtection="1">
      <alignment horizontal="left" vertical="center"/>
    </xf>
    <xf numFmtId="3" fontId="9" fillId="0" borderId="0" xfId="20" applyNumberFormat="1" applyFont="1" applyAlignment="1" applyProtection="1">
      <alignment vertical="center"/>
    </xf>
    <xf numFmtId="166" fontId="9" fillId="0" borderId="0" xfId="20" applyNumberFormat="1" applyFont="1" applyAlignment="1" applyProtection="1">
      <alignment horizontal="right" vertical="center"/>
    </xf>
    <xf numFmtId="3" fontId="9" fillId="0" borderId="0" xfId="20" applyNumberFormat="1" applyFont="1" applyAlignment="1" applyProtection="1">
      <alignment horizontal="right" vertical="center"/>
    </xf>
    <xf numFmtId="166" fontId="26" fillId="0" borderId="0" xfId="20" applyNumberFormat="1" applyFont="1" applyAlignment="1" applyProtection="1">
      <alignment horizontal="right" vertical="center"/>
    </xf>
    <xf numFmtId="0" fontId="10" fillId="0" borderId="0" xfId="20" applyFont="1" applyAlignment="1" applyProtection="1">
      <alignment vertical="center"/>
    </xf>
    <xf numFmtId="0" fontId="10" fillId="2" borderId="0" xfId="20" applyFont="1" applyFill="1" applyAlignment="1" applyProtection="1">
      <alignment vertical="center"/>
    </xf>
    <xf numFmtId="3" fontId="10" fillId="0" borderId="0" xfId="20" applyNumberFormat="1" applyFont="1" applyAlignment="1" applyProtection="1">
      <alignment vertical="center"/>
    </xf>
    <xf numFmtId="3" fontId="10" fillId="0" borderId="0" xfId="19" applyNumberFormat="1" applyFont="1" applyBorder="1" applyAlignment="1" applyProtection="1">
      <alignment horizontal="right" vertical="center"/>
    </xf>
    <xf numFmtId="3" fontId="10" fillId="0" borderId="0" xfId="19" applyNumberFormat="1" applyFont="1" applyAlignment="1" applyProtection="1">
      <alignment horizontal="right" vertical="center"/>
    </xf>
    <xf numFmtId="3" fontId="10" fillId="2" borderId="0" xfId="19" applyNumberFormat="1" applyFont="1" applyFill="1" applyBorder="1" applyAlignment="1" applyProtection="1">
      <alignment horizontal="right" vertical="center"/>
    </xf>
    <xf numFmtId="3" fontId="10" fillId="2" borderId="0" xfId="19" applyNumberFormat="1" applyFont="1" applyFill="1" applyAlignment="1" applyProtection="1">
      <alignment horizontal="right" vertical="center"/>
    </xf>
    <xf numFmtId="0" fontId="16" fillId="0" borderId="0" xfId="19" applyFont="1" applyAlignment="1" applyProtection="1">
      <alignment vertical="center"/>
    </xf>
    <xf numFmtId="0" fontId="8" fillId="0" borderId="0" xfId="19" applyNumberFormat="1" applyFont="1" applyAlignment="1" applyProtection="1">
      <alignment vertical="center"/>
    </xf>
    <xf numFmtId="0" fontId="3" fillId="0" borderId="0" xfId="21" applyFont="1" applyBorder="1" applyAlignment="1" applyProtection="1"/>
    <xf numFmtId="0" fontId="4" fillId="0" borderId="0" xfId="21" applyFont="1" applyBorder="1" applyAlignment="1" applyProtection="1">
      <alignment vertical="top"/>
    </xf>
    <xf numFmtId="0" fontId="4" fillId="0" borderId="0" xfId="21" applyFont="1" applyAlignment="1" applyProtection="1">
      <alignment vertical="top"/>
    </xf>
    <xf numFmtId="0" fontId="10" fillId="0" borderId="0" xfId="21" applyFont="1" applyBorder="1" applyAlignment="1" applyProtection="1">
      <alignment horizontal="right" vertical="top"/>
    </xf>
    <xf numFmtId="0" fontId="3" fillId="0" borderId="0" xfId="21" applyFont="1" applyBorder="1" applyAlignment="1" applyProtection="1">
      <alignment vertical="center"/>
    </xf>
    <xf numFmtId="0" fontId="15" fillId="0" borderId="1" xfId="21" applyFont="1" applyBorder="1" applyAlignment="1" applyProtection="1">
      <alignment vertical="center"/>
    </xf>
    <xf numFmtId="0" fontId="15" fillId="0" borderId="0" xfId="21" applyFont="1" applyAlignment="1" applyProtection="1">
      <alignment vertical="center"/>
    </xf>
    <xf numFmtId="0" fontId="15" fillId="0" borderId="0" xfId="21" applyFont="1" applyBorder="1" applyAlignment="1" applyProtection="1">
      <alignment vertical="center"/>
    </xf>
    <xf numFmtId="0" fontId="8" fillId="0" borderId="0" xfId="21" applyNumberFormat="1" applyFont="1" applyAlignment="1" applyProtection="1">
      <alignment horizontal="right" vertical="top"/>
    </xf>
    <xf numFmtId="0" fontId="8" fillId="0" borderId="0" xfId="21" applyFont="1" applyAlignment="1" applyProtection="1">
      <alignment vertical="center"/>
    </xf>
    <xf numFmtId="3" fontId="8" fillId="0" borderId="0" xfId="21" applyNumberFormat="1" applyFont="1" applyAlignment="1" applyProtection="1">
      <alignment horizontal="right" vertical="top"/>
    </xf>
    <xf numFmtId="0" fontId="15" fillId="0" borderId="1" xfId="21" applyFont="1" applyBorder="1" applyProtection="1"/>
    <xf numFmtId="0" fontId="9" fillId="0" borderId="0" xfId="21" quotePrefix="1" applyFont="1" applyBorder="1" applyAlignment="1" applyProtection="1">
      <alignment vertical="center"/>
    </xf>
    <xf numFmtId="3" fontId="10" fillId="0" borderId="0" xfId="21" applyNumberFormat="1" applyFont="1" applyAlignment="1" applyProtection="1">
      <alignment vertical="center"/>
    </xf>
    <xf numFmtId="0" fontId="10" fillId="0" borderId="0" xfId="21" applyFont="1" applyAlignment="1" applyProtection="1">
      <alignment vertical="center"/>
    </xf>
    <xf numFmtId="0" fontId="9" fillId="0" borderId="0" xfId="21" applyFont="1" applyBorder="1" applyAlignment="1" applyProtection="1">
      <alignment vertical="center"/>
    </xf>
    <xf numFmtId="3" fontId="9" fillId="0" borderId="0" xfId="21" applyNumberFormat="1" applyFont="1" applyAlignment="1" applyProtection="1">
      <alignment vertical="center"/>
    </xf>
    <xf numFmtId="0" fontId="10" fillId="0" borderId="0" xfId="21" applyFont="1" applyBorder="1" applyAlignment="1" applyProtection="1">
      <alignment vertical="center"/>
    </xf>
    <xf numFmtId="3" fontId="10" fillId="0" borderId="0" xfId="21" applyNumberFormat="1" applyFont="1" applyAlignment="1" applyProtection="1">
      <alignment horizontal="right" vertical="center"/>
    </xf>
    <xf numFmtId="0" fontId="10" fillId="2" borderId="0" xfId="21" applyFont="1" applyFill="1" applyBorder="1" applyAlignment="1" applyProtection="1">
      <alignment vertical="center"/>
    </xf>
    <xf numFmtId="3" fontId="10" fillId="2" borderId="0" xfId="21" applyNumberFormat="1" applyFont="1" applyFill="1" applyAlignment="1" applyProtection="1">
      <alignment vertical="center"/>
    </xf>
    <xf numFmtId="3" fontId="10" fillId="2" borderId="0" xfId="21" applyNumberFormat="1" applyFont="1" applyFill="1" applyAlignment="1" applyProtection="1">
      <alignment horizontal="right" vertical="center"/>
    </xf>
    <xf numFmtId="0" fontId="10" fillId="0" borderId="0" xfId="21" applyFont="1" applyFill="1" applyBorder="1" applyAlignment="1" applyProtection="1">
      <alignment vertical="center"/>
    </xf>
    <xf numFmtId="3" fontId="10" fillId="0" borderId="0" xfId="21" applyNumberFormat="1" applyFont="1" applyFill="1" applyAlignment="1" applyProtection="1">
      <alignment vertical="center"/>
    </xf>
    <xf numFmtId="3" fontId="10" fillId="0" borderId="0" xfId="21" applyNumberFormat="1" applyFont="1" applyFill="1" applyAlignment="1" applyProtection="1">
      <alignment horizontal="right" vertical="center"/>
    </xf>
    <xf numFmtId="0" fontId="9" fillId="0" borderId="0" xfId="21" quotePrefix="1" applyFont="1" applyBorder="1" applyAlignment="1" applyProtection="1">
      <alignment horizontal="left" vertical="center"/>
    </xf>
    <xf numFmtId="3" fontId="9" fillId="0" borderId="0" xfId="21" applyNumberFormat="1" applyFont="1" applyFill="1" applyAlignment="1" applyProtection="1">
      <alignment vertical="center"/>
    </xf>
    <xf numFmtId="0" fontId="9" fillId="0" borderId="0" xfId="21" applyFont="1" applyBorder="1" applyAlignment="1" applyProtection="1">
      <alignment horizontal="left" vertical="center"/>
    </xf>
    <xf numFmtId="3" fontId="9" fillId="0" borderId="0" xfId="21" applyNumberFormat="1" applyFont="1" applyAlignment="1" applyProtection="1">
      <alignment horizontal="right" vertical="center"/>
    </xf>
    <xf numFmtId="3" fontId="10" fillId="2" borderId="0" xfId="21" applyNumberFormat="1" applyFont="1" applyFill="1" applyBorder="1" applyAlignment="1" applyProtection="1">
      <alignment vertical="center"/>
    </xf>
    <xf numFmtId="3" fontId="10" fillId="0" borderId="0" xfId="21" applyNumberFormat="1" applyFont="1" applyFill="1" applyBorder="1" applyAlignment="1" applyProtection="1">
      <alignment vertical="center"/>
    </xf>
    <xf numFmtId="0" fontId="9" fillId="0" borderId="0" xfId="20" applyFont="1" applyBorder="1" applyAlignment="1" applyProtection="1">
      <alignment horizontal="left" vertical="center"/>
    </xf>
    <xf numFmtId="3" fontId="9" fillId="0" borderId="0" xfId="20" applyNumberFormat="1" applyFont="1" applyFill="1" applyAlignment="1" applyProtection="1">
      <alignment vertical="center"/>
    </xf>
    <xf numFmtId="0" fontId="27" fillId="0" borderId="0" xfId="20" applyProtection="1"/>
    <xf numFmtId="0" fontId="10" fillId="0" borderId="0" xfId="20" applyFont="1" applyBorder="1" applyAlignment="1" applyProtection="1">
      <alignment vertical="center"/>
    </xf>
    <xf numFmtId="0" fontId="10" fillId="2" borderId="0" xfId="20" applyFont="1" applyFill="1" applyBorder="1" applyAlignment="1" applyProtection="1">
      <alignment vertical="center"/>
    </xf>
    <xf numFmtId="3" fontId="15" fillId="0" borderId="1" xfId="21" applyNumberFormat="1" applyFont="1" applyBorder="1" applyAlignment="1" applyProtection="1">
      <alignment vertical="center"/>
    </xf>
    <xf numFmtId="0" fontId="8" fillId="0" borderId="0" xfId="21" applyNumberFormat="1" applyFont="1" applyAlignment="1" applyProtection="1"/>
    <xf numFmtId="0" fontId="8" fillId="0" borderId="0" xfId="21" applyNumberFormat="1" applyFont="1" applyAlignment="1" applyProtection="1">
      <alignment horizontal="left"/>
    </xf>
    <xf numFmtId="0" fontId="8" fillId="0" borderId="0" xfId="21" applyFont="1" applyAlignment="1" applyProtection="1">
      <alignment horizontal="left"/>
    </xf>
    <xf numFmtId="0" fontId="8" fillId="0" borderId="0" xfId="2" applyFont="1" applyAlignment="1" applyProtection="1">
      <alignment vertical="center"/>
    </xf>
    <xf numFmtId="0" fontId="8" fillId="0" borderId="0" xfId="2" applyFont="1" applyProtection="1"/>
    <xf numFmtId="0" fontId="15" fillId="0" borderId="0" xfId="21" applyFont="1" applyProtection="1"/>
    <xf numFmtId="0" fontId="4" fillId="0" borderId="0" xfId="21" applyFont="1" applyFill="1" applyAlignment="1" applyProtection="1">
      <alignment vertical="top"/>
    </xf>
    <xf numFmtId="168" fontId="4" fillId="0" borderId="0" xfId="21" applyNumberFormat="1" applyFont="1" applyAlignment="1" applyProtection="1">
      <alignment vertical="top"/>
    </xf>
    <xf numFmtId="168" fontId="4" fillId="0" borderId="0" xfId="21" applyNumberFormat="1" applyFont="1" applyBorder="1" applyAlignment="1" applyProtection="1">
      <alignment vertical="top"/>
    </xf>
    <xf numFmtId="0" fontId="23" fillId="0" borderId="1" xfId="21" applyFont="1" applyBorder="1" applyAlignment="1" applyProtection="1">
      <alignment vertical="center"/>
    </xf>
    <xf numFmtId="0" fontId="23" fillId="0" borderId="0" xfId="21" applyFont="1" applyAlignment="1" applyProtection="1">
      <alignment vertical="center"/>
    </xf>
    <xf numFmtId="0" fontId="23" fillId="0" borderId="0" xfId="21" applyFont="1" applyFill="1" applyAlignment="1" applyProtection="1">
      <alignment vertical="center"/>
    </xf>
    <xf numFmtId="0" fontId="23" fillId="0" borderId="0" xfId="21" applyFont="1" applyBorder="1" applyAlignment="1" applyProtection="1">
      <alignment vertical="center"/>
    </xf>
    <xf numFmtId="0" fontId="8" fillId="0" borderId="0" xfId="21" applyFont="1" applyFill="1" applyAlignment="1" applyProtection="1">
      <alignment vertical="center"/>
    </xf>
    <xf numFmtId="0" fontId="8" fillId="0" borderId="1" xfId="21" applyFont="1" applyBorder="1" applyAlignment="1" applyProtection="1">
      <alignment horizontal="centerContinuous"/>
    </xf>
    <xf numFmtId="0" fontId="8" fillId="0" borderId="0" xfId="21" applyFont="1" applyProtection="1"/>
    <xf numFmtId="0" fontId="23" fillId="0" borderId="1" xfId="21" applyFont="1" applyBorder="1" applyAlignment="1" applyProtection="1">
      <alignment horizontal="right"/>
    </xf>
    <xf numFmtId="0" fontId="23" fillId="0" borderId="1" xfId="21" applyFont="1" applyBorder="1" applyProtection="1"/>
    <xf numFmtId="0" fontId="23" fillId="0" borderId="0" xfId="21" applyFont="1" applyProtection="1"/>
    <xf numFmtId="0" fontId="9" fillId="0" borderId="0" xfId="21" applyFont="1" applyAlignment="1" applyProtection="1">
      <alignment horizontal="left" vertical="center"/>
    </xf>
    <xf numFmtId="166" fontId="9" fillId="0" borderId="0" xfId="21" applyNumberFormat="1" applyFont="1" applyAlignment="1" applyProtection="1">
      <alignment horizontal="right" vertical="center"/>
    </xf>
    <xf numFmtId="0" fontId="10" fillId="0" borderId="0" xfId="21" applyFont="1" applyFill="1" applyAlignment="1" applyProtection="1">
      <alignment vertical="center"/>
    </xf>
    <xf numFmtId="0" fontId="9" fillId="0" borderId="0" xfId="21" applyFont="1" applyAlignment="1" applyProtection="1">
      <alignment vertical="center"/>
    </xf>
    <xf numFmtId="0" fontId="9" fillId="0" borderId="0" xfId="21" applyFont="1" applyFill="1" applyAlignment="1" applyProtection="1">
      <alignment vertical="center"/>
    </xf>
    <xf numFmtId="0" fontId="10" fillId="2" borderId="0" xfId="21" applyFont="1" applyFill="1" applyAlignment="1" applyProtection="1">
      <alignment vertical="center"/>
    </xf>
    <xf numFmtId="168" fontId="9" fillId="0" borderId="0" xfId="21" applyNumberFormat="1" applyFont="1" applyAlignment="1" applyProtection="1">
      <alignment vertical="center"/>
    </xf>
    <xf numFmtId="168" fontId="10" fillId="0" borderId="0" xfId="21" applyNumberFormat="1" applyFont="1" applyAlignment="1" applyProtection="1">
      <alignment vertical="center"/>
    </xf>
    <xf numFmtId="0" fontId="9" fillId="0" borderId="0" xfId="21" applyNumberFormat="1" applyFont="1" applyBorder="1" applyAlignment="1" applyProtection="1">
      <alignment vertical="center"/>
    </xf>
    <xf numFmtId="168" fontId="10" fillId="2" borderId="0" xfId="21" applyNumberFormat="1" applyFont="1" applyFill="1" applyAlignment="1" applyProtection="1">
      <alignment vertical="center"/>
    </xf>
    <xf numFmtId="3" fontId="10" fillId="0" borderId="0" xfId="21" applyNumberFormat="1" applyFont="1" applyAlignment="1" applyProtection="1">
      <alignment horizontal="left" vertical="center"/>
    </xf>
    <xf numFmtId="3" fontId="29" fillId="0" borderId="0" xfId="21" applyNumberFormat="1" applyFont="1" applyAlignment="1" applyProtection="1">
      <alignment vertical="center"/>
    </xf>
    <xf numFmtId="3" fontId="9" fillId="0" borderId="0" xfId="21" applyNumberFormat="1" applyFont="1" applyAlignment="1" applyProtection="1">
      <alignment horizontal="left" vertical="center"/>
    </xf>
    <xf numFmtId="168" fontId="10" fillId="0" borderId="0" xfId="21" applyNumberFormat="1" applyFont="1" applyFill="1" applyAlignment="1" applyProtection="1">
      <alignment vertical="center"/>
    </xf>
    <xf numFmtId="168" fontId="10" fillId="0" borderId="1" xfId="21" applyNumberFormat="1" applyFont="1" applyFill="1" applyBorder="1" applyAlignment="1" applyProtection="1">
      <alignment vertical="center"/>
    </xf>
    <xf numFmtId="0" fontId="8" fillId="0" borderId="0" xfId="21" applyFont="1" applyAlignment="1" applyProtection="1"/>
    <xf numFmtId="0" fontId="8" fillId="0" borderId="0" xfId="21" applyFont="1" applyAlignment="1" applyProtection="1">
      <alignment horizontal="right" vertical="center"/>
    </xf>
    <xf numFmtId="0" fontId="8" fillId="0" borderId="0" xfId="21" applyFont="1" applyAlignment="1" applyProtection="1">
      <alignment vertical="top"/>
    </xf>
    <xf numFmtId="3" fontId="10" fillId="0" borderId="0" xfId="21" applyNumberFormat="1" applyFont="1" applyFill="1" applyBorder="1" applyAlignment="1" applyProtection="1">
      <alignment horizontal="right" vertical="center"/>
    </xf>
    <xf numFmtId="0" fontId="9" fillId="0" borderId="0" xfId="21" applyFont="1" applyAlignment="1" applyProtection="1">
      <alignment horizontal="left"/>
    </xf>
    <xf numFmtId="0" fontId="9" fillId="0" borderId="0" xfId="21" applyNumberFormat="1" applyFont="1" applyAlignment="1" applyProtection="1"/>
    <xf numFmtId="169" fontId="9" fillId="0" borderId="0" xfId="21" applyNumberFormat="1" applyFont="1" applyAlignment="1" applyProtection="1">
      <alignment vertical="center"/>
    </xf>
    <xf numFmtId="169" fontId="10" fillId="0" borderId="0" xfId="21" applyNumberFormat="1" applyFont="1" applyAlignment="1" applyProtection="1">
      <alignment horizontal="right" vertical="center"/>
    </xf>
    <xf numFmtId="169" fontId="10" fillId="2" borderId="0" xfId="21" applyNumberFormat="1" applyFont="1" applyFill="1" applyAlignment="1" applyProtection="1">
      <alignment horizontal="right" vertical="center"/>
    </xf>
    <xf numFmtId="169" fontId="9" fillId="0" borderId="0" xfId="21" applyNumberFormat="1" applyFont="1" applyAlignment="1" applyProtection="1">
      <alignment horizontal="right" vertical="center"/>
    </xf>
    <xf numFmtId="3" fontId="10" fillId="4" borderId="0" xfId="21" applyNumberFormat="1" applyFont="1" applyFill="1" applyAlignment="1" applyProtection="1">
      <alignment horizontal="right" vertical="center"/>
    </xf>
    <xf numFmtId="170" fontId="15" fillId="0" borderId="0" xfId="21" applyNumberFormat="1" applyFont="1" applyAlignment="1" applyProtection="1">
      <alignment vertical="center"/>
    </xf>
    <xf numFmtId="170" fontId="7" fillId="0" borderId="0" xfId="22" applyNumberFormat="1" applyFont="1" applyFill="1" applyBorder="1" applyAlignment="1" applyProtection="1">
      <alignment horizontal="right" vertical="center" indent="1"/>
    </xf>
    <xf numFmtId="164" fontId="4" fillId="0" borderId="0" xfId="22" applyNumberFormat="1" applyFont="1" applyFill="1" applyBorder="1" applyAlignment="1" applyProtection="1">
      <alignment horizontal="left" vertical="center"/>
    </xf>
    <xf numFmtId="170" fontId="4" fillId="0" borderId="0" xfId="22" applyNumberFormat="1" applyFont="1" applyFill="1" applyBorder="1" applyAlignment="1" applyProtection="1">
      <alignment horizontal="right" vertical="center" indent="1"/>
    </xf>
    <xf numFmtId="0" fontId="4" fillId="0" borderId="0" xfId="22" applyFont="1" applyFill="1" applyBorder="1" applyAlignment="1" applyProtection="1">
      <alignment vertical="center"/>
    </xf>
    <xf numFmtId="3" fontId="10" fillId="6" borderId="0" xfId="21" applyNumberFormat="1" applyFont="1" applyFill="1" applyAlignment="1" applyProtection="1">
      <alignment horizontal="right" vertical="center"/>
    </xf>
    <xf numFmtId="0" fontId="9" fillId="0" borderId="0" xfId="21" quotePrefix="1" applyFont="1" applyAlignment="1" applyProtection="1">
      <alignment horizontal="left" vertical="center"/>
    </xf>
    <xf numFmtId="0" fontId="9" fillId="0" borderId="0" xfId="21" applyFont="1" applyFill="1" applyAlignment="1" applyProtection="1">
      <alignment horizontal="left" vertical="center"/>
    </xf>
    <xf numFmtId="3" fontId="15" fillId="0" borderId="1" xfId="21" applyNumberFormat="1" applyFont="1" applyBorder="1" applyAlignment="1" applyProtection="1">
      <alignment horizontal="right"/>
    </xf>
    <xf numFmtId="0" fontId="8" fillId="0" borderId="0" xfId="21" applyFont="1" applyAlignment="1" applyProtection="1">
      <alignment horizontal="left" vertical="center"/>
    </xf>
    <xf numFmtId="0" fontId="4" fillId="0" borderId="0" xfId="21" applyFont="1" applyBorder="1" applyAlignment="1" applyProtection="1">
      <alignment horizontal="right" vertical="top"/>
    </xf>
    <xf numFmtId="0" fontId="4" fillId="0" borderId="0" xfId="21" applyFont="1" applyAlignment="1" applyProtection="1">
      <alignment horizontal="right" vertical="top"/>
    </xf>
    <xf numFmtId="0" fontId="23" fillId="0" borderId="1" xfId="21" applyFont="1" applyBorder="1" applyAlignment="1" applyProtection="1">
      <alignment horizontal="right" vertical="center"/>
    </xf>
    <xf numFmtId="0" fontId="23" fillId="0" borderId="0" xfId="21" applyFont="1" applyBorder="1" applyAlignment="1" applyProtection="1">
      <alignment horizontal="right" vertical="center"/>
    </xf>
    <xf numFmtId="0" fontId="23" fillId="0" borderId="0" xfId="21" applyFont="1" applyAlignment="1" applyProtection="1">
      <alignment horizontal="right" vertical="center"/>
    </xf>
    <xf numFmtId="3" fontId="8" fillId="0" borderId="0" xfId="21" applyNumberFormat="1" applyFont="1" applyAlignment="1" applyProtection="1">
      <alignment vertical="top"/>
    </xf>
    <xf numFmtId="0" fontId="10" fillId="0" borderId="0" xfId="21" applyFont="1" applyAlignment="1" applyProtection="1">
      <alignment horizontal="right" vertical="center"/>
    </xf>
    <xf numFmtId="171" fontId="9" fillId="0" borderId="0" xfId="21" applyNumberFormat="1" applyFont="1" applyAlignment="1" applyProtection="1">
      <alignment horizontal="right" vertical="center"/>
    </xf>
    <xf numFmtId="171" fontId="10" fillId="0" borderId="0" xfId="21" applyNumberFormat="1" applyFont="1" applyAlignment="1" applyProtection="1">
      <alignment horizontal="right" vertical="center"/>
    </xf>
    <xf numFmtId="171" fontId="10" fillId="2" borderId="0" xfId="21" applyNumberFormat="1" applyFont="1" applyFill="1" applyAlignment="1" applyProtection="1">
      <alignment horizontal="right" vertical="center"/>
    </xf>
    <xf numFmtId="171" fontId="10" fillId="0" borderId="0" xfId="21" applyNumberFormat="1" applyFont="1" applyFill="1" applyAlignment="1" applyProtection="1">
      <alignment horizontal="right" vertical="center"/>
    </xf>
    <xf numFmtId="0" fontId="9" fillId="0" borderId="0" xfId="21" applyFont="1" applyFill="1" applyBorder="1" applyAlignment="1" applyProtection="1">
      <alignment vertical="center"/>
    </xf>
    <xf numFmtId="171" fontId="9" fillId="0" borderId="0" xfId="21" applyNumberFormat="1" applyFont="1" applyFill="1" applyAlignment="1" applyProtection="1">
      <alignment horizontal="right" vertical="center"/>
    </xf>
    <xf numFmtId="166" fontId="9" fillId="0" borderId="0" xfId="21" applyNumberFormat="1" applyFont="1" applyFill="1" applyAlignment="1" applyProtection="1">
      <alignment horizontal="right" vertical="center"/>
    </xf>
    <xf numFmtId="0" fontId="10" fillId="0" borderId="0" xfId="21" applyFont="1" applyFill="1" applyAlignment="1" applyProtection="1">
      <alignment horizontal="right" vertical="center"/>
    </xf>
    <xf numFmtId="0" fontId="8" fillId="0" borderId="0" xfId="2" applyFont="1" applyAlignment="1" applyProtection="1"/>
    <xf numFmtId="0" fontId="8" fillId="0" borderId="0" xfId="2" applyFont="1" applyAlignment="1" applyProtection="1">
      <alignment horizontal="right" vertical="center"/>
    </xf>
    <xf numFmtId="0" fontId="8" fillId="0" borderId="0" xfId="20" applyFont="1" applyAlignment="1" applyProtection="1"/>
    <xf numFmtId="0" fontId="3" fillId="0" borderId="0" xfId="23" applyFont="1" applyAlignment="1" applyProtection="1"/>
    <xf numFmtId="0" fontId="4" fillId="0" borderId="0" xfId="24" applyFont="1" applyBorder="1" applyAlignment="1" applyProtection="1">
      <alignment vertical="top"/>
    </xf>
    <xf numFmtId="0" fontId="3" fillId="0" borderId="0" xfId="23" applyFont="1" applyFill="1" applyAlignment="1" applyProtection="1"/>
    <xf numFmtId="0" fontId="4" fillId="0" borderId="0" xfId="24" applyFont="1" applyFill="1" applyAlignment="1" applyProtection="1">
      <alignment vertical="top"/>
    </xf>
    <xf numFmtId="0" fontId="10" fillId="0" borderId="0" xfId="24" applyNumberFormat="1" applyFont="1" applyAlignment="1" applyProtection="1">
      <alignment horizontal="right" vertical="top"/>
    </xf>
    <xf numFmtId="0" fontId="3" fillId="0" borderId="0" xfId="24" applyFont="1" applyBorder="1" applyAlignment="1" applyProtection="1">
      <alignment vertical="center"/>
    </xf>
    <xf numFmtId="0" fontId="3" fillId="0" borderId="0" xfId="23" applyFont="1" applyFill="1" applyBorder="1" applyAlignment="1" applyProtection="1"/>
    <xf numFmtId="0" fontId="15" fillId="0" borderId="1" xfId="24" applyBorder="1" applyAlignment="1" applyProtection="1">
      <alignment vertical="center"/>
    </xf>
    <xf numFmtId="0" fontId="15" fillId="0" borderId="0" xfId="24" applyFill="1" applyAlignment="1" applyProtection="1">
      <alignment vertical="center"/>
    </xf>
    <xf numFmtId="0" fontId="15" fillId="0" borderId="0" xfId="24" applyBorder="1" applyAlignment="1" applyProtection="1">
      <alignment vertical="center"/>
    </xf>
    <xf numFmtId="0" fontId="8" fillId="0" borderId="0" xfId="24" applyFont="1" applyFill="1" applyBorder="1" applyAlignment="1" applyProtection="1">
      <alignment vertical="center"/>
    </xf>
    <xf numFmtId="0" fontId="8" fillId="0" borderId="0" xfId="24" applyFont="1" applyFill="1" applyBorder="1" applyAlignment="1" applyProtection="1">
      <alignment horizontal="right" vertical="center"/>
    </xf>
    <xf numFmtId="0" fontId="8" fillId="0" borderId="0" xfId="24" applyFont="1" applyFill="1" applyProtection="1"/>
    <xf numFmtId="0" fontId="8" fillId="0" borderId="0" xfId="24" applyFont="1" applyFill="1" applyAlignment="1" applyProtection="1">
      <alignment vertical="center"/>
    </xf>
    <xf numFmtId="0" fontId="8" fillId="0" borderId="0" xfId="24" applyFont="1" applyBorder="1" applyAlignment="1" applyProtection="1">
      <alignment vertical="center"/>
    </xf>
    <xf numFmtId="0" fontId="8" fillId="0" borderId="0" xfId="24" applyFont="1" applyFill="1" applyBorder="1" applyProtection="1"/>
    <xf numFmtId="0" fontId="15" fillId="0" borderId="0" xfId="24" applyFill="1" applyBorder="1" applyAlignment="1" applyProtection="1">
      <alignment vertical="center"/>
    </xf>
    <xf numFmtId="0" fontId="9" fillId="0" borderId="0" xfId="24" applyFont="1" applyBorder="1" applyAlignment="1" applyProtection="1">
      <alignment horizontal="left" vertical="center"/>
    </xf>
    <xf numFmtId="0" fontId="10" fillId="0" borderId="0" xfId="24" applyFont="1" applyBorder="1" applyAlignment="1" applyProtection="1">
      <alignment horizontal="right" vertical="center"/>
    </xf>
    <xf numFmtId="0" fontId="10" fillId="0" borderId="0" xfId="24" applyFont="1" applyFill="1" applyAlignment="1" applyProtection="1">
      <alignment vertical="center"/>
    </xf>
    <xf numFmtId="3" fontId="9" fillId="0" borderId="0" xfId="24" applyNumberFormat="1" applyFont="1" applyAlignment="1" applyProtection="1">
      <alignment vertical="center"/>
    </xf>
    <xf numFmtId="0" fontId="9" fillId="0" borderId="0" xfId="24" applyFont="1" applyFill="1" applyAlignment="1" applyProtection="1">
      <alignment vertical="center"/>
    </xf>
    <xf numFmtId="0" fontId="10" fillId="0" borderId="0" xfId="24" applyFont="1" applyBorder="1" applyAlignment="1" applyProtection="1">
      <alignment vertical="center"/>
    </xf>
    <xf numFmtId="3" fontId="10" fillId="0" borderId="0" xfId="24" applyNumberFormat="1" applyFont="1" applyAlignment="1" applyProtection="1">
      <alignment vertical="center"/>
    </xf>
    <xf numFmtId="0" fontId="10" fillId="2" borderId="0" xfId="24" applyFont="1" applyFill="1" applyBorder="1" applyAlignment="1" applyProtection="1">
      <alignment vertical="center"/>
    </xf>
    <xf numFmtId="3" fontId="10" fillId="2" borderId="0" xfId="24" applyNumberFormat="1" applyFont="1" applyFill="1" applyAlignment="1" applyProtection="1">
      <alignment vertical="center"/>
    </xf>
    <xf numFmtId="0" fontId="10" fillId="0" borderId="0" xfId="9" applyFont="1" applyBorder="1" applyAlignment="1" applyProtection="1">
      <alignment vertical="center"/>
    </xf>
    <xf numFmtId="0" fontId="10" fillId="0" borderId="0" xfId="24" applyFont="1" applyAlignment="1" applyProtection="1">
      <alignment vertical="center"/>
    </xf>
    <xf numFmtId="3" fontId="10" fillId="0" borderId="0" xfId="24" applyNumberFormat="1" applyFont="1" applyBorder="1" applyAlignment="1" applyProtection="1">
      <alignment horizontal="right" vertical="center"/>
    </xf>
    <xf numFmtId="3" fontId="9" fillId="0" borderId="0" xfId="24" applyNumberFormat="1" applyFont="1" applyFill="1" applyAlignment="1" applyProtection="1">
      <alignment vertical="center"/>
    </xf>
    <xf numFmtId="0" fontId="10" fillId="2" borderId="0" xfId="24" applyFont="1" applyFill="1" applyAlignment="1" applyProtection="1">
      <alignment vertical="center"/>
    </xf>
    <xf numFmtId="3" fontId="9" fillId="0" borderId="0" xfId="24" applyNumberFormat="1" applyFont="1" applyAlignment="1" applyProtection="1">
      <alignment horizontal="right" vertical="center"/>
    </xf>
    <xf numFmtId="3" fontId="10" fillId="0" borderId="0" xfId="24" applyNumberFormat="1" applyFont="1" applyAlignment="1" applyProtection="1">
      <alignment horizontal="right" vertical="center"/>
    </xf>
    <xf numFmtId="3" fontId="10" fillId="2" borderId="0" xfId="24" applyNumberFormat="1" applyFont="1" applyFill="1" applyAlignment="1" applyProtection="1">
      <alignment horizontal="right" vertical="center"/>
    </xf>
    <xf numFmtId="0" fontId="9" fillId="0" borderId="0" xfId="7" applyFont="1" applyBorder="1" applyAlignment="1" applyProtection="1">
      <alignment horizontal="left" vertical="center"/>
    </xf>
    <xf numFmtId="3" fontId="10" fillId="0" borderId="0" xfId="7" applyNumberFormat="1" applyFont="1" applyBorder="1" applyAlignment="1" applyProtection="1">
      <alignment horizontal="right" vertical="center"/>
    </xf>
    <xf numFmtId="0" fontId="10" fillId="0" borderId="0" xfId="7" applyFont="1" applyBorder="1" applyAlignment="1" applyProtection="1">
      <alignment horizontal="right" vertical="center"/>
    </xf>
    <xf numFmtId="3" fontId="9" fillId="0" borderId="0" xfId="7" applyNumberFormat="1" applyFont="1" applyFill="1" applyAlignment="1" applyProtection="1">
      <alignment vertical="center"/>
    </xf>
    <xf numFmtId="0" fontId="10" fillId="0" borderId="0" xfId="7" applyFont="1" applyFill="1" applyAlignment="1" applyProtection="1">
      <alignment vertical="center"/>
    </xf>
    <xf numFmtId="3" fontId="9" fillId="0" borderId="0" xfId="7" applyNumberFormat="1" applyFont="1" applyAlignment="1" applyProtection="1">
      <alignment vertical="center"/>
    </xf>
    <xf numFmtId="0" fontId="10" fillId="0" borderId="0" xfId="7" applyFont="1" applyBorder="1" applyAlignment="1" applyProtection="1">
      <alignment vertical="center"/>
    </xf>
    <xf numFmtId="3" fontId="10" fillId="0" borderId="0" xfId="7" applyNumberFormat="1" applyFont="1" applyAlignment="1" applyProtection="1">
      <alignment vertical="center"/>
    </xf>
    <xf numFmtId="3" fontId="10" fillId="0" borderId="0" xfId="7" applyNumberFormat="1" applyFont="1" applyAlignment="1" applyProtection="1">
      <alignment horizontal="right" vertical="center"/>
    </xf>
    <xf numFmtId="0" fontId="10" fillId="2" borderId="0" xfId="7" applyFont="1" applyFill="1" applyBorder="1" applyAlignment="1" applyProtection="1">
      <alignment vertical="center"/>
    </xf>
    <xf numFmtId="3" fontId="10" fillId="2" borderId="0" xfId="7" applyNumberFormat="1" applyFont="1" applyFill="1" applyAlignment="1" applyProtection="1">
      <alignment vertical="center"/>
    </xf>
    <xf numFmtId="3" fontId="10" fillId="2" borderId="0" xfId="7" applyNumberFormat="1" applyFont="1" applyFill="1" applyAlignment="1" applyProtection="1">
      <alignment horizontal="right" vertical="center"/>
    </xf>
    <xf numFmtId="0" fontId="10" fillId="0" borderId="0" xfId="7" applyFont="1" applyAlignment="1" applyProtection="1">
      <alignment vertical="center"/>
    </xf>
    <xf numFmtId="0" fontId="10" fillId="2" borderId="0" xfId="7" applyFont="1" applyFill="1" applyAlignment="1" applyProtection="1">
      <alignment vertical="center"/>
    </xf>
    <xf numFmtId="3" fontId="9" fillId="0" borderId="0" xfId="23" applyNumberFormat="1" applyFont="1" applyAlignment="1" applyProtection="1">
      <alignment vertical="center"/>
    </xf>
    <xf numFmtId="3" fontId="10" fillId="0" borderId="0" xfId="23" applyNumberFormat="1" applyFont="1" applyAlignment="1" applyProtection="1">
      <alignment vertical="center"/>
    </xf>
    <xf numFmtId="3" fontId="10" fillId="0" borderId="0" xfId="23" applyNumberFormat="1" applyFont="1" applyAlignment="1" applyProtection="1">
      <alignment horizontal="right" vertical="center"/>
    </xf>
    <xf numFmtId="0" fontId="10" fillId="5" borderId="0" xfId="7" applyFont="1" applyFill="1" applyBorder="1" applyAlignment="1" applyProtection="1">
      <alignment vertical="center"/>
    </xf>
    <xf numFmtId="3" fontId="10" fillId="2" borderId="0" xfId="23" applyNumberFormat="1" applyFont="1" applyFill="1" applyAlignment="1" applyProtection="1">
      <alignment vertical="center"/>
    </xf>
    <xf numFmtId="3" fontId="10" fillId="2" borderId="0" xfId="23" applyNumberFormat="1" applyFont="1" applyFill="1" applyAlignment="1" applyProtection="1">
      <alignment horizontal="right" vertical="center"/>
    </xf>
    <xf numFmtId="0" fontId="10" fillId="0" borderId="0" xfId="23" applyFont="1" applyAlignment="1" applyProtection="1">
      <alignment vertical="center"/>
    </xf>
    <xf numFmtId="0" fontId="10" fillId="2" borderId="0" xfId="23" applyFont="1" applyFill="1" applyAlignment="1" applyProtection="1">
      <alignment vertical="center"/>
    </xf>
    <xf numFmtId="3" fontId="31" fillId="0" borderId="0" xfId="25" applyNumberFormat="1" applyFont="1" applyAlignment="1" applyProtection="1">
      <alignment horizontal="right" wrapText="1"/>
    </xf>
    <xf numFmtId="0" fontId="9" fillId="0" borderId="0" xfId="23" quotePrefix="1" applyFont="1" applyBorder="1" applyAlignment="1" applyProtection="1">
      <alignment horizontal="left" vertical="center"/>
    </xf>
    <xf numFmtId="3" fontId="10" fillId="0" borderId="0" xfId="23" applyNumberFormat="1" applyFont="1" applyBorder="1" applyAlignment="1" applyProtection="1">
      <alignment horizontal="right" vertical="center"/>
    </xf>
    <xf numFmtId="0" fontId="10" fillId="0" borderId="0" xfId="23" applyFont="1" applyBorder="1" applyAlignment="1" applyProtection="1">
      <alignment horizontal="right" vertical="center"/>
    </xf>
    <xf numFmtId="3" fontId="9" fillId="0" borderId="0" xfId="23" applyNumberFormat="1" applyFont="1" applyFill="1" applyAlignment="1" applyProtection="1">
      <alignment vertical="center"/>
    </xf>
    <xf numFmtId="0" fontId="10" fillId="0" borderId="0" xfId="23" applyFont="1" applyFill="1" applyAlignment="1" applyProtection="1">
      <alignment vertical="center"/>
    </xf>
    <xf numFmtId="172" fontId="9" fillId="0" borderId="0" xfId="26" applyFont="1" applyBorder="1" applyAlignment="1" applyProtection="1">
      <alignment horizontal="left" vertical="center"/>
    </xf>
    <xf numFmtId="0" fontId="9" fillId="0" borderId="0" xfId="23" applyFont="1" applyBorder="1" applyAlignment="1" applyProtection="1">
      <alignment horizontal="left" vertical="center"/>
    </xf>
    <xf numFmtId="0" fontId="10" fillId="0" borderId="0" xfId="23" applyFont="1" applyBorder="1" applyAlignment="1" applyProtection="1">
      <alignment vertical="center"/>
    </xf>
    <xf numFmtId="0" fontId="10" fillId="2" borderId="0" xfId="23" applyFont="1" applyFill="1" applyBorder="1" applyAlignment="1" applyProtection="1">
      <alignment vertical="center"/>
    </xf>
    <xf numFmtId="3" fontId="10" fillId="0" borderId="0" xfId="23" applyNumberFormat="1" applyFont="1" applyFill="1" applyAlignment="1" applyProtection="1">
      <alignment vertical="center"/>
    </xf>
    <xf numFmtId="0" fontId="15" fillId="0" borderId="0" xfId="24" applyAlignment="1" applyProtection="1">
      <alignment vertical="center"/>
    </xf>
    <xf numFmtId="0" fontId="8" fillId="0" borderId="0" xfId="2" applyFont="1" applyBorder="1" applyAlignment="1" applyProtection="1">
      <alignment vertical="center"/>
    </xf>
    <xf numFmtId="0" fontId="32" fillId="0" borderId="0" xfId="2" applyFont="1" applyAlignment="1" applyProtection="1">
      <alignment vertical="center"/>
    </xf>
    <xf numFmtId="0" fontId="8" fillId="0" borderId="0" xfId="24" applyFont="1" applyAlignment="1" applyProtection="1">
      <alignment vertical="center"/>
    </xf>
    <xf numFmtId="0" fontId="15" fillId="0" borderId="0" xfId="24" applyFont="1" applyFill="1" applyAlignment="1" applyProtection="1">
      <alignment vertical="center"/>
    </xf>
    <xf numFmtId="0" fontId="8" fillId="0" borderId="0" xfId="9" applyFont="1" applyAlignment="1" applyProtection="1">
      <alignment horizontal="right" vertical="center"/>
    </xf>
    <xf numFmtId="3" fontId="9" fillId="0" borderId="0" xfId="9" applyNumberFormat="1" applyFont="1" applyAlignment="1" applyProtection="1">
      <alignment horizontal="right" vertical="center"/>
    </xf>
    <xf numFmtId="3" fontId="10" fillId="0" borderId="0" xfId="9" applyNumberFormat="1" applyFont="1" applyAlignment="1" applyProtection="1">
      <alignment horizontal="right" vertical="center"/>
    </xf>
    <xf numFmtId="3" fontId="10" fillId="2" borderId="0" xfId="9" applyNumberFormat="1" applyFont="1" applyFill="1" applyAlignment="1" applyProtection="1">
      <alignment horizontal="right" vertical="center"/>
    </xf>
    <xf numFmtId="3" fontId="10" fillId="0" borderId="0" xfId="9" applyNumberFormat="1" applyFont="1" applyAlignment="1" applyProtection="1">
      <alignment vertical="center"/>
    </xf>
    <xf numFmtId="0" fontId="9" fillId="0" borderId="0" xfId="9" applyFont="1" applyBorder="1" applyAlignment="1" applyProtection="1">
      <alignment horizontal="left" vertical="center"/>
    </xf>
    <xf numFmtId="3" fontId="9" fillId="0" borderId="0" xfId="9" applyNumberFormat="1" applyFont="1" applyAlignment="1" applyProtection="1">
      <alignment vertical="center"/>
    </xf>
    <xf numFmtId="0" fontId="10" fillId="2" borderId="0" xfId="9" applyFont="1" applyFill="1" applyBorder="1" applyAlignment="1" applyProtection="1">
      <alignment vertical="center"/>
    </xf>
    <xf numFmtId="3" fontId="10" fillId="2" borderId="0" xfId="9" applyNumberFormat="1" applyFont="1" applyFill="1" applyAlignment="1" applyProtection="1">
      <alignment vertical="center"/>
    </xf>
    <xf numFmtId="3" fontId="10" fillId="0" borderId="0" xfId="9" applyNumberFormat="1" applyFont="1" applyFill="1" applyAlignment="1" applyProtection="1">
      <alignment vertical="center"/>
    </xf>
    <xf numFmtId="0" fontId="9" fillId="7" borderId="0" xfId="9" applyFont="1" applyFill="1" applyAlignment="1" applyProtection="1">
      <alignment vertical="center"/>
    </xf>
    <xf numFmtId="0" fontId="14" fillId="0" borderId="0" xfId="0" applyFont="1" applyAlignment="1" applyProtection="1">
      <alignment vertical="top"/>
    </xf>
    <xf numFmtId="0" fontId="0" fillId="0" borderId="0" xfId="0" applyProtection="1"/>
    <xf numFmtId="0" fontId="8" fillId="0" borderId="0" xfId="9" applyFont="1" applyAlignment="1" applyProtection="1">
      <alignment horizontal="centerContinuous"/>
    </xf>
    <xf numFmtId="16" fontId="8" fillId="0" borderId="0" xfId="9" applyNumberFormat="1" applyFont="1" applyAlignment="1" applyProtection="1">
      <alignment horizontal="right"/>
    </xf>
    <xf numFmtId="3" fontId="10" fillId="8" borderId="0" xfId="9" applyNumberFormat="1" applyFont="1" applyFill="1" applyAlignment="1" applyProtection="1">
      <alignment vertical="center"/>
    </xf>
    <xf numFmtId="0" fontId="9" fillId="0" borderId="0" xfId="9" applyFont="1" applyFill="1" applyAlignment="1" applyProtection="1">
      <alignment vertical="center"/>
    </xf>
    <xf numFmtId="3" fontId="10" fillId="0" borderId="0" xfId="9" applyNumberFormat="1" applyFont="1" applyFill="1" applyAlignment="1" applyProtection="1">
      <alignment horizontal="right" vertical="center"/>
    </xf>
    <xf numFmtId="0" fontId="4" fillId="0" borderId="1" xfId="9" applyFont="1" applyBorder="1" applyProtection="1"/>
    <xf numFmtId="169" fontId="9" fillId="0" borderId="0" xfId="9" applyNumberFormat="1" applyFont="1" applyAlignment="1" applyProtection="1">
      <alignment horizontal="right" vertical="center"/>
    </xf>
    <xf numFmtId="169" fontId="10" fillId="0" borderId="0" xfId="9" applyNumberFormat="1" applyFont="1" applyAlignment="1" applyProtection="1">
      <alignment vertical="center"/>
    </xf>
    <xf numFmtId="169" fontId="10" fillId="0" borderId="0" xfId="9" applyNumberFormat="1" applyFont="1" applyAlignment="1" applyProtection="1">
      <alignment horizontal="right" vertical="center"/>
    </xf>
    <xf numFmtId="169" fontId="10" fillId="2" borderId="0" xfId="9" applyNumberFormat="1" applyFont="1" applyFill="1" applyAlignment="1" applyProtection="1">
      <alignment vertical="center"/>
    </xf>
    <xf numFmtId="169" fontId="10" fillId="0" borderId="0" xfId="9" applyNumberFormat="1" applyFont="1" applyFill="1" applyAlignment="1" applyProtection="1">
      <alignment vertical="center"/>
    </xf>
    <xf numFmtId="169" fontId="9" fillId="0" borderId="0" xfId="9" applyNumberFormat="1" applyFont="1" applyAlignment="1" applyProtection="1">
      <alignment vertical="center"/>
    </xf>
    <xf numFmtId="169" fontId="10" fillId="0" borderId="0" xfId="9" applyNumberFormat="1" applyFont="1" applyBorder="1" applyAlignment="1" applyProtection="1">
      <alignment vertical="center"/>
    </xf>
    <xf numFmtId="169" fontId="10" fillId="0" borderId="0" xfId="9" applyNumberFormat="1" applyFont="1" applyBorder="1" applyAlignment="1" applyProtection="1">
      <alignment horizontal="right" vertical="center"/>
    </xf>
    <xf numFmtId="169" fontId="10" fillId="2" borderId="0" xfId="9" applyNumberFormat="1" applyFont="1" applyFill="1" applyBorder="1" applyAlignment="1" applyProtection="1">
      <alignment vertical="center"/>
    </xf>
    <xf numFmtId="169" fontId="9" fillId="0" borderId="0" xfId="9" applyNumberFormat="1" applyFont="1" applyFill="1" applyAlignment="1" applyProtection="1">
      <alignment horizontal="right" vertical="center"/>
    </xf>
    <xf numFmtId="0" fontId="6" fillId="0" borderId="0" xfId="10" applyFont="1" applyBorder="1" applyAlignment="1" applyProtection="1">
      <alignment horizontal="right" vertical="top"/>
    </xf>
    <xf numFmtId="0" fontId="8" fillId="0" borderId="1" xfId="9" applyFont="1" applyBorder="1" applyAlignment="1" applyProtection="1">
      <alignment horizontal="centerContinuous" vertical="top"/>
    </xf>
    <xf numFmtId="0" fontId="8" fillId="0" borderId="0" xfId="9" applyFont="1" applyBorder="1" applyAlignment="1" applyProtection="1">
      <alignment horizontal="centerContinuous" vertical="top"/>
    </xf>
    <xf numFmtId="166" fontId="8" fillId="0" borderId="0" xfId="9" applyNumberFormat="1" applyFont="1" applyAlignment="1" applyProtection="1">
      <alignment horizontal="right" vertical="top"/>
    </xf>
    <xf numFmtId="166" fontId="10" fillId="0" borderId="0" xfId="9" applyNumberFormat="1" applyFont="1" applyBorder="1" applyAlignment="1" applyProtection="1">
      <alignment horizontal="right" vertical="center"/>
    </xf>
    <xf numFmtId="166" fontId="10" fillId="2" borderId="0" xfId="9" applyNumberFormat="1" applyFont="1" applyFill="1" applyBorder="1" applyAlignment="1" applyProtection="1">
      <alignment horizontal="right" vertical="center"/>
    </xf>
    <xf numFmtId="166" fontId="10" fillId="0" borderId="0" xfId="9" applyNumberFormat="1" applyFont="1" applyBorder="1" applyAlignment="1" applyProtection="1">
      <alignment vertical="center"/>
    </xf>
    <xf numFmtId="3" fontId="10" fillId="0" borderId="0" xfId="9" applyNumberFormat="1" applyFont="1" applyBorder="1" applyAlignment="1" applyProtection="1">
      <alignment vertical="center"/>
    </xf>
    <xf numFmtId="166" fontId="10" fillId="2" borderId="0" xfId="9" applyNumberFormat="1" applyFont="1" applyFill="1" applyBorder="1" applyAlignment="1" applyProtection="1">
      <alignment vertical="center"/>
    </xf>
    <xf numFmtId="3" fontId="10" fillId="2" borderId="0" xfId="9" applyNumberFormat="1" applyFont="1" applyFill="1" applyBorder="1" applyAlignment="1" applyProtection="1">
      <alignment vertical="center"/>
    </xf>
    <xf numFmtId="0" fontId="8" fillId="0" borderId="0" xfId="9" applyFont="1" applyBorder="1" applyAlignment="1" applyProtection="1">
      <alignment horizontal="right"/>
    </xf>
    <xf numFmtId="165" fontId="10" fillId="2" borderId="0" xfId="9" applyNumberFormat="1" applyFont="1" applyFill="1" applyAlignment="1" applyProtection="1">
      <alignment horizontal="right" vertical="center"/>
    </xf>
    <xf numFmtId="0" fontId="9" fillId="0" borderId="0" xfId="9" applyFont="1" applyFill="1" applyAlignment="1" applyProtection="1">
      <alignment horizontal="left" vertical="center"/>
    </xf>
    <xf numFmtId="3" fontId="10" fillId="0" borderId="0" xfId="9" applyNumberFormat="1" applyFont="1" applyBorder="1" applyAlignment="1" applyProtection="1">
      <alignment horizontal="right" vertical="center"/>
    </xf>
    <xf numFmtId="165" fontId="10" fillId="0" borderId="0" xfId="9" applyNumberFormat="1" applyFont="1" applyBorder="1" applyAlignment="1" applyProtection="1">
      <alignment vertical="center"/>
    </xf>
    <xf numFmtId="3" fontId="10" fillId="2" borderId="0" xfId="9" applyNumberFormat="1" applyFont="1" applyFill="1" applyBorder="1" applyAlignment="1" applyProtection="1">
      <alignment horizontal="right" vertical="center"/>
    </xf>
    <xf numFmtId="165" fontId="10" fillId="2" borderId="0" xfId="9" applyNumberFormat="1" applyFont="1" applyFill="1" applyBorder="1" applyAlignment="1" applyProtection="1">
      <alignment vertical="center"/>
    </xf>
    <xf numFmtId="3" fontId="9" fillId="7" borderId="0" xfId="9" applyNumberFormat="1" applyFont="1" applyFill="1" applyAlignment="1" applyProtection="1">
      <alignment vertical="center"/>
    </xf>
    <xf numFmtId="0" fontId="34" fillId="7" borderId="0" xfId="0" applyFont="1" applyFill="1" applyAlignment="1" applyProtection="1">
      <alignment vertical="center"/>
    </xf>
    <xf numFmtId="0" fontId="10" fillId="7" borderId="0" xfId="9" applyFont="1" applyFill="1" applyAlignment="1" applyProtection="1">
      <alignment vertical="center"/>
    </xf>
    <xf numFmtId="165" fontId="34" fillId="7" borderId="0" xfId="0" applyNumberFormat="1" applyFont="1" applyFill="1" applyAlignment="1" applyProtection="1">
      <alignment vertical="center"/>
    </xf>
    <xf numFmtId="165" fontId="9" fillId="7" borderId="0" xfId="9" applyNumberFormat="1" applyFont="1" applyFill="1" applyAlignment="1" applyProtection="1">
      <alignment horizontal="left" vertical="center"/>
    </xf>
    <xf numFmtId="0" fontId="23" fillId="0" borderId="0" xfId="9" applyFont="1" applyProtection="1"/>
    <xf numFmtId="0" fontId="16" fillId="0" borderId="0" xfId="9" applyFont="1" applyAlignment="1" applyProtection="1"/>
    <xf numFmtId="0" fontId="8" fillId="0" borderId="0" xfId="9" applyFont="1" applyBorder="1" applyAlignment="1" applyProtection="1">
      <alignment horizontal="centerContinuous" vertical="center"/>
    </xf>
    <xf numFmtId="0" fontId="8" fillId="0" borderId="0" xfId="9" applyFont="1" applyBorder="1" applyAlignment="1" applyProtection="1">
      <alignment horizontal="right" vertical="top"/>
    </xf>
    <xf numFmtId="0" fontId="8" fillId="0" borderId="0" xfId="9" applyNumberFormat="1" applyFont="1" applyBorder="1" applyAlignment="1" applyProtection="1">
      <alignment horizontal="right" vertical="center"/>
    </xf>
    <xf numFmtId="0" fontId="23" fillId="0" borderId="1" xfId="9" applyFont="1" applyBorder="1" applyAlignment="1" applyProtection="1">
      <alignment vertical="center"/>
    </xf>
    <xf numFmtId="0" fontId="3" fillId="0" borderId="0" xfId="23" applyNumberFormat="1" applyFont="1" applyAlignment="1" applyProtection="1"/>
    <xf numFmtId="0" fontId="35" fillId="0" borderId="0" xfId="27" applyFont="1" applyBorder="1" applyAlignment="1" applyProtection="1">
      <alignment vertical="center"/>
    </xf>
    <xf numFmtId="0" fontId="15" fillId="0" borderId="0" xfId="27" applyFont="1" applyBorder="1" applyAlignment="1" applyProtection="1">
      <alignment vertical="center"/>
    </xf>
    <xf numFmtId="0" fontId="15" fillId="0" borderId="0" xfId="27" applyFont="1" applyAlignment="1" applyProtection="1">
      <alignment vertical="center"/>
    </xf>
    <xf numFmtId="0" fontId="10" fillId="0" borderId="0" xfId="24" applyNumberFormat="1" applyFont="1" applyAlignment="1" applyProtection="1">
      <alignment horizontal="right" vertical="center"/>
    </xf>
    <xf numFmtId="0" fontId="15" fillId="0" borderId="1" xfId="27" applyFont="1" applyBorder="1" applyAlignment="1" applyProtection="1">
      <alignment vertical="center"/>
    </xf>
    <xf numFmtId="0" fontId="8" fillId="0" borderId="0" xfId="27" applyFont="1" applyBorder="1" applyAlignment="1" applyProtection="1">
      <alignment horizontal="right" vertical="center"/>
    </xf>
    <xf numFmtId="0" fontId="8" fillId="0" borderId="0" xfId="28" applyFont="1" applyAlignment="1" applyProtection="1">
      <alignment horizontal="right"/>
    </xf>
    <xf numFmtId="0" fontId="8" fillId="0" borderId="0" xfId="27" applyFont="1" applyAlignment="1" applyProtection="1">
      <alignment vertical="center"/>
    </xf>
    <xf numFmtId="0" fontId="8" fillId="0" borderId="1" xfId="24" applyFont="1" applyBorder="1" applyAlignment="1" applyProtection="1">
      <alignment horizontal="right" vertical="top" wrapText="1"/>
    </xf>
    <xf numFmtId="0" fontId="9" fillId="0" borderId="0" xfId="27" quotePrefix="1" applyFont="1" applyBorder="1" applyAlignment="1" applyProtection="1">
      <alignment vertical="center"/>
    </xf>
    <xf numFmtId="0" fontId="10" fillId="0" borderId="0" xfId="27" applyFont="1" applyBorder="1" applyAlignment="1" applyProtection="1">
      <alignment vertical="center"/>
    </xf>
    <xf numFmtId="166" fontId="10" fillId="0" borderId="0" xfId="28" applyNumberFormat="1" applyFont="1" applyProtection="1"/>
    <xf numFmtId="166" fontId="10" fillId="0" borderId="0" xfId="28" applyNumberFormat="1" applyFont="1" applyAlignment="1" applyProtection="1">
      <alignment horizontal="right"/>
    </xf>
    <xf numFmtId="0" fontId="10" fillId="0" borderId="0" xfId="27" applyFont="1" applyAlignment="1" applyProtection="1">
      <alignment vertical="center"/>
    </xf>
    <xf numFmtId="0" fontId="9" fillId="0" borderId="0" xfId="27" applyFont="1" applyAlignment="1" applyProtection="1">
      <alignment vertical="center"/>
    </xf>
    <xf numFmtId="166" fontId="9" fillId="0" borderId="0" xfId="28" applyNumberFormat="1" applyFont="1" applyAlignment="1" applyProtection="1"/>
    <xf numFmtId="166" fontId="10" fillId="0" borderId="0" xfId="28" applyNumberFormat="1" applyFont="1" applyAlignment="1" applyProtection="1"/>
    <xf numFmtId="0" fontId="10" fillId="2" borderId="0" xfId="27" applyFont="1" applyFill="1" applyAlignment="1" applyProtection="1">
      <alignment vertical="center"/>
    </xf>
    <xf numFmtId="166" fontId="10" fillId="2" borderId="0" xfId="28" applyNumberFormat="1" applyFont="1" applyFill="1" applyAlignment="1" applyProtection="1"/>
    <xf numFmtId="0" fontId="10" fillId="0" borderId="0" xfId="27" applyFont="1" applyFill="1" applyAlignment="1" applyProtection="1">
      <alignment vertical="center"/>
    </xf>
    <xf numFmtId="166" fontId="10" fillId="0" borderId="0" xfId="28" applyNumberFormat="1" applyFont="1" applyFill="1" applyAlignment="1" applyProtection="1"/>
    <xf numFmtId="166" fontId="10" fillId="0" borderId="0" xfId="28" applyNumberFormat="1" applyFont="1" applyBorder="1" applyAlignment="1" applyProtection="1"/>
    <xf numFmtId="3" fontId="9" fillId="0" borderId="0" xfId="28" applyNumberFormat="1" applyFont="1" applyAlignment="1" applyProtection="1"/>
    <xf numFmtId="3" fontId="10" fillId="0" borderId="0" xfId="28" applyNumberFormat="1" applyFont="1" applyAlignment="1" applyProtection="1"/>
    <xf numFmtId="3" fontId="10" fillId="2" borderId="0" xfId="28" applyNumberFormat="1" applyFont="1" applyFill="1" applyAlignment="1" applyProtection="1"/>
    <xf numFmtId="3" fontId="10" fillId="0" borderId="0" xfId="27" applyNumberFormat="1" applyFont="1" applyAlignment="1" applyProtection="1">
      <alignment vertical="center"/>
    </xf>
    <xf numFmtId="3" fontId="10" fillId="0" borderId="0" xfId="28" applyNumberFormat="1" applyFont="1" applyFill="1" applyAlignment="1" applyProtection="1"/>
    <xf numFmtId="3" fontId="10" fillId="0" borderId="0" xfId="28" applyNumberFormat="1" applyFont="1" applyBorder="1" applyAlignment="1" applyProtection="1"/>
    <xf numFmtId="3" fontId="9" fillId="0" borderId="0" xfId="27" applyNumberFormat="1" applyFont="1" applyAlignment="1" applyProtection="1">
      <alignment vertical="center"/>
    </xf>
    <xf numFmtId="3" fontId="10" fillId="2" borderId="0" xfId="27" applyNumberFormat="1" applyFont="1" applyFill="1" applyAlignment="1" applyProtection="1">
      <alignment vertical="center"/>
    </xf>
    <xf numFmtId="3" fontId="10" fillId="0" borderId="0" xfId="27" applyNumberFormat="1" applyFont="1" applyFill="1" applyAlignment="1" applyProtection="1">
      <alignment vertical="center"/>
    </xf>
    <xf numFmtId="3" fontId="10" fillId="0" borderId="0" xfId="27" applyNumberFormat="1" applyFont="1" applyBorder="1" applyAlignment="1" applyProtection="1">
      <alignment vertical="center"/>
    </xf>
    <xf numFmtId="0" fontId="9" fillId="0" borderId="0" xfId="27" quotePrefix="1" applyFont="1" applyBorder="1" applyAlignment="1" applyProtection="1">
      <alignment horizontal="left" vertical="center"/>
    </xf>
    <xf numFmtId="0" fontId="9" fillId="0" borderId="0" xfId="27" applyFont="1" applyBorder="1" applyAlignment="1" applyProtection="1">
      <alignment horizontal="left" vertical="center"/>
    </xf>
    <xf numFmtId="0" fontId="8" fillId="0" borderId="0" xfId="27" applyFont="1" applyAlignment="1" applyProtection="1"/>
    <xf numFmtId="0" fontId="8" fillId="0" borderId="0" xfId="27" applyFont="1" applyAlignment="1" applyProtection="1">
      <alignment horizontal="left"/>
    </xf>
    <xf numFmtId="0" fontId="8" fillId="0" borderId="0" xfId="27" quotePrefix="1" applyFont="1" applyAlignment="1" applyProtection="1">
      <alignment horizontal="left"/>
    </xf>
    <xf numFmtId="0" fontId="8" fillId="0" borderId="0" xfId="27" applyNumberFormat="1" applyFont="1" applyAlignment="1" applyProtection="1">
      <alignment horizontal="left"/>
    </xf>
    <xf numFmtId="0" fontId="8" fillId="0" borderId="0" xfId="2" applyFont="1" applyBorder="1" applyAlignment="1" applyProtection="1">
      <alignment vertical="top"/>
    </xf>
    <xf numFmtId="0" fontId="8" fillId="0" borderId="0" xfId="2" applyFont="1" applyAlignment="1" applyProtection="1">
      <alignment vertical="top"/>
    </xf>
    <xf numFmtId="0" fontId="8" fillId="0" borderId="0" xfId="27" applyFont="1" applyAlignment="1" applyProtection="1">
      <alignment vertical="top"/>
    </xf>
    <xf numFmtId="0" fontId="4" fillId="0" borderId="0" xfId="24" applyFont="1" applyAlignment="1" applyProtection="1">
      <alignment vertical="top"/>
    </xf>
    <xf numFmtId="0" fontId="10" fillId="0" borderId="0" xfId="24" applyFont="1" applyBorder="1" applyAlignment="1" applyProtection="1">
      <alignment horizontal="right" vertical="top"/>
    </xf>
    <xf numFmtId="0" fontId="10" fillId="0" borderId="0" xfId="7" applyFont="1" applyBorder="1" applyAlignment="1" applyProtection="1">
      <alignment horizontal="right" vertical="top"/>
    </xf>
    <xf numFmtId="0" fontId="4" fillId="0" borderId="0" xfId="7" applyFont="1" applyAlignment="1" applyProtection="1">
      <alignment vertical="top"/>
    </xf>
    <xf numFmtId="0" fontId="3" fillId="0" borderId="0" xfId="23" applyFont="1" applyBorder="1" applyAlignment="1" applyProtection="1"/>
    <xf numFmtId="0" fontId="15" fillId="0" borderId="1" xfId="24" applyFont="1" applyBorder="1" applyAlignment="1" applyProtection="1">
      <alignment vertical="center"/>
    </xf>
    <xf numFmtId="0" fontId="15" fillId="0" borderId="1" xfId="7" applyFont="1" applyBorder="1" applyAlignment="1" applyProtection="1">
      <alignment vertical="center"/>
    </xf>
    <xf numFmtId="0" fontId="15" fillId="0" borderId="0" xfId="24" applyFont="1" applyAlignment="1" applyProtection="1">
      <alignment vertical="center"/>
    </xf>
    <xf numFmtId="0" fontId="15" fillId="0" borderId="0" xfId="24" applyFont="1" applyBorder="1" applyAlignment="1" applyProtection="1">
      <alignment vertical="center"/>
    </xf>
    <xf numFmtId="0" fontId="15" fillId="0" borderId="0" xfId="7" applyFont="1" applyAlignment="1" applyProtection="1">
      <alignment vertical="center"/>
    </xf>
    <xf numFmtId="0" fontId="8" fillId="0" borderId="0" xfId="24" applyNumberFormat="1" applyFont="1" applyBorder="1" applyAlignment="1" applyProtection="1">
      <alignment vertical="center"/>
    </xf>
    <xf numFmtId="0" fontId="8" fillId="0" borderId="0" xfId="24" applyFont="1" applyProtection="1"/>
    <xf numFmtId="0" fontId="8" fillId="0" borderId="0" xfId="7" applyFont="1" applyProtection="1"/>
    <xf numFmtId="0" fontId="8" fillId="0" borderId="0" xfId="23" applyFont="1" applyProtection="1"/>
    <xf numFmtId="0" fontId="8" fillId="0" borderId="0" xfId="24" applyFont="1" applyAlignment="1" applyProtection="1">
      <alignment horizontal="right" vertical="center"/>
    </xf>
    <xf numFmtId="0" fontId="15" fillId="0" borderId="1" xfId="24" applyFont="1" applyBorder="1" applyProtection="1"/>
    <xf numFmtId="0" fontId="15" fillId="0" borderId="1" xfId="23" applyFont="1" applyBorder="1" applyAlignment="1" applyProtection="1">
      <alignment vertical="center"/>
    </xf>
    <xf numFmtId="165" fontId="3" fillId="0" borderId="0" xfId="24" applyNumberFormat="1" applyFont="1" applyAlignment="1" applyProtection="1">
      <alignment horizontal="right"/>
    </xf>
    <xf numFmtId="0" fontId="15" fillId="0" borderId="0" xfId="23" applyFont="1" applyAlignment="1" applyProtection="1">
      <alignment vertical="center"/>
    </xf>
    <xf numFmtId="0" fontId="9" fillId="0" borderId="0" xfId="24" applyFont="1" applyBorder="1" applyAlignment="1" applyProtection="1">
      <alignment vertical="center"/>
    </xf>
    <xf numFmtId="165" fontId="9" fillId="0" borderId="0" xfId="24" applyNumberFormat="1" applyFont="1" applyAlignment="1" applyProtection="1">
      <alignment horizontal="right" vertical="center"/>
    </xf>
    <xf numFmtId="165" fontId="9" fillId="0" borderId="0" xfId="7" applyNumberFormat="1" applyFont="1" applyAlignment="1" applyProtection="1">
      <alignment horizontal="right" vertical="center"/>
    </xf>
    <xf numFmtId="165" fontId="9" fillId="0" borderId="0" xfId="23" applyNumberFormat="1" applyFont="1" applyAlignment="1" applyProtection="1">
      <alignment horizontal="right" vertical="center"/>
    </xf>
    <xf numFmtId="0" fontId="9" fillId="0" borderId="0" xfId="24" applyFont="1" applyAlignment="1" applyProtection="1">
      <alignment vertical="center"/>
    </xf>
    <xf numFmtId="165" fontId="9" fillId="0" borderId="0" xfId="24" applyNumberFormat="1" applyFont="1" applyAlignment="1" applyProtection="1">
      <alignment vertical="center"/>
    </xf>
    <xf numFmtId="0" fontId="10" fillId="0" borderId="0" xfId="24" applyFont="1" applyAlignment="1" applyProtection="1">
      <alignment horizontal="right" vertical="center"/>
    </xf>
    <xf numFmtId="0" fontId="8" fillId="0" borderId="0" xfId="7" applyFont="1" applyAlignment="1" applyProtection="1">
      <alignment vertical="center"/>
    </xf>
    <xf numFmtId="0" fontId="23" fillId="0" borderId="0" xfId="24" applyFont="1" applyAlignment="1" applyProtection="1">
      <alignment vertical="center"/>
    </xf>
    <xf numFmtId="0" fontId="10" fillId="0" borderId="0" xfId="24" quotePrefix="1" applyFont="1" applyBorder="1" applyAlignment="1" applyProtection="1">
      <alignment horizontal="right" vertical="top"/>
    </xf>
    <xf numFmtId="0" fontId="15" fillId="0" borderId="1" xfId="24" applyFont="1" applyBorder="1" applyAlignment="1" applyProtection="1">
      <alignment horizontal="right"/>
    </xf>
    <xf numFmtId="0" fontId="15" fillId="0" borderId="0" xfId="24" applyFont="1" applyProtection="1"/>
    <xf numFmtId="0" fontId="15" fillId="0" borderId="0" xfId="24" applyFont="1" applyAlignment="1" applyProtection="1">
      <alignment horizontal="right"/>
    </xf>
    <xf numFmtId="0" fontId="9" fillId="0" borderId="0" xfId="24" applyFont="1" applyAlignment="1" applyProtection="1">
      <alignment horizontal="left" vertical="center"/>
    </xf>
    <xf numFmtId="166" fontId="9" fillId="0" borderId="0" xfId="24" applyNumberFormat="1" applyFont="1" applyAlignment="1" applyProtection="1">
      <alignment horizontal="right" vertical="center"/>
    </xf>
    <xf numFmtId="3" fontId="9" fillId="0" borderId="0" xfId="24" applyNumberFormat="1" applyFont="1" applyAlignment="1" applyProtection="1">
      <alignment horizontal="left" vertical="center"/>
    </xf>
    <xf numFmtId="0" fontId="10" fillId="0" borderId="0" xfId="24" applyFont="1" applyAlignment="1" applyProtection="1"/>
    <xf numFmtId="0" fontId="10" fillId="2" borderId="0" xfId="24" applyFont="1" applyFill="1" applyAlignment="1" applyProtection="1"/>
    <xf numFmtId="3" fontId="9" fillId="0" borderId="0" xfId="24" applyNumberFormat="1" applyFont="1" applyFill="1" applyAlignment="1" applyProtection="1">
      <alignment horizontal="right" vertical="center"/>
    </xf>
    <xf numFmtId="3" fontId="10" fillId="0" borderId="0" xfId="24" applyNumberFormat="1" applyFont="1" applyFill="1" applyAlignment="1" applyProtection="1">
      <alignment vertical="center"/>
    </xf>
    <xf numFmtId="0" fontId="4" fillId="0" borderId="0" xfId="24" applyFont="1" applyBorder="1" applyAlignment="1" applyProtection="1">
      <alignment vertical="center"/>
    </xf>
    <xf numFmtId="3" fontId="4" fillId="0" borderId="0" xfId="24" applyNumberFormat="1" applyFont="1" applyAlignment="1" applyProtection="1">
      <alignment vertical="center"/>
    </xf>
    <xf numFmtId="0" fontId="4" fillId="0" borderId="0" xfId="24" applyFont="1" applyAlignment="1" applyProtection="1">
      <alignment vertical="center"/>
    </xf>
    <xf numFmtId="0" fontId="4" fillId="0" borderId="0" xfId="7" applyFont="1" applyBorder="1" applyAlignment="1" applyProtection="1">
      <alignment vertical="center"/>
    </xf>
    <xf numFmtId="3" fontId="4" fillId="0" borderId="0" xfId="7" applyNumberFormat="1" applyFont="1" applyAlignment="1" applyProtection="1">
      <alignment vertical="center"/>
    </xf>
    <xf numFmtId="0" fontId="4" fillId="0" borderId="0" xfId="7" applyFont="1" applyAlignment="1" applyProtection="1">
      <alignment vertical="center"/>
    </xf>
    <xf numFmtId="0" fontId="9" fillId="0" borderId="0" xfId="7" applyFont="1" applyAlignment="1" applyProtection="1">
      <alignment horizontal="left" vertical="center"/>
    </xf>
    <xf numFmtId="3" fontId="9" fillId="0" borderId="0" xfId="7" applyNumberFormat="1" applyFont="1" applyAlignment="1" applyProtection="1">
      <alignment horizontal="left" vertical="center"/>
    </xf>
    <xf numFmtId="166" fontId="9" fillId="0" borderId="0" xfId="7" applyNumberFormat="1" applyFont="1" applyAlignment="1" applyProtection="1">
      <alignment horizontal="right" vertical="center"/>
    </xf>
    <xf numFmtId="0" fontId="9" fillId="0" borderId="0" xfId="7" applyFont="1" applyAlignment="1" applyProtection="1">
      <alignment vertical="center"/>
    </xf>
    <xf numFmtId="0" fontId="15" fillId="0" borderId="0" xfId="24" applyProtection="1"/>
    <xf numFmtId="173" fontId="9" fillId="0" borderId="0" xfId="21" applyNumberFormat="1" applyFont="1" applyAlignment="1" applyProtection="1">
      <alignment horizontal="right" vertical="center"/>
    </xf>
    <xf numFmtId="173" fontId="10" fillId="0" borderId="0" xfId="21" applyNumberFormat="1" applyFont="1" applyAlignment="1" applyProtection="1">
      <alignment horizontal="right" vertical="center"/>
    </xf>
    <xf numFmtId="173" fontId="10" fillId="0" borderId="0" xfId="21" applyNumberFormat="1" applyFont="1" applyFill="1" applyAlignment="1" applyProtection="1">
      <alignment horizontal="right" vertical="center"/>
    </xf>
    <xf numFmtId="173" fontId="10" fillId="2" borderId="0" xfId="21" applyNumberFormat="1" applyFont="1" applyFill="1" applyAlignment="1" applyProtection="1">
      <alignment horizontal="right" vertical="center"/>
    </xf>
    <xf numFmtId="0" fontId="10" fillId="0" borderId="0" xfId="21" applyFont="1" applyBorder="1" applyAlignment="1" applyProtection="1">
      <alignment horizontal="right" vertical="center"/>
    </xf>
    <xf numFmtId="173" fontId="9" fillId="0" borderId="0" xfId="20" applyNumberFormat="1" applyFont="1" applyAlignment="1" applyProtection="1">
      <alignment horizontal="right" vertical="center"/>
    </xf>
    <xf numFmtId="173" fontId="10" fillId="0" borderId="0" xfId="20" applyNumberFormat="1" applyFont="1" applyAlignment="1" applyProtection="1">
      <alignment horizontal="right" vertical="center"/>
    </xf>
    <xf numFmtId="173" fontId="10" fillId="2" borderId="0" xfId="20" applyNumberFormat="1" applyFont="1" applyFill="1" applyAlignment="1" applyProtection="1">
      <alignment horizontal="right" vertical="center"/>
    </xf>
    <xf numFmtId="0" fontId="8" fillId="0" borderId="0" xfId="15" applyFont="1" applyAlignment="1" applyProtection="1">
      <alignment horizontal="right" vertical="top"/>
    </xf>
    <xf numFmtId="0" fontId="6" fillId="0" borderId="0" xfId="2" applyFont="1" applyBorder="1" applyAlignment="1" applyProtection="1">
      <alignment horizontal="right" vertical="center"/>
    </xf>
    <xf numFmtId="0" fontId="8" fillId="0" borderId="0" xfId="16" applyFont="1" applyAlignment="1" applyProtection="1">
      <alignment horizontal="right" vertical="top"/>
    </xf>
    <xf numFmtId="0" fontId="8" fillId="0" borderId="0" xfId="9" applyFont="1" applyAlignment="1" applyProtection="1">
      <alignment horizontal="right"/>
    </xf>
    <xf numFmtId="0" fontId="8" fillId="0" borderId="0" xfId="9" applyFont="1" applyAlignment="1" applyProtection="1">
      <alignment horizontal="right" vertical="top" wrapText="1"/>
    </xf>
    <xf numFmtId="0" fontId="8" fillId="0" borderId="0" xfId="9" applyFont="1" applyAlignment="1" applyProtection="1">
      <alignment horizontal="right" vertical="top"/>
    </xf>
    <xf numFmtId="0" fontId="8" fillId="0" borderId="0" xfId="9" applyFont="1" applyBorder="1" applyAlignment="1" applyProtection="1">
      <alignment horizontal="right" vertical="top" wrapText="1"/>
    </xf>
    <xf numFmtId="0" fontId="8" fillId="0" borderId="0" xfId="19" applyFont="1" applyBorder="1" applyAlignment="1" applyProtection="1">
      <alignment vertical="center"/>
    </xf>
    <xf numFmtId="0" fontId="6" fillId="0" borderId="0" xfId="2" applyFont="1" applyBorder="1" applyAlignment="1" applyProtection="1">
      <alignment horizontal="right" vertical="top"/>
    </xf>
    <xf numFmtId="0" fontId="8" fillId="0" borderId="0" xfId="21" applyFont="1" applyBorder="1" applyAlignment="1" applyProtection="1">
      <alignment vertical="center"/>
    </xf>
    <xf numFmtId="0" fontId="8" fillId="0" borderId="0" xfId="21" applyFont="1" applyAlignment="1" applyProtection="1">
      <alignment horizontal="right" vertical="top"/>
    </xf>
    <xf numFmtId="0" fontId="8" fillId="0" borderId="0" xfId="21" applyFont="1" applyAlignment="1" applyProtection="1">
      <alignment horizontal="right"/>
    </xf>
    <xf numFmtId="0" fontId="8" fillId="0" borderId="0" xfId="9" applyFont="1" applyBorder="1" applyAlignment="1" applyProtection="1">
      <alignment vertical="center"/>
    </xf>
    <xf numFmtId="0" fontId="8" fillId="0" borderId="0" xfId="9" applyFont="1" applyBorder="1" applyAlignment="1" applyProtection="1">
      <alignment horizontal="right" vertical="center"/>
    </xf>
    <xf numFmtId="0" fontId="8" fillId="0" borderId="0" xfId="24" applyFont="1" applyBorder="1" applyAlignment="1" applyProtection="1">
      <alignment horizontal="right" vertical="center"/>
    </xf>
    <xf numFmtId="0" fontId="8" fillId="0" borderId="0" xfId="24" applyFont="1" applyAlignment="1" applyProtection="1">
      <alignment horizontal="right"/>
    </xf>
    <xf numFmtId="0" fontId="6" fillId="0" borderId="0" xfId="12" applyFont="1" applyBorder="1" applyAlignment="1" applyProtection="1">
      <alignment horizontal="right" vertical="top"/>
    </xf>
    <xf numFmtId="0" fontId="8" fillId="0" borderId="0" xfId="8" applyFont="1" applyBorder="1" applyAlignment="1" applyProtection="1">
      <alignment horizontal="right" vertical="top"/>
    </xf>
    <xf numFmtId="0" fontId="8" fillId="0" borderId="0" xfId="8" applyFont="1" applyBorder="1" applyAlignment="1" applyProtection="1">
      <alignment horizontal="right"/>
    </xf>
    <xf numFmtId="0" fontId="8" fillId="0" borderId="0" xfId="14" applyFont="1" applyBorder="1" applyAlignment="1" applyProtection="1">
      <alignment horizontal="right" vertical="top" wrapText="1"/>
    </xf>
    <xf numFmtId="0" fontId="8" fillId="0" borderId="0" xfId="14" applyFont="1" applyBorder="1" applyAlignment="1" applyProtection="1">
      <alignment horizontal="right" vertical="center" wrapText="1"/>
    </xf>
    <xf numFmtId="0" fontId="8" fillId="0" borderId="0" xfId="14" applyFont="1" applyAlignment="1" applyProtection="1">
      <alignment horizontal="right" vertical="top"/>
    </xf>
    <xf numFmtId="0" fontId="8" fillId="0" borderId="0" xfId="1" applyFont="1" applyFill="1" applyAlignment="1" applyProtection="1">
      <alignment horizontal="right"/>
    </xf>
    <xf numFmtId="3" fontId="15" fillId="0" borderId="0" xfId="21" applyNumberFormat="1" applyFont="1" applyBorder="1" applyProtection="1"/>
    <xf numFmtId="173" fontId="15" fillId="0" borderId="0" xfId="21" applyNumberFormat="1" applyFont="1" applyAlignment="1" applyProtection="1">
      <alignment horizontal="right"/>
    </xf>
    <xf numFmtId="1" fontId="8" fillId="0" borderId="0" xfId="17" applyNumberFormat="1" applyFont="1" applyBorder="1" applyProtection="1"/>
    <xf numFmtId="173" fontId="8" fillId="0" borderId="0" xfId="21" applyNumberFormat="1" applyFont="1" applyAlignment="1" applyProtection="1">
      <alignment horizontal="right" vertical="center"/>
    </xf>
    <xf numFmtId="173" fontId="15" fillId="0" borderId="2" xfId="21" applyNumberFormat="1" applyFont="1" applyBorder="1" applyAlignment="1" applyProtection="1">
      <alignment horizontal="right"/>
    </xf>
    <xf numFmtId="173" fontId="15" fillId="0" borderId="1" xfId="21" applyNumberFormat="1" applyFont="1" applyBorder="1" applyAlignment="1" applyProtection="1">
      <alignment vertical="center"/>
    </xf>
    <xf numFmtId="0" fontId="8" fillId="0" borderId="0" xfId="20" applyFont="1" applyBorder="1" applyAlignment="1" applyProtection="1">
      <alignment horizontal="right" vertical="center"/>
    </xf>
    <xf numFmtId="0" fontId="8" fillId="0" borderId="0" xfId="20" applyFont="1" applyAlignment="1" applyProtection="1">
      <alignment horizontal="right"/>
    </xf>
    <xf numFmtId="173" fontId="8" fillId="0" borderId="0" xfId="20" applyNumberFormat="1" applyFont="1" applyAlignment="1" applyProtection="1">
      <alignment horizontal="right"/>
    </xf>
    <xf numFmtId="173" fontId="10" fillId="0" borderId="0" xfId="20" applyNumberFormat="1" applyFont="1" applyFill="1" applyAlignment="1" applyProtection="1">
      <alignment horizontal="right" vertical="center"/>
    </xf>
    <xf numFmtId="0" fontId="10" fillId="0" borderId="0" xfId="20" applyFont="1" applyFill="1" applyAlignment="1" applyProtection="1">
      <alignment vertical="center"/>
    </xf>
    <xf numFmtId="173" fontId="9" fillId="0" borderId="0" xfId="21" applyNumberFormat="1" applyFont="1" applyAlignment="1" applyProtection="1">
      <alignment horizontal="left" vertical="center"/>
    </xf>
    <xf numFmtId="3" fontId="10" fillId="0" borderId="0" xfId="21" applyNumberFormat="1" applyFont="1" applyBorder="1" applyAlignment="1" applyProtection="1">
      <alignment vertical="center"/>
    </xf>
    <xf numFmtId="0" fontId="8" fillId="0" borderId="0" xfId="21" applyFont="1" applyBorder="1" applyAlignment="1" applyProtection="1">
      <alignment horizontal="right" vertical="center"/>
    </xf>
    <xf numFmtId="0" fontId="3" fillId="0" borderId="0" xfId="21" applyNumberFormat="1" applyFont="1" applyBorder="1" applyAlignment="1" applyProtection="1"/>
    <xf numFmtId="0" fontId="8" fillId="0" borderId="0" xfId="15" applyNumberFormat="1" applyFont="1" applyBorder="1" applyAlignment="1" applyProtection="1">
      <alignment vertical="center" wrapText="1"/>
    </xf>
    <xf numFmtId="166" fontId="8" fillId="0" borderId="0" xfId="15" applyNumberFormat="1" applyFont="1" applyAlignment="1" applyProtection="1">
      <alignment horizontal="right" vertical="top" wrapText="1"/>
    </xf>
    <xf numFmtId="166" fontId="8" fillId="0" borderId="0" xfId="15" applyNumberFormat="1" applyFont="1" applyAlignment="1" applyProtection="1">
      <alignment horizontal="right" vertical="top"/>
    </xf>
    <xf numFmtId="0" fontId="8" fillId="0" borderId="0" xfId="15" applyFont="1" applyAlignment="1" applyProtection="1">
      <alignment horizontal="right" vertical="top" wrapText="1"/>
    </xf>
    <xf numFmtId="0" fontId="8" fillId="0" borderId="0" xfId="15" applyFont="1" applyAlignment="1" applyProtection="1">
      <alignment horizontal="right" vertical="top"/>
    </xf>
    <xf numFmtId="0" fontId="8" fillId="0" borderId="2" xfId="15" applyFont="1" applyBorder="1" applyAlignment="1" applyProtection="1">
      <alignment horizontal="right" vertical="top" wrapText="1"/>
    </xf>
    <xf numFmtId="0" fontId="8" fillId="0" borderId="0" xfId="15" applyFont="1" applyBorder="1" applyAlignment="1" applyProtection="1">
      <alignment horizontal="right" vertical="top"/>
    </xf>
    <xf numFmtId="0" fontId="8" fillId="0" borderId="0" xfId="21" applyNumberFormat="1" applyFont="1" applyBorder="1" applyAlignment="1" applyProtection="1">
      <alignment vertical="center" wrapText="1"/>
    </xf>
    <xf numFmtId="0" fontId="8" fillId="0" borderId="0" xfId="21" applyFont="1" applyBorder="1" applyAlignment="1" applyProtection="1">
      <alignment vertical="center"/>
    </xf>
    <xf numFmtId="0" fontId="8" fillId="0" borderId="0" xfId="21" applyFont="1" applyBorder="1" applyAlignment="1" applyProtection="1">
      <alignment horizontal="right" vertical="center" wrapText="1"/>
    </xf>
    <xf numFmtId="0" fontId="8" fillId="0" borderId="0" xfId="21" applyFont="1" applyBorder="1" applyAlignment="1" applyProtection="1">
      <alignment horizontal="right" vertical="center"/>
    </xf>
    <xf numFmtId="0" fontId="6" fillId="0" borderId="0" xfId="2" applyFont="1" applyBorder="1" applyAlignment="1" applyProtection="1">
      <alignment horizontal="right" vertical="center"/>
    </xf>
    <xf numFmtId="0" fontId="8" fillId="0" borderId="0" xfId="16" applyNumberFormat="1" applyFont="1" applyBorder="1" applyAlignment="1" applyProtection="1">
      <alignment vertical="center" wrapText="1"/>
    </xf>
    <xf numFmtId="0" fontId="8" fillId="0" borderId="0" xfId="16" applyFont="1" applyBorder="1" applyAlignment="1" applyProtection="1">
      <alignment vertical="center"/>
    </xf>
    <xf numFmtId="0" fontId="8" fillId="0" borderId="0" xfId="16" applyNumberFormat="1" applyFont="1" applyAlignment="1" applyProtection="1">
      <alignment horizontal="right" vertical="top"/>
    </xf>
    <xf numFmtId="0" fontId="2" fillId="0" borderId="0" xfId="16" applyFont="1" applyAlignment="1" applyProtection="1">
      <alignment horizontal="right"/>
    </xf>
    <xf numFmtId="0" fontId="8" fillId="0" borderId="0" xfId="16" applyFont="1" applyAlignment="1" applyProtection="1">
      <alignment horizontal="right" vertical="top" wrapText="1"/>
    </xf>
    <xf numFmtId="0" fontId="8" fillId="0" borderId="0" xfId="16" applyFont="1" applyAlignment="1" applyProtection="1">
      <alignment horizontal="right" vertical="top"/>
    </xf>
    <xf numFmtId="0" fontId="8" fillId="0" borderId="0" xfId="16" applyNumberFormat="1" applyFont="1" applyAlignment="1" applyProtection="1">
      <alignment horizontal="right" vertical="top" wrapText="1"/>
    </xf>
    <xf numFmtId="0" fontId="8" fillId="0" borderId="0" xfId="9" applyFont="1" applyAlignment="1" applyProtection="1">
      <alignment horizontal="right" wrapText="1"/>
    </xf>
    <xf numFmtId="0" fontId="8" fillId="0" borderId="0" xfId="9" applyFont="1" applyAlignment="1" applyProtection="1">
      <alignment horizontal="right"/>
    </xf>
    <xf numFmtId="0" fontId="8" fillId="0" borderId="0" xfId="9" applyNumberFormat="1" applyFont="1" applyBorder="1" applyAlignment="1" applyProtection="1">
      <alignment vertical="center" wrapText="1"/>
    </xf>
    <xf numFmtId="0" fontId="8" fillId="0" borderId="0" xfId="9" applyFont="1" applyBorder="1" applyAlignment="1" applyProtection="1">
      <alignment vertical="center" wrapText="1"/>
    </xf>
    <xf numFmtId="0" fontId="2" fillId="0" borderId="0" xfId="9" applyFont="1" applyAlignment="1" applyProtection="1"/>
    <xf numFmtId="0" fontId="8" fillId="0" borderId="0" xfId="9" applyFont="1" applyAlignment="1" applyProtection="1">
      <alignment horizontal="right" vertical="top" wrapText="1"/>
    </xf>
    <xf numFmtId="0" fontId="8" fillId="0" borderId="0" xfId="9" applyFont="1" applyAlignment="1" applyProtection="1">
      <alignment horizontal="right" vertical="top"/>
    </xf>
    <xf numFmtId="0" fontId="8" fillId="0" borderId="0" xfId="9" applyFont="1" applyBorder="1" applyAlignment="1" applyProtection="1">
      <alignment horizontal="right" vertical="top" wrapText="1"/>
    </xf>
    <xf numFmtId="0" fontId="8" fillId="0" borderId="2" xfId="9" applyFont="1" applyBorder="1" applyAlignment="1" applyProtection="1">
      <alignment horizontal="right" wrapText="1"/>
    </xf>
    <xf numFmtId="0" fontId="8" fillId="0" borderId="0" xfId="19" applyFont="1" applyAlignment="1" applyProtection="1">
      <alignment horizontal="right" vertical="top" wrapText="1"/>
    </xf>
    <xf numFmtId="0" fontId="8" fillId="0" borderId="0" xfId="19" applyFont="1" applyBorder="1" applyAlignment="1" applyProtection="1">
      <alignment vertical="center" wrapText="1"/>
    </xf>
    <xf numFmtId="0" fontId="8" fillId="0" borderId="0" xfId="19" applyFont="1" applyBorder="1" applyAlignment="1" applyProtection="1">
      <alignment vertical="center"/>
    </xf>
    <xf numFmtId="0" fontId="8" fillId="0" borderId="0" xfId="19" applyFont="1" applyAlignment="1" applyProtection="1">
      <alignment horizontal="right" vertical="top"/>
    </xf>
    <xf numFmtId="0" fontId="6" fillId="0" borderId="0" xfId="2" applyFont="1" applyBorder="1" applyAlignment="1" applyProtection="1">
      <alignment horizontal="right" vertical="top"/>
    </xf>
    <xf numFmtId="0" fontId="8" fillId="0" borderId="0" xfId="21" applyFont="1" applyAlignment="1" applyProtection="1">
      <alignment horizontal="right" vertical="top" wrapText="1"/>
    </xf>
    <xf numFmtId="0" fontId="8" fillId="0" borderId="0" xfId="21" applyFont="1" applyAlignment="1" applyProtection="1">
      <alignment horizontal="right" vertical="top"/>
    </xf>
    <xf numFmtId="0" fontId="30" fillId="0" borderId="0" xfId="21" applyFont="1" applyFill="1" applyAlignment="1" applyProtection="1">
      <alignment horizontal="left" vertical="center" wrapText="1"/>
    </xf>
    <xf numFmtId="0" fontId="30" fillId="0" borderId="0" xfId="21" applyFont="1" applyFill="1" applyAlignment="1" applyProtection="1">
      <alignment horizontal="left" vertical="center"/>
    </xf>
    <xf numFmtId="0" fontId="8" fillId="0" borderId="0" xfId="21" applyNumberFormat="1" applyFont="1" applyAlignment="1" applyProtection="1">
      <alignment horizontal="center" vertical="center" wrapText="1"/>
    </xf>
    <xf numFmtId="0" fontId="8" fillId="0" borderId="0" xfId="21" applyFont="1" applyAlignment="1" applyProtection="1">
      <alignment horizontal="center" vertical="center" wrapText="1"/>
    </xf>
    <xf numFmtId="0" fontId="8" fillId="0" borderId="1" xfId="21" applyFont="1" applyBorder="1" applyAlignment="1" applyProtection="1">
      <alignment horizontal="center" vertical="center" wrapText="1"/>
    </xf>
    <xf numFmtId="0" fontId="8" fillId="0" borderId="0" xfId="21" applyFont="1" applyBorder="1" applyAlignment="1" applyProtection="1">
      <alignment vertical="center" wrapText="1"/>
    </xf>
    <xf numFmtId="0" fontId="8" fillId="0" borderId="2" xfId="21" applyFont="1" applyBorder="1" applyAlignment="1" applyProtection="1">
      <alignment horizontal="right" wrapText="1"/>
    </xf>
    <xf numFmtId="0" fontId="8" fillId="0" borderId="0" xfId="21" applyFont="1" applyAlignment="1" applyProtection="1">
      <alignment horizontal="right"/>
    </xf>
    <xf numFmtId="0" fontId="8" fillId="0" borderId="0" xfId="21" applyFont="1" applyAlignment="1" applyProtection="1">
      <alignment horizontal="right" wrapText="1"/>
    </xf>
    <xf numFmtId="0" fontId="2" fillId="0" borderId="0" xfId="21" applyFont="1" applyAlignment="1" applyProtection="1"/>
    <xf numFmtId="0" fontId="8" fillId="0" borderId="0" xfId="9" applyFont="1" applyBorder="1" applyAlignment="1" applyProtection="1">
      <alignment vertical="center"/>
    </xf>
    <xf numFmtId="0" fontId="8" fillId="0" borderId="0" xfId="9" applyNumberFormat="1" applyFont="1" applyBorder="1" applyAlignment="1" applyProtection="1">
      <alignment horizontal="left" vertical="center" wrapText="1"/>
    </xf>
    <xf numFmtId="0" fontId="8" fillId="0" borderId="0" xfId="9" applyFont="1" applyBorder="1" applyAlignment="1" applyProtection="1">
      <alignment horizontal="left" vertical="center" wrapText="1"/>
    </xf>
    <xf numFmtId="0" fontId="8" fillId="0" borderId="2" xfId="9" applyFont="1" applyBorder="1" applyAlignment="1" applyProtection="1">
      <alignment horizontal="right" vertical="top" wrapText="1"/>
    </xf>
    <xf numFmtId="0" fontId="8" fillId="0" borderId="1" xfId="9" applyFont="1" applyBorder="1" applyAlignment="1" applyProtection="1">
      <alignment horizontal="center"/>
    </xf>
    <xf numFmtId="0" fontId="8" fillId="0" borderId="0" xfId="9" applyFont="1" applyBorder="1" applyAlignment="1" applyProtection="1">
      <alignment horizontal="right" vertical="center" wrapText="1"/>
    </xf>
    <xf numFmtId="0" fontId="8" fillId="0" borderId="0" xfId="9" applyFont="1" applyBorder="1" applyAlignment="1" applyProtection="1">
      <alignment horizontal="right" vertical="center"/>
    </xf>
    <xf numFmtId="0" fontId="8" fillId="0" borderId="0" xfId="24" applyNumberFormat="1" applyFont="1" applyBorder="1" applyAlignment="1" applyProtection="1">
      <alignment vertical="center" wrapText="1"/>
    </xf>
    <xf numFmtId="0" fontId="8" fillId="0" borderId="0" xfId="24" applyFont="1" applyBorder="1" applyAlignment="1" applyProtection="1">
      <alignment vertical="center" wrapText="1"/>
    </xf>
    <xf numFmtId="0" fontId="8" fillId="0" borderId="0" xfId="24" applyFont="1" applyBorder="1" applyAlignment="1" applyProtection="1">
      <alignment horizontal="right" vertical="center" wrapText="1"/>
    </xf>
    <xf numFmtId="0" fontId="8" fillId="0" borderId="0" xfId="24" applyFont="1" applyBorder="1" applyAlignment="1" applyProtection="1">
      <alignment horizontal="right" vertical="center"/>
    </xf>
    <xf numFmtId="0" fontId="8" fillId="0" borderId="0" xfId="24" quotePrefix="1" applyFont="1" applyBorder="1" applyAlignment="1" applyProtection="1">
      <alignment horizontal="right" vertical="center"/>
    </xf>
    <xf numFmtId="0" fontId="8" fillId="0" borderId="0" xfId="24" applyFont="1" applyAlignment="1" applyProtection="1">
      <alignment horizontal="right" wrapText="1"/>
    </xf>
    <xf numFmtId="0" fontId="8" fillId="0" borderId="0" xfId="24" applyFont="1" applyAlignment="1" applyProtection="1">
      <alignment horizontal="right"/>
    </xf>
    <xf numFmtId="0" fontId="6" fillId="0" borderId="0" xfId="12" applyFont="1" applyBorder="1" applyAlignment="1" applyProtection="1">
      <alignment horizontal="right" vertical="top"/>
    </xf>
    <xf numFmtId="0" fontId="8" fillId="0" borderId="2" xfId="8" applyFont="1" applyBorder="1" applyAlignment="1" applyProtection="1">
      <alignment horizontal="right" vertical="top" wrapText="1"/>
    </xf>
    <xf numFmtId="0" fontId="8" fillId="0" borderId="0" xfId="8" applyFont="1" applyBorder="1" applyAlignment="1" applyProtection="1">
      <alignment horizontal="right" vertical="top" wrapText="1"/>
    </xf>
    <xf numFmtId="0" fontId="8" fillId="0" borderId="0" xfId="8" applyNumberFormat="1" applyFont="1" applyBorder="1" applyAlignment="1" applyProtection="1">
      <alignment horizontal="left" vertical="center" wrapText="1"/>
    </xf>
    <xf numFmtId="0" fontId="8" fillId="0" borderId="2" xfId="8" applyFont="1" applyBorder="1" applyAlignment="1" applyProtection="1">
      <alignment horizontal="right" vertical="top"/>
    </xf>
    <xf numFmtId="0" fontId="8" fillId="0" borderId="0" xfId="8" applyFont="1" applyAlignment="1" applyProtection="1">
      <alignment horizontal="right" vertical="top"/>
    </xf>
    <xf numFmtId="0" fontId="8" fillId="0" borderId="0" xfId="8" applyFont="1" applyBorder="1" applyAlignment="1" applyProtection="1">
      <alignment horizontal="right" vertical="top"/>
    </xf>
    <xf numFmtId="0" fontId="8" fillId="0" borderId="0" xfId="8" applyFont="1" applyBorder="1" applyAlignment="1" applyProtection="1">
      <alignment horizontal="right" wrapText="1"/>
    </xf>
    <xf numFmtId="0" fontId="8" fillId="0" borderId="0" xfId="8" applyFont="1" applyBorder="1" applyAlignment="1" applyProtection="1">
      <alignment horizontal="right"/>
    </xf>
    <xf numFmtId="0" fontId="8" fillId="0" borderId="0" xfId="8" applyFont="1" applyAlignment="1" applyProtection="1">
      <alignment horizontal="right" vertical="top" wrapText="1"/>
    </xf>
    <xf numFmtId="0" fontId="8" fillId="0" borderId="0" xfId="14" applyNumberFormat="1" applyFont="1" applyBorder="1" applyAlignment="1" applyProtection="1">
      <alignment vertical="center" wrapText="1"/>
    </xf>
    <xf numFmtId="0" fontId="8" fillId="0" borderId="0" xfId="14" applyFont="1" applyBorder="1" applyAlignment="1" applyProtection="1">
      <alignment vertical="center" wrapText="1"/>
    </xf>
    <xf numFmtId="0" fontId="8" fillId="0" borderId="0" xfId="14" applyFont="1" applyBorder="1" applyAlignment="1" applyProtection="1">
      <alignment horizontal="right" vertical="top" wrapText="1"/>
    </xf>
    <xf numFmtId="0" fontId="8" fillId="0" borderId="0" xfId="14" applyFont="1" applyBorder="1" applyAlignment="1" applyProtection="1">
      <alignment horizontal="right" vertical="top"/>
    </xf>
    <xf numFmtId="0" fontId="8" fillId="0" borderId="0" xfId="14" applyFont="1" applyBorder="1" applyAlignment="1" applyProtection="1">
      <alignment horizontal="right" vertical="center" wrapText="1"/>
    </xf>
    <xf numFmtId="0" fontId="8" fillId="0" borderId="2" xfId="14" applyFont="1" applyBorder="1" applyAlignment="1" applyProtection="1">
      <alignment horizontal="right" vertical="top" wrapText="1"/>
    </xf>
    <xf numFmtId="0" fontId="8" fillId="0" borderId="0" xfId="14" applyFont="1" applyAlignment="1" applyProtection="1">
      <alignment horizontal="right" vertical="top"/>
    </xf>
    <xf numFmtId="0" fontId="6" fillId="0" borderId="0" xfId="2" applyFont="1" applyAlignment="1" applyProtection="1">
      <alignment horizontal="right"/>
    </xf>
    <xf numFmtId="0" fontId="8" fillId="0" borderId="2" xfId="1" applyFont="1" applyFill="1" applyBorder="1" applyAlignment="1" applyProtection="1">
      <alignment horizontal="center"/>
    </xf>
    <xf numFmtId="0" fontId="8" fillId="0" borderId="1" xfId="1" applyFont="1" applyFill="1" applyBorder="1" applyAlignment="1" applyProtection="1">
      <alignment horizontal="center"/>
    </xf>
    <xf numFmtId="0" fontId="8" fillId="0" borderId="0" xfId="1" applyNumberFormat="1" applyFont="1" applyFill="1" applyBorder="1" applyAlignment="1" applyProtection="1">
      <alignment vertical="center" wrapText="1"/>
    </xf>
    <xf numFmtId="0" fontId="8" fillId="0" borderId="0" xfId="1" applyFont="1" applyFill="1" applyBorder="1" applyAlignment="1" applyProtection="1">
      <alignment vertical="center" wrapText="1"/>
    </xf>
    <xf numFmtId="0" fontId="8" fillId="0" borderId="0" xfId="1" applyFont="1" applyFill="1" applyAlignment="1" applyProtection="1">
      <alignment horizontal="right" wrapText="1"/>
    </xf>
    <xf numFmtId="0" fontId="8" fillId="0" borderId="0" xfId="1" applyFont="1" applyFill="1" applyAlignment="1" applyProtection="1">
      <alignment horizontal="right"/>
    </xf>
    <xf numFmtId="0" fontId="8" fillId="0" borderId="3" xfId="1" applyFont="1" applyFill="1" applyBorder="1" applyAlignment="1" applyProtection="1">
      <alignment horizontal="center" wrapText="1"/>
    </xf>
    <xf numFmtId="0" fontId="8" fillId="0" borderId="2" xfId="1" applyFont="1" applyFill="1" applyBorder="1" applyAlignment="1" applyProtection="1">
      <alignment horizontal="right" vertical="top" wrapText="1"/>
    </xf>
    <xf numFmtId="0" fontId="8" fillId="0" borderId="0" xfId="1" applyFont="1" applyFill="1" applyBorder="1" applyAlignment="1" applyProtection="1">
      <alignment horizontal="right" vertical="top" wrapText="1"/>
    </xf>
  </cellXfs>
  <cellStyles count="29">
    <cellStyle name="          _x000d__x000a_386grabber=VGA.3GR_x000d__x000a_ 2" xfId="22"/>
    <cellStyle name="Euro" xfId="26"/>
    <cellStyle name="Hipervínculo" xfId="2" builtinId="8"/>
    <cellStyle name="Hipervínculo 2 4" xfId="10"/>
    <cellStyle name="Hipervínculo 3 2" xfId="11"/>
    <cellStyle name="Hipervínculo 8" xfId="12"/>
    <cellStyle name="Normal" xfId="0" builtinId="0"/>
    <cellStyle name="Normal 12 4" xfId="20"/>
    <cellStyle name="Normal 2 2" xfId="7"/>
    <cellStyle name="Normal 2 59" xfId="4"/>
    <cellStyle name="Normal 3 2" xfId="9"/>
    <cellStyle name="Normal 3 2 6" xfId="14"/>
    <cellStyle name="Normal 3_C05" xfId="16"/>
    <cellStyle name="Normal 3_serv.sust c5" xfId="19"/>
    <cellStyle name="Normal 4 2 7" xfId="18"/>
    <cellStyle name="Normal 7 2 2" xfId="17"/>
    <cellStyle name="Normal 8 2" xfId="25"/>
    <cellStyle name="Normal 9 2 2" xfId="5"/>
    <cellStyle name="Normal 9 5" xfId="15"/>
    <cellStyle name="Normal_1 (2)" xfId="28"/>
    <cellStyle name="Normal_C02" xfId="24"/>
    <cellStyle name="Normal_C05 2" xfId="1"/>
    <cellStyle name="Normal_CAP02" xfId="23"/>
    <cellStyle name="Normal_CAP06" xfId="3"/>
    <cellStyle name="Normal_conamed" xfId="6"/>
    <cellStyle name="Normal_prueba (2)" xfId="27"/>
    <cellStyle name="Normal_Salud 2" xfId="8"/>
    <cellStyle name="Normal_serv.sust c5 2" xfId="21"/>
    <cellStyle name="Normal_URB7-2001" xfId="13"/>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www.dgis.salud.gob.mx/contenidos/publicaciones/p_bie.html"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11.bin"/><Relationship Id="rId1" Type="http://schemas.openxmlformats.org/officeDocument/2006/relationships/hyperlink" Target="http://www.dgis.salud.gob.mx/contenidos/publicaciones/p_bie.html" TargetMode="External"/></Relationships>
</file>

<file path=xl/worksheets/_rels/sheet12.xml.rels><?xml version="1.0" encoding="UTF-8" standalone="yes"?>
<Relationships xmlns="http://schemas.openxmlformats.org/package/2006/relationships"><Relationship Id="rId3" Type="http://schemas.openxmlformats.org/officeDocument/2006/relationships/printerSettings" Target="../printerSettings/printerSettings12.bin"/><Relationship Id="rId2" Type="http://schemas.openxmlformats.org/officeDocument/2006/relationships/hyperlink" Target="http://www.conapo.gob.mx/es/CONAPO/Proyecciones" TargetMode="External"/><Relationship Id="rId1" Type="http://schemas.openxmlformats.org/officeDocument/2006/relationships/hyperlink" Target="http://www.sinais.salud.gob.mx/publicaciones/bie.html"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printerSettings" Target="../printerSettings/printerSettings20.bin"/><Relationship Id="rId1" Type="http://schemas.openxmlformats.org/officeDocument/2006/relationships/hyperlink" Target="http://www.inegi.org.mx/est/contenidos/proyectos/registros/vitales/mortalidad/default.aspx" TargetMode="External"/></Relationships>
</file>

<file path=xl/worksheets/_rels/sheet21.xml.rels><?xml version="1.0" encoding="UTF-8" standalone="yes"?>
<Relationships xmlns="http://schemas.openxmlformats.org/package/2006/relationships"><Relationship Id="rId2" Type="http://schemas.openxmlformats.org/officeDocument/2006/relationships/printerSettings" Target="../printerSettings/printerSettings21.bin"/><Relationship Id="rId1" Type="http://schemas.openxmlformats.org/officeDocument/2006/relationships/hyperlink" Target="http://www.inegi.org.mx/est/contenidos/proyectos/registros/vitales/mortalidad/default.aspx" TargetMode="External"/></Relationships>
</file>

<file path=xl/worksheets/_rels/sheet22.xml.rels><?xml version="1.0" encoding="UTF-8" standalone="yes"?>
<Relationships xmlns="http://schemas.openxmlformats.org/package/2006/relationships"><Relationship Id="rId2" Type="http://schemas.openxmlformats.org/officeDocument/2006/relationships/printerSettings" Target="../printerSettings/printerSettings22.bin"/><Relationship Id="rId1" Type="http://schemas.openxmlformats.org/officeDocument/2006/relationships/hyperlink" Target="http://www.inegi.org.mx/est/contenidos/proyectos/registros/vitales/mortalidad/default.aspx" TargetMode="External"/></Relationships>
</file>

<file path=xl/worksheets/_rels/sheet23.xml.rels><?xml version="1.0" encoding="UTF-8" standalone="yes"?>
<Relationships xmlns="http://schemas.openxmlformats.org/package/2006/relationships"><Relationship Id="rId2" Type="http://schemas.openxmlformats.org/officeDocument/2006/relationships/printerSettings" Target="../printerSettings/printerSettings23.bin"/><Relationship Id="rId1" Type="http://schemas.openxmlformats.org/officeDocument/2006/relationships/hyperlink" Target="http://www.inegi.org.mx/est/contenidos/proyectos/registros/vitales/mortalidad/default.aspx" TargetMode="External"/></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9"/>
  <sheetViews>
    <sheetView showGridLines="0" showRowColHeaders="0" tabSelected="1" zoomScale="140" zoomScaleNormal="140" workbookViewId="0"/>
  </sheetViews>
  <sheetFormatPr baseColWidth="10" defaultColWidth="0" defaultRowHeight="9" customHeight="1" zeroHeight="1" x14ac:dyDescent="0.15"/>
  <cols>
    <col min="1" max="1" width="5.7109375" style="43" customWidth="1"/>
    <col min="2" max="2" width="70.7109375" style="44" customWidth="1"/>
    <col min="3" max="16384" width="11.42578125" style="45" hidden="1"/>
  </cols>
  <sheetData>
    <row r="1" spans="1:2" x14ac:dyDescent="0.15"/>
    <row r="2" spans="1:2" ht="12.75" x14ac:dyDescent="0.15">
      <c r="A2" s="46" t="s">
        <v>65</v>
      </c>
    </row>
    <row r="3" spans="1:2" x14ac:dyDescent="0.15"/>
    <row r="4" spans="1:2" ht="27" x14ac:dyDescent="0.15">
      <c r="A4" s="47" t="s">
        <v>155</v>
      </c>
      <c r="B4" s="48" t="s">
        <v>182</v>
      </c>
    </row>
    <row r="5" spans="1:2" ht="27" x14ac:dyDescent="0.15">
      <c r="A5" s="47" t="s">
        <v>574</v>
      </c>
      <c r="B5" s="48" t="s">
        <v>582</v>
      </c>
    </row>
    <row r="6" spans="1:2" ht="27" x14ac:dyDescent="0.15">
      <c r="A6" s="47" t="s">
        <v>402</v>
      </c>
      <c r="B6" s="48" t="s">
        <v>411</v>
      </c>
    </row>
    <row r="7" spans="1:2" ht="27" x14ac:dyDescent="0.15">
      <c r="A7" s="47" t="s">
        <v>403</v>
      </c>
      <c r="B7" s="48" t="s">
        <v>412</v>
      </c>
    </row>
    <row r="8" spans="1:2" ht="27" x14ac:dyDescent="0.15">
      <c r="A8" s="47" t="s">
        <v>404</v>
      </c>
      <c r="B8" s="48" t="s">
        <v>413</v>
      </c>
    </row>
    <row r="9" spans="1:2" ht="27" x14ac:dyDescent="0.15">
      <c r="A9" s="47" t="s">
        <v>405</v>
      </c>
      <c r="B9" s="48" t="s">
        <v>414</v>
      </c>
    </row>
    <row r="10" spans="1:2" ht="27" x14ac:dyDescent="0.15">
      <c r="A10" s="47" t="s">
        <v>406</v>
      </c>
      <c r="B10" s="48" t="s">
        <v>415</v>
      </c>
    </row>
    <row r="11" spans="1:2" ht="36" x14ac:dyDescent="0.15">
      <c r="A11" s="47" t="s">
        <v>407</v>
      </c>
      <c r="B11" s="48" t="s">
        <v>416</v>
      </c>
    </row>
    <row r="12" spans="1:2" ht="36" x14ac:dyDescent="0.15">
      <c r="A12" s="47" t="s">
        <v>408</v>
      </c>
      <c r="B12" s="48" t="s">
        <v>417</v>
      </c>
    </row>
    <row r="13" spans="1:2" ht="27" x14ac:dyDescent="0.15">
      <c r="A13" s="47" t="s">
        <v>409</v>
      </c>
      <c r="B13" s="48" t="s">
        <v>418</v>
      </c>
    </row>
    <row r="14" spans="1:2" ht="27" x14ac:dyDescent="0.15">
      <c r="A14" s="47" t="s">
        <v>410</v>
      </c>
      <c r="B14" s="48" t="s">
        <v>419</v>
      </c>
    </row>
    <row r="15" spans="1:2" ht="27" x14ac:dyDescent="0.15">
      <c r="A15" s="47" t="s">
        <v>498</v>
      </c>
      <c r="B15" s="48" t="s">
        <v>505</v>
      </c>
    </row>
    <row r="16" spans="1:2" ht="27" x14ac:dyDescent="0.15">
      <c r="A16" s="47" t="s">
        <v>499</v>
      </c>
      <c r="B16" s="48" t="s">
        <v>506</v>
      </c>
    </row>
    <row r="17" spans="1:2" ht="27" x14ac:dyDescent="0.15">
      <c r="A17" s="47" t="s">
        <v>500</v>
      </c>
      <c r="B17" s="48" t="s">
        <v>507</v>
      </c>
    </row>
    <row r="18" spans="1:2" ht="36" x14ac:dyDescent="0.15">
      <c r="A18" s="47" t="s">
        <v>501</v>
      </c>
      <c r="B18" s="48" t="s">
        <v>508</v>
      </c>
    </row>
    <row r="19" spans="1:2" ht="36" x14ac:dyDescent="0.15">
      <c r="A19" s="47" t="s">
        <v>502</v>
      </c>
      <c r="B19" s="48" t="s">
        <v>509</v>
      </c>
    </row>
    <row r="20" spans="1:2" ht="27" x14ac:dyDescent="0.15">
      <c r="A20" s="47" t="s">
        <v>503</v>
      </c>
      <c r="B20" s="48" t="s">
        <v>510</v>
      </c>
    </row>
    <row r="21" spans="1:2" ht="27" x14ac:dyDescent="0.15">
      <c r="A21" s="47" t="s">
        <v>504</v>
      </c>
      <c r="B21" s="48" t="s">
        <v>511</v>
      </c>
    </row>
    <row r="22" spans="1:2" ht="36" x14ac:dyDescent="0.15">
      <c r="A22" s="47" t="s">
        <v>520</v>
      </c>
      <c r="B22" s="48" t="s">
        <v>568</v>
      </c>
    </row>
    <row r="23" spans="1:2" ht="36" x14ac:dyDescent="0.15">
      <c r="A23" s="47" t="s">
        <v>438</v>
      </c>
      <c r="B23" s="48" t="s">
        <v>439</v>
      </c>
    </row>
    <row r="24" spans="1:2" ht="27" x14ac:dyDescent="0.15">
      <c r="A24" s="47" t="s">
        <v>521</v>
      </c>
      <c r="B24" s="48" t="s">
        <v>569</v>
      </c>
    </row>
    <row r="25" spans="1:2" ht="27" x14ac:dyDescent="0.15">
      <c r="A25" s="47" t="s">
        <v>522</v>
      </c>
      <c r="B25" s="48" t="s">
        <v>570</v>
      </c>
    </row>
    <row r="26" spans="1:2" ht="27" x14ac:dyDescent="0.15">
      <c r="A26" s="47" t="s">
        <v>104</v>
      </c>
      <c r="B26" s="48" t="s">
        <v>108</v>
      </c>
    </row>
    <row r="27" spans="1:2" ht="36" x14ac:dyDescent="0.15">
      <c r="A27" s="47" t="s">
        <v>105</v>
      </c>
      <c r="B27" s="48" t="s">
        <v>109</v>
      </c>
    </row>
    <row r="28" spans="1:2" ht="27" x14ac:dyDescent="0.15">
      <c r="A28" s="47" t="s">
        <v>106</v>
      </c>
      <c r="B28" s="48" t="s">
        <v>110</v>
      </c>
    </row>
    <row r="29" spans="1:2" ht="27" x14ac:dyDescent="0.15">
      <c r="A29" s="47" t="s">
        <v>107</v>
      </c>
      <c r="B29" s="48" t="s">
        <v>111</v>
      </c>
    </row>
    <row r="30" spans="1:2" ht="36" x14ac:dyDescent="0.15">
      <c r="A30" s="47" t="s">
        <v>151</v>
      </c>
      <c r="B30" s="48" t="s">
        <v>153</v>
      </c>
    </row>
    <row r="31" spans="1:2" ht="36" x14ac:dyDescent="0.15">
      <c r="A31" s="47" t="s">
        <v>152</v>
      </c>
      <c r="B31" s="48" t="s">
        <v>154</v>
      </c>
    </row>
    <row r="32" spans="1:2" s="49" customFormat="1" ht="36" x14ac:dyDescent="0.15">
      <c r="A32" s="47" t="s">
        <v>66</v>
      </c>
      <c r="B32" s="48" t="s">
        <v>67</v>
      </c>
    </row>
    <row r="33" spans="2:2" s="43" customFormat="1" ht="9" hidden="1" customHeight="1" x14ac:dyDescent="0.25">
      <c r="B33" s="44"/>
    </row>
    <row r="34" spans="2:2" s="43" customFormat="1" ht="9" hidden="1" customHeight="1" x14ac:dyDescent="0.25">
      <c r="B34" s="44"/>
    </row>
    <row r="35" spans="2:2" s="43" customFormat="1" ht="9" hidden="1" customHeight="1" x14ac:dyDescent="0.25">
      <c r="B35" s="44"/>
    </row>
    <row r="36" spans="2:2" s="43" customFormat="1" ht="9" hidden="1" customHeight="1" x14ac:dyDescent="0.25">
      <c r="B36" s="44"/>
    </row>
    <row r="37" spans="2:2" s="43" customFormat="1" ht="9" hidden="1" customHeight="1" x14ac:dyDescent="0.25">
      <c r="B37" s="44"/>
    </row>
    <row r="38" spans="2:2" s="43" customFormat="1" ht="9" hidden="1" customHeight="1" x14ac:dyDescent="0.25">
      <c r="B38" s="44"/>
    </row>
    <row r="39" spans="2:2" s="43" customFormat="1" ht="9" hidden="1" customHeight="1" x14ac:dyDescent="0.25">
      <c r="B39" s="44"/>
    </row>
    <row r="40" spans="2:2" s="43" customFormat="1" ht="9" hidden="1" customHeight="1" x14ac:dyDescent="0.25">
      <c r="B40" s="44"/>
    </row>
    <row r="41" spans="2:2" s="43" customFormat="1" ht="9" hidden="1" customHeight="1" x14ac:dyDescent="0.25">
      <c r="B41" s="44"/>
    </row>
    <row r="42" spans="2:2" s="43" customFormat="1" ht="9" hidden="1" customHeight="1" x14ac:dyDescent="0.25">
      <c r="B42" s="44"/>
    </row>
    <row r="43" spans="2:2" s="43" customFormat="1" ht="9" hidden="1" customHeight="1" x14ac:dyDescent="0.25">
      <c r="B43" s="44"/>
    </row>
    <row r="44" spans="2:2" s="43" customFormat="1" ht="9" hidden="1" customHeight="1" x14ac:dyDescent="0.25">
      <c r="B44" s="44"/>
    </row>
    <row r="45" spans="2:2" s="43" customFormat="1" ht="9" hidden="1" customHeight="1" x14ac:dyDescent="0.25">
      <c r="B45" s="44"/>
    </row>
    <row r="46" spans="2:2" s="43" customFormat="1" ht="9" hidden="1" customHeight="1" x14ac:dyDescent="0.25">
      <c r="B46" s="44"/>
    </row>
    <row r="47" spans="2:2" s="43" customFormat="1" ht="9" hidden="1" customHeight="1" x14ac:dyDescent="0.25">
      <c r="B47" s="44"/>
    </row>
    <row r="48" spans="2:2" s="43" customFormat="1" ht="9" hidden="1" customHeight="1" x14ac:dyDescent="0.25">
      <c r="B48" s="44"/>
    </row>
    <row r="49" spans="2:2" s="43" customFormat="1" ht="9" hidden="1" customHeight="1" x14ac:dyDescent="0.25">
      <c r="B49" s="44"/>
    </row>
    <row r="50" spans="2:2" s="43" customFormat="1" ht="9" hidden="1" customHeight="1" x14ac:dyDescent="0.25">
      <c r="B50" s="44"/>
    </row>
    <row r="51" spans="2:2" s="43" customFormat="1" ht="9" hidden="1" customHeight="1" x14ac:dyDescent="0.25">
      <c r="B51" s="44"/>
    </row>
    <row r="52" spans="2:2" s="43" customFormat="1" ht="9" hidden="1" customHeight="1" x14ac:dyDescent="0.25">
      <c r="B52" s="44"/>
    </row>
    <row r="53" spans="2:2" s="43" customFormat="1" ht="9" hidden="1" customHeight="1" x14ac:dyDescent="0.25">
      <c r="B53" s="44"/>
    </row>
    <row r="54" spans="2:2" s="43" customFormat="1" ht="9" hidden="1" customHeight="1" x14ac:dyDescent="0.25">
      <c r="B54" s="44"/>
    </row>
    <row r="55" spans="2:2" s="43" customFormat="1" ht="9" hidden="1" customHeight="1" x14ac:dyDescent="0.25">
      <c r="B55" s="44"/>
    </row>
    <row r="56" spans="2:2" s="43" customFormat="1" ht="9" hidden="1" customHeight="1" x14ac:dyDescent="0.25">
      <c r="B56" s="44"/>
    </row>
    <row r="57" spans="2:2" s="43" customFormat="1" ht="9" hidden="1" customHeight="1" x14ac:dyDescent="0.25">
      <c r="B57" s="44"/>
    </row>
    <row r="58" spans="2:2" s="43" customFormat="1" ht="9" hidden="1" customHeight="1" x14ac:dyDescent="0.25">
      <c r="B58" s="44"/>
    </row>
    <row r="59" spans="2:2" s="43" customFormat="1" ht="9" hidden="1" customHeight="1" x14ac:dyDescent="0.25">
      <c r="B59" s="44"/>
    </row>
    <row r="60" spans="2:2" s="43" customFormat="1" ht="9" hidden="1" customHeight="1" x14ac:dyDescent="0.25">
      <c r="B60" s="44"/>
    </row>
    <row r="61" spans="2:2" s="43" customFormat="1" ht="9" hidden="1" customHeight="1" x14ac:dyDescent="0.25">
      <c r="B61" s="44"/>
    </row>
    <row r="62" spans="2:2" s="43" customFormat="1" ht="9" hidden="1" customHeight="1" x14ac:dyDescent="0.25">
      <c r="B62" s="44"/>
    </row>
    <row r="63" spans="2:2" s="43" customFormat="1" ht="9" hidden="1" customHeight="1" x14ac:dyDescent="0.25">
      <c r="B63" s="44"/>
    </row>
    <row r="64" spans="2:2" s="43" customFormat="1" ht="9" hidden="1" customHeight="1" x14ac:dyDescent="0.25">
      <c r="B64" s="44"/>
    </row>
    <row r="65" spans="2:2" s="43" customFormat="1" ht="9" hidden="1" customHeight="1" x14ac:dyDescent="0.25">
      <c r="B65" s="44"/>
    </row>
    <row r="66" spans="2:2" s="43" customFormat="1" ht="9" hidden="1" customHeight="1" x14ac:dyDescent="0.25">
      <c r="B66" s="44"/>
    </row>
    <row r="67" spans="2:2" s="43" customFormat="1" ht="9" hidden="1" customHeight="1" x14ac:dyDescent="0.25">
      <c r="B67" s="44"/>
    </row>
    <row r="68" spans="2:2" s="43" customFormat="1" ht="9" hidden="1" customHeight="1" x14ac:dyDescent="0.25">
      <c r="B68" s="44"/>
    </row>
    <row r="69" spans="2:2" s="43" customFormat="1" ht="9" hidden="1" customHeight="1" x14ac:dyDescent="0.25">
      <c r="B69" s="44"/>
    </row>
    <row r="70" spans="2:2" s="43" customFormat="1" ht="9" hidden="1" customHeight="1" x14ac:dyDescent="0.25">
      <c r="B70" s="44"/>
    </row>
    <row r="71" spans="2:2" s="43" customFormat="1" ht="9" hidden="1" customHeight="1" x14ac:dyDescent="0.25">
      <c r="B71" s="44"/>
    </row>
    <row r="72" spans="2:2" s="43" customFormat="1" ht="9" hidden="1" customHeight="1" x14ac:dyDescent="0.25">
      <c r="B72" s="44"/>
    </row>
    <row r="73" spans="2:2" s="43" customFormat="1" ht="9" hidden="1" customHeight="1" x14ac:dyDescent="0.25">
      <c r="B73" s="44"/>
    </row>
    <row r="74" spans="2:2" s="43" customFormat="1" ht="9" hidden="1" customHeight="1" x14ac:dyDescent="0.25">
      <c r="B74" s="44"/>
    </row>
    <row r="75" spans="2:2" s="43" customFormat="1" ht="9" hidden="1" customHeight="1" x14ac:dyDescent="0.25">
      <c r="B75" s="44"/>
    </row>
    <row r="76" spans="2:2" s="43" customFormat="1" ht="9" hidden="1" customHeight="1" x14ac:dyDescent="0.25">
      <c r="B76" s="44"/>
    </row>
    <row r="77" spans="2:2" s="43" customFormat="1" ht="9" hidden="1" customHeight="1" x14ac:dyDescent="0.25">
      <c r="B77" s="44"/>
    </row>
    <row r="78" spans="2:2" s="43" customFormat="1" ht="9" hidden="1" customHeight="1" x14ac:dyDescent="0.25">
      <c r="B78" s="44"/>
    </row>
    <row r="79" spans="2:2" s="43" customFormat="1" ht="9" hidden="1" customHeight="1" x14ac:dyDescent="0.25">
      <c r="B79" s="44"/>
    </row>
    <row r="80" spans="2:2" s="43" customFormat="1" ht="9" hidden="1" customHeight="1" x14ac:dyDescent="0.25">
      <c r="B80" s="44"/>
    </row>
    <row r="81" spans="2:2" s="43" customFormat="1" ht="9" hidden="1" customHeight="1" x14ac:dyDescent="0.25">
      <c r="B81" s="44"/>
    </row>
    <row r="82" spans="2:2" s="43" customFormat="1" ht="9" hidden="1" customHeight="1" x14ac:dyDescent="0.25">
      <c r="B82" s="44"/>
    </row>
    <row r="83" spans="2:2" s="43" customFormat="1" ht="9" hidden="1" customHeight="1" x14ac:dyDescent="0.25">
      <c r="B83" s="44"/>
    </row>
    <row r="84" spans="2:2" s="43" customFormat="1" ht="9" hidden="1" customHeight="1" x14ac:dyDescent="0.25">
      <c r="B84" s="44"/>
    </row>
    <row r="85" spans="2:2" s="43" customFormat="1" ht="9" hidden="1" customHeight="1" x14ac:dyDescent="0.25">
      <c r="B85" s="44"/>
    </row>
    <row r="86" spans="2:2" s="43" customFormat="1" ht="9" hidden="1" customHeight="1" x14ac:dyDescent="0.25">
      <c r="B86" s="44"/>
    </row>
    <row r="87" spans="2:2" s="43" customFormat="1" ht="9" hidden="1" customHeight="1" x14ac:dyDescent="0.25">
      <c r="B87" s="44"/>
    </row>
    <row r="88" spans="2:2" s="43" customFormat="1" ht="9" hidden="1" customHeight="1" x14ac:dyDescent="0.25">
      <c r="B88" s="44"/>
    </row>
    <row r="89" spans="2:2" s="43" customFormat="1" ht="9" hidden="1" customHeight="1" x14ac:dyDescent="0.25">
      <c r="B89" s="44"/>
    </row>
    <row r="90" spans="2:2" s="43" customFormat="1" ht="9" hidden="1" customHeight="1" x14ac:dyDescent="0.25">
      <c r="B90" s="44"/>
    </row>
    <row r="91" spans="2:2" s="43" customFormat="1" ht="9" hidden="1" customHeight="1" x14ac:dyDescent="0.25">
      <c r="B91" s="44"/>
    </row>
    <row r="92" spans="2:2" ht="9" hidden="1" customHeight="1" x14ac:dyDescent="0.15"/>
    <row r="93" spans="2:2" ht="9" hidden="1" customHeight="1" x14ac:dyDescent="0.15"/>
    <row r="94" spans="2:2" ht="9" hidden="1" customHeight="1" x14ac:dyDescent="0.15"/>
    <row r="95" spans="2:2" ht="9" hidden="1" customHeight="1" x14ac:dyDescent="0.15"/>
    <row r="96" spans="2:2" ht="9" hidden="1" customHeight="1" x14ac:dyDescent="0.15"/>
    <row r="97" ht="9" hidden="1" customHeight="1" x14ac:dyDescent="0.15"/>
    <row r="98" ht="9" hidden="1" customHeight="1" x14ac:dyDescent="0.15"/>
    <row r="99" ht="9" hidden="1" customHeight="1" x14ac:dyDescent="0.15"/>
    <row r="100" ht="9" hidden="1" customHeight="1" x14ac:dyDescent="0.15"/>
    <row r="101" ht="9" hidden="1" customHeight="1" x14ac:dyDescent="0.15"/>
    <row r="102" ht="9" hidden="1" customHeight="1" x14ac:dyDescent="0.15"/>
    <row r="103" ht="9" hidden="1" customHeight="1" x14ac:dyDescent="0.15"/>
    <row r="104" ht="9" hidden="1" customHeight="1" x14ac:dyDescent="0.15"/>
    <row r="105" ht="9" hidden="1" customHeight="1" x14ac:dyDescent="0.15"/>
    <row r="106" ht="9" hidden="1" customHeight="1" x14ac:dyDescent="0.15"/>
    <row r="107" ht="9" hidden="1" customHeight="1" x14ac:dyDescent="0.15"/>
    <row r="108" ht="9" hidden="1" customHeight="1" x14ac:dyDescent="0.15"/>
    <row r="109" ht="9" hidden="1" customHeight="1" x14ac:dyDescent="0.15"/>
    <row r="110" ht="9" hidden="1" customHeight="1" x14ac:dyDescent="0.15"/>
    <row r="111" ht="9" hidden="1" customHeight="1" x14ac:dyDescent="0.15"/>
    <row r="112" ht="9" hidden="1" customHeight="1" x14ac:dyDescent="0.15"/>
    <row r="113" ht="9" hidden="1" customHeight="1" x14ac:dyDescent="0.15"/>
    <row r="114" ht="9" hidden="1" customHeight="1" x14ac:dyDescent="0.15"/>
    <row r="115" ht="9" hidden="1" customHeight="1" x14ac:dyDescent="0.15"/>
    <row r="116" ht="9" hidden="1" customHeight="1" x14ac:dyDescent="0.15"/>
    <row r="117" ht="9" hidden="1" customHeight="1" x14ac:dyDescent="0.15"/>
    <row r="118" ht="9" hidden="1" customHeight="1" x14ac:dyDescent="0.15"/>
    <row r="119" ht="9" hidden="1" customHeight="1" x14ac:dyDescent="0.15"/>
  </sheetData>
  <sheetProtection sheet="1" objects="1" scenarios="1"/>
  <hyperlinks>
    <hyperlink ref="A32:B32" location="'5.29'!A1" display="5.29"/>
    <hyperlink ref="A4:B4" location="'5.1'!A1" display="5.1"/>
    <hyperlink ref="A27:B27" location="'5.24'!A1" display="5.24"/>
    <hyperlink ref="A28:B28" location="'5.25'!A1" display="5.25"/>
    <hyperlink ref="A29:B29" location="'5.26'!A1" display="5.26"/>
    <hyperlink ref="A30:B31" location="'5.29'!A1" display="5.29"/>
    <hyperlink ref="A30:B30" location="'5.27'!A1" display="5.27"/>
    <hyperlink ref="A31:B31" location="'5.28'!A1" display="5.28"/>
    <hyperlink ref="A26:B26" location="'5.23'!A1" display="5.23"/>
    <hyperlink ref="A6:B14" location="'5.23'!A1" display="5.23"/>
    <hyperlink ref="A6:B6" location="'5.3'!A1" display="5.3"/>
    <hyperlink ref="A7:B7" location="'5.4'!A1" display="5.4"/>
    <hyperlink ref="A8:B8" location="'5.5'!A1" display="5.5"/>
    <hyperlink ref="A9:B9" location="'5.6'!A1" display="5.6"/>
    <hyperlink ref="A10:B10" location="'5.7'!A1" display="5.7"/>
    <hyperlink ref="A11:B11" location="'5.8'!A1" display="5.8"/>
    <hyperlink ref="A12:B12" location="'5.9'!A1" display="5.9"/>
    <hyperlink ref="A13:B13" location="'5.10'!A1" display="5.10"/>
    <hyperlink ref="A14:B14" location="'5.11'!A1" display="5.11"/>
    <hyperlink ref="A23:B23" location="'5.20'!A1" display="5.20"/>
    <hyperlink ref="A15:B20" location="'5.23'!A1" display="5.23"/>
    <hyperlink ref="A21:B21" location="'5.18'!A1" display="5.18"/>
    <hyperlink ref="A15:B15" location="'5.12'!A1" display="5.12"/>
    <hyperlink ref="A16:B16" location="'5.13'!A1" display="5.13"/>
    <hyperlink ref="A17:B17" location="'5.14'!A1" display="5.14"/>
    <hyperlink ref="A18:B18" location="'5.15'!A1" display="5.15"/>
    <hyperlink ref="A19:B19" location="'5.16'!A1" display="5.16"/>
    <hyperlink ref="A20:B20" location="'5.17'!A1" display="5.17"/>
    <hyperlink ref="A22:B22" location="'5.19'!A1" display="5.19"/>
    <hyperlink ref="A24:B25" location="'5.20'!A1" display="5.20"/>
    <hyperlink ref="A24:B24" location="'5.21'!A1" display="5.21"/>
    <hyperlink ref="A25:B25" location="'5.22'!A1" display="5.22"/>
    <hyperlink ref="A5:B5" location="'5.2'!A1" display="5.2"/>
  </hyperlinks>
  <printOptions horizontalCentered="1" verticalCentered="1"/>
  <pageMargins left="0.39370078740157483" right="0.39370078740157483" top="0.39370078740157483" bottom="0.39370078740157483" header="0.39370078740157483" footer="0.39370078740157483"/>
  <pageSetup orientation="portrait" r:id="rId1"/>
  <headerFooter>
    <oddHeader>&amp;L&amp;"Arial,Normal"&amp;10&amp;K000080INEGI. Anuario estadístico y geográfico por entidad federativa 2019.</oddHead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VT295"/>
  <sheetViews>
    <sheetView showGridLines="0" showRowColHeaders="0" zoomScale="130" zoomScaleNormal="130" workbookViewId="0">
      <pane xSplit="1" ySplit="11" topLeftCell="B12" activePane="bottomRight" state="frozen"/>
      <selection activeCell="B5" sqref="B5"/>
      <selection pane="topRight" activeCell="B5" sqref="B5"/>
      <selection pane="bottomLeft" activeCell="B5" sqref="B5"/>
      <selection pane="bottomRight"/>
    </sheetView>
  </sheetViews>
  <sheetFormatPr baseColWidth="10" defaultColWidth="0" defaultRowHeight="11.25" customHeight="1" zeroHeight="1" x14ac:dyDescent="0.25"/>
  <cols>
    <col min="1" max="1" width="17" style="191" customWidth="1"/>
    <col min="2" max="2" width="9.85546875" style="191" customWidth="1"/>
    <col min="3" max="3" width="1.42578125" style="191" customWidth="1"/>
    <col min="4" max="4" width="8.5703125" style="191" customWidth="1"/>
    <col min="5" max="5" width="2.28515625" style="191" customWidth="1"/>
    <col min="6" max="6" width="8" style="191" customWidth="1"/>
    <col min="7" max="7" width="8.85546875" style="191" customWidth="1"/>
    <col min="8" max="8" width="8.5703125" style="191" customWidth="1"/>
    <col min="9" max="11" width="8.7109375" style="191" customWidth="1"/>
    <col min="12" max="12" width="0.85546875" style="191" customWidth="1"/>
    <col min="13" max="256" width="11.42578125" style="191" hidden="1"/>
    <col min="257" max="257" width="17" style="191" hidden="1"/>
    <col min="258" max="258" width="9.85546875" style="191" hidden="1"/>
    <col min="259" max="259" width="1.42578125" style="191" hidden="1"/>
    <col min="260" max="260" width="8.5703125" style="191" hidden="1"/>
    <col min="261" max="261" width="2.28515625" style="191" hidden="1"/>
    <col min="262" max="262" width="8" style="191" hidden="1"/>
    <col min="263" max="263" width="8.85546875" style="191" hidden="1"/>
    <col min="264" max="264" width="8.5703125" style="191" hidden="1"/>
    <col min="265" max="267" width="8.7109375" style="191" hidden="1"/>
    <col min="268" max="268" width="0.85546875" style="191" hidden="1"/>
    <col min="269" max="512" width="11.42578125" style="191" hidden="1"/>
    <col min="513" max="513" width="17" style="191" hidden="1"/>
    <col min="514" max="514" width="9.85546875" style="191" hidden="1"/>
    <col min="515" max="515" width="1.42578125" style="191" hidden="1"/>
    <col min="516" max="516" width="8.5703125" style="191" hidden="1"/>
    <col min="517" max="517" width="2.28515625" style="191" hidden="1"/>
    <col min="518" max="518" width="8" style="191" hidden="1"/>
    <col min="519" max="519" width="8.85546875" style="191" hidden="1"/>
    <col min="520" max="520" width="8.5703125" style="191" hidden="1"/>
    <col min="521" max="523" width="8.7109375" style="191" hidden="1"/>
    <col min="524" max="524" width="0.85546875" style="191" hidden="1"/>
    <col min="525" max="768" width="11.42578125" style="191" hidden="1"/>
    <col min="769" max="769" width="17" style="191" hidden="1"/>
    <col min="770" max="770" width="9.85546875" style="191" hidden="1"/>
    <col min="771" max="771" width="1.42578125" style="191" hidden="1"/>
    <col min="772" max="772" width="8.5703125" style="191" hidden="1"/>
    <col min="773" max="773" width="2.28515625" style="191" hidden="1"/>
    <col min="774" max="774" width="8" style="191" hidden="1"/>
    <col min="775" max="775" width="8.85546875" style="191" hidden="1"/>
    <col min="776" max="776" width="8.5703125" style="191" hidden="1"/>
    <col min="777" max="779" width="8.7109375" style="191" hidden="1"/>
    <col min="780" max="780" width="0.85546875" style="191" hidden="1"/>
    <col min="781" max="1024" width="11.42578125" style="191" hidden="1"/>
    <col min="1025" max="1025" width="17" style="191" hidden="1"/>
    <col min="1026" max="1026" width="9.85546875" style="191" hidden="1"/>
    <col min="1027" max="1027" width="1.42578125" style="191" hidden="1"/>
    <col min="1028" max="1028" width="8.5703125" style="191" hidden="1"/>
    <col min="1029" max="1029" width="2.28515625" style="191" hidden="1"/>
    <col min="1030" max="1030" width="8" style="191" hidden="1"/>
    <col min="1031" max="1031" width="8.85546875" style="191" hidden="1"/>
    <col min="1032" max="1032" width="8.5703125" style="191" hidden="1"/>
    <col min="1033" max="1035" width="8.7109375" style="191" hidden="1"/>
    <col min="1036" max="1036" width="0.85546875" style="191" hidden="1"/>
    <col min="1037" max="1280" width="11.42578125" style="191" hidden="1"/>
    <col min="1281" max="1281" width="17" style="191" hidden="1"/>
    <col min="1282" max="1282" width="9.85546875" style="191" hidden="1"/>
    <col min="1283" max="1283" width="1.42578125" style="191" hidden="1"/>
    <col min="1284" max="1284" width="8.5703125" style="191" hidden="1"/>
    <col min="1285" max="1285" width="2.28515625" style="191" hidden="1"/>
    <col min="1286" max="1286" width="8" style="191" hidden="1"/>
    <col min="1287" max="1287" width="8.85546875" style="191" hidden="1"/>
    <col min="1288" max="1288" width="8.5703125" style="191" hidden="1"/>
    <col min="1289" max="1291" width="8.7109375" style="191" hidden="1"/>
    <col min="1292" max="1292" width="0.85546875" style="191" hidden="1"/>
    <col min="1293" max="1536" width="11.42578125" style="191" hidden="1"/>
    <col min="1537" max="1537" width="17" style="191" hidden="1"/>
    <col min="1538" max="1538" width="9.85546875" style="191" hidden="1"/>
    <col min="1539" max="1539" width="1.42578125" style="191" hidden="1"/>
    <col min="1540" max="1540" width="8.5703125" style="191" hidden="1"/>
    <col min="1541" max="1541" width="2.28515625" style="191" hidden="1"/>
    <col min="1542" max="1542" width="8" style="191" hidden="1"/>
    <col min="1543" max="1543" width="8.85546875" style="191" hidden="1"/>
    <col min="1544" max="1544" width="8.5703125" style="191" hidden="1"/>
    <col min="1545" max="1547" width="8.7109375" style="191" hidden="1"/>
    <col min="1548" max="1548" width="0.85546875" style="191" hidden="1"/>
    <col min="1549" max="1792" width="11.42578125" style="191" hidden="1"/>
    <col min="1793" max="1793" width="17" style="191" hidden="1"/>
    <col min="1794" max="1794" width="9.85546875" style="191" hidden="1"/>
    <col min="1795" max="1795" width="1.42578125" style="191" hidden="1"/>
    <col min="1796" max="1796" width="8.5703125" style="191" hidden="1"/>
    <col min="1797" max="1797" width="2.28515625" style="191" hidden="1"/>
    <col min="1798" max="1798" width="8" style="191" hidden="1"/>
    <col min="1799" max="1799" width="8.85546875" style="191" hidden="1"/>
    <col min="1800" max="1800" width="8.5703125" style="191" hidden="1"/>
    <col min="1801" max="1803" width="8.7109375" style="191" hidden="1"/>
    <col min="1804" max="1804" width="0.85546875" style="191" hidden="1"/>
    <col min="1805" max="2048" width="11.42578125" style="191" hidden="1"/>
    <col min="2049" max="2049" width="17" style="191" hidden="1"/>
    <col min="2050" max="2050" width="9.85546875" style="191" hidden="1"/>
    <col min="2051" max="2051" width="1.42578125" style="191" hidden="1"/>
    <col min="2052" max="2052" width="8.5703125" style="191" hidden="1"/>
    <col min="2053" max="2053" width="2.28515625" style="191" hidden="1"/>
    <col min="2054" max="2054" width="8" style="191" hidden="1"/>
    <col min="2055" max="2055" width="8.85546875" style="191" hidden="1"/>
    <col min="2056" max="2056" width="8.5703125" style="191" hidden="1"/>
    <col min="2057" max="2059" width="8.7109375" style="191" hidden="1"/>
    <col min="2060" max="2060" width="0.85546875" style="191" hidden="1"/>
    <col min="2061" max="2304" width="11.42578125" style="191" hidden="1"/>
    <col min="2305" max="2305" width="17" style="191" hidden="1"/>
    <col min="2306" max="2306" width="9.85546875" style="191" hidden="1"/>
    <col min="2307" max="2307" width="1.42578125" style="191" hidden="1"/>
    <col min="2308" max="2308" width="8.5703125" style="191" hidden="1"/>
    <col min="2309" max="2309" width="2.28515625" style="191" hidden="1"/>
    <col min="2310" max="2310" width="8" style="191" hidden="1"/>
    <col min="2311" max="2311" width="8.85546875" style="191" hidden="1"/>
    <col min="2312" max="2312" width="8.5703125" style="191" hidden="1"/>
    <col min="2313" max="2315" width="8.7109375" style="191" hidden="1"/>
    <col min="2316" max="2316" width="0.85546875" style="191" hidden="1"/>
    <col min="2317" max="2560" width="11.42578125" style="191" hidden="1"/>
    <col min="2561" max="2561" width="17" style="191" hidden="1"/>
    <col min="2562" max="2562" width="9.85546875" style="191" hidden="1"/>
    <col min="2563" max="2563" width="1.42578125" style="191" hidden="1"/>
    <col min="2564" max="2564" width="8.5703125" style="191" hidden="1"/>
    <col min="2565" max="2565" width="2.28515625" style="191" hidden="1"/>
    <col min="2566" max="2566" width="8" style="191" hidden="1"/>
    <col min="2567" max="2567" width="8.85546875" style="191" hidden="1"/>
    <col min="2568" max="2568" width="8.5703125" style="191" hidden="1"/>
    <col min="2569" max="2571" width="8.7109375" style="191" hidden="1"/>
    <col min="2572" max="2572" width="0.85546875" style="191" hidden="1"/>
    <col min="2573" max="2816" width="11.42578125" style="191" hidden="1"/>
    <col min="2817" max="2817" width="17" style="191" hidden="1"/>
    <col min="2818" max="2818" width="9.85546875" style="191" hidden="1"/>
    <col min="2819" max="2819" width="1.42578125" style="191" hidden="1"/>
    <col min="2820" max="2820" width="8.5703125" style="191" hidden="1"/>
    <col min="2821" max="2821" width="2.28515625" style="191" hidden="1"/>
    <col min="2822" max="2822" width="8" style="191" hidden="1"/>
    <col min="2823" max="2823" width="8.85546875" style="191" hidden="1"/>
    <col min="2824" max="2824" width="8.5703125" style="191" hidden="1"/>
    <col min="2825" max="2827" width="8.7109375" style="191" hidden="1"/>
    <col min="2828" max="2828" width="0.85546875" style="191" hidden="1"/>
    <col min="2829" max="3072" width="11.42578125" style="191" hidden="1"/>
    <col min="3073" max="3073" width="17" style="191" hidden="1"/>
    <col min="3074" max="3074" width="9.85546875" style="191" hidden="1"/>
    <col min="3075" max="3075" width="1.42578125" style="191" hidden="1"/>
    <col min="3076" max="3076" width="8.5703125" style="191" hidden="1"/>
    <col min="3077" max="3077" width="2.28515625" style="191" hidden="1"/>
    <col min="3078" max="3078" width="8" style="191" hidden="1"/>
    <col min="3079" max="3079" width="8.85546875" style="191" hidden="1"/>
    <col min="3080" max="3080" width="8.5703125" style="191" hidden="1"/>
    <col min="3081" max="3083" width="8.7109375" style="191" hidden="1"/>
    <col min="3084" max="3084" width="0.85546875" style="191" hidden="1"/>
    <col min="3085" max="3328" width="11.42578125" style="191" hidden="1"/>
    <col min="3329" max="3329" width="17" style="191" hidden="1"/>
    <col min="3330" max="3330" width="9.85546875" style="191" hidden="1"/>
    <col min="3331" max="3331" width="1.42578125" style="191" hidden="1"/>
    <col min="3332" max="3332" width="8.5703125" style="191" hidden="1"/>
    <col min="3333" max="3333" width="2.28515625" style="191" hidden="1"/>
    <col min="3334" max="3334" width="8" style="191" hidden="1"/>
    <col min="3335" max="3335" width="8.85546875" style="191" hidden="1"/>
    <col min="3336" max="3336" width="8.5703125" style="191" hidden="1"/>
    <col min="3337" max="3339" width="8.7109375" style="191" hidden="1"/>
    <col min="3340" max="3340" width="0.85546875" style="191" hidden="1"/>
    <col min="3341" max="3584" width="11.42578125" style="191" hidden="1"/>
    <col min="3585" max="3585" width="17" style="191" hidden="1"/>
    <col min="3586" max="3586" width="9.85546875" style="191" hidden="1"/>
    <col min="3587" max="3587" width="1.42578125" style="191" hidden="1"/>
    <col min="3588" max="3588" width="8.5703125" style="191" hidden="1"/>
    <col min="3589" max="3589" width="2.28515625" style="191" hidden="1"/>
    <col min="3590" max="3590" width="8" style="191" hidden="1"/>
    <col min="3591" max="3591" width="8.85546875" style="191" hidden="1"/>
    <col min="3592" max="3592" width="8.5703125" style="191" hidden="1"/>
    <col min="3593" max="3595" width="8.7109375" style="191" hidden="1"/>
    <col min="3596" max="3596" width="0.85546875" style="191" hidden="1"/>
    <col min="3597" max="3840" width="11.42578125" style="191" hidden="1"/>
    <col min="3841" max="3841" width="17" style="191" hidden="1"/>
    <col min="3842" max="3842" width="9.85546875" style="191" hidden="1"/>
    <col min="3843" max="3843" width="1.42578125" style="191" hidden="1"/>
    <col min="3844" max="3844" width="8.5703125" style="191" hidden="1"/>
    <col min="3845" max="3845" width="2.28515625" style="191" hidden="1"/>
    <col min="3846" max="3846" width="8" style="191" hidden="1"/>
    <col min="3847" max="3847" width="8.85546875" style="191" hidden="1"/>
    <col min="3848" max="3848" width="8.5703125" style="191" hidden="1"/>
    <col min="3849" max="3851" width="8.7109375" style="191" hidden="1"/>
    <col min="3852" max="3852" width="0.85546875" style="191" hidden="1"/>
    <col min="3853" max="4096" width="11.42578125" style="191" hidden="1"/>
    <col min="4097" max="4097" width="17" style="191" hidden="1"/>
    <col min="4098" max="4098" width="9.85546875" style="191" hidden="1"/>
    <col min="4099" max="4099" width="1.42578125" style="191" hidden="1"/>
    <col min="4100" max="4100" width="8.5703125" style="191" hidden="1"/>
    <col min="4101" max="4101" width="2.28515625" style="191" hidden="1"/>
    <col min="4102" max="4102" width="8" style="191" hidden="1"/>
    <col min="4103" max="4103" width="8.85546875" style="191" hidden="1"/>
    <col min="4104" max="4104" width="8.5703125" style="191" hidden="1"/>
    <col min="4105" max="4107" width="8.7109375" style="191" hidden="1"/>
    <col min="4108" max="4108" width="0.85546875" style="191" hidden="1"/>
    <col min="4109" max="4352" width="11.42578125" style="191" hidden="1"/>
    <col min="4353" max="4353" width="17" style="191" hidden="1"/>
    <col min="4354" max="4354" width="9.85546875" style="191" hidden="1"/>
    <col min="4355" max="4355" width="1.42578125" style="191" hidden="1"/>
    <col min="4356" max="4356" width="8.5703125" style="191" hidden="1"/>
    <col min="4357" max="4357" width="2.28515625" style="191" hidden="1"/>
    <col min="4358" max="4358" width="8" style="191" hidden="1"/>
    <col min="4359" max="4359" width="8.85546875" style="191" hidden="1"/>
    <col min="4360" max="4360" width="8.5703125" style="191" hidden="1"/>
    <col min="4361" max="4363" width="8.7109375" style="191" hidden="1"/>
    <col min="4364" max="4364" width="0.85546875" style="191" hidden="1"/>
    <col min="4365" max="4608" width="11.42578125" style="191" hidden="1"/>
    <col min="4609" max="4609" width="17" style="191" hidden="1"/>
    <col min="4610" max="4610" width="9.85546875" style="191" hidden="1"/>
    <col min="4611" max="4611" width="1.42578125" style="191" hidden="1"/>
    <col min="4612" max="4612" width="8.5703125" style="191" hidden="1"/>
    <col min="4613" max="4613" width="2.28515625" style="191" hidden="1"/>
    <col min="4614" max="4614" width="8" style="191" hidden="1"/>
    <col min="4615" max="4615" width="8.85546875" style="191" hidden="1"/>
    <col min="4616" max="4616" width="8.5703125" style="191" hidden="1"/>
    <col min="4617" max="4619" width="8.7109375" style="191" hidden="1"/>
    <col min="4620" max="4620" width="0.85546875" style="191" hidden="1"/>
    <col min="4621" max="4864" width="11.42578125" style="191" hidden="1"/>
    <col min="4865" max="4865" width="17" style="191" hidden="1"/>
    <col min="4866" max="4866" width="9.85546875" style="191" hidden="1"/>
    <col min="4867" max="4867" width="1.42578125" style="191" hidden="1"/>
    <col min="4868" max="4868" width="8.5703125" style="191" hidden="1"/>
    <col min="4869" max="4869" width="2.28515625" style="191" hidden="1"/>
    <col min="4870" max="4870" width="8" style="191" hidden="1"/>
    <col min="4871" max="4871" width="8.85546875" style="191" hidden="1"/>
    <col min="4872" max="4872" width="8.5703125" style="191" hidden="1"/>
    <col min="4873" max="4875" width="8.7109375" style="191" hidden="1"/>
    <col min="4876" max="4876" width="0.85546875" style="191" hidden="1"/>
    <col min="4877" max="5120" width="11.42578125" style="191" hidden="1"/>
    <col min="5121" max="5121" width="17" style="191" hidden="1"/>
    <col min="5122" max="5122" width="9.85546875" style="191" hidden="1"/>
    <col min="5123" max="5123" width="1.42578125" style="191" hidden="1"/>
    <col min="5124" max="5124" width="8.5703125" style="191" hidden="1"/>
    <col min="5125" max="5125" width="2.28515625" style="191" hidden="1"/>
    <col min="5126" max="5126" width="8" style="191" hidden="1"/>
    <col min="5127" max="5127" width="8.85546875" style="191" hidden="1"/>
    <col min="5128" max="5128" width="8.5703125" style="191" hidden="1"/>
    <col min="5129" max="5131" width="8.7109375" style="191" hidden="1"/>
    <col min="5132" max="5132" width="0.85546875" style="191" hidden="1"/>
    <col min="5133" max="5376" width="11.42578125" style="191" hidden="1"/>
    <col min="5377" max="5377" width="17" style="191" hidden="1"/>
    <col min="5378" max="5378" width="9.85546875" style="191" hidden="1"/>
    <col min="5379" max="5379" width="1.42578125" style="191" hidden="1"/>
    <col min="5380" max="5380" width="8.5703125" style="191" hidden="1"/>
    <col min="5381" max="5381" width="2.28515625" style="191" hidden="1"/>
    <col min="5382" max="5382" width="8" style="191" hidden="1"/>
    <col min="5383" max="5383" width="8.85546875" style="191" hidden="1"/>
    <col min="5384" max="5384" width="8.5703125" style="191" hidden="1"/>
    <col min="5385" max="5387" width="8.7109375" style="191" hidden="1"/>
    <col min="5388" max="5388" width="0.85546875" style="191" hidden="1"/>
    <col min="5389" max="5632" width="11.42578125" style="191" hidden="1"/>
    <col min="5633" max="5633" width="17" style="191" hidden="1"/>
    <col min="5634" max="5634" width="9.85546875" style="191" hidden="1"/>
    <col min="5635" max="5635" width="1.42578125" style="191" hidden="1"/>
    <col min="5636" max="5636" width="8.5703125" style="191" hidden="1"/>
    <col min="5637" max="5637" width="2.28515625" style="191" hidden="1"/>
    <col min="5638" max="5638" width="8" style="191" hidden="1"/>
    <col min="5639" max="5639" width="8.85546875" style="191" hidden="1"/>
    <col min="5640" max="5640" width="8.5703125" style="191" hidden="1"/>
    <col min="5641" max="5643" width="8.7109375" style="191" hidden="1"/>
    <col min="5644" max="5644" width="0.85546875" style="191" hidden="1"/>
    <col min="5645" max="5888" width="11.42578125" style="191" hidden="1"/>
    <col min="5889" max="5889" width="17" style="191" hidden="1"/>
    <col min="5890" max="5890" width="9.85546875" style="191" hidden="1"/>
    <col min="5891" max="5891" width="1.42578125" style="191" hidden="1"/>
    <col min="5892" max="5892" width="8.5703125" style="191" hidden="1"/>
    <col min="5893" max="5893" width="2.28515625" style="191" hidden="1"/>
    <col min="5894" max="5894" width="8" style="191" hidden="1"/>
    <col min="5895" max="5895" width="8.85546875" style="191" hidden="1"/>
    <col min="5896" max="5896" width="8.5703125" style="191" hidden="1"/>
    <col min="5897" max="5899" width="8.7109375" style="191" hidden="1"/>
    <col min="5900" max="5900" width="0.85546875" style="191" hidden="1"/>
    <col min="5901" max="6144" width="11.42578125" style="191" hidden="1"/>
    <col min="6145" max="6145" width="17" style="191" hidden="1"/>
    <col min="6146" max="6146" width="9.85546875" style="191" hidden="1"/>
    <col min="6147" max="6147" width="1.42578125" style="191" hidden="1"/>
    <col min="6148" max="6148" width="8.5703125" style="191" hidden="1"/>
    <col min="6149" max="6149" width="2.28515625" style="191" hidden="1"/>
    <col min="6150" max="6150" width="8" style="191" hidden="1"/>
    <col min="6151" max="6151" width="8.85546875" style="191" hidden="1"/>
    <col min="6152" max="6152" width="8.5703125" style="191" hidden="1"/>
    <col min="6153" max="6155" width="8.7109375" style="191" hidden="1"/>
    <col min="6156" max="6156" width="0.85546875" style="191" hidden="1"/>
    <col min="6157" max="6400" width="11.42578125" style="191" hidden="1"/>
    <col min="6401" max="6401" width="17" style="191" hidden="1"/>
    <col min="6402" max="6402" width="9.85546875" style="191" hidden="1"/>
    <col min="6403" max="6403" width="1.42578125" style="191" hidden="1"/>
    <col min="6404" max="6404" width="8.5703125" style="191" hidden="1"/>
    <col min="6405" max="6405" width="2.28515625" style="191" hidden="1"/>
    <col min="6406" max="6406" width="8" style="191" hidden="1"/>
    <col min="6407" max="6407" width="8.85546875" style="191" hidden="1"/>
    <col min="6408" max="6408" width="8.5703125" style="191" hidden="1"/>
    <col min="6409" max="6411" width="8.7109375" style="191" hidden="1"/>
    <col min="6412" max="6412" width="0.85546875" style="191" hidden="1"/>
    <col min="6413" max="6656" width="11.42578125" style="191" hidden="1"/>
    <col min="6657" max="6657" width="17" style="191" hidden="1"/>
    <col min="6658" max="6658" width="9.85546875" style="191" hidden="1"/>
    <col min="6659" max="6659" width="1.42578125" style="191" hidden="1"/>
    <col min="6660" max="6660" width="8.5703125" style="191" hidden="1"/>
    <col min="6661" max="6661" width="2.28515625" style="191" hidden="1"/>
    <col min="6662" max="6662" width="8" style="191" hidden="1"/>
    <col min="6663" max="6663" width="8.85546875" style="191" hidden="1"/>
    <col min="6664" max="6664" width="8.5703125" style="191" hidden="1"/>
    <col min="6665" max="6667" width="8.7109375" style="191" hidden="1"/>
    <col min="6668" max="6668" width="0.85546875" style="191" hidden="1"/>
    <col min="6669" max="6912" width="11.42578125" style="191" hidden="1"/>
    <col min="6913" max="6913" width="17" style="191" hidden="1"/>
    <col min="6914" max="6914" width="9.85546875" style="191" hidden="1"/>
    <col min="6915" max="6915" width="1.42578125" style="191" hidden="1"/>
    <col min="6916" max="6916" width="8.5703125" style="191" hidden="1"/>
    <col min="6917" max="6917" width="2.28515625" style="191" hidden="1"/>
    <col min="6918" max="6918" width="8" style="191" hidden="1"/>
    <col min="6919" max="6919" width="8.85546875" style="191" hidden="1"/>
    <col min="6920" max="6920" width="8.5703125" style="191" hidden="1"/>
    <col min="6921" max="6923" width="8.7109375" style="191" hidden="1"/>
    <col min="6924" max="6924" width="0.85546875" style="191" hidden="1"/>
    <col min="6925" max="7168" width="11.42578125" style="191" hidden="1"/>
    <col min="7169" max="7169" width="17" style="191" hidden="1"/>
    <col min="7170" max="7170" width="9.85546875" style="191" hidden="1"/>
    <col min="7171" max="7171" width="1.42578125" style="191" hidden="1"/>
    <col min="7172" max="7172" width="8.5703125" style="191" hidden="1"/>
    <col min="7173" max="7173" width="2.28515625" style="191" hidden="1"/>
    <col min="7174" max="7174" width="8" style="191" hidden="1"/>
    <col min="7175" max="7175" width="8.85546875" style="191" hidden="1"/>
    <col min="7176" max="7176" width="8.5703125" style="191" hidden="1"/>
    <col min="7177" max="7179" width="8.7109375" style="191" hidden="1"/>
    <col min="7180" max="7180" width="0.85546875" style="191" hidden="1"/>
    <col min="7181" max="7424" width="11.42578125" style="191" hidden="1"/>
    <col min="7425" max="7425" width="17" style="191" hidden="1"/>
    <col min="7426" max="7426" width="9.85546875" style="191" hidden="1"/>
    <col min="7427" max="7427" width="1.42578125" style="191" hidden="1"/>
    <col min="7428" max="7428" width="8.5703125" style="191" hidden="1"/>
    <col min="7429" max="7429" width="2.28515625" style="191" hidden="1"/>
    <col min="7430" max="7430" width="8" style="191" hidden="1"/>
    <col min="7431" max="7431" width="8.85546875" style="191" hidden="1"/>
    <col min="7432" max="7432" width="8.5703125" style="191" hidden="1"/>
    <col min="7433" max="7435" width="8.7109375" style="191" hidden="1"/>
    <col min="7436" max="7436" width="0.85546875" style="191" hidden="1"/>
    <col min="7437" max="7680" width="11.42578125" style="191" hidden="1"/>
    <col min="7681" max="7681" width="17" style="191" hidden="1"/>
    <col min="7682" max="7682" width="9.85546875" style="191" hidden="1"/>
    <col min="7683" max="7683" width="1.42578125" style="191" hidden="1"/>
    <col min="7684" max="7684" width="8.5703125" style="191" hidden="1"/>
    <col min="7685" max="7685" width="2.28515625" style="191" hidden="1"/>
    <col min="7686" max="7686" width="8" style="191" hidden="1"/>
    <col min="7687" max="7687" width="8.85546875" style="191" hidden="1"/>
    <col min="7688" max="7688" width="8.5703125" style="191" hidden="1"/>
    <col min="7689" max="7691" width="8.7109375" style="191" hidden="1"/>
    <col min="7692" max="7692" width="0.85546875" style="191" hidden="1"/>
    <col min="7693" max="7936" width="11.42578125" style="191" hidden="1"/>
    <col min="7937" max="7937" width="17" style="191" hidden="1"/>
    <col min="7938" max="7938" width="9.85546875" style="191" hidden="1"/>
    <col min="7939" max="7939" width="1.42578125" style="191" hidden="1"/>
    <col min="7940" max="7940" width="8.5703125" style="191" hidden="1"/>
    <col min="7941" max="7941" width="2.28515625" style="191" hidden="1"/>
    <col min="7942" max="7942" width="8" style="191" hidden="1"/>
    <col min="7943" max="7943" width="8.85546875" style="191" hidden="1"/>
    <col min="7944" max="7944" width="8.5703125" style="191" hidden="1"/>
    <col min="7945" max="7947" width="8.7109375" style="191" hidden="1"/>
    <col min="7948" max="7948" width="0.85546875" style="191" hidden="1"/>
    <col min="7949" max="8192" width="11.42578125" style="191" hidden="1"/>
    <col min="8193" max="8193" width="17" style="191" hidden="1"/>
    <col min="8194" max="8194" width="9.85546875" style="191" hidden="1"/>
    <col min="8195" max="8195" width="1.42578125" style="191" hidden="1"/>
    <col min="8196" max="8196" width="8.5703125" style="191" hidden="1"/>
    <col min="8197" max="8197" width="2.28515625" style="191" hidden="1"/>
    <col min="8198" max="8198" width="8" style="191" hidden="1"/>
    <col min="8199" max="8199" width="8.85546875" style="191" hidden="1"/>
    <col min="8200" max="8200" width="8.5703125" style="191" hidden="1"/>
    <col min="8201" max="8203" width="8.7109375" style="191" hidden="1"/>
    <col min="8204" max="8204" width="0.85546875" style="191" hidden="1"/>
    <col min="8205" max="8448" width="11.42578125" style="191" hidden="1"/>
    <col min="8449" max="8449" width="17" style="191" hidden="1"/>
    <col min="8450" max="8450" width="9.85546875" style="191" hidden="1"/>
    <col min="8451" max="8451" width="1.42578125" style="191" hidden="1"/>
    <col min="8452" max="8452" width="8.5703125" style="191" hidden="1"/>
    <col min="8453" max="8453" width="2.28515625" style="191" hidden="1"/>
    <col min="8454" max="8454" width="8" style="191" hidden="1"/>
    <col min="8455" max="8455" width="8.85546875" style="191" hidden="1"/>
    <col min="8456" max="8456" width="8.5703125" style="191" hidden="1"/>
    <col min="8457" max="8459" width="8.7109375" style="191" hidden="1"/>
    <col min="8460" max="8460" width="0.85546875" style="191" hidden="1"/>
    <col min="8461" max="8704" width="11.42578125" style="191" hidden="1"/>
    <col min="8705" max="8705" width="17" style="191" hidden="1"/>
    <col min="8706" max="8706" width="9.85546875" style="191" hidden="1"/>
    <col min="8707" max="8707" width="1.42578125" style="191" hidden="1"/>
    <col min="8708" max="8708" width="8.5703125" style="191" hidden="1"/>
    <col min="8709" max="8709" width="2.28515625" style="191" hidden="1"/>
    <col min="8710" max="8710" width="8" style="191" hidden="1"/>
    <col min="8711" max="8711" width="8.85546875" style="191" hidden="1"/>
    <col min="8712" max="8712" width="8.5703125" style="191" hidden="1"/>
    <col min="8713" max="8715" width="8.7109375" style="191" hidden="1"/>
    <col min="8716" max="8716" width="0.85546875" style="191" hidden="1"/>
    <col min="8717" max="8960" width="11.42578125" style="191" hidden="1"/>
    <col min="8961" max="8961" width="17" style="191" hidden="1"/>
    <col min="8962" max="8962" width="9.85546875" style="191" hidden="1"/>
    <col min="8963" max="8963" width="1.42578125" style="191" hidden="1"/>
    <col min="8964" max="8964" width="8.5703125" style="191" hidden="1"/>
    <col min="8965" max="8965" width="2.28515625" style="191" hidden="1"/>
    <col min="8966" max="8966" width="8" style="191" hidden="1"/>
    <col min="8967" max="8967" width="8.85546875" style="191" hidden="1"/>
    <col min="8968" max="8968" width="8.5703125" style="191" hidden="1"/>
    <col min="8969" max="8971" width="8.7109375" style="191" hidden="1"/>
    <col min="8972" max="8972" width="0.85546875" style="191" hidden="1"/>
    <col min="8973" max="9216" width="11.42578125" style="191" hidden="1"/>
    <col min="9217" max="9217" width="17" style="191" hidden="1"/>
    <col min="9218" max="9218" width="9.85546875" style="191" hidden="1"/>
    <col min="9219" max="9219" width="1.42578125" style="191" hidden="1"/>
    <col min="9220" max="9220" width="8.5703125" style="191" hidden="1"/>
    <col min="9221" max="9221" width="2.28515625" style="191" hidden="1"/>
    <col min="9222" max="9222" width="8" style="191" hidden="1"/>
    <col min="9223" max="9223" width="8.85546875" style="191" hidden="1"/>
    <col min="9224" max="9224" width="8.5703125" style="191" hidden="1"/>
    <col min="9225" max="9227" width="8.7109375" style="191" hidden="1"/>
    <col min="9228" max="9228" width="0.85546875" style="191" hidden="1"/>
    <col min="9229" max="9472" width="11.42578125" style="191" hidden="1"/>
    <col min="9473" max="9473" width="17" style="191" hidden="1"/>
    <col min="9474" max="9474" width="9.85546875" style="191" hidden="1"/>
    <col min="9475" max="9475" width="1.42578125" style="191" hidden="1"/>
    <col min="9476" max="9476" width="8.5703125" style="191" hidden="1"/>
    <col min="9477" max="9477" width="2.28515625" style="191" hidden="1"/>
    <col min="9478" max="9478" width="8" style="191" hidden="1"/>
    <col min="9479" max="9479" width="8.85546875" style="191" hidden="1"/>
    <col min="9480" max="9480" width="8.5703125" style="191" hidden="1"/>
    <col min="9481" max="9483" width="8.7109375" style="191" hidden="1"/>
    <col min="9484" max="9484" width="0.85546875" style="191" hidden="1"/>
    <col min="9485" max="9728" width="11.42578125" style="191" hidden="1"/>
    <col min="9729" max="9729" width="17" style="191" hidden="1"/>
    <col min="9730" max="9730" width="9.85546875" style="191" hidden="1"/>
    <col min="9731" max="9731" width="1.42578125" style="191" hidden="1"/>
    <col min="9732" max="9732" width="8.5703125" style="191" hidden="1"/>
    <col min="9733" max="9733" width="2.28515625" style="191" hidden="1"/>
    <col min="9734" max="9734" width="8" style="191" hidden="1"/>
    <col min="9735" max="9735" width="8.85546875" style="191" hidden="1"/>
    <col min="9736" max="9736" width="8.5703125" style="191" hidden="1"/>
    <col min="9737" max="9739" width="8.7109375" style="191" hidden="1"/>
    <col min="9740" max="9740" width="0.85546875" style="191" hidden="1"/>
    <col min="9741" max="9984" width="11.42578125" style="191" hidden="1"/>
    <col min="9985" max="9985" width="17" style="191" hidden="1"/>
    <col min="9986" max="9986" width="9.85546875" style="191" hidden="1"/>
    <col min="9987" max="9987" width="1.42578125" style="191" hidden="1"/>
    <col min="9988" max="9988" width="8.5703125" style="191" hidden="1"/>
    <col min="9989" max="9989" width="2.28515625" style="191" hidden="1"/>
    <col min="9990" max="9990" width="8" style="191" hidden="1"/>
    <col min="9991" max="9991" width="8.85546875" style="191" hidden="1"/>
    <col min="9992" max="9992" width="8.5703125" style="191" hidden="1"/>
    <col min="9993" max="9995" width="8.7109375" style="191" hidden="1"/>
    <col min="9996" max="9996" width="0.85546875" style="191" hidden="1"/>
    <col min="9997" max="10240" width="11.42578125" style="191" hidden="1"/>
    <col min="10241" max="10241" width="17" style="191" hidden="1"/>
    <col min="10242" max="10242" width="9.85546875" style="191" hidden="1"/>
    <col min="10243" max="10243" width="1.42578125" style="191" hidden="1"/>
    <col min="10244" max="10244" width="8.5703125" style="191" hidden="1"/>
    <col min="10245" max="10245" width="2.28515625" style="191" hidden="1"/>
    <col min="10246" max="10246" width="8" style="191" hidden="1"/>
    <col min="10247" max="10247" width="8.85546875" style="191" hidden="1"/>
    <col min="10248" max="10248" width="8.5703125" style="191" hidden="1"/>
    <col min="10249" max="10251" width="8.7109375" style="191" hidden="1"/>
    <col min="10252" max="10252" width="0.85546875" style="191" hidden="1"/>
    <col min="10253" max="10496" width="11.42578125" style="191" hidden="1"/>
    <col min="10497" max="10497" width="17" style="191" hidden="1"/>
    <col min="10498" max="10498" width="9.85546875" style="191" hidden="1"/>
    <col min="10499" max="10499" width="1.42578125" style="191" hidden="1"/>
    <col min="10500" max="10500" width="8.5703125" style="191" hidden="1"/>
    <col min="10501" max="10501" width="2.28515625" style="191" hidden="1"/>
    <col min="10502" max="10502" width="8" style="191" hidden="1"/>
    <col min="10503" max="10503" width="8.85546875" style="191" hidden="1"/>
    <col min="10504" max="10504" width="8.5703125" style="191" hidden="1"/>
    <col min="10505" max="10507" width="8.7109375" style="191" hidden="1"/>
    <col min="10508" max="10508" width="0.85546875" style="191" hidden="1"/>
    <col min="10509" max="10752" width="11.42578125" style="191" hidden="1"/>
    <col min="10753" max="10753" width="17" style="191" hidden="1"/>
    <col min="10754" max="10754" width="9.85546875" style="191" hidden="1"/>
    <col min="10755" max="10755" width="1.42578125" style="191" hidden="1"/>
    <col min="10756" max="10756" width="8.5703125" style="191" hidden="1"/>
    <col min="10757" max="10757" width="2.28515625" style="191" hidden="1"/>
    <col min="10758" max="10758" width="8" style="191" hidden="1"/>
    <col min="10759" max="10759" width="8.85546875" style="191" hidden="1"/>
    <col min="10760" max="10760" width="8.5703125" style="191" hidden="1"/>
    <col min="10761" max="10763" width="8.7109375" style="191" hidden="1"/>
    <col min="10764" max="10764" width="0.85546875" style="191" hidden="1"/>
    <col min="10765" max="11008" width="11.42578125" style="191" hidden="1"/>
    <col min="11009" max="11009" width="17" style="191" hidden="1"/>
    <col min="11010" max="11010" width="9.85546875" style="191" hidden="1"/>
    <col min="11011" max="11011" width="1.42578125" style="191" hidden="1"/>
    <col min="11012" max="11012" width="8.5703125" style="191" hidden="1"/>
    <col min="11013" max="11013" width="2.28515625" style="191" hidden="1"/>
    <col min="11014" max="11014" width="8" style="191" hidden="1"/>
    <col min="11015" max="11015" width="8.85546875" style="191" hidden="1"/>
    <col min="11016" max="11016" width="8.5703125" style="191" hidden="1"/>
    <col min="11017" max="11019" width="8.7109375" style="191" hidden="1"/>
    <col min="11020" max="11020" width="0.85546875" style="191" hidden="1"/>
    <col min="11021" max="11264" width="11.42578125" style="191" hidden="1"/>
    <col min="11265" max="11265" width="17" style="191" hidden="1"/>
    <col min="11266" max="11266" width="9.85546875" style="191" hidden="1"/>
    <col min="11267" max="11267" width="1.42578125" style="191" hidden="1"/>
    <col min="11268" max="11268" width="8.5703125" style="191" hidden="1"/>
    <col min="11269" max="11269" width="2.28515625" style="191" hidden="1"/>
    <col min="11270" max="11270" width="8" style="191" hidden="1"/>
    <col min="11271" max="11271" width="8.85546875" style="191" hidden="1"/>
    <col min="11272" max="11272" width="8.5703125" style="191" hidden="1"/>
    <col min="11273" max="11275" width="8.7109375" style="191" hidden="1"/>
    <col min="11276" max="11276" width="0.85546875" style="191" hidden="1"/>
    <col min="11277" max="11520" width="11.42578125" style="191" hidden="1"/>
    <col min="11521" max="11521" width="17" style="191" hidden="1"/>
    <col min="11522" max="11522" width="9.85546875" style="191" hidden="1"/>
    <col min="11523" max="11523" width="1.42578125" style="191" hidden="1"/>
    <col min="11524" max="11524" width="8.5703125" style="191" hidden="1"/>
    <col min="11525" max="11525" width="2.28515625" style="191" hidden="1"/>
    <col min="11526" max="11526" width="8" style="191" hidden="1"/>
    <col min="11527" max="11527" width="8.85546875" style="191" hidden="1"/>
    <col min="11528" max="11528" width="8.5703125" style="191" hidden="1"/>
    <col min="11529" max="11531" width="8.7109375" style="191" hidden="1"/>
    <col min="11532" max="11532" width="0.85546875" style="191" hidden="1"/>
    <col min="11533" max="11776" width="11.42578125" style="191" hidden="1"/>
    <col min="11777" max="11777" width="17" style="191" hidden="1"/>
    <col min="11778" max="11778" width="9.85546875" style="191" hidden="1"/>
    <col min="11779" max="11779" width="1.42578125" style="191" hidden="1"/>
    <col min="11780" max="11780" width="8.5703125" style="191" hidden="1"/>
    <col min="11781" max="11781" width="2.28515625" style="191" hidden="1"/>
    <col min="11782" max="11782" width="8" style="191" hidden="1"/>
    <col min="11783" max="11783" width="8.85546875" style="191" hidden="1"/>
    <col min="11784" max="11784" width="8.5703125" style="191" hidden="1"/>
    <col min="11785" max="11787" width="8.7109375" style="191" hidden="1"/>
    <col min="11788" max="11788" width="0.85546875" style="191" hidden="1"/>
    <col min="11789" max="12032" width="11.42578125" style="191" hidden="1"/>
    <col min="12033" max="12033" width="17" style="191" hidden="1"/>
    <col min="12034" max="12034" width="9.85546875" style="191" hidden="1"/>
    <col min="12035" max="12035" width="1.42578125" style="191" hidden="1"/>
    <col min="12036" max="12036" width="8.5703125" style="191" hidden="1"/>
    <col min="12037" max="12037" width="2.28515625" style="191" hidden="1"/>
    <col min="12038" max="12038" width="8" style="191" hidden="1"/>
    <col min="12039" max="12039" width="8.85546875" style="191" hidden="1"/>
    <col min="12040" max="12040" width="8.5703125" style="191" hidden="1"/>
    <col min="12041" max="12043" width="8.7109375" style="191" hidden="1"/>
    <col min="12044" max="12044" width="0.85546875" style="191" hidden="1"/>
    <col min="12045" max="12288" width="11.42578125" style="191" hidden="1"/>
    <col min="12289" max="12289" width="17" style="191" hidden="1"/>
    <col min="12290" max="12290" width="9.85546875" style="191" hidden="1"/>
    <col min="12291" max="12291" width="1.42578125" style="191" hidden="1"/>
    <col min="12292" max="12292" width="8.5703125" style="191" hidden="1"/>
    <col min="12293" max="12293" width="2.28515625" style="191" hidden="1"/>
    <col min="12294" max="12294" width="8" style="191" hidden="1"/>
    <col min="12295" max="12295" width="8.85546875" style="191" hidden="1"/>
    <col min="12296" max="12296" width="8.5703125" style="191" hidden="1"/>
    <col min="12297" max="12299" width="8.7109375" style="191" hidden="1"/>
    <col min="12300" max="12300" width="0.85546875" style="191" hidden="1"/>
    <col min="12301" max="12544" width="11.42578125" style="191" hidden="1"/>
    <col min="12545" max="12545" width="17" style="191" hidden="1"/>
    <col min="12546" max="12546" width="9.85546875" style="191" hidden="1"/>
    <col min="12547" max="12547" width="1.42578125" style="191" hidden="1"/>
    <col min="12548" max="12548" width="8.5703125" style="191" hidden="1"/>
    <col min="12549" max="12549" width="2.28515625" style="191" hidden="1"/>
    <col min="12550" max="12550" width="8" style="191" hidden="1"/>
    <col min="12551" max="12551" width="8.85546875" style="191" hidden="1"/>
    <col min="12552" max="12552" width="8.5703125" style="191" hidden="1"/>
    <col min="12553" max="12555" width="8.7109375" style="191" hidden="1"/>
    <col min="12556" max="12556" width="0.85546875" style="191" hidden="1"/>
    <col min="12557" max="12800" width="11.42578125" style="191" hidden="1"/>
    <col min="12801" max="12801" width="17" style="191" hidden="1"/>
    <col min="12802" max="12802" width="9.85546875" style="191" hidden="1"/>
    <col min="12803" max="12803" width="1.42578125" style="191" hidden="1"/>
    <col min="12804" max="12804" width="8.5703125" style="191" hidden="1"/>
    <col min="12805" max="12805" width="2.28515625" style="191" hidden="1"/>
    <col min="12806" max="12806" width="8" style="191" hidden="1"/>
    <col min="12807" max="12807" width="8.85546875" style="191" hidden="1"/>
    <col min="12808" max="12808" width="8.5703125" style="191" hidden="1"/>
    <col min="12809" max="12811" width="8.7109375" style="191" hidden="1"/>
    <col min="12812" max="12812" width="0.85546875" style="191" hidden="1"/>
    <col min="12813" max="13056" width="11.42578125" style="191" hidden="1"/>
    <col min="13057" max="13057" width="17" style="191" hidden="1"/>
    <col min="13058" max="13058" width="9.85546875" style="191" hidden="1"/>
    <col min="13059" max="13059" width="1.42578125" style="191" hidden="1"/>
    <col min="13060" max="13060" width="8.5703125" style="191" hidden="1"/>
    <col min="13061" max="13061" width="2.28515625" style="191" hidden="1"/>
    <col min="13062" max="13062" width="8" style="191" hidden="1"/>
    <col min="13063" max="13063" width="8.85546875" style="191" hidden="1"/>
    <col min="13064" max="13064" width="8.5703125" style="191" hidden="1"/>
    <col min="13065" max="13067" width="8.7109375" style="191" hidden="1"/>
    <col min="13068" max="13068" width="0.85546875" style="191" hidden="1"/>
    <col min="13069" max="13312" width="11.42578125" style="191" hidden="1"/>
    <col min="13313" max="13313" width="17" style="191" hidden="1"/>
    <col min="13314" max="13314" width="9.85546875" style="191" hidden="1"/>
    <col min="13315" max="13315" width="1.42578125" style="191" hidden="1"/>
    <col min="13316" max="13316" width="8.5703125" style="191" hidden="1"/>
    <col min="13317" max="13317" width="2.28515625" style="191" hidden="1"/>
    <col min="13318" max="13318" width="8" style="191" hidden="1"/>
    <col min="13319" max="13319" width="8.85546875" style="191" hidden="1"/>
    <col min="13320" max="13320" width="8.5703125" style="191" hidden="1"/>
    <col min="13321" max="13323" width="8.7109375" style="191" hidden="1"/>
    <col min="13324" max="13324" width="0.85546875" style="191" hidden="1"/>
    <col min="13325" max="13568" width="11.42578125" style="191" hidden="1"/>
    <col min="13569" max="13569" width="17" style="191" hidden="1"/>
    <col min="13570" max="13570" width="9.85546875" style="191" hidden="1"/>
    <col min="13571" max="13571" width="1.42578125" style="191" hidden="1"/>
    <col min="13572" max="13572" width="8.5703125" style="191" hidden="1"/>
    <col min="13573" max="13573" width="2.28515625" style="191" hidden="1"/>
    <col min="13574" max="13574" width="8" style="191" hidden="1"/>
    <col min="13575" max="13575" width="8.85546875" style="191" hidden="1"/>
    <col min="13576" max="13576" width="8.5703125" style="191" hidden="1"/>
    <col min="13577" max="13579" width="8.7109375" style="191" hidden="1"/>
    <col min="13580" max="13580" width="0.85546875" style="191" hidden="1"/>
    <col min="13581" max="13824" width="11.42578125" style="191" hidden="1"/>
    <col min="13825" max="13825" width="17" style="191" hidden="1"/>
    <col min="13826" max="13826" width="9.85546875" style="191" hidden="1"/>
    <col min="13827" max="13827" width="1.42578125" style="191" hidden="1"/>
    <col min="13828" max="13828" width="8.5703125" style="191" hidden="1"/>
    <col min="13829" max="13829" width="2.28515625" style="191" hidden="1"/>
    <col min="13830" max="13830" width="8" style="191" hidden="1"/>
    <col min="13831" max="13831" width="8.85546875" style="191" hidden="1"/>
    <col min="13832" max="13832" width="8.5703125" style="191" hidden="1"/>
    <col min="13833" max="13835" width="8.7109375" style="191" hidden="1"/>
    <col min="13836" max="13836" width="0.85546875" style="191" hidden="1"/>
    <col min="13837" max="14080" width="11.42578125" style="191" hidden="1"/>
    <col min="14081" max="14081" width="17" style="191" hidden="1"/>
    <col min="14082" max="14082" width="9.85546875" style="191" hidden="1"/>
    <col min="14083" max="14083" width="1.42578125" style="191" hidden="1"/>
    <col min="14084" max="14084" width="8.5703125" style="191" hidden="1"/>
    <col min="14085" max="14085" width="2.28515625" style="191" hidden="1"/>
    <col min="14086" max="14086" width="8" style="191" hidden="1"/>
    <col min="14087" max="14087" width="8.85546875" style="191" hidden="1"/>
    <col min="14088" max="14088" width="8.5703125" style="191" hidden="1"/>
    <col min="14089" max="14091" width="8.7109375" style="191" hidden="1"/>
    <col min="14092" max="14092" width="0.85546875" style="191" hidden="1"/>
    <col min="14093" max="14336" width="11.42578125" style="191" hidden="1"/>
    <col min="14337" max="14337" width="17" style="191" hidden="1"/>
    <col min="14338" max="14338" width="9.85546875" style="191" hidden="1"/>
    <col min="14339" max="14339" width="1.42578125" style="191" hidden="1"/>
    <col min="14340" max="14340" width="8.5703125" style="191" hidden="1"/>
    <col min="14341" max="14341" width="2.28515625" style="191" hidden="1"/>
    <col min="14342" max="14342" width="8" style="191" hidden="1"/>
    <col min="14343" max="14343" width="8.85546875" style="191" hidden="1"/>
    <col min="14344" max="14344" width="8.5703125" style="191" hidden="1"/>
    <col min="14345" max="14347" width="8.7109375" style="191" hidden="1"/>
    <col min="14348" max="14348" width="0.85546875" style="191" hidden="1"/>
    <col min="14349" max="14592" width="11.42578125" style="191" hidden="1"/>
    <col min="14593" max="14593" width="17" style="191" hidden="1"/>
    <col min="14594" max="14594" width="9.85546875" style="191" hidden="1"/>
    <col min="14595" max="14595" width="1.42578125" style="191" hidden="1"/>
    <col min="14596" max="14596" width="8.5703125" style="191" hidden="1"/>
    <col min="14597" max="14597" width="2.28515625" style="191" hidden="1"/>
    <col min="14598" max="14598" width="8" style="191" hidden="1"/>
    <col min="14599" max="14599" width="8.85546875" style="191" hidden="1"/>
    <col min="14600" max="14600" width="8.5703125" style="191" hidden="1"/>
    <col min="14601" max="14603" width="8.7109375" style="191" hidden="1"/>
    <col min="14604" max="14604" width="0.85546875" style="191" hidden="1"/>
    <col min="14605" max="14848" width="11.42578125" style="191" hidden="1"/>
    <col min="14849" max="14849" width="17" style="191" hidden="1"/>
    <col min="14850" max="14850" width="9.85546875" style="191" hidden="1"/>
    <col min="14851" max="14851" width="1.42578125" style="191" hidden="1"/>
    <col min="14852" max="14852" width="8.5703125" style="191" hidden="1"/>
    <col min="14853" max="14853" width="2.28515625" style="191" hidden="1"/>
    <col min="14854" max="14854" width="8" style="191" hidden="1"/>
    <col min="14855" max="14855" width="8.85546875" style="191" hidden="1"/>
    <col min="14856" max="14856" width="8.5703125" style="191" hidden="1"/>
    <col min="14857" max="14859" width="8.7109375" style="191" hidden="1"/>
    <col min="14860" max="14860" width="0.85546875" style="191" hidden="1"/>
    <col min="14861" max="15104" width="11.42578125" style="191" hidden="1"/>
    <col min="15105" max="15105" width="17" style="191" hidden="1"/>
    <col min="15106" max="15106" width="9.85546875" style="191" hidden="1"/>
    <col min="15107" max="15107" width="1.42578125" style="191" hidden="1"/>
    <col min="15108" max="15108" width="8.5703125" style="191" hidden="1"/>
    <col min="15109" max="15109" width="2.28515625" style="191" hidden="1"/>
    <col min="15110" max="15110" width="8" style="191" hidden="1"/>
    <col min="15111" max="15111" width="8.85546875" style="191" hidden="1"/>
    <col min="15112" max="15112" width="8.5703125" style="191" hidden="1"/>
    <col min="15113" max="15115" width="8.7109375" style="191" hidden="1"/>
    <col min="15116" max="15116" width="0.85546875" style="191" hidden="1"/>
    <col min="15117" max="15360" width="11.42578125" style="191" hidden="1"/>
    <col min="15361" max="15361" width="17" style="191" hidden="1"/>
    <col min="15362" max="15362" width="9.85546875" style="191" hidden="1"/>
    <col min="15363" max="15363" width="1.42578125" style="191" hidden="1"/>
    <col min="15364" max="15364" width="8.5703125" style="191" hidden="1"/>
    <col min="15365" max="15365" width="2.28515625" style="191" hidden="1"/>
    <col min="15366" max="15366" width="8" style="191" hidden="1"/>
    <col min="15367" max="15367" width="8.85546875" style="191" hidden="1"/>
    <col min="15368" max="15368" width="8.5703125" style="191" hidden="1"/>
    <col min="15369" max="15371" width="8.7109375" style="191" hidden="1"/>
    <col min="15372" max="15372" width="0.85546875" style="191" hidden="1"/>
    <col min="15373" max="15616" width="11.42578125" style="191" hidden="1"/>
    <col min="15617" max="15617" width="17" style="191" hidden="1"/>
    <col min="15618" max="15618" width="9.85546875" style="191" hidden="1"/>
    <col min="15619" max="15619" width="1.42578125" style="191" hidden="1"/>
    <col min="15620" max="15620" width="8.5703125" style="191" hidden="1"/>
    <col min="15621" max="15621" width="2.28515625" style="191" hidden="1"/>
    <col min="15622" max="15622" width="8" style="191" hidden="1"/>
    <col min="15623" max="15623" width="8.85546875" style="191" hidden="1"/>
    <col min="15624" max="15624" width="8.5703125" style="191" hidden="1"/>
    <col min="15625" max="15627" width="8.7109375" style="191" hidden="1"/>
    <col min="15628" max="15628" width="0.85546875" style="191" hidden="1"/>
    <col min="15629" max="15872" width="11.42578125" style="191" hidden="1"/>
    <col min="15873" max="15873" width="17" style="191" hidden="1"/>
    <col min="15874" max="15874" width="9.85546875" style="191" hidden="1"/>
    <col min="15875" max="15875" width="1.42578125" style="191" hidden="1"/>
    <col min="15876" max="15876" width="8.5703125" style="191" hidden="1"/>
    <col min="15877" max="15877" width="2.28515625" style="191" hidden="1"/>
    <col min="15878" max="15878" width="8" style="191" hidden="1"/>
    <col min="15879" max="15879" width="8.85546875" style="191" hidden="1"/>
    <col min="15880" max="15880" width="8.5703125" style="191" hidden="1"/>
    <col min="15881" max="15883" width="8.7109375" style="191" hidden="1"/>
    <col min="15884" max="15884" width="0.85546875" style="191" hidden="1"/>
    <col min="15885" max="16128" width="11.42578125" style="191" hidden="1"/>
    <col min="16129" max="16129" width="17" style="191" hidden="1"/>
    <col min="16130" max="16130" width="9.85546875" style="191" hidden="1"/>
    <col min="16131" max="16131" width="1.42578125" style="191" hidden="1"/>
    <col min="16132" max="16132" width="8.5703125" style="191" hidden="1"/>
    <col min="16133" max="16133" width="2.28515625" style="191" hidden="1"/>
    <col min="16134" max="16134" width="8" style="191" hidden="1"/>
    <col min="16135" max="16135" width="8.85546875" style="191" hidden="1"/>
    <col min="16136" max="16136" width="8.5703125" style="191" hidden="1"/>
    <col min="16137" max="16139" width="8.7109375" style="191" hidden="1"/>
    <col min="16140" max="16140" width="0.85546875" style="191" hidden="1"/>
    <col min="16141" max="16384" width="11.42578125" style="191" hidden="1"/>
  </cols>
  <sheetData>
    <row r="1" spans="1:12" s="185" customFormat="1" ht="12" customHeight="1" x14ac:dyDescent="0.25">
      <c r="A1" s="183" t="s">
        <v>156</v>
      </c>
      <c r="B1" s="184"/>
      <c r="C1" s="184"/>
      <c r="D1" s="184"/>
      <c r="E1" s="184"/>
      <c r="F1" s="184"/>
      <c r="G1" s="184"/>
      <c r="H1" s="184"/>
      <c r="I1" s="184"/>
      <c r="J1" s="184"/>
      <c r="K1" s="754" t="s">
        <v>157</v>
      </c>
    </row>
    <row r="2" spans="1:12" s="185" customFormat="1" ht="12" customHeight="1" x14ac:dyDescent="0.25">
      <c r="A2" s="183" t="s">
        <v>158</v>
      </c>
      <c r="B2" s="184"/>
      <c r="C2" s="184"/>
      <c r="D2" s="184"/>
      <c r="E2" s="184"/>
      <c r="F2" s="184"/>
      <c r="G2" s="184"/>
      <c r="H2" s="184"/>
      <c r="I2" s="184"/>
      <c r="J2" s="184"/>
      <c r="K2" s="186"/>
    </row>
    <row r="3" spans="1:12" s="185" customFormat="1" ht="12" customHeight="1" x14ac:dyDescent="0.25">
      <c r="A3" s="187" t="s">
        <v>159</v>
      </c>
      <c r="B3" s="184"/>
      <c r="C3" s="184"/>
      <c r="D3" s="184"/>
      <c r="E3" s="184"/>
      <c r="F3" s="184"/>
      <c r="G3" s="184"/>
      <c r="H3" s="184"/>
      <c r="I3" s="184"/>
      <c r="J3" s="184"/>
      <c r="K3" s="188"/>
    </row>
    <row r="4" spans="1:12" ht="3.75" customHeight="1" x14ac:dyDescent="0.25">
      <c r="A4" s="189"/>
      <c r="B4" s="190"/>
      <c r="C4" s="190"/>
      <c r="D4" s="190"/>
      <c r="E4" s="190"/>
      <c r="F4" s="190"/>
      <c r="G4" s="190"/>
      <c r="H4" s="190"/>
      <c r="I4" s="190"/>
      <c r="J4" s="190"/>
      <c r="K4" s="190"/>
    </row>
    <row r="5" spans="1:12" ht="3" customHeight="1" x14ac:dyDescent="0.25">
      <c r="A5" s="192"/>
      <c r="B5" s="192"/>
      <c r="C5" s="192"/>
      <c r="D5" s="192"/>
      <c r="E5" s="192"/>
      <c r="F5" s="192"/>
      <c r="G5" s="192"/>
      <c r="H5" s="192"/>
      <c r="I5" s="192"/>
      <c r="J5" s="192"/>
    </row>
    <row r="6" spans="1:12" s="195" customFormat="1" ht="9.6" customHeight="1" x14ac:dyDescent="0.15">
      <c r="A6" s="791" t="s">
        <v>4</v>
      </c>
      <c r="B6" s="792" t="s">
        <v>160</v>
      </c>
      <c r="C6" s="193"/>
      <c r="D6" s="194" t="s">
        <v>161</v>
      </c>
      <c r="E6" s="194"/>
      <c r="F6" s="194"/>
      <c r="G6" s="194"/>
      <c r="H6" s="194"/>
      <c r="I6" s="194"/>
      <c r="J6" s="194"/>
      <c r="K6" s="794" t="s">
        <v>162</v>
      </c>
    </row>
    <row r="7" spans="1:12" s="195" customFormat="1" ht="9.6" customHeight="1" x14ac:dyDescent="0.15">
      <c r="A7" s="791"/>
      <c r="B7" s="792"/>
      <c r="C7" s="193"/>
      <c r="D7" s="196" t="s">
        <v>163</v>
      </c>
      <c r="E7" s="197"/>
      <c r="F7" s="194" t="s">
        <v>164</v>
      </c>
      <c r="G7" s="194"/>
      <c r="H7" s="194"/>
      <c r="I7" s="194"/>
      <c r="J7" s="194"/>
      <c r="K7" s="794"/>
    </row>
    <row r="8" spans="1:12" s="195" customFormat="1" ht="9.9499999999999993" customHeight="1" x14ac:dyDescent="0.15">
      <c r="A8" s="791"/>
      <c r="B8" s="793"/>
      <c r="C8" s="198"/>
      <c r="D8" s="199" t="s">
        <v>165</v>
      </c>
      <c r="E8" s="199"/>
      <c r="F8" s="199" t="s">
        <v>13</v>
      </c>
      <c r="G8" s="753" t="s">
        <v>166</v>
      </c>
      <c r="H8" s="753" t="s">
        <v>167</v>
      </c>
      <c r="I8" s="200" t="s">
        <v>168</v>
      </c>
      <c r="J8" s="796" t="s">
        <v>169</v>
      </c>
      <c r="K8" s="795"/>
    </row>
    <row r="9" spans="1:12" s="195" customFormat="1" ht="9" customHeight="1" x14ac:dyDescent="0.15">
      <c r="A9" s="791"/>
      <c r="B9" s="198"/>
      <c r="C9" s="201"/>
      <c r="D9" s="201"/>
      <c r="E9" s="201"/>
      <c r="F9" s="201"/>
      <c r="G9" s="198"/>
      <c r="H9" s="198"/>
      <c r="I9" s="202"/>
      <c r="J9" s="797"/>
      <c r="K9" s="198"/>
    </row>
    <row r="10" spans="1:12" s="195" customFormat="1" ht="9.6" customHeight="1" x14ac:dyDescent="0.15">
      <c r="A10" s="791"/>
      <c r="B10" s="198"/>
      <c r="C10" s="198"/>
      <c r="D10" s="198"/>
      <c r="E10" s="198"/>
      <c r="F10" s="198"/>
      <c r="G10" s="198"/>
      <c r="H10" s="198"/>
      <c r="I10" s="202"/>
      <c r="J10" s="797"/>
      <c r="K10" s="198"/>
    </row>
    <row r="11" spans="1:12" ht="3" customHeight="1" x14ac:dyDescent="0.25">
      <c r="A11" s="190"/>
      <c r="B11" s="190"/>
      <c r="C11" s="190"/>
      <c r="D11" s="190"/>
      <c r="E11" s="190"/>
      <c r="F11" s="190"/>
      <c r="G11" s="190"/>
      <c r="H11" s="190"/>
      <c r="I11" s="190"/>
      <c r="J11" s="190"/>
      <c r="K11" s="190"/>
    </row>
    <row r="12" spans="1:12" ht="3" customHeight="1" x14ac:dyDescent="0.25">
      <c r="A12" s="192"/>
      <c r="B12" s="192"/>
      <c r="C12" s="192"/>
      <c r="D12" s="192"/>
      <c r="E12" s="192"/>
      <c r="F12" s="192"/>
      <c r="G12" s="192"/>
      <c r="H12" s="192"/>
      <c r="I12" s="192"/>
      <c r="J12" s="192"/>
    </row>
    <row r="13" spans="1:12" ht="9" customHeight="1" x14ac:dyDescent="0.25">
      <c r="A13" s="203" t="s">
        <v>170</v>
      </c>
      <c r="B13" s="192"/>
      <c r="C13" s="192"/>
      <c r="D13" s="192"/>
      <c r="E13" s="192"/>
      <c r="F13" s="192"/>
      <c r="G13" s="192"/>
      <c r="H13" s="192"/>
      <c r="I13" s="192"/>
      <c r="J13" s="192"/>
    </row>
    <row r="14" spans="1:12" ht="3.95" customHeight="1" x14ac:dyDescent="0.25">
      <c r="A14" s="192"/>
      <c r="B14" s="192"/>
      <c r="C14" s="192"/>
      <c r="D14" s="192"/>
      <c r="E14" s="192"/>
      <c r="F14" s="192"/>
      <c r="G14" s="192"/>
      <c r="H14" s="192"/>
      <c r="I14" s="192"/>
      <c r="J14" s="192"/>
    </row>
    <row r="15" spans="1:12" ht="9" customHeight="1" x14ac:dyDescent="0.25">
      <c r="A15" s="204" t="s">
        <v>21</v>
      </c>
      <c r="B15" s="205">
        <f>SUM(B17:B48)</f>
        <v>107477719</v>
      </c>
      <c r="C15" s="205"/>
      <c r="D15" s="205">
        <f t="shared" ref="D15" si="0">SUM(D17:D48)</f>
        <v>43479016</v>
      </c>
      <c r="E15" s="205"/>
      <c r="F15" s="205">
        <f t="shared" ref="F15:K15" si="1">SUM(F17:F48)</f>
        <v>63935370</v>
      </c>
      <c r="G15" s="205">
        <f t="shared" si="1"/>
        <v>34545220</v>
      </c>
      <c r="H15" s="205">
        <f t="shared" si="1"/>
        <v>6057647</v>
      </c>
      <c r="I15" s="205">
        <f t="shared" si="1"/>
        <v>18910718</v>
      </c>
      <c r="J15" s="205">
        <f t="shared" si="1"/>
        <v>4421785</v>
      </c>
      <c r="K15" s="205">
        <f t="shared" si="1"/>
        <v>63333</v>
      </c>
      <c r="L15" s="206"/>
    </row>
    <row r="16" spans="1:12" ht="3.95" customHeight="1" x14ac:dyDescent="0.25">
      <c r="A16" s="204"/>
      <c r="B16" s="205"/>
      <c r="C16" s="205"/>
      <c r="D16" s="205"/>
      <c r="E16" s="205"/>
      <c r="F16" s="205"/>
      <c r="G16" s="205"/>
      <c r="H16" s="205"/>
      <c r="I16" s="205"/>
      <c r="J16" s="205"/>
      <c r="K16" s="205"/>
      <c r="L16" s="206"/>
    </row>
    <row r="17" spans="1:12" ht="8.25" customHeight="1" x14ac:dyDescent="0.25">
      <c r="A17" s="206" t="s">
        <v>23</v>
      </c>
      <c r="B17" s="207">
        <f>SUM(D17,F17,K17)</f>
        <v>1140673</v>
      </c>
      <c r="C17" s="207"/>
      <c r="D17" s="207">
        <v>301940</v>
      </c>
      <c r="E17" s="207"/>
      <c r="F17" s="207">
        <f>SUM(G17:J17)</f>
        <v>838445</v>
      </c>
      <c r="G17" s="207">
        <v>511706</v>
      </c>
      <c r="H17" s="207">
        <v>71588</v>
      </c>
      <c r="I17" s="207">
        <v>238117</v>
      </c>
      <c r="J17" s="207">
        <v>17034</v>
      </c>
      <c r="K17" s="207">
        <v>288</v>
      </c>
      <c r="L17" s="204"/>
    </row>
    <row r="18" spans="1:12" ht="8.25" customHeight="1" x14ac:dyDescent="0.25">
      <c r="A18" s="206" t="s">
        <v>24</v>
      </c>
      <c r="B18" s="207">
        <f t="shared" ref="B18:B48" si="2">SUM(D18,F18,K18)</f>
        <v>3158547</v>
      </c>
      <c r="C18" s="207"/>
      <c r="D18" s="207">
        <v>1157799</v>
      </c>
      <c r="E18" s="207"/>
      <c r="F18" s="207">
        <f t="shared" ref="F18:F48" si="3">SUM(G18:J18)</f>
        <v>2000356</v>
      </c>
      <c r="G18" s="207">
        <v>1340914</v>
      </c>
      <c r="H18" s="207">
        <v>114525</v>
      </c>
      <c r="I18" s="207">
        <v>370939</v>
      </c>
      <c r="J18" s="207">
        <v>173978</v>
      </c>
      <c r="K18" s="207">
        <v>392</v>
      </c>
      <c r="L18" s="206"/>
    </row>
    <row r="19" spans="1:12" ht="8.25" customHeight="1" x14ac:dyDescent="0.25">
      <c r="A19" s="206" t="s">
        <v>25</v>
      </c>
      <c r="B19" s="207">
        <f t="shared" si="2"/>
        <v>564156</v>
      </c>
      <c r="C19" s="207"/>
      <c r="D19" s="207">
        <v>148008</v>
      </c>
      <c r="E19" s="207"/>
      <c r="F19" s="207">
        <f t="shared" si="3"/>
        <v>415125</v>
      </c>
      <c r="G19" s="207">
        <v>243487</v>
      </c>
      <c r="H19" s="207">
        <v>85179</v>
      </c>
      <c r="I19" s="207">
        <v>71370</v>
      </c>
      <c r="J19" s="207">
        <v>15089</v>
      </c>
      <c r="K19" s="207">
        <v>1023</v>
      </c>
      <c r="L19" s="206"/>
    </row>
    <row r="20" spans="1:12" ht="8.25" customHeight="1" x14ac:dyDescent="0.25">
      <c r="A20" s="208" t="s">
        <v>26</v>
      </c>
      <c r="B20" s="209">
        <f t="shared" si="2"/>
        <v>795165</v>
      </c>
      <c r="C20" s="209"/>
      <c r="D20" s="209">
        <v>231771</v>
      </c>
      <c r="E20" s="209"/>
      <c r="F20" s="209">
        <f t="shared" si="3"/>
        <v>563394</v>
      </c>
      <c r="G20" s="209">
        <v>246055</v>
      </c>
      <c r="H20" s="209">
        <v>53986</v>
      </c>
      <c r="I20" s="209">
        <v>224627</v>
      </c>
      <c r="J20" s="209">
        <v>38726</v>
      </c>
      <c r="K20" s="209">
        <v>0</v>
      </c>
      <c r="L20" s="206"/>
    </row>
    <row r="21" spans="1:12" ht="8.25" customHeight="1" x14ac:dyDescent="0.25">
      <c r="A21" s="206" t="s">
        <v>27</v>
      </c>
      <c r="B21" s="207">
        <f t="shared" si="2"/>
        <v>2626733</v>
      </c>
      <c r="C21" s="207"/>
      <c r="D21" s="207">
        <v>617939</v>
      </c>
      <c r="E21" s="207"/>
      <c r="F21" s="207">
        <f t="shared" si="3"/>
        <v>2008794</v>
      </c>
      <c r="G21" s="207">
        <v>1490032</v>
      </c>
      <c r="H21" s="207">
        <v>179148</v>
      </c>
      <c r="I21" s="207">
        <v>181250</v>
      </c>
      <c r="J21" s="207">
        <v>158364</v>
      </c>
      <c r="K21" s="207">
        <v>0</v>
      </c>
      <c r="L21" s="206"/>
    </row>
    <row r="22" spans="1:12" ht="8.25" customHeight="1" x14ac:dyDescent="0.25">
      <c r="A22" s="206" t="s">
        <v>28</v>
      </c>
      <c r="B22" s="207">
        <f t="shared" si="2"/>
        <v>600218</v>
      </c>
      <c r="C22" s="207"/>
      <c r="D22" s="207">
        <v>114077</v>
      </c>
      <c r="E22" s="207"/>
      <c r="F22" s="207">
        <f t="shared" si="3"/>
        <v>485786</v>
      </c>
      <c r="G22" s="207">
        <v>248449</v>
      </c>
      <c r="H22" s="207">
        <v>33655</v>
      </c>
      <c r="I22" s="207">
        <v>192271</v>
      </c>
      <c r="J22" s="207">
        <v>11411</v>
      </c>
      <c r="K22" s="207">
        <v>355</v>
      </c>
      <c r="L22" s="206"/>
    </row>
    <row r="23" spans="1:12" ht="8.25" customHeight="1" x14ac:dyDescent="0.25">
      <c r="A23" s="206" t="s">
        <v>29</v>
      </c>
      <c r="B23" s="207">
        <f t="shared" si="2"/>
        <v>4503461</v>
      </c>
      <c r="C23" s="207"/>
      <c r="D23" s="207">
        <v>2439470</v>
      </c>
      <c r="E23" s="207"/>
      <c r="F23" s="207">
        <f t="shared" si="3"/>
        <v>2063356</v>
      </c>
      <c r="G23" s="207">
        <v>539153</v>
      </c>
      <c r="H23" s="207">
        <v>228762</v>
      </c>
      <c r="I23" s="207">
        <v>1181538</v>
      </c>
      <c r="J23" s="207">
        <v>113903</v>
      </c>
      <c r="K23" s="207">
        <v>635</v>
      </c>
      <c r="L23" s="206"/>
    </row>
    <row r="24" spans="1:12" ht="8.25" customHeight="1" x14ac:dyDescent="0.25">
      <c r="A24" s="208" t="s">
        <v>30</v>
      </c>
      <c r="B24" s="209">
        <f t="shared" si="2"/>
        <v>3389023</v>
      </c>
      <c r="C24" s="209"/>
      <c r="D24" s="209">
        <v>1131445</v>
      </c>
      <c r="E24" s="209"/>
      <c r="F24" s="209">
        <f t="shared" si="3"/>
        <v>2254017</v>
      </c>
      <c r="G24" s="209">
        <v>1460482</v>
      </c>
      <c r="H24" s="209">
        <v>150609</v>
      </c>
      <c r="I24" s="209">
        <v>472417</v>
      </c>
      <c r="J24" s="209">
        <v>170509</v>
      </c>
      <c r="K24" s="209">
        <v>3561</v>
      </c>
      <c r="L24" s="206"/>
    </row>
    <row r="25" spans="1:12" ht="8.25" customHeight="1" x14ac:dyDescent="0.25">
      <c r="A25" s="206" t="s">
        <v>63</v>
      </c>
      <c r="B25" s="207">
        <f t="shared" si="2"/>
        <v>8841522</v>
      </c>
      <c r="C25" s="207"/>
      <c r="D25" s="207">
        <v>3464870</v>
      </c>
      <c r="E25" s="207"/>
      <c r="F25" s="207">
        <f t="shared" si="3"/>
        <v>5373530</v>
      </c>
      <c r="G25" s="207">
        <v>3195114</v>
      </c>
      <c r="H25" s="207">
        <v>1153187</v>
      </c>
      <c r="I25" s="207">
        <v>500590</v>
      </c>
      <c r="J25" s="207">
        <v>524639</v>
      </c>
      <c r="K25" s="207">
        <v>3122</v>
      </c>
      <c r="L25" s="206"/>
    </row>
    <row r="26" spans="1:12" ht="8.25" customHeight="1" x14ac:dyDescent="0.25">
      <c r="A26" s="206" t="s">
        <v>31</v>
      </c>
      <c r="B26" s="207">
        <f t="shared" si="2"/>
        <v>1549964</v>
      </c>
      <c r="C26" s="207"/>
      <c r="D26" s="207">
        <v>558772</v>
      </c>
      <c r="E26" s="207"/>
      <c r="F26" s="207">
        <f t="shared" si="3"/>
        <v>991012</v>
      </c>
      <c r="G26" s="207">
        <v>598837</v>
      </c>
      <c r="H26" s="207">
        <v>138559</v>
      </c>
      <c r="I26" s="207">
        <v>225456</v>
      </c>
      <c r="J26" s="207">
        <v>28160</v>
      </c>
      <c r="K26" s="207">
        <v>180</v>
      </c>
      <c r="L26" s="206"/>
    </row>
    <row r="27" spans="1:12" ht="8.25" customHeight="1" x14ac:dyDescent="0.25">
      <c r="A27" s="206" t="s">
        <v>32</v>
      </c>
      <c r="B27" s="207">
        <f t="shared" si="2"/>
        <v>5042360</v>
      </c>
      <c r="C27" s="207"/>
      <c r="D27" s="207">
        <v>1850084</v>
      </c>
      <c r="E27" s="207"/>
      <c r="F27" s="207">
        <f t="shared" si="3"/>
        <v>3188684</v>
      </c>
      <c r="G27" s="207">
        <v>1482298</v>
      </c>
      <c r="H27" s="207">
        <v>176142</v>
      </c>
      <c r="I27" s="207">
        <v>1385569</v>
      </c>
      <c r="J27" s="207">
        <v>144675</v>
      </c>
      <c r="K27" s="207">
        <v>3592</v>
      </c>
      <c r="L27" s="206"/>
    </row>
    <row r="28" spans="1:12" ht="8.25" customHeight="1" x14ac:dyDescent="0.25">
      <c r="A28" s="208" t="s">
        <v>33</v>
      </c>
      <c r="B28" s="209">
        <f t="shared" si="2"/>
        <v>3140838</v>
      </c>
      <c r="C28" s="209"/>
      <c r="D28" s="209">
        <v>1847771</v>
      </c>
      <c r="E28" s="209"/>
      <c r="F28" s="209">
        <f t="shared" si="3"/>
        <v>1291638</v>
      </c>
      <c r="G28" s="209">
        <v>419658</v>
      </c>
      <c r="H28" s="209">
        <v>240277</v>
      </c>
      <c r="I28" s="209">
        <v>602556</v>
      </c>
      <c r="J28" s="209">
        <v>29147</v>
      </c>
      <c r="K28" s="209">
        <v>1429</v>
      </c>
      <c r="L28" s="206"/>
    </row>
    <row r="29" spans="1:12" ht="8.25" customHeight="1" x14ac:dyDescent="0.25">
      <c r="A29" s="206" t="s">
        <v>34</v>
      </c>
      <c r="B29" s="207">
        <f t="shared" si="2"/>
        <v>2420538</v>
      </c>
      <c r="C29" s="207"/>
      <c r="D29" s="207">
        <v>1036491</v>
      </c>
      <c r="E29" s="207"/>
      <c r="F29" s="207">
        <f t="shared" si="3"/>
        <v>1383766</v>
      </c>
      <c r="G29" s="207">
        <v>445297</v>
      </c>
      <c r="H29" s="207">
        <v>156266</v>
      </c>
      <c r="I29" s="207">
        <v>734558</v>
      </c>
      <c r="J29" s="207">
        <v>47645</v>
      </c>
      <c r="K29" s="207">
        <v>281</v>
      </c>
      <c r="L29" s="206"/>
    </row>
    <row r="30" spans="1:12" ht="8.25" customHeight="1" x14ac:dyDescent="0.25">
      <c r="A30" s="206" t="s">
        <v>35</v>
      </c>
      <c r="B30" s="207">
        <f t="shared" si="2"/>
        <v>7011713</v>
      </c>
      <c r="C30" s="207"/>
      <c r="D30" s="207">
        <v>2546189</v>
      </c>
      <c r="E30" s="207"/>
      <c r="F30" s="207">
        <f t="shared" si="3"/>
        <v>4460245</v>
      </c>
      <c r="G30" s="207">
        <v>2889845</v>
      </c>
      <c r="H30" s="207">
        <v>205066</v>
      </c>
      <c r="I30" s="207">
        <v>1190827</v>
      </c>
      <c r="J30" s="207">
        <v>174507</v>
      </c>
      <c r="K30" s="207">
        <v>5279</v>
      </c>
      <c r="L30" s="206"/>
    </row>
    <row r="31" spans="1:12" ht="8.25" customHeight="1" x14ac:dyDescent="0.25">
      <c r="A31" s="206" t="s">
        <v>36</v>
      </c>
      <c r="B31" s="207">
        <f t="shared" si="2"/>
        <v>14820917</v>
      </c>
      <c r="C31" s="207"/>
      <c r="D31" s="207">
        <v>6567488</v>
      </c>
      <c r="E31" s="207"/>
      <c r="F31" s="207">
        <f t="shared" si="3"/>
        <v>8240007</v>
      </c>
      <c r="G31" s="207">
        <v>5024334</v>
      </c>
      <c r="H31" s="207">
        <v>586282</v>
      </c>
      <c r="I31" s="207">
        <v>1709671</v>
      </c>
      <c r="J31" s="207">
        <v>919720</v>
      </c>
      <c r="K31" s="207">
        <v>13422</v>
      </c>
      <c r="L31" s="206"/>
    </row>
    <row r="32" spans="1:12" ht="8.25" customHeight="1" x14ac:dyDescent="0.25">
      <c r="A32" s="208" t="s">
        <v>37</v>
      </c>
      <c r="B32" s="209">
        <f t="shared" si="2"/>
        <v>3964721</v>
      </c>
      <c r="C32" s="209"/>
      <c r="D32" s="209">
        <v>2038425</v>
      </c>
      <c r="E32" s="209"/>
      <c r="F32" s="209">
        <f t="shared" si="3"/>
        <v>1926296</v>
      </c>
      <c r="G32" s="209">
        <v>844099</v>
      </c>
      <c r="H32" s="209">
        <v>297766</v>
      </c>
      <c r="I32" s="209">
        <v>724910</v>
      </c>
      <c r="J32" s="209">
        <v>59521</v>
      </c>
      <c r="K32" s="209">
        <v>0</v>
      </c>
      <c r="L32" s="206"/>
    </row>
    <row r="33" spans="1:12" ht="8.25" customHeight="1" x14ac:dyDescent="0.25">
      <c r="A33" s="206" t="s">
        <v>38</v>
      </c>
      <c r="B33" s="207">
        <f t="shared" si="2"/>
        <v>1673788</v>
      </c>
      <c r="C33" s="207"/>
      <c r="D33" s="207">
        <v>644133</v>
      </c>
      <c r="E33" s="207"/>
      <c r="F33" s="207">
        <f t="shared" si="3"/>
        <v>1026628</v>
      </c>
      <c r="G33" s="207">
        <v>472441</v>
      </c>
      <c r="H33" s="207">
        <v>122536</v>
      </c>
      <c r="I33" s="207">
        <v>417681</v>
      </c>
      <c r="J33" s="207">
        <v>13970</v>
      </c>
      <c r="K33" s="207">
        <v>3027</v>
      </c>
      <c r="L33" s="206"/>
    </row>
    <row r="34" spans="1:12" ht="8.25" customHeight="1" x14ac:dyDescent="0.25">
      <c r="A34" s="206" t="s">
        <v>39</v>
      </c>
      <c r="B34" s="207">
        <f t="shared" si="2"/>
        <v>968840</v>
      </c>
      <c r="C34" s="207"/>
      <c r="D34" s="207">
        <v>292135</v>
      </c>
      <c r="E34" s="207"/>
      <c r="F34" s="207">
        <f t="shared" si="3"/>
        <v>676417</v>
      </c>
      <c r="G34" s="207">
        <v>278722</v>
      </c>
      <c r="H34" s="207">
        <v>111304</v>
      </c>
      <c r="I34" s="207">
        <v>281189</v>
      </c>
      <c r="J34" s="207">
        <v>5202</v>
      </c>
      <c r="K34" s="207">
        <v>288</v>
      </c>
      <c r="L34" s="206"/>
    </row>
    <row r="35" spans="1:12" ht="8.25" customHeight="1" x14ac:dyDescent="0.25">
      <c r="A35" s="206" t="s">
        <v>40</v>
      </c>
      <c r="B35" s="207">
        <f t="shared" si="2"/>
        <v>4443332</v>
      </c>
      <c r="C35" s="207"/>
      <c r="D35" s="207">
        <v>1208207</v>
      </c>
      <c r="E35" s="207"/>
      <c r="F35" s="207">
        <f t="shared" si="3"/>
        <v>3233137</v>
      </c>
      <c r="G35" s="207">
        <v>2483586</v>
      </c>
      <c r="H35" s="207">
        <v>115373</v>
      </c>
      <c r="I35" s="207">
        <v>365853</v>
      </c>
      <c r="J35" s="207">
        <v>268325</v>
      </c>
      <c r="K35" s="207">
        <v>1988</v>
      </c>
      <c r="L35" s="206"/>
    </row>
    <row r="36" spans="1:12" ht="8.25" customHeight="1" x14ac:dyDescent="0.25">
      <c r="A36" s="208" t="s">
        <v>41</v>
      </c>
      <c r="B36" s="209">
        <f t="shared" si="2"/>
        <v>3551193</v>
      </c>
      <c r="C36" s="209"/>
      <c r="D36" s="209">
        <v>2134406</v>
      </c>
      <c r="E36" s="209"/>
      <c r="F36" s="209">
        <f t="shared" si="3"/>
        <v>1415069</v>
      </c>
      <c r="G36" s="209">
        <v>358277</v>
      </c>
      <c r="H36" s="209">
        <v>251311</v>
      </c>
      <c r="I36" s="209">
        <v>758097</v>
      </c>
      <c r="J36" s="209">
        <v>47384</v>
      </c>
      <c r="K36" s="209">
        <v>1718</v>
      </c>
      <c r="L36" s="206"/>
    </row>
    <row r="37" spans="1:12" ht="8.25" customHeight="1" x14ac:dyDescent="0.25">
      <c r="A37" s="206" t="s">
        <v>42</v>
      </c>
      <c r="B37" s="207">
        <f t="shared" si="2"/>
        <v>5646697</v>
      </c>
      <c r="C37" s="207"/>
      <c r="D37" s="207">
        <v>3369929</v>
      </c>
      <c r="E37" s="207"/>
      <c r="F37" s="207">
        <f t="shared" si="3"/>
        <v>2275826</v>
      </c>
      <c r="G37" s="207">
        <v>1027566</v>
      </c>
      <c r="H37" s="207">
        <v>161726</v>
      </c>
      <c r="I37" s="207">
        <v>898305</v>
      </c>
      <c r="J37" s="207">
        <v>188229</v>
      </c>
      <c r="K37" s="207">
        <v>942</v>
      </c>
      <c r="L37" s="206"/>
    </row>
    <row r="38" spans="1:12" ht="8.25" customHeight="1" x14ac:dyDescent="0.25">
      <c r="A38" s="206" t="s">
        <v>43</v>
      </c>
      <c r="B38" s="207">
        <f t="shared" si="2"/>
        <v>1717516</v>
      </c>
      <c r="C38" s="207"/>
      <c r="D38" s="207">
        <v>529470</v>
      </c>
      <c r="E38" s="207"/>
      <c r="F38" s="207">
        <f t="shared" si="3"/>
        <v>1188046</v>
      </c>
      <c r="G38" s="207">
        <v>680190</v>
      </c>
      <c r="H38" s="207">
        <v>70031</v>
      </c>
      <c r="I38" s="207">
        <v>396658</v>
      </c>
      <c r="J38" s="207">
        <v>41167</v>
      </c>
      <c r="K38" s="207">
        <v>0</v>
      </c>
      <c r="L38" s="206"/>
    </row>
    <row r="39" spans="1:12" ht="8.25" customHeight="1" x14ac:dyDescent="0.25">
      <c r="A39" s="206" t="s">
        <v>44</v>
      </c>
      <c r="B39" s="207">
        <f t="shared" si="2"/>
        <v>1309967</v>
      </c>
      <c r="C39" s="207"/>
      <c r="D39" s="207">
        <v>437250</v>
      </c>
      <c r="E39" s="207"/>
      <c r="F39" s="207">
        <f t="shared" si="3"/>
        <v>870460</v>
      </c>
      <c r="G39" s="207">
        <v>502240</v>
      </c>
      <c r="H39" s="207">
        <v>126819</v>
      </c>
      <c r="I39" s="207">
        <v>206904</v>
      </c>
      <c r="J39" s="207">
        <v>34497</v>
      </c>
      <c r="K39" s="207">
        <v>2257</v>
      </c>
      <c r="L39" s="206"/>
    </row>
    <row r="40" spans="1:12" ht="8.25" customHeight="1" x14ac:dyDescent="0.25">
      <c r="A40" s="208" t="s">
        <v>45</v>
      </c>
      <c r="B40" s="209">
        <f t="shared" si="2"/>
        <v>2484000</v>
      </c>
      <c r="C40" s="209"/>
      <c r="D40" s="209">
        <v>903244</v>
      </c>
      <c r="E40" s="209"/>
      <c r="F40" s="209">
        <f t="shared" si="3"/>
        <v>1577133</v>
      </c>
      <c r="G40" s="209">
        <v>773933</v>
      </c>
      <c r="H40" s="209">
        <v>140650</v>
      </c>
      <c r="I40" s="209">
        <v>621901</v>
      </c>
      <c r="J40" s="209">
        <v>40649</v>
      </c>
      <c r="K40" s="209">
        <v>3623</v>
      </c>
      <c r="L40" s="206"/>
    </row>
    <row r="41" spans="1:12" ht="8.25" customHeight="1" x14ac:dyDescent="0.25">
      <c r="A41" s="206" t="s">
        <v>46</v>
      </c>
      <c r="B41" s="207">
        <f t="shared" si="2"/>
        <v>2652655</v>
      </c>
      <c r="C41" s="207"/>
      <c r="D41" s="207">
        <v>832726</v>
      </c>
      <c r="E41" s="207"/>
      <c r="F41" s="207">
        <f t="shared" si="3"/>
        <v>1819759</v>
      </c>
      <c r="G41" s="207">
        <v>1100266</v>
      </c>
      <c r="H41" s="207">
        <v>159290</v>
      </c>
      <c r="I41" s="207">
        <v>483530</v>
      </c>
      <c r="J41" s="207">
        <v>76673</v>
      </c>
      <c r="K41" s="207">
        <v>170</v>
      </c>
      <c r="L41" s="206"/>
    </row>
    <row r="42" spans="1:12" ht="8.25" customHeight="1" x14ac:dyDescent="0.25">
      <c r="A42" s="206" t="s">
        <v>47</v>
      </c>
      <c r="B42" s="207">
        <f t="shared" si="2"/>
        <v>2508563</v>
      </c>
      <c r="C42" s="207"/>
      <c r="D42" s="207">
        <v>743561</v>
      </c>
      <c r="E42" s="207"/>
      <c r="F42" s="207">
        <f t="shared" si="3"/>
        <v>1764302</v>
      </c>
      <c r="G42" s="207">
        <v>1186509</v>
      </c>
      <c r="H42" s="207">
        <v>79274</v>
      </c>
      <c r="I42" s="207">
        <v>308242</v>
      </c>
      <c r="J42" s="207">
        <v>190277</v>
      </c>
      <c r="K42" s="207">
        <v>700</v>
      </c>
      <c r="L42" s="206"/>
    </row>
    <row r="43" spans="1:12" ht="8.25" customHeight="1" x14ac:dyDescent="0.25">
      <c r="A43" s="206" t="s">
        <v>48</v>
      </c>
      <c r="B43" s="207">
        <f t="shared" si="2"/>
        <v>2049791</v>
      </c>
      <c r="C43" s="207"/>
      <c r="D43" s="207">
        <v>560680</v>
      </c>
      <c r="E43" s="207"/>
      <c r="F43" s="207">
        <f t="shared" si="3"/>
        <v>1484753</v>
      </c>
      <c r="G43" s="207">
        <v>364193</v>
      </c>
      <c r="H43" s="207">
        <v>83832</v>
      </c>
      <c r="I43" s="207">
        <v>771273</v>
      </c>
      <c r="J43" s="207">
        <v>265455</v>
      </c>
      <c r="K43" s="207">
        <v>4358</v>
      </c>
      <c r="L43" s="206"/>
    </row>
    <row r="44" spans="1:12" ht="8.25" customHeight="1" x14ac:dyDescent="0.25">
      <c r="A44" s="208" t="s">
        <v>49</v>
      </c>
      <c r="B44" s="209">
        <f t="shared" si="2"/>
        <v>3189933</v>
      </c>
      <c r="C44" s="209"/>
      <c r="D44" s="209">
        <v>936739</v>
      </c>
      <c r="E44" s="209"/>
      <c r="F44" s="209">
        <f t="shared" si="3"/>
        <v>2252542</v>
      </c>
      <c r="G44" s="209">
        <v>1226724</v>
      </c>
      <c r="H44" s="209">
        <v>228646</v>
      </c>
      <c r="I44" s="209">
        <v>619408</v>
      </c>
      <c r="J44" s="209">
        <v>177764</v>
      </c>
      <c r="K44" s="209">
        <v>652</v>
      </c>
      <c r="L44" s="206"/>
    </row>
    <row r="45" spans="1:12" ht="8.25" customHeight="1" x14ac:dyDescent="0.25">
      <c r="A45" s="206" t="s">
        <v>50</v>
      </c>
      <c r="B45" s="207">
        <f t="shared" si="2"/>
        <v>1133801</v>
      </c>
      <c r="C45" s="207"/>
      <c r="D45" s="207">
        <v>424744</v>
      </c>
      <c r="E45" s="207"/>
      <c r="F45" s="207">
        <f t="shared" si="3"/>
        <v>707871</v>
      </c>
      <c r="G45" s="207">
        <v>194772</v>
      </c>
      <c r="H45" s="207">
        <v>73777</v>
      </c>
      <c r="I45" s="207">
        <v>408928</v>
      </c>
      <c r="J45" s="207">
        <v>30394</v>
      </c>
      <c r="K45" s="207">
        <v>1186</v>
      </c>
      <c r="L45" s="206"/>
    </row>
    <row r="46" spans="1:12" ht="8.25" customHeight="1" x14ac:dyDescent="0.25">
      <c r="A46" s="206" t="s">
        <v>51</v>
      </c>
      <c r="B46" s="207">
        <f t="shared" si="2"/>
        <v>7277609</v>
      </c>
      <c r="C46" s="207"/>
      <c r="D46" s="207">
        <v>3360068</v>
      </c>
      <c r="E46" s="207"/>
      <c r="F46" s="207">
        <f t="shared" si="3"/>
        <v>3909609</v>
      </c>
      <c r="G46" s="207">
        <v>1815658</v>
      </c>
      <c r="H46" s="207">
        <v>293935</v>
      </c>
      <c r="I46" s="207">
        <v>1441783</v>
      </c>
      <c r="J46" s="207">
        <v>358233</v>
      </c>
      <c r="K46" s="207">
        <v>7932</v>
      </c>
      <c r="L46" s="206"/>
    </row>
    <row r="47" spans="1:12" ht="8.25" customHeight="1" x14ac:dyDescent="0.25">
      <c r="A47" s="206" t="s">
        <v>52</v>
      </c>
      <c r="B47" s="207">
        <f t="shared" si="2"/>
        <v>1919908</v>
      </c>
      <c r="C47" s="207"/>
      <c r="D47" s="207">
        <v>609458</v>
      </c>
      <c r="E47" s="207"/>
      <c r="F47" s="207">
        <f t="shared" si="3"/>
        <v>1310450</v>
      </c>
      <c r="G47" s="207">
        <v>747081</v>
      </c>
      <c r="H47" s="207">
        <v>89289</v>
      </c>
      <c r="I47" s="207">
        <v>425635</v>
      </c>
      <c r="J47" s="207">
        <v>48445</v>
      </c>
      <c r="K47" s="207">
        <v>0</v>
      </c>
      <c r="L47" s="206"/>
    </row>
    <row r="48" spans="1:12" ht="8.25" customHeight="1" x14ac:dyDescent="0.25">
      <c r="A48" s="208" t="s">
        <v>53</v>
      </c>
      <c r="B48" s="209">
        <f t="shared" si="2"/>
        <v>1379577</v>
      </c>
      <c r="C48" s="209"/>
      <c r="D48" s="209">
        <v>439727</v>
      </c>
      <c r="E48" s="209"/>
      <c r="F48" s="209">
        <f t="shared" si="3"/>
        <v>938917</v>
      </c>
      <c r="G48" s="209">
        <v>353302</v>
      </c>
      <c r="H48" s="209">
        <v>78857</v>
      </c>
      <c r="I48" s="209">
        <v>498665</v>
      </c>
      <c r="J48" s="209">
        <v>8093</v>
      </c>
      <c r="K48" s="209">
        <v>933</v>
      </c>
      <c r="L48" s="206"/>
    </row>
    <row r="49" spans="1:11" ht="9" customHeight="1" x14ac:dyDescent="0.25">
      <c r="A49" s="192"/>
      <c r="B49" s="192"/>
      <c r="C49" s="192"/>
      <c r="D49" s="192"/>
      <c r="E49" s="192"/>
      <c r="F49" s="192"/>
      <c r="G49" s="192"/>
      <c r="H49" s="192"/>
      <c r="I49" s="192"/>
      <c r="J49" s="192"/>
    </row>
    <row r="50" spans="1:11" ht="9" customHeight="1" x14ac:dyDescent="0.25">
      <c r="A50" s="203" t="s">
        <v>172</v>
      </c>
      <c r="B50" s="192"/>
      <c r="C50" s="192"/>
      <c r="D50" s="192"/>
      <c r="E50" s="192"/>
      <c r="F50" s="192"/>
      <c r="G50" s="192"/>
      <c r="H50" s="192"/>
      <c r="I50" s="192"/>
      <c r="J50" s="192"/>
    </row>
    <row r="51" spans="1:11" ht="3.95" customHeight="1" x14ac:dyDescent="0.25">
      <c r="A51" s="192"/>
      <c r="B51" s="192"/>
      <c r="C51" s="192"/>
      <c r="D51" s="192"/>
      <c r="E51" s="192"/>
      <c r="F51" s="192"/>
      <c r="G51" s="192"/>
      <c r="H51" s="192"/>
      <c r="I51" s="192"/>
      <c r="J51" s="192"/>
    </row>
    <row r="52" spans="1:11" s="206" customFormat="1" ht="9" customHeight="1" x14ac:dyDescent="0.25">
      <c r="A52" s="204" t="s">
        <v>21</v>
      </c>
      <c r="B52" s="205">
        <f>SUM(B54:B85)</f>
        <v>118563412</v>
      </c>
      <c r="C52" s="205"/>
      <c r="D52" s="205">
        <f t="shared" ref="D52:K52" si="4">SUM(D54:D85)</f>
        <v>26960893</v>
      </c>
      <c r="E52" s="205"/>
      <c r="F52" s="205">
        <f t="shared" si="4"/>
        <v>91540602</v>
      </c>
      <c r="G52" s="205">
        <f t="shared" si="4"/>
        <v>40000144</v>
      </c>
      <c r="H52" s="205">
        <f t="shared" si="4"/>
        <v>6174281</v>
      </c>
      <c r="I52" s="205">
        <f t="shared" si="4"/>
        <v>41145824</v>
      </c>
      <c r="J52" s="205">
        <f t="shared" si="4"/>
        <v>4220353</v>
      </c>
      <c r="K52" s="205">
        <f t="shared" si="4"/>
        <v>61917</v>
      </c>
    </row>
    <row r="53" spans="1:11" s="206" customFormat="1" ht="3.95" customHeight="1" x14ac:dyDescent="0.25">
      <c r="A53" s="204"/>
      <c r="B53" s="205"/>
      <c r="C53" s="205"/>
      <c r="D53" s="205"/>
      <c r="E53" s="205"/>
      <c r="F53" s="205"/>
      <c r="G53" s="205"/>
      <c r="H53" s="205"/>
      <c r="I53" s="205"/>
      <c r="J53" s="205"/>
      <c r="K53" s="205"/>
    </row>
    <row r="54" spans="1:11" s="204" customFormat="1" ht="8.25" customHeight="1" x14ac:dyDescent="0.25">
      <c r="A54" s="206" t="s">
        <v>23</v>
      </c>
      <c r="B54" s="207">
        <f>SUM(D54,F54,K54)</f>
        <v>1254331</v>
      </c>
      <c r="C54" s="207"/>
      <c r="D54" s="207">
        <v>200970</v>
      </c>
      <c r="E54" s="207"/>
      <c r="F54" s="207">
        <f>SUM(G54:J54)</f>
        <v>1053200</v>
      </c>
      <c r="G54" s="207">
        <v>622221</v>
      </c>
      <c r="H54" s="207">
        <v>80340</v>
      </c>
      <c r="I54" s="207">
        <v>332426</v>
      </c>
      <c r="J54" s="207">
        <v>18213</v>
      </c>
      <c r="K54" s="207">
        <v>161</v>
      </c>
    </row>
    <row r="55" spans="1:11" s="206" customFormat="1" ht="8.25" customHeight="1" x14ac:dyDescent="0.25">
      <c r="A55" s="206" t="s">
        <v>24</v>
      </c>
      <c r="B55" s="207">
        <f t="shared" ref="B55:B85" si="5">SUM(D55,F55,K55)</f>
        <v>3387921</v>
      </c>
      <c r="C55" s="207"/>
      <c r="D55" s="207">
        <v>757110</v>
      </c>
      <c r="E55" s="207"/>
      <c r="F55" s="207">
        <f t="shared" ref="F55:F85" si="6">SUM(G55:J55)</f>
        <v>2627933</v>
      </c>
      <c r="G55" s="207">
        <v>1471008</v>
      </c>
      <c r="H55" s="207">
        <v>100938</v>
      </c>
      <c r="I55" s="207">
        <v>861914</v>
      </c>
      <c r="J55" s="207">
        <v>194073</v>
      </c>
      <c r="K55" s="207">
        <v>2878</v>
      </c>
    </row>
    <row r="56" spans="1:11" s="206" customFormat="1" ht="8.25" customHeight="1" x14ac:dyDescent="0.25">
      <c r="A56" s="206" t="s">
        <v>25</v>
      </c>
      <c r="B56" s="207">
        <f t="shared" si="5"/>
        <v>721071</v>
      </c>
      <c r="C56" s="207"/>
      <c r="D56" s="207">
        <v>114774</v>
      </c>
      <c r="E56" s="207"/>
      <c r="F56" s="207">
        <f t="shared" si="6"/>
        <v>604439</v>
      </c>
      <c r="G56" s="207">
        <v>331475</v>
      </c>
      <c r="H56" s="207">
        <v>82813</v>
      </c>
      <c r="I56" s="207">
        <v>174128</v>
      </c>
      <c r="J56" s="207">
        <v>16023</v>
      </c>
      <c r="K56" s="207">
        <v>1858</v>
      </c>
    </row>
    <row r="57" spans="1:11" s="206" customFormat="1" ht="8.25" customHeight="1" x14ac:dyDescent="0.25">
      <c r="A57" s="208" t="s">
        <v>26</v>
      </c>
      <c r="B57" s="209">
        <f t="shared" si="5"/>
        <v>882084</v>
      </c>
      <c r="C57" s="209"/>
      <c r="D57" s="209">
        <v>104028</v>
      </c>
      <c r="E57" s="209"/>
      <c r="F57" s="209">
        <f t="shared" si="6"/>
        <v>777990</v>
      </c>
      <c r="G57" s="209">
        <v>281881</v>
      </c>
      <c r="H57" s="209">
        <v>59958</v>
      </c>
      <c r="I57" s="209">
        <v>406848</v>
      </c>
      <c r="J57" s="209">
        <v>29303</v>
      </c>
      <c r="K57" s="209">
        <v>66</v>
      </c>
    </row>
    <row r="58" spans="1:11" s="206" customFormat="1" ht="8.25" customHeight="1" x14ac:dyDescent="0.25">
      <c r="A58" s="206" t="s">
        <v>27</v>
      </c>
      <c r="B58" s="207">
        <f t="shared" si="5"/>
        <v>2894755</v>
      </c>
      <c r="C58" s="207"/>
      <c r="D58" s="207">
        <v>524817</v>
      </c>
      <c r="E58" s="207"/>
      <c r="F58" s="207">
        <f t="shared" si="6"/>
        <v>2369814</v>
      </c>
      <c r="G58" s="207">
        <v>1731722</v>
      </c>
      <c r="H58" s="207">
        <v>175007</v>
      </c>
      <c r="I58" s="207">
        <v>401313</v>
      </c>
      <c r="J58" s="207">
        <v>61772</v>
      </c>
      <c r="K58" s="207">
        <v>124</v>
      </c>
    </row>
    <row r="59" spans="1:11" s="206" customFormat="1" ht="8.25" customHeight="1" x14ac:dyDescent="0.25">
      <c r="A59" s="206" t="s">
        <v>28</v>
      </c>
      <c r="B59" s="207">
        <f t="shared" si="5"/>
        <v>699703</v>
      </c>
      <c r="C59" s="207"/>
      <c r="D59" s="207">
        <v>93926</v>
      </c>
      <c r="E59" s="207"/>
      <c r="F59" s="207">
        <f t="shared" si="6"/>
        <v>605490</v>
      </c>
      <c r="G59" s="207">
        <v>316955</v>
      </c>
      <c r="H59" s="207">
        <v>43591</v>
      </c>
      <c r="I59" s="207">
        <v>225428</v>
      </c>
      <c r="J59" s="207">
        <v>19516</v>
      </c>
      <c r="K59" s="207">
        <v>287</v>
      </c>
    </row>
    <row r="60" spans="1:11" s="206" customFormat="1" ht="8.25" customHeight="1" x14ac:dyDescent="0.25">
      <c r="A60" s="206" t="s">
        <v>29</v>
      </c>
      <c r="B60" s="207">
        <f t="shared" si="5"/>
        <v>5127541</v>
      </c>
      <c r="C60" s="207"/>
      <c r="D60" s="207">
        <v>1037558</v>
      </c>
      <c r="E60" s="207"/>
      <c r="F60" s="207">
        <f t="shared" si="6"/>
        <v>4089983</v>
      </c>
      <c r="G60" s="207">
        <v>560629</v>
      </c>
      <c r="H60" s="207">
        <v>158791</v>
      </c>
      <c r="I60" s="207">
        <v>3236006</v>
      </c>
      <c r="J60" s="207">
        <v>134557</v>
      </c>
      <c r="K60" s="207">
        <v>0</v>
      </c>
    </row>
    <row r="61" spans="1:11" s="206" customFormat="1" ht="8.25" customHeight="1" x14ac:dyDescent="0.25">
      <c r="A61" s="208" t="s">
        <v>30</v>
      </c>
      <c r="B61" s="209">
        <f t="shared" si="5"/>
        <v>3640505</v>
      </c>
      <c r="C61" s="209"/>
      <c r="D61" s="209">
        <v>664795</v>
      </c>
      <c r="E61" s="209"/>
      <c r="F61" s="209">
        <f t="shared" si="6"/>
        <v>2975369</v>
      </c>
      <c r="G61" s="209">
        <v>1772813</v>
      </c>
      <c r="H61" s="209">
        <v>145272</v>
      </c>
      <c r="I61" s="209">
        <v>858635</v>
      </c>
      <c r="J61" s="209">
        <v>198649</v>
      </c>
      <c r="K61" s="209">
        <v>341</v>
      </c>
    </row>
    <row r="62" spans="1:11" s="206" customFormat="1" ht="8.25" customHeight="1" x14ac:dyDescent="0.25">
      <c r="A62" s="206" t="s">
        <v>63</v>
      </c>
      <c r="B62" s="207">
        <f t="shared" si="5"/>
        <v>8891369</v>
      </c>
      <c r="C62" s="207"/>
      <c r="D62" s="207">
        <v>2312312</v>
      </c>
      <c r="E62" s="207"/>
      <c r="F62" s="207">
        <f t="shared" si="6"/>
        <v>6577566</v>
      </c>
      <c r="G62" s="207">
        <v>3437690</v>
      </c>
      <c r="H62" s="207">
        <v>1130846</v>
      </c>
      <c r="I62" s="207">
        <v>1700695</v>
      </c>
      <c r="J62" s="207">
        <v>308335</v>
      </c>
      <c r="K62" s="207">
        <v>1491</v>
      </c>
    </row>
    <row r="63" spans="1:11" s="206" customFormat="1" ht="8.25" customHeight="1" x14ac:dyDescent="0.25">
      <c r="A63" s="206" t="s">
        <v>31</v>
      </c>
      <c r="B63" s="207">
        <f t="shared" si="5"/>
        <v>1730868</v>
      </c>
      <c r="C63" s="207"/>
      <c r="D63" s="207">
        <v>327541</v>
      </c>
      <c r="E63" s="207"/>
      <c r="F63" s="207">
        <f t="shared" si="6"/>
        <v>1402346</v>
      </c>
      <c r="G63" s="207">
        <v>664712</v>
      </c>
      <c r="H63" s="207">
        <v>179440</v>
      </c>
      <c r="I63" s="207">
        <v>551757</v>
      </c>
      <c r="J63" s="207">
        <v>6437</v>
      </c>
      <c r="K63" s="207">
        <v>981</v>
      </c>
    </row>
    <row r="64" spans="1:11" s="206" customFormat="1" ht="8.25" customHeight="1" x14ac:dyDescent="0.25">
      <c r="A64" s="206" t="s">
        <v>32</v>
      </c>
      <c r="B64" s="207">
        <f t="shared" si="5"/>
        <v>5726521</v>
      </c>
      <c r="C64" s="207"/>
      <c r="D64" s="207">
        <v>1053403</v>
      </c>
      <c r="E64" s="207"/>
      <c r="F64" s="207">
        <f t="shared" si="6"/>
        <v>4665919</v>
      </c>
      <c r="G64" s="207">
        <v>1987625</v>
      </c>
      <c r="H64" s="207">
        <v>252658</v>
      </c>
      <c r="I64" s="207">
        <v>2324615</v>
      </c>
      <c r="J64" s="207">
        <v>101021</v>
      </c>
      <c r="K64" s="207">
        <v>7199</v>
      </c>
    </row>
    <row r="65" spans="1:11" s="206" customFormat="1" ht="8.25" customHeight="1" x14ac:dyDescent="0.25">
      <c r="A65" s="208" t="s">
        <v>33</v>
      </c>
      <c r="B65" s="209">
        <f t="shared" si="5"/>
        <v>3526817</v>
      </c>
      <c r="C65" s="209"/>
      <c r="D65" s="209">
        <v>958479</v>
      </c>
      <c r="E65" s="209"/>
      <c r="F65" s="209">
        <f t="shared" si="6"/>
        <v>2567790</v>
      </c>
      <c r="G65" s="209">
        <v>464009</v>
      </c>
      <c r="H65" s="209">
        <v>273280</v>
      </c>
      <c r="I65" s="209">
        <v>1774485</v>
      </c>
      <c r="J65" s="209">
        <v>56016</v>
      </c>
      <c r="K65" s="209">
        <v>548</v>
      </c>
    </row>
    <row r="66" spans="1:11" s="206" customFormat="1" ht="8.25" customHeight="1" x14ac:dyDescent="0.25">
      <c r="A66" s="206" t="s">
        <v>34</v>
      </c>
      <c r="B66" s="207">
        <f t="shared" si="5"/>
        <v>2811166</v>
      </c>
      <c r="C66" s="207"/>
      <c r="D66" s="207">
        <v>556281</v>
      </c>
      <c r="E66" s="207"/>
      <c r="F66" s="207">
        <f t="shared" si="6"/>
        <v>2254789</v>
      </c>
      <c r="G66" s="207">
        <v>598572</v>
      </c>
      <c r="H66" s="207">
        <v>204265</v>
      </c>
      <c r="I66" s="207">
        <v>1405630</v>
      </c>
      <c r="J66" s="207">
        <v>46322</v>
      </c>
      <c r="K66" s="207">
        <v>96</v>
      </c>
    </row>
    <row r="67" spans="1:11" s="206" customFormat="1" ht="8.25" customHeight="1" x14ac:dyDescent="0.25">
      <c r="A67" s="206" t="s">
        <v>35</v>
      </c>
      <c r="B67" s="207">
        <f t="shared" si="5"/>
        <v>7754460</v>
      </c>
      <c r="C67" s="207"/>
      <c r="D67" s="207">
        <v>1880106</v>
      </c>
      <c r="E67" s="207"/>
      <c r="F67" s="207">
        <f t="shared" si="6"/>
        <v>5870070</v>
      </c>
      <c r="G67" s="207">
        <v>3520257</v>
      </c>
      <c r="H67" s="207">
        <v>137826</v>
      </c>
      <c r="I67" s="207">
        <v>2088513</v>
      </c>
      <c r="J67" s="207">
        <v>123474</v>
      </c>
      <c r="K67" s="207">
        <v>4284</v>
      </c>
    </row>
    <row r="68" spans="1:11" s="206" customFormat="1" ht="8.25" customHeight="1" x14ac:dyDescent="0.25">
      <c r="A68" s="206" t="s">
        <v>36</v>
      </c>
      <c r="B68" s="207">
        <f t="shared" si="5"/>
        <v>16397111</v>
      </c>
      <c r="C68" s="207"/>
      <c r="D68" s="207">
        <v>4539443</v>
      </c>
      <c r="E68" s="207"/>
      <c r="F68" s="207">
        <f t="shared" si="6"/>
        <v>11857668</v>
      </c>
      <c r="G68" s="207">
        <v>5351329</v>
      </c>
      <c r="H68" s="207">
        <v>598917</v>
      </c>
      <c r="I68" s="207">
        <v>4821173</v>
      </c>
      <c r="J68" s="207">
        <v>1086249</v>
      </c>
      <c r="K68" s="207">
        <v>0</v>
      </c>
    </row>
    <row r="69" spans="1:11" s="206" customFormat="1" ht="8.25" customHeight="1" x14ac:dyDescent="0.25">
      <c r="A69" s="208" t="s">
        <v>37</v>
      </c>
      <c r="B69" s="209">
        <f t="shared" si="5"/>
        <v>4534468</v>
      </c>
      <c r="C69" s="209"/>
      <c r="D69" s="209">
        <v>1410822</v>
      </c>
      <c r="E69" s="209"/>
      <c r="F69" s="209">
        <f t="shared" si="6"/>
        <v>3123526</v>
      </c>
      <c r="G69" s="209">
        <v>901309</v>
      </c>
      <c r="H69" s="209">
        <v>229093</v>
      </c>
      <c r="I69" s="209">
        <v>1983651</v>
      </c>
      <c r="J69" s="209">
        <v>9473</v>
      </c>
      <c r="K69" s="209">
        <v>120</v>
      </c>
    </row>
    <row r="70" spans="1:11" s="206" customFormat="1" ht="8.25" customHeight="1" x14ac:dyDescent="0.25">
      <c r="A70" s="206" t="s">
        <v>38</v>
      </c>
      <c r="B70" s="207">
        <f t="shared" si="5"/>
        <v>1877622</v>
      </c>
      <c r="C70" s="207"/>
      <c r="D70" s="207">
        <v>419739</v>
      </c>
      <c r="E70" s="207"/>
      <c r="F70" s="207">
        <f t="shared" si="6"/>
        <v>1457602</v>
      </c>
      <c r="G70" s="207">
        <v>524111</v>
      </c>
      <c r="H70" s="207">
        <v>133578</v>
      </c>
      <c r="I70" s="207">
        <v>783066</v>
      </c>
      <c r="J70" s="207">
        <v>16847</v>
      </c>
      <c r="K70" s="207">
        <v>281</v>
      </c>
    </row>
    <row r="71" spans="1:11" s="206" customFormat="1" ht="8.25" customHeight="1" x14ac:dyDescent="0.25">
      <c r="A71" s="206" t="s">
        <v>39</v>
      </c>
      <c r="B71" s="207">
        <f t="shared" si="5"/>
        <v>1180992</v>
      </c>
      <c r="C71" s="207"/>
      <c r="D71" s="207">
        <v>249763</v>
      </c>
      <c r="E71" s="207"/>
      <c r="F71" s="207">
        <f t="shared" si="6"/>
        <v>931229</v>
      </c>
      <c r="G71" s="207">
        <v>374386</v>
      </c>
      <c r="H71" s="207">
        <v>130119</v>
      </c>
      <c r="I71" s="207">
        <v>415242</v>
      </c>
      <c r="J71" s="207">
        <v>11482</v>
      </c>
      <c r="K71" s="207">
        <v>0</v>
      </c>
    </row>
    <row r="72" spans="1:11" s="206" customFormat="1" ht="8.25" customHeight="1" x14ac:dyDescent="0.25">
      <c r="A72" s="206" t="s">
        <v>40</v>
      </c>
      <c r="B72" s="207">
        <f t="shared" si="5"/>
        <v>4950299</v>
      </c>
      <c r="C72" s="207"/>
      <c r="D72" s="207">
        <v>799725</v>
      </c>
      <c r="E72" s="207"/>
      <c r="F72" s="207">
        <f t="shared" si="6"/>
        <v>4143633</v>
      </c>
      <c r="G72" s="207">
        <v>2999974</v>
      </c>
      <c r="H72" s="207">
        <v>109020</v>
      </c>
      <c r="I72" s="207">
        <v>741880</v>
      </c>
      <c r="J72" s="207">
        <v>292759</v>
      </c>
      <c r="K72" s="207">
        <v>6941</v>
      </c>
    </row>
    <row r="73" spans="1:11" s="206" customFormat="1" ht="8.25" customHeight="1" x14ac:dyDescent="0.25">
      <c r="A73" s="208" t="s">
        <v>41</v>
      </c>
      <c r="B73" s="209">
        <f t="shared" si="5"/>
        <v>3962562</v>
      </c>
      <c r="C73" s="209"/>
      <c r="D73" s="209">
        <v>896304</v>
      </c>
      <c r="E73" s="209"/>
      <c r="F73" s="209">
        <f t="shared" si="6"/>
        <v>3063945</v>
      </c>
      <c r="G73" s="209">
        <v>422061</v>
      </c>
      <c r="H73" s="209">
        <v>247408</v>
      </c>
      <c r="I73" s="209">
        <v>2310470</v>
      </c>
      <c r="J73" s="209">
        <v>84006</v>
      </c>
      <c r="K73" s="209">
        <v>2313</v>
      </c>
    </row>
    <row r="74" spans="1:11" s="206" customFormat="1" ht="8.25" customHeight="1" x14ac:dyDescent="0.25">
      <c r="A74" s="206" t="s">
        <v>42</v>
      </c>
      <c r="B74" s="207">
        <f t="shared" si="5"/>
        <v>6076092</v>
      </c>
      <c r="C74" s="207"/>
      <c r="D74" s="207">
        <v>1916369</v>
      </c>
      <c r="E74" s="207"/>
      <c r="F74" s="207">
        <f t="shared" si="6"/>
        <v>4159083</v>
      </c>
      <c r="G74" s="207">
        <v>1151400</v>
      </c>
      <c r="H74" s="207">
        <v>189814</v>
      </c>
      <c r="I74" s="207">
        <v>2562585</v>
      </c>
      <c r="J74" s="207">
        <v>255284</v>
      </c>
      <c r="K74" s="207">
        <v>640</v>
      </c>
    </row>
    <row r="75" spans="1:11" s="206" customFormat="1" ht="8.25" customHeight="1" x14ac:dyDescent="0.25">
      <c r="A75" s="206" t="s">
        <v>43</v>
      </c>
      <c r="B75" s="207">
        <f t="shared" si="5"/>
        <v>1947677</v>
      </c>
      <c r="C75" s="207"/>
      <c r="D75" s="207">
        <v>351806</v>
      </c>
      <c r="E75" s="207"/>
      <c r="F75" s="207">
        <f t="shared" si="6"/>
        <v>1594908</v>
      </c>
      <c r="G75" s="207">
        <v>795398</v>
      </c>
      <c r="H75" s="207">
        <v>61501</v>
      </c>
      <c r="I75" s="207">
        <v>702044</v>
      </c>
      <c r="J75" s="207">
        <v>35965</v>
      </c>
      <c r="K75" s="207">
        <v>963</v>
      </c>
    </row>
    <row r="76" spans="1:11" s="206" customFormat="1" ht="8.25" customHeight="1" x14ac:dyDescent="0.25">
      <c r="A76" s="206" t="s">
        <v>44</v>
      </c>
      <c r="B76" s="207">
        <f t="shared" si="5"/>
        <v>1490676</v>
      </c>
      <c r="C76" s="207"/>
      <c r="D76" s="207">
        <v>307273</v>
      </c>
      <c r="E76" s="207"/>
      <c r="F76" s="207">
        <f t="shared" si="6"/>
        <v>1180543</v>
      </c>
      <c r="G76" s="207">
        <v>658362</v>
      </c>
      <c r="H76" s="207">
        <v>106113</v>
      </c>
      <c r="I76" s="207">
        <v>389565</v>
      </c>
      <c r="J76" s="207">
        <v>26503</v>
      </c>
      <c r="K76" s="207">
        <v>2860</v>
      </c>
    </row>
    <row r="77" spans="1:11" s="206" customFormat="1" ht="8.25" customHeight="1" x14ac:dyDescent="0.25">
      <c r="A77" s="208" t="s">
        <v>45</v>
      </c>
      <c r="B77" s="209">
        <f t="shared" si="5"/>
        <v>2705577</v>
      </c>
      <c r="C77" s="209"/>
      <c r="D77" s="209">
        <v>335279</v>
      </c>
      <c r="E77" s="209"/>
      <c r="F77" s="209">
        <f t="shared" si="6"/>
        <v>2361885</v>
      </c>
      <c r="G77" s="209">
        <v>948812</v>
      </c>
      <c r="H77" s="209">
        <v>152271</v>
      </c>
      <c r="I77" s="209">
        <v>1220650</v>
      </c>
      <c r="J77" s="209">
        <v>40152</v>
      </c>
      <c r="K77" s="209">
        <v>8413</v>
      </c>
    </row>
    <row r="78" spans="1:11" s="206" customFormat="1" ht="8.25" customHeight="1" x14ac:dyDescent="0.25">
      <c r="A78" s="206" t="s">
        <v>46</v>
      </c>
      <c r="B78" s="207">
        <f t="shared" si="5"/>
        <v>2935516</v>
      </c>
      <c r="C78" s="207"/>
      <c r="D78" s="207">
        <v>468287</v>
      </c>
      <c r="E78" s="207"/>
      <c r="F78" s="207">
        <f t="shared" si="6"/>
        <v>2467229</v>
      </c>
      <c r="G78" s="207">
        <v>1374163</v>
      </c>
      <c r="H78" s="207">
        <v>230444</v>
      </c>
      <c r="I78" s="207">
        <v>810081</v>
      </c>
      <c r="J78" s="207">
        <v>52541</v>
      </c>
      <c r="K78" s="207">
        <v>0</v>
      </c>
    </row>
    <row r="79" spans="1:11" s="206" customFormat="1" ht="8.25" customHeight="1" x14ac:dyDescent="0.25">
      <c r="A79" s="206" t="s">
        <v>47</v>
      </c>
      <c r="B79" s="207">
        <f t="shared" si="5"/>
        <v>2856769</v>
      </c>
      <c r="C79" s="207"/>
      <c r="D79" s="207">
        <v>507359</v>
      </c>
      <c r="E79" s="207"/>
      <c r="F79" s="207">
        <f t="shared" si="6"/>
        <v>2339248</v>
      </c>
      <c r="G79" s="207">
        <v>1385565</v>
      </c>
      <c r="H79" s="207">
        <v>118913</v>
      </c>
      <c r="I79" s="207">
        <v>613939</v>
      </c>
      <c r="J79" s="207">
        <v>220831</v>
      </c>
      <c r="K79" s="207">
        <v>10162</v>
      </c>
    </row>
    <row r="80" spans="1:11" s="206" customFormat="1" ht="8.25" customHeight="1" x14ac:dyDescent="0.25">
      <c r="A80" s="206" t="s">
        <v>48</v>
      </c>
      <c r="B80" s="207">
        <f t="shared" si="5"/>
        <v>2337778</v>
      </c>
      <c r="C80" s="207"/>
      <c r="D80" s="207">
        <v>486084</v>
      </c>
      <c r="E80" s="207"/>
      <c r="F80" s="207">
        <f t="shared" si="6"/>
        <v>1850088</v>
      </c>
      <c r="G80" s="207">
        <v>411984</v>
      </c>
      <c r="H80" s="207">
        <v>89203</v>
      </c>
      <c r="I80" s="207">
        <v>1094559</v>
      </c>
      <c r="J80" s="207">
        <v>254342</v>
      </c>
      <c r="K80" s="207">
        <v>1606</v>
      </c>
    </row>
    <row r="81" spans="1:14" s="206" customFormat="1" ht="8.25" customHeight="1" x14ac:dyDescent="0.25">
      <c r="A81" s="208" t="s">
        <v>49</v>
      </c>
      <c r="B81" s="209">
        <f t="shared" si="5"/>
        <v>3466532</v>
      </c>
      <c r="C81" s="209"/>
      <c r="D81" s="209">
        <v>661325</v>
      </c>
      <c r="E81" s="209"/>
      <c r="F81" s="209">
        <f t="shared" si="6"/>
        <v>2802733</v>
      </c>
      <c r="G81" s="209">
        <v>1541305</v>
      </c>
      <c r="H81" s="209">
        <v>219120</v>
      </c>
      <c r="I81" s="209">
        <v>903675</v>
      </c>
      <c r="J81" s="209">
        <v>138633</v>
      </c>
      <c r="K81" s="209">
        <v>2474</v>
      </c>
    </row>
    <row r="82" spans="1:14" s="206" customFormat="1" ht="8.25" customHeight="1" x14ac:dyDescent="0.25">
      <c r="A82" s="206" t="s">
        <v>50</v>
      </c>
      <c r="B82" s="207">
        <f t="shared" si="5"/>
        <v>1244896</v>
      </c>
      <c r="C82" s="207"/>
      <c r="D82" s="207">
        <v>289873</v>
      </c>
      <c r="E82" s="207"/>
      <c r="F82" s="207">
        <f t="shared" si="6"/>
        <v>955023</v>
      </c>
      <c r="G82" s="207">
        <v>261896</v>
      </c>
      <c r="H82" s="207">
        <v>67933</v>
      </c>
      <c r="I82" s="207">
        <v>600073</v>
      </c>
      <c r="J82" s="207">
        <v>25121</v>
      </c>
      <c r="K82" s="207">
        <v>0</v>
      </c>
    </row>
    <row r="83" spans="1:14" s="206" customFormat="1" ht="8.25" customHeight="1" x14ac:dyDescent="0.25">
      <c r="A83" s="206" t="s">
        <v>51</v>
      </c>
      <c r="B83" s="207">
        <f t="shared" si="5"/>
        <v>7930818</v>
      </c>
      <c r="C83" s="207"/>
      <c r="D83" s="207">
        <v>2134934</v>
      </c>
      <c r="E83" s="207"/>
      <c r="F83" s="207">
        <f t="shared" si="6"/>
        <v>5792255</v>
      </c>
      <c r="G83" s="207">
        <v>1910279</v>
      </c>
      <c r="H83" s="207">
        <v>282143</v>
      </c>
      <c r="I83" s="207">
        <v>3289253</v>
      </c>
      <c r="J83" s="207">
        <v>310580</v>
      </c>
      <c r="K83" s="207">
        <v>3629</v>
      </c>
    </row>
    <row r="84" spans="1:14" s="206" customFormat="1" ht="8.25" customHeight="1" x14ac:dyDescent="0.25">
      <c r="A84" s="206" t="s">
        <v>52</v>
      </c>
      <c r="B84" s="207">
        <f t="shared" si="5"/>
        <v>2066985</v>
      </c>
      <c r="C84" s="207"/>
      <c r="D84" s="207">
        <v>333229</v>
      </c>
      <c r="E84" s="207"/>
      <c r="F84" s="207">
        <f t="shared" si="6"/>
        <v>1733201</v>
      </c>
      <c r="G84" s="207">
        <v>795448</v>
      </c>
      <c r="H84" s="207">
        <v>94923</v>
      </c>
      <c r="I84" s="207">
        <v>802150</v>
      </c>
      <c r="J84" s="207">
        <v>40680</v>
      </c>
      <c r="K84" s="207">
        <v>555</v>
      </c>
    </row>
    <row r="85" spans="1:14" s="206" customFormat="1" ht="8.25" customHeight="1" x14ac:dyDescent="0.25">
      <c r="A85" s="208" t="s">
        <v>53</v>
      </c>
      <c r="B85" s="209">
        <f t="shared" si="5"/>
        <v>1551930</v>
      </c>
      <c r="C85" s="209"/>
      <c r="D85" s="209">
        <v>267179</v>
      </c>
      <c r="E85" s="209"/>
      <c r="F85" s="209">
        <f t="shared" si="6"/>
        <v>1284105</v>
      </c>
      <c r="G85" s="209">
        <v>430793</v>
      </c>
      <c r="H85" s="209">
        <v>88743</v>
      </c>
      <c r="I85" s="209">
        <v>759375</v>
      </c>
      <c r="J85" s="209">
        <v>5194</v>
      </c>
      <c r="K85" s="209">
        <v>646</v>
      </c>
    </row>
    <row r="86" spans="1:14" ht="9" customHeight="1" x14ac:dyDescent="0.25">
      <c r="A86" s="192"/>
      <c r="B86" s="192"/>
      <c r="C86" s="192"/>
      <c r="D86" s="192"/>
      <c r="E86" s="192"/>
      <c r="F86" s="192"/>
      <c r="G86" s="192"/>
      <c r="H86" s="192"/>
      <c r="I86" s="192"/>
      <c r="J86" s="192"/>
    </row>
    <row r="87" spans="1:14" ht="9" customHeight="1" x14ac:dyDescent="0.25">
      <c r="A87" s="203" t="s">
        <v>173</v>
      </c>
      <c r="B87" s="207"/>
      <c r="C87" s="207"/>
      <c r="D87" s="207"/>
      <c r="E87" s="207"/>
      <c r="F87" s="207"/>
      <c r="G87" s="207"/>
      <c r="H87" s="207"/>
      <c r="I87" s="207"/>
      <c r="J87" s="207"/>
      <c r="K87" s="207"/>
    </row>
    <row r="88" spans="1:14" ht="3.95" customHeight="1" x14ac:dyDescent="0.25">
      <c r="A88" s="192"/>
      <c r="B88" s="192"/>
      <c r="C88" s="192"/>
      <c r="D88" s="192"/>
      <c r="E88" s="192"/>
      <c r="F88" s="192"/>
      <c r="G88" s="192"/>
      <c r="H88" s="192"/>
      <c r="I88" s="192"/>
      <c r="J88" s="192"/>
    </row>
    <row r="89" spans="1:14" s="206" customFormat="1" ht="9" customHeight="1" x14ac:dyDescent="0.25">
      <c r="A89" s="204" t="s">
        <v>21</v>
      </c>
      <c r="B89" s="205">
        <f>SUM(B91:B122)</f>
        <v>123655752</v>
      </c>
      <c r="C89" s="205"/>
      <c r="D89" s="205">
        <f t="shared" ref="D89" si="7">SUM(D91:D122)</f>
        <v>21279988</v>
      </c>
      <c r="E89" s="205"/>
      <c r="F89" s="205">
        <f t="shared" ref="F89:K89" si="8">SUM(F91:F122)</f>
        <v>102279313</v>
      </c>
      <c r="G89" s="205">
        <f t="shared" si="8"/>
        <v>44873485</v>
      </c>
      <c r="H89" s="205">
        <f t="shared" si="8"/>
        <v>6068797</v>
      </c>
      <c r="I89" s="205">
        <f t="shared" si="8"/>
        <v>46739204</v>
      </c>
      <c r="J89" s="205">
        <f t="shared" si="8"/>
        <v>4597827</v>
      </c>
      <c r="K89" s="205">
        <f t="shared" si="8"/>
        <v>96451</v>
      </c>
      <c r="M89" s="210"/>
      <c r="N89" s="211"/>
    </row>
    <row r="90" spans="1:14" s="206" customFormat="1" ht="3.95" customHeight="1" x14ac:dyDescent="0.25">
      <c r="A90" s="204"/>
      <c r="B90" s="205"/>
      <c r="C90" s="205"/>
      <c r="D90" s="205"/>
      <c r="E90" s="205"/>
      <c r="F90" s="205"/>
      <c r="G90" s="205"/>
      <c r="H90" s="205"/>
      <c r="I90" s="205"/>
      <c r="J90" s="205"/>
      <c r="K90" s="205"/>
      <c r="M90" s="210"/>
    </row>
    <row r="91" spans="1:14" s="204" customFormat="1" ht="8.25" customHeight="1" x14ac:dyDescent="0.25">
      <c r="A91" s="206" t="s">
        <v>23</v>
      </c>
      <c r="B91" s="207">
        <f>SUM(D91,F91,K91)</f>
        <v>1327014</v>
      </c>
      <c r="C91" s="207"/>
      <c r="D91" s="207">
        <v>177895</v>
      </c>
      <c r="E91" s="207"/>
      <c r="F91" s="207">
        <f>SUM(G91:J91)</f>
        <v>1145644</v>
      </c>
      <c r="G91" s="207">
        <v>694525</v>
      </c>
      <c r="H91" s="207">
        <v>61080</v>
      </c>
      <c r="I91" s="207">
        <v>372948</v>
      </c>
      <c r="J91" s="207">
        <v>17091</v>
      </c>
      <c r="K91" s="207">
        <v>3475</v>
      </c>
      <c r="M91" s="212"/>
      <c r="N91" s="211"/>
    </row>
    <row r="92" spans="1:14" s="206" customFormat="1" ht="8.25" customHeight="1" x14ac:dyDescent="0.25">
      <c r="A92" s="206" t="s">
        <v>24</v>
      </c>
      <c r="B92" s="207">
        <f t="shared" ref="B92:B122" si="9">SUM(D92,F92,K92)</f>
        <v>3585940</v>
      </c>
      <c r="C92" s="207"/>
      <c r="D92" s="207">
        <v>726198</v>
      </c>
      <c r="E92" s="207"/>
      <c r="F92" s="207">
        <f t="shared" ref="F92:F122" si="10">SUM(G92:J92)</f>
        <v>2856883</v>
      </c>
      <c r="G92" s="207">
        <v>1846086</v>
      </c>
      <c r="H92" s="207">
        <v>83089</v>
      </c>
      <c r="I92" s="207">
        <v>737849</v>
      </c>
      <c r="J92" s="207">
        <v>189859</v>
      </c>
      <c r="K92" s="207">
        <v>2859</v>
      </c>
      <c r="M92" s="210"/>
      <c r="N92" s="211"/>
    </row>
    <row r="93" spans="1:14" s="206" customFormat="1" ht="8.25" customHeight="1" x14ac:dyDescent="0.25">
      <c r="A93" s="206" t="s">
        <v>25</v>
      </c>
      <c r="B93" s="207">
        <f t="shared" si="9"/>
        <v>799968</v>
      </c>
      <c r="C93" s="207"/>
      <c r="D93" s="207">
        <v>98009</v>
      </c>
      <c r="E93" s="207"/>
      <c r="F93" s="207">
        <f t="shared" si="10"/>
        <v>701683</v>
      </c>
      <c r="G93" s="207">
        <v>391457</v>
      </c>
      <c r="H93" s="207">
        <v>96829</v>
      </c>
      <c r="I93" s="207">
        <v>197390</v>
      </c>
      <c r="J93" s="207">
        <v>16007</v>
      </c>
      <c r="K93" s="207">
        <v>276</v>
      </c>
      <c r="M93" s="210"/>
      <c r="N93" s="211"/>
    </row>
    <row r="94" spans="1:14" s="206" customFormat="1" ht="8.25" customHeight="1" x14ac:dyDescent="0.25">
      <c r="A94" s="208" t="s">
        <v>26</v>
      </c>
      <c r="B94" s="209">
        <f t="shared" si="9"/>
        <v>940478</v>
      </c>
      <c r="C94" s="209"/>
      <c r="D94" s="209">
        <v>120395</v>
      </c>
      <c r="E94" s="209"/>
      <c r="F94" s="209">
        <f t="shared" si="10"/>
        <v>819727</v>
      </c>
      <c r="G94" s="209">
        <v>258830</v>
      </c>
      <c r="H94" s="209">
        <v>61708</v>
      </c>
      <c r="I94" s="209">
        <v>458333</v>
      </c>
      <c r="J94" s="209">
        <v>40856</v>
      </c>
      <c r="K94" s="209">
        <v>356</v>
      </c>
      <c r="M94" s="210"/>
      <c r="N94" s="211"/>
    </row>
    <row r="95" spans="1:14" s="206" customFormat="1" ht="8.25" customHeight="1" x14ac:dyDescent="0.25">
      <c r="A95" s="206" t="s">
        <v>27</v>
      </c>
      <c r="B95" s="207">
        <f t="shared" si="9"/>
        <v>3058126</v>
      </c>
      <c r="C95" s="207"/>
      <c r="D95" s="207">
        <v>441798</v>
      </c>
      <c r="E95" s="207"/>
      <c r="F95" s="207">
        <f t="shared" si="10"/>
        <v>2615871</v>
      </c>
      <c r="G95" s="207">
        <v>2036679</v>
      </c>
      <c r="H95" s="207">
        <v>118430</v>
      </c>
      <c r="I95" s="207">
        <v>362241</v>
      </c>
      <c r="J95" s="207">
        <v>98521</v>
      </c>
      <c r="K95" s="207">
        <v>457</v>
      </c>
      <c r="M95" s="210"/>
      <c r="N95" s="211"/>
    </row>
    <row r="96" spans="1:14" s="206" customFormat="1" ht="8.25" customHeight="1" x14ac:dyDescent="0.25">
      <c r="A96" s="206" t="s">
        <v>28</v>
      </c>
      <c r="B96" s="207">
        <f t="shared" si="9"/>
        <v>746957</v>
      </c>
      <c r="C96" s="207"/>
      <c r="D96" s="207">
        <v>82287</v>
      </c>
      <c r="E96" s="207"/>
      <c r="F96" s="207">
        <f t="shared" si="10"/>
        <v>663980</v>
      </c>
      <c r="G96" s="207">
        <v>360939</v>
      </c>
      <c r="H96" s="207">
        <v>41566</v>
      </c>
      <c r="I96" s="207">
        <v>250315</v>
      </c>
      <c r="J96" s="207">
        <v>11160</v>
      </c>
      <c r="K96" s="207">
        <v>690</v>
      </c>
      <c r="M96" s="210"/>
      <c r="N96" s="211"/>
    </row>
    <row r="97" spans="1:14" s="206" customFormat="1" ht="8.25" customHeight="1" x14ac:dyDescent="0.25">
      <c r="A97" s="206" t="s">
        <v>29</v>
      </c>
      <c r="B97" s="207">
        <f t="shared" si="9"/>
        <v>5348199</v>
      </c>
      <c r="C97" s="207"/>
      <c r="D97" s="207">
        <v>698877</v>
      </c>
      <c r="E97" s="207"/>
      <c r="F97" s="207">
        <f t="shared" si="10"/>
        <v>4646875</v>
      </c>
      <c r="G97" s="207">
        <v>529693</v>
      </c>
      <c r="H97" s="207">
        <v>192078</v>
      </c>
      <c r="I97" s="207">
        <v>3641944</v>
      </c>
      <c r="J97" s="207">
        <v>283160</v>
      </c>
      <c r="K97" s="207">
        <v>2447</v>
      </c>
      <c r="M97" s="210"/>
      <c r="N97" s="211"/>
    </row>
    <row r="98" spans="1:14" s="206" customFormat="1" ht="8.25" customHeight="1" x14ac:dyDescent="0.25">
      <c r="A98" s="208" t="s">
        <v>30</v>
      </c>
      <c r="B98" s="209">
        <f t="shared" si="9"/>
        <v>3827750</v>
      </c>
      <c r="C98" s="209"/>
      <c r="D98" s="209">
        <v>358171</v>
      </c>
      <c r="E98" s="209"/>
      <c r="F98" s="209">
        <f t="shared" si="10"/>
        <v>3467868</v>
      </c>
      <c r="G98" s="209">
        <v>2076171</v>
      </c>
      <c r="H98" s="209">
        <v>109411</v>
      </c>
      <c r="I98" s="209">
        <v>1062308</v>
      </c>
      <c r="J98" s="209">
        <v>219978</v>
      </c>
      <c r="K98" s="209">
        <v>1711</v>
      </c>
      <c r="M98" s="210"/>
      <c r="N98" s="211"/>
    </row>
    <row r="99" spans="1:14" s="206" customFormat="1" ht="8.25" customHeight="1" x14ac:dyDescent="0.25">
      <c r="A99" s="206" t="s">
        <v>63</v>
      </c>
      <c r="B99" s="207">
        <f t="shared" si="9"/>
        <v>8858082</v>
      </c>
      <c r="C99" s="207"/>
      <c r="D99" s="207">
        <v>2131520</v>
      </c>
      <c r="E99" s="207"/>
      <c r="F99" s="207">
        <f t="shared" si="10"/>
        <v>6712504</v>
      </c>
      <c r="G99" s="207">
        <v>3744890</v>
      </c>
      <c r="H99" s="207">
        <v>956820</v>
      </c>
      <c r="I99" s="207">
        <v>1815907</v>
      </c>
      <c r="J99" s="207">
        <v>194887</v>
      </c>
      <c r="K99" s="207">
        <v>14058</v>
      </c>
      <c r="M99" s="210"/>
      <c r="N99" s="211"/>
    </row>
    <row r="100" spans="1:14" s="206" customFormat="1" ht="8.25" customHeight="1" x14ac:dyDescent="0.25">
      <c r="A100" s="206" t="s">
        <v>31</v>
      </c>
      <c r="B100" s="207">
        <f t="shared" si="9"/>
        <v>1804735</v>
      </c>
      <c r="C100" s="207"/>
      <c r="D100" s="207">
        <v>273658</v>
      </c>
      <c r="E100" s="207"/>
      <c r="F100" s="207">
        <f t="shared" si="10"/>
        <v>1530049</v>
      </c>
      <c r="G100" s="207">
        <v>667306</v>
      </c>
      <c r="H100" s="207">
        <v>154401</v>
      </c>
      <c r="I100" s="207">
        <v>680503</v>
      </c>
      <c r="J100" s="207">
        <v>27839</v>
      </c>
      <c r="K100" s="207">
        <v>1028</v>
      </c>
      <c r="M100" s="210"/>
      <c r="N100" s="211"/>
    </row>
    <row r="101" spans="1:14" s="206" customFormat="1" ht="8.25" customHeight="1" x14ac:dyDescent="0.25">
      <c r="A101" s="206" t="s">
        <v>32</v>
      </c>
      <c r="B101" s="207">
        <f t="shared" si="9"/>
        <v>5990596</v>
      </c>
      <c r="C101" s="207"/>
      <c r="D101" s="207">
        <v>932167</v>
      </c>
      <c r="E101" s="207"/>
      <c r="F101" s="207">
        <f t="shared" si="10"/>
        <v>5054534</v>
      </c>
      <c r="G101" s="207">
        <v>2382371</v>
      </c>
      <c r="H101" s="207">
        <v>280156</v>
      </c>
      <c r="I101" s="207">
        <v>2266160</v>
      </c>
      <c r="J101" s="207">
        <v>125847</v>
      </c>
      <c r="K101" s="207">
        <v>3895</v>
      </c>
      <c r="M101" s="210"/>
      <c r="N101" s="211"/>
    </row>
    <row r="102" spans="1:14" s="206" customFormat="1" ht="8.25" customHeight="1" x14ac:dyDescent="0.25">
      <c r="A102" s="208" t="s">
        <v>33</v>
      </c>
      <c r="B102" s="209">
        <f t="shared" si="9"/>
        <v>3666714</v>
      </c>
      <c r="C102" s="209"/>
      <c r="D102" s="209">
        <v>448168</v>
      </c>
      <c r="E102" s="209"/>
      <c r="F102" s="209">
        <f t="shared" si="10"/>
        <v>3217583</v>
      </c>
      <c r="G102" s="209">
        <v>408938</v>
      </c>
      <c r="H102" s="209">
        <v>348466</v>
      </c>
      <c r="I102" s="209">
        <v>2352167</v>
      </c>
      <c r="J102" s="209">
        <v>108012</v>
      </c>
      <c r="K102" s="209">
        <v>963</v>
      </c>
      <c r="M102" s="210"/>
      <c r="N102" s="211"/>
    </row>
    <row r="103" spans="1:14" s="206" customFormat="1" ht="8.25" customHeight="1" x14ac:dyDescent="0.25">
      <c r="A103" s="206" t="s">
        <v>34</v>
      </c>
      <c r="B103" s="207">
        <f t="shared" si="9"/>
        <v>2955299</v>
      </c>
      <c r="C103" s="207"/>
      <c r="D103" s="207">
        <v>422721</v>
      </c>
      <c r="E103" s="207"/>
      <c r="F103" s="207">
        <f t="shared" si="10"/>
        <v>2532268</v>
      </c>
      <c r="G103" s="207">
        <v>632100</v>
      </c>
      <c r="H103" s="207">
        <v>170588</v>
      </c>
      <c r="I103" s="207">
        <v>1652282</v>
      </c>
      <c r="J103" s="207">
        <v>77298</v>
      </c>
      <c r="K103" s="207">
        <v>310</v>
      </c>
      <c r="M103" s="210"/>
      <c r="N103" s="211"/>
    </row>
    <row r="104" spans="1:14" s="206" customFormat="1" ht="8.25" customHeight="1" x14ac:dyDescent="0.25">
      <c r="A104" s="206" t="s">
        <v>35</v>
      </c>
      <c r="B104" s="207">
        <f t="shared" si="9"/>
        <v>8053107</v>
      </c>
      <c r="C104" s="207"/>
      <c r="D104" s="207">
        <v>1532310</v>
      </c>
      <c r="E104" s="207"/>
      <c r="F104" s="207">
        <f t="shared" si="10"/>
        <v>6519761</v>
      </c>
      <c r="G104" s="207">
        <v>3794602</v>
      </c>
      <c r="H104" s="207">
        <v>217503</v>
      </c>
      <c r="I104" s="207">
        <v>2334873</v>
      </c>
      <c r="J104" s="207">
        <v>172783</v>
      </c>
      <c r="K104" s="207">
        <v>1036</v>
      </c>
      <c r="M104" s="210"/>
      <c r="N104" s="211"/>
    </row>
    <row r="105" spans="1:14" s="206" customFormat="1" ht="8.25" customHeight="1" x14ac:dyDescent="0.25">
      <c r="A105" s="206" t="s">
        <v>36</v>
      </c>
      <c r="B105" s="207">
        <f t="shared" si="9"/>
        <v>17261272</v>
      </c>
      <c r="C105" s="207"/>
      <c r="D105" s="207">
        <v>3606073</v>
      </c>
      <c r="E105" s="207"/>
      <c r="F105" s="207">
        <f t="shared" si="10"/>
        <v>13655199</v>
      </c>
      <c r="G105" s="207">
        <v>6415667</v>
      </c>
      <c r="H105" s="207">
        <v>788836</v>
      </c>
      <c r="I105" s="207">
        <v>5451620</v>
      </c>
      <c r="J105" s="207">
        <v>999076</v>
      </c>
      <c r="K105" s="207">
        <v>0</v>
      </c>
      <c r="M105" s="210"/>
      <c r="N105" s="211"/>
    </row>
    <row r="106" spans="1:14" s="206" customFormat="1" ht="8.25" customHeight="1" x14ac:dyDescent="0.25">
      <c r="A106" s="208" t="s">
        <v>37</v>
      </c>
      <c r="B106" s="209">
        <f t="shared" si="9"/>
        <v>4740634</v>
      </c>
      <c r="C106" s="209"/>
      <c r="D106" s="209">
        <v>1063321</v>
      </c>
      <c r="E106" s="209"/>
      <c r="F106" s="209">
        <f t="shared" si="10"/>
        <v>3676873</v>
      </c>
      <c r="G106" s="209">
        <v>1055935</v>
      </c>
      <c r="H106" s="209">
        <v>234346</v>
      </c>
      <c r="I106" s="209">
        <v>2334180</v>
      </c>
      <c r="J106" s="209">
        <v>52412</v>
      </c>
      <c r="K106" s="209">
        <v>440</v>
      </c>
      <c r="M106" s="210"/>
      <c r="N106" s="211"/>
    </row>
    <row r="107" spans="1:14" s="206" customFormat="1" ht="8.25" customHeight="1" x14ac:dyDescent="0.25">
      <c r="A107" s="206" t="s">
        <v>38</v>
      </c>
      <c r="B107" s="207">
        <f t="shared" si="9"/>
        <v>1956579</v>
      </c>
      <c r="C107" s="207"/>
      <c r="D107" s="207">
        <v>331534</v>
      </c>
      <c r="E107" s="207"/>
      <c r="F107" s="207">
        <f t="shared" si="10"/>
        <v>1622506</v>
      </c>
      <c r="G107" s="207">
        <v>598785</v>
      </c>
      <c r="H107" s="207">
        <v>126966</v>
      </c>
      <c r="I107" s="207">
        <v>880700</v>
      </c>
      <c r="J107" s="207">
        <v>16055</v>
      </c>
      <c r="K107" s="207">
        <v>2539</v>
      </c>
      <c r="M107" s="210"/>
      <c r="N107" s="211"/>
    </row>
    <row r="108" spans="1:14" s="206" customFormat="1" ht="8.25" customHeight="1" x14ac:dyDescent="0.25">
      <c r="A108" s="206" t="s">
        <v>39</v>
      </c>
      <c r="B108" s="207">
        <f t="shared" si="9"/>
        <v>1277384</v>
      </c>
      <c r="C108" s="207"/>
      <c r="D108" s="207">
        <v>188509</v>
      </c>
      <c r="E108" s="207"/>
      <c r="F108" s="207">
        <f t="shared" si="10"/>
        <v>1088875</v>
      </c>
      <c r="G108" s="207">
        <v>436999</v>
      </c>
      <c r="H108" s="207">
        <v>113654</v>
      </c>
      <c r="I108" s="207">
        <v>491934</v>
      </c>
      <c r="J108" s="207">
        <v>46288</v>
      </c>
      <c r="K108" s="207">
        <v>0</v>
      </c>
      <c r="M108" s="210"/>
      <c r="N108" s="211"/>
    </row>
    <row r="109" spans="1:14" s="206" customFormat="1" ht="8.25" customHeight="1" x14ac:dyDescent="0.25">
      <c r="A109" s="206" t="s">
        <v>40</v>
      </c>
      <c r="B109" s="207">
        <f t="shared" si="9"/>
        <v>5258983</v>
      </c>
      <c r="C109" s="207"/>
      <c r="D109" s="207">
        <v>673930</v>
      </c>
      <c r="E109" s="207"/>
      <c r="F109" s="207">
        <f t="shared" si="10"/>
        <v>4574147</v>
      </c>
      <c r="G109" s="207">
        <v>3326583</v>
      </c>
      <c r="H109" s="207">
        <v>117153</v>
      </c>
      <c r="I109" s="207">
        <v>900684</v>
      </c>
      <c r="J109" s="207">
        <v>229727</v>
      </c>
      <c r="K109" s="207">
        <v>10906</v>
      </c>
      <c r="M109" s="210"/>
      <c r="N109" s="211"/>
    </row>
    <row r="110" spans="1:14" s="206" customFormat="1" ht="8.25" customHeight="1" x14ac:dyDescent="0.25">
      <c r="A110" s="208" t="s">
        <v>41</v>
      </c>
      <c r="B110" s="209">
        <f t="shared" si="9"/>
        <v>4072226</v>
      </c>
      <c r="C110" s="209"/>
      <c r="D110" s="209">
        <v>559724</v>
      </c>
      <c r="E110" s="209"/>
      <c r="F110" s="209">
        <f t="shared" si="10"/>
        <v>3509998</v>
      </c>
      <c r="G110" s="209">
        <v>449737</v>
      </c>
      <c r="H110" s="209">
        <v>261421</v>
      </c>
      <c r="I110" s="209">
        <v>2660467</v>
      </c>
      <c r="J110" s="209">
        <v>138373</v>
      </c>
      <c r="K110" s="209">
        <v>2504</v>
      </c>
      <c r="M110" s="210"/>
      <c r="N110" s="211"/>
    </row>
    <row r="111" spans="1:14" s="206" customFormat="1" ht="8.25" customHeight="1" x14ac:dyDescent="0.25">
      <c r="A111" s="206" t="s">
        <v>42</v>
      </c>
      <c r="B111" s="207">
        <f t="shared" si="9"/>
        <v>6242122</v>
      </c>
      <c r="C111" s="207"/>
      <c r="D111" s="207">
        <v>1171635</v>
      </c>
      <c r="E111" s="207"/>
      <c r="F111" s="207">
        <f t="shared" si="10"/>
        <v>5067621</v>
      </c>
      <c r="G111" s="207">
        <v>1233721</v>
      </c>
      <c r="H111" s="207">
        <v>150078</v>
      </c>
      <c r="I111" s="207">
        <v>3488546</v>
      </c>
      <c r="J111" s="207">
        <v>195276</v>
      </c>
      <c r="K111" s="207">
        <v>2866</v>
      </c>
      <c r="M111" s="210"/>
      <c r="N111" s="211"/>
    </row>
    <row r="112" spans="1:14" s="206" customFormat="1" ht="8.25" customHeight="1" x14ac:dyDescent="0.25">
      <c r="A112" s="206" t="s">
        <v>43</v>
      </c>
      <c r="B112" s="207">
        <f t="shared" si="9"/>
        <v>2090091</v>
      </c>
      <c r="C112" s="207"/>
      <c r="D112" s="207">
        <v>341680</v>
      </c>
      <c r="E112" s="207"/>
      <c r="F112" s="207">
        <f t="shared" si="10"/>
        <v>1745030</v>
      </c>
      <c r="G112" s="207">
        <v>862150</v>
      </c>
      <c r="H112" s="207">
        <v>71775</v>
      </c>
      <c r="I112" s="207">
        <v>791444</v>
      </c>
      <c r="J112" s="207">
        <v>19661</v>
      </c>
      <c r="K112" s="207">
        <v>3381</v>
      </c>
      <c r="M112" s="210"/>
      <c r="N112" s="211"/>
    </row>
    <row r="113" spans="1:14" s="206" customFormat="1" ht="8.25" customHeight="1" x14ac:dyDescent="0.25">
      <c r="A113" s="206" t="s">
        <v>44</v>
      </c>
      <c r="B113" s="207">
        <f t="shared" si="9"/>
        <v>1668132</v>
      </c>
      <c r="C113" s="207"/>
      <c r="D113" s="207">
        <v>315839</v>
      </c>
      <c r="E113" s="207"/>
      <c r="F113" s="207">
        <f t="shared" si="10"/>
        <v>1349705</v>
      </c>
      <c r="G113" s="207">
        <v>705989</v>
      </c>
      <c r="H113" s="207">
        <v>93096</v>
      </c>
      <c r="I113" s="207">
        <v>484827</v>
      </c>
      <c r="J113" s="207">
        <v>65793</v>
      </c>
      <c r="K113" s="207">
        <v>2588</v>
      </c>
      <c r="M113" s="210"/>
      <c r="N113" s="211"/>
    </row>
    <row r="114" spans="1:14" s="206" customFormat="1" ht="8.25" customHeight="1" x14ac:dyDescent="0.25">
      <c r="A114" s="208" t="s">
        <v>45</v>
      </c>
      <c r="B114" s="209">
        <f t="shared" si="9"/>
        <v>2781200</v>
      </c>
      <c r="C114" s="209"/>
      <c r="D114" s="209">
        <v>264668</v>
      </c>
      <c r="E114" s="209"/>
      <c r="F114" s="209">
        <f t="shared" si="10"/>
        <v>2502461</v>
      </c>
      <c r="G114" s="209">
        <v>1020146</v>
      </c>
      <c r="H114" s="209">
        <v>102109</v>
      </c>
      <c r="I114" s="209">
        <v>1302609</v>
      </c>
      <c r="J114" s="209">
        <v>77597</v>
      </c>
      <c r="K114" s="209">
        <v>14071</v>
      </c>
      <c r="M114" s="210"/>
      <c r="N114" s="211"/>
    </row>
    <row r="115" spans="1:14" s="206" customFormat="1" ht="8.25" customHeight="1" x14ac:dyDescent="0.25">
      <c r="A115" s="206" t="s">
        <v>46</v>
      </c>
      <c r="B115" s="207">
        <f t="shared" si="9"/>
        <v>3028648</v>
      </c>
      <c r="C115" s="207"/>
      <c r="D115" s="207">
        <v>444932</v>
      </c>
      <c r="E115" s="207"/>
      <c r="F115" s="207">
        <f t="shared" si="10"/>
        <v>2580891</v>
      </c>
      <c r="G115" s="207">
        <v>1525727</v>
      </c>
      <c r="H115" s="207">
        <v>195840</v>
      </c>
      <c r="I115" s="207">
        <v>816341</v>
      </c>
      <c r="J115" s="207">
        <v>42983</v>
      </c>
      <c r="K115" s="207">
        <v>2825</v>
      </c>
      <c r="M115" s="210"/>
      <c r="N115" s="211"/>
    </row>
    <row r="116" spans="1:14" s="206" customFormat="1" ht="8.25" customHeight="1" x14ac:dyDescent="0.25">
      <c r="A116" s="206" t="s">
        <v>47</v>
      </c>
      <c r="B116" s="207">
        <f t="shared" si="9"/>
        <v>3054857</v>
      </c>
      <c r="C116" s="207"/>
      <c r="D116" s="207">
        <v>419900</v>
      </c>
      <c r="E116" s="207"/>
      <c r="F116" s="207">
        <f t="shared" si="10"/>
        <v>2627582</v>
      </c>
      <c r="G116" s="207">
        <v>1582919</v>
      </c>
      <c r="H116" s="207">
        <v>93292</v>
      </c>
      <c r="I116" s="207">
        <v>725191</v>
      </c>
      <c r="J116" s="207">
        <v>226180</v>
      </c>
      <c r="K116" s="207">
        <v>7375</v>
      </c>
      <c r="M116" s="210"/>
      <c r="N116" s="211"/>
    </row>
    <row r="117" spans="1:14" s="206" customFormat="1" ht="8.25" customHeight="1" x14ac:dyDescent="0.25">
      <c r="A117" s="206" t="s">
        <v>48</v>
      </c>
      <c r="B117" s="207">
        <f t="shared" si="9"/>
        <v>2445535</v>
      </c>
      <c r="C117" s="207"/>
      <c r="D117" s="207">
        <v>351761</v>
      </c>
      <c r="E117" s="207"/>
      <c r="F117" s="207">
        <f t="shared" si="10"/>
        <v>2090290</v>
      </c>
      <c r="G117" s="207">
        <v>439957</v>
      </c>
      <c r="H117" s="207">
        <v>82988</v>
      </c>
      <c r="I117" s="207">
        <v>1343449</v>
      </c>
      <c r="J117" s="207">
        <v>223896</v>
      </c>
      <c r="K117" s="207">
        <v>3484</v>
      </c>
      <c r="M117" s="210"/>
      <c r="N117" s="211"/>
    </row>
    <row r="118" spans="1:14" s="206" customFormat="1" ht="8.25" customHeight="1" x14ac:dyDescent="0.25">
      <c r="A118" s="208" t="s">
        <v>49</v>
      </c>
      <c r="B118" s="209">
        <f t="shared" si="9"/>
        <v>3590412</v>
      </c>
      <c r="C118" s="209"/>
      <c r="D118" s="209">
        <v>531736</v>
      </c>
      <c r="E118" s="209"/>
      <c r="F118" s="209">
        <f t="shared" si="10"/>
        <v>3055898</v>
      </c>
      <c r="G118" s="209">
        <v>1607357</v>
      </c>
      <c r="H118" s="209">
        <v>238028</v>
      </c>
      <c r="I118" s="209">
        <v>1051565</v>
      </c>
      <c r="J118" s="209">
        <v>158948</v>
      </c>
      <c r="K118" s="209">
        <v>2778</v>
      </c>
      <c r="M118" s="210"/>
      <c r="N118" s="211"/>
    </row>
    <row r="119" spans="1:14" s="206" customFormat="1" ht="8.25" customHeight="1" x14ac:dyDescent="0.25">
      <c r="A119" s="206" t="s">
        <v>50</v>
      </c>
      <c r="B119" s="207">
        <f t="shared" si="9"/>
        <v>1302375</v>
      </c>
      <c r="C119" s="207"/>
      <c r="D119" s="207">
        <v>214388</v>
      </c>
      <c r="E119" s="207"/>
      <c r="F119" s="207">
        <f t="shared" si="10"/>
        <v>1087987</v>
      </c>
      <c r="G119" s="207">
        <v>343001</v>
      </c>
      <c r="H119" s="207">
        <v>69092</v>
      </c>
      <c r="I119" s="207">
        <v>650639</v>
      </c>
      <c r="J119" s="207">
        <v>25255</v>
      </c>
      <c r="K119" s="207">
        <v>0</v>
      </c>
      <c r="M119" s="210"/>
      <c r="N119" s="211"/>
    </row>
    <row r="120" spans="1:14" s="206" customFormat="1" ht="8.25" customHeight="1" x14ac:dyDescent="0.25">
      <c r="A120" s="206" t="s">
        <v>51</v>
      </c>
      <c r="B120" s="207">
        <f t="shared" si="9"/>
        <v>8176062</v>
      </c>
      <c r="C120" s="207"/>
      <c r="D120" s="207">
        <v>1877852</v>
      </c>
      <c r="E120" s="207"/>
      <c r="F120" s="207">
        <f t="shared" si="10"/>
        <v>6295344</v>
      </c>
      <c r="G120" s="207">
        <v>2128916</v>
      </c>
      <c r="H120" s="207">
        <v>237990</v>
      </c>
      <c r="I120" s="207">
        <v>3494720</v>
      </c>
      <c r="J120" s="207">
        <v>433718</v>
      </c>
      <c r="K120" s="207">
        <v>2866</v>
      </c>
      <c r="M120" s="210"/>
      <c r="N120" s="211"/>
    </row>
    <row r="121" spans="1:14" s="206" customFormat="1" ht="8.25" customHeight="1" x14ac:dyDescent="0.25">
      <c r="A121" s="206" t="s">
        <v>52</v>
      </c>
      <c r="B121" s="207">
        <f t="shared" si="9"/>
        <v>2134486</v>
      </c>
      <c r="C121" s="207"/>
      <c r="D121" s="207">
        <v>284887</v>
      </c>
      <c r="E121" s="207"/>
      <c r="F121" s="207">
        <f t="shared" si="10"/>
        <v>1846053</v>
      </c>
      <c r="G121" s="207">
        <v>853467</v>
      </c>
      <c r="H121" s="207">
        <v>94492</v>
      </c>
      <c r="I121" s="207">
        <v>845069</v>
      </c>
      <c r="J121" s="207">
        <v>53025</v>
      </c>
      <c r="K121" s="207">
        <v>3546</v>
      </c>
      <c r="M121" s="210"/>
      <c r="N121" s="211"/>
    </row>
    <row r="122" spans="1:14" s="206" customFormat="1" ht="8.25" customHeight="1" x14ac:dyDescent="0.25">
      <c r="A122" s="208" t="s">
        <v>53</v>
      </c>
      <c r="B122" s="209">
        <f t="shared" si="9"/>
        <v>1611789</v>
      </c>
      <c r="C122" s="209"/>
      <c r="D122" s="209">
        <v>193445</v>
      </c>
      <c r="E122" s="209"/>
      <c r="F122" s="209">
        <f t="shared" si="10"/>
        <v>1417623</v>
      </c>
      <c r="G122" s="209">
        <v>461842</v>
      </c>
      <c r="H122" s="209">
        <v>105516</v>
      </c>
      <c r="I122" s="209">
        <v>839999</v>
      </c>
      <c r="J122" s="209">
        <v>10266</v>
      </c>
      <c r="K122" s="209">
        <v>721</v>
      </c>
      <c r="M122" s="210"/>
      <c r="N122" s="211"/>
    </row>
    <row r="123" spans="1:14" ht="3" customHeight="1" x14ac:dyDescent="0.25">
      <c r="A123" s="190"/>
      <c r="B123" s="190"/>
      <c r="C123" s="190"/>
      <c r="D123" s="190"/>
      <c r="E123" s="190"/>
      <c r="F123" s="190"/>
      <c r="G123" s="190"/>
      <c r="H123" s="190"/>
      <c r="I123" s="190"/>
      <c r="J123" s="190"/>
      <c r="K123" s="190"/>
    </row>
    <row r="124" spans="1:14" ht="3" customHeight="1" x14ac:dyDescent="0.25"/>
    <row r="125" spans="1:14" s="195" customFormat="1" ht="8.25" customHeight="1" x14ac:dyDescent="0.15">
      <c r="A125" s="213" t="s">
        <v>174</v>
      </c>
    </row>
    <row r="126" spans="1:14" s="195" customFormat="1" ht="8.25" customHeight="1" x14ac:dyDescent="0.15">
      <c r="A126" s="213" t="s">
        <v>175</v>
      </c>
    </row>
    <row r="127" spans="1:14" s="195" customFormat="1" ht="8.25" customHeight="1" x14ac:dyDescent="0.15">
      <c r="A127" s="214" t="s">
        <v>176</v>
      </c>
      <c r="B127" s="215"/>
      <c r="C127" s="215"/>
      <c r="D127" s="215"/>
      <c r="E127" s="215"/>
      <c r="F127" s="215"/>
      <c r="G127" s="215"/>
      <c r="H127" s="215"/>
      <c r="I127" s="215"/>
      <c r="J127" s="215"/>
    </row>
    <row r="128" spans="1:14" s="195" customFormat="1" ht="8.25" customHeight="1" x14ac:dyDescent="0.15">
      <c r="A128" s="214" t="s">
        <v>177</v>
      </c>
      <c r="B128" s="215"/>
      <c r="C128" s="215"/>
      <c r="D128" s="215"/>
      <c r="E128" s="215"/>
      <c r="F128" s="215"/>
      <c r="G128" s="215"/>
      <c r="H128" s="215"/>
      <c r="I128" s="215"/>
      <c r="J128" s="215"/>
    </row>
    <row r="129" spans="1:12" s="195" customFormat="1" ht="8.25" customHeight="1" x14ac:dyDescent="0.15">
      <c r="A129" s="214" t="s">
        <v>178</v>
      </c>
      <c r="B129" s="215"/>
      <c r="C129" s="215"/>
      <c r="D129" s="215"/>
      <c r="E129" s="215"/>
      <c r="F129" s="215"/>
      <c r="G129" s="215"/>
      <c r="H129" s="215"/>
      <c r="I129" s="215"/>
      <c r="J129" s="215"/>
    </row>
    <row r="130" spans="1:12" s="195" customFormat="1" ht="8.25" customHeight="1" x14ac:dyDescent="0.15">
      <c r="A130" s="214" t="s">
        <v>179</v>
      </c>
      <c r="B130" s="215"/>
      <c r="C130" s="215"/>
      <c r="D130" s="215"/>
      <c r="E130" s="215"/>
      <c r="F130" s="215"/>
      <c r="G130" s="215"/>
      <c r="H130" s="215"/>
      <c r="I130" s="215"/>
      <c r="J130" s="215"/>
    </row>
    <row r="131" spans="1:12" s="195" customFormat="1" ht="8.25" customHeight="1" x14ac:dyDescent="0.15">
      <c r="A131" s="197" t="s">
        <v>180</v>
      </c>
      <c r="B131" s="215"/>
      <c r="C131" s="215"/>
      <c r="D131" s="215"/>
      <c r="E131" s="215"/>
      <c r="F131" s="215"/>
      <c r="G131" s="215"/>
      <c r="H131" s="215"/>
      <c r="I131" s="215"/>
      <c r="J131" s="215"/>
    </row>
    <row r="132" spans="1:12" s="195" customFormat="1" ht="9" hidden="1" customHeight="1" x14ac:dyDescent="0.25">
      <c r="L132" s="195" t="s">
        <v>74</v>
      </c>
    </row>
    <row r="133" spans="1:12" s="195" customFormat="1" ht="7.5" hidden="1" customHeight="1" x14ac:dyDescent="0.25"/>
    <row r="134" spans="1:12" ht="12.75" hidden="1" customHeight="1" x14ac:dyDescent="0.25"/>
    <row r="135" spans="1:12" ht="12.75" hidden="1" customHeight="1" x14ac:dyDescent="0.25"/>
    <row r="136" spans="1:12" ht="12.75" hidden="1" customHeight="1" x14ac:dyDescent="0.25"/>
    <row r="137" spans="1:12" ht="12.75" hidden="1" customHeight="1" x14ac:dyDescent="0.25"/>
    <row r="138" spans="1:12" ht="12.75" hidden="1" customHeight="1" x14ac:dyDescent="0.25"/>
    <row r="139" spans="1:12" ht="12.75" hidden="1" customHeight="1" x14ac:dyDescent="0.25"/>
    <row r="140" spans="1:12" ht="12.75" hidden="1" customHeight="1" x14ac:dyDescent="0.25"/>
    <row r="141" spans="1:12" ht="12.75" hidden="1" customHeight="1" x14ac:dyDescent="0.25"/>
    <row r="142" spans="1:12" ht="12.75" hidden="1" customHeight="1" x14ac:dyDescent="0.25"/>
    <row r="143" spans="1:12" ht="12.75" hidden="1" customHeight="1" x14ac:dyDescent="0.25"/>
    <row r="144" spans="1:12" ht="12.75" hidden="1" customHeight="1" x14ac:dyDescent="0.25"/>
    <row r="145" ht="12.75" hidden="1" customHeight="1" x14ac:dyDescent="0.25"/>
    <row r="146" ht="12.75" hidden="1" customHeight="1" x14ac:dyDescent="0.25"/>
    <row r="147" ht="12.75" hidden="1" customHeight="1" x14ac:dyDescent="0.25"/>
    <row r="148" ht="12.75" hidden="1" customHeight="1" x14ac:dyDescent="0.25"/>
    <row r="149" ht="12.75" hidden="1" customHeight="1" x14ac:dyDescent="0.25"/>
    <row r="150" ht="12.75" hidden="1" customHeight="1" x14ac:dyDescent="0.25"/>
    <row r="151" ht="12.75" hidden="1" customHeight="1" x14ac:dyDescent="0.25"/>
    <row r="152" ht="12.75" hidden="1" customHeight="1" x14ac:dyDescent="0.25"/>
    <row r="153" ht="12.75" hidden="1" customHeight="1" x14ac:dyDescent="0.25"/>
    <row r="154" ht="12.75" hidden="1" customHeight="1" x14ac:dyDescent="0.25"/>
    <row r="155" ht="12.75" hidden="1" customHeight="1" x14ac:dyDescent="0.25"/>
    <row r="156" ht="12.75" hidden="1" customHeight="1" x14ac:dyDescent="0.25"/>
    <row r="157" ht="12.75" hidden="1" customHeight="1" x14ac:dyDescent="0.25"/>
    <row r="158" ht="12.75" hidden="1" customHeight="1" x14ac:dyDescent="0.25"/>
    <row r="159" ht="12.75" hidden="1" customHeight="1" x14ac:dyDescent="0.25"/>
    <row r="160" ht="12.75" hidden="1" customHeight="1" x14ac:dyDescent="0.25"/>
    <row r="161" spans="1:1" ht="12.75" hidden="1" customHeight="1" x14ac:dyDescent="0.25"/>
    <row r="162" spans="1:1" ht="12.75" hidden="1" customHeight="1" x14ac:dyDescent="0.25"/>
    <row r="163" spans="1:1" ht="12.75" hidden="1" customHeight="1" x14ac:dyDescent="0.25"/>
    <row r="164" spans="1:1" ht="12.75" hidden="1" customHeight="1" x14ac:dyDescent="0.25">
      <c r="A164" s="216" t="s">
        <v>181</v>
      </c>
    </row>
    <row r="165" spans="1:1" ht="12.75" hidden="1" customHeight="1" x14ac:dyDescent="0.2">
      <c r="A165" s="217" t="s">
        <v>181</v>
      </c>
    </row>
    <row r="166" spans="1:1" ht="12.75" hidden="1" customHeight="1" x14ac:dyDescent="0.25"/>
    <row r="167" spans="1:1" ht="12.75" hidden="1" customHeight="1" x14ac:dyDescent="0.25"/>
    <row r="168" spans="1:1" ht="12.75" hidden="1" customHeight="1" x14ac:dyDescent="0.25"/>
    <row r="169" spans="1:1" ht="12.75" hidden="1" customHeight="1" x14ac:dyDescent="0.25"/>
    <row r="170" spans="1:1" ht="12.75" hidden="1" customHeight="1" x14ac:dyDescent="0.25"/>
    <row r="171" spans="1:1" ht="12.75" hidden="1" customHeight="1" x14ac:dyDescent="0.25"/>
    <row r="172" spans="1:1" ht="12.75" hidden="1" customHeight="1" x14ac:dyDescent="0.25"/>
    <row r="173" spans="1:1" ht="12.75" hidden="1" customHeight="1" x14ac:dyDescent="0.25"/>
    <row r="174" spans="1:1" ht="12.75" hidden="1" customHeight="1" x14ac:dyDescent="0.25"/>
    <row r="175" spans="1:1" ht="12.75" hidden="1" customHeight="1" x14ac:dyDescent="0.25"/>
    <row r="176" spans="1:1" ht="12.75" hidden="1" customHeight="1" x14ac:dyDescent="0.25"/>
    <row r="177" ht="12.75" hidden="1" customHeight="1" x14ac:dyDescent="0.25"/>
    <row r="178" ht="12.75" hidden="1" customHeight="1" x14ac:dyDescent="0.25"/>
    <row r="179" ht="12.75" hidden="1" customHeight="1" x14ac:dyDescent="0.25"/>
    <row r="180" ht="12.75" hidden="1" customHeight="1" x14ac:dyDescent="0.25"/>
    <row r="181" ht="12.75" hidden="1" customHeight="1" x14ac:dyDescent="0.25"/>
    <row r="182" ht="12.75" hidden="1" customHeight="1" x14ac:dyDescent="0.25"/>
    <row r="183" ht="12.75" hidden="1" customHeight="1" x14ac:dyDescent="0.25"/>
    <row r="184" ht="12.75" hidden="1" customHeight="1" x14ac:dyDescent="0.25"/>
    <row r="185" ht="12.75" hidden="1" customHeight="1" x14ac:dyDescent="0.25"/>
    <row r="186" ht="12.75" hidden="1" customHeight="1" x14ac:dyDescent="0.25"/>
    <row r="187" ht="12.75" hidden="1" customHeight="1" x14ac:dyDescent="0.25"/>
    <row r="188" ht="12.75" hidden="1" customHeight="1" x14ac:dyDescent="0.25"/>
    <row r="189" ht="12.75" hidden="1" customHeight="1" x14ac:dyDescent="0.25"/>
    <row r="190" ht="12.75" hidden="1" customHeight="1" x14ac:dyDescent="0.25"/>
    <row r="191" ht="12.75" hidden="1" customHeight="1" x14ac:dyDescent="0.25"/>
    <row r="192" ht="12.75" hidden="1" customHeight="1" x14ac:dyDescent="0.25"/>
    <row r="193" ht="12.75" hidden="1" customHeight="1" x14ac:dyDescent="0.25"/>
    <row r="194" ht="12.75" hidden="1" customHeight="1" x14ac:dyDescent="0.25"/>
    <row r="195" ht="12.75" hidden="1" customHeight="1" x14ac:dyDescent="0.25"/>
    <row r="196" ht="12.75" hidden="1" customHeight="1" x14ac:dyDescent="0.25"/>
    <row r="197" ht="12.75" hidden="1" customHeight="1" x14ac:dyDescent="0.25"/>
    <row r="198" ht="12.75" hidden="1" customHeight="1" x14ac:dyDescent="0.25"/>
    <row r="199" ht="12.75" hidden="1" customHeight="1" x14ac:dyDescent="0.25"/>
    <row r="200" ht="12.75" hidden="1" customHeight="1" x14ac:dyDescent="0.25"/>
    <row r="201" ht="12.75" hidden="1" customHeight="1" x14ac:dyDescent="0.25"/>
    <row r="202" ht="3" hidden="1" customHeight="1" x14ac:dyDescent="0.25"/>
    <row r="203" ht="3" hidden="1" customHeight="1" x14ac:dyDescent="0.25"/>
    <row r="204" ht="12.75" hidden="1" customHeight="1" x14ac:dyDescent="0.25"/>
    <row r="205" ht="12.75" hidden="1" customHeight="1" x14ac:dyDescent="0.25"/>
    <row r="206" ht="12.75" hidden="1" customHeight="1" x14ac:dyDescent="0.25"/>
    <row r="207" ht="12.75" hidden="1" customHeight="1" x14ac:dyDescent="0.25"/>
    <row r="208" ht="3" hidden="1" customHeight="1" x14ac:dyDescent="0.25"/>
    <row r="209" ht="3" hidden="1" customHeight="1" x14ac:dyDescent="0.25"/>
    <row r="210" ht="12.75" hidden="1" customHeight="1" x14ac:dyDescent="0.25"/>
    <row r="211" ht="12.75" hidden="1" customHeight="1" x14ac:dyDescent="0.25"/>
    <row r="212" ht="12.75" hidden="1" customHeight="1" x14ac:dyDescent="0.25"/>
    <row r="213" ht="12.75" hidden="1" customHeight="1" x14ac:dyDescent="0.25"/>
    <row r="214" ht="12.75" hidden="1" customHeight="1" x14ac:dyDescent="0.25"/>
    <row r="215" ht="12.75" hidden="1" customHeight="1" x14ac:dyDescent="0.25"/>
    <row r="216" ht="12.75" hidden="1" customHeight="1" x14ac:dyDescent="0.25"/>
    <row r="217" ht="12.75" hidden="1" customHeight="1" x14ac:dyDescent="0.25"/>
    <row r="218" ht="12.75" hidden="1" customHeight="1" x14ac:dyDescent="0.25"/>
    <row r="219" ht="12.75" hidden="1" customHeight="1" x14ac:dyDescent="0.25"/>
    <row r="220" ht="12.75" hidden="1" customHeight="1" x14ac:dyDescent="0.25"/>
    <row r="221" ht="12.75" hidden="1" customHeight="1" x14ac:dyDescent="0.25"/>
    <row r="222" ht="12.75" hidden="1" customHeight="1" x14ac:dyDescent="0.25"/>
    <row r="223" ht="12.75" hidden="1" customHeight="1" x14ac:dyDescent="0.25"/>
    <row r="224" ht="12.75" hidden="1" customHeight="1" x14ac:dyDescent="0.25"/>
    <row r="225" ht="12.75" hidden="1" customHeight="1" x14ac:dyDescent="0.25"/>
    <row r="226" ht="12.75" hidden="1" customHeight="1" x14ac:dyDescent="0.25"/>
    <row r="227" ht="12.75" hidden="1" customHeight="1" x14ac:dyDescent="0.25"/>
    <row r="228" ht="12.75" hidden="1" customHeight="1" x14ac:dyDescent="0.25"/>
    <row r="229" ht="12.75" hidden="1" customHeight="1" x14ac:dyDescent="0.25"/>
    <row r="230" ht="12.75" hidden="1" customHeight="1" x14ac:dyDescent="0.25"/>
    <row r="231" ht="12.75" hidden="1" customHeight="1" x14ac:dyDescent="0.25"/>
    <row r="232" ht="12.75" hidden="1" customHeight="1" x14ac:dyDescent="0.25"/>
    <row r="233" ht="12.75" hidden="1" customHeight="1" x14ac:dyDescent="0.25"/>
    <row r="234" ht="12.75" hidden="1" customHeight="1" x14ac:dyDescent="0.25"/>
    <row r="235" ht="12.75" hidden="1" customHeight="1" x14ac:dyDescent="0.25"/>
    <row r="236" ht="12.75" hidden="1" customHeight="1" x14ac:dyDescent="0.25"/>
    <row r="237" ht="12.75" hidden="1" customHeight="1" x14ac:dyDescent="0.25"/>
    <row r="238" ht="12.75" hidden="1" customHeight="1" x14ac:dyDescent="0.25"/>
    <row r="239" ht="12.75" hidden="1" customHeight="1" x14ac:dyDescent="0.25"/>
    <row r="240" ht="12.75" hidden="1" customHeight="1" x14ac:dyDescent="0.25"/>
    <row r="241" ht="12.75" hidden="1" customHeight="1" x14ac:dyDescent="0.25"/>
    <row r="242" ht="12.75" hidden="1" customHeight="1" x14ac:dyDescent="0.25"/>
    <row r="243" ht="12.75" hidden="1" customHeight="1" x14ac:dyDescent="0.25"/>
    <row r="244" ht="3" hidden="1" customHeight="1" x14ac:dyDescent="0.25"/>
    <row r="245" ht="3" hidden="1" customHeight="1" x14ac:dyDescent="0.25"/>
    <row r="246" ht="12.75" hidden="1" customHeight="1" x14ac:dyDescent="0.25"/>
    <row r="247" ht="12.75" hidden="1" customHeight="1" x14ac:dyDescent="0.25"/>
    <row r="248" ht="11.25" hidden="1" customHeight="1" x14ac:dyDescent="0.25"/>
    <row r="249" ht="11.25" hidden="1" customHeight="1" x14ac:dyDescent="0.25"/>
    <row r="250" ht="11.25" hidden="1" customHeight="1" x14ac:dyDescent="0.25"/>
    <row r="251" ht="11.25" hidden="1" customHeight="1" x14ac:dyDescent="0.25"/>
    <row r="252" ht="11.25" hidden="1" customHeight="1" x14ac:dyDescent="0.25"/>
    <row r="253" ht="11.25" hidden="1" customHeight="1" x14ac:dyDescent="0.25"/>
    <row r="254" ht="11.25" hidden="1" customHeight="1" x14ac:dyDescent="0.25"/>
    <row r="255" ht="11.25" hidden="1" customHeight="1" x14ac:dyDescent="0.25"/>
    <row r="256" ht="11.25" hidden="1" customHeight="1" x14ac:dyDescent="0.25"/>
    <row r="257" ht="11.25" hidden="1" customHeight="1" x14ac:dyDescent="0.25"/>
    <row r="258" ht="11.25" hidden="1" customHeight="1" x14ac:dyDescent="0.25"/>
    <row r="259" ht="11.25" hidden="1" customHeight="1" x14ac:dyDescent="0.25"/>
    <row r="260" ht="11.25" hidden="1" customHeight="1" x14ac:dyDescent="0.25"/>
    <row r="261" ht="11.25" hidden="1" customHeight="1" x14ac:dyDescent="0.25"/>
    <row r="262" ht="11.25" hidden="1" customHeight="1" x14ac:dyDescent="0.25"/>
    <row r="263" ht="11.25" hidden="1" customHeight="1" x14ac:dyDescent="0.25"/>
    <row r="264" ht="11.25" hidden="1" customHeight="1" x14ac:dyDescent="0.25"/>
    <row r="265" ht="11.25" hidden="1" customHeight="1" x14ac:dyDescent="0.25"/>
    <row r="266" ht="11.25" hidden="1" customHeight="1" x14ac:dyDescent="0.25"/>
    <row r="267" ht="11.25" hidden="1" customHeight="1" x14ac:dyDescent="0.25"/>
    <row r="268" ht="11.25" hidden="1" customHeight="1" x14ac:dyDescent="0.25"/>
    <row r="269" ht="11.25" hidden="1" customHeight="1" x14ac:dyDescent="0.25"/>
    <row r="270" ht="11.25" hidden="1" customHeight="1" x14ac:dyDescent="0.25"/>
    <row r="271" ht="11.25" hidden="1" customHeight="1" x14ac:dyDescent="0.25"/>
    <row r="272" ht="11.25" hidden="1" customHeight="1" x14ac:dyDescent="0.25"/>
    <row r="273" ht="11.25" hidden="1" customHeight="1" x14ac:dyDescent="0.25"/>
    <row r="274" ht="11.25" hidden="1" customHeight="1" x14ac:dyDescent="0.25"/>
    <row r="275" ht="11.25" hidden="1" customHeight="1" x14ac:dyDescent="0.25"/>
    <row r="276" ht="11.25" hidden="1" customHeight="1" x14ac:dyDescent="0.25"/>
    <row r="277" ht="11.25" hidden="1" customHeight="1" x14ac:dyDescent="0.25"/>
    <row r="278" ht="11.25" hidden="1" customHeight="1" x14ac:dyDescent="0.25"/>
    <row r="279" ht="11.25" hidden="1" customHeight="1" x14ac:dyDescent="0.25"/>
    <row r="280" ht="11.25" hidden="1" customHeight="1" x14ac:dyDescent="0.25"/>
    <row r="281" ht="11.25" hidden="1" customHeight="1" x14ac:dyDescent="0.25"/>
    <row r="282" ht="11.25" hidden="1" customHeight="1" x14ac:dyDescent="0.25"/>
    <row r="283" ht="11.25" hidden="1" customHeight="1" x14ac:dyDescent="0.25"/>
    <row r="284" ht="11.25" hidden="1" customHeight="1" x14ac:dyDescent="0.25"/>
    <row r="285" ht="8.65" hidden="1" customHeight="1" x14ac:dyDescent="0.25"/>
    <row r="286" ht="8.65" hidden="1" customHeight="1" x14ac:dyDescent="0.25"/>
    <row r="287" ht="8.65" hidden="1" customHeight="1" x14ac:dyDescent="0.25"/>
    <row r="288" ht="8.65" hidden="1" customHeight="1" x14ac:dyDescent="0.25"/>
    <row r="289" ht="11.25" hidden="1" customHeight="1" x14ac:dyDescent="0.25"/>
    <row r="290" ht="11.25" hidden="1" customHeight="1" x14ac:dyDescent="0.25"/>
    <row r="291" ht="8.65" hidden="1" customHeight="1" x14ac:dyDescent="0.25"/>
    <row r="292" ht="11.25" hidden="1" customHeight="1" x14ac:dyDescent="0.25"/>
    <row r="293" ht="8.65" hidden="1" customHeight="1" x14ac:dyDescent="0.25"/>
    <row r="294" ht="8.65" hidden="1" customHeight="1" x14ac:dyDescent="0.25"/>
    <row r="295" ht="11.25" hidden="1" customHeight="1" x14ac:dyDescent="0.25"/>
  </sheetData>
  <sheetProtection sheet="1" objects="1" scenarios="1"/>
  <mergeCells count="4">
    <mergeCell ref="A6:A10"/>
    <mergeCell ref="B6:B8"/>
    <mergeCell ref="K6:K8"/>
    <mergeCell ref="J8:J10"/>
  </mergeCells>
  <hyperlinks>
    <hyperlink ref="K1" location="Índice!A1" tooltip="Ir a Índice" display="Índice!A1"/>
  </hyperlinks>
  <printOptions horizontalCentered="1" verticalCentered="1"/>
  <pageMargins left="0.39370078740157483" right="0.39370078740157483" top="0.39370078740157483" bottom="0.39370078740157483" header="0.39370078740157483" footer="0.39370078740157483"/>
  <pageSetup orientation="portrait" r:id="rId1"/>
  <headerFooter>
    <oddHeader>&amp;L&amp;"Arial,Normal"&amp;10&amp;K000080INEGI. Anuario estadístico y geográfico por entidad federativa 2019.</oddHeader>
  </headerFooter>
  <rowBreaks count="1" manualBreakCount="1">
    <brk id="86" max="10" man="1"/>
  </rowBreak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742"/>
  <sheetViews>
    <sheetView showGridLines="0" showRowColHeaders="0" zoomScale="130" zoomScaleNormal="130" workbookViewId="0">
      <pane xSplit="1" ySplit="8" topLeftCell="B9" activePane="bottomRight" state="frozen"/>
      <selection pane="topRight"/>
      <selection pane="bottomLeft"/>
      <selection pane="bottomRight"/>
    </sheetView>
  </sheetViews>
  <sheetFormatPr baseColWidth="10" defaultColWidth="0" defaultRowHeight="0" customHeight="1" zeroHeight="1" x14ac:dyDescent="0.25"/>
  <cols>
    <col min="1" max="1" width="17" style="420" customWidth="1"/>
    <col min="2" max="2" width="10.5703125" style="420" customWidth="1"/>
    <col min="3" max="3" width="10.140625" style="420" customWidth="1"/>
    <col min="4" max="4" width="10" style="420" customWidth="1"/>
    <col min="5" max="5" width="9.5703125" style="420" customWidth="1"/>
    <col min="6" max="6" width="9" style="420" customWidth="1"/>
    <col min="7" max="7" width="1.7109375" style="420" customWidth="1"/>
    <col min="8" max="8" width="8.5703125" style="420" customWidth="1"/>
    <col min="9" max="10" width="9" style="420" customWidth="1"/>
    <col min="11" max="11" width="0.85546875" style="420" customWidth="1"/>
    <col min="12" max="16384" width="11.42578125" style="420" hidden="1"/>
  </cols>
  <sheetData>
    <row r="1" spans="1:10" ht="12" customHeight="1" x14ac:dyDescent="0.2">
      <c r="A1" s="790" t="s">
        <v>581</v>
      </c>
      <c r="B1" s="421"/>
      <c r="C1" s="421"/>
      <c r="D1" s="421"/>
      <c r="E1" s="421"/>
      <c r="F1" s="421"/>
      <c r="G1" s="421"/>
      <c r="H1" s="421"/>
      <c r="J1" s="754" t="s">
        <v>571</v>
      </c>
    </row>
    <row r="2" spans="1:10" ht="12" customHeight="1" x14ac:dyDescent="0.2">
      <c r="A2" s="790" t="s">
        <v>572</v>
      </c>
      <c r="B2" s="421"/>
      <c r="C2" s="421"/>
      <c r="D2" s="421"/>
      <c r="E2" s="421"/>
      <c r="F2" s="421"/>
      <c r="G2" s="421"/>
      <c r="H2" s="421"/>
      <c r="J2" s="749"/>
    </row>
    <row r="3" spans="1:10" ht="12" customHeight="1" x14ac:dyDescent="0.25">
      <c r="A3" s="418" t="s">
        <v>580</v>
      </c>
      <c r="B3" s="421"/>
      <c r="C3" s="421"/>
      <c r="D3" s="421"/>
      <c r="E3" s="421"/>
      <c r="F3" s="421"/>
      <c r="G3" s="421"/>
      <c r="H3" s="421"/>
    </row>
    <row r="4" spans="1:10" ht="3" customHeight="1" x14ac:dyDescent="0.25">
      <c r="A4" s="419"/>
      <c r="B4" s="419"/>
      <c r="C4" s="419"/>
      <c r="D4" s="419"/>
      <c r="E4" s="419"/>
      <c r="F4" s="419"/>
      <c r="G4" s="419"/>
      <c r="H4" s="419"/>
      <c r="I4" s="419"/>
      <c r="J4" s="419"/>
    </row>
    <row r="5" spans="1:10" ht="3" customHeight="1" x14ac:dyDescent="0.25">
      <c r="A5" s="421"/>
      <c r="B5" s="421"/>
      <c r="C5" s="421"/>
      <c r="D5" s="421"/>
      <c r="E5" s="421"/>
      <c r="F5" s="421"/>
      <c r="G5" s="421"/>
      <c r="H5" s="421"/>
    </row>
    <row r="6" spans="1:10" s="423" customFormat="1" ht="9.6" customHeight="1" x14ac:dyDescent="0.15">
      <c r="A6" s="798" t="s">
        <v>424</v>
      </c>
      <c r="B6" s="764" t="s">
        <v>13</v>
      </c>
      <c r="C6" s="764" t="s">
        <v>166</v>
      </c>
      <c r="D6" s="764" t="s">
        <v>167</v>
      </c>
      <c r="E6" s="764" t="s">
        <v>188</v>
      </c>
      <c r="F6" s="764" t="s">
        <v>189</v>
      </c>
      <c r="G6" s="764"/>
      <c r="H6" s="764" t="s">
        <v>190</v>
      </c>
      <c r="I6" s="789" t="s">
        <v>312</v>
      </c>
      <c r="J6" s="800" t="s">
        <v>579</v>
      </c>
    </row>
    <row r="7" spans="1:10" s="423" customFormat="1" ht="8.65" customHeight="1" x14ac:dyDescent="0.15">
      <c r="A7" s="799"/>
      <c r="B7" s="764"/>
      <c r="C7" s="764"/>
      <c r="D7" s="764"/>
      <c r="E7" s="764"/>
      <c r="F7" s="764"/>
      <c r="G7" s="764"/>
      <c r="H7" s="764"/>
      <c r="I7" s="789"/>
      <c r="J7" s="801"/>
    </row>
    <row r="8" spans="1:10" ht="3" customHeight="1" x14ac:dyDescent="0.2">
      <c r="A8" s="419"/>
      <c r="B8" s="425"/>
      <c r="C8" s="425"/>
      <c r="D8" s="425"/>
      <c r="E8" s="425"/>
      <c r="F8" s="425"/>
      <c r="G8" s="425"/>
      <c r="H8" s="425"/>
      <c r="I8" s="419"/>
      <c r="J8" s="419"/>
    </row>
    <row r="9" spans="1:10" ht="3" customHeight="1" x14ac:dyDescent="0.25">
      <c r="A9" s="421"/>
      <c r="B9" s="421"/>
      <c r="C9" s="421"/>
      <c r="D9" s="421"/>
      <c r="E9" s="421"/>
      <c r="F9" s="421"/>
      <c r="G9" s="421"/>
      <c r="H9" s="421"/>
    </row>
    <row r="10" spans="1:10" s="428" customFormat="1" ht="9" customHeight="1" x14ac:dyDescent="0.25">
      <c r="A10" s="470">
        <v>1995</v>
      </c>
      <c r="B10" s="471"/>
      <c r="C10" s="471"/>
      <c r="D10" s="471"/>
      <c r="E10" s="471"/>
      <c r="F10" s="471"/>
      <c r="G10" s="471"/>
      <c r="H10" s="471"/>
    </row>
    <row r="11" spans="1:10" s="473" customFormat="1" ht="9" customHeight="1" x14ac:dyDescent="0.25">
      <c r="A11" s="473" t="s">
        <v>13</v>
      </c>
      <c r="B11" s="745">
        <f>SUM(B13:B45)</f>
        <v>45723840</v>
      </c>
      <c r="C11" s="745">
        <f>SUM(C13:C45)</f>
        <v>34323844</v>
      </c>
      <c r="D11" s="745">
        <f>SUM(D13:D45)</f>
        <v>9246265</v>
      </c>
      <c r="E11" s="745">
        <f>SUM(E13:E45)</f>
        <v>518552</v>
      </c>
      <c r="F11" s="745">
        <f>SUM(F13:F45)</f>
        <v>315550</v>
      </c>
      <c r="G11" s="745"/>
      <c r="H11" s="745">
        <f>SUM(H13:H45)</f>
        <v>216310</v>
      </c>
      <c r="I11" s="745">
        <f>SUM(I13:I45)</f>
        <v>1103319</v>
      </c>
      <c r="J11" s="745" t="s">
        <v>22</v>
      </c>
    </row>
    <row r="12" spans="1:10" s="473" customFormat="1" ht="3" customHeight="1" x14ac:dyDescent="0.25">
      <c r="B12" s="745"/>
      <c r="C12" s="745"/>
      <c r="D12" s="745"/>
      <c r="E12" s="745"/>
      <c r="F12" s="745"/>
      <c r="G12" s="745"/>
      <c r="H12" s="745"/>
      <c r="I12" s="745"/>
      <c r="J12" s="745"/>
    </row>
    <row r="13" spans="1:10" s="428" customFormat="1" ht="9" customHeight="1" x14ac:dyDescent="0.25">
      <c r="A13" s="428" t="s">
        <v>23</v>
      </c>
      <c r="B13" s="746">
        <f t="shared" ref="B13:B45" si="0">SUM(C13:J13)</f>
        <v>554252</v>
      </c>
      <c r="C13" s="746">
        <v>463285</v>
      </c>
      <c r="D13" s="746">
        <v>90033</v>
      </c>
      <c r="E13" s="746">
        <v>0</v>
      </c>
      <c r="F13" s="746">
        <v>934</v>
      </c>
      <c r="G13" s="746"/>
      <c r="H13" s="746">
        <v>0</v>
      </c>
      <c r="I13" s="746">
        <v>0</v>
      </c>
      <c r="J13" s="746" t="s">
        <v>22</v>
      </c>
    </row>
    <row r="14" spans="1:10" s="428" customFormat="1" ht="9" customHeight="1" x14ac:dyDescent="0.25">
      <c r="A14" s="428" t="s">
        <v>24</v>
      </c>
      <c r="B14" s="746">
        <f t="shared" si="0"/>
        <v>1380817</v>
      </c>
      <c r="C14" s="746">
        <v>1163476</v>
      </c>
      <c r="D14" s="746">
        <v>114627</v>
      </c>
      <c r="E14" s="746">
        <v>0</v>
      </c>
      <c r="F14" s="746">
        <v>4909</v>
      </c>
      <c r="G14" s="746"/>
      <c r="H14" s="746">
        <v>5265</v>
      </c>
      <c r="I14" s="746">
        <v>92540</v>
      </c>
      <c r="J14" s="746" t="s">
        <v>22</v>
      </c>
    </row>
    <row r="15" spans="1:10" s="428" customFormat="1" ht="9" customHeight="1" x14ac:dyDescent="0.25">
      <c r="A15" s="428" t="s">
        <v>25</v>
      </c>
      <c r="B15" s="746">
        <f t="shared" si="0"/>
        <v>264221</v>
      </c>
      <c r="C15" s="746">
        <v>179758</v>
      </c>
      <c r="D15" s="746">
        <v>72508</v>
      </c>
      <c r="E15" s="746">
        <v>0</v>
      </c>
      <c r="F15" s="746">
        <v>3930</v>
      </c>
      <c r="G15" s="746"/>
      <c r="H15" s="746">
        <v>8025</v>
      </c>
      <c r="I15" s="746">
        <v>0</v>
      </c>
      <c r="J15" s="746" t="s">
        <v>22</v>
      </c>
    </row>
    <row r="16" spans="1:10" s="428" customFormat="1" ht="9" customHeight="1" x14ac:dyDescent="0.25">
      <c r="A16" s="475" t="s">
        <v>26</v>
      </c>
      <c r="B16" s="748">
        <f t="shared" si="0"/>
        <v>336403</v>
      </c>
      <c r="C16" s="748">
        <v>216586</v>
      </c>
      <c r="D16" s="748">
        <v>71756</v>
      </c>
      <c r="E16" s="748">
        <v>31579</v>
      </c>
      <c r="F16" s="748">
        <v>4987</v>
      </c>
      <c r="G16" s="748"/>
      <c r="H16" s="748">
        <v>11495</v>
      </c>
      <c r="I16" s="748">
        <v>0</v>
      </c>
      <c r="J16" s="748" t="s">
        <v>22</v>
      </c>
    </row>
    <row r="17" spans="1:10" s="428" customFormat="1" ht="9" customHeight="1" x14ac:dyDescent="0.25">
      <c r="A17" s="428" t="s">
        <v>27</v>
      </c>
      <c r="B17" s="746">
        <f t="shared" si="0"/>
        <v>1643835</v>
      </c>
      <c r="C17" s="746">
        <v>1422448</v>
      </c>
      <c r="D17" s="746">
        <v>218566</v>
      </c>
      <c r="E17" s="746">
        <v>0</v>
      </c>
      <c r="F17" s="746">
        <v>2821</v>
      </c>
      <c r="G17" s="746"/>
      <c r="H17" s="746">
        <v>0</v>
      </c>
      <c r="I17" s="746">
        <v>0</v>
      </c>
      <c r="J17" s="746" t="s">
        <v>22</v>
      </c>
    </row>
    <row r="18" spans="1:10" s="428" customFormat="1" ht="9" customHeight="1" x14ac:dyDescent="0.25">
      <c r="A18" s="428" t="s">
        <v>28</v>
      </c>
      <c r="B18" s="746">
        <f t="shared" si="0"/>
        <v>292451</v>
      </c>
      <c r="C18" s="746">
        <v>224128</v>
      </c>
      <c r="D18" s="746">
        <v>54637</v>
      </c>
      <c r="E18" s="746">
        <v>0</v>
      </c>
      <c r="F18" s="746">
        <v>4731</v>
      </c>
      <c r="G18" s="746"/>
      <c r="H18" s="746">
        <v>8955</v>
      </c>
      <c r="I18" s="746">
        <v>0</v>
      </c>
      <c r="J18" s="746" t="s">
        <v>22</v>
      </c>
    </row>
    <row r="19" spans="1:10" s="428" customFormat="1" ht="9" customHeight="1" x14ac:dyDescent="0.25">
      <c r="A19" s="428" t="s">
        <v>29</v>
      </c>
      <c r="B19" s="746">
        <f t="shared" si="0"/>
        <v>865479</v>
      </c>
      <c r="C19" s="746">
        <v>533914</v>
      </c>
      <c r="D19" s="746">
        <v>213377</v>
      </c>
      <c r="E19" s="746">
        <v>9588</v>
      </c>
      <c r="F19" s="746">
        <v>12942</v>
      </c>
      <c r="G19" s="746"/>
      <c r="H19" s="746">
        <v>6065</v>
      </c>
      <c r="I19" s="746">
        <v>89593</v>
      </c>
      <c r="J19" s="746" t="s">
        <v>22</v>
      </c>
    </row>
    <row r="20" spans="1:10" s="428" customFormat="1" ht="9" customHeight="1" x14ac:dyDescent="0.25">
      <c r="A20" s="475" t="s">
        <v>30</v>
      </c>
      <c r="B20" s="748">
        <f t="shared" si="0"/>
        <v>1883305</v>
      </c>
      <c r="C20" s="748">
        <v>1642767</v>
      </c>
      <c r="D20" s="748">
        <v>231886</v>
      </c>
      <c r="E20" s="748">
        <v>1056</v>
      </c>
      <c r="F20" s="748">
        <v>7596</v>
      </c>
      <c r="G20" s="748"/>
      <c r="H20" s="748">
        <v>0</v>
      </c>
      <c r="I20" s="748">
        <v>0</v>
      </c>
      <c r="J20" s="748" t="s">
        <v>22</v>
      </c>
    </row>
    <row r="21" spans="1:10" s="428" customFormat="1" ht="9" customHeight="1" x14ac:dyDescent="0.25">
      <c r="A21" s="405" t="s">
        <v>63</v>
      </c>
      <c r="B21" s="746">
        <f t="shared" si="0"/>
        <v>8727280</v>
      </c>
      <c r="C21" s="746">
        <v>5607638</v>
      </c>
      <c r="D21" s="746">
        <v>2875498</v>
      </c>
      <c r="E21" s="746">
        <v>65275</v>
      </c>
      <c r="F21" s="746">
        <v>102030</v>
      </c>
      <c r="G21" s="746"/>
      <c r="H21" s="746">
        <v>36830</v>
      </c>
      <c r="I21" s="746">
        <v>40009</v>
      </c>
      <c r="J21" s="746" t="s">
        <v>22</v>
      </c>
    </row>
    <row r="22" spans="1:10" s="428" customFormat="1" ht="9" customHeight="1" x14ac:dyDescent="0.25">
      <c r="A22" s="428" t="s">
        <v>31</v>
      </c>
      <c r="B22" s="746">
        <f t="shared" si="0"/>
        <v>837053</v>
      </c>
      <c r="C22" s="746">
        <v>578313</v>
      </c>
      <c r="D22" s="746">
        <v>253675</v>
      </c>
      <c r="E22" s="746">
        <v>0</v>
      </c>
      <c r="F22" s="746">
        <v>5065</v>
      </c>
      <c r="G22" s="746"/>
      <c r="H22" s="746">
        <v>0</v>
      </c>
      <c r="I22" s="746">
        <v>0</v>
      </c>
      <c r="J22" s="746" t="s">
        <v>22</v>
      </c>
    </row>
    <row r="23" spans="1:10" s="428" customFormat="1" ht="9" customHeight="1" x14ac:dyDescent="0.25">
      <c r="A23" s="428" t="s">
        <v>32</v>
      </c>
      <c r="B23" s="746">
        <f t="shared" si="0"/>
        <v>1768336</v>
      </c>
      <c r="C23" s="746">
        <v>1427058</v>
      </c>
      <c r="D23" s="746">
        <v>306070</v>
      </c>
      <c r="E23" s="746">
        <v>29354</v>
      </c>
      <c r="F23" s="746">
        <v>5854</v>
      </c>
      <c r="G23" s="746"/>
      <c r="H23" s="746">
        <v>0</v>
      </c>
      <c r="I23" s="746">
        <v>0</v>
      </c>
      <c r="J23" s="746" t="s">
        <v>22</v>
      </c>
    </row>
    <row r="24" spans="1:10" s="428" customFormat="1" ht="9" customHeight="1" x14ac:dyDescent="0.25">
      <c r="A24" s="475" t="s">
        <v>33</v>
      </c>
      <c r="B24" s="748">
        <f t="shared" si="0"/>
        <v>980979</v>
      </c>
      <c r="C24" s="748">
        <v>559986</v>
      </c>
      <c r="D24" s="748">
        <v>387169</v>
      </c>
      <c r="E24" s="748">
        <v>0</v>
      </c>
      <c r="F24" s="748">
        <v>16684</v>
      </c>
      <c r="G24" s="748"/>
      <c r="H24" s="748">
        <v>17140</v>
      </c>
      <c r="I24" s="748">
        <v>0</v>
      </c>
      <c r="J24" s="748" t="s">
        <v>22</v>
      </c>
    </row>
    <row r="25" spans="1:10" s="428" customFormat="1" ht="9" customHeight="1" x14ac:dyDescent="0.25">
      <c r="A25" s="428" t="s">
        <v>34</v>
      </c>
      <c r="B25" s="746">
        <f t="shared" si="0"/>
        <v>671208</v>
      </c>
      <c r="C25" s="746">
        <v>472420</v>
      </c>
      <c r="D25" s="746">
        <v>178424</v>
      </c>
      <c r="E25" s="746">
        <v>16504</v>
      </c>
      <c r="F25" s="746">
        <v>3860</v>
      </c>
      <c r="G25" s="746"/>
      <c r="H25" s="746">
        <v>0</v>
      </c>
      <c r="I25" s="746">
        <v>0</v>
      </c>
      <c r="J25" s="746" t="s">
        <v>22</v>
      </c>
    </row>
    <row r="26" spans="1:10" s="428" customFormat="1" ht="9" customHeight="1" x14ac:dyDescent="0.25">
      <c r="A26" s="428" t="s">
        <v>35</v>
      </c>
      <c r="B26" s="746">
        <f t="shared" si="0"/>
        <v>3034422</v>
      </c>
      <c r="C26" s="746">
        <v>2736997</v>
      </c>
      <c r="D26" s="746">
        <v>279703</v>
      </c>
      <c r="E26" s="746">
        <v>851</v>
      </c>
      <c r="F26" s="746">
        <v>14296</v>
      </c>
      <c r="G26" s="746"/>
      <c r="H26" s="746">
        <v>2575</v>
      </c>
      <c r="I26" s="746">
        <v>0</v>
      </c>
      <c r="J26" s="746" t="s">
        <v>22</v>
      </c>
    </row>
    <row r="27" spans="1:10" s="428" customFormat="1" ht="9" customHeight="1" x14ac:dyDescent="0.25">
      <c r="A27" s="428" t="s">
        <v>36</v>
      </c>
      <c r="B27" s="746">
        <f t="shared" si="0"/>
        <v>4020956</v>
      </c>
      <c r="C27" s="746">
        <v>2889664</v>
      </c>
      <c r="D27" s="746">
        <v>680698</v>
      </c>
      <c r="E27" s="746">
        <v>13458</v>
      </c>
      <c r="F27" s="746">
        <v>19475</v>
      </c>
      <c r="G27" s="746"/>
      <c r="H27" s="746">
        <v>0</v>
      </c>
      <c r="I27" s="746">
        <v>417661</v>
      </c>
      <c r="J27" s="746" t="s">
        <v>22</v>
      </c>
    </row>
    <row r="28" spans="1:10" s="428" customFormat="1" ht="9" customHeight="1" x14ac:dyDescent="0.25">
      <c r="A28" s="475" t="s">
        <v>37</v>
      </c>
      <c r="B28" s="748">
        <f t="shared" si="0"/>
        <v>1214058</v>
      </c>
      <c r="C28" s="748">
        <v>893471</v>
      </c>
      <c r="D28" s="748">
        <v>311066</v>
      </c>
      <c r="E28" s="748">
        <v>0</v>
      </c>
      <c r="F28" s="748">
        <v>5131</v>
      </c>
      <c r="G28" s="748"/>
      <c r="H28" s="748">
        <v>4390</v>
      </c>
      <c r="I28" s="748">
        <v>0</v>
      </c>
      <c r="J28" s="748" t="s">
        <v>22</v>
      </c>
    </row>
    <row r="29" spans="1:10" s="428" customFormat="1" ht="9" customHeight="1" x14ac:dyDescent="0.25">
      <c r="A29" s="428" t="s">
        <v>38</v>
      </c>
      <c r="B29" s="746">
        <f t="shared" si="0"/>
        <v>648475</v>
      </c>
      <c r="C29" s="746">
        <v>491327</v>
      </c>
      <c r="D29" s="746">
        <v>151161</v>
      </c>
      <c r="E29" s="746">
        <v>0</v>
      </c>
      <c r="F29" s="746">
        <v>5987</v>
      </c>
      <c r="G29" s="746"/>
      <c r="H29" s="746">
        <v>0</v>
      </c>
      <c r="I29" s="746">
        <v>0</v>
      </c>
      <c r="J29" s="746" t="s">
        <v>22</v>
      </c>
    </row>
    <row r="30" spans="1:10" s="428" customFormat="1" ht="9" customHeight="1" x14ac:dyDescent="0.25">
      <c r="A30" s="428" t="s">
        <v>39</v>
      </c>
      <c r="B30" s="746">
        <f t="shared" si="0"/>
        <v>442069</v>
      </c>
      <c r="C30" s="746">
        <v>315584</v>
      </c>
      <c r="D30" s="746">
        <v>120883</v>
      </c>
      <c r="E30" s="746">
        <v>0</v>
      </c>
      <c r="F30" s="746">
        <v>2757</v>
      </c>
      <c r="G30" s="746"/>
      <c r="H30" s="746">
        <v>2845</v>
      </c>
      <c r="I30" s="746">
        <v>0</v>
      </c>
      <c r="J30" s="746" t="s">
        <v>22</v>
      </c>
    </row>
    <row r="31" spans="1:10" s="428" customFormat="1" ht="9" customHeight="1" x14ac:dyDescent="0.25">
      <c r="A31" s="428" t="s">
        <v>40</v>
      </c>
      <c r="B31" s="746">
        <f t="shared" si="0"/>
        <v>2492597</v>
      </c>
      <c r="C31" s="746">
        <v>2165484</v>
      </c>
      <c r="D31" s="746">
        <v>176384</v>
      </c>
      <c r="E31" s="746">
        <v>15448</v>
      </c>
      <c r="F31" s="746">
        <v>4346</v>
      </c>
      <c r="G31" s="746"/>
      <c r="H31" s="746">
        <v>0</v>
      </c>
      <c r="I31" s="746">
        <v>130935</v>
      </c>
      <c r="J31" s="746" t="s">
        <v>22</v>
      </c>
    </row>
    <row r="32" spans="1:10" s="428" customFormat="1" ht="9" customHeight="1" x14ac:dyDescent="0.25">
      <c r="A32" s="475" t="s">
        <v>41</v>
      </c>
      <c r="B32" s="748">
        <f t="shared" si="0"/>
        <v>821882</v>
      </c>
      <c r="C32" s="748">
        <v>508931</v>
      </c>
      <c r="D32" s="748">
        <v>268195</v>
      </c>
      <c r="E32" s="748">
        <v>22036</v>
      </c>
      <c r="F32" s="748">
        <v>10205</v>
      </c>
      <c r="G32" s="748"/>
      <c r="H32" s="748">
        <v>12515</v>
      </c>
      <c r="I32" s="748">
        <v>0</v>
      </c>
      <c r="J32" s="748" t="s">
        <v>22</v>
      </c>
    </row>
    <row r="33" spans="1:10" s="428" customFormat="1" ht="9" customHeight="1" x14ac:dyDescent="0.25">
      <c r="A33" s="428" t="s">
        <v>42</v>
      </c>
      <c r="B33" s="746">
        <f t="shared" si="0"/>
        <v>1599781</v>
      </c>
      <c r="C33" s="746">
        <v>1231244</v>
      </c>
      <c r="D33" s="746">
        <v>267375</v>
      </c>
      <c r="E33" s="746">
        <v>7885</v>
      </c>
      <c r="F33" s="746">
        <v>11054</v>
      </c>
      <c r="G33" s="746"/>
      <c r="H33" s="746">
        <v>0</v>
      </c>
      <c r="I33" s="746">
        <v>82223</v>
      </c>
      <c r="J33" s="746" t="s">
        <v>22</v>
      </c>
    </row>
    <row r="34" spans="1:10" s="428" customFormat="1" ht="9" customHeight="1" x14ac:dyDescent="0.25">
      <c r="A34" s="428" t="s">
        <v>43</v>
      </c>
      <c r="B34" s="746">
        <f t="shared" si="0"/>
        <v>689588</v>
      </c>
      <c r="C34" s="746">
        <v>594555</v>
      </c>
      <c r="D34" s="746">
        <v>92781</v>
      </c>
      <c r="E34" s="746">
        <v>0</v>
      </c>
      <c r="F34" s="746">
        <v>2252</v>
      </c>
      <c r="G34" s="746"/>
      <c r="H34" s="746">
        <v>0</v>
      </c>
      <c r="I34" s="746">
        <v>0</v>
      </c>
      <c r="J34" s="746" t="s">
        <v>22</v>
      </c>
    </row>
    <row r="35" spans="1:10" s="428" customFormat="1" ht="9" customHeight="1" x14ac:dyDescent="0.25">
      <c r="A35" s="428" t="s">
        <v>44</v>
      </c>
      <c r="B35" s="746">
        <f t="shared" si="0"/>
        <v>391744</v>
      </c>
      <c r="C35" s="746">
        <v>307515</v>
      </c>
      <c r="D35" s="746">
        <v>70190</v>
      </c>
      <c r="E35" s="746">
        <v>0</v>
      </c>
      <c r="F35" s="746">
        <v>4099</v>
      </c>
      <c r="G35" s="746"/>
      <c r="H35" s="746">
        <v>9940</v>
      </c>
      <c r="I35" s="746">
        <v>0</v>
      </c>
      <c r="J35" s="746" t="s">
        <v>22</v>
      </c>
    </row>
    <row r="36" spans="1:10" s="428" customFormat="1" ht="9" customHeight="1" x14ac:dyDescent="0.25">
      <c r="A36" s="475" t="s">
        <v>45</v>
      </c>
      <c r="B36" s="748">
        <f t="shared" si="0"/>
        <v>985584</v>
      </c>
      <c r="C36" s="748">
        <v>763431</v>
      </c>
      <c r="D36" s="748">
        <v>209988</v>
      </c>
      <c r="E36" s="748">
        <v>8084</v>
      </c>
      <c r="F36" s="748">
        <v>4081</v>
      </c>
      <c r="G36" s="748"/>
      <c r="H36" s="748">
        <v>0</v>
      </c>
      <c r="I36" s="748">
        <v>0</v>
      </c>
      <c r="J36" s="748" t="s">
        <v>22</v>
      </c>
    </row>
    <row r="37" spans="1:10" s="428" customFormat="1" ht="9" customHeight="1" x14ac:dyDescent="0.25">
      <c r="A37" s="428" t="s">
        <v>46</v>
      </c>
      <c r="B37" s="746">
        <f t="shared" si="0"/>
        <v>1385280</v>
      </c>
      <c r="C37" s="746">
        <v>1107801</v>
      </c>
      <c r="D37" s="746">
        <v>260797</v>
      </c>
      <c r="E37" s="746">
        <v>826</v>
      </c>
      <c r="F37" s="746">
        <v>6036</v>
      </c>
      <c r="G37" s="746"/>
      <c r="H37" s="746">
        <v>9820</v>
      </c>
      <c r="I37" s="746">
        <v>0</v>
      </c>
      <c r="J37" s="746" t="s">
        <v>22</v>
      </c>
    </row>
    <row r="38" spans="1:10" s="428" customFormat="1" ht="9" customHeight="1" x14ac:dyDescent="0.25">
      <c r="A38" s="428" t="s">
        <v>47</v>
      </c>
      <c r="B38" s="746">
        <f t="shared" si="0"/>
        <v>1283878</v>
      </c>
      <c r="C38" s="746">
        <v>980432</v>
      </c>
      <c r="D38" s="746">
        <v>184563</v>
      </c>
      <c r="E38" s="746">
        <v>0</v>
      </c>
      <c r="F38" s="746">
        <v>5560</v>
      </c>
      <c r="G38" s="746"/>
      <c r="H38" s="746">
        <v>8585</v>
      </c>
      <c r="I38" s="746">
        <v>104738</v>
      </c>
      <c r="J38" s="746" t="s">
        <v>22</v>
      </c>
    </row>
    <row r="39" spans="1:10" s="428" customFormat="1" ht="9" customHeight="1" x14ac:dyDescent="0.25">
      <c r="A39" s="428" t="s">
        <v>48</v>
      </c>
      <c r="B39" s="746">
        <f t="shared" si="0"/>
        <v>718542</v>
      </c>
      <c r="C39" s="746">
        <v>368557</v>
      </c>
      <c r="D39" s="746">
        <v>134223</v>
      </c>
      <c r="E39" s="746">
        <v>59915</v>
      </c>
      <c r="F39" s="746">
        <v>4232</v>
      </c>
      <c r="G39" s="746"/>
      <c r="H39" s="746">
        <v>5995</v>
      </c>
      <c r="I39" s="746">
        <v>145620</v>
      </c>
      <c r="J39" s="746" t="s">
        <v>22</v>
      </c>
    </row>
    <row r="40" spans="1:10" s="428" customFormat="1" ht="9" customHeight="1" x14ac:dyDescent="0.25">
      <c r="A40" s="475" t="s">
        <v>49</v>
      </c>
      <c r="B40" s="748">
        <f t="shared" si="0"/>
        <v>1652093</v>
      </c>
      <c r="C40" s="748">
        <v>1281997</v>
      </c>
      <c r="D40" s="748">
        <v>284714</v>
      </c>
      <c r="E40" s="748">
        <v>59903</v>
      </c>
      <c r="F40" s="748">
        <v>6314</v>
      </c>
      <c r="G40" s="748"/>
      <c r="H40" s="748">
        <v>19165</v>
      </c>
      <c r="I40" s="748">
        <v>0</v>
      </c>
      <c r="J40" s="748" t="s">
        <v>22</v>
      </c>
    </row>
    <row r="41" spans="1:10" s="428" customFormat="1" ht="9" customHeight="1" x14ac:dyDescent="0.25">
      <c r="A41" s="428" t="s">
        <v>50</v>
      </c>
      <c r="B41" s="746">
        <f t="shared" si="0"/>
        <v>317674</v>
      </c>
      <c r="C41" s="746">
        <v>226735</v>
      </c>
      <c r="D41" s="746">
        <v>87889</v>
      </c>
      <c r="E41" s="746">
        <v>0</v>
      </c>
      <c r="F41" s="746">
        <v>3050</v>
      </c>
      <c r="G41" s="746"/>
      <c r="H41" s="746">
        <v>0</v>
      </c>
      <c r="I41" s="746">
        <v>0</v>
      </c>
      <c r="J41" s="746" t="s">
        <v>22</v>
      </c>
    </row>
    <row r="42" spans="1:10" s="428" customFormat="1" ht="9" customHeight="1" x14ac:dyDescent="0.25">
      <c r="A42" s="428" t="s">
        <v>51</v>
      </c>
      <c r="B42" s="746">
        <f t="shared" si="0"/>
        <v>2601110</v>
      </c>
      <c r="C42" s="746">
        <v>1997660</v>
      </c>
      <c r="D42" s="746">
        <v>362945</v>
      </c>
      <c r="E42" s="746">
        <v>176790</v>
      </c>
      <c r="F42" s="746">
        <v>22725</v>
      </c>
      <c r="G42" s="746"/>
      <c r="H42" s="746">
        <v>40990</v>
      </c>
      <c r="I42" s="746">
        <v>0</v>
      </c>
      <c r="J42" s="746" t="s">
        <v>22</v>
      </c>
    </row>
    <row r="43" spans="1:10" s="428" customFormat="1" ht="9" customHeight="1" x14ac:dyDescent="0.25">
      <c r="A43" s="428" t="s">
        <v>52</v>
      </c>
      <c r="B43" s="746">
        <f t="shared" si="0"/>
        <v>729728</v>
      </c>
      <c r="C43" s="746">
        <v>603061</v>
      </c>
      <c r="D43" s="746">
        <v>115617</v>
      </c>
      <c r="E43" s="746">
        <v>0</v>
      </c>
      <c r="F43" s="746">
        <v>5335</v>
      </c>
      <c r="G43" s="746"/>
      <c r="H43" s="746">
        <v>5715</v>
      </c>
      <c r="I43" s="746">
        <v>0</v>
      </c>
      <c r="J43" s="746" t="s">
        <v>22</v>
      </c>
    </row>
    <row r="44" spans="1:10" s="428" customFormat="1" ht="9" customHeight="1" x14ac:dyDescent="0.25">
      <c r="A44" s="475" t="s">
        <v>53</v>
      </c>
      <c r="B44" s="748">
        <f t="shared" si="0"/>
        <v>482498</v>
      </c>
      <c r="C44" s="748">
        <v>367621</v>
      </c>
      <c r="D44" s="748">
        <v>112605</v>
      </c>
      <c r="E44" s="748">
        <v>0</v>
      </c>
      <c r="F44" s="748">
        <v>2272</v>
      </c>
      <c r="G44" s="748"/>
      <c r="H44" s="748">
        <v>0</v>
      </c>
      <c r="I44" s="748">
        <v>0</v>
      </c>
      <c r="J44" s="748" t="s">
        <v>22</v>
      </c>
    </row>
    <row r="45" spans="1:10" s="428" customFormat="1" ht="9" customHeight="1" x14ac:dyDescent="0.25">
      <c r="A45" s="431" t="s">
        <v>434</v>
      </c>
      <c r="B45" s="788">
        <f t="shared" si="0"/>
        <v>6262</v>
      </c>
      <c r="C45" s="749" t="s">
        <v>573</v>
      </c>
      <c r="D45" s="746">
        <v>6262</v>
      </c>
      <c r="E45" s="749" t="s">
        <v>573</v>
      </c>
      <c r="F45" s="749" t="s">
        <v>573</v>
      </c>
      <c r="G45" s="749"/>
      <c r="H45" s="749" t="s">
        <v>573</v>
      </c>
      <c r="I45" s="749" t="s">
        <v>573</v>
      </c>
      <c r="J45" s="749" t="s">
        <v>573</v>
      </c>
    </row>
    <row r="46" spans="1:10" s="428" customFormat="1" ht="9" customHeight="1" x14ac:dyDescent="0.25">
      <c r="A46" s="431"/>
      <c r="B46" s="788"/>
      <c r="C46" s="431"/>
      <c r="D46" s="746"/>
      <c r="E46" s="431"/>
      <c r="F46" s="431"/>
      <c r="G46" s="431"/>
      <c r="H46" s="431"/>
      <c r="I46" s="431"/>
      <c r="J46" s="431"/>
    </row>
    <row r="47" spans="1:10" s="428" customFormat="1" ht="9" customHeight="1" x14ac:dyDescent="0.25">
      <c r="A47" s="470">
        <v>1996</v>
      </c>
      <c r="B47" s="471"/>
      <c r="C47" s="471"/>
      <c r="D47" s="471"/>
      <c r="E47" s="471"/>
      <c r="F47" s="471"/>
      <c r="G47" s="471"/>
      <c r="H47" s="471"/>
    </row>
    <row r="48" spans="1:10" s="428" customFormat="1" ht="9" customHeight="1" x14ac:dyDescent="0.25">
      <c r="A48" s="473" t="s">
        <v>13</v>
      </c>
      <c r="B48" s="745">
        <f>SUM(B50:B82)</f>
        <v>48813217</v>
      </c>
      <c r="C48" s="745">
        <f>SUM(C50:C82)</f>
        <v>37260967</v>
      </c>
      <c r="D48" s="745">
        <f>SUM(D50:D82)</f>
        <v>9311540</v>
      </c>
      <c r="E48" s="745">
        <f>SUM(E50:E82)</f>
        <v>539521</v>
      </c>
      <c r="F48" s="745">
        <f>SUM(F50:F82)</f>
        <v>361344</v>
      </c>
      <c r="G48" s="745"/>
      <c r="H48" s="745">
        <f>SUM(H50:H82)</f>
        <v>182228</v>
      </c>
      <c r="I48" s="745">
        <f>SUM(I50:I82)</f>
        <v>1157617</v>
      </c>
      <c r="J48" s="745" t="s">
        <v>22</v>
      </c>
    </row>
    <row r="49" spans="1:10" s="428" customFormat="1" ht="3.95" customHeight="1" x14ac:dyDescent="0.25">
      <c r="A49" s="473"/>
      <c r="B49" s="745"/>
      <c r="C49" s="745"/>
      <c r="D49" s="745"/>
      <c r="E49" s="745"/>
      <c r="F49" s="745"/>
      <c r="G49" s="745"/>
      <c r="H49" s="745"/>
      <c r="I49" s="745"/>
      <c r="J49" s="745"/>
    </row>
    <row r="50" spans="1:10" s="428" customFormat="1" ht="9" customHeight="1" x14ac:dyDescent="0.25">
      <c r="A50" s="428" t="s">
        <v>23</v>
      </c>
      <c r="B50" s="746">
        <f t="shared" ref="B50:B82" si="1">SUM(C50:J50)</f>
        <v>599955</v>
      </c>
      <c r="C50" s="746">
        <v>508197</v>
      </c>
      <c r="D50" s="746">
        <v>90825</v>
      </c>
      <c r="E50" s="746">
        <v>219</v>
      </c>
      <c r="F50" s="746">
        <v>714</v>
      </c>
      <c r="G50" s="746"/>
      <c r="H50" s="746">
        <v>0</v>
      </c>
      <c r="I50" s="746">
        <v>0</v>
      </c>
      <c r="J50" s="746" t="s">
        <v>22</v>
      </c>
    </row>
    <row r="51" spans="1:10" s="428" customFormat="1" ht="9" customHeight="1" x14ac:dyDescent="0.25">
      <c r="A51" s="428" t="s">
        <v>24</v>
      </c>
      <c r="B51" s="746">
        <f t="shared" si="1"/>
        <v>1543518</v>
      </c>
      <c r="C51" s="746">
        <v>1320743</v>
      </c>
      <c r="D51" s="746">
        <v>115699</v>
      </c>
      <c r="E51" s="746">
        <v>526</v>
      </c>
      <c r="F51" s="746">
        <v>5845</v>
      </c>
      <c r="G51" s="746"/>
      <c r="H51" s="746">
        <v>4656</v>
      </c>
      <c r="I51" s="746">
        <v>96049</v>
      </c>
      <c r="J51" s="746" t="s">
        <v>22</v>
      </c>
    </row>
    <row r="52" spans="1:10" s="428" customFormat="1" ht="9" customHeight="1" x14ac:dyDescent="0.25">
      <c r="A52" s="428" t="s">
        <v>25</v>
      </c>
      <c r="B52" s="746">
        <f t="shared" si="1"/>
        <v>298580</v>
      </c>
      <c r="C52" s="746">
        <v>212628</v>
      </c>
      <c r="D52" s="746">
        <v>73186</v>
      </c>
      <c r="E52" s="746">
        <v>88</v>
      </c>
      <c r="F52" s="746">
        <v>6102</v>
      </c>
      <c r="G52" s="746"/>
      <c r="H52" s="746">
        <v>6576</v>
      </c>
      <c r="I52" s="746">
        <v>0</v>
      </c>
      <c r="J52" s="746" t="s">
        <v>22</v>
      </c>
    </row>
    <row r="53" spans="1:10" s="428" customFormat="1" ht="9" customHeight="1" x14ac:dyDescent="0.25">
      <c r="A53" s="475" t="s">
        <v>26</v>
      </c>
      <c r="B53" s="748">
        <f t="shared" si="1"/>
        <v>344945</v>
      </c>
      <c r="C53" s="748">
        <v>244177</v>
      </c>
      <c r="D53" s="748">
        <v>72239</v>
      </c>
      <c r="E53" s="748">
        <v>16291</v>
      </c>
      <c r="F53" s="748">
        <v>1726</v>
      </c>
      <c r="G53" s="748"/>
      <c r="H53" s="748">
        <v>10512</v>
      </c>
      <c r="I53" s="748">
        <v>0</v>
      </c>
      <c r="J53" s="748" t="s">
        <v>22</v>
      </c>
    </row>
    <row r="54" spans="1:10" s="428" customFormat="1" ht="9" customHeight="1" x14ac:dyDescent="0.25">
      <c r="A54" s="428" t="s">
        <v>27</v>
      </c>
      <c r="B54" s="746">
        <f t="shared" si="1"/>
        <v>1778222</v>
      </c>
      <c r="C54" s="746">
        <v>1552851</v>
      </c>
      <c r="D54" s="746">
        <v>220362</v>
      </c>
      <c r="E54" s="746">
        <v>307</v>
      </c>
      <c r="F54" s="746">
        <v>4702</v>
      </c>
      <c r="G54" s="746"/>
      <c r="H54" s="746">
        <v>0</v>
      </c>
      <c r="I54" s="746">
        <v>0</v>
      </c>
      <c r="J54" s="746" t="s">
        <v>22</v>
      </c>
    </row>
    <row r="55" spans="1:10" s="428" customFormat="1" ht="9" customHeight="1" x14ac:dyDescent="0.25">
      <c r="A55" s="428" t="s">
        <v>28</v>
      </c>
      <c r="B55" s="746">
        <f t="shared" si="1"/>
        <v>293930</v>
      </c>
      <c r="C55" s="746">
        <v>227549</v>
      </c>
      <c r="D55" s="746">
        <v>55090</v>
      </c>
      <c r="E55" s="746">
        <v>307</v>
      </c>
      <c r="F55" s="746">
        <v>2488</v>
      </c>
      <c r="G55" s="746"/>
      <c r="H55" s="746">
        <v>8496</v>
      </c>
      <c r="I55" s="746">
        <v>0</v>
      </c>
      <c r="J55" s="746" t="s">
        <v>22</v>
      </c>
    </row>
    <row r="56" spans="1:10" s="428" customFormat="1" ht="9" customHeight="1" x14ac:dyDescent="0.25">
      <c r="A56" s="428" t="s">
        <v>29</v>
      </c>
      <c r="B56" s="746">
        <f t="shared" si="1"/>
        <v>820478</v>
      </c>
      <c r="C56" s="746">
        <v>513283</v>
      </c>
      <c r="D56" s="746">
        <v>214983</v>
      </c>
      <c r="E56" s="746">
        <v>8995</v>
      </c>
      <c r="F56" s="746">
        <v>13462</v>
      </c>
      <c r="G56" s="746"/>
      <c r="H56" s="746">
        <v>6952</v>
      </c>
      <c r="I56" s="746">
        <v>62803</v>
      </c>
      <c r="J56" s="746" t="s">
        <v>22</v>
      </c>
    </row>
    <row r="57" spans="1:10" s="428" customFormat="1" ht="9" customHeight="1" x14ac:dyDescent="0.25">
      <c r="A57" s="475" t="s">
        <v>30</v>
      </c>
      <c r="B57" s="748">
        <f t="shared" si="1"/>
        <v>2078220</v>
      </c>
      <c r="C57" s="748">
        <v>1832060</v>
      </c>
      <c r="D57" s="748">
        <v>233842</v>
      </c>
      <c r="E57" s="748">
        <v>1187</v>
      </c>
      <c r="F57" s="748">
        <v>11131</v>
      </c>
      <c r="G57" s="748"/>
      <c r="H57" s="748">
        <v>0</v>
      </c>
      <c r="I57" s="748">
        <v>0</v>
      </c>
      <c r="J57" s="748" t="s">
        <v>22</v>
      </c>
    </row>
    <row r="58" spans="1:10" s="428" customFormat="1" ht="9" customHeight="1" x14ac:dyDescent="0.25">
      <c r="A58" s="405" t="s">
        <v>63</v>
      </c>
      <c r="B58" s="746">
        <f t="shared" si="1"/>
        <v>9082677</v>
      </c>
      <c r="C58" s="746">
        <v>5907822</v>
      </c>
      <c r="D58" s="746">
        <v>2894345</v>
      </c>
      <c r="E58" s="746">
        <v>67014</v>
      </c>
      <c r="F58" s="746">
        <v>141879</v>
      </c>
      <c r="G58" s="746"/>
      <c r="H58" s="746">
        <v>31016</v>
      </c>
      <c r="I58" s="746">
        <v>40601</v>
      </c>
      <c r="J58" s="746" t="s">
        <v>22</v>
      </c>
    </row>
    <row r="59" spans="1:10" s="428" customFormat="1" ht="9" customHeight="1" x14ac:dyDescent="0.25">
      <c r="A59" s="428" t="s">
        <v>31</v>
      </c>
      <c r="B59" s="746">
        <f t="shared" si="1"/>
        <v>906182</v>
      </c>
      <c r="C59" s="746">
        <v>646063</v>
      </c>
      <c r="D59" s="746">
        <v>255399</v>
      </c>
      <c r="E59" s="746">
        <v>394</v>
      </c>
      <c r="F59" s="746">
        <v>4326</v>
      </c>
      <c r="G59" s="746"/>
      <c r="H59" s="746">
        <v>0</v>
      </c>
      <c r="I59" s="746">
        <v>0</v>
      </c>
      <c r="J59" s="746" t="s">
        <v>22</v>
      </c>
    </row>
    <row r="60" spans="1:10" s="428" customFormat="1" ht="9" customHeight="1" x14ac:dyDescent="0.25">
      <c r="A60" s="428" t="s">
        <v>32</v>
      </c>
      <c r="B60" s="746">
        <f t="shared" si="1"/>
        <v>1938103</v>
      </c>
      <c r="C60" s="746">
        <v>1594765</v>
      </c>
      <c r="D60" s="746">
        <v>308066</v>
      </c>
      <c r="E60" s="746">
        <v>29157</v>
      </c>
      <c r="F60" s="746">
        <v>6115</v>
      </c>
      <c r="G60" s="746"/>
      <c r="H60" s="746">
        <v>0</v>
      </c>
      <c r="I60" s="746">
        <v>0</v>
      </c>
      <c r="J60" s="746" t="s">
        <v>22</v>
      </c>
    </row>
    <row r="61" spans="1:10" s="428" customFormat="1" ht="9" customHeight="1" x14ac:dyDescent="0.25">
      <c r="A61" s="475" t="s">
        <v>33</v>
      </c>
      <c r="B61" s="748">
        <f t="shared" si="1"/>
        <v>1016939</v>
      </c>
      <c r="C61" s="748">
        <v>596828</v>
      </c>
      <c r="D61" s="748">
        <v>389162</v>
      </c>
      <c r="E61" s="748">
        <v>0</v>
      </c>
      <c r="F61" s="748">
        <v>17353</v>
      </c>
      <c r="G61" s="748"/>
      <c r="H61" s="748">
        <v>13596</v>
      </c>
      <c r="I61" s="748">
        <v>0</v>
      </c>
      <c r="J61" s="748" t="s">
        <v>22</v>
      </c>
    </row>
    <row r="62" spans="1:10" s="428" customFormat="1" ht="9" customHeight="1" x14ac:dyDescent="0.25">
      <c r="A62" s="428" t="s">
        <v>34</v>
      </c>
      <c r="B62" s="746">
        <f t="shared" si="1"/>
        <v>730815</v>
      </c>
      <c r="C62" s="746">
        <v>531822</v>
      </c>
      <c r="D62" s="746">
        <v>179742</v>
      </c>
      <c r="E62" s="746">
        <v>15486</v>
      </c>
      <c r="F62" s="746">
        <v>3765</v>
      </c>
      <c r="G62" s="746"/>
      <c r="H62" s="746">
        <v>0</v>
      </c>
      <c r="I62" s="746">
        <v>0</v>
      </c>
      <c r="J62" s="746" t="s">
        <v>22</v>
      </c>
    </row>
    <row r="63" spans="1:10" s="428" customFormat="1" ht="9" customHeight="1" x14ac:dyDescent="0.25">
      <c r="A63" s="428" t="s">
        <v>35</v>
      </c>
      <c r="B63" s="746">
        <f t="shared" si="1"/>
        <v>3164393</v>
      </c>
      <c r="C63" s="746">
        <v>2863409</v>
      </c>
      <c r="D63" s="746">
        <v>281655</v>
      </c>
      <c r="E63" s="746">
        <v>1533</v>
      </c>
      <c r="F63" s="746">
        <v>15248</v>
      </c>
      <c r="G63" s="746"/>
      <c r="H63" s="746">
        <v>2548</v>
      </c>
      <c r="I63" s="746">
        <v>0</v>
      </c>
      <c r="J63" s="746" t="s">
        <v>22</v>
      </c>
    </row>
    <row r="64" spans="1:10" s="428" customFormat="1" ht="9" customHeight="1" x14ac:dyDescent="0.25">
      <c r="A64" s="428" t="s">
        <v>36</v>
      </c>
      <c r="B64" s="746">
        <f t="shared" si="1"/>
        <v>4391905</v>
      </c>
      <c r="C64" s="746">
        <v>3138052</v>
      </c>
      <c r="D64" s="746">
        <v>686092</v>
      </c>
      <c r="E64" s="746">
        <v>15552</v>
      </c>
      <c r="F64" s="746">
        <v>17806</v>
      </c>
      <c r="G64" s="746"/>
      <c r="H64" s="746">
        <v>0</v>
      </c>
      <c r="I64" s="746">
        <v>534403</v>
      </c>
      <c r="J64" s="746" t="s">
        <v>22</v>
      </c>
    </row>
    <row r="65" spans="1:10" s="428" customFormat="1" ht="9" customHeight="1" x14ac:dyDescent="0.25">
      <c r="A65" s="475" t="s">
        <v>37</v>
      </c>
      <c r="B65" s="748">
        <f t="shared" si="1"/>
        <v>1276131</v>
      </c>
      <c r="C65" s="748">
        <v>955682</v>
      </c>
      <c r="D65" s="748">
        <v>313106</v>
      </c>
      <c r="E65" s="748">
        <v>350</v>
      </c>
      <c r="F65" s="748">
        <v>2633</v>
      </c>
      <c r="G65" s="748"/>
      <c r="H65" s="748">
        <v>4360</v>
      </c>
      <c r="I65" s="748">
        <v>0</v>
      </c>
      <c r="J65" s="748" t="s">
        <v>22</v>
      </c>
    </row>
    <row r="66" spans="1:10" s="428" customFormat="1" ht="9" customHeight="1" x14ac:dyDescent="0.25">
      <c r="A66" s="428" t="s">
        <v>38</v>
      </c>
      <c r="B66" s="746">
        <f t="shared" si="1"/>
        <v>684596</v>
      </c>
      <c r="C66" s="746">
        <v>527649</v>
      </c>
      <c r="D66" s="746">
        <v>152453</v>
      </c>
      <c r="E66" s="746">
        <v>175</v>
      </c>
      <c r="F66" s="746">
        <v>4319</v>
      </c>
      <c r="G66" s="746"/>
      <c r="H66" s="746">
        <v>0</v>
      </c>
      <c r="I66" s="746">
        <v>0</v>
      </c>
      <c r="J66" s="746" t="s">
        <v>22</v>
      </c>
    </row>
    <row r="67" spans="1:10" s="428" customFormat="1" ht="9" customHeight="1" x14ac:dyDescent="0.25">
      <c r="A67" s="428" t="s">
        <v>39</v>
      </c>
      <c r="B67" s="746">
        <f t="shared" si="1"/>
        <v>474314</v>
      </c>
      <c r="C67" s="746">
        <v>347179</v>
      </c>
      <c r="D67" s="746">
        <v>121614</v>
      </c>
      <c r="E67" s="746">
        <v>0</v>
      </c>
      <c r="F67" s="746">
        <v>2913</v>
      </c>
      <c r="G67" s="746"/>
      <c r="H67" s="746">
        <v>2608</v>
      </c>
      <c r="I67" s="746">
        <v>0</v>
      </c>
      <c r="J67" s="746" t="s">
        <v>22</v>
      </c>
    </row>
    <row r="68" spans="1:10" s="428" customFormat="1" ht="9" customHeight="1" x14ac:dyDescent="0.25">
      <c r="A68" s="428" t="s">
        <v>40</v>
      </c>
      <c r="B68" s="746">
        <f t="shared" si="1"/>
        <v>2614636</v>
      </c>
      <c r="C68" s="746">
        <v>2377197</v>
      </c>
      <c r="D68" s="746">
        <v>177611</v>
      </c>
      <c r="E68" s="746">
        <v>14667</v>
      </c>
      <c r="F68" s="746">
        <v>3578</v>
      </c>
      <c r="G68" s="746"/>
      <c r="H68" s="746">
        <v>0</v>
      </c>
      <c r="I68" s="746">
        <v>41583</v>
      </c>
      <c r="J68" s="746" t="s">
        <v>22</v>
      </c>
    </row>
    <row r="69" spans="1:10" s="428" customFormat="1" ht="9" customHeight="1" x14ac:dyDescent="0.25">
      <c r="A69" s="475" t="s">
        <v>41</v>
      </c>
      <c r="B69" s="748">
        <f t="shared" si="1"/>
        <v>876584</v>
      </c>
      <c r="C69" s="748">
        <v>559833</v>
      </c>
      <c r="D69" s="748">
        <v>270301</v>
      </c>
      <c r="E69" s="748">
        <v>21778</v>
      </c>
      <c r="F69" s="748">
        <v>14824</v>
      </c>
      <c r="G69" s="748"/>
      <c r="H69" s="748">
        <v>9848</v>
      </c>
      <c r="I69" s="748">
        <v>0</v>
      </c>
      <c r="J69" s="748" t="s">
        <v>22</v>
      </c>
    </row>
    <row r="70" spans="1:10" s="428" customFormat="1" ht="9" customHeight="1" x14ac:dyDescent="0.25">
      <c r="A70" s="428" t="s">
        <v>42</v>
      </c>
      <c r="B70" s="746">
        <f t="shared" si="1"/>
        <v>1759821</v>
      </c>
      <c r="C70" s="746">
        <v>1379995</v>
      </c>
      <c r="D70" s="746">
        <v>269434</v>
      </c>
      <c r="E70" s="746">
        <v>8755</v>
      </c>
      <c r="F70" s="746">
        <v>8555</v>
      </c>
      <c r="G70" s="746"/>
      <c r="H70" s="746">
        <v>0</v>
      </c>
      <c r="I70" s="746">
        <v>93082</v>
      </c>
      <c r="J70" s="746" t="s">
        <v>22</v>
      </c>
    </row>
    <row r="71" spans="1:10" s="428" customFormat="1" ht="9" customHeight="1" x14ac:dyDescent="0.25">
      <c r="A71" s="428" t="s">
        <v>43</v>
      </c>
      <c r="B71" s="746">
        <f t="shared" si="1"/>
        <v>770007</v>
      </c>
      <c r="C71" s="746">
        <v>672009</v>
      </c>
      <c r="D71" s="746">
        <v>93547</v>
      </c>
      <c r="E71" s="746">
        <v>438</v>
      </c>
      <c r="F71" s="746">
        <v>4013</v>
      </c>
      <c r="G71" s="746"/>
      <c r="H71" s="746">
        <v>0</v>
      </c>
      <c r="I71" s="746">
        <v>0</v>
      </c>
      <c r="J71" s="746" t="s">
        <v>22</v>
      </c>
    </row>
    <row r="72" spans="1:10" s="428" customFormat="1" ht="9" customHeight="1" x14ac:dyDescent="0.25">
      <c r="A72" s="428" t="s">
        <v>44</v>
      </c>
      <c r="B72" s="746">
        <f t="shared" si="1"/>
        <v>448859</v>
      </c>
      <c r="C72" s="746">
        <v>366647</v>
      </c>
      <c r="D72" s="746">
        <v>70705</v>
      </c>
      <c r="E72" s="746">
        <v>0</v>
      </c>
      <c r="F72" s="746">
        <v>3871</v>
      </c>
      <c r="G72" s="746"/>
      <c r="H72" s="746">
        <v>7636</v>
      </c>
      <c r="I72" s="746">
        <v>0</v>
      </c>
      <c r="J72" s="746" t="s">
        <v>22</v>
      </c>
    </row>
    <row r="73" spans="1:10" s="428" customFormat="1" ht="9" customHeight="1" x14ac:dyDescent="0.25">
      <c r="A73" s="475" t="s">
        <v>45</v>
      </c>
      <c r="B73" s="748">
        <f t="shared" si="1"/>
        <v>1046480</v>
      </c>
      <c r="C73" s="748">
        <v>827025</v>
      </c>
      <c r="D73" s="748">
        <v>211444</v>
      </c>
      <c r="E73" s="748">
        <v>4418</v>
      </c>
      <c r="F73" s="748">
        <v>3593</v>
      </c>
      <c r="G73" s="748"/>
      <c r="H73" s="748">
        <v>0</v>
      </c>
      <c r="I73" s="748">
        <v>0</v>
      </c>
      <c r="J73" s="748" t="s">
        <v>22</v>
      </c>
    </row>
    <row r="74" spans="1:10" s="428" customFormat="1" ht="9" customHeight="1" x14ac:dyDescent="0.25">
      <c r="A74" s="428" t="s">
        <v>46</v>
      </c>
      <c r="B74" s="746">
        <f t="shared" si="1"/>
        <v>1472567</v>
      </c>
      <c r="C74" s="746">
        <v>1195589</v>
      </c>
      <c r="D74" s="746">
        <v>262659</v>
      </c>
      <c r="E74" s="746">
        <v>717</v>
      </c>
      <c r="F74" s="746">
        <v>5822</v>
      </c>
      <c r="G74" s="746"/>
      <c r="H74" s="746">
        <v>7780</v>
      </c>
      <c r="I74" s="746">
        <v>0</v>
      </c>
      <c r="J74" s="746" t="s">
        <v>22</v>
      </c>
    </row>
    <row r="75" spans="1:10" s="428" customFormat="1" ht="9" customHeight="1" x14ac:dyDescent="0.25">
      <c r="A75" s="428" t="s">
        <v>47</v>
      </c>
      <c r="B75" s="746">
        <f t="shared" si="1"/>
        <v>1422059</v>
      </c>
      <c r="C75" s="746">
        <v>1116225</v>
      </c>
      <c r="D75" s="746">
        <v>185882</v>
      </c>
      <c r="E75" s="746">
        <v>876</v>
      </c>
      <c r="F75" s="746">
        <v>6910</v>
      </c>
      <c r="G75" s="746"/>
      <c r="H75" s="746">
        <v>7428</v>
      </c>
      <c r="I75" s="746">
        <v>104738</v>
      </c>
      <c r="J75" s="746" t="s">
        <v>22</v>
      </c>
    </row>
    <row r="76" spans="1:10" s="428" customFormat="1" ht="9" customHeight="1" x14ac:dyDescent="0.25">
      <c r="A76" s="428" t="s">
        <v>48</v>
      </c>
      <c r="B76" s="746">
        <f t="shared" si="1"/>
        <v>856854</v>
      </c>
      <c r="C76" s="746">
        <v>446509</v>
      </c>
      <c r="D76" s="746">
        <v>134969</v>
      </c>
      <c r="E76" s="746">
        <v>77997</v>
      </c>
      <c r="F76" s="746">
        <v>7029</v>
      </c>
      <c r="G76" s="746"/>
      <c r="H76" s="746">
        <v>5992</v>
      </c>
      <c r="I76" s="746">
        <v>184358</v>
      </c>
      <c r="J76" s="746" t="s">
        <v>22</v>
      </c>
    </row>
    <row r="77" spans="1:10" s="428" customFormat="1" ht="9" customHeight="1" x14ac:dyDescent="0.25">
      <c r="A77" s="475" t="s">
        <v>49</v>
      </c>
      <c r="B77" s="748">
        <f t="shared" si="1"/>
        <v>1769604</v>
      </c>
      <c r="C77" s="748">
        <v>1392246</v>
      </c>
      <c r="D77" s="748">
        <v>287120</v>
      </c>
      <c r="E77" s="748">
        <v>68181</v>
      </c>
      <c r="F77" s="748">
        <v>6485</v>
      </c>
      <c r="G77" s="748"/>
      <c r="H77" s="748">
        <v>15572</v>
      </c>
      <c r="I77" s="748">
        <v>0</v>
      </c>
      <c r="J77" s="748" t="s">
        <v>22</v>
      </c>
    </row>
    <row r="78" spans="1:10" s="428" customFormat="1" ht="9" customHeight="1" x14ac:dyDescent="0.25">
      <c r="A78" s="428" t="s">
        <v>50</v>
      </c>
      <c r="B78" s="746">
        <f t="shared" si="1"/>
        <v>346172</v>
      </c>
      <c r="C78" s="746">
        <v>252572</v>
      </c>
      <c r="D78" s="746">
        <v>88503</v>
      </c>
      <c r="E78" s="746">
        <v>0</v>
      </c>
      <c r="F78" s="746">
        <v>5097</v>
      </c>
      <c r="G78" s="746"/>
      <c r="H78" s="746">
        <v>0</v>
      </c>
      <c r="I78" s="746">
        <v>0</v>
      </c>
      <c r="J78" s="746" t="s">
        <v>22</v>
      </c>
    </row>
    <row r="79" spans="1:10" s="428" customFormat="1" ht="9" customHeight="1" x14ac:dyDescent="0.25">
      <c r="A79" s="428" t="s">
        <v>578</v>
      </c>
      <c r="B79" s="746">
        <f t="shared" si="1"/>
        <v>2705993</v>
      </c>
      <c r="C79" s="746">
        <v>2102671</v>
      </c>
      <c r="D79" s="746">
        <v>365650</v>
      </c>
      <c r="E79" s="746">
        <v>183412</v>
      </c>
      <c r="F79" s="746">
        <v>22352</v>
      </c>
      <c r="G79" s="746"/>
      <c r="H79" s="746">
        <v>31908</v>
      </c>
      <c r="I79" s="746">
        <v>0</v>
      </c>
      <c r="J79" s="746" t="s">
        <v>22</v>
      </c>
    </row>
    <row r="80" spans="1:10" s="428" customFormat="1" ht="9" customHeight="1" x14ac:dyDescent="0.25">
      <c r="A80" s="428" t="s">
        <v>52</v>
      </c>
      <c r="B80" s="746">
        <f t="shared" si="1"/>
        <v>777970</v>
      </c>
      <c r="C80" s="746">
        <v>651740</v>
      </c>
      <c r="D80" s="746">
        <v>116543</v>
      </c>
      <c r="E80" s="746">
        <v>613</v>
      </c>
      <c r="F80" s="746">
        <v>4330</v>
      </c>
      <c r="G80" s="746"/>
      <c r="H80" s="746">
        <v>4744</v>
      </c>
      <c r="I80" s="746">
        <v>0</v>
      </c>
      <c r="J80" s="746" t="s">
        <v>22</v>
      </c>
    </row>
    <row r="81" spans="1:10" s="428" customFormat="1" ht="9" customHeight="1" x14ac:dyDescent="0.25">
      <c r="A81" s="475" t="s">
        <v>53</v>
      </c>
      <c r="B81" s="748">
        <f t="shared" si="1"/>
        <v>515857</v>
      </c>
      <c r="C81" s="748">
        <v>399950</v>
      </c>
      <c r="D81" s="748">
        <v>113461</v>
      </c>
      <c r="E81" s="748">
        <v>88</v>
      </c>
      <c r="F81" s="748">
        <v>2358</v>
      </c>
      <c r="G81" s="748"/>
      <c r="H81" s="748">
        <v>0</v>
      </c>
      <c r="I81" s="748">
        <v>0</v>
      </c>
      <c r="J81" s="748" t="s">
        <v>22</v>
      </c>
    </row>
    <row r="82" spans="1:10" s="428" customFormat="1" ht="9" customHeight="1" x14ac:dyDescent="0.25">
      <c r="A82" s="431" t="s">
        <v>434</v>
      </c>
      <c r="B82" s="746">
        <f t="shared" si="1"/>
        <v>5851</v>
      </c>
      <c r="C82" s="749" t="s">
        <v>573</v>
      </c>
      <c r="D82" s="746">
        <v>5851</v>
      </c>
      <c r="E82" s="749" t="s">
        <v>573</v>
      </c>
      <c r="F82" s="749" t="s">
        <v>573</v>
      </c>
      <c r="G82" s="749"/>
      <c r="H82" s="749" t="s">
        <v>573</v>
      </c>
      <c r="I82" s="749" t="s">
        <v>573</v>
      </c>
      <c r="J82" s="749" t="s">
        <v>573</v>
      </c>
    </row>
    <row r="83" spans="1:10" s="428" customFormat="1" ht="8.25" customHeight="1" x14ac:dyDescent="0.25">
      <c r="A83" s="431"/>
      <c r="B83" s="746"/>
      <c r="C83" s="431"/>
      <c r="D83" s="746"/>
      <c r="E83" s="431"/>
      <c r="F83" s="431"/>
      <c r="G83" s="431"/>
      <c r="H83" s="431"/>
      <c r="I83" s="431"/>
      <c r="J83" s="431"/>
    </row>
    <row r="84" spans="1:10" s="428" customFormat="1" ht="9" customHeight="1" x14ac:dyDescent="0.25">
      <c r="A84" s="470">
        <v>1997</v>
      </c>
      <c r="B84" s="471"/>
      <c r="C84" s="471"/>
      <c r="D84" s="471"/>
      <c r="E84" s="471"/>
      <c r="F84" s="471"/>
      <c r="G84" s="471"/>
      <c r="H84" s="471"/>
    </row>
    <row r="85" spans="1:10" s="428" customFormat="1" ht="9" customHeight="1" x14ac:dyDescent="0.25">
      <c r="A85" s="473" t="s">
        <v>13</v>
      </c>
      <c r="B85" s="745">
        <f>SUM(B87:B119)</f>
        <v>51433645</v>
      </c>
      <c r="C85" s="745">
        <f>SUM(C87:C119)</f>
        <v>39461964</v>
      </c>
      <c r="D85" s="745">
        <f>SUM(D87:D119)</f>
        <v>9472042</v>
      </c>
      <c r="E85" s="745">
        <f>SUM(E87:E119)</f>
        <v>597078</v>
      </c>
      <c r="F85" s="745">
        <f>SUM(F87:F119)</f>
        <v>456683</v>
      </c>
      <c r="G85" s="745"/>
      <c r="H85" s="745">
        <f>SUM(H87:H119)</f>
        <v>183972</v>
      </c>
      <c r="I85" s="745">
        <f>SUM(I87:I119)</f>
        <v>1261906</v>
      </c>
      <c r="J85" s="745" t="s">
        <v>22</v>
      </c>
    </row>
    <row r="86" spans="1:10" s="428" customFormat="1" ht="3.95" customHeight="1" x14ac:dyDescent="0.25">
      <c r="A86" s="473"/>
      <c r="B86" s="745"/>
      <c r="C86" s="745"/>
      <c r="D86" s="745"/>
      <c r="E86" s="745"/>
      <c r="F86" s="745"/>
      <c r="G86" s="745"/>
      <c r="H86" s="745"/>
      <c r="I86" s="745"/>
      <c r="J86" s="745"/>
    </row>
    <row r="87" spans="1:10" s="428" customFormat="1" ht="9" customHeight="1" x14ac:dyDescent="0.25">
      <c r="A87" s="428" t="s">
        <v>23</v>
      </c>
      <c r="B87" s="746">
        <f t="shared" ref="B87:B119" si="2">SUM(C87:J87)</f>
        <v>642794</v>
      </c>
      <c r="C87" s="746">
        <v>542108</v>
      </c>
      <c r="D87" s="746">
        <v>96193</v>
      </c>
      <c r="E87" s="746">
        <v>2546</v>
      </c>
      <c r="F87" s="746">
        <v>1947</v>
      </c>
      <c r="G87" s="746"/>
      <c r="H87" s="746">
        <v>0</v>
      </c>
      <c r="I87" s="746">
        <v>0</v>
      </c>
      <c r="J87" s="746" t="s">
        <v>22</v>
      </c>
    </row>
    <row r="88" spans="1:10" s="428" customFormat="1" ht="9" customHeight="1" x14ac:dyDescent="0.25">
      <c r="A88" s="428" t="s">
        <v>24</v>
      </c>
      <c r="B88" s="746">
        <f t="shared" si="2"/>
        <v>1683424</v>
      </c>
      <c r="C88" s="746">
        <v>1452827</v>
      </c>
      <c r="D88" s="746">
        <v>121160</v>
      </c>
      <c r="E88" s="746">
        <v>1321</v>
      </c>
      <c r="F88" s="746">
        <v>5676</v>
      </c>
      <c r="G88" s="746"/>
      <c r="H88" s="746">
        <v>3529</v>
      </c>
      <c r="I88" s="746">
        <v>98911</v>
      </c>
      <c r="J88" s="746" t="s">
        <v>22</v>
      </c>
    </row>
    <row r="89" spans="1:10" s="428" customFormat="1" ht="9" customHeight="1" x14ac:dyDescent="0.25">
      <c r="A89" s="428" t="s">
        <v>25</v>
      </c>
      <c r="B89" s="746">
        <f t="shared" si="2"/>
        <v>307215</v>
      </c>
      <c r="C89" s="746">
        <v>215039</v>
      </c>
      <c r="D89" s="746">
        <v>79502</v>
      </c>
      <c r="E89" s="746">
        <v>408</v>
      </c>
      <c r="F89" s="746">
        <v>6202</v>
      </c>
      <c r="G89" s="746"/>
      <c r="H89" s="746">
        <v>6064</v>
      </c>
      <c r="I89" s="746">
        <v>0</v>
      </c>
      <c r="J89" s="746" t="s">
        <v>22</v>
      </c>
    </row>
    <row r="90" spans="1:10" s="428" customFormat="1" ht="9" customHeight="1" x14ac:dyDescent="0.25">
      <c r="A90" s="475" t="s">
        <v>26</v>
      </c>
      <c r="B90" s="748">
        <f t="shared" si="2"/>
        <v>363400</v>
      </c>
      <c r="C90" s="748">
        <v>259105</v>
      </c>
      <c r="D90" s="748">
        <v>73912</v>
      </c>
      <c r="E90" s="748">
        <v>16107</v>
      </c>
      <c r="F90" s="748">
        <v>6663</v>
      </c>
      <c r="G90" s="748"/>
      <c r="H90" s="748">
        <v>7613</v>
      </c>
      <c r="I90" s="748">
        <v>0</v>
      </c>
      <c r="J90" s="748" t="s">
        <v>22</v>
      </c>
    </row>
    <row r="91" spans="1:10" s="428" customFormat="1" ht="9" customHeight="1" x14ac:dyDescent="0.25">
      <c r="A91" s="428" t="s">
        <v>27</v>
      </c>
      <c r="B91" s="746">
        <f t="shared" si="2"/>
        <v>1849932</v>
      </c>
      <c r="C91" s="746">
        <v>1618145</v>
      </c>
      <c r="D91" s="746">
        <v>225466</v>
      </c>
      <c r="E91" s="746">
        <v>918</v>
      </c>
      <c r="F91" s="746">
        <v>5403</v>
      </c>
      <c r="G91" s="746"/>
      <c r="H91" s="746">
        <v>0</v>
      </c>
      <c r="I91" s="746">
        <v>0</v>
      </c>
      <c r="J91" s="746" t="s">
        <v>22</v>
      </c>
    </row>
    <row r="92" spans="1:10" s="428" customFormat="1" ht="9" customHeight="1" x14ac:dyDescent="0.25">
      <c r="A92" s="428" t="s">
        <v>28</v>
      </c>
      <c r="B92" s="746">
        <f t="shared" si="2"/>
        <v>302639</v>
      </c>
      <c r="C92" s="746">
        <v>232308</v>
      </c>
      <c r="D92" s="746">
        <v>58567</v>
      </c>
      <c r="E92" s="746">
        <v>1049</v>
      </c>
      <c r="F92" s="746">
        <v>4339</v>
      </c>
      <c r="G92" s="746"/>
      <c r="H92" s="746">
        <v>6376</v>
      </c>
      <c r="I92" s="746">
        <v>0</v>
      </c>
      <c r="J92" s="746" t="s">
        <v>22</v>
      </c>
    </row>
    <row r="93" spans="1:10" s="428" customFormat="1" ht="9" customHeight="1" x14ac:dyDescent="0.25">
      <c r="A93" s="428" t="s">
        <v>29</v>
      </c>
      <c r="B93" s="746">
        <f t="shared" si="2"/>
        <v>863556</v>
      </c>
      <c r="C93" s="746">
        <v>511600</v>
      </c>
      <c r="D93" s="746">
        <v>224893</v>
      </c>
      <c r="E93" s="746">
        <v>8133</v>
      </c>
      <c r="F93" s="746">
        <v>46175</v>
      </c>
      <c r="G93" s="746"/>
      <c r="H93" s="746">
        <v>5752</v>
      </c>
      <c r="I93" s="746">
        <v>67003</v>
      </c>
      <c r="J93" s="746" t="s">
        <v>22</v>
      </c>
    </row>
    <row r="94" spans="1:10" s="428" customFormat="1" ht="9" customHeight="1" x14ac:dyDescent="0.25">
      <c r="A94" s="475" t="s">
        <v>30</v>
      </c>
      <c r="B94" s="748">
        <f t="shared" si="2"/>
        <v>2190393</v>
      </c>
      <c r="C94" s="748">
        <v>1941508</v>
      </c>
      <c r="D94" s="748">
        <v>232643</v>
      </c>
      <c r="E94" s="748">
        <v>4081</v>
      </c>
      <c r="F94" s="748">
        <v>12161</v>
      </c>
      <c r="G94" s="748"/>
      <c r="H94" s="748">
        <v>0</v>
      </c>
      <c r="I94" s="748">
        <v>0</v>
      </c>
      <c r="J94" s="748" t="s">
        <v>22</v>
      </c>
    </row>
    <row r="95" spans="1:10" s="428" customFormat="1" ht="9" customHeight="1" x14ac:dyDescent="0.25">
      <c r="A95" s="405" t="s">
        <v>63</v>
      </c>
      <c r="B95" s="746">
        <f t="shared" si="2"/>
        <v>9554497</v>
      </c>
      <c r="C95" s="746">
        <v>6370180</v>
      </c>
      <c r="D95" s="746">
        <v>2881172</v>
      </c>
      <c r="E95" s="746">
        <v>69687</v>
      </c>
      <c r="F95" s="746">
        <v>153737</v>
      </c>
      <c r="G95" s="746"/>
      <c r="H95" s="746">
        <v>39933</v>
      </c>
      <c r="I95" s="746">
        <v>39788</v>
      </c>
      <c r="J95" s="746" t="s">
        <v>22</v>
      </c>
    </row>
    <row r="96" spans="1:10" s="428" customFormat="1" ht="9" customHeight="1" x14ac:dyDescent="0.25">
      <c r="A96" s="428" t="s">
        <v>31</v>
      </c>
      <c r="B96" s="746">
        <f t="shared" si="2"/>
        <v>939367</v>
      </c>
      <c r="C96" s="746">
        <v>679115</v>
      </c>
      <c r="D96" s="746">
        <v>253053</v>
      </c>
      <c r="E96" s="746">
        <v>1824</v>
      </c>
      <c r="F96" s="746">
        <v>5375</v>
      </c>
      <c r="G96" s="746"/>
      <c r="H96" s="746">
        <v>0</v>
      </c>
      <c r="I96" s="746">
        <v>0</v>
      </c>
      <c r="J96" s="746" t="s">
        <v>22</v>
      </c>
    </row>
    <row r="97" spans="1:10" s="428" customFormat="1" ht="9" customHeight="1" x14ac:dyDescent="0.25">
      <c r="A97" s="428" t="s">
        <v>32</v>
      </c>
      <c r="B97" s="746">
        <f t="shared" si="2"/>
        <v>2057197</v>
      </c>
      <c r="C97" s="746">
        <v>1697129</v>
      </c>
      <c r="D97" s="746">
        <v>320950</v>
      </c>
      <c r="E97" s="746">
        <v>29956</v>
      </c>
      <c r="F97" s="746">
        <v>9162</v>
      </c>
      <c r="G97" s="746"/>
      <c r="H97" s="746">
        <v>0</v>
      </c>
      <c r="I97" s="746">
        <v>0</v>
      </c>
      <c r="J97" s="746" t="s">
        <v>22</v>
      </c>
    </row>
    <row r="98" spans="1:10" s="428" customFormat="1" ht="9" customHeight="1" x14ac:dyDescent="0.25">
      <c r="A98" s="475" t="s">
        <v>33</v>
      </c>
      <c r="B98" s="748">
        <f t="shared" si="2"/>
        <v>1034381</v>
      </c>
      <c r="C98" s="748">
        <v>610271</v>
      </c>
      <c r="D98" s="748">
        <v>392309</v>
      </c>
      <c r="E98" s="748">
        <v>0</v>
      </c>
      <c r="F98" s="748">
        <v>18361</v>
      </c>
      <c r="G98" s="748"/>
      <c r="H98" s="748">
        <v>13440</v>
      </c>
      <c r="I98" s="748">
        <v>0</v>
      </c>
      <c r="J98" s="748" t="s">
        <v>22</v>
      </c>
    </row>
    <row r="99" spans="1:10" s="428" customFormat="1" ht="9" customHeight="1" x14ac:dyDescent="0.25">
      <c r="A99" s="428" t="s">
        <v>34</v>
      </c>
      <c r="B99" s="746">
        <f t="shared" si="2"/>
        <v>757358</v>
      </c>
      <c r="C99" s="746">
        <v>547339</v>
      </c>
      <c r="D99" s="746">
        <v>187904</v>
      </c>
      <c r="E99" s="746">
        <v>14774</v>
      </c>
      <c r="F99" s="746">
        <v>7341</v>
      </c>
      <c r="G99" s="746"/>
      <c r="H99" s="746">
        <v>0</v>
      </c>
      <c r="I99" s="746">
        <v>0</v>
      </c>
      <c r="J99" s="746" t="s">
        <v>22</v>
      </c>
    </row>
    <row r="100" spans="1:10" s="428" customFormat="1" ht="9" customHeight="1" x14ac:dyDescent="0.25">
      <c r="A100" s="428" t="s">
        <v>35</v>
      </c>
      <c r="B100" s="746">
        <f t="shared" si="2"/>
        <v>3490011</v>
      </c>
      <c r="C100" s="746">
        <v>3169619</v>
      </c>
      <c r="D100" s="746">
        <v>294369</v>
      </c>
      <c r="E100" s="746">
        <v>4498</v>
      </c>
      <c r="F100" s="746">
        <v>18733</v>
      </c>
      <c r="G100" s="746"/>
      <c r="H100" s="746">
        <v>2792</v>
      </c>
      <c r="I100" s="746">
        <v>0</v>
      </c>
      <c r="J100" s="746" t="s">
        <v>22</v>
      </c>
    </row>
    <row r="101" spans="1:10" s="428" customFormat="1" ht="9" customHeight="1" x14ac:dyDescent="0.25">
      <c r="A101" s="428" t="s">
        <v>36</v>
      </c>
      <c r="B101" s="746">
        <f t="shared" si="2"/>
        <v>4704760</v>
      </c>
      <c r="C101" s="746">
        <v>3373987</v>
      </c>
      <c r="D101" s="746">
        <v>708336</v>
      </c>
      <c r="E101" s="746">
        <v>16402</v>
      </c>
      <c r="F101" s="746">
        <v>26441</v>
      </c>
      <c r="G101" s="746"/>
      <c r="H101" s="746">
        <v>0</v>
      </c>
      <c r="I101" s="746">
        <v>579594</v>
      </c>
      <c r="J101" s="746" t="s">
        <v>22</v>
      </c>
    </row>
    <row r="102" spans="1:10" s="428" customFormat="1" ht="9" customHeight="1" x14ac:dyDescent="0.25">
      <c r="A102" s="475" t="s">
        <v>37</v>
      </c>
      <c r="B102" s="748">
        <f t="shared" si="2"/>
        <v>1306262</v>
      </c>
      <c r="C102" s="748">
        <v>973723</v>
      </c>
      <c r="D102" s="748">
        <v>320845</v>
      </c>
      <c r="E102" s="748">
        <v>2405</v>
      </c>
      <c r="F102" s="748">
        <v>5697</v>
      </c>
      <c r="G102" s="748"/>
      <c r="H102" s="748">
        <v>3592</v>
      </c>
      <c r="I102" s="748">
        <v>0</v>
      </c>
      <c r="J102" s="748" t="s">
        <v>22</v>
      </c>
    </row>
    <row r="103" spans="1:10" s="428" customFormat="1" ht="9" customHeight="1" x14ac:dyDescent="0.25">
      <c r="A103" s="428" t="s">
        <v>38</v>
      </c>
      <c r="B103" s="746">
        <f t="shared" si="2"/>
        <v>690786</v>
      </c>
      <c r="C103" s="746">
        <v>527710</v>
      </c>
      <c r="D103" s="746">
        <v>154841</v>
      </c>
      <c r="E103" s="746">
        <v>865</v>
      </c>
      <c r="F103" s="746">
        <v>7370</v>
      </c>
      <c r="G103" s="746"/>
      <c r="H103" s="746">
        <v>0</v>
      </c>
      <c r="I103" s="746">
        <v>0</v>
      </c>
      <c r="J103" s="746" t="s">
        <v>22</v>
      </c>
    </row>
    <row r="104" spans="1:10" s="428" customFormat="1" ht="9" customHeight="1" x14ac:dyDescent="0.25">
      <c r="A104" s="428" t="s">
        <v>39</v>
      </c>
      <c r="B104" s="746">
        <f t="shared" si="2"/>
        <v>487645</v>
      </c>
      <c r="C104" s="746">
        <v>358389</v>
      </c>
      <c r="D104" s="746">
        <v>123698</v>
      </c>
      <c r="E104" s="746">
        <v>0</v>
      </c>
      <c r="F104" s="746">
        <v>3217</v>
      </c>
      <c r="G104" s="746"/>
      <c r="H104" s="746">
        <v>2341</v>
      </c>
      <c r="I104" s="746">
        <v>0</v>
      </c>
      <c r="J104" s="746" t="s">
        <v>22</v>
      </c>
    </row>
    <row r="105" spans="1:10" s="428" customFormat="1" ht="9" customHeight="1" x14ac:dyDescent="0.25">
      <c r="A105" s="428" t="s">
        <v>40</v>
      </c>
      <c r="B105" s="746">
        <f t="shared" si="2"/>
        <v>2871519</v>
      </c>
      <c r="C105" s="746">
        <v>2626860</v>
      </c>
      <c r="D105" s="746">
        <v>179404</v>
      </c>
      <c r="E105" s="746">
        <v>18079</v>
      </c>
      <c r="F105" s="746">
        <v>5056</v>
      </c>
      <c r="G105" s="746"/>
      <c r="H105" s="746">
        <v>0</v>
      </c>
      <c r="I105" s="746">
        <v>42120</v>
      </c>
      <c r="J105" s="746" t="s">
        <v>22</v>
      </c>
    </row>
    <row r="106" spans="1:10" s="428" customFormat="1" ht="9" customHeight="1" x14ac:dyDescent="0.25">
      <c r="A106" s="475" t="s">
        <v>41</v>
      </c>
      <c r="B106" s="748">
        <f t="shared" si="2"/>
        <v>892085</v>
      </c>
      <c r="C106" s="748">
        <v>567960</v>
      </c>
      <c r="D106" s="748">
        <v>283382</v>
      </c>
      <c r="E106" s="748">
        <v>20345</v>
      </c>
      <c r="F106" s="748">
        <v>9921</v>
      </c>
      <c r="G106" s="748"/>
      <c r="H106" s="748">
        <v>10477</v>
      </c>
      <c r="I106" s="748">
        <v>0</v>
      </c>
      <c r="J106" s="748" t="s">
        <v>22</v>
      </c>
    </row>
    <row r="107" spans="1:10" s="428" customFormat="1" ht="9" customHeight="1" x14ac:dyDescent="0.25">
      <c r="A107" s="428" t="s">
        <v>42</v>
      </c>
      <c r="B107" s="746">
        <f t="shared" si="2"/>
        <v>1872579</v>
      </c>
      <c r="C107" s="746">
        <v>1476176</v>
      </c>
      <c r="D107" s="746">
        <v>267807</v>
      </c>
      <c r="E107" s="746">
        <v>17061</v>
      </c>
      <c r="F107" s="746">
        <v>13494</v>
      </c>
      <c r="G107" s="746"/>
      <c r="H107" s="746">
        <v>0</v>
      </c>
      <c r="I107" s="746">
        <v>98041</v>
      </c>
      <c r="J107" s="746" t="s">
        <v>22</v>
      </c>
    </row>
    <row r="108" spans="1:10" s="428" customFormat="1" ht="9" customHeight="1" x14ac:dyDescent="0.25">
      <c r="A108" s="428" t="s">
        <v>43</v>
      </c>
      <c r="B108" s="746">
        <f t="shared" si="2"/>
        <v>839111</v>
      </c>
      <c r="C108" s="746">
        <v>736553</v>
      </c>
      <c r="D108" s="746">
        <v>95856</v>
      </c>
      <c r="E108" s="746">
        <v>2357</v>
      </c>
      <c r="F108" s="746">
        <v>4345</v>
      </c>
      <c r="G108" s="746"/>
      <c r="H108" s="746">
        <v>0</v>
      </c>
      <c r="I108" s="746">
        <v>0</v>
      </c>
      <c r="J108" s="746" t="s">
        <v>22</v>
      </c>
    </row>
    <row r="109" spans="1:10" s="428" customFormat="1" ht="9" customHeight="1" x14ac:dyDescent="0.25">
      <c r="A109" s="428" t="s">
        <v>44</v>
      </c>
      <c r="B109" s="746">
        <f t="shared" si="2"/>
        <v>495295</v>
      </c>
      <c r="C109" s="746">
        <v>404470</v>
      </c>
      <c r="D109" s="746">
        <v>79015</v>
      </c>
      <c r="E109" s="746">
        <v>0</v>
      </c>
      <c r="F109" s="746">
        <v>2280</v>
      </c>
      <c r="G109" s="746"/>
      <c r="H109" s="746">
        <v>9530</v>
      </c>
      <c r="I109" s="746">
        <v>0</v>
      </c>
      <c r="J109" s="746" t="s">
        <v>22</v>
      </c>
    </row>
    <row r="110" spans="1:10" s="428" customFormat="1" ht="9" customHeight="1" x14ac:dyDescent="0.25">
      <c r="A110" s="475" t="s">
        <v>45</v>
      </c>
      <c r="B110" s="748">
        <f t="shared" si="2"/>
        <v>1072243</v>
      </c>
      <c r="C110" s="748">
        <v>847064</v>
      </c>
      <c r="D110" s="748">
        <v>212638</v>
      </c>
      <c r="E110" s="748">
        <v>6519</v>
      </c>
      <c r="F110" s="748">
        <v>6022</v>
      </c>
      <c r="G110" s="748"/>
      <c r="H110" s="748">
        <v>0</v>
      </c>
      <c r="I110" s="748">
        <v>0</v>
      </c>
      <c r="J110" s="748" t="s">
        <v>22</v>
      </c>
    </row>
    <row r="111" spans="1:10" s="428" customFormat="1" ht="9" customHeight="1" x14ac:dyDescent="0.25">
      <c r="A111" s="428" t="s">
        <v>46</v>
      </c>
      <c r="B111" s="746">
        <f t="shared" si="2"/>
        <v>1484779</v>
      </c>
      <c r="C111" s="746">
        <v>1189493</v>
      </c>
      <c r="D111" s="746">
        <v>274630</v>
      </c>
      <c r="E111" s="746">
        <v>3364</v>
      </c>
      <c r="F111" s="746">
        <v>10140</v>
      </c>
      <c r="G111" s="746"/>
      <c r="H111" s="746">
        <v>7152</v>
      </c>
      <c r="I111" s="746">
        <v>0</v>
      </c>
      <c r="J111" s="746" t="s">
        <v>22</v>
      </c>
    </row>
    <row r="112" spans="1:10" s="428" customFormat="1" ht="9" customHeight="1" x14ac:dyDescent="0.25">
      <c r="A112" s="428" t="s">
        <v>47</v>
      </c>
      <c r="B112" s="746">
        <f t="shared" si="2"/>
        <v>1479462</v>
      </c>
      <c r="C112" s="746">
        <v>1151084</v>
      </c>
      <c r="D112" s="746">
        <v>187101</v>
      </c>
      <c r="E112" s="746">
        <v>3581</v>
      </c>
      <c r="F112" s="746">
        <v>7000</v>
      </c>
      <c r="G112" s="746"/>
      <c r="H112" s="746">
        <v>6871</v>
      </c>
      <c r="I112" s="746">
        <v>123825</v>
      </c>
      <c r="J112" s="746" t="s">
        <v>22</v>
      </c>
    </row>
    <row r="113" spans="1:10" s="428" customFormat="1" ht="9" customHeight="1" x14ac:dyDescent="0.25">
      <c r="A113" s="428" t="s">
        <v>48</v>
      </c>
      <c r="B113" s="746">
        <f t="shared" si="2"/>
        <v>877424</v>
      </c>
      <c r="C113" s="746">
        <v>440437</v>
      </c>
      <c r="D113" s="746">
        <v>133409</v>
      </c>
      <c r="E113" s="746">
        <v>79253</v>
      </c>
      <c r="F113" s="746">
        <v>4597</v>
      </c>
      <c r="G113" s="746"/>
      <c r="H113" s="746">
        <v>7104</v>
      </c>
      <c r="I113" s="746">
        <v>212624</v>
      </c>
      <c r="J113" s="746" t="s">
        <v>22</v>
      </c>
    </row>
    <row r="114" spans="1:10" s="428" customFormat="1" ht="9" customHeight="1" x14ac:dyDescent="0.25">
      <c r="A114" s="475" t="s">
        <v>49</v>
      </c>
      <c r="B114" s="748">
        <f t="shared" si="2"/>
        <v>1839087</v>
      </c>
      <c r="C114" s="748">
        <v>1436038</v>
      </c>
      <c r="D114" s="748">
        <v>294940</v>
      </c>
      <c r="E114" s="748">
        <v>81844</v>
      </c>
      <c r="F114" s="748">
        <v>10292</v>
      </c>
      <c r="G114" s="748"/>
      <c r="H114" s="748">
        <v>15973</v>
      </c>
      <c r="I114" s="748">
        <v>0</v>
      </c>
      <c r="J114" s="748" t="s">
        <v>22</v>
      </c>
    </row>
    <row r="115" spans="1:10" s="428" customFormat="1" ht="9" customHeight="1" x14ac:dyDescent="0.25">
      <c r="A115" s="428" t="s">
        <v>50</v>
      </c>
      <c r="B115" s="746">
        <f t="shared" si="2"/>
        <v>370468</v>
      </c>
      <c r="C115" s="746">
        <v>277617</v>
      </c>
      <c r="D115" s="746">
        <v>88749</v>
      </c>
      <c r="E115" s="746">
        <v>0</v>
      </c>
      <c r="F115" s="746">
        <v>4102</v>
      </c>
      <c r="G115" s="746"/>
      <c r="H115" s="746">
        <v>0</v>
      </c>
      <c r="I115" s="746">
        <v>0</v>
      </c>
      <c r="J115" s="746" t="s">
        <v>22</v>
      </c>
    </row>
    <row r="116" spans="1:10" s="428" customFormat="1" ht="9" customHeight="1" x14ac:dyDescent="0.25">
      <c r="A116" s="428" t="s">
        <v>578</v>
      </c>
      <c r="B116" s="746">
        <f t="shared" si="2"/>
        <v>2742628</v>
      </c>
      <c r="C116" s="746">
        <v>2118286</v>
      </c>
      <c r="D116" s="746">
        <v>381438</v>
      </c>
      <c r="E116" s="746">
        <v>185847</v>
      </c>
      <c r="F116" s="746">
        <v>25719</v>
      </c>
      <c r="G116" s="746"/>
      <c r="H116" s="746">
        <v>31338</v>
      </c>
      <c r="I116" s="746">
        <v>0</v>
      </c>
      <c r="J116" s="746" t="s">
        <v>22</v>
      </c>
    </row>
    <row r="117" spans="1:10" s="428" customFormat="1" ht="9" customHeight="1" x14ac:dyDescent="0.25">
      <c r="A117" s="428" t="s">
        <v>52</v>
      </c>
      <c r="B117" s="746">
        <f t="shared" si="2"/>
        <v>831073</v>
      </c>
      <c r="C117" s="746">
        <v>696130</v>
      </c>
      <c r="D117" s="746">
        <v>122038</v>
      </c>
      <c r="E117" s="746">
        <v>2196</v>
      </c>
      <c r="F117" s="746">
        <v>6614</v>
      </c>
      <c r="G117" s="746"/>
      <c r="H117" s="746">
        <v>4095</v>
      </c>
      <c r="I117" s="746">
        <v>0</v>
      </c>
      <c r="J117" s="746" t="s">
        <v>22</v>
      </c>
    </row>
    <row r="118" spans="1:10" s="428" customFormat="1" ht="9" customHeight="1" x14ac:dyDescent="0.25">
      <c r="A118" s="475" t="s">
        <v>53</v>
      </c>
      <c r="B118" s="748">
        <f t="shared" si="2"/>
        <v>534128</v>
      </c>
      <c r="C118" s="748">
        <v>413694</v>
      </c>
      <c r="D118" s="748">
        <v>115675</v>
      </c>
      <c r="E118" s="748">
        <v>1658</v>
      </c>
      <c r="F118" s="748">
        <v>3101</v>
      </c>
      <c r="G118" s="748"/>
      <c r="H118" s="748">
        <v>0</v>
      </c>
      <c r="I118" s="748">
        <v>0</v>
      </c>
      <c r="J118" s="748" t="s">
        <v>22</v>
      </c>
    </row>
    <row r="119" spans="1:10" s="428" customFormat="1" ht="9" customHeight="1" x14ac:dyDescent="0.25">
      <c r="A119" s="431" t="s">
        <v>434</v>
      </c>
      <c r="B119" s="746">
        <f t="shared" si="2"/>
        <v>6147</v>
      </c>
      <c r="C119" s="749" t="s">
        <v>573</v>
      </c>
      <c r="D119" s="746">
        <v>6147</v>
      </c>
      <c r="E119" s="749" t="s">
        <v>573</v>
      </c>
      <c r="F119" s="749" t="s">
        <v>573</v>
      </c>
      <c r="G119" s="749"/>
      <c r="H119" s="749" t="s">
        <v>573</v>
      </c>
      <c r="I119" s="749" t="s">
        <v>573</v>
      </c>
      <c r="J119" s="749" t="s">
        <v>573</v>
      </c>
    </row>
    <row r="120" spans="1:10" s="428" customFormat="1" ht="9" customHeight="1" x14ac:dyDescent="0.25">
      <c r="A120" s="431"/>
      <c r="B120" s="746"/>
      <c r="C120" s="431"/>
      <c r="D120" s="746"/>
      <c r="E120" s="431"/>
      <c r="F120" s="431"/>
      <c r="G120" s="431"/>
      <c r="H120" s="431"/>
      <c r="I120" s="431"/>
      <c r="J120" s="431"/>
    </row>
    <row r="121" spans="1:10" s="428" customFormat="1" ht="9" customHeight="1" x14ac:dyDescent="0.25">
      <c r="A121" s="470">
        <v>1998</v>
      </c>
      <c r="B121" s="471"/>
      <c r="C121" s="471"/>
      <c r="D121" s="471"/>
      <c r="E121" s="471"/>
      <c r="F121" s="471"/>
      <c r="G121" s="471"/>
      <c r="H121" s="471"/>
    </row>
    <row r="122" spans="1:10" s="428" customFormat="1" ht="9" customHeight="1" x14ac:dyDescent="0.25">
      <c r="A122" s="473" t="s">
        <v>13</v>
      </c>
      <c r="B122" s="745">
        <f>SUM(B124:B156)</f>
        <v>54260560</v>
      </c>
      <c r="C122" s="745">
        <f>SUM(C124:C156)</f>
        <v>41941674</v>
      </c>
      <c r="D122" s="745">
        <f>SUM(D124:D156)</f>
        <v>9724484</v>
      </c>
      <c r="E122" s="745">
        <f>SUM(E124:E156)</f>
        <v>627491</v>
      </c>
      <c r="F122" s="745">
        <f>SUM(F124:F156)</f>
        <v>465826</v>
      </c>
      <c r="G122" s="745"/>
      <c r="H122" s="745">
        <f>SUM(H124:H156)</f>
        <v>193628</v>
      </c>
      <c r="I122" s="745">
        <f>SUM(I124:I156)</f>
        <v>1307457</v>
      </c>
      <c r="J122" s="745" t="s">
        <v>22</v>
      </c>
    </row>
    <row r="123" spans="1:10" s="428" customFormat="1" ht="3.95" customHeight="1" x14ac:dyDescent="0.25">
      <c r="A123" s="473"/>
      <c r="B123" s="745"/>
      <c r="C123" s="745"/>
      <c r="D123" s="745"/>
      <c r="E123" s="745"/>
      <c r="F123" s="745"/>
      <c r="G123" s="745"/>
      <c r="H123" s="745"/>
      <c r="I123" s="745"/>
      <c r="J123" s="745"/>
    </row>
    <row r="124" spans="1:10" s="428" customFormat="1" ht="9" customHeight="1" x14ac:dyDescent="0.25">
      <c r="A124" s="428" t="s">
        <v>23</v>
      </c>
      <c r="B124" s="746">
        <f t="shared" ref="B124:B156" si="3">SUM(C124:J124)</f>
        <v>685808</v>
      </c>
      <c r="C124" s="746">
        <v>581165</v>
      </c>
      <c r="D124" s="746">
        <v>98481</v>
      </c>
      <c r="E124" s="746">
        <v>4215</v>
      </c>
      <c r="F124" s="746">
        <v>1947</v>
      </c>
      <c r="G124" s="746"/>
      <c r="H124" s="746">
        <v>0</v>
      </c>
      <c r="I124" s="746">
        <v>0</v>
      </c>
      <c r="J124" s="746" t="s">
        <v>22</v>
      </c>
    </row>
    <row r="125" spans="1:10" s="428" customFormat="1" ht="9" customHeight="1" x14ac:dyDescent="0.25">
      <c r="A125" s="428" t="s">
        <v>24</v>
      </c>
      <c r="B125" s="746">
        <f t="shared" si="3"/>
        <v>1817075</v>
      </c>
      <c r="C125" s="746">
        <v>1574352</v>
      </c>
      <c r="D125" s="746">
        <v>123986</v>
      </c>
      <c r="E125" s="746">
        <v>2333</v>
      </c>
      <c r="F125" s="746">
        <v>5789</v>
      </c>
      <c r="G125" s="746"/>
      <c r="H125" s="746">
        <v>4608</v>
      </c>
      <c r="I125" s="746">
        <v>106007</v>
      </c>
      <c r="J125" s="746" t="s">
        <v>22</v>
      </c>
    </row>
    <row r="126" spans="1:10" s="428" customFormat="1" ht="9" customHeight="1" x14ac:dyDescent="0.25">
      <c r="A126" s="428" t="s">
        <v>25</v>
      </c>
      <c r="B126" s="746">
        <f t="shared" si="3"/>
        <v>332935</v>
      </c>
      <c r="C126" s="746">
        <v>238802</v>
      </c>
      <c r="D126" s="746">
        <v>81386</v>
      </c>
      <c r="E126" s="746">
        <v>413</v>
      </c>
      <c r="F126" s="746">
        <v>6326</v>
      </c>
      <c r="G126" s="746"/>
      <c r="H126" s="746">
        <v>6008</v>
      </c>
      <c r="I126" s="746">
        <v>0</v>
      </c>
      <c r="J126" s="746" t="s">
        <v>22</v>
      </c>
    </row>
    <row r="127" spans="1:10" s="428" customFormat="1" ht="9" customHeight="1" x14ac:dyDescent="0.25">
      <c r="A127" s="475" t="s">
        <v>26</v>
      </c>
      <c r="B127" s="748">
        <f t="shared" si="3"/>
        <v>410624</v>
      </c>
      <c r="C127" s="748">
        <v>299228</v>
      </c>
      <c r="D127" s="748">
        <v>75523</v>
      </c>
      <c r="E127" s="748">
        <v>20053</v>
      </c>
      <c r="F127" s="748">
        <v>6796</v>
      </c>
      <c r="G127" s="748"/>
      <c r="H127" s="748">
        <v>9024</v>
      </c>
      <c r="I127" s="748">
        <v>0</v>
      </c>
      <c r="J127" s="748" t="s">
        <v>22</v>
      </c>
    </row>
    <row r="128" spans="1:10" s="428" customFormat="1" ht="9" customHeight="1" x14ac:dyDescent="0.25">
      <c r="A128" s="428" t="s">
        <v>27</v>
      </c>
      <c r="B128" s="746">
        <f t="shared" si="3"/>
        <v>1963755</v>
      </c>
      <c r="C128" s="746">
        <v>1726174</v>
      </c>
      <c r="D128" s="746">
        <v>230891</v>
      </c>
      <c r="E128" s="746">
        <v>1179</v>
      </c>
      <c r="F128" s="746">
        <v>5511</v>
      </c>
      <c r="G128" s="746"/>
      <c r="H128" s="746">
        <v>0</v>
      </c>
      <c r="I128" s="746">
        <v>0</v>
      </c>
      <c r="J128" s="746" t="s">
        <v>22</v>
      </c>
    </row>
    <row r="129" spans="1:10" s="428" customFormat="1" ht="9" customHeight="1" x14ac:dyDescent="0.25">
      <c r="A129" s="428" t="s">
        <v>28</v>
      </c>
      <c r="B129" s="746">
        <f t="shared" si="3"/>
        <v>325604</v>
      </c>
      <c r="C129" s="746">
        <v>248664</v>
      </c>
      <c r="D129" s="746">
        <v>60035</v>
      </c>
      <c r="E129" s="746">
        <v>939</v>
      </c>
      <c r="F129" s="746">
        <v>4426</v>
      </c>
      <c r="G129" s="746"/>
      <c r="H129" s="746">
        <v>11540</v>
      </c>
      <c r="I129" s="746">
        <v>0</v>
      </c>
      <c r="J129" s="746" t="s">
        <v>22</v>
      </c>
    </row>
    <row r="130" spans="1:10" s="428" customFormat="1" ht="9" customHeight="1" x14ac:dyDescent="0.25">
      <c r="A130" s="428" t="s">
        <v>29</v>
      </c>
      <c r="B130" s="746">
        <f t="shared" si="3"/>
        <v>921457</v>
      </c>
      <c r="C130" s="746">
        <v>554336</v>
      </c>
      <c r="D130" s="746">
        <v>230015</v>
      </c>
      <c r="E130" s="746">
        <v>10672</v>
      </c>
      <c r="F130" s="746">
        <v>47098</v>
      </c>
      <c r="G130" s="746"/>
      <c r="H130" s="746">
        <v>8756</v>
      </c>
      <c r="I130" s="746">
        <v>70580</v>
      </c>
      <c r="J130" s="746" t="s">
        <v>22</v>
      </c>
    </row>
    <row r="131" spans="1:10" s="428" customFormat="1" ht="9" customHeight="1" x14ac:dyDescent="0.25">
      <c r="A131" s="475" t="s">
        <v>30</v>
      </c>
      <c r="B131" s="748">
        <f t="shared" si="3"/>
        <v>2343478</v>
      </c>
      <c r="C131" s="748">
        <v>2088528</v>
      </c>
      <c r="D131" s="748">
        <v>238142</v>
      </c>
      <c r="E131" s="748">
        <v>4404</v>
      </c>
      <c r="F131" s="748">
        <v>12404</v>
      </c>
      <c r="G131" s="748"/>
      <c r="H131" s="748">
        <v>0</v>
      </c>
      <c r="I131" s="748">
        <v>0</v>
      </c>
      <c r="J131" s="748" t="s">
        <v>22</v>
      </c>
    </row>
    <row r="132" spans="1:10" s="428" customFormat="1" ht="9" customHeight="1" x14ac:dyDescent="0.25">
      <c r="A132" s="405" t="s">
        <v>63</v>
      </c>
      <c r="B132" s="746">
        <f t="shared" si="3"/>
        <v>9984336</v>
      </c>
      <c r="C132" s="746">
        <v>6700696</v>
      </c>
      <c r="D132" s="746">
        <v>2987129</v>
      </c>
      <c r="E132" s="746">
        <v>66930</v>
      </c>
      <c r="F132" s="746">
        <v>156811</v>
      </c>
      <c r="G132" s="746"/>
      <c r="H132" s="746">
        <v>33652</v>
      </c>
      <c r="I132" s="746">
        <v>39118</v>
      </c>
      <c r="J132" s="746" t="s">
        <v>22</v>
      </c>
    </row>
    <row r="133" spans="1:10" s="428" customFormat="1" ht="9" customHeight="1" x14ac:dyDescent="0.25">
      <c r="A133" s="428" t="s">
        <v>31</v>
      </c>
      <c r="B133" s="746">
        <f t="shared" si="3"/>
        <v>972237</v>
      </c>
      <c r="C133" s="746">
        <v>706686</v>
      </c>
      <c r="D133" s="746">
        <v>258366</v>
      </c>
      <c r="E133" s="746">
        <v>1703</v>
      </c>
      <c r="F133" s="746">
        <v>5482</v>
      </c>
      <c r="G133" s="746"/>
      <c r="H133" s="746">
        <v>0</v>
      </c>
      <c r="I133" s="746">
        <v>0</v>
      </c>
      <c r="J133" s="746" t="s">
        <v>22</v>
      </c>
    </row>
    <row r="134" spans="1:10" s="428" customFormat="1" ht="9" customHeight="1" x14ac:dyDescent="0.25">
      <c r="A134" s="428" t="s">
        <v>32</v>
      </c>
      <c r="B134" s="746">
        <f t="shared" si="3"/>
        <v>2217791</v>
      </c>
      <c r="C134" s="746">
        <v>1847071</v>
      </c>
      <c r="D134" s="746">
        <v>328086</v>
      </c>
      <c r="E134" s="746">
        <v>33289</v>
      </c>
      <c r="F134" s="746">
        <v>9345</v>
      </c>
      <c r="G134" s="746"/>
      <c r="H134" s="746">
        <v>0</v>
      </c>
      <c r="I134" s="746">
        <v>0</v>
      </c>
      <c r="J134" s="746" t="s">
        <v>22</v>
      </c>
    </row>
    <row r="135" spans="1:10" s="428" customFormat="1" ht="9" customHeight="1" x14ac:dyDescent="0.25">
      <c r="A135" s="475" t="s">
        <v>33</v>
      </c>
      <c r="B135" s="748">
        <f t="shared" si="3"/>
        <v>1043697</v>
      </c>
      <c r="C135" s="748">
        <v>611448</v>
      </c>
      <c r="D135" s="748">
        <v>400537</v>
      </c>
      <c r="E135" s="748">
        <v>944</v>
      </c>
      <c r="F135" s="748">
        <v>18728</v>
      </c>
      <c r="G135" s="748"/>
      <c r="H135" s="748">
        <v>12040</v>
      </c>
      <c r="I135" s="748">
        <v>0</v>
      </c>
      <c r="J135" s="748" t="s">
        <v>22</v>
      </c>
    </row>
    <row r="136" spans="1:10" s="428" customFormat="1" ht="9" customHeight="1" x14ac:dyDescent="0.25">
      <c r="A136" s="428" t="s">
        <v>34</v>
      </c>
      <c r="B136" s="746">
        <f t="shared" si="3"/>
        <v>789684</v>
      </c>
      <c r="C136" s="746">
        <v>578081</v>
      </c>
      <c r="D136" s="746">
        <v>191944</v>
      </c>
      <c r="E136" s="746">
        <v>12172</v>
      </c>
      <c r="F136" s="746">
        <v>7487</v>
      </c>
      <c r="G136" s="746"/>
      <c r="H136" s="746">
        <v>0</v>
      </c>
      <c r="I136" s="746">
        <v>0</v>
      </c>
      <c r="J136" s="746" t="s">
        <v>22</v>
      </c>
    </row>
    <row r="137" spans="1:10" s="428" customFormat="1" ht="9" customHeight="1" x14ac:dyDescent="0.25">
      <c r="A137" s="428" t="s">
        <v>35</v>
      </c>
      <c r="B137" s="746">
        <f t="shared" si="3"/>
        <v>3708459</v>
      </c>
      <c r="C137" s="746">
        <v>3381470</v>
      </c>
      <c r="D137" s="746">
        <v>300848</v>
      </c>
      <c r="E137" s="746">
        <v>4538</v>
      </c>
      <c r="F137" s="746">
        <v>19107</v>
      </c>
      <c r="G137" s="746"/>
      <c r="H137" s="746">
        <v>2496</v>
      </c>
      <c r="I137" s="746">
        <v>0</v>
      </c>
      <c r="J137" s="746" t="s">
        <v>22</v>
      </c>
    </row>
    <row r="138" spans="1:10" s="428" customFormat="1" ht="9" customHeight="1" x14ac:dyDescent="0.25">
      <c r="A138" s="428" t="s">
        <v>36</v>
      </c>
      <c r="B138" s="746">
        <f t="shared" si="3"/>
        <v>4935824</v>
      </c>
      <c r="C138" s="746">
        <v>3558626</v>
      </c>
      <c r="D138" s="746">
        <v>723866</v>
      </c>
      <c r="E138" s="746">
        <v>16150</v>
      </c>
      <c r="F138" s="746">
        <v>26970</v>
      </c>
      <c r="G138" s="746"/>
      <c r="H138" s="746">
        <v>0</v>
      </c>
      <c r="I138" s="746">
        <v>610212</v>
      </c>
      <c r="J138" s="746" t="s">
        <v>22</v>
      </c>
    </row>
    <row r="139" spans="1:10" s="428" customFormat="1" ht="9" customHeight="1" x14ac:dyDescent="0.25">
      <c r="A139" s="475" t="s">
        <v>37</v>
      </c>
      <c r="B139" s="748">
        <f t="shared" si="3"/>
        <v>1354496</v>
      </c>
      <c r="C139" s="748">
        <v>1012319</v>
      </c>
      <c r="D139" s="748">
        <v>327728</v>
      </c>
      <c r="E139" s="748">
        <v>3482</v>
      </c>
      <c r="F139" s="748">
        <v>5811</v>
      </c>
      <c r="G139" s="748"/>
      <c r="H139" s="748">
        <v>5156</v>
      </c>
      <c r="I139" s="748">
        <v>0</v>
      </c>
      <c r="J139" s="748" t="s">
        <v>22</v>
      </c>
    </row>
    <row r="140" spans="1:10" s="428" customFormat="1" ht="9" customHeight="1" x14ac:dyDescent="0.25">
      <c r="A140" s="428" t="s">
        <v>38</v>
      </c>
      <c r="B140" s="746">
        <f t="shared" si="3"/>
        <v>722049</v>
      </c>
      <c r="C140" s="746">
        <v>554788</v>
      </c>
      <c r="D140" s="746">
        <v>158421</v>
      </c>
      <c r="E140" s="746">
        <v>1323</v>
      </c>
      <c r="F140" s="746">
        <v>7517</v>
      </c>
      <c r="G140" s="746"/>
      <c r="H140" s="746">
        <v>0</v>
      </c>
      <c r="I140" s="746">
        <v>0</v>
      </c>
      <c r="J140" s="746" t="s">
        <v>22</v>
      </c>
    </row>
    <row r="141" spans="1:10" s="428" customFormat="1" ht="9" customHeight="1" x14ac:dyDescent="0.25">
      <c r="A141" s="428" t="s">
        <v>39</v>
      </c>
      <c r="B141" s="746">
        <f t="shared" si="3"/>
        <v>513011</v>
      </c>
      <c r="C141" s="746">
        <v>380228</v>
      </c>
      <c r="D141" s="746">
        <v>126402</v>
      </c>
      <c r="E141" s="746">
        <v>0</v>
      </c>
      <c r="F141" s="746">
        <v>3281</v>
      </c>
      <c r="G141" s="746"/>
      <c r="H141" s="746">
        <v>3100</v>
      </c>
      <c r="I141" s="746">
        <v>0</v>
      </c>
      <c r="J141" s="746" t="s">
        <v>22</v>
      </c>
    </row>
    <row r="142" spans="1:10" s="428" customFormat="1" ht="9" customHeight="1" x14ac:dyDescent="0.25">
      <c r="A142" s="428" t="s">
        <v>40</v>
      </c>
      <c r="B142" s="746">
        <f t="shared" si="3"/>
        <v>3005512</v>
      </c>
      <c r="C142" s="746">
        <v>2758489</v>
      </c>
      <c r="D142" s="746">
        <v>183440</v>
      </c>
      <c r="E142" s="746">
        <v>16431</v>
      </c>
      <c r="F142" s="746">
        <v>5214</v>
      </c>
      <c r="G142" s="746"/>
      <c r="H142" s="746">
        <v>0</v>
      </c>
      <c r="I142" s="746">
        <v>41938</v>
      </c>
      <c r="J142" s="746" t="s">
        <v>22</v>
      </c>
    </row>
    <row r="143" spans="1:10" s="428" customFormat="1" ht="9" customHeight="1" x14ac:dyDescent="0.25">
      <c r="A143" s="475" t="s">
        <v>41</v>
      </c>
      <c r="B143" s="748">
        <f t="shared" si="3"/>
        <v>919987</v>
      </c>
      <c r="C143" s="748">
        <v>586618</v>
      </c>
      <c r="D143" s="748">
        <v>289749</v>
      </c>
      <c r="E143" s="748">
        <v>22933</v>
      </c>
      <c r="F143" s="748">
        <v>10119</v>
      </c>
      <c r="G143" s="748"/>
      <c r="H143" s="748">
        <v>10568</v>
      </c>
      <c r="I143" s="748">
        <v>0</v>
      </c>
      <c r="J143" s="748" t="s">
        <v>22</v>
      </c>
    </row>
    <row r="144" spans="1:10" s="428" customFormat="1" ht="9" customHeight="1" x14ac:dyDescent="0.25">
      <c r="A144" s="428" t="s">
        <v>42</v>
      </c>
      <c r="B144" s="746">
        <f t="shared" si="3"/>
        <v>2033142</v>
      </c>
      <c r="C144" s="746">
        <v>1630524</v>
      </c>
      <c r="D144" s="746">
        <v>273600</v>
      </c>
      <c r="E144" s="746">
        <v>17213</v>
      </c>
      <c r="F144" s="746">
        <v>13764</v>
      </c>
      <c r="G144" s="746"/>
      <c r="H144" s="746">
        <v>0</v>
      </c>
      <c r="I144" s="746">
        <v>98041</v>
      </c>
      <c r="J144" s="746" t="s">
        <v>22</v>
      </c>
    </row>
    <row r="145" spans="1:10" s="428" customFormat="1" ht="9" customHeight="1" x14ac:dyDescent="0.25">
      <c r="A145" s="428" t="s">
        <v>43</v>
      </c>
      <c r="B145" s="746">
        <f t="shared" si="3"/>
        <v>909573</v>
      </c>
      <c r="C145" s="746">
        <v>804012</v>
      </c>
      <c r="D145" s="746">
        <v>98235</v>
      </c>
      <c r="E145" s="746">
        <v>2895</v>
      </c>
      <c r="F145" s="746">
        <v>4431</v>
      </c>
      <c r="G145" s="746"/>
      <c r="H145" s="746">
        <v>0</v>
      </c>
      <c r="I145" s="746">
        <v>0</v>
      </c>
      <c r="J145" s="746" t="s">
        <v>22</v>
      </c>
    </row>
    <row r="146" spans="1:10" s="428" customFormat="1" ht="9" customHeight="1" x14ac:dyDescent="0.25">
      <c r="A146" s="428" t="s">
        <v>44</v>
      </c>
      <c r="B146" s="746">
        <f t="shared" si="3"/>
        <v>593065</v>
      </c>
      <c r="C146" s="746">
        <v>502846</v>
      </c>
      <c r="D146" s="746">
        <v>80737</v>
      </c>
      <c r="E146" s="746">
        <v>0</v>
      </c>
      <c r="F146" s="746">
        <v>2326</v>
      </c>
      <c r="G146" s="746"/>
      <c r="H146" s="746">
        <v>7156</v>
      </c>
      <c r="I146" s="746">
        <v>0</v>
      </c>
      <c r="J146" s="746" t="s">
        <v>22</v>
      </c>
    </row>
    <row r="147" spans="1:10" s="428" customFormat="1" ht="9" customHeight="1" x14ac:dyDescent="0.25">
      <c r="A147" s="475" t="s">
        <v>45</v>
      </c>
      <c r="B147" s="748">
        <f t="shared" si="3"/>
        <v>1116901</v>
      </c>
      <c r="C147" s="748">
        <v>886240</v>
      </c>
      <c r="D147" s="748">
        <v>217233</v>
      </c>
      <c r="E147" s="748">
        <v>7286</v>
      </c>
      <c r="F147" s="748">
        <v>6142</v>
      </c>
      <c r="G147" s="748"/>
      <c r="H147" s="748">
        <v>0</v>
      </c>
      <c r="I147" s="748">
        <v>0</v>
      </c>
      <c r="J147" s="748" t="s">
        <v>22</v>
      </c>
    </row>
    <row r="148" spans="1:10" s="428" customFormat="1" ht="9" customHeight="1" x14ac:dyDescent="0.25">
      <c r="A148" s="428" t="s">
        <v>46</v>
      </c>
      <c r="B148" s="746">
        <f t="shared" si="3"/>
        <v>1503582</v>
      </c>
      <c r="C148" s="746">
        <v>1202248</v>
      </c>
      <c r="D148" s="746">
        <v>280501</v>
      </c>
      <c r="E148" s="746">
        <v>3423</v>
      </c>
      <c r="F148" s="746">
        <v>10342</v>
      </c>
      <c r="G148" s="746"/>
      <c r="H148" s="746">
        <v>7068</v>
      </c>
      <c r="I148" s="746">
        <v>0</v>
      </c>
      <c r="J148" s="746" t="s">
        <v>22</v>
      </c>
    </row>
    <row r="149" spans="1:10" s="428" customFormat="1" ht="9" customHeight="1" x14ac:dyDescent="0.25">
      <c r="A149" s="428" t="s">
        <v>47</v>
      </c>
      <c r="B149" s="746">
        <f t="shared" si="3"/>
        <v>1547832</v>
      </c>
      <c r="C149" s="746">
        <v>1210764</v>
      </c>
      <c r="D149" s="746">
        <v>191277</v>
      </c>
      <c r="E149" s="746">
        <v>3924</v>
      </c>
      <c r="F149" s="746">
        <v>7140</v>
      </c>
      <c r="G149" s="746"/>
      <c r="H149" s="746">
        <v>6516</v>
      </c>
      <c r="I149" s="746">
        <v>128211</v>
      </c>
      <c r="J149" s="746" t="s">
        <v>22</v>
      </c>
    </row>
    <row r="150" spans="1:10" s="428" customFormat="1" ht="9" customHeight="1" x14ac:dyDescent="0.25">
      <c r="A150" s="428" t="s">
        <v>48</v>
      </c>
      <c r="B150" s="746">
        <f t="shared" si="3"/>
        <v>901975</v>
      </c>
      <c r="C150" s="746">
        <v>460354</v>
      </c>
      <c r="D150" s="746">
        <v>136193</v>
      </c>
      <c r="E150" s="746">
        <v>79685</v>
      </c>
      <c r="F150" s="746">
        <v>4689</v>
      </c>
      <c r="G150" s="746"/>
      <c r="H150" s="746">
        <v>7704</v>
      </c>
      <c r="I150" s="746">
        <v>213350</v>
      </c>
      <c r="J150" s="746" t="s">
        <v>22</v>
      </c>
    </row>
    <row r="151" spans="1:10" s="428" customFormat="1" ht="9" customHeight="1" x14ac:dyDescent="0.25">
      <c r="A151" s="475" t="s">
        <v>49</v>
      </c>
      <c r="B151" s="748">
        <f t="shared" si="3"/>
        <v>1992538</v>
      </c>
      <c r="C151" s="748">
        <v>1578062</v>
      </c>
      <c r="D151" s="748">
        <v>301581</v>
      </c>
      <c r="E151" s="748">
        <v>87466</v>
      </c>
      <c r="F151" s="748">
        <v>10497</v>
      </c>
      <c r="G151" s="748"/>
      <c r="H151" s="748">
        <v>14932</v>
      </c>
      <c r="I151" s="748">
        <v>0</v>
      </c>
      <c r="J151" s="748" t="s">
        <v>22</v>
      </c>
    </row>
    <row r="152" spans="1:10" s="428" customFormat="1" ht="9" customHeight="1" x14ac:dyDescent="0.25">
      <c r="A152" s="428" t="s">
        <v>50</v>
      </c>
      <c r="B152" s="746">
        <f t="shared" si="3"/>
        <v>399358</v>
      </c>
      <c r="C152" s="746">
        <v>303877</v>
      </c>
      <c r="D152" s="746">
        <v>90667</v>
      </c>
      <c r="E152" s="746">
        <v>630</v>
      </c>
      <c r="F152" s="746">
        <v>4184</v>
      </c>
      <c r="G152" s="746"/>
      <c r="H152" s="746">
        <v>0</v>
      </c>
      <c r="I152" s="746">
        <v>0</v>
      </c>
      <c r="J152" s="746" t="s">
        <v>22</v>
      </c>
    </row>
    <row r="153" spans="1:10" s="428" customFormat="1" ht="9" customHeight="1" x14ac:dyDescent="0.25">
      <c r="A153" s="428" t="s">
        <v>51</v>
      </c>
      <c r="B153" s="746">
        <f t="shared" si="3"/>
        <v>2839279</v>
      </c>
      <c r="C153" s="746">
        <v>2188530</v>
      </c>
      <c r="D153" s="746">
        <v>390024</v>
      </c>
      <c r="E153" s="746">
        <v>195856</v>
      </c>
      <c r="F153" s="746">
        <v>26233</v>
      </c>
      <c r="G153" s="746"/>
      <c r="H153" s="746">
        <v>38636</v>
      </c>
      <c r="I153" s="746">
        <v>0</v>
      </c>
      <c r="J153" s="746" t="s">
        <v>22</v>
      </c>
    </row>
    <row r="154" spans="1:10" s="428" customFormat="1" ht="9" customHeight="1" x14ac:dyDescent="0.25">
      <c r="A154" s="428" t="s">
        <v>52</v>
      </c>
      <c r="B154" s="746">
        <f t="shared" si="3"/>
        <v>896735</v>
      </c>
      <c r="C154" s="746">
        <v>757929</v>
      </c>
      <c r="D154" s="746">
        <v>124775</v>
      </c>
      <c r="E154" s="746">
        <v>2617</v>
      </c>
      <c r="F154" s="746">
        <v>6746</v>
      </c>
      <c r="G154" s="746"/>
      <c r="H154" s="746">
        <v>4668</v>
      </c>
      <c r="I154" s="746">
        <v>0</v>
      </c>
      <c r="J154" s="746" t="s">
        <v>22</v>
      </c>
    </row>
    <row r="155" spans="1:10" s="428" customFormat="1" ht="9" customHeight="1" x14ac:dyDescent="0.25">
      <c r="A155" s="475" t="s">
        <v>53</v>
      </c>
      <c r="B155" s="748">
        <f t="shared" si="3"/>
        <v>552425</v>
      </c>
      <c r="C155" s="748">
        <v>428519</v>
      </c>
      <c r="D155" s="748">
        <v>118350</v>
      </c>
      <c r="E155" s="748">
        <v>2393</v>
      </c>
      <c r="F155" s="748">
        <v>3163</v>
      </c>
      <c r="G155" s="748"/>
      <c r="H155" s="748">
        <v>0</v>
      </c>
      <c r="I155" s="748">
        <v>0</v>
      </c>
      <c r="J155" s="748" t="s">
        <v>22</v>
      </c>
    </row>
    <row r="156" spans="1:10" s="428" customFormat="1" ht="9" customHeight="1" x14ac:dyDescent="0.25">
      <c r="A156" s="431" t="s">
        <v>434</v>
      </c>
      <c r="B156" s="746">
        <f t="shared" si="3"/>
        <v>6336</v>
      </c>
      <c r="C156" s="749" t="s">
        <v>573</v>
      </c>
      <c r="D156" s="746">
        <v>6336</v>
      </c>
      <c r="E156" s="749" t="s">
        <v>573</v>
      </c>
      <c r="F156" s="749" t="s">
        <v>573</v>
      </c>
      <c r="G156" s="749"/>
      <c r="H156" s="749" t="s">
        <v>573</v>
      </c>
      <c r="I156" s="749" t="s">
        <v>573</v>
      </c>
      <c r="J156" s="749" t="s">
        <v>573</v>
      </c>
    </row>
    <row r="157" spans="1:10" s="428" customFormat="1" ht="9" customHeight="1" x14ac:dyDescent="0.25">
      <c r="A157" s="431"/>
      <c r="B157" s="746"/>
      <c r="C157" s="431"/>
      <c r="D157" s="746"/>
      <c r="E157" s="431"/>
      <c r="F157" s="431"/>
      <c r="G157" s="431"/>
      <c r="H157" s="431"/>
      <c r="I157" s="431"/>
      <c r="J157" s="431"/>
    </row>
    <row r="158" spans="1:10" s="428" customFormat="1" ht="9" customHeight="1" x14ac:dyDescent="0.25">
      <c r="A158" s="470">
        <v>1999</v>
      </c>
      <c r="B158" s="471"/>
      <c r="C158" s="471"/>
      <c r="D158" s="471"/>
      <c r="E158" s="471"/>
      <c r="F158" s="471"/>
      <c r="G158" s="471"/>
      <c r="H158" s="471"/>
      <c r="I158" s="473"/>
      <c r="J158" s="473"/>
    </row>
    <row r="159" spans="1:10" s="428" customFormat="1" ht="9" customHeight="1" x14ac:dyDescent="0.25">
      <c r="A159" s="473" t="s">
        <v>13</v>
      </c>
      <c r="B159" s="745">
        <f>SUM(B161:B193)</f>
        <v>57033072</v>
      </c>
      <c r="C159" s="745">
        <f>SUM(C161:C193)</f>
        <v>44557157</v>
      </c>
      <c r="D159" s="745">
        <f>SUM(D161:D193)</f>
        <v>9896695</v>
      </c>
      <c r="E159" s="745">
        <f>SUM(E161:E193)</f>
        <v>603879</v>
      </c>
      <c r="F159" s="745">
        <f>SUM(F161:F193)</f>
        <v>489477</v>
      </c>
      <c r="G159" s="745"/>
      <c r="H159" s="745">
        <f>SUM(H161:H193)</f>
        <v>232528</v>
      </c>
      <c r="I159" s="745">
        <f>SUM(I161:I193)</f>
        <v>1253336</v>
      </c>
      <c r="J159" s="745" t="s">
        <v>22</v>
      </c>
    </row>
    <row r="160" spans="1:10" s="428" customFormat="1" ht="3.95" customHeight="1" x14ac:dyDescent="0.25">
      <c r="A160" s="473"/>
      <c r="B160" s="745"/>
      <c r="C160" s="745"/>
      <c r="D160" s="745"/>
      <c r="E160" s="745"/>
      <c r="F160" s="745"/>
      <c r="G160" s="745"/>
      <c r="H160" s="745"/>
      <c r="I160" s="745"/>
      <c r="J160" s="745"/>
    </row>
    <row r="161" spans="1:10" s="428" customFormat="1" ht="9" customHeight="1" x14ac:dyDescent="0.25">
      <c r="A161" s="428" t="s">
        <v>23</v>
      </c>
      <c r="B161" s="746">
        <f t="shared" ref="B161:B193" si="4">SUM(C161:J161)</f>
        <v>729693</v>
      </c>
      <c r="C161" s="746">
        <v>625909</v>
      </c>
      <c r="D161" s="746">
        <v>100605</v>
      </c>
      <c r="E161" s="746">
        <v>504</v>
      </c>
      <c r="F161" s="746">
        <v>2675</v>
      </c>
      <c r="G161" s="746"/>
      <c r="H161" s="746">
        <v>0</v>
      </c>
      <c r="I161" s="746">
        <v>0</v>
      </c>
      <c r="J161" s="746" t="s">
        <v>22</v>
      </c>
    </row>
    <row r="162" spans="1:10" s="428" customFormat="1" ht="9" customHeight="1" x14ac:dyDescent="0.25">
      <c r="A162" s="428" t="s">
        <v>24</v>
      </c>
      <c r="B162" s="746">
        <f t="shared" si="4"/>
        <v>1956432</v>
      </c>
      <c r="C162" s="746">
        <v>1706574</v>
      </c>
      <c r="D162" s="746">
        <v>126643</v>
      </c>
      <c r="E162" s="746">
        <v>1461</v>
      </c>
      <c r="F162" s="746">
        <v>5861</v>
      </c>
      <c r="G162" s="746"/>
      <c r="H162" s="746">
        <v>5470</v>
      </c>
      <c r="I162" s="746">
        <v>110423</v>
      </c>
      <c r="J162" s="746" t="s">
        <v>22</v>
      </c>
    </row>
    <row r="163" spans="1:10" s="428" customFormat="1" ht="9" customHeight="1" x14ac:dyDescent="0.25">
      <c r="A163" s="428" t="s">
        <v>25</v>
      </c>
      <c r="B163" s="746">
        <f t="shared" si="4"/>
        <v>342851</v>
      </c>
      <c r="C163" s="746">
        <v>245466</v>
      </c>
      <c r="D163" s="746">
        <v>83041</v>
      </c>
      <c r="E163" s="746">
        <v>314</v>
      </c>
      <c r="F163" s="746">
        <v>7530</v>
      </c>
      <c r="G163" s="746"/>
      <c r="H163" s="746">
        <v>6500</v>
      </c>
      <c r="I163" s="746">
        <v>0</v>
      </c>
      <c r="J163" s="746" t="s">
        <v>22</v>
      </c>
    </row>
    <row r="164" spans="1:10" s="428" customFormat="1" ht="9" customHeight="1" x14ac:dyDescent="0.25">
      <c r="A164" s="475" t="s">
        <v>26</v>
      </c>
      <c r="B164" s="748">
        <f t="shared" si="4"/>
        <v>419966</v>
      </c>
      <c r="C164" s="748">
        <v>308629</v>
      </c>
      <c r="D164" s="748">
        <v>77010</v>
      </c>
      <c r="E164" s="748">
        <v>18477</v>
      </c>
      <c r="F164" s="748">
        <v>4952</v>
      </c>
      <c r="G164" s="748"/>
      <c r="H164" s="748">
        <v>10898</v>
      </c>
      <c r="I164" s="748">
        <v>0</v>
      </c>
      <c r="J164" s="748" t="s">
        <v>22</v>
      </c>
    </row>
    <row r="165" spans="1:10" s="428" customFormat="1" ht="9" customHeight="1" x14ac:dyDescent="0.25">
      <c r="A165" s="428" t="s">
        <v>27</v>
      </c>
      <c r="B165" s="746">
        <f t="shared" si="4"/>
        <v>2111257</v>
      </c>
      <c r="C165" s="746">
        <v>1869704</v>
      </c>
      <c r="D165" s="746">
        <v>235352</v>
      </c>
      <c r="E165" s="746">
        <v>983</v>
      </c>
      <c r="F165" s="746">
        <v>5218</v>
      </c>
      <c r="G165" s="746"/>
      <c r="H165" s="746">
        <v>0</v>
      </c>
      <c r="I165" s="746">
        <v>0</v>
      </c>
      <c r="J165" s="746" t="s">
        <v>22</v>
      </c>
    </row>
    <row r="166" spans="1:10" s="428" customFormat="1" ht="9" customHeight="1" x14ac:dyDescent="0.25">
      <c r="A166" s="428" t="s">
        <v>28</v>
      </c>
      <c r="B166" s="746">
        <f t="shared" si="4"/>
        <v>349598</v>
      </c>
      <c r="C166" s="746">
        <v>271332</v>
      </c>
      <c r="D166" s="746">
        <v>61265</v>
      </c>
      <c r="E166" s="746">
        <v>903</v>
      </c>
      <c r="F166" s="746">
        <v>4023</v>
      </c>
      <c r="G166" s="746"/>
      <c r="H166" s="746">
        <v>12075</v>
      </c>
      <c r="I166" s="746">
        <v>0</v>
      </c>
      <c r="J166" s="746" t="s">
        <v>22</v>
      </c>
    </row>
    <row r="167" spans="1:10" s="428" customFormat="1" ht="9" customHeight="1" x14ac:dyDescent="0.25">
      <c r="A167" s="428" t="s">
        <v>29</v>
      </c>
      <c r="B167" s="746">
        <f t="shared" si="4"/>
        <v>979253</v>
      </c>
      <c r="C167" s="746">
        <v>636198</v>
      </c>
      <c r="D167" s="746">
        <v>234313</v>
      </c>
      <c r="E167" s="746">
        <v>10353</v>
      </c>
      <c r="F167" s="746">
        <v>14758</v>
      </c>
      <c r="G167" s="746"/>
      <c r="H167" s="746">
        <v>10640</v>
      </c>
      <c r="I167" s="746">
        <v>72991</v>
      </c>
      <c r="J167" s="746" t="s">
        <v>22</v>
      </c>
    </row>
    <row r="168" spans="1:10" s="428" customFormat="1" ht="9" customHeight="1" x14ac:dyDescent="0.25">
      <c r="A168" s="475" t="s">
        <v>30</v>
      </c>
      <c r="B168" s="748">
        <f t="shared" si="4"/>
        <v>2511451</v>
      </c>
      <c r="C168" s="748">
        <v>2239980</v>
      </c>
      <c r="D168" s="748">
        <v>242802</v>
      </c>
      <c r="E168" s="748">
        <v>2191</v>
      </c>
      <c r="F168" s="748">
        <v>26478</v>
      </c>
      <c r="G168" s="748"/>
      <c r="H168" s="748">
        <v>0</v>
      </c>
      <c r="I168" s="748">
        <v>0</v>
      </c>
      <c r="J168" s="748" t="s">
        <v>22</v>
      </c>
    </row>
    <row r="169" spans="1:10" s="428" customFormat="1" ht="9" customHeight="1" x14ac:dyDescent="0.25">
      <c r="A169" s="405" t="s">
        <v>63</v>
      </c>
      <c r="B169" s="746">
        <f t="shared" si="4"/>
        <v>10324363</v>
      </c>
      <c r="C169" s="746">
        <v>6979553</v>
      </c>
      <c r="D169" s="746">
        <v>3042691</v>
      </c>
      <c r="E169" s="746">
        <v>72106</v>
      </c>
      <c r="F169" s="746">
        <v>147920</v>
      </c>
      <c r="G169" s="746"/>
      <c r="H169" s="746">
        <v>41860</v>
      </c>
      <c r="I169" s="746">
        <v>40233</v>
      </c>
      <c r="J169" s="746" t="s">
        <v>22</v>
      </c>
    </row>
    <row r="170" spans="1:10" s="428" customFormat="1" ht="9" customHeight="1" x14ac:dyDescent="0.25">
      <c r="A170" s="428" t="s">
        <v>31</v>
      </c>
      <c r="B170" s="746">
        <f t="shared" si="4"/>
        <v>1017253</v>
      </c>
      <c r="C170" s="746">
        <v>746530</v>
      </c>
      <c r="D170" s="746">
        <v>262600</v>
      </c>
      <c r="E170" s="746">
        <v>1030</v>
      </c>
      <c r="F170" s="746">
        <v>7093</v>
      </c>
      <c r="G170" s="746"/>
      <c r="H170" s="746">
        <v>0</v>
      </c>
      <c r="I170" s="746">
        <v>0</v>
      </c>
      <c r="J170" s="746" t="s">
        <v>22</v>
      </c>
    </row>
    <row r="171" spans="1:10" s="428" customFormat="1" ht="9" customHeight="1" x14ac:dyDescent="0.25">
      <c r="A171" s="428" t="s">
        <v>32</v>
      </c>
      <c r="B171" s="746">
        <f t="shared" si="4"/>
        <v>2374262</v>
      </c>
      <c r="C171" s="746">
        <v>1984357</v>
      </c>
      <c r="D171" s="746">
        <v>333487</v>
      </c>
      <c r="E171" s="746">
        <v>31916</v>
      </c>
      <c r="F171" s="746">
        <v>24502</v>
      </c>
      <c r="G171" s="746"/>
      <c r="H171" s="746">
        <v>0</v>
      </c>
      <c r="I171" s="746">
        <v>0</v>
      </c>
      <c r="J171" s="746" t="s">
        <v>22</v>
      </c>
    </row>
    <row r="172" spans="1:10" s="428" customFormat="1" ht="9" customHeight="1" x14ac:dyDescent="0.25">
      <c r="A172" s="475" t="s">
        <v>33</v>
      </c>
      <c r="B172" s="748">
        <f t="shared" si="4"/>
        <v>1085912</v>
      </c>
      <c r="C172" s="748">
        <v>641081</v>
      </c>
      <c r="D172" s="748">
        <v>406978</v>
      </c>
      <c r="E172" s="748">
        <v>807</v>
      </c>
      <c r="F172" s="748">
        <v>24091</v>
      </c>
      <c r="G172" s="748"/>
      <c r="H172" s="748">
        <v>12955</v>
      </c>
      <c r="I172" s="748">
        <v>0</v>
      </c>
      <c r="J172" s="748" t="s">
        <v>22</v>
      </c>
    </row>
    <row r="173" spans="1:10" s="428" customFormat="1" ht="9" customHeight="1" x14ac:dyDescent="0.25">
      <c r="A173" s="428" t="s">
        <v>34</v>
      </c>
      <c r="B173" s="746">
        <f t="shared" si="4"/>
        <v>847008</v>
      </c>
      <c r="C173" s="746">
        <v>630065</v>
      </c>
      <c r="D173" s="746">
        <v>195124</v>
      </c>
      <c r="E173" s="746">
        <v>17409</v>
      </c>
      <c r="F173" s="746">
        <v>4410</v>
      </c>
      <c r="G173" s="746"/>
      <c r="H173" s="746">
        <v>0</v>
      </c>
      <c r="I173" s="746">
        <v>0</v>
      </c>
      <c r="J173" s="746" t="s">
        <v>22</v>
      </c>
    </row>
    <row r="174" spans="1:10" s="428" customFormat="1" ht="9" customHeight="1" x14ac:dyDescent="0.25">
      <c r="A174" s="428" t="s">
        <v>35</v>
      </c>
      <c r="B174" s="746">
        <f t="shared" si="4"/>
        <v>3905632</v>
      </c>
      <c r="C174" s="746">
        <v>3576536</v>
      </c>
      <c r="D174" s="746">
        <v>306179</v>
      </c>
      <c r="E174" s="746">
        <v>3005</v>
      </c>
      <c r="F174" s="746">
        <v>16977</v>
      </c>
      <c r="G174" s="746"/>
      <c r="H174" s="746">
        <v>2935</v>
      </c>
      <c r="I174" s="746">
        <v>0</v>
      </c>
      <c r="J174" s="746" t="s">
        <v>22</v>
      </c>
    </row>
    <row r="175" spans="1:10" s="428" customFormat="1" ht="9" customHeight="1" x14ac:dyDescent="0.25">
      <c r="A175" s="428" t="s">
        <v>36</v>
      </c>
      <c r="B175" s="746">
        <f t="shared" si="4"/>
        <v>5249993</v>
      </c>
      <c r="C175" s="746">
        <v>3797097</v>
      </c>
      <c r="D175" s="746">
        <v>731856</v>
      </c>
      <c r="E175" s="746">
        <v>17604</v>
      </c>
      <c r="F175" s="746">
        <v>61970</v>
      </c>
      <c r="G175" s="746"/>
      <c r="H175" s="746">
        <v>0</v>
      </c>
      <c r="I175" s="746">
        <v>641466</v>
      </c>
      <c r="J175" s="746" t="s">
        <v>22</v>
      </c>
    </row>
    <row r="176" spans="1:10" s="428" customFormat="1" ht="9" customHeight="1" x14ac:dyDescent="0.25">
      <c r="A176" s="475" t="s">
        <v>37</v>
      </c>
      <c r="B176" s="748">
        <f t="shared" si="4"/>
        <v>1446160</v>
      </c>
      <c r="C176" s="748">
        <v>1089729</v>
      </c>
      <c r="D176" s="748">
        <v>333937</v>
      </c>
      <c r="E176" s="748">
        <v>1897</v>
      </c>
      <c r="F176" s="748">
        <v>7992</v>
      </c>
      <c r="G176" s="748"/>
      <c r="H176" s="748">
        <v>12605</v>
      </c>
      <c r="I176" s="748">
        <v>0</v>
      </c>
      <c r="J176" s="748" t="s">
        <v>22</v>
      </c>
    </row>
    <row r="177" spans="1:10" s="428" customFormat="1" ht="9" customHeight="1" x14ac:dyDescent="0.25">
      <c r="A177" s="428" t="s">
        <v>38</v>
      </c>
      <c r="B177" s="746">
        <f t="shared" si="4"/>
        <v>751514</v>
      </c>
      <c r="C177" s="746">
        <v>587654</v>
      </c>
      <c r="D177" s="746">
        <v>161236</v>
      </c>
      <c r="E177" s="746">
        <v>967</v>
      </c>
      <c r="F177" s="746">
        <v>1657</v>
      </c>
      <c r="G177" s="746"/>
      <c r="H177" s="746">
        <v>0</v>
      </c>
      <c r="I177" s="746">
        <v>0</v>
      </c>
      <c r="J177" s="746" t="s">
        <v>22</v>
      </c>
    </row>
    <row r="178" spans="1:10" s="428" customFormat="1" ht="9" customHeight="1" x14ac:dyDescent="0.25">
      <c r="A178" s="428" t="s">
        <v>39</v>
      </c>
      <c r="B178" s="746">
        <f t="shared" si="4"/>
        <v>531644</v>
      </c>
      <c r="C178" s="746">
        <v>394681</v>
      </c>
      <c r="D178" s="746">
        <v>128693</v>
      </c>
      <c r="E178" s="746">
        <v>311</v>
      </c>
      <c r="F178" s="746">
        <v>4579</v>
      </c>
      <c r="G178" s="746"/>
      <c r="H178" s="746">
        <v>3380</v>
      </c>
      <c r="I178" s="746">
        <v>0</v>
      </c>
      <c r="J178" s="746" t="s">
        <v>22</v>
      </c>
    </row>
    <row r="179" spans="1:10" s="428" customFormat="1" ht="9" customHeight="1" x14ac:dyDescent="0.25">
      <c r="A179" s="428" t="s">
        <v>40</v>
      </c>
      <c r="B179" s="746">
        <f t="shared" si="4"/>
        <v>3207257</v>
      </c>
      <c r="C179" s="746">
        <v>2954815</v>
      </c>
      <c r="D179" s="746">
        <v>186622</v>
      </c>
      <c r="E179" s="746">
        <v>19069</v>
      </c>
      <c r="F179" s="746">
        <v>4813</v>
      </c>
      <c r="G179" s="746"/>
      <c r="H179" s="746">
        <v>0</v>
      </c>
      <c r="I179" s="746">
        <v>41938</v>
      </c>
      <c r="J179" s="746" t="s">
        <v>22</v>
      </c>
    </row>
    <row r="180" spans="1:10" s="428" customFormat="1" ht="9" customHeight="1" x14ac:dyDescent="0.25">
      <c r="A180" s="475" t="s">
        <v>41</v>
      </c>
      <c r="B180" s="748">
        <f t="shared" si="4"/>
        <v>952295</v>
      </c>
      <c r="C180" s="748">
        <v>602403</v>
      </c>
      <c r="D180" s="748">
        <v>294794</v>
      </c>
      <c r="E180" s="748">
        <v>23360</v>
      </c>
      <c r="F180" s="748">
        <v>18443</v>
      </c>
      <c r="G180" s="748"/>
      <c r="H180" s="748">
        <v>13295</v>
      </c>
      <c r="I180" s="748">
        <v>0</v>
      </c>
      <c r="J180" s="748" t="s">
        <v>22</v>
      </c>
    </row>
    <row r="181" spans="1:10" s="428" customFormat="1" ht="9" customHeight="1" x14ac:dyDescent="0.25">
      <c r="A181" s="428" t="s">
        <v>42</v>
      </c>
      <c r="B181" s="746">
        <f t="shared" si="4"/>
        <v>2143972</v>
      </c>
      <c r="C181" s="746">
        <v>1734241</v>
      </c>
      <c r="D181" s="746">
        <v>277983</v>
      </c>
      <c r="E181" s="746">
        <v>11095</v>
      </c>
      <c r="F181" s="746">
        <v>10792</v>
      </c>
      <c r="G181" s="746"/>
      <c r="H181" s="746">
        <v>0</v>
      </c>
      <c r="I181" s="746">
        <v>109861</v>
      </c>
      <c r="J181" s="746" t="s">
        <v>22</v>
      </c>
    </row>
    <row r="182" spans="1:10" s="428" customFormat="1" ht="9" customHeight="1" x14ac:dyDescent="0.25">
      <c r="A182" s="428" t="s">
        <v>43</v>
      </c>
      <c r="B182" s="746">
        <f t="shared" si="4"/>
        <v>992740</v>
      </c>
      <c r="C182" s="746">
        <v>884520</v>
      </c>
      <c r="D182" s="746">
        <v>100162</v>
      </c>
      <c r="E182" s="746">
        <v>2063</v>
      </c>
      <c r="F182" s="746">
        <v>5995</v>
      </c>
      <c r="G182" s="746"/>
      <c r="H182" s="746">
        <v>0</v>
      </c>
      <c r="I182" s="746">
        <v>0</v>
      </c>
      <c r="J182" s="746" t="s">
        <v>22</v>
      </c>
    </row>
    <row r="183" spans="1:10" s="428" customFormat="1" ht="9" customHeight="1" x14ac:dyDescent="0.25">
      <c r="A183" s="428" t="s">
        <v>44</v>
      </c>
      <c r="B183" s="746">
        <f t="shared" si="4"/>
        <v>594631</v>
      </c>
      <c r="C183" s="746">
        <v>497391</v>
      </c>
      <c r="D183" s="746">
        <v>82200</v>
      </c>
      <c r="E183" s="746">
        <v>0</v>
      </c>
      <c r="F183" s="746">
        <v>5760</v>
      </c>
      <c r="G183" s="746"/>
      <c r="H183" s="746">
        <v>9280</v>
      </c>
      <c r="I183" s="746">
        <v>0</v>
      </c>
      <c r="J183" s="746" t="s">
        <v>22</v>
      </c>
    </row>
    <row r="184" spans="1:10" s="428" customFormat="1" ht="9" customHeight="1" x14ac:dyDescent="0.25">
      <c r="A184" s="475" t="s">
        <v>45</v>
      </c>
      <c r="B184" s="748">
        <f t="shared" si="4"/>
        <v>1171163</v>
      </c>
      <c r="C184" s="748">
        <v>939927</v>
      </c>
      <c r="D184" s="748">
        <v>221237</v>
      </c>
      <c r="E184" s="748">
        <v>4831</v>
      </c>
      <c r="F184" s="748">
        <v>5168</v>
      </c>
      <c r="G184" s="748"/>
      <c r="H184" s="748">
        <v>0</v>
      </c>
      <c r="I184" s="748">
        <v>0</v>
      </c>
      <c r="J184" s="748" t="s">
        <v>22</v>
      </c>
    </row>
    <row r="185" spans="1:10" s="428" customFormat="1" ht="9" customHeight="1" x14ac:dyDescent="0.25">
      <c r="A185" s="428" t="s">
        <v>46</v>
      </c>
      <c r="B185" s="746">
        <f t="shared" si="4"/>
        <v>1551505</v>
      </c>
      <c r="C185" s="746">
        <v>1244847</v>
      </c>
      <c r="D185" s="746">
        <v>285509</v>
      </c>
      <c r="E185" s="746">
        <v>2605</v>
      </c>
      <c r="F185" s="746">
        <v>11474</v>
      </c>
      <c r="G185" s="746"/>
      <c r="H185" s="746">
        <v>7070</v>
      </c>
      <c r="I185" s="746">
        <v>0</v>
      </c>
      <c r="J185" s="746" t="s">
        <v>22</v>
      </c>
    </row>
    <row r="186" spans="1:10" s="428" customFormat="1" ht="9" customHeight="1" x14ac:dyDescent="0.25">
      <c r="A186" s="428" t="s">
        <v>47</v>
      </c>
      <c r="B186" s="746">
        <f t="shared" si="4"/>
        <v>1555439</v>
      </c>
      <c r="C186" s="746">
        <v>1262850</v>
      </c>
      <c r="D186" s="746">
        <v>194911</v>
      </c>
      <c r="E186" s="746">
        <v>2817</v>
      </c>
      <c r="F186" s="746">
        <v>7110</v>
      </c>
      <c r="G186" s="746"/>
      <c r="H186" s="746">
        <v>5310</v>
      </c>
      <c r="I186" s="746">
        <v>82441</v>
      </c>
      <c r="J186" s="746" t="s">
        <v>22</v>
      </c>
    </row>
    <row r="187" spans="1:10" s="428" customFormat="1" ht="9" customHeight="1" x14ac:dyDescent="0.25">
      <c r="A187" s="428" t="s">
        <v>48</v>
      </c>
      <c r="B187" s="746">
        <f t="shared" si="4"/>
        <v>877561</v>
      </c>
      <c r="C187" s="746">
        <v>480227</v>
      </c>
      <c r="D187" s="746">
        <v>138466</v>
      </c>
      <c r="E187" s="746">
        <v>85193</v>
      </c>
      <c r="F187" s="746">
        <v>9522</v>
      </c>
      <c r="G187" s="746"/>
      <c r="H187" s="746">
        <v>10170</v>
      </c>
      <c r="I187" s="746">
        <v>153983</v>
      </c>
      <c r="J187" s="746" t="s">
        <v>22</v>
      </c>
    </row>
    <row r="188" spans="1:10" s="428" customFormat="1" ht="9" customHeight="1" x14ac:dyDescent="0.25">
      <c r="A188" s="475" t="s">
        <v>49</v>
      </c>
      <c r="B188" s="748">
        <f t="shared" si="4"/>
        <v>2128432</v>
      </c>
      <c r="C188" s="748">
        <v>1717659</v>
      </c>
      <c r="D188" s="748">
        <v>307383</v>
      </c>
      <c r="E188" s="748">
        <v>80858</v>
      </c>
      <c r="F188" s="748">
        <v>6617</v>
      </c>
      <c r="G188" s="748"/>
      <c r="H188" s="748">
        <v>15915</v>
      </c>
      <c r="I188" s="748">
        <v>0</v>
      </c>
      <c r="J188" s="748" t="s">
        <v>22</v>
      </c>
    </row>
    <row r="189" spans="1:10" s="428" customFormat="1" ht="9" customHeight="1" x14ac:dyDescent="0.25">
      <c r="A189" s="428" t="s">
        <v>50</v>
      </c>
      <c r="B189" s="746">
        <f t="shared" si="4"/>
        <v>419188</v>
      </c>
      <c r="C189" s="746">
        <v>323942</v>
      </c>
      <c r="D189" s="746">
        <v>92235</v>
      </c>
      <c r="E189" s="746">
        <v>329</v>
      </c>
      <c r="F189" s="746">
        <v>2682</v>
      </c>
      <c r="G189" s="746"/>
      <c r="H189" s="746">
        <v>0</v>
      </c>
      <c r="I189" s="746">
        <v>0</v>
      </c>
      <c r="J189" s="746" t="s">
        <v>22</v>
      </c>
    </row>
    <row r="190" spans="1:10" s="428" customFormat="1" ht="9" customHeight="1" x14ac:dyDescent="0.25">
      <c r="A190" s="428" t="s">
        <v>51</v>
      </c>
      <c r="B190" s="746">
        <f t="shared" si="4"/>
        <v>2931440</v>
      </c>
      <c r="C190" s="746">
        <v>2284306</v>
      </c>
      <c r="D190" s="746">
        <v>397151</v>
      </c>
      <c r="E190" s="746">
        <v>186085</v>
      </c>
      <c r="F190" s="746">
        <v>17573</v>
      </c>
      <c r="G190" s="746"/>
      <c r="H190" s="746">
        <v>46325</v>
      </c>
      <c r="I190" s="746">
        <v>0</v>
      </c>
      <c r="J190" s="746" t="s">
        <v>22</v>
      </c>
    </row>
    <row r="191" spans="1:10" s="428" customFormat="1" ht="9" customHeight="1" x14ac:dyDescent="0.25">
      <c r="A191" s="428" t="s">
        <v>52</v>
      </c>
      <c r="B191" s="746">
        <f t="shared" si="4"/>
        <v>975757</v>
      </c>
      <c r="C191" s="746">
        <v>831650</v>
      </c>
      <c r="D191" s="746">
        <v>127221</v>
      </c>
      <c r="E191" s="746">
        <v>3019</v>
      </c>
      <c r="F191" s="746">
        <v>8022</v>
      </c>
      <c r="G191" s="746"/>
      <c r="H191" s="746">
        <v>5845</v>
      </c>
      <c r="I191" s="746">
        <v>0</v>
      </c>
      <c r="J191" s="746" t="s">
        <v>22</v>
      </c>
    </row>
    <row r="192" spans="1:10" s="428" customFormat="1" ht="9" customHeight="1" x14ac:dyDescent="0.25">
      <c r="A192" s="475" t="s">
        <v>53</v>
      </c>
      <c r="B192" s="748">
        <f t="shared" si="4"/>
        <v>591056</v>
      </c>
      <c r="C192" s="748">
        <v>467304</v>
      </c>
      <c r="D192" s="748">
        <v>120615</v>
      </c>
      <c r="E192" s="748">
        <v>317</v>
      </c>
      <c r="F192" s="748">
        <v>2820</v>
      </c>
      <c r="G192" s="748"/>
      <c r="H192" s="748">
        <v>0</v>
      </c>
      <c r="I192" s="748">
        <v>0</v>
      </c>
      <c r="J192" s="748" t="s">
        <v>22</v>
      </c>
    </row>
    <row r="193" spans="1:11" s="428" customFormat="1" ht="9" customHeight="1" x14ac:dyDescent="0.25">
      <c r="A193" s="431" t="s">
        <v>434</v>
      </c>
      <c r="B193" s="746">
        <f t="shared" si="4"/>
        <v>6394</v>
      </c>
      <c r="C193" s="749" t="s">
        <v>573</v>
      </c>
      <c r="D193" s="746">
        <v>6394</v>
      </c>
      <c r="E193" s="749" t="s">
        <v>573</v>
      </c>
      <c r="F193" s="749" t="s">
        <v>573</v>
      </c>
      <c r="G193" s="749"/>
      <c r="H193" s="749" t="s">
        <v>573</v>
      </c>
      <c r="I193" s="749" t="s">
        <v>573</v>
      </c>
      <c r="J193" s="749" t="s">
        <v>573</v>
      </c>
    </row>
    <row r="194" spans="1:11" s="428" customFormat="1" ht="8.25" customHeight="1" x14ac:dyDescent="0.25">
      <c r="A194" s="431"/>
      <c r="B194" s="746"/>
      <c r="C194" s="431"/>
      <c r="D194" s="746"/>
      <c r="E194" s="431"/>
      <c r="F194" s="431"/>
      <c r="G194" s="431"/>
      <c r="H194" s="431"/>
      <c r="I194" s="431"/>
      <c r="J194" s="431"/>
    </row>
    <row r="195" spans="1:11" s="428" customFormat="1" ht="9" customHeight="1" x14ac:dyDescent="0.25">
      <c r="A195" s="470">
        <v>2000</v>
      </c>
      <c r="B195" s="471"/>
      <c r="C195" s="471"/>
      <c r="D195" s="471"/>
      <c r="E195" s="471"/>
      <c r="F195" s="471"/>
      <c r="G195" s="471"/>
      <c r="H195" s="471"/>
      <c r="I195" s="473"/>
      <c r="J195" s="473"/>
    </row>
    <row r="196" spans="1:11" s="428" customFormat="1" ht="9" customHeight="1" x14ac:dyDescent="0.25">
      <c r="A196" s="473" t="s">
        <v>13</v>
      </c>
      <c r="B196" s="745">
        <f>SUM(B198:B230)</f>
        <v>59231330</v>
      </c>
      <c r="C196" s="745">
        <f>SUM(C198:C230)</f>
        <v>46533924</v>
      </c>
      <c r="D196" s="745">
        <f>SUM(D198:D230)</f>
        <v>10065861</v>
      </c>
      <c r="E196" s="745">
        <f>SUM(E198:E230)</f>
        <v>647036</v>
      </c>
      <c r="F196" s="745">
        <f>SUM(F198:F230)</f>
        <v>489477</v>
      </c>
      <c r="G196" s="745"/>
      <c r="H196" s="745">
        <f>SUM(H198:H230)</f>
        <v>187028</v>
      </c>
      <c r="I196" s="745">
        <f>SUM(I198:I230)</f>
        <v>1308004</v>
      </c>
      <c r="J196" s="745" t="s">
        <v>22</v>
      </c>
      <c r="K196" s="745"/>
    </row>
    <row r="197" spans="1:11" s="428" customFormat="1" ht="3" customHeight="1" x14ac:dyDescent="0.25">
      <c r="A197" s="473"/>
      <c r="B197" s="745"/>
      <c r="C197" s="745"/>
      <c r="D197" s="745"/>
      <c r="E197" s="745"/>
      <c r="F197" s="745"/>
      <c r="G197" s="745"/>
      <c r="H197" s="745"/>
      <c r="I197" s="745"/>
      <c r="J197" s="745"/>
      <c r="K197" s="745"/>
    </row>
    <row r="198" spans="1:11" s="428" customFormat="1" ht="9" customHeight="1" x14ac:dyDescent="0.25">
      <c r="A198" s="428" t="s">
        <v>23</v>
      </c>
      <c r="B198" s="746">
        <f t="shared" ref="B198:B230" si="5">SUM(C198:J198)</f>
        <v>772076</v>
      </c>
      <c r="C198" s="746">
        <v>666295</v>
      </c>
      <c r="D198" s="746">
        <v>102566</v>
      </c>
      <c r="E198" s="746">
        <v>540</v>
      </c>
      <c r="F198" s="746">
        <v>2675</v>
      </c>
      <c r="G198" s="746"/>
      <c r="H198" s="746">
        <v>0</v>
      </c>
      <c r="I198" s="746">
        <v>0</v>
      </c>
      <c r="J198" s="746" t="s">
        <v>22</v>
      </c>
    </row>
    <row r="199" spans="1:11" s="428" customFormat="1" ht="9" customHeight="1" x14ac:dyDescent="0.25">
      <c r="A199" s="428" t="s">
        <v>24</v>
      </c>
      <c r="B199" s="746">
        <f t="shared" si="5"/>
        <v>2077460</v>
      </c>
      <c r="C199" s="746">
        <v>1821961</v>
      </c>
      <c r="D199" s="746">
        <v>128965</v>
      </c>
      <c r="E199" s="746">
        <v>1565</v>
      </c>
      <c r="F199" s="746">
        <v>5861</v>
      </c>
      <c r="G199" s="746"/>
      <c r="H199" s="746">
        <v>5470</v>
      </c>
      <c r="I199" s="746">
        <v>113638</v>
      </c>
      <c r="J199" s="746" t="s">
        <v>22</v>
      </c>
    </row>
    <row r="200" spans="1:11" s="428" customFormat="1" ht="9" customHeight="1" x14ac:dyDescent="0.25">
      <c r="A200" s="428" t="s">
        <v>25</v>
      </c>
      <c r="B200" s="746">
        <f t="shared" si="5"/>
        <v>364626</v>
      </c>
      <c r="C200" s="746">
        <v>266040</v>
      </c>
      <c r="D200" s="746">
        <v>84761</v>
      </c>
      <c r="E200" s="746">
        <v>336</v>
      </c>
      <c r="F200" s="746">
        <v>7530</v>
      </c>
      <c r="G200" s="746"/>
      <c r="H200" s="746">
        <v>5959</v>
      </c>
      <c r="I200" s="746">
        <v>0</v>
      </c>
      <c r="J200" s="746" t="s">
        <v>22</v>
      </c>
    </row>
    <row r="201" spans="1:11" s="428" customFormat="1" ht="9" customHeight="1" x14ac:dyDescent="0.25">
      <c r="A201" s="475" t="s">
        <v>26</v>
      </c>
      <c r="B201" s="748">
        <f t="shared" si="5"/>
        <v>434659</v>
      </c>
      <c r="C201" s="748">
        <v>322697</v>
      </c>
      <c r="D201" s="748">
        <v>78282</v>
      </c>
      <c r="E201" s="748">
        <v>19797</v>
      </c>
      <c r="F201" s="748">
        <v>4952</v>
      </c>
      <c r="G201" s="748"/>
      <c r="H201" s="748">
        <v>8931</v>
      </c>
      <c r="I201" s="748">
        <v>0</v>
      </c>
      <c r="J201" s="748" t="s">
        <v>22</v>
      </c>
    </row>
    <row r="202" spans="1:11" s="428" customFormat="1" ht="9" customHeight="1" x14ac:dyDescent="0.25">
      <c r="A202" s="428" t="s">
        <v>27</v>
      </c>
      <c r="B202" s="746">
        <f t="shared" si="5"/>
        <v>2200385</v>
      </c>
      <c r="C202" s="746">
        <v>1954336</v>
      </c>
      <c r="D202" s="746">
        <v>239778</v>
      </c>
      <c r="E202" s="746">
        <v>1053</v>
      </c>
      <c r="F202" s="746">
        <v>5218</v>
      </c>
      <c r="G202" s="746"/>
      <c r="H202" s="746">
        <v>0</v>
      </c>
      <c r="I202" s="746">
        <v>0</v>
      </c>
      <c r="J202" s="746" t="s">
        <v>22</v>
      </c>
    </row>
    <row r="203" spans="1:11" s="428" customFormat="1" ht="9" customHeight="1" x14ac:dyDescent="0.25">
      <c r="A203" s="428" t="s">
        <v>28</v>
      </c>
      <c r="B203" s="746">
        <f t="shared" si="5"/>
        <v>359166</v>
      </c>
      <c r="C203" s="746">
        <v>284037</v>
      </c>
      <c r="D203" s="746">
        <v>62437</v>
      </c>
      <c r="E203" s="746">
        <v>968</v>
      </c>
      <c r="F203" s="746">
        <v>4023</v>
      </c>
      <c r="G203" s="746"/>
      <c r="H203" s="746">
        <v>7701</v>
      </c>
      <c r="I203" s="746">
        <v>0</v>
      </c>
      <c r="J203" s="746" t="s">
        <v>22</v>
      </c>
    </row>
    <row r="204" spans="1:11" s="428" customFormat="1" ht="9" customHeight="1" x14ac:dyDescent="0.25">
      <c r="A204" s="428" t="s">
        <v>29</v>
      </c>
      <c r="B204" s="746">
        <f t="shared" si="5"/>
        <v>1018976</v>
      </c>
      <c r="C204" s="746">
        <v>671551</v>
      </c>
      <c r="D204" s="746">
        <v>238282</v>
      </c>
      <c r="E204" s="746">
        <v>11093</v>
      </c>
      <c r="F204" s="746">
        <v>14758</v>
      </c>
      <c r="G204" s="746"/>
      <c r="H204" s="746">
        <v>9397</v>
      </c>
      <c r="I204" s="746">
        <v>73895</v>
      </c>
      <c r="J204" s="746" t="s">
        <v>22</v>
      </c>
    </row>
    <row r="205" spans="1:11" s="428" customFormat="1" ht="9" customHeight="1" x14ac:dyDescent="0.25">
      <c r="A205" s="475" t="s">
        <v>30</v>
      </c>
      <c r="B205" s="748">
        <f t="shared" si="5"/>
        <v>2626981</v>
      </c>
      <c r="C205" s="748">
        <v>2350840</v>
      </c>
      <c r="D205" s="748">
        <v>247315</v>
      </c>
      <c r="E205" s="748">
        <v>2348</v>
      </c>
      <c r="F205" s="748">
        <v>26478</v>
      </c>
      <c r="G205" s="748"/>
      <c r="H205" s="748">
        <v>0</v>
      </c>
      <c r="I205" s="748">
        <v>0</v>
      </c>
      <c r="J205" s="748" t="s">
        <v>22</v>
      </c>
    </row>
    <row r="206" spans="1:11" s="428" customFormat="1" ht="9" customHeight="1" x14ac:dyDescent="0.25">
      <c r="A206" s="405" t="s">
        <v>63</v>
      </c>
      <c r="B206" s="746">
        <f t="shared" si="5"/>
        <v>10548592</v>
      </c>
      <c r="C206" s="746">
        <v>7160764</v>
      </c>
      <c r="D206" s="746">
        <v>3089126</v>
      </c>
      <c r="E206" s="746">
        <v>77259</v>
      </c>
      <c r="F206" s="746">
        <v>147920</v>
      </c>
      <c r="G206" s="746"/>
      <c r="H206" s="746">
        <v>32628</v>
      </c>
      <c r="I206" s="746">
        <v>40895</v>
      </c>
      <c r="J206" s="746" t="s">
        <v>22</v>
      </c>
    </row>
    <row r="207" spans="1:11" s="428" customFormat="1" ht="9" customHeight="1" x14ac:dyDescent="0.25">
      <c r="A207" s="428" t="s">
        <v>31</v>
      </c>
      <c r="B207" s="746">
        <f t="shared" si="5"/>
        <v>1036457</v>
      </c>
      <c r="C207" s="746">
        <v>762458</v>
      </c>
      <c r="D207" s="746">
        <v>267010</v>
      </c>
      <c r="E207" s="746">
        <v>1104</v>
      </c>
      <c r="F207" s="746">
        <v>5885</v>
      </c>
      <c r="G207" s="746"/>
      <c r="H207" s="746">
        <v>0</v>
      </c>
      <c r="I207" s="746">
        <v>0</v>
      </c>
      <c r="J207" s="746" t="s">
        <v>22</v>
      </c>
    </row>
    <row r="208" spans="1:11" s="428" customFormat="1" ht="9" customHeight="1" x14ac:dyDescent="0.25">
      <c r="A208" s="428" t="s">
        <v>32</v>
      </c>
      <c r="B208" s="746">
        <f t="shared" si="5"/>
        <v>2488877</v>
      </c>
      <c r="C208" s="746">
        <v>2091145</v>
      </c>
      <c r="D208" s="746">
        <v>339033</v>
      </c>
      <c r="E208" s="746">
        <v>34197</v>
      </c>
      <c r="F208" s="746">
        <v>24502</v>
      </c>
      <c r="G208" s="746"/>
      <c r="H208" s="746">
        <v>0</v>
      </c>
      <c r="I208" s="746">
        <v>0</v>
      </c>
      <c r="J208" s="746" t="s">
        <v>22</v>
      </c>
    </row>
    <row r="209" spans="1:10" s="428" customFormat="1" ht="9" customHeight="1" x14ac:dyDescent="0.25">
      <c r="A209" s="475" t="s">
        <v>33</v>
      </c>
      <c r="B209" s="748">
        <f t="shared" si="5"/>
        <v>1127505</v>
      </c>
      <c r="C209" s="748">
        <v>678536</v>
      </c>
      <c r="D209" s="748">
        <v>413566</v>
      </c>
      <c r="E209" s="748">
        <v>865</v>
      </c>
      <c r="F209" s="748">
        <v>24091</v>
      </c>
      <c r="G209" s="748"/>
      <c r="H209" s="748">
        <v>10447</v>
      </c>
      <c r="I209" s="748">
        <v>0</v>
      </c>
      <c r="J209" s="748" t="s">
        <v>22</v>
      </c>
    </row>
    <row r="210" spans="1:10" s="428" customFormat="1" ht="9" customHeight="1" x14ac:dyDescent="0.25">
      <c r="A210" s="428" t="s">
        <v>34</v>
      </c>
      <c r="B210" s="746">
        <f t="shared" si="5"/>
        <v>889720</v>
      </c>
      <c r="C210" s="746">
        <v>668331</v>
      </c>
      <c r="D210" s="746">
        <v>198326</v>
      </c>
      <c r="E210" s="746">
        <v>18653</v>
      </c>
      <c r="F210" s="746">
        <v>4410</v>
      </c>
      <c r="G210" s="746"/>
      <c r="H210" s="746">
        <v>0</v>
      </c>
      <c r="I210" s="746">
        <v>0</v>
      </c>
      <c r="J210" s="746" t="s">
        <v>22</v>
      </c>
    </row>
    <row r="211" spans="1:10" s="428" customFormat="1" ht="9" customHeight="1" x14ac:dyDescent="0.25">
      <c r="A211" s="428" t="s">
        <v>35</v>
      </c>
      <c r="B211" s="746">
        <f t="shared" si="5"/>
        <v>4091521</v>
      </c>
      <c r="C211" s="746">
        <v>3757630</v>
      </c>
      <c r="D211" s="746">
        <v>311639</v>
      </c>
      <c r="E211" s="746">
        <v>3220</v>
      </c>
      <c r="F211" s="746">
        <v>16977</v>
      </c>
      <c r="G211" s="746"/>
      <c r="H211" s="746">
        <v>2055</v>
      </c>
      <c r="I211" s="746">
        <v>0</v>
      </c>
      <c r="J211" s="746" t="s">
        <v>22</v>
      </c>
    </row>
    <row r="212" spans="1:10" s="428" customFormat="1" ht="9" customHeight="1" x14ac:dyDescent="0.25">
      <c r="A212" s="428" t="s">
        <v>36</v>
      </c>
      <c r="B212" s="746">
        <f t="shared" si="5"/>
        <v>5546326</v>
      </c>
      <c r="C212" s="746">
        <v>4048202</v>
      </c>
      <c r="D212" s="746">
        <v>748363</v>
      </c>
      <c r="E212" s="746">
        <v>18862</v>
      </c>
      <c r="F212" s="746">
        <v>63178</v>
      </c>
      <c r="G212" s="746"/>
      <c r="H212" s="746">
        <v>0</v>
      </c>
      <c r="I212" s="746">
        <v>667721</v>
      </c>
      <c r="J212" s="746" t="s">
        <v>22</v>
      </c>
    </row>
    <row r="213" spans="1:10" s="428" customFormat="1" ht="9" customHeight="1" x14ac:dyDescent="0.25">
      <c r="A213" s="475" t="s">
        <v>37</v>
      </c>
      <c r="B213" s="748">
        <f t="shared" si="5"/>
        <v>1489699</v>
      </c>
      <c r="C213" s="748">
        <v>1137327</v>
      </c>
      <c r="D213" s="748">
        <v>339412</v>
      </c>
      <c r="E213" s="748">
        <v>2033</v>
      </c>
      <c r="F213" s="748">
        <v>7992</v>
      </c>
      <c r="G213" s="748"/>
      <c r="H213" s="748">
        <v>2935</v>
      </c>
      <c r="I213" s="748">
        <v>0</v>
      </c>
      <c r="J213" s="748" t="s">
        <v>22</v>
      </c>
    </row>
    <row r="214" spans="1:10" s="428" customFormat="1" ht="9" customHeight="1" x14ac:dyDescent="0.25">
      <c r="A214" s="428" t="s">
        <v>38</v>
      </c>
      <c r="B214" s="746">
        <f t="shared" si="5"/>
        <v>759603</v>
      </c>
      <c r="C214" s="746">
        <v>592711</v>
      </c>
      <c r="D214" s="746">
        <v>164199</v>
      </c>
      <c r="E214" s="746">
        <v>1036</v>
      </c>
      <c r="F214" s="746">
        <v>1657</v>
      </c>
      <c r="G214" s="746"/>
      <c r="H214" s="746">
        <v>0</v>
      </c>
      <c r="I214" s="746">
        <v>0</v>
      </c>
      <c r="J214" s="746" t="s">
        <v>22</v>
      </c>
    </row>
    <row r="215" spans="1:10" s="428" customFormat="1" ht="9" customHeight="1" x14ac:dyDescent="0.25">
      <c r="A215" s="428" t="s">
        <v>39</v>
      </c>
      <c r="B215" s="746">
        <f t="shared" si="5"/>
        <v>527306</v>
      </c>
      <c r="C215" s="746">
        <v>389138</v>
      </c>
      <c r="D215" s="746">
        <v>130936</v>
      </c>
      <c r="E215" s="746">
        <v>333</v>
      </c>
      <c r="F215" s="746">
        <v>4579</v>
      </c>
      <c r="G215" s="746"/>
      <c r="H215" s="746">
        <v>2320</v>
      </c>
      <c r="I215" s="746">
        <v>0</v>
      </c>
      <c r="J215" s="746" t="s">
        <v>22</v>
      </c>
    </row>
    <row r="216" spans="1:10" s="428" customFormat="1" ht="9" customHeight="1" x14ac:dyDescent="0.25">
      <c r="A216" s="428" t="s">
        <v>40</v>
      </c>
      <c r="B216" s="746">
        <f t="shared" si="5"/>
        <v>3309113</v>
      </c>
      <c r="C216" s="746">
        <v>3027957</v>
      </c>
      <c r="D216" s="746">
        <v>189811</v>
      </c>
      <c r="E216" s="746">
        <v>20432</v>
      </c>
      <c r="F216" s="746">
        <v>4813</v>
      </c>
      <c r="G216" s="746"/>
      <c r="H216" s="746">
        <v>0</v>
      </c>
      <c r="I216" s="746">
        <v>66100</v>
      </c>
      <c r="J216" s="746" t="s">
        <v>22</v>
      </c>
    </row>
    <row r="217" spans="1:10" s="428" customFormat="1" ht="9" customHeight="1" x14ac:dyDescent="0.25">
      <c r="A217" s="475" t="s">
        <v>41</v>
      </c>
      <c r="B217" s="748">
        <f t="shared" si="5"/>
        <v>979204</v>
      </c>
      <c r="C217" s="748">
        <v>624722</v>
      </c>
      <c r="D217" s="748">
        <v>300066</v>
      </c>
      <c r="E217" s="748">
        <v>25029</v>
      </c>
      <c r="F217" s="748">
        <v>18443</v>
      </c>
      <c r="G217" s="748"/>
      <c r="H217" s="748">
        <v>10944</v>
      </c>
      <c r="I217" s="748">
        <v>0</v>
      </c>
      <c r="J217" s="748" t="s">
        <v>22</v>
      </c>
    </row>
    <row r="218" spans="1:10" s="428" customFormat="1" ht="9" customHeight="1" x14ac:dyDescent="0.25">
      <c r="A218" s="428" t="s">
        <v>42</v>
      </c>
      <c r="B218" s="746">
        <f t="shared" si="5"/>
        <v>2211235</v>
      </c>
      <c r="C218" s="746">
        <v>1797147</v>
      </c>
      <c r="D218" s="746">
        <v>282765</v>
      </c>
      <c r="E218" s="746">
        <v>11888</v>
      </c>
      <c r="F218" s="746">
        <v>10792</v>
      </c>
      <c r="G218" s="746"/>
      <c r="H218" s="746">
        <v>0</v>
      </c>
      <c r="I218" s="746">
        <v>108643</v>
      </c>
      <c r="J218" s="746" t="s">
        <v>22</v>
      </c>
    </row>
    <row r="219" spans="1:10" s="428" customFormat="1" ht="9" customHeight="1" x14ac:dyDescent="0.25">
      <c r="A219" s="428" t="s">
        <v>43</v>
      </c>
      <c r="B219" s="746">
        <f t="shared" si="5"/>
        <v>1048229</v>
      </c>
      <c r="C219" s="746">
        <v>937975</v>
      </c>
      <c r="D219" s="746">
        <v>102049</v>
      </c>
      <c r="E219" s="746">
        <v>2210</v>
      </c>
      <c r="F219" s="746">
        <v>5995</v>
      </c>
      <c r="G219" s="746"/>
      <c r="H219" s="746">
        <v>0</v>
      </c>
      <c r="I219" s="746">
        <v>0</v>
      </c>
      <c r="J219" s="746" t="s">
        <v>22</v>
      </c>
    </row>
    <row r="220" spans="1:10" s="428" customFormat="1" ht="9" customHeight="1" x14ac:dyDescent="0.25">
      <c r="A220" s="428" t="s">
        <v>44</v>
      </c>
      <c r="B220" s="746">
        <f t="shared" si="5"/>
        <v>621354</v>
      </c>
      <c r="C220" s="746">
        <v>520980</v>
      </c>
      <c r="D220" s="746">
        <v>83661</v>
      </c>
      <c r="E220" s="746">
        <v>0</v>
      </c>
      <c r="F220" s="746">
        <v>5760</v>
      </c>
      <c r="G220" s="746"/>
      <c r="H220" s="746">
        <v>10953</v>
      </c>
      <c r="I220" s="746">
        <v>0</v>
      </c>
      <c r="J220" s="746" t="s">
        <v>22</v>
      </c>
    </row>
    <row r="221" spans="1:10" s="428" customFormat="1" ht="9" customHeight="1" x14ac:dyDescent="0.25">
      <c r="A221" s="475" t="s">
        <v>45</v>
      </c>
      <c r="B221" s="748">
        <f t="shared" si="5"/>
        <v>1211797</v>
      </c>
      <c r="C221" s="748">
        <v>976253</v>
      </c>
      <c r="D221" s="748">
        <v>225200</v>
      </c>
      <c r="E221" s="748">
        <v>5176</v>
      </c>
      <c r="F221" s="748">
        <v>5168</v>
      </c>
      <c r="G221" s="748"/>
      <c r="H221" s="748">
        <v>0</v>
      </c>
      <c r="I221" s="748">
        <v>0</v>
      </c>
      <c r="J221" s="748" t="s">
        <v>22</v>
      </c>
    </row>
    <row r="222" spans="1:10" s="428" customFormat="1" ht="9" customHeight="1" x14ac:dyDescent="0.25">
      <c r="A222" s="428" t="s">
        <v>46</v>
      </c>
      <c r="B222" s="746">
        <f t="shared" si="5"/>
        <v>1588368</v>
      </c>
      <c r="C222" s="746">
        <v>1279037</v>
      </c>
      <c r="D222" s="746">
        <v>290074</v>
      </c>
      <c r="E222" s="746">
        <v>2791</v>
      </c>
      <c r="F222" s="746">
        <v>11474</v>
      </c>
      <c r="G222" s="746"/>
      <c r="H222" s="746">
        <v>4992</v>
      </c>
      <c r="I222" s="746">
        <v>0</v>
      </c>
      <c r="J222" s="746" t="s">
        <v>22</v>
      </c>
    </row>
    <row r="223" spans="1:10" s="428" customFormat="1" ht="9" customHeight="1" x14ac:dyDescent="0.25">
      <c r="A223" s="428" t="s">
        <v>47</v>
      </c>
      <c r="B223" s="746">
        <f t="shared" si="5"/>
        <v>1621227</v>
      </c>
      <c r="C223" s="746">
        <v>1324596</v>
      </c>
      <c r="D223" s="746">
        <v>198365</v>
      </c>
      <c r="E223" s="746">
        <v>3018</v>
      </c>
      <c r="F223" s="746">
        <v>7110</v>
      </c>
      <c r="G223" s="746"/>
      <c r="H223" s="746">
        <v>5280</v>
      </c>
      <c r="I223" s="746">
        <v>82858</v>
      </c>
      <c r="J223" s="746" t="s">
        <v>22</v>
      </c>
    </row>
    <row r="224" spans="1:10" s="428" customFormat="1" ht="9" customHeight="1" x14ac:dyDescent="0.25">
      <c r="A224" s="428" t="s">
        <v>48</v>
      </c>
      <c r="B224" s="746">
        <f t="shared" si="5"/>
        <v>930220</v>
      </c>
      <c r="C224" s="746">
        <v>533172</v>
      </c>
      <c r="D224" s="746">
        <v>140733</v>
      </c>
      <c r="E224" s="746">
        <v>91281</v>
      </c>
      <c r="F224" s="746">
        <v>9522</v>
      </c>
      <c r="G224" s="746"/>
      <c r="H224" s="746">
        <v>1258</v>
      </c>
      <c r="I224" s="746">
        <v>154254</v>
      </c>
      <c r="J224" s="746" t="s">
        <v>22</v>
      </c>
    </row>
    <row r="225" spans="1:11" s="428" customFormat="1" ht="9" customHeight="1" x14ac:dyDescent="0.25">
      <c r="A225" s="475" t="s">
        <v>49</v>
      </c>
      <c r="B225" s="748">
        <f t="shared" si="5"/>
        <v>2259492</v>
      </c>
      <c r="C225" s="748">
        <v>1835549</v>
      </c>
      <c r="D225" s="748">
        <v>312876</v>
      </c>
      <c r="E225" s="748">
        <v>86637</v>
      </c>
      <c r="F225" s="748">
        <v>6617</v>
      </c>
      <c r="G225" s="748"/>
      <c r="H225" s="748">
        <v>17813</v>
      </c>
      <c r="I225" s="748">
        <v>0</v>
      </c>
      <c r="J225" s="748" t="s">
        <v>22</v>
      </c>
    </row>
    <row r="226" spans="1:11" s="428" customFormat="1" ht="9" customHeight="1" x14ac:dyDescent="0.25">
      <c r="A226" s="428" t="s">
        <v>50</v>
      </c>
      <c r="B226" s="746">
        <f t="shared" si="5"/>
        <v>448601</v>
      </c>
      <c r="C226" s="746">
        <v>351749</v>
      </c>
      <c r="D226" s="746">
        <v>93817</v>
      </c>
      <c r="E226" s="746">
        <v>353</v>
      </c>
      <c r="F226" s="746">
        <v>2682</v>
      </c>
      <c r="G226" s="746"/>
      <c r="H226" s="746">
        <v>0</v>
      </c>
      <c r="I226" s="746">
        <v>0</v>
      </c>
      <c r="J226" s="746" t="s">
        <v>22</v>
      </c>
    </row>
    <row r="227" spans="1:11" s="428" customFormat="1" ht="9" customHeight="1" x14ac:dyDescent="0.25">
      <c r="A227" s="428" t="s">
        <v>51</v>
      </c>
      <c r="B227" s="746">
        <f t="shared" si="5"/>
        <v>2988750</v>
      </c>
      <c r="C227" s="746">
        <v>2324438</v>
      </c>
      <c r="D227" s="746">
        <v>403936</v>
      </c>
      <c r="E227" s="746">
        <v>199384</v>
      </c>
      <c r="F227" s="746">
        <v>17573</v>
      </c>
      <c r="G227" s="746"/>
      <c r="H227" s="746">
        <v>43419</v>
      </c>
      <c r="I227" s="746">
        <v>0</v>
      </c>
      <c r="J227" s="746" t="s">
        <v>22</v>
      </c>
    </row>
    <row r="228" spans="1:11" s="428" customFormat="1" ht="9" customHeight="1" x14ac:dyDescent="0.25">
      <c r="A228" s="428" t="s">
        <v>52</v>
      </c>
      <c r="B228" s="746">
        <f t="shared" si="5"/>
        <v>1016318</v>
      </c>
      <c r="C228" s="746">
        <v>870952</v>
      </c>
      <c r="D228" s="746">
        <v>129583</v>
      </c>
      <c r="E228" s="746">
        <v>3235</v>
      </c>
      <c r="F228" s="746">
        <v>8022</v>
      </c>
      <c r="G228" s="746"/>
      <c r="H228" s="746">
        <v>4526</v>
      </c>
      <c r="I228" s="746">
        <v>0</v>
      </c>
      <c r="J228" s="746" t="s">
        <v>22</v>
      </c>
    </row>
    <row r="229" spans="1:11" s="428" customFormat="1" ht="9" customHeight="1" x14ac:dyDescent="0.25">
      <c r="A229" s="475" t="s">
        <v>53</v>
      </c>
      <c r="B229" s="748">
        <f t="shared" si="5"/>
        <v>631320</v>
      </c>
      <c r="C229" s="748">
        <v>505398</v>
      </c>
      <c r="D229" s="748">
        <v>122762</v>
      </c>
      <c r="E229" s="748">
        <v>340</v>
      </c>
      <c r="F229" s="748">
        <v>2820</v>
      </c>
      <c r="G229" s="748"/>
      <c r="H229" s="748">
        <v>0</v>
      </c>
      <c r="I229" s="748">
        <v>0</v>
      </c>
      <c r="J229" s="748" t="s">
        <v>22</v>
      </c>
    </row>
    <row r="230" spans="1:11" s="428" customFormat="1" ht="9" customHeight="1" x14ac:dyDescent="0.25">
      <c r="A230" s="431" t="s">
        <v>434</v>
      </c>
      <c r="B230" s="746">
        <f t="shared" si="5"/>
        <v>6167</v>
      </c>
      <c r="C230" s="749" t="s">
        <v>573</v>
      </c>
      <c r="D230" s="746">
        <v>6167</v>
      </c>
      <c r="E230" s="749" t="s">
        <v>573</v>
      </c>
      <c r="F230" s="749" t="s">
        <v>573</v>
      </c>
      <c r="G230" s="749"/>
      <c r="H230" s="749" t="s">
        <v>573</v>
      </c>
      <c r="I230" s="749" t="s">
        <v>573</v>
      </c>
      <c r="J230" s="749" t="s">
        <v>573</v>
      </c>
    </row>
    <row r="231" spans="1:11" s="428" customFormat="1" ht="9" customHeight="1" x14ac:dyDescent="0.25">
      <c r="A231" s="431"/>
      <c r="B231" s="746"/>
      <c r="C231" s="431"/>
      <c r="D231" s="746"/>
      <c r="E231" s="431"/>
      <c r="F231" s="431"/>
      <c r="G231" s="431"/>
      <c r="H231" s="431"/>
      <c r="I231" s="431"/>
      <c r="J231" s="431"/>
    </row>
    <row r="232" spans="1:11" s="428" customFormat="1" ht="9" customHeight="1" x14ac:dyDescent="0.25">
      <c r="A232" s="470">
        <v>2001</v>
      </c>
      <c r="B232" s="471"/>
      <c r="C232" s="471"/>
      <c r="D232" s="471"/>
      <c r="E232" s="471"/>
      <c r="F232" s="471"/>
      <c r="G232" s="471"/>
      <c r="H232" s="471"/>
      <c r="I232" s="473"/>
      <c r="J232" s="473"/>
    </row>
    <row r="233" spans="1:11" s="428" customFormat="1" ht="9" customHeight="1" x14ac:dyDescent="0.25">
      <c r="A233" s="473" t="s">
        <v>13</v>
      </c>
      <c r="B233" s="745">
        <f>SUM(B235:B267)</f>
        <v>58929440</v>
      </c>
      <c r="C233" s="745">
        <f>SUM(C235:C267)</f>
        <v>45872403</v>
      </c>
      <c r="D233" s="745">
        <f>SUM(D235:D267)</f>
        <v>10236523</v>
      </c>
      <c r="E233" s="745">
        <f>SUM(E235:E267)</f>
        <v>664938</v>
      </c>
      <c r="F233" s="745">
        <f>SUM(F235:F267)</f>
        <v>510784</v>
      </c>
      <c r="G233" s="745"/>
      <c r="H233" s="745">
        <f>SUM(H235:H267)</f>
        <v>213275</v>
      </c>
      <c r="I233" s="745">
        <f>SUM(I235:I267)</f>
        <v>1431517</v>
      </c>
      <c r="J233" s="745" t="s">
        <v>22</v>
      </c>
      <c r="K233" s="745">
        <f>SUM(K235:K266)</f>
        <v>0</v>
      </c>
    </row>
    <row r="234" spans="1:11" s="428" customFormat="1" ht="3.95" customHeight="1" x14ac:dyDescent="0.25">
      <c r="A234" s="473"/>
      <c r="B234" s="745"/>
      <c r="C234" s="745"/>
      <c r="D234" s="745"/>
      <c r="E234" s="745"/>
      <c r="F234" s="745"/>
      <c r="G234" s="745"/>
      <c r="H234" s="745"/>
      <c r="I234" s="745"/>
      <c r="J234" s="745"/>
      <c r="K234" s="745"/>
    </row>
    <row r="235" spans="1:11" s="428" customFormat="1" ht="9" customHeight="1" x14ac:dyDescent="0.25">
      <c r="A235" s="428" t="s">
        <v>23</v>
      </c>
      <c r="B235" s="746">
        <f t="shared" ref="B235:B267" si="6">SUM(C235:J235)</f>
        <v>779675</v>
      </c>
      <c r="C235" s="746">
        <v>658936</v>
      </c>
      <c r="D235" s="746">
        <v>104624</v>
      </c>
      <c r="E235" s="746">
        <v>885</v>
      </c>
      <c r="F235" s="746">
        <v>1144</v>
      </c>
      <c r="G235" s="746"/>
      <c r="H235" s="746">
        <v>0</v>
      </c>
      <c r="I235" s="746">
        <v>14086</v>
      </c>
      <c r="J235" s="746" t="s">
        <v>22</v>
      </c>
    </row>
    <row r="236" spans="1:11" s="428" customFormat="1" ht="9" customHeight="1" x14ac:dyDescent="0.25">
      <c r="A236" s="428" t="s">
        <v>24</v>
      </c>
      <c r="B236" s="746">
        <f t="shared" si="6"/>
        <v>1951832</v>
      </c>
      <c r="C236" s="746">
        <v>1684099</v>
      </c>
      <c r="D236" s="746">
        <v>131358</v>
      </c>
      <c r="E236" s="746">
        <v>2157</v>
      </c>
      <c r="F236" s="746">
        <v>12440</v>
      </c>
      <c r="G236" s="746"/>
      <c r="H236" s="746">
        <v>3086</v>
      </c>
      <c r="I236" s="746">
        <v>118692</v>
      </c>
      <c r="J236" s="746" t="s">
        <v>22</v>
      </c>
    </row>
    <row r="237" spans="1:11" s="428" customFormat="1" ht="9" customHeight="1" x14ac:dyDescent="0.25">
      <c r="A237" s="428" t="s">
        <v>25</v>
      </c>
      <c r="B237" s="746">
        <f t="shared" si="6"/>
        <v>365957</v>
      </c>
      <c r="C237" s="746">
        <v>267457</v>
      </c>
      <c r="D237" s="746">
        <v>86546</v>
      </c>
      <c r="E237" s="746">
        <v>426</v>
      </c>
      <c r="F237" s="746">
        <v>7188</v>
      </c>
      <c r="G237" s="746"/>
      <c r="H237" s="746">
        <v>4340</v>
      </c>
      <c r="I237" s="746">
        <v>0</v>
      </c>
      <c r="J237" s="746" t="s">
        <v>22</v>
      </c>
    </row>
    <row r="238" spans="1:11" s="428" customFormat="1" ht="9" customHeight="1" x14ac:dyDescent="0.25">
      <c r="A238" s="475" t="s">
        <v>26</v>
      </c>
      <c r="B238" s="748">
        <f t="shared" si="6"/>
        <v>481294</v>
      </c>
      <c r="C238" s="748">
        <v>361577</v>
      </c>
      <c r="D238" s="748">
        <v>79660</v>
      </c>
      <c r="E238" s="748">
        <v>20276</v>
      </c>
      <c r="F238" s="748">
        <v>10146</v>
      </c>
      <c r="G238" s="748"/>
      <c r="H238" s="748">
        <v>9635</v>
      </c>
      <c r="I238" s="748">
        <v>0</v>
      </c>
      <c r="J238" s="748" t="s">
        <v>22</v>
      </c>
    </row>
    <row r="239" spans="1:11" s="428" customFormat="1" ht="9" customHeight="1" x14ac:dyDescent="0.25">
      <c r="A239" s="428" t="s">
        <v>27</v>
      </c>
      <c r="B239" s="746">
        <f t="shared" si="6"/>
        <v>2088586</v>
      </c>
      <c r="C239" s="746">
        <v>1836361</v>
      </c>
      <c r="D239" s="746">
        <v>244356</v>
      </c>
      <c r="E239" s="746">
        <v>2848</v>
      </c>
      <c r="F239" s="746">
        <v>5021</v>
      </c>
      <c r="G239" s="746"/>
      <c r="H239" s="746">
        <v>0</v>
      </c>
      <c r="I239" s="746">
        <v>0</v>
      </c>
      <c r="J239" s="746" t="s">
        <v>22</v>
      </c>
    </row>
    <row r="240" spans="1:11" s="428" customFormat="1" ht="9" customHeight="1" x14ac:dyDescent="0.25">
      <c r="A240" s="428" t="s">
        <v>28</v>
      </c>
      <c r="B240" s="746">
        <f t="shared" si="6"/>
        <v>382866</v>
      </c>
      <c r="C240" s="746">
        <v>300056</v>
      </c>
      <c r="D240" s="746">
        <v>63716</v>
      </c>
      <c r="E240" s="746">
        <v>1200</v>
      </c>
      <c r="F240" s="746">
        <v>1894</v>
      </c>
      <c r="G240" s="746"/>
      <c r="H240" s="746">
        <v>16000</v>
      </c>
      <c r="I240" s="746">
        <v>0</v>
      </c>
      <c r="J240" s="746" t="s">
        <v>22</v>
      </c>
    </row>
    <row r="241" spans="1:10" s="428" customFormat="1" ht="9" customHeight="1" x14ac:dyDescent="0.25">
      <c r="A241" s="428" t="s">
        <v>29</v>
      </c>
      <c r="B241" s="746">
        <f t="shared" si="6"/>
        <v>1042330</v>
      </c>
      <c r="C241" s="746">
        <v>695544</v>
      </c>
      <c r="D241" s="746">
        <v>242206</v>
      </c>
      <c r="E241" s="746">
        <v>8160</v>
      </c>
      <c r="F241" s="746">
        <v>27065</v>
      </c>
      <c r="G241" s="746"/>
      <c r="H241" s="746">
        <v>8581</v>
      </c>
      <c r="I241" s="746">
        <v>60774</v>
      </c>
      <c r="J241" s="746" t="s">
        <v>22</v>
      </c>
    </row>
    <row r="242" spans="1:10" s="428" customFormat="1" ht="9" customHeight="1" x14ac:dyDescent="0.25">
      <c r="A242" s="475" t="s">
        <v>30</v>
      </c>
      <c r="B242" s="748">
        <f t="shared" si="6"/>
        <v>2426256</v>
      </c>
      <c r="C242" s="748">
        <v>2152803</v>
      </c>
      <c r="D242" s="748">
        <v>251895</v>
      </c>
      <c r="E242" s="748">
        <v>3638</v>
      </c>
      <c r="F242" s="748">
        <v>17920</v>
      </c>
      <c r="G242" s="748"/>
      <c r="H242" s="748">
        <v>0</v>
      </c>
      <c r="I242" s="748">
        <v>0</v>
      </c>
      <c r="J242" s="748" t="s">
        <v>22</v>
      </c>
    </row>
    <row r="243" spans="1:10" s="428" customFormat="1" ht="9" customHeight="1" x14ac:dyDescent="0.25">
      <c r="A243" s="405" t="s">
        <v>63</v>
      </c>
      <c r="B243" s="746">
        <f t="shared" si="6"/>
        <v>10534793</v>
      </c>
      <c r="C243" s="746">
        <v>7084179</v>
      </c>
      <c r="D243" s="746">
        <v>3138929</v>
      </c>
      <c r="E243" s="746">
        <v>69328</v>
      </c>
      <c r="F243" s="746">
        <v>152428</v>
      </c>
      <c r="G243" s="746"/>
      <c r="H243" s="746">
        <v>48222</v>
      </c>
      <c r="I243" s="746">
        <v>41707</v>
      </c>
      <c r="J243" s="746" t="s">
        <v>22</v>
      </c>
    </row>
    <row r="244" spans="1:10" s="428" customFormat="1" ht="9" customHeight="1" x14ac:dyDescent="0.25">
      <c r="A244" s="428" t="s">
        <v>31</v>
      </c>
      <c r="B244" s="746">
        <f t="shared" si="6"/>
        <v>973647</v>
      </c>
      <c r="C244" s="746">
        <v>695886</v>
      </c>
      <c r="D244" s="746">
        <v>271422</v>
      </c>
      <c r="E244" s="746">
        <v>417</v>
      </c>
      <c r="F244" s="746">
        <v>5922</v>
      </c>
      <c r="G244" s="746"/>
      <c r="H244" s="746">
        <v>0</v>
      </c>
      <c r="I244" s="746">
        <v>0</v>
      </c>
      <c r="J244" s="746" t="s">
        <v>22</v>
      </c>
    </row>
    <row r="245" spans="1:10" s="428" customFormat="1" ht="9" customHeight="1" x14ac:dyDescent="0.25">
      <c r="A245" s="428" t="s">
        <v>32</v>
      </c>
      <c r="B245" s="746">
        <f t="shared" si="6"/>
        <v>2496915</v>
      </c>
      <c r="C245" s="746">
        <v>2099823</v>
      </c>
      <c r="D245" s="746">
        <v>344314</v>
      </c>
      <c r="E245" s="746">
        <v>33821</v>
      </c>
      <c r="F245" s="746">
        <v>18957</v>
      </c>
      <c r="G245" s="746"/>
      <c r="H245" s="746">
        <v>0</v>
      </c>
      <c r="I245" s="746">
        <v>0</v>
      </c>
      <c r="J245" s="746" t="s">
        <v>22</v>
      </c>
    </row>
    <row r="246" spans="1:10" s="428" customFormat="1" ht="9" customHeight="1" x14ac:dyDescent="0.25">
      <c r="A246" s="475" t="s">
        <v>33</v>
      </c>
      <c r="B246" s="748">
        <f t="shared" si="6"/>
        <v>1124060</v>
      </c>
      <c r="C246" s="748">
        <v>666135</v>
      </c>
      <c r="D246" s="748">
        <v>419878</v>
      </c>
      <c r="E246" s="748">
        <v>986</v>
      </c>
      <c r="F246" s="748">
        <v>24208</v>
      </c>
      <c r="G246" s="748"/>
      <c r="H246" s="748">
        <v>12853</v>
      </c>
      <c r="I246" s="748">
        <v>0</v>
      </c>
      <c r="J246" s="748" t="s">
        <v>22</v>
      </c>
    </row>
    <row r="247" spans="1:10" s="428" customFormat="1" ht="9" customHeight="1" x14ac:dyDescent="0.25">
      <c r="A247" s="428" t="s">
        <v>34</v>
      </c>
      <c r="B247" s="746">
        <f t="shared" si="6"/>
        <v>893790</v>
      </c>
      <c r="C247" s="746">
        <v>669146</v>
      </c>
      <c r="D247" s="746">
        <v>201611</v>
      </c>
      <c r="E247" s="746">
        <v>17737</v>
      </c>
      <c r="F247" s="746">
        <v>5296</v>
      </c>
      <c r="G247" s="746"/>
      <c r="H247" s="746">
        <v>0</v>
      </c>
      <c r="I247" s="746">
        <v>0</v>
      </c>
      <c r="J247" s="746" t="s">
        <v>22</v>
      </c>
    </row>
    <row r="248" spans="1:10" s="428" customFormat="1" ht="9" customHeight="1" x14ac:dyDescent="0.25">
      <c r="A248" s="428" t="s">
        <v>35</v>
      </c>
      <c r="B248" s="746">
        <f t="shared" si="6"/>
        <v>4027892</v>
      </c>
      <c r="C248" s="746">
        <v>3683947</v>
      </c>
      <c r="D248" s="746">
        <v>316771</v>
      </c>
      <c r="E248" s="746">
        <v>4560</v>
      </c>
      <c r="F248" s="746">
        <v>19964</v>
      </c>
      <c r="G248" s="746"/>
      <c r="H248" s="746">
        <v>2650</v>
      </c>
      <c r="I248" s="746">
        <v>0</v>
      </c>
      <c r="J248" s="746" t="s">
        <v>22</v>
      </c>
    </row>
    <row r="249" spans="1:10" s="428" customFormat="1" ht="9" customHeight="1" x14ac:dyDescent="0.25">
      <c r="A249" s="428" t="s">
        <v>36</v>
      </c>
      <c r="B249" s="746">
        <f t="shared" si="6"/>
        <v>5546476</v>
      </c>
      <c r="C249" s="746">
        <v>4042058</v>
      </c>
      <c r="D249" s="746">
        <v>761989</v>
      </c>
      <c r="E249" s="746">
        <v>18888</v>
      </c>
      <c r="F249" s="746">
        <v>37202</v>
      </c>
      <c r="G249" s="746"/>
      <c r="H249" s="746">
        <v>0</v>
      </c>
      <c r="I249" s="746">
        <v>686339</v>
      </c>
      <c r="J249" s="746" t="s">
        <v>22</v>
      </c>
    </row>
    <row r="250" spans="1:10" s="428" customFormat="1" ht="9" customHeight="1" x14ac:dyDescent="0.25">
      <c r="A250" s="475" t="s">
        <v>37</v>
      </c>
      <c r="B250" s="748">
        <f t="shared" si="6"/>
        <v>1540147</v>
      </c>
      <c r="C250" s="748">
        <v>1172625</v>
      </c>
      <c r="D250" s="748">
        <v>344691</v>
      </c>
      <c r="E250" s="748">
        <v>2331</v>
      </c>
      <c r="F250" s="748">
        <v>9546</v>
      </c>
      <c r="G250" s="748"/>
      <c r="H250" s="748">
        <v>10954</v>
      </c>
      <c r="I250" s="748">
        <v>0</v>
      </c>
      <c r="J250" s="748" t="s">
        <v>22</v>
      </c>
    </row>
    <row r="251" spans="1:10" s="428" customFormat="1" ht="9" customHeight="1" x14ac:dyDescent="0.25">
      <c r="A251" s="428" t="s">
        <v>38</v>
      </c>
      <c r="B251" s="746">
        <f t="shared" si="6"/>
        <v>771240</v>
      </c>
      <c r="C251" s="746">
        <v>596226</v>
      </c>
      <c r="D251" s="746">
        <v>167320</v>
      </c>
      <c r="E251" s="746">
        <v>1399</v>
      </c>
      <c r="F251" s="746">
        <v>6295</v>
      </c>
      <c r="G251" s="746"/>
      <c r="H251" s="746">
        <v>0</v>
      </c>
      <c r="I251" s="746">
        <v>0</v>
      </c>
      <c r="J251" s="746" t="s">
        <v>22</v>
      </c>
    </row>
    <row r="252" spans="1:10" s="428" customFormat="1" ht="9" customHeight="1" x14ac:dyDescent="0.25">
      <c r="A252" s="428" t="s">
        <v>39</v>
      </c>
      <c r="B252" s="746">
        <f t="shared" si="6"/>
        <v>525246</v>
      </c>
      <c r="C252" s="746">
        <v>387929</v>
      </c>
      <c r="D252" s="746">
        <v>133338</v>
      </c>
      <c r="E252" s="746">
        <v>343</v>
      </c>
      <c r="F252" s="746">
        <v>2599</v>
      </c>
      <c r="G252" s="746"/>
      <c r="H252" s="746">
        <v>1037</v>
      </c>
      <c r="I252" s="746">
        <v>0</v>
      </c>
      <c r="J252" s="746" t="s">
        <v>22</v>
      </c>
    </row>
    <row r="253" spans="1:10" s="428" customFormat="1" ht="9" customHeight="1" x14ac:dyDescent="0.25">
      <c r="A253" s="428" t="s">
        <v>40</v>
      </c>
      <c r="B253" s="746">
        <f t="shared" si="6"/>
        <v>3262842</v>
      </c>
      <c r="C253" s="746">
        <v>2976141</v>
      </c>
      <c r="D253" s="746">
        <v>193264</v>
      </c>
      <c r="E253" s="746">
        <v>21604</v>
      </c>
      <c r="F253" s="746">
        <v>5633</v>
      </c>
      <c r="G253" s="746"/>
      <c r="H253" s="746">
        <v>0</v>
      </c>
      <c r="I253" s="746">
        <v>66200</v>
      </c>
      <c r="J253" s="746" t="s">
        <v>22</v>
      </c>
    </row>
    <row r="254" spans="1:10" s="428" customFormat="1" ht="9" customHeight="1" x14ac:dyDescent="0.25">
      <c r="A254" s="475" t="s">
        <v>41</v>
      </c>
      <c r="B254" s="748">
        <f t="shared" si="6"/>
        <v>1003884</v>
      </c>
      <c r="C254" s="748">
        <v>648789</v>
      </c>
      <c r="D254" s="748">
        <v>305095</v>
      </c>
      <c r="E254" s="748">
        <v>24053</v>
      </c>
      <c r="F254" s="748">
        <v>11911</v>
      </c>
      <c r="G254" s="748"/>
      <c r="H254" s="748">
        <v>14036</v>
      </c>
      <c r="I254" s="748">
        <v>0</v>
      </c>
      <c r="J254" s="748" t="s">
        <v>22</v>
      </c>
    </row>
    <row r="255" spans="1:10" s="428" customFormat="1" ht="9" customHeight="1" x14ac:dyDescent="0.25">
      <c r="A255" s="428" t="s">
        <v>42</v>
      </c>
      <c r="B255" s="746">
        <f t="shared" si="6"/>
        <v>2142297</v>
      </c>
      <c r="C255" s="746">
        <v>1706645</v>
      </c>
      <c r="D255" s="746">
        <v>287375</v>
      </c>
      <c r="E255" s="746">
        <v>13636</v>
      </c>
      <c r="F255" s="746">
        <v>22300</v>
      </c>
      <c r="G255" s="746"/>
      <c r="H255" s="746">
        <v>0</v>
      </c>
      <c r="I255" s="746">
        <v>112341</v>
      </c>
      <c r="J255" s="746" t="s">
        <v>22</v>
      </c>
    </row>
    <row r="256" spans="1:10" s="428" customFormat="1" ht="9" customHeight="1" x14ac:dyDescent="0.25">
      <c r="A256" s="428" t="s">
        <v>43</v>
      </c>
      <c r="B256" s="746">
        <f t="shared" si="6"/>
        <v>1040534</v>
      </c>
      <c r="C256" s="746">
        <v>927614</v>
      </c>
      <c r="D256" s="746">
        <v>104003</v>
      </c>
      <c r="E256" s="746">
        <v>2592</v>
      </c>
      <c r="F256" s="746">
        <v>6325</v>
      </c>
      <c r="G256" s="746"/>
      <c r="H256" s="746">
        <v>0</v>
      </c>
      <c r="I256" s="746">
        <v>0</v>
      </c>
      <c r="J256" s="746" t="s">
        <v>22</v>
      </c>
    </row>
    <row r="257" spans="1:11" s="428" customFormat="1" ht="9" customHeight="1" x14ac:dyDescent="0.25">
      <c r="A257" s="428" t="s">
        <v>44</v>
      </c>
      <c r="B257" s="746">
        <f t="shared" si="6"/>
        <v>622043</v>
      </c>
      <c r="C257" s="746">
        <v>516335</v>
      </c>
      <c r="D257" s="746">
        <v>85300</v>
      </c>
      <c r="E257" s="746">
        <v>0</v>
      </c>
      <c r="F257" s="746">
        <v>8381</v>
      </c>
      <c r="G257" s="746"/>
      <c r="H257" s="746">
        <v>12027</v>
      </c>
      <c r="I257" s="746">
        <v>0</v>
      </c>
      <c r="J257" s="746" t="s">
        <v>22</v>
      </c>
    </row>
    <row r="258" spans="1:11" s="428" customFormat="1" ht="9" customHeight="1" x14ac:dyDescent="0.25">
      <c r="A258" s="475" t="s">
        <v>45</v>
      </c>
      <c r="B258" s="748">
        <f t="shared" si="6"/>
        <v>1247259</v>
      </c>
      <c r="C258" s="748">
        <v>1006788</v>
      </c>
      <c r="D258" s="748">
        <v>229365</v>
      </c>
      <c r="E258" s="748">
        <v>5589</v>
      </c>
      <c r="F258" s="748">
        <v>5517</v>
      </c>
      <c r="G258" s="748"/>
      <c r="H258" s="748">
        <v>0</v>
      </c>
      <c r="I258" s="748">
        <v>0</v>
      </c>
      <c r="J258" s="748" t="s">
        <v>22</v>
      </c>
    </row>
    <row r="259" spans="1:11" s="428" customFormat="1" ht="9" customHeight="1" x14ac:dyDescent="0.25">
      <c r="A259" s="428" t="s">
        <v>46</v>
      </c>
      <c r="B259" s="746">
        <f t="shared" si="6"/>
        <v>1673092</v>
      </c>
      <c r="C259" s="746">
        <v>1355141</v>
      </c>
      <c r="D259" s="746">
        <v>294580</v>
      </c>
      <c r="E259" s="746">
        <v>3466</v>
      </c>
      <c r="F259" s="746">
        <v>10117</v>
      </c>
      <c r="G259" s="746"/>
      <c r="H259" s="746">
        <v>9788</v>
      </c>
      <c r="I259" s="746">
        <v>0</v>
      </c>
      <c r="J259" s="746" t="s">
        <v>22</v>
      </c>
    </row>
    <row r="260" spans="1:11" s="428" customFormat="1" ht="9" customHeight="1" x14ac:dyDescent="0.25">
      <c r="A260" s="428" t="s">
        <v>47</v>
      </c>
      <c r="B260" s="746">
        <f t="shared" si="6"/>
        <v>1556793</v>
      </c>
      <c r="C260" s="746">
        <v>1248811</v>
      </c>
      <c r="D260" s="746">
        <v>201870</v>
      </c>
      <c r="E260" s="746">
        <v>4354</v>
      </c>
      <c r="F260" s="746">
        <v>9627</v>
      </c>
      <c r="G260" s="746"/>
      <c r="H260" s="746">
        <v>4744</v>
      </c>
      <c r="I260" s="746">
        <v>87387</v>
      </c>
      <c r="J260" s="746" t="s">
        <v>22</v>
      </c>
    </row>
    <row r="261" spans="1:11" s="428" customFormat="1" ht="9" customHeight="1" x14ac:dyDescent="0.25">
      <c r="A261" s="428" t="s">
        <v>48</v>
      </c>
      <c r="B261" s="746">
        <f t="shared" si="6"/>
        <v>1027678</v>
      </c>
      <c r="C261" s="746">
        <v>529148</v>
      </c>
      <c r="D261" s="746">
        <v>142926</v>
      </c>
      <c r="E261" s="746">
        <v>99886</v>
      </c>
      <c r="F261" s="746">
        <v>10015</v>
      </c>
      <c r="G261" s="746"/>
      <c r="H261" s="746">
        <v>1712</v>
      </c>
      <c r="I261" s="746">
        <v>243991</v>
      </c>
      <c r="J261" s="746" t="s">
        <v>22</v>
      </c>
    </row>
    <row r="262" spans="1:11" s="428" customFormat="1" ht="9" customHeight="1" x14ac:dyDescent="0.25">
      <c r="A262" s="475" t="s">
        <v>49</v>
      </c>
      <c r="B262" s="748">
        <f t="shared" si="6"/>
        <v>2197464</v>
      </c>
      <c r="C262" s="748">
        <v>1767166</v>
      </c>
      <c r="D262" s="748">
        <v>318652</v>
      </c>
      <c r="E262" s="748">
        <v>89576</v>
      </c>
      <c r="F262" s="748">
        <v>7703</v>
      </c>
      <c r="G262" s="748"/>
      <c r="H262" s="748">
        <v>14367</v>
      </c>
      <c r="I262" s="748">
        <v>0</v>
      </c>
      <c r="J262" s="748" t="s">
        <v>22</v>
      </c>
    </row>
    <row r="263" spans="1:11" s="428" customFormat="1" ht="9" customHeight="1" x14ac:dyDescent="0.25">
      <c r="A263" s="428" t="s">
        <v>50</v>
      </c>
      <c r="B263" s="746">
        <f t="shared" si="6"/>
        <v>447339</v>
      </c>
      <c r="C263" s="746">
        <v>345887</v>
      </c>
      <c r="D263" s="746">
        <v>95398</v>
      </c>
      <c r="E263" s="746">
        <v>408</v>
      </c>
      <c r="F263" s="746">
        <v>5646</v>
      </c>
      <c r="G263" s="746"/>
      <c r="H263" s="746">
        <v>0</v>
      </c>
      <c r="I263" s="746">
        <v>0</v>
      </c>
      <c r="J263" s="746" t="s">
        <v>22</v>
      </c>
    </row>
    <row r="264" spans="1:11" s="428" customFormat="1" ht="9" customHeight="1" x14ac:dyDescent="0.25">
      <c r="A264" s="428" t="s">
        <v>51</v>
      </c>
      <c r="B264" s="746">
        <f t="shared" si="6"/>
        <v>3074442</v>
      </c>
      <c r="C264" s="746">
        <v>2396085</v>
      </c>
      <c r="D264" s="746">
        <v>411054</v>
      </c>
      <c r="E264" s="746">
        <v>206150</v>
      </c>
      <c r="F264" s="746">
        <v>23975</v>
      </c>
      <c r="G264" s="746"/>
      <c r="H264" s="746">
        <v>37178</v>
      </c>
      <c r="I264" s="746">
        <v>0</v>
      </c>
      <c r="J264" s="746" t="s">
        <v>22</v>
      </c>
    </row>
    <row r="265" spans="1:11" s="428" customFormat="1" ht="9" customHeight="1" x14ac:dyDescent="0.25">
      <c r="A265" s="428" t="s">
        <v>52</v>
      </c>
      <c r="B265" s="746">
        <f t="shared" si="6"/>
        <v>1026410</v>
      </c>
      <c r="C265" s="746">
        <v>873911</v>
      </c>
      <c r="D265" s="746">
        <v>132033</v>
      </c>
      <c r="E265" s="746">
        <v>3679</v>
      </c>
      <c r="F265" s="746">
        <v>14722</v>
      </c>
      <c r="G265" s="746"/>
      <c r="H265" s="746">
        <v>2065</v>
      </c>
      <c r="I265" s="746">
        <v>0</v>
      </c>
      <c r="J265" s="746" t="s">
        <v>22</v>
      </c>
    </row>
    <row r="266" spans="1:11" s="428" customFormat="1" ht="9" customHeight="1" x14ac:dyDescent="0.25">
      <c r="A266" s="475" t="s">
        <v>53</v>
      </c>
      <c r="B266" s="748">
        <f t="shared" si="6"/>
        <v>648341</v>
      </c>
      <c r="C266" s="748">
        <v>519155</v>
      </c>
      <c r="D266" s="748">
        <v>124964</v>
      </c>
      <c r="E266" s="748">
        <v>545</v>
      </c>
      <c r="F266" s="748">
        <v>3677</v>
      </c>
      <c r="G266" s="748"/>
      <c r="H266" s="748">
        <v>0</v>
      </c>
      <c r="I266" s="748">
        <v>0</v>
      </c>
      <c r="J266" s="748" t="s">
        <v>22</v>
      </c>
    </row>
    <row r="267" spans="1:11" s="428" customFormat="1" ht="9" customHeight="1" x14ac:dyDescent="0.25">
      <c r="A267" s="431" t="s">
        <v>434</v>
      </c>
      <c r="B267" s="746">
        <f t="shared" si="6"/>
        <v>6020</v>
      </c>
      <c r="C267" s="749" t="s">
        <v>573</v>
      </c>
      <c r="D267" s="746">
        <v>6020</v>
      </c>
      <c r="E267" s="749" t="s">
        <v>573</v>
      </c>
      <c r="F267" s="749" t="s">
        <v>573</v>
      </c>
      <c r="G267" s="749"/>
      <c r="H267" s="749" t="s">
        <v>573</v>
      </c>
      <c r="I267" s="749" t="s">
        <v>573</v>
      </c>
      <c r="J267" s="749" t="s">
        <v>573</v>
      </c>
    </row>
    <row r="268" spans="1:11" s="428" customFormat="1" ht="9" customHeight="1" x14ac:dyDescent="0.25">
      <c r="A268" s="431"/>
      <c r="B268" s="746"/>
      <c r="C268" s="431"/>
      <c r="D268" s="746"/>
      <c r="E268" s="431"/>
      <c r="F268" s="431"/>
      <c r="G268" s="431"/>
      <c r="H268" s="431"/>
      <c r="I268" s="431"/>
      <c r="J268" s="431"/>
    </row>
    <row r="269" spans="1:11" s="428" customFormat="1" ht="9" customHeight="1" x14ac:dyDescent="0.25">
      <c r="A269" s="470">
        <v>2002</v>
      </c>
      <c r="B269" s="471"/>
      <c r="C269" s="471"/>
      <c r="D269" s="471"/>
      <c r="E269" s="471"/>
      <c r="F269" s="471"/>
      <c r="G269" s="471"/>
      <c r="H269" s="471"/>
      <c r="I269" s="473"/>
      <c r="J269" s="473"/>
    </row>
    <row r="270" spans="1:11" s="428" customFormat="1" ht="9" customHeight="1" x14ac:dyDescent="0.25">
      <c r="A270" s="473" t="s">
        <v>21</v>
      </c>
      <c r="B270" s="745">
        <f>SUM(B272:B303)</f>
        <v>59294671</v>
      </c>
      <c r="C270" s="745">
        <f>SUM(C272:C303)</f>
        <v>46198689</v>
      </c>
      <c r="D270" s="745">
        <f>SUM(D272:D303)</f>
        <v>10303539</v>
      </c>
      <c r="E270" s="745">
        <f>SUM(E272:E303)</f>
        <v>676245</v>
      </c>
      <c r="F270" s="745">
        <f>SUM(F272:F303)</f>
        <v>535734</v>
      </c>
      <c r="G270" s="745"/>
      <c r="H270" s="745">
        <f>SUM(H272:H303)</f>
        <v>207777</v>
      </c>
      <c r="I270" s="745">
        <f>SUM(I272:I303)</f>
        <v>1372687</v>
      </c>
      <c r="J270" s="745" t="s">
        <v>22</v>
      </c>
      <c r="K270" s="745">
        <f>SUM(K272:K303)</f>
        <v>0</v>
      </c>
    </row>
    <row r="271" spans="1:11" s="428" customFormat="1" ht="3.95" customHeight="1" x14ac:dyDescent="0.25">
      <c r="A271" s="473"/>
      <c r="B271" s="745"/>
      <c r="C271" s="745"/>
      <c r="D271" s="745"/>
      <c r="E271" s="745"/>
      <c r="F271" s="745"/>
      <c r="G271" s="745"/>
      <c r="H271" s="745"/>
      <c r="I271" s="745"/>
      <c r="J271" s="745"/>
      <c r="K271" s="745"/>
    </row>
    <row r="272" spans="1:11" s="428" customFormat="1" ht="9" customHeight="1" x14ac:dyDescent="0.25">
      <c r="A272" s="428" t="s">
        <v>23</v>
      </c>
      <c r="B272" s="746">
        <f t="shared" ref="B272:B303" si="7">SUM(C272:J272)</f>
        <v>781559</v>
      </c>
      <c r="C272" s="746">
        <v>660414</v>
      </c>
      <c r="D272" s="746">
        <v>105484</v>
      </c>
      <c r="E272" s="746">
        <v>900</v>
      </c>
      <c r="F272" s="746">
        <v>1201</v>
      </c>
      <c r="G272" s="746"/>
      <c r="H272" s="746">
        <v>0</v>
      </c>
      <c r="I272" s="746">
        <v>13560</v>
      </c>
      <c r="J272" s="746" t="s">
        <v>22</v>
      </c>
    </row>
    <row r="273" spans="1:10" s="428" customFormat="1" ht="9" customHeight="1" x14ac:dyDescent="0.25">
      <c r="A273" s="428" t="s">
        <v>24</v>
      </c>
      <c r="B273" s="746">
        <f t="shared" si="7"/>
        <v>1958733</v>
      </c>
      <c r="C273" s="746">
        <v>1689927</v>
      </c>
      <c r="D273" s="746">
        <v>132864</v>
      </c>
      <c r="E273" s="746">
        <v>2194</v>
      </c>
      <c r="F273" s="746">
        <v>13062</v>
      </c>
      <c r="G273" s="746"/>
      <c r="H273" s="746">
        <v>3576</v>
      </c>
      <c r="I273" s="746">
        <v>117110</v>
      </c>
      <c r="J273" s="746" t="s">
        <v>22</v>
      </c>
    </row>
    <row r="274" spans="1:10" s="428" customFormat="1" ht="9" customHeight="1" x14ac:dyDescent="0.25">
      <c r="A274" s="428" t="s">
        <v>25</v>
      </c>
      <c r="B274" s="746">
        <f t="shared" si="7"/>
        <v>367984</v>
      </c>
      <c r="C274" s="746">
        <v>267940</v>
      </c>
      <c r="D274" s="746">
        <v>87365</v>
      </c>
      <c r="E274" s="746">
        <v>433</v>
      </c>
      <c r="F274" s="746">
        <v>7547</v>
      </c>
      <c r="G274" s="746"/>
      <c r="H274" s="746">
        <v>4699</v>
      </c>
      <c r="I274" s="746">
        <v>0</v>
      </c>
      <c r="J274" s="746" t="s">
        <v>22</v>
      </c>
    </row>
    <row r="275" spans="1:10" s="428" customFormat="1" ht="9" customHeight="1" x14ac:dyDescent="0.25">
      <c r="A275" s="475" t="s">
        <v>26</v>
      </c>
      <c r="B275" s="748">
        <f t="shared" si="7"/>
        <v>481850</v>
      </c>
      <c r="C275" s="748">
        <v>360403</v>
      </c>
      <c r="D275" s="748">
        <v>80201</v>
      </c>
      <c r="E275" s="748">
        <v>20621</v>
      </c>
      <c r="F275" s="748">
        <v>10653</v>
      </c>
      <c r="G275" s="748"/>
      <c r="H275" s="748">
        <v>9972</v>
      </c>
      <c r="I275" s="748">
        <v>0</v>
      </c>
      <c r="J275" s="748" t="s">
        <v>22</v>
      </c>
    </row>
    <row r="276" spans="1:10" s="428" customFormat="1" ht="9" customHeight="1" x14ac:dyDescent="0.25">
      <c r="A276" s="428" t="s">
        <v>27</v>
      </c>
      <c r="B276" s="746">
        <f t="shared" si="7"/>
        <v>2124348</v>
      </c>
      <c r="C276" s="746">
        <v>1869660</v>
      </c>
      <c r="D276" s="746">
        <v>246520</v>
      </c>
      <c r="E276" s="746">
        <v>2896</v>
      </c>
      <c r="F276" s="746">
        <v>5272</v>
      </c>
      <c r="G276" s="746"/>
      <c r="H276" s="746">
        <v>0</v>
      </c>
      <c r="I276" s="746">
        <v>0</v>
      </c>
      <c r="J276" s="746" t="s">
        <v>22</v>
      </c>
    </row>
    <row r="277" spans="1:10" s="428" customFormat="1" ht="9" customHeight="1" x14ac:dyDescent="0.25">
      <c r="A277" s="428" t="s">
        <v>28</v>
      </c>
      <c r="B277" s="746">
        <f t="shared" si="7"/>
        <v>397214</v>
      </c>
      <c r="C277" s="746">
        <v>314197</v>
      </c>
      <c r="D277" s="746">
        <v>64333</v>
      </c>
      <c r="E277" s="746">
        <v>1221</v>
      </c>
      <c r="F277" s="746">
        <v>1989</v>
      </c>
      <c r="G277" s="746"/>
      <c r="H277" s="746">
        <v>15474</v>
      </c>
      <c r="I277" s="746">
        <v>0</v>
      </c>
      <c r="J277" s="746" t="s">
        <v>22</v>
      </c>
    </row>
    <row r="278" spans="1:10" s="428" customFormat="1" ht="9" customHeight="1" x14ac:dyDescent="0.25">
      <c r="A278" s="428" t="s">
        <v>29</v>
      </c>
      <c r="B278" s="746">
        <f t="shared" si="7"/>
        <v>1079605</v>
      </c>
      <c r="C278" s="746">
        <v>727513</v>
      </c>
      <c r="D278" s="746">
        <v>243819</v>
      </c>
      <c r="E278" s="746">
        <v>8299</v>
      </c>
      <c r="F278" s="746">
        <v>28418</v>
      </c>
      <c r="G278" s="746"/>
      <c r="H278" s="746">
        <v>7905</v>
      </c>
      <c r="I278" s="746">
        <v>63651</v>
      </c>
      <c r="J278" s="746" t="s">
        <v>22</v>
      </c>
    </row>
    <row r="279" spans="1:10" s="428" customFormat="1" ht="9" customHeight="1" x14ac:dyDescent="0.25">
      <c r="A279" s="475" t="s">
        <v>30</v>
      </c>
      <c r="B279" s="748">
        <f t="shared" si="7"/>
        <v>2331640</v>
      </c>
      <c r="C279" s="748">
        <v>2054965</v>
      </c>
      <c r="D279" s="748">
        <v>254159</v>
      </c>
      <c r="E279" s="748">
        <v>3700</v>
      </c>
      <c r="F279" s="748">
        <v>18816</v>
      </c>
      <c r="G279" s="748"/>
      <c r="H279" s="748">
        <v>0</v>
      </c>
      <c r="I279" s="748">
        <v>0</v>
      </c>
      <c r="J279" s="748" t="s">
        <v>22</v>
      </c>
    </row>
    <row r="280" spans="1:10" s="428" customFormat="1" ht="9" customHeight="1" x14ac:dyDescent="0.25">
      <c r="A280" s="405" t="s">
        <v>63</v>
      </c>
      <c r="B280" s="746">
        <f t="shared" si="7"/>
        <v>10503400</v>
      </c>
      <c r="C280" s="746">
        <v>7028851</v>
      </c>
      <c r="D280" s="746">
        <v>3158806</v>
      </c>
      <c r="E280" s="746">
        <v>70506</v>
      </c>
      <c r="F280" s="746">
        <v>160049</v>
      </c>
      <c r="G280" s="746"/>
      <c r="H280" s="746">
        <v>43208</v>
      </c>
      <c r="I280" s="746">
        <v>41980</v>
      </c>
      <c r="J280" s="746" t="s">
        <v>22</v>
      </c>
    </row>
    <row r="281" spans="1:10" s="428" customFormat="1" ht="9" customHeight="1" x14ac:dyDescent="0.25">
      <c r="A281" s="428" t="s">
        <v>31</v>
      </c>
      <c r="B281" s="746">
        <f t="shared" si="7"/>
        <v>986151</v>
      </c>
      <c r="C281" s="746">
        <v>706355</v>
      </c>
      <c r="D281" s="746">
        <v>273154</v>
      </c>
      <c r="E281" s="746">
        <v>424</v>
      </c>
      <c r="F281" s="746">
        <v>6218</v>
      </c>
      <c r="G281" s="746"/>
      <c r="H281" s="746">
        <v>0</v>
      </c>
      <c r="I281" s="746">
        <v>0</v>
      </c>
      <c r="J281" s="746" t="s">
        <v>22</v>
      </c>
    </row>
    <row r="282" spans="1:10" s="428" customFormat="1" ht="9" customHeight="1" x14ac:dyDescent="0.25">
      <c r="A282" s="428" t="s">
        <v>32</v>
      </c>
      <c r="B282" s="746">
        <f t="shared" si="7"/>
        <v>2555326</v>
      </c>
      <c r="C282" s="746">
        <v>2154764</v>
      </c>
      <c r="D282" s="746">
        <v>346261</v>
      </c>
      <c r="E282" s="746">
        <v>34396</v>
      </c>
      <c r="F282" s="746">
        <v>19905</v>
      </c>
      <c r="G282" s="746"/>
      <c r="H282" s="746">
        <v>0</v>
      </c>
      <c r="I282" s="746">
        <v>0</v>
      </c>
      <c r="J282" s="746" t="s">
        <v>22</v>
      </c>
    </row>
    <row r="283" spans="1:10" s="428" customFormat="1" ht="9" customHeight="1" x14ac:dyDescent="0.25">
      <c r="A283" s="475" t="s">
        <v>33</v>
      </c>
      <c r="B283" s="748">
        <f t="shared" si="7"/>
        <v>1116151</v>
      </c>
      <c r="C283" s="748">
        <v>659889</v>
      </c>
      <c r="D283" s="748">
        <v>421864</v>
      </c>
      <c r="E283" s="748">
        <v>1003</v>
      </c>
      <c r="F283" s="748">
        <v>25418</v>
      </c>
      <c r="G283" s="748"/>
      <c r="H283" s="748">
        <v>7977</v>
      </c>
      <c r="I283" s="748">
        <v>0</v>
      </c>
      <c r="J283" s="748" t="s">
        <v>22</v>
      </c>
    </row>
    <row r="284" spans="1:10" s="428" customFormat="1" ht="9" customHeight="1" x14ac:dyDescent="0.25">
      <c r="A284" s="428" t="s">
        <v>34</v>
      </c>
      <c r="B284" s="746">
        <f t="shared" si="7"/>
        <v>896002</v>
      </c>
      <c r="C284" s="746">
        <v>669123</v>
      </c>
      <c r="D284" s="746">
        <v>203279</v>
      </c>
      <c r="E284" s="746">
        <v>18039</v>
      </c>
      <c r="F284" s="746">
        <v>5561</v>
      </c>
      <c r="G284" s="746"/>
      <c r="H284" s="746">
        <v>0</v>
      </c>
      <c r="I284" s="746">
        <v>0</v>
      </c>
      <c r="J284" s="746" t="s">
        <v>22</v>
      </c>
    </row>
    <row r="285" spans="1:10" s="428" customFormat="1" ht="9" customHeight="1" x14ac:dyDescent="0.25">
      <c r="A285" s="428" t="s">
        <v>35</v>
      </c>
      <c r="B285" s="746">
        <f t="shared" si="7"/>
        <v>4100721</v>
      </c>
      <c r="C285" s="746">
        <v>3753651</v>
      </c>
      <c r="D285" s="746">
        <v>319240</v>
      </c>
      <c r="E285" s="746">
        <v>4638</v>
      </c>
      <c r="F285" s="746">
        <v>20962</v>
      </c>
      <c r="G285" s="746"/>
      <c r="H285" s="746">
        <v>2230</v>
      </c>
      <c r="I285" s="746">
        <v>0</v>
      </c>
      <c r="J285" s="746" t="s">
        <v>22</v>
      </c>
    </row>
    <row r="286" spans="1:10" s="428" customFormat="1" ht="9" customHeight="1" x14ac:dyDescent="0.25">
      <c r="A286" s="428" t="s">
        <v>36</v>
      </c>
      <c r="B286" s="746">
        <f t="shared" si="7"/>
        <v>5580716</v>
      </c>
      <c r="C286" s="746">
        <v>4069636</v>
      </c>
      <c r="D286" s="746">
        <v>766470</v>
      </c>
      <c r="E286" s="746">
        <v>19209</v>
      </c>
      <c r="F286" s="746">
        <v>39062</v>
      </c>
      <c r="G286" s="746"/>
      <c r="H286" s="746">
        <v>0</v>
      </c>
      <c r="I286" s="746">
        <v>686339</v>
      </c>
      <c r="J286" s="746" t="s">
        <v>22</v>
      </c>
    </row>
    <row r="287" spans="1:10" s="428" customFormat="1" ht="9" customHeight="1" x14ac:dyDescent="0.25">
      <c r="A287" s="475" t="s">
        <v>37</v>
      </c>
      <c r="B287" s="748">
        <f t="shared" si="7"/>
        <v>1521826</v>
      </c>
      <c r="C287" s="748">
        <v>1151683</v>
      </c>
      <c r="D287" s="748">
        <v>346796</v>
      </c>
      <c r="E287" s="748">
        <v>2370</v>
      </c>
      <c r="F287" s="748">
        <v>10023</v>
      </c>
      <c r="G287" s="748"/>
      <c r="H287" s="748">
        <v>10954</v>
      </c>
      <c r="I287" s="748">
        <v>0</v>
      </c>
      <c r="J287" s="748" t="s">
        <v>22</v>
      </c>
    </row>
    <row r="288" spans="1:10" s="428" customFormat="1" ht="9" customHeight="1" x14ac:dyDescent="0.25">
      <c r="A288" s="428" t="s">
        <v>38</v>
      </c>
      <c r="B288" s="746">
        <f t="shared" si="7"/>
        <v>770047</v>
      </c>
      <c r="C288" s="746">
        <v>593147</v>
      </c>
      <c r="D288" s="746">
        <v>168868</v>
      </c>
      <c r="E288" s="746">
        <v>1422</v>
      </c>
      <c r="F288" s="746">
        <v>6610</v>
      </c>
      <c r="G288" s="746"/>
      <c r="H288" s="746">
        <v>0</v>
      </c>
      <c r="I288" s="746">
        <v>0</v>
      </c>
      <c r="J288" s="746" t="s">
        <v>22</v>
      </c>
    </row>
    <row r="289" spans="1:10" s="428" customFormat="1" ht="9" customHeight="1" x14ac:dyDescent="0.25">
      <c r="A289" s="428" t="s">
        <v>39</v>
      </c>
      <c r="B289" s="746">
        <f t="shared" si="7"/>
        <v>524284</v>
      </c>
      <c r="C289" s="746">
        <v>385818</v>
      </c>
      <c r="D289" s="746">
        <v>134472</v>
      </c>
      <c r="E289" s="746">
        <v>349</v>
      </c>
      <c r="F289" s="746">
        <v>2729</v>
      </c>
      <c r="G289" s="746"/>
      <c r="H289" s="746">
        <v>916</v>
      </c>
      <c r="I289" s="746">
        <v>0</v>
      </c>
      <c r="J289" s="746" t="s">
        <v>22</v>
      </c>
    </row>
    <row r="290" spans="1:10" s="428" customFormat="1" ht="9" customHeight="1" x14ac:dyDescent="0.25">
      <c r="A290" s="428" t="s">
        <v>40</v>
      </c>
      <c r="B290" s="746">
        <f t="shared" si="7"/>
        <v>3241237</v>
      </c>
      <c r="C290" s="746">
        <v>3018547</v>
      </c>
      <c r="D290" s="746">
        <v>194804</v>
      </c>
      <c r="E290" s="746">
        <v>21971</v>
      </c>
      <c r="F290" s="746">
        <v>5915</v>
      </c>
      <c r="G290" s="746"/>
      <c r="H290" s="746">
        <v>0</v>
      </c>
      <c r="I290" s="746">
        <v>0</v>
      </c>
      <c r="J290" s="746" t="s">
        <v>22</v>
      </c>
    </row>
    <row r="291" spans="1:10" s="428" customFormat="1" ht="9" customHeight="1" x14ac:dyDescent="0.25">
      <c r="A291" s="475" t="s">
        <v>41</v>
      </c>
      <c r="B291" s="748">
        <f t="shared" si="7"/>
        <v>1035854</v>
      </c>
      <c r="C291" s="748">
        <v>678751</v>
      </c>
      <c r="D291" s="748">
        <v>308013</v>
      </c>
      <c r="E291" s="748">
        <v>24462</v>
      </c>
      <c r="F291" s="748">
        <v>12507</v>
      </c>
      <c r="G291" s="748"/>
      <c r="H291" s="748">
        <v>12121</v>
      </c>
      <c r="I291" s="748">
        <v>0</v>
      </c>
      <c r="J291" s="748" t="s">
        <v>22</v>
      </c>
    </row>
    <row r="292" spans="1:10" s="428" customFormat="1" ht="9" customHeight="1" x14ac:dyDescent="0.25">
      <c r="A292" s="428" t="s">
        <v>42</v>
      </c>
      <c r="B292" s="746">
        <f t="shared" si="7"/>
        <v>2177541</v>
      </c>
      <c r="C292" s="746">
        <v>1732594</v>
      </c>
      <c r="D292" s="746">
        <v>288995</v>
      </c>
      <c r="E292" s="746">
        <v>13868</v>
      </c>
      <c r="F292" s="746">
        <v>23415</v>
      </c>
      <c r="G292" s="746"/>
      <c r="H292" s="746">
        <v>0</v>
      </c>
      <c r="I292" s="746">
        <v>118669</v>
      </c>
      <c r="J292" s="746" t="s">
        <v>22</v>
      </c>
    </row>
    <row r="293" spans="1:10" s="428" customFormat="1" ht="9" customHeight="1" x14ac:dyDescent="0.25">
      <c r="A293" s="428" t="s">
        <v>43</v>
      </c>
      <c r="B293" s="746">
        <f t="shared" si="7"/>
        <v>1067204</v>
      </c>
      <c r="C293" s="746">
        <v>952776</v>
      </c>
      <c r="D293" s="746">
        <v>105151</v>
      </c>
      <c r="E293" s="746">
        <v>2636</v>
      </c>
      <c r="F293" s="746">
        <v>6641</v>
      </c>
      <c r="G293" s="746"/>
      <c r="H293" s="746">
        <v>0</v>
      </c>
      <c r="I293" s="746">
        <v>0</v>
      </c>
      <c r="J293" s="746" t="s">
        <v>22</v>
      </c>
    </row>
    <row r="294" spans="1:10" s="428" customFormat="1" ht="9" customHeight="1" x14ac:dyDescent="0.25">
      <c r="A294" s="428" t="s">
        <v>44</v>
      </c>
      <c r="B294" s="746">
        <f t="shared" si="7"/>
        <v>653435</v>
      </c>
      <c r="C294" s="746">
        <v>549843</v>
      </c>
      <c r="D294" s="746">
        <v>85923</v>
      </c>
      <c r="E294" s="746">
        <v>0</v>
      </c>
      <c r="F294" s="746">
        <v>8800</v>
      </c>
      <c r="G294" s="746"/>
      <c r="H294" s="746">
        <v>8869</v>
      </c>
      <c r="I294" s="746">
        <v>0</v>
      </c>
      <c r="J294" s="746" t="s">
        <v>22</v>
      </c>
    </row>
    <row r="295" spans="1:10" s="428" customFormat="1" ht="9" customHeight="1" x14ac:dyDescent="0.25">
      <c r="A295" s="475" t="s">
        <v>45</v>
      </c>
      <c r="B295" s="748">
        <f t="shared" si="7"/>
        <v>1279413</v>
      </c>
      <c r="C295" s="748">
        <v>1036605</v>
      </c>
      <c r="D295" s="748">
        <v>231331</v>
      </c>
      <c r="E295" s="748">
        <v>5684</v>
      </c>
      <c r="F295" s="748">
        <v>5793</v>
      </c>
      <c r="G295" s="748"/>
      <c r="H295" s="748">
        <v>0</v>
      </c>
      <c r="I295" s="748">
        <v>0</v>
      </c>
      <c r="J295" s="748" t="s">
        <v>22</v>
      </c>
    </row>
    <row r="296" spans="1:10" s="428" customFormat="1" ht="9" customHeight="1" x14ac:dyDescent="0.25">
      <c r="A296" s="428" t="s">
        <v>46</v>
      </c>
      <c r="B296" s="746">
        <f t="shared" si="7"/>
        <v>1675705</v>
      </c>
      <c r="C296" s="746">
        <v>1360744</v>
      </c>
      <c r="D296" s="746">
        <v>296383</v>
      </c>
      <c r="E296" s="746">
        <v>3525</v>
      </c>
      <c r="F296" s="746">
        <v>10623</v>
      </c>
      <c r="G296" s="746"/>
      <c r="H296" s="746">
        <v>4430</v>
      </c>
      <c r="I296" s="746">
        <v>0</v>
      </c>
      <c r="J296" s="746" t="s">
        <v>22</v>
      </c>
    </row>
    <row r="297" spans="1:10" s="428" customFormat="1" ht="9" customHeight="1" x14ac:dyDescent="0.25">
      <c r="A297" s="428" t="s">
        <v>47</v>
      </c>
      <c r="B297" s="746">
        <f t="shared" si="7"/>
        <v>1550046</v>
      </c>
      <c r="C297" s="746">
        <v>1240458</v>
      </c>
      <c r="D297" s="746">
        <v>203822</v>
      </c>
      <c r="E297" s="746">
        <v>4428</v>
      </c>
      <c r="F297" s="746">
        <v>10108</v>
      </c>
      <c r="G297" s="746"/>
      <c r="H297" s="746">
        <v>3843</v>
      </c>
      <c r="I297" s="746">
        <v>87387</v>
      </c>
      <c r="J297" s="746" t="s">
        <v>22</v>
      </c>
    </row>
    <row r="298" spans="1:10" s="428" customFormat="1" ht="9" customHeight="1" x14ac:dyDescent="0.25">
      <c r="A298" s="428" t="s">
        <v>48</v>
      </c>
      <c r="B298" s="746">
        <f t="shared" si="7"/>
        <v>1069866</v>
      </c>
      <c r="C298" s="746">
        <v>565409</v>
      </c>
      <c r="D298" s="746">
        <v>143829</v>
      </c>
      <c r="E298" s="746">
        <v>101584</v>
      </c>
      <c r="F298" s="746">
        <v>10516</v>
      </c>
      <c r="G298" s="746"/>
      <c r="H298" s="746">
        <v>4537</v>
      </c>
      <c r="I298" s="746">
        <v>243991</v>
      </c>
      <c r="J298" s="746" t="s">
        <v>22</v>
      </c>
    </row>
    <row r="299" spans="1:10" s="428" customFormat="1" ht="9" customHeight="1" x14ac:dyDescent="0.25">
      <c r="A299" s="475" t="s">
        <v>49</v>
      </c>
      <c r="B299" s="748">
        <f t="shared" si="7"/>
        <v>2188197</v>
      </c>
      <c r="C299" s="748">
        <v>1752779</v>
      </c>
      <c r="D299" s="748">
        <v>321730</v>
      </c>
      <c r="E299" s="748">
        <v>91099</v>
      </c>
      <c r="F299" s="748">
        <v>8088</v>
      </c>
      <c r="G299" s="748"/>
      <c r="H299" s="748">
        <v>14501</v>
      </c>
      <c r="I299" s="748">
        <v>0</v>
      </c>
      <c r="J299" s="748" t="s">
        <v>22</v>
      </c>
    </row>
    <row r="300" spans="1:10" s="428" customFormat="1" ht="9" customHeight="1" x14ac:dyDescent="0.25">
      <c r="A300" s="428" t="s">
        <v>50</v>
      </c>
      <c r="B300" s="746">
        <f t="shared" si="7"/>
        <v>441902</v>
      </c>
      <c r="C300" s="746">
        <v>339583</v>
      </c>
      <c r="D300" s="746">
        <v>95976</v>
      </c>
      <c r="E300" s="746">
        <v>415</v>
      </c>
      <c r="F300" s="746">
        <v>5928</v>
      </c>
      <c r="G300" s="746"/>
      <c r="H300" s="746">
        <v>0</v>
      </c>
      <c r="I300" s="746">
        <v>0</v>
      </c>
      <c r="J300" s="746" t="s">
        <v>22</v>
      </c>
    </row>
    <row r="301" spans="1:10" s="428" customFormat="1" ht="9" customHeight="1" x14ac:dyDescent="0.25">
      <c r="A301" s="428" t="s">
        <v>51</v>
      </c>
      <c r="B301" s="746">
        <f t="shared" si="7"/>
        <v>3147627</v>
      </c>
      <c r="C301" s="746">
        <v>2448279</v>
      </c>
      <c r="D301" s="746">
        <v>414201</v>
      </c>
      <c r="E301" s="746">
        <v>209656</v>
      </c>
      <c r="F301" s="746">
        <v>25174</v>
      </c>
      <c r="G301" s="746"/>
      <c r="H301" s="746">
        <v>50317</v>
      </c>
      <c r="I301" s="746">
        <v>0</v>
      </c>
      <c r="J301" s="746" t="s">
        <v>22</v>
      </c>
    </row>
    <row r="302" spans="1:10" s="428" customFormat="1" ht="9" customHeight="1" x14ac:dyDescent="0.25">
      <c r="A302" s="428" t="s">
        <v>52</v>
      </c>
      <c r="B302" s="746">
        <f t="shared" si="7"/>
        <v>1042914</v>
      </c>
      <c r="C302" s="746">
        <v>888609</v>
      </c>
      <c r="D302" s="746">
        <v>133445</v>
      </c>
      <c r="E302" s="746">
        <v>3742</v>
      </c>
      <c r="F302" s="746">
        <v>14870</v>
      </c>
      <c r="G302" s="746"/>
      <c r="H302" s="746">
        <v>2248</v>
      </c>
      <c r="I302" s="746">
        <v>0</v>
      </c>
      <c r="J302" s="746" t="s">
        <v>22</v>
      </c>
    </row>
    <row r="303" spans="1:10" s="428" customFormat="1" ht="9" customHeight="1" x14ac:dyDescent="0.25">
      <c r="A303" s="475" t="s">
        <v>53</v>
      </c>
      <c r="B303" s="748">
        <f t="shared" si="7"/>
        <v>646173</v>
      </c>
      <c r="C303" s="748">
        <v>515776</v>
      </c>
      <c r="D303" s="748">
        <v>125981</v>
      </c>
      <c r="E303" s="748">
        <v>555</v>
      </c>
      <c r="F303" s="748">
        <v>3861</v>
      </c>
      <c r="G303" s="748"/>
      <c r="H303" s="748" t="s">
        <v>573</v>
      </c>
      <c r="I303" s="748" t="s">
        <v>573</v>
      </c>
      <c r="J303" s="748" t="s">
        <v>22</v>
      </c>
    </row>
    <row r="304" spans="1:10" s="428" customFormat="1" ht="9" customHeight="1" x14ac:dyDescent="0.25">
      <c r="A304" s="431"/>
      <c r="B304" s="746"/>
      <c r="C304" s="431"/>
      <c r="D304" s="746"/>
      <c r="E304" s="431"/>
      <c r="F304" s="431"/>
      <c r="G304" s="431"/>
      <c r="H304" s="431"/>
      <c r="I304" s="431"/>
      <c r="J304" s="749"/>
    </row>
    <row r="305" spans="1:11" s="428" customFormat="1" ht="9" customHeight="1" x14ac:dyDescent="0.25">
      <c r="A305" s="470">
        <v>2004</v>
      </c>
      <c r="B305" s="471"/>
      <c r="C305" s="471"/>
      <c r="D305" s="471"/>
      <c r="E305" s="471"/>
      <c r="F305" s="471"/>
      <c r="G305" s="471"/>
      <c r="H305" s="471"/>
      <c r="I305" s="473"/>
      <c r="J305" s="473"/>
    </row>
    <row r="306" spans="1:11" s="428" customFormat="1" ht="9" customHeight="1" x14ac:dyDescent="0.25">
      <c r="A306" s="473" t="s">
        <v>21</v>
      </c>
      <c r="B306" s="745">
        <f>SUM(B308:B339)</f>
        <v>60063559</v>
      </c>
      <c r="C306" s="745">
        <f>SUM(C308:C339)</f>
        <v>41242697</v>
      </c>
      <c r="D306" s="745">
        <f>SUM(D308:D339)</f>
        <v>10456774</v>
      </c>
      <c r="E306" s="745">
        <f>SUM(E308:E339)</f>
        <v>689550</v>
      </c>
      <c r="F306" s="745">
        <f>SUM(F308:F339)</f>
        <v>677281</v>
      </c>
      <c r="G306" s="745"/>
      <c r="H306" s="745">
        <f>SUM(H308:H339)</f>
        <v>209765</v>
      </c>
      <c r="I306" s="745">
        <f>SUM(I308:I339)</f>
        <v>1469203</v>
      </c>
      <c r="J306" s="745">
        <f>SUM(J308:J339)</f>
        <v>5318289</v>
      </c>
      <c r="K306" s="745"/>
    </row>
    <row r="307" spans="1:11" s="428" customFormat="1" ht="3.95" customHeight="1" x14ac:dyDescent="0.25">
      <c r="A307" s="473"/>
      <c r="B307" s="745"/>
      <c r="C307" s="745"/>
      <c r="D307" s="745"/>
      <c r="E307" s="745"/>
      <c r="F307" s="745"/>
      <c r="G307" s="745"/>
      <c r="H307" s="745"/>
      <c r="I307" s="745"/>
      <c r="J307" s="745"/>
      <c r="K307" s="745"/>
    </row>
    <row r="308" spans="1:11" s="428" customFormat="1" ht="9" customHeight="1" x14ac:dyDescent="0.25">
      <c r="A308" s="428" t="s">
        <v>23</v>
      </c>
      <c r="B308" s="746">
        <f t="shared" ref="B308:B339" si="8">SUM(C308:J308)</f>
        <v>946119</v>
      </c>
      <c r="C308" s="746">
        <v>592096</v>
      </c>
      <c r="D308" s="746">
        <v>107535</v>
      </c>
      <c r="E308" s="746">
        <v>1124</v>
      </c>
      <c r="F308" s="746">
        <v>3451</v>
      </c>
      <c r="G308" s="746"/>
      <c r="H308" s="746">
        <v>0</v>
      </c>
      <c r="I308" s="746">
        <v>13560</v>
      </c>
      <c r="J308" s="746">
        <v>228353</v>
      </c>
    </row>
    <row r="309" spans="1:11" s="428" customFormat="1" ht="9" customHeight="1" x14ac:dyDescent="0.25">
      <c r="A309" s="428" t="s">
        <v>24</v>
      </c>
      <c r="B309" s="746">
        <f t="shared" si="8"/>
        <v>2087302</v>
      </c>
      <c r="C309" s="746">
        <v>1667847</v>
      </c>
      <c r="D309" s="746">
        <v>135741</v>
      </c>
      <c r="E309" s="746">
        <v>2462</v>
      </c>
      <c r="F309" s="746">
        <v>12126</v>
      </c>
      <c r="G309" s="746"/>
      <c r="H309" s="746">
        <v>3909</v>
      </c>
      <c r="I309" s="746">
        <v>117110</v>
      </c>
      <c r="J309" s="746">
        <v>148107</v>
      </c>
    </row>
    <row r="310" spans="1:11" s="428" customFormat="1" ht="9" customHeight="1" x14ac:dyDescent="0.25">
      <c r="A310" s="428" t="s">
        <v>25</v>
      </c>
      <c r="B310" s="746">
        <f t="shared" si="8"/>
        <v>404461</v>
      </c>
      <c r="C310" s="746">
        <v>261410</v>
      </c>
      <c r="D310" s="746">
        <v>89115</v>
      </c>
      <c r="E310" s="746">
        <v>433</v>
      </c>
      <c r="F310" s="746">
        <v>9224</v>
      </c>
      <c r="G310" s="746"/>
      <c r="H310" s="746">
        <v>4290</v>
      </c>
      <c r="I310" s="746">
        <v>0</v>
      </c>
      <c r="J310" s="746">
        <v>39989</v>
      </c>
    </row>
    <row r="311" spans="1:11" s="428" customFormat="1" ht="9" customHeight="1" x14ac:dyDescent="0.25">
      <c r="A311" s="475" t="s">
        <v>26</v>
      </c>
      <c r="B311" s="748">
        <f t="shared" si="8"/>
        <v>512423</v>
      </c>
      <c r="C311" s="748">
        <v>282751</v>
      </c>
      <c r="D311" s="748">
        <v>81350</v>
      </c>
      <c r="E311" s="748">
        <v>23624</v>
      </c>
      <c r="F311" s="748">
        <v>10573</v>
      </c>
      <c r="G311" s="748"/>
      <c r="H311" s="748">
        <v>8698</v>
      </c>
      <c r="I311" s="748">
        <v>0</v>
      </c>
      <c r="J311" s="748">
        <v>105427</v>
      </c>
    </row>
    <row r="312" spans="1:11" s="428" customFormat="1" ht="9" customHeight="1" x14ac:dyDescent="0.25">
      <c r="A312" s="428" t="s">
        <v>27</v>
      </c>
      <c r="B312" s="746">
        <f t="shared" si="8"/>
        <v>2042340</v>
      </c>
      <c r="C312" s="746">
        <v>1753817</v>
      </c>
      <c r="D312" s="746">
        <v>249895</v>
      </c>
      <c r="E312" s="746">
        <v>1734</v>
      </c>
      <c r="F312" s="746">
        <v>7027</v>
      </c>
      <c r="G312" s="746"/>
      <c r="H312" s="746">
        <v>0</v>
      </c>
      <c r="I312" s="746">
        <v>0</v>
      </c>
      <c r="J312" s="746">
        <v>29867</v>
      </c>
    </row>
    <row r="313" spans="1:11" s="428" customFormat="1" ht="9" customHeight="1" x14ac:dyDescent="0.25">
      <c r="A313" s="428" t="s">
        <v>28</v>
      </c>
      <c r="B313" s="746">
        <f t="shared" si="8"/>
        <v>571162</v>
      </c>
      <c r="C313" s="746">
        <v>300185</v>
      </c>
      <c r="D313" s="746">
        <v>65491</v>
      </c>
      <c r="E313" s="746">
        <v>1432</v>
      </c>
      <c r="F313" s="746">
        <v>2429</v>
      </c>
      <c r="G313" s="746"/>
      <c r="H313" s="746">
        <v>15934</v>
      </c>
      <c r="I313" s="746">
        <v>0</v>
      </c>
      <c r="J313" s="746">
        <v>185691</v>
      </c>
    </row>
    <row r="314" spans="1:11" s="428" customFormat="1" ht="9" customHeight="1" x14ac:dyDescent="0.25">
      <c r="A314" s="428" t="s">
        <v>29</v>
      </c>
      <c r="B314" s="746">
        <f t="shared" si="8"/>
        <v>1139671</v>
      </c>
      <c r="C314" s="746">
        <v>573670</v>
      </c>
      <c r="D314" s="746">
        <v>247157</v>
      </c>
      <c r="E314" s="746">
        <v>9230</v>
      </c>
      <c r="F314" s="746">
        <v>34486</v>
      </c>
      <c r="G314" s="746"/>
      <c r="H314" s="746">
        <v>8146</v>
      </c>
      <c r="I314" s="746">
        <v>63651</v>
      </c>
      <c r="J314" s="746">
        <v>203331</v>
      </c>
    </row>
    <row r="315" spans="1:11" s="428" customFormat="1" ht="9" customHeight="1" x14ac:dyDescent="0.25">
      <c r="A315" s="475" t="s">
        <v>30</v>
      </c>
      <c r="B315" s="748">
        <f t="shared" si="8"/>
        <v>2034804</v>
      </c>
      <c r="C315" s="748">
        <v>1753664</v>
      </c>
      <c r="D315" s="748">
        <v>258222</v>
      </c>
      <c r="E315" s="748">
        <v>4019</v>
      </c>
      <c r="F315" s="748">
        <v>18899</v>
      </c>
      <c r="G315" s="748"/>
      <c r="H315" s="748">
        <v>0</v>
      </c>
      <c r="I315" s="748">
        <v>0</v>
      </c>
      <c r="J315" s="748">
        <v>0</v>
      </c>
    </row>
    <row r="316" spans="1:11" s="428" customFormat="1" ht="9" customHeight="1" x14ac:dyDescent="0.25">
      <c r="A316" s="405" t="s">
        <v>63</v>
      </c>
      <c r="B316" s="746">
        <f t="shared" si="8"/>
        <v>9073072</v>
      </c>
      <c r="C316" s="746">
        <v>5536688</v>
      </c>
      <c r="D316" s="746">
        <v>3209525</v>
      </c>
      <c r="E316" s="746">
        <v>69269</v>
      </c>
      <c r="F316" s="746">
        <v>173927</v>
      </c>
      <c r="G316" s="746"/>
      <c r="H316" s="746">
        <v>41683</v>
      </c>
      <c r="I316" s="746">
        <v>41980</v>
      </c>
      <c r="J316" s="746">
        <v>0</v>
      </c>
    </row>
    <row r="317" spans="1:11" s="428" customFormat="1" ht="9" customHeight="1" x14ac:dyDescent="0.25">
      <c r="A317" s="428" t="s">
        <v>31</v>
      </c>
      <c r="B317" s="746">
        <f t="shared" si="8"/>
        <v>904073</v>
      </c>
      <c r="C317" s="746">
        <v>617594</v>
      </c>
      <c r="D317" s="746">
        <v>276013</v>
      </c>
      <c r="E317" s="746">
        <v>1958</v>
      </c>
      <c r="F317" s="746">
        <v>8508</v>
      </c>
      <c r="G317" s="746"/>
      <c r="H317" s="746">
        <v>0</v>
      </c>
      <c r="I317" s="746">
        <v>0</v>
      </c>
      <c r="J317" s="746">
        <v>0</v>
      </c>
    </row>
    <row r="318" spans="1:11" s="428" customFormat="1" ht="9" customHeight="1" x14ac:dyDescent="0.25">
      <c r="A318" s="428" t="s">
        <v>32</v>
      </c>
      <c r="B318" s="746">
        <f t="shared" si="8"/>
        <v>2570455</v>
      </c>
      <c r="C318" s="746">
        <v>1752706</v>
      </c>
      <c r="D318" s="746">
        <v>350068</v>
      </c>
      <c r="E318" s="746">
        <v>33684</v>
      </c>
      <c r="F318" s="746">
        <v>25896</v>
      </c>
      <c r="G318" s="746"/>
      <c r="H318" s="746">
        <v>0</v>
      </c>
      <c r="I318" s="746">
        <v>0</v>
      </c>
      <c r="J318" s="746">
        <v>408101</v>
      </c>
    </row>
    <row r="319" spans="1:11" s="428" customFormat="1" ht="9" customHeight="1" x14ac:dyDescent="0.25">
      <c r="A319" s="475" t="s">
        <v>33</v>
      </c>
      <c r="B319" s="748">
        <f t="shared" si="8"/>
        <v>1121042</v>
      </c>
      <c r="C319" s="748">
        <v>601761</v>
      </c>
      <c r="D319" s="748">
        <v>425693</v>
      </c>
      <c r="E319" s="748">
        <v>1037</v>
      </c>
      <c r="F319" s="748">
        <v>46112</v>
      </c>
      <c r="G319" s="748"/>
      <c r="H319" s="748">
        <v>8935</v>
      </c>
      <c r="I319" s="748">
        <v>0</v>
      </c>
      <c r="J319" s="748">
        <v>37504</v>
      </c>
    </row>
    <row r="320" spans="1:11" s="428" customFormat="1" ht="9" customHeight="1" x14ac:dyDescent="0.25">
      <c r="A320" s="428" t="s">
        <v>34</v>
      </c>
      <c r="B320" s="746">
        <f t="shared" si="8"/>
        <v>924827</v>
      </c>
      <c r="C320" s="746">
        <v>534698</v>
      </c>
      <c r="D320" s="746">
        <v>206310</v>
      </c>
      <c r="E320" s="746">
        <v>17689</v>
      </c>
      <c r="F320" s="746">
        <v>13605</v>
      </c>
      <c r="G320" s="746"/>
      <c r="H320" s="746">
        <v>0</v>
      </c>
      <c r="I320" s="746">
        <v>0</v>
      </c>
      <c r="J320" s="746">
        <v>152525</v>
      </c>
    </row>
    <row r="321" spans="1:10" s="428" customFormat="1" ht="9" customHeight="1" x14ac:dyDescent="0.25">
      <c r="A321" s="428" t="s">
        <v>35</v>
      </c>
      <c r="B321" s="746">
        <f t="shared" si="8"/>
        <v>3782342</v>
      </c>
      <c r="C321" s="746">
        <v>3067896</v>
      </c>
      <c r="D321" s="746">
        <v>324903</v>
      </c>
      <c r="E321" s="746">
        <v>4972</v>
      </c>
      <c r="F321" s="746">
        <v>43818</v>
      </c>
      <c r="G321" s="746"/>
      <c r="H321" s="746">
        <v>1560</v>
      </c>
      <c r="I321" s="746">
        <v>0</v>
      </c>
      <c r="J321" s="746">
        <v>339193</v>
      </c>
    </row>
    <row r="322" spans="1:10" s="428" customFormat="1" ht="9" customHeight="1" x14ac:dyDescent="0.25">
      <c r="A322" s="428" t="s">
        <v>36</v>
      </c>
      <c r="B322" s="746">
        <f t="shared" si="8"/>
        <v>7060984</v>
      </c>
      <c r="C322" s="746">
        <v>5134252</v>
      </c>
      <c r="D322" s="746">
        <v>774915</v>
      </c>
      <c r="E322" s="746">
        <v>18912</v>
      </c>
      <c r="F322" s="746">
        <v>45167</v>
      </c>
      <c r="G322" s="746"/>
      <c r="H322" s="746">
        <v>0</v>
      </c>
      <c r="I322" s="746">
        <v>780413</v>
      </c>
      <c r="J322" s="746">
        <v>307325</v>
      </c>
    </row>
    <row r="323" spans="1:10" s="428" customFormat="1" ht="9" customHeight="1" x14ac:dyDescent="0.25">
      <c r="A323" s="475" t="s">
        <v>37</v>
      </c>
      <c r="B323" s="748">
        <f t="shared" si="8"/>
        <v>1386270</v>
      </c>
      <c r="C323" s="748">
        <v>964821</v>
      </c>
      <c r="D323" s="748">
        <v>351180</v>
      </c>
      <c r="E323" s="748">
        <v>2592</v>
      </c>
      <c r="F323" s="748">
        <v>16329</v>
      </c>
      <c r="G323" s="748"/>
      <c r="H323" s="748">
        <v>11217</v>
      </c>
      <c r="I323" s="748">
        <v>0</v>
      </c>
      <c r="J323" s="748">
        <v>40131</v>
      </c>
    </row>
    <row r="324" spans="1:10" s="428" customFormat="1" ht="9" customHeight="1" x14ac:dyDescent="0.25">
      <c r="A324" s="428" t="s">
        <v>38</v>
      </c>
      <c r="B324" s="746">
        <f t="shared" si="8"/>
        <v>847975</v>
      </c>
      <c r="C324" s="746">
        <v>578918</v>
      </c>
      <c r="D324" s="746">
        <v>171746</v>
      </c>
      <c r="E324" s="746">
        <v>1442</v>
      </c>
      <c r="F324" s="746">
        <v>11992</v>
      </c>
      <c r="G324" s="746"/>
      <c r="H324" s="746">
        <v>0</v>
      </c>
      <c r="I324" s="746">
        <v>0</v>
      </c>
      <c r="J324" s="746">
        <v>83877</v>
      </c>
    </row>
    <row r="325" spans="1:10" s="428" customFormat="1" ht="9" customHeight="1" x14ac:dyDescent="0.25">
      <c r="A325" s="428" t="s">
        <v>39</v>
      </c>
      <c r="B325" s="746">
        <f t="shared" si="8"/>
        <v>636236</v>
      </c>
      <c r="C325" s="746">
        <v>387038</v>
      </c>
      <c r="D325" s="746">
        <v>136863</v>
      </c>
      <c r="E325" s="746">
        <v>389</v>
      </c>
      <c r="F325" s="746">
        <v>4894</v>
      </c>
      <c r="G325" s="746"/>
      <c r="H325" s="746">
        <v>1040</v>
      </c>
      <c r="I325" s="746">
        <v>0</v>
      </c>
      <c r="J325" s="746">
        <v>106012</v>
      </c>
    </row>
    <row r="326" spans="1:10" s="428" customFormat="1" ht="9" customHeight="1" x14ac:dyDescent="0.25">
      <c r="A326" s="428" t="s">
        <v>40</v>
      </c>
      <c r="B326" s="746">
        <f t="shared" si="8"/>
        <v>3074041</v>
      </c>
      <c r="C326" s="746">
        <v>2754228</v>
      </c>
      <c r="D326" s="746">
        <v>197895</v>
      </c>
      <c r="E326" s="746">
        <v>22363</v>
      </c>
      <c r="F326" s="746">
        <v>6195</v>
      </c>
      <c r="G326" s="746"/>
      <c r="H326" s="746">
        <v>0</v>
      </c>
      <c r="I326" s="746">
        <v>0</v>
      </c>
      <c r="J326" s="746">
        <v>93360</v>
      </c>
    </row>
    <row r="327" spans="1:10" s="428" customFormat="1" ht="9" customHeight="1" x14ac:dyDescent="0.25">
      <c r="A327" s="475" t="s">
        <v>41</v>
      </c>
      <c r="B327" s="748">
        <f t="shared" si="8"/>
        <v>996508</v>
      </c>
      <c r="C327" s="748">
        <v>474903</v>
      </c>
      <c r="D327" s="748">
        <v>312729</v>
      </c>
      <c r="E327" s="748">
        <v>24999</v>
      </c>
      <c r="F327" s="748">
        <v>14080</v>
      </c>
      <c r="G327" s="748"/>
      <c r="H327" s="748">
        <v>14548</v>
      </c>
      <c r="I327" s="748">
        <v>0</v>
      </c>
      <c r="J327" s="748">
        <v>155249</v>
      </c>
    </row>
    <row r="328" spans="1:10" s="428" customFormat="1" ht="9" customHeight="1" x14ac:dyDescent="0.25">
      <c r="A328" s="428" t="s">
        <v>42</v>
      </c>
      <c r="B328" s="746">
        <f t="shared" si="8"/>
        <v>2234526</v>
      </c>
      <c r="C328" s="746">
        <v>1316363</v>
      </c>
      <c r="D328" s="746">
        <v>292727</v>
      </c>
      <c r="E328" s="746">
        <v>14050</v>
      </c>
      <c r="F328" s="746">
        <v>31437</v>
      </c>
      <c r="G328" s="746"/>
      <c r="H328" s="746">
        <v>0</v>
      </c>
      <c r="I328" s="746">
        <v>127000</v>
      </c>
      <c r="J328" s="746">
        <v>452949</v>
      </c>
    </row>
    <row r="329" spans="1:10" s="428" customFormat="1" ht="9" customHeight="1" x14ac:dyDescent="0.25">
      <c r="A329" s="428" t="s">
        <v>43</v>
      </c>
      <c r="B329" s="746">
        <f t="shared" si="8"/>
        <v>1006539</v>
      </c>
      <c r="C329" s="746">
        <v>845054</v>
      </c>
      <c r="D329" s="746">
        <v>107579</v>
      </c>
      <c r="E329" s="746">
        <v>2918</v>
      </c>
      <c r="F329" s="746">
        <v>8072</v>
      </c>
      <c r="G329" s="746"/>
      <c r="H329" s="746">
        <v>0</v>
      </c>
      <c r="I329" s="746">
        <v>0</v>
      </c>
      <c r="J329" s="746">
        <v>42916</v>
      </c>
    </row>
    <row r="330" spans="1:10" s="428" customFormat="1" ht="9" customHeight="1" x14ac:dyDescent="0.25">
      <c r="A330" s="428" t="s">
        <v>44</v>
      </c>
      <c r="B330" s="746">
        <f t="shared" si="8"/>
        <v>654741</v>
      </c>
      <c r="C330" s="746">
        <v>524258</v>
      </c>
      <c r="D330" s="746">
        <v>87288</v>
      </c>
      <c r="E330" s="746">
        <v>0</v>
      </c>
      <c r="F330" s="746">
        <v>9142</v>
      </c>
      <c r="G330" s="746"/>
      <c r="H330" s="746">
        <v>3682</v>
      </c>
      <c r="I330" s="746">
        <v>0</v>
      </c>
      <c r="J330" s="746">
        <v>30371</v>
      </c>
    </row>
    <row r="331" spans="1:10" s="428" customFormat="1" ht="9" customHeight="1" x14ac:dyDescent="0.25">
      <c r="A331" s="475" t="s">
        <v>45</v>
      </c>
      <c r="B331" s="748">
        <f t="shared" si="8"/>
        <v>1271345</v>
      </c>
      <c r="C331" s="748">
        <v>820547</v>
      </c>
      <c r="D331" s="748">
        <v>234951</v>
      </c>
      <c r="E331" s="748">
        <v>5634</v>
      </c>
      <c r="F331" s="748">
        <v>7292</v>
      </c>
      <c r="G331" s="748"/>
      <c r="H331" s="748">
        <v>0</v>
      </c>
      <c r="I331" s="748">
        <v>0</v>
      </c>
      <c r="J331" s="748">
        <v>202921</v>
      </c>
    </row>
    <row r="332" spans="1:10" s="428" customFormat="1" ht="9" customHeight="1" x14ac:dyDescent="0.25">
      <c r="A332" s="428" t="s">
        <v>46</v>
      </c>
      <c r="B332" s="746">
        <f t="shared" si="8"/>
        <v>1957932</v>
      </c>
      <c r="C332" s="746">
        <v>1295674</v>
      </c>
      <c r="D332" s="746">
        <v>300077</v>
      </c>
      <c r="E332" s="746">
        <v>2582</v>
      </c>
      <c r="F332" s="746">
        <v>10404</v>
      </c>
      <c r="G332" s="746"/>
      <c r="H332" s="746">
        <v>3636</v>
      </c>
      <c r="I332" s="746">
        <v>0</v>
      </c>
      <c r="J332" s="746">
        <v>345559</v>
      </c>
    </row>
    <row r="333" spans="1:10" s="428" customFormat="1" ht="9" customHeight="1" x14ac:dyDescent="0.25">
      <c r="A333" s="428" t="s">
        <v>47</v>
      </c>
      <c r="B333" s="746">
        <f t="shared" si="8"/>
        <v>1693390</v>
      </c>
      <c r="C333" s="746">
        <v>1220365</v>
      </c>
      <c r="D333" s="746">
        <v>206718</v>
      </c>
      <c r="E333" s="746">
        <v>4780</v>
      </c>
      <c r="F333" s="746">
        <v>10148</v>
      </c>
      <c r="G333" s="746"/>
      <c r="H333" s="746">
        <v>5295</v>
      </c>
      <c r="I333" s="746">
        <v>152532</v>
      </c>
      <c r="J333" s="746">
        <v>93552</v>
      </c>
    </row>
    <row r="334" spans="1:10" s="428" customFormat="1" ht="9" customHeight="1" x14ac:dyDescent="0.25">
      <c r="A334" s="428" t="s">
        <v>48</v>
      </c>
      <c r="B334" s="746">
        <f t="shared" si="8"/>
        <v>1505825</v>
      </c>
      <c r="C334" s="746">
        <v>476923</v>
      </c>
      <c r="D334" s="746">
        <v>145496</v>
      </c>
      <c r="E334" s="746">
        <v>104841</v>
      </c>
      <c r="F334" s="746">
        <v>14693</v>
      </c>
      <c r="G334" s="746"/>
      <c r="H334" s="746">
        <v>4893</v>
      </c>
      <c r="I334" s="746">
        <v>172957</v>
      </c>
      <c r="J334" s="746">
        <v>586022</v>
      </c>
    </row>
    <row r="335" spans="1:10" s="428" customFormat="1" ht="9" customHeight="1" x14ac:dyDescent="0.25">
      <c r="A335" s="475" t="s">
        <v>49</v>
      </c>
      <c r="B335" s="748">
        <f t="shared" si="8"/>
        <v>2473316</v>
      </c>
      <c r="C335" s="748">
        <v>1553637</v>
      </c>
      <c r="D335" s="748">
        <v>327102</v>
      </c>
      <c r="E335" s="748">
        <v>92876</v>
      </c>
      <c r="F335" s="748">
        <v>9359</v>
      </c>
      <c r="G335" s="748"/>
      <c r="H335" s="748">
        <v>14244</v>
      </c>
      <c r="I335" s="748">
        <v>0</v>
      </c>
      <c r="J335" s="748">
        <v>476098</v>
      </c>
    </row>
    <row r="336" spans="1:10" s="428" customFormat="1" ht="9" customHeight="1" x14ac:dyDescent="0.25">
      <c r="A336" s="428" t="s">
        <v>50</v>
      </c>
      <c r="B336" s="746">
        <f t="shared" si="8"/>
        <v>481836</v>
      </c>
      <c r="C336" s="746">
        <v>315504</v>
      </c>
      <c r="D336" s="746">
        <v>97423</v>
      </c>
      <c r="E336" s="746">
        <v>427</v>
      </c>
      <c r="F336" s="746">
        <v>5661</v>
      </c>
      <c r="G336" s="746"/>
      <c r="H336" s="746">
        <v>0</v>
      </c>
      <c r="I336" s="746">
        <v>0</v>
      </c>
      <c r="J336" s="746">
        <v>62821</v>
      </c>
    </row>
    <row r="337" spans="1:11" s="428" customFormat="1" ht="9" customHeight="1" x14ac:dyDescent="0.25">
      <c r="A337" s="428" t="s">
        <v>51</v>
      </c>
      <c r="B337" s="746">
        <f t="shared" si="8"/>
        <v>3044821</v>
      </c>
      <c r="C337" s="746">
        <v>2062194</v>
      </c>
      <c r="D337" s="746">
        <v>420351</v>
      </c>
      <c r="E337" s="746">
        <v>212975</v>
      </c>
      <c r="F337" s="746">
        <v>42376</v>
      </c>
      <c r="G337" s="746"/>
      <c r="H337" s="746">
        <v>54196</v>
      </c>
      <c r="I337" s="746">
        <v>0</v>
      </c>
      <c r="J337" s="746">
        <v>252729</v>
      </c>
    </row>
    <row r="338" spans="1:11" s="428" customFormat="1" ht="9" customHeight="1" x14ac:dyDescent="0.25">
      <c r="A338" s="428" t="s">
        <v>52</v>
      </c>
      <c r="B338" s="746">
        <f t="shared" si="8"/>
        <v>1034599</v>
      </c>
      <c r="C338" s="746">
        <v>833851</v>
      </c>
      <c r="D338" s="746">
        <v>136680</v>
      </c>
      <c r="E338" s="746">
        <v>4504</v>
      </c>
      <c r="F338" s="746">
        <v>15527</v>
      </c>
      <c r="G338" s="746"/>
      <c r="H338" s="746">
        <v>3859</v>
      </c>
      <c r="I338" s="746">
        <v>0</v>
      </c>
      <c r="J338" s="746">
        <v>40178</v>
      </c>
    </row>
    <row r="339" spans="1:11" s="428" customFormat="1" ht="9" customHeight="1" x14ac:dyDescent="0.25">
      <c r="A339" s="475" t="s">
        <v>53</v>
      </c>
      <c r="B339" s="748">
        <f t="shared" si="8"/>
        <v>588582</v>
      </c>
      <c r="C339" s="748">
        <v>387384</v>
      </c>
      <c r="D339" s="748">
        <v>128036</v>
      </c>
      <c r="E339" s="748">
        <v>599</v>
      </c>
      <c r="F339" s="748">
        <v>4432</v>
      </c>
      <c r="G339" s="748"/>
      <c r="H339" s="748" t="s">
        <v>573</v>
      </c>
      <c r="I339" s="748" t="s">
        <v>573</v>
      </c>
      <c r="J339" s="748">
        <v>68131</v>
      </c>
    </row>
    <row r="340" spans="1:11" s="428" customFormat="1" ht="9" customHeight="1" x14ac:dyDescent="0.25">
      <c r="A340" s="431"/>
      <c r="B340" s="746"/>
      <c r="C340" s="431"/>
      <c r="D340" s="746"/>
      <c r="E340" s="431"/>
      <c r="F340" s="431"/>
      <c r="G340" s="431"/>
      <c r="H340" s="431"/>
      <c r="I340" s="431"/>
      <c r="J340" s="749"/>
    </row>
    <row r="341" spans="1:11" s="428" customFormat="1" ht="9" customHeight="1" x14ac:dyDescent="0.25">
      <c r="A341" s="470">
        <v>2005</v>
      </c>
      <c r="B341" s="471"/>
      <c r="C341" s="471"/>
      <c r="D341" s="471"/>
      <c r="E341" s="471"/>
      <c r="F341" s="471"/>
      <c r="G341" s="471"/>
      <c r="H341" s="471"/>
      <c r="I341" s="473"/>
      <c r="J341" s="473"/>
    </row>
    <row r="342" spans="1:11" s="428" customFormat="1" ht="9" customHeight="1" x14ac:dyDescent="0.25">
      <c r="A342" s="473" t="s">
        <v>21</v>
      </c>
      <c r="B342" s="745">
        <f>SUM(B344:B375)</f>
        <v>69313759</v>
      </c>
      <c r="C342" s="745">
        <f>SUM(C344:C375)</f>
        <v>44960509</v>
      </c>
      <c r="D342" s="745">
        <f>SUM(D344:D375)</f>
        <v>10602046</v>
      </c>
      <c r="E342" s="745">
        <f>SUM(E344:E375)</f>
        <v>707581</v>
      </c>
      <c r="F342" s="745" t="s">
        <v>22</v>
      </c>
      <c r="G342" s="745"/>
      <c r="H342" s="745">
        <f>SUM(H344:H375)</f>
        <v>201375</v>
      </c>
      <c r="I342" s="745">
        <f>SUM(I344:I375)</f>
        <v>1437387</v>
      </c>
      <c r="J342" s="745">
        <f>SUM(J344:J375)</f>
        <v>11404861</v>
      </c>
      <c r="K342" s="745"/>
    </row>
    <row r="343" spans="1:11" s="428" customFormat="1" ht="3.95" customHeight="1" x14ac:dyDescent="0.25">
      <c r="A343" s="473"/>
      <c r="B343" s="745"/>
      <c r="C343" s="745"/>
      <c r="D343" s="745"/>
      <c r="E343" s="745"/>
      <c r="F343" s="745"/>
      <c r="G343" s="745"/>
      <c r="H343" s="745"/>
      <c r="I343" s="745"/>
      <c r="J343" s="745"/>
      <c r="K343" s="745"/>
    </row>
    <row r="344" spans="1:11" s="428" customFormat="1" ht="9" customHeight="1" x14ac:dyDescent="0.25">
      <c r="A344" s="428" t="s">
        <v>23</v>
      </c>
      <c r="B344" s="746">
        <f t="shared" ref="B344:B375" si="9">SUM(C344:J344)</f>
        <v>1033271</v>
      </c>
      <c r="C344" s="746">
        <v>642408</v>
      </c>
      <c r="D344" s="746">
        <v>109473</v>
      </c>
      <c r="E344" s="746">
        <v>1198</v>
      </c>
      <c r="F344" s="746" t="s">
        <v>22</v>
      </c>
      <c r="G344" s="746"/>
      <c r="H344" s="746">
        <v>0</v>
      </c>
      <c r="I344" s="746" t="s">
        <v>22</v>
      </c>
      <c r="J344" s="746">
        <v>280192</v>
      </c>
    </row>
    <row r="345" spans="1:11" s="428" customFormat="1" ht="9" customHeight="1" x14ac:dyDescent="0.25">
      <c r="A345" s="428" t="s">
        <v>24</v>
      </c>
      <c r="B345" s="746">
        <f t="shared" si="9"/>
        <v>2222495</v>
      </c>
      <c r="C345" s="746">
        <v>1738605</v>
      </c>
      <c r="D345" s="746">
        <v>137702</v>
      </c>
      <c r="E345" s="746">
        <v>2546</v>
      </c>
      <c r="F345" s="746" t="s">
        <v>22</v>
      </c>
      <c r="G345" s="746"/>
      <c r="H345" s="746">
        <v>3753</v>
      </c>
      <c r="I345" s="746">
        <v>123606</v>
      </c>
      <c r="J345" s="746">
        <v>216283</v>
      </c>
    </row>
    <row r="346" spans="1:11" s="428" customFormat="1" ht="9" customHeight="1" x14ac:dyDescent="0.25">
      <c r="A346" s="428" t="s">
        <v>25</v>
      </c>
      <c r="B346" s="746">
        <f t="shared" si="9"/>
        <v>444368</v>
      </c>
      <c r="C346" s="746">
        <v>295390</v>
      </c>
      <c r="D346" s="746">
        <v>95790</v>
      </c>
      <c r="E346" s="746">
        <v>429</v>
      </c>
      <c r="F346" s="746" t="s">
        <v>22</v>
      </c>
      <c r="G346" s="746"/>
      <c r="H346" s="746">
        <v>4118</v>
      </c>
      <c r="I346" s="746">
        <v>0</v>
      </c>
      <c r="J346" s="746">
        <v>48641</v>
      </c>
    </row>
    <row r="347" spans="1:11" s="428" customFormat="1" ht="9" customHeight="1" x14ac:dyDescent="0.25">
      <c r="A347" s="475" t="s">
        <v>26</v>
      </c>
      <c r="B347" s="748">
        <f t="shared" si="9"/>
        <v>684482</v>
      </c>
      <c r="C347" s="748">
        <v>361891</v>
      </c>
      <c r="D347" s="748">
        <v>82686</v>
      </c>
      <c r="E347" s="748">
        <v>24649</v>
      </c>
      <c r="F347" s="748" t="s">
        <v>22</v>
      </c>
      <c r="G347" s="748"/>
      <c r="H347" s="748">
        <v>8350</v>
      </c>
      <c r="I347" s="748">
        <v>0</v>
      </c>
      <c r="J347" s="748">
        <v>206906</v>
      </c>
    </row>
    <row r="348" spans="1:11" s="428" customFormat="1" ht="9" customHeight="1" x14ac:dyDescent="0.25">
      <c r="A348" s="428" t="s">
        <v>27</v>
      </c>
      <c r="B348" s="746">
        <f t="shared" si="9"/>
        <v>2084636</v>
      </c>
      <c r="C348" s="746">
        <v>1754032</v>
      </c>
      <c r="D348" s="746">
        <v>253345</v>
      </c>
      <c r="E348" s="746">
        <v>1772</v>
      </c>
      <c r="F348" s="746" t="s">
        <v>22</v>
      </c>
      <c r="G348" s="746"/>
      <c r="H348" s="746">
        <v>0</v>
      </c>
      <c r="I348" s="746">
        <v>0</v>
      </c>
      <c r="J348" s="746">
        <v>75487</v>
      </c>
    </row>
    <row r="349" spans="1:11" s="428" customFormat="1" ht="9" customHeight="1" x14ac:dyDescent="0.25">
      <c r="A349" s="428" t="s">
        <v>28</v>
      </c>
      <c r="B349" s="746">
        <f t="shared" si="9"/>
        <v>575679</v>
      </c>
      <c r="C349" s="746">
        <v>302043</v>
      </c>
      <c r="D349" s="746">
        <v>66541</v>
      </c>
      <c r="E349" s="746">
        <v>1460</v>
      </c>
      <c r="F349" s="746" t="s">
        <v>22</v>
      </c>
      <c r="G349" s="746"/>
      <c r="H349" s="746">
        <v>15297</v>
      </c>
      <c r="I349" s="746">
        <v>0</v>
      </c>
      <c r="J349" s="746">
        <v>190338</v>
      </c>
    </row>
    <row r="350" spans="1:11" s="428" customFormat="1" ht="9" customHeight="1" x14ac:dyDescent="0.25">
      <c r="A350" s="428" t="s">
        <v>29</v>
      </c>
      <c r="B350" s="746">
        <f t="shared" si="9"/>
        <v>1578618</v>
      </c>
      <c r="C350" s="746">
        <v>682923</v>
      </c>
      <c r="D350" s="746">
        <v>251146</v>
      </c>
      <c r="E350" s="746">
        <v>9336</v>
      </c>
      <c r="F350" s="746" t="s">
        <v>22</v>
      </c>
      <c r="G350" s="746"/>
      <c r="H350" s="746">
        <v>7820</v>
      </c>
      <c r="I350" s="746">
        <v>72062</v>
      </c>
      <c r="J350" s="746">
        <v>555331</v>
      </c>
    </row>
    <row r="351" spans="1:11" s="428" customFormat="1" ht="9" customHeight="1" x14ac:dyDescent="0.25">
      <c r="A351" s="475" t="s">
        <v>30</v>
      </c>
      <c r="B351" s="748">
        <f t="shared" si="9"/>
        <v>2463824</v>
      </c>
      <c r="C351" s="748">
        <v>2064052</v>
      </c>
      <c r="D351" s="748">
        <v>261918</v>
      </c>
      <c r="E351" s="748">
        <v>4052</v>
      </c>
      <c r="F351" s="748" t="s">
        <v>22</v>
      </c>
      <c r="G351" s="748"/>
      <c r="H351" s="748">
        <v>0</v>
      </c>
      <c r="I351" s="748">
        <v>0</v>
      </c>
      <c r="J351" s="748">
        <v>133802</v>
      </c>
    </row>
    <row r="352" spans="1:11" s="428" customFormat="1" ht="9" customHeight="1" x14ac:dyDescent="0.25">
      <c r="A352" s="405" t="s">
        <v>63</v>
      </c>
      <c r="B352" s="746">
        <f t="shared" si="9"/>
        <v>10254901</v>
      </c>
      <c r="C352" s="746">
        <v>6718291</v>
      </c>
      <c r="D352" s="746">
        <v>3174959</v>
      </c>
      <c r="E352" s="746">
        <v>70579</v>
      </c>
      <c r="F352" s="746" t="s">
        <v>22</v>
      </c>
      <c r="G352" s="746"/>
      <c r="H352" s="746">
        <v>40016</v>
      </c>
      <c r="I352" s="746">
        <v>42000</v>
      </c>
      <c r="J352" s="746">
        <v>209056</v>
      </c>
    </row>
    <row r="353" spans="1:10" s="428" customFormat="1" ht="9" customHeight="1" x14ac:dyDescent="0.25">
      <c r="A353" s="428" t="s">
        <v>31</v>
      </c>
      <c r="B353" s="746">
        <f t="shared" si="9"/>
        <v>1034559</v>
      </c>
      <c r="C353" s="746">
        <v>688211</v>
      </c>
      <c r="D353" s="746">
        <v>279202</v>
      </c>
      <c r="E353" s="746">
        <v>1978</v>
      </c>
      <c r="F353" s="746" t="s">
        <v>22</v>
      </c>
      <c r="G353" s="746"/>
      <c r="H353" s="746">
        <v>0</v>
      </c>
      <c r="I353" s="746">
        <v>0</v>
      </c>
      <c r="J353" s="746">
        <v>65168</v>
      </c>
    </row>
    <row r="354" spans="1:10" s="428" customFormat="1" ht="9" customHeight="1" x14ac:dyDescent="0.25">
      <c r="A354" s="428" t="s">
        <v>32</v>
      </c>
      <c r="B354" s="746">
        <f t="shared" si="9"/>
        <v>3764143</v>
      </c>
      <c r="C354" s="746">
        <v>2135380</v>
      </c>
      <c r="D354" s="746">
        <v>354384</v>
      </c>
      <c r="E354" s="746">
        <v>34611</v>
      </c>
      <c r="F354" s="746" t="s">
        <v>22</v>
      </c>
      <c r="G354" s="746"/>
      <c r="H354" s="746">
        <v>0</v>
      </c>
      <c r="I354" s="746">
        <v>0</v>
      </c>
      <c r="J354" s="746">
        <v>1239768</v>
      </c>
    </row>
    <row r="355" spans="1:10" s="428" customFormat="1" ht="9" customHeight="1" x14ac:dyDescent="0.25">
      <c r="A355" s="475" t="s">
        <v>33</v>
      </c>
      <c r="B355" s="748">
        <f t="shared" si="9"/>
        <v>1311895</v>
      </c>
      <c r="C355" s="748">
        <v>694597</v>
      </c>
      <c r="D355" s="748">
        <v>430771</v>
      </c>
      <c r="E355" s="748">
        <v>1080</v>
      </c>
      <c r="F355" s="748" t="s">
        <v>22</v>
      </c>
      <c r="G355" s="748"/>
      <c r="H355" s="748">
        <v>8578</v>
      </c>
      <c r="I355" s="748">
        <v>0</v>
      </c>
      <c r="J355" s="748">
        <v>176869</v>
      </c>
    </row>
    <row r="356" spans="1:10" s="428" customFormat="1" ht="9" customHeight="1" x14ac:dyDescent="0.25">
      <c r="A356" s="428" t="s">
        <v>34</v>
      </c>
      <c r="B356" s="746">
        <f t="shared" si="9"/>
        <v>1181736</v>
      </c>
      <c r="C356" s="746">
        <v>659185</v>
      </c>
      <c r="D356" s="746">
        <v>215355</v>
      </c>
      <c r="E356" s="746">
        <v>19026</v>
      </c>
      <c r="F356" s="746" t="s">
        <v>22</v>
      </c>
      <c r="G356" s="746"/>
      <c r="H356" s="746">
        <v>0</v>
      </c>
      <c r="I356" s="746">
        <v>0</v>
      </c>
      <c r="J356" s="746">
        <v>288170</v>
      </c>
    </row>
    <row r="357" spans="1:10" s="428" customFormat="1" ht="9" customHeight="1" x14ac:dyDescent="0.25">
      <c r="A357" s="428" t="s">
        <v>35</v>
      </c>
      <c r="B357" s="746">
        <f t="shared" si="9"/>
        <v>4385583</v>
      </c>
      <c r="C357" s="746">
        <v>3532708</v>
      </c>
      <c r="D357" s="746">
        <v>329960</v>
      </c>
      <c r="E357" s="746">
        <v>5019</v>
      </c>
      <c r="F357" s="746" t="s">
        <v>22</v>
      </c>
      <c r="G357" s="746"/>
      <c r="H357" s="746">
        <v>1498</v>
      </c>
      <c r="I357" s="746">
        <v>0</v>
      </c>
      <c r="J357" s="746">
        <v>516398</v>
      </c>
    </row>
    <row r="358" spans="1:10" s="428" customFormat="1" ht="9" customHeight="1" x14ac:dyDescent="0.25">
      <c r="A358" s="428" t="s">
        <v>36</v>
      </c>
      <c r="B358" s="746">
        <f t="shared" si="9"/>
        <v>6478160</v>
      </c>
      <c r="C358" s="746">
        <v>3889935</v>
      </c>
      <c r="D358" s="746">
        <v>835536</v>
      </c>
      <c r="E358" s="746">
        <v>18935</v>
      </c>
      <c r="F358" s="746" t="s">
        <v>22</v>
      </c>
      <c r="G358" s="746"/>
      <c r="H358" s="746">
        <v>0</v>
      </c>
      <c r="I358" s="746">
        <v>807345</v>
      </c>
      <c r="J358" s="746">
        <v>926409</v>
      </c>
    </row>
    <row r="359" spans="1:10" s="428" customFormat="1" ht="9" customHeight="1" x14ac:dyDescent="0.25">
      <c r="A359" s="475" t="s">
        <v>37</v>
      </c>
      <c r="B359" s="748">
        <f t="shared" si="9"/>
        <v>1712783</v>
      </c>
      <c r="C359" s="748">
        <v>1167618</v>
      </c>
      <c r="D359" s="748">
        <v>356714</v>
      </c>
      <c r="E359" s="748">
        <v>2807</v>
      </c>
      <c r="F359" s="748" t="s">
        <v>22</v>
      </c>
      <c r="G359" s="748"/>
      <c r="H359" s="748">
        <v>10768</v>
      </c>
      <c r="I359" s="748">
        <v>0</v>
      </c>
      <c r="J359" s="748">
        <v>174876</v>
      </c>
    </row>
    <row r="360" spans="1:10" s="428" customFormat="1" ht="9" customHeight="1" x14ac:dyDescent="0.25">
      <c r="A360" s="428" t="s">
        <v>38</v>
      </c>
      <c r="B360" s="746">
        <f t="shared" si="9"/>
        <v>993439</v>
      </c>
      <c r="C360" s="746">
        <v>554900</v>
      </c>
      <c r="D360" s="746">
        <v>174759</v>
      </c>
      <c r="E360" s="746">
        <v>1475</v>
      </c>
      <c r="F360" s="746" t="s">
        <v>22</v>
      </c>
      <c r="G360" s="746"/>
      <c r="H360" s="746">
        <v>0</v>
      </c>
      <c r="I360" s="746">
        <v>0</v>
      </c>
      <c r="J360" s="746">
        <v>262305</v>
      </c>
    </row>
    <row r="361" spans="1:10" s="428" customFormat="1" ht="9" customHeight="1" x14ac:dyDescent="0.25">
      <c r="A361" s="428" t="s">
        <v>39</v>
      </c>
      <c r="B361" s="746">
        <f t="shared" si="9"/>
        <v>744995</v>
      </c>
      <c r="C361" s="746">
        <v>377305</v>
      </c>
      <c r="D361" s="746">
        <v>138880</v>
      </c>
      <c r="E361" s="746">
        <v>366</v>
      </c>
      <c r="F361" s="746" t="s">
        <v>22</v>
      </c>
      <c r="G361" s="746"/>
      <c r="H361" s="746">
        <v>998</v>
      </c>
      <c r="I361" s="746">
        <v>0</v>
      </c>
      <c r="J361" s="746">
        <v>227446</v>
      </c>
    </row>
    <row r="362" spans="1:10" s="428" customFormat="1" ht="9" customHeight="1" x14ac:dyDescent="0.25">
      <c r="A362" s="428" t="s">
        <v>40</v>
      </c>
      <c r="B362" s="746">
        <f t="shared" si="9"/>
        <v>3455800</v>
      </c>
      <c r="C362" s="746">
        <v>3042640</v>
      </c>
      <c r="D362" s="746">
        <v>201858</v>
      </c>
      <c r="E362" s="746">
        <v>23225</v>
      </c>
      <c r="F362" s="746" t="s">
        <v>22</v>
      </c>
      <c r="G362" s="746"/>
      <c r="H362" s="746">
        <v>0</v>
      </c>
      <c r="I362" s="746">
        <v>0</v>
      </c>
      <c r="J362" s="746">
        <v>188077</v>
      </c>
    </row>
    <row r="363" spans="1:10" s="428" customFormat="1" ht="9" customHeight="1" x14ac:dyDescent="0.25">
      <c r="A363" s="475" t="s">
        <v>41</v>
      </c>
      <c r="B363" s="748">
        <f t="shared" si="9"/>
        <v>1336739</v>
      </c>
      <c r="C363" s="748">
        <v>649038</v>
      </c>
      <c r="D363" s="748">
        <v>318110</v>
      </c>
      <c r="E363" s="748">
        <v>26392</v>
      </c>
      <c r="F363" s="748" t="s">
        <v>22</v>
      </c>
      <c r="G363" s="748"/>
      <c r="H363" s="748">
        <v>13966</v>
      </c>
      <c r="I363" s="748">
        <v>0</v>
      </c>
      <c r="J363" s="748">
        <v>329233</v>
      </c>
    </row>
    <row r="364" spans="1:10" s="428" customFormat="1" ht="9" customHeight="1" x14ac:dyDescent="0.25">
      <c r="A364" s="428" t="s">
        <v>42</v>
      </c>
      <c r="B364" s="746">
        <f t="shared" si="9"/>
        <v>2590918</v>
      </c>
      <c r="C364" s="746">
        <v>1477160</v>
      </c>
      <c r="D364" s="746">
        <v>296773</v>
      </c>
      <c r="E364" s="746">
        <v>14500</v>
      </c>
      <c r="F364" s="746" t="s">
        <v>22</v>
      </c>
      <c r="G364" s="746"/>
      <c r="H364" s="746">
        <v>0</v>
      </c>
      <c r="I364" s="746">
        <v>0</v>
      </c>
      <c r="J364" s="746">
        <v>802485</v>
      </c>
    </row>
    <row r="365" spans="1:10" s="428" customFormat="1" ht="9" customHeight="1" x14ac:dyDescent="0.25">
      <c r="A365" s="428" t="s">
        <v>43</v>
      </c>
      <c r="B365" s="746">
        <f t="shared" si="9"/>
        <v>1217259</v>
      </c>
      <c r="C365" s="746">
        <v>969795</v>
      </c>
      <c r="D365" s="746">
        <v>109436</v>
      </c>
      <c r="E365" s="746">
        <v>3053</v>
      </c>
      <c r="F365" s="746" t="s">
        <v>22</v>
      </c>
      <c r="G365" s="746"/>
      <c r="H365" s="746">
        <v>0</v>
      </c>
      <c r="I365" s="746">
        <v>0</v>
      </c>
      <c r="J365" s="746">
        <v>134975</v>
      </c>
    </row>
    <row r="366" spans="1:10" s="428" customFormat="1" ht="9" customHeight="1" x14ac:dyDescent="0.25">
      <c r="A366" s="428" t="s">
        <v>44</v>
      </c>
      <c r="B366" s="746">
        <f t="shared" si="9"/>
        <v>788372</v>
      </c>
      <c r="C366" s="746">
        <v>609884</v>
      </c>
      <c r="D366" s="746">
        <v>100556</v>
      </c>
      <c r="E366" s="746">
        <v>0</v>
      </c>
      <c r="F366" s="746" t="s">
        <v>22</v>
      </c>
      <c r="G366" s="746"/>
      <c r="H366" s="746">
        <v>3535</v>
      </c>
      <c r="I366" s="746">
        <v>0</v>
      </c>
      <c r="J366" s="746">
        <v>74397</v>
      </c>
    </row>
    <row r="367" spans="1:10" s="428" customFormat="1" ht="9" customHeight="1" x14ac:dyDescent="0.25">
      <c r="A367" s="475" t="s">
        <v>45</v>
      </c>
      <c r="B367" s="748">
        <f t="shared" si="9"/>
        <v>1748195</v>
      </c>
      <c r="C367" s="748">
        <v>1053129</v>
      </c>
      <c r="D367" s="748">
        <v>238551</v>
      </c>
      <c r="E367" s="748">
        <v>5644</v>
      </c>
      <c r="F367" s="748" t="s">
        <v>22</v>
      </c>
      <c r="G367" s="748"/>
      <c r="H367" s="748">
        <v>0</v>
      </c>
      <c r="I367" s="748">
        <v>0</v>
      </c>
      <c r="J367" s="748">
        <v>450871</v>
      </c>
    </row>
    <row r="368" spans="1:10" s="428" customFormat="1" ht="9" customHeight="1" x14ac:dyDescent="0.25">
      <c r="A368" s="428" t="s">
        <v>46</v>
      </c>
      <c r="B368" s="746">
        <f t="shared" si="9"/>
        <v>2068746</v>
      </c>
      <c r="C368" s="746">
        <v>1303227</v>
      </c>
      <c r="D368" s="746">
        <v>304082</v>
      </c>
      <c r="E368" s="746">
        <v>2673</v>
      </c>
      <c r="F368" s="746" t="s">
        <v>22</v>
      </c>
      <c r="G368" s="746"/>
      <c r="H368" s="746">
        <v>3491</v>
      </c>
      <c r="I368" s="746">
        <v>0</v>
      </c>
      <c r="J368" s="746">
        <v>455273</v>
      </c>
    </row>
    <row r="369" spans="1:11" s="428" customFormat="1" ht="9" customHeight="1" x14ac:dyDescent="0.25">
      <c r="A369" s="428" t="s">
        <v>47</v>
      </c>
      <c r="B369" s="746">
        <f t="shared" si="9"/>
        <v>1958757</v>
      </c>
      <c r="C369" s="746">
        <v>1312204</v>
      </c>
      <c r="D369" s="746">
        <v>210017</v>
      </c>
      <c r="E369" s="746">
        <v>4852</v>
      </c>
      <c r="F369" s="746" t="s">
        <v>22</v>
      </c>
      <c r="G369" s="746"/>
      <c r="H369" s="746">
        <v>5083</v>
      </c>
      <c r="I369" s="746">
        <v>155054</v>
      </c>
      <c r="J369" s="746">
        <v>271547</v>
      </c>
    </row>
    <row r="370" spans="1:11" s="428" customFormat="1" ht="9" customHeight="1" x14ac:dyDescent="0.25">
      <c r="A370" s="428" t="s">
        <v>48</v>
      </c>
      <c r="B370" s="746">
        <f t="shared" si="9"/>
        <v>2137456</v>
      </c>
      <c r="C370" s="746">
        <v>573878</v>
      </c>
      <c r="D370" s="746">
        <v>147173</v>
      </c>
      <c r="E370" s="746">
        <v>107115</v>
      </c>
      <c r="F370" s="746" t="s">
        <v>22</v>
      </c>
      <c r="G370" s="746"/>
      <c r="H370" s="746">
        <v>4697</v>
      </c>
      <c r="I370" s="746">
        <v>237320</v>
      </c>
      <c r="J370" s="746">
        <v>1067273</v>
      </c>
    </row>
    <row r="371" spans="1:11" s="428" customFormat="1" ht="9" customHeight="1" x14ac:dyDescent="0.25">
      <c r="A371" s="475" t="s">
        <v>49</v>
      </c>
      <c r="B371" s="748">
        <f t="shared" si="9"/>
        <v>2801440</v>
      </c>
      <c r="C371" s="748">
        <v>1776426</v>
      </c>
      <c r="D371" s="748">
        <v>331545</v>
      </c>
      <c r="E371" s="748">
        <v>96177</v>
      </c>
      <c r="F371" s="748" t="s">
        <v>22</v>
      </c>
      <c r="G371" s="748"/>
      <c r="H371" s="748">
        <v>13674</v>
      </c>
      <c r="I371" s="748">
        <v>0</v>
      </c>
      <c r="J371" s="748">
        <v>583618</v>
      </c>
    </row>
    <row r="372" spans="1:11" s="428" customFormat="1" ht="9" customHeight="1" x14ac:dyDescent="0.25">
      <c r="A372" s="428" t="s">
        <v>50</v>
      </c>
      <c r="B372" s="746">
        <f t="shared" si="9"/>
        <v>505469</v>
      </c>
      <c r="C372" s="746">
        <v>300642</v>
      </c>
      <c r="D372" s="746">
        <v>98805</v>
      </c>
      <c r="E372" s="746">
        <v>424</v>
      </c>
      <c r="F372" s="746" t="s">
        <v>22</v>
      </c>
      <c r="G372" s="746"/>
      <c r="H372" s="746">
        <v>0</v>
      </c>
      <c r="I372" s="746">
        <v>0</v>
      </c>
      <c r="J372" s="746">
        <v>105598</v>
      </c>
    </row>
    <row r="373" spans="1:11" s="428" customFormat="1" ht="9" customHeight="1" x14ac:dyDescent="0.25">
      <c r="A373" s="428" t="s">
        <v>51</v>
      </c>
      <c r="B373" s="746">
        <f t="shared" si="9"/>
        <v>3696838</v>
      </c>
      <c r="C373" s="746">
        <v>2251076</v>
      </c>
      <c r="D373" s="746">
        <v>426781</v>
      </c>
      <c r="E373" s="746">
        <v>216624</v>
      </c>
      <c r="F373" s="746" t="s">
        <v>22</v>
      </c>
      <c r="G373" s="746"/>
      <c r="H373" s="746">
        <v>52028</v>
      </c>
      <c r="I373" s="746">
        <v>0</v>
      </c>
      <c r="J373" s="746">
        <v>750329</v>
      </c>
    </row>
    <row r="374" spans="1:11" s="428" customFormat="1" ht="9" customHeight="1" x14ac:dyDescent="0.25">
      <c r="A374" s="428" t="s">
        <v>52</v>
      </c>
      <c r="B374" s="746">
        <f t="shared" si="9"/>
        <v>1158031</v>
      </c>
      <c r="C374" s="746">
        <v>821558</v>
      </c>
      <c r="D374" s="746">
        <v>139153</v>
      </c>
      <c r="E374" s="746">
        <v>4949</v>
      </c>
      <c r="F374" s="746" t="s">
        <v>22</v>
      </c>
      <c r="G374" s="746"/>
      <c r="H374" s="746">
        <v>3705</v>
      </c>
      <c r="I374" s="746">
        <v>0</v>
      </c>
      <c r="J374" s="746">
        <v>188666</v>
      </c>
    </row>
    <row r="375" spans="1:11" s="428" customFormat="1" ht="9" customHeight="1" x14ac:dyDescent="0.25">
      <c r="A375" s="475" t="s">
        <v>53</v>
      </c>
      <c r="B375" s="748">
        <f t="shared" si="9"/>
        <v>900172</v>
      </c>
      <c r="C375" s="748">
        <v>560378</v>
      </c>
      <c r="D375" s="748">
        <v>130085</v>
      </c>
      <c r="E375" s="748">
        <v>635</v>
      </c>
      <c r="F375" s="748" t="s">
        <v>573</v>
      </c>
      <c r="G375" s="748"/>
      <c r="H375" s="748" t="s">
        <v>573</v>
      </c>
      <c r="I375" s="748" t="s">
        <v>573</v>
      </c>
      <c r="J375" s="748">
        <v>209074</v>
      </c>
    </row>
    <row r="376" spans="1:11" s="428" customFormat="1" ht="9" customHeight="1" x14ac:dyDescent="0.25">
      <c r="A376" s="431"/>
      <c r="B376" s="746"/>
      <c r="C376" s="431"/>
      <c r="D376" s="746"/>
      <c r="E376" s="431"/>
      <c r="F376" s="431"/>
      <c r="G376" s="431"/>
      <c r="H376" s="431"/>
      <c r="I376" s="431"/>
      <c r="J376" s="749"/>
    </row>
    <row r="377" spans="1:11" s="428" customFormat="1" ht="9" customHeight="1" x14ac:dyDescent="0.25">
      <c r="A377" s="470">
        <v>2006</v>
      </c>
      <c r="B377" s="471"/>
      <c r="C377" s="471"/>
      <c r="D377" s="471"/>
      <c r="E377" s="471"/>
      <c r="F377" s="471"/>
      <c r="G377" s="471"/>
      <c r="H377" s="471"/>
      <c r="I377" s="473"/>
      <c r="J377" s="473"/>
    </row>
    <row r="378" spans="1:11" s="428" customFormat="1" ht="9" customHeight="1" x14ac:dyDescent="0.25">
      <c r="A378" s="473" t="s">
        <v>13</v>
      </c>
      <c r="B378" s="745">
        <f>SUM(B380:B412)</f>
        <v>76833566</v>
      </c>
      <c r="C378" s="745">
        <f>SUM(C380:C412)</f>
        <v>47918149</v>
      </c>
      <c r="D378" s="745">
        <f>SUM(D380:D412)</f>
        <v>10798948</v>
      </c>
      <c r="E378" s="745">
        <f>SUM(E380:E412)</f>
        <v>712466</v>
      </c>
      <c r="F378" s="745" t="s">
        <v>22</v>
      </c>
      <c r="G378" s="745"/>
      <c r="H378" s="745">
        <f>SUM(H380:H412)</f>
        <v>197116</v>
      </c>
      <c r="I378" s="745">
        <f>SUM(I380:I412)</f>
        <v>1534513</v>
      </c>
      <c r="J378" s="745">
        <f>SUM(J380:J412)</f>
        <v>15672374</v>
      </c>
      <c r="K378" s="745"/>
    </row>
    <row r="379" spans="1:11" s="428" customFormat="1" ht="3.95" customHeight="1" x14ac:dyDescent="0.25">
      <c r="A379" s="473"/>
      <c r="B379" s="745"/>
      <c r="C379" s="745"/>
      <c r="D379" s="745"/>
      <c r="E379" s="745"/>
      <c r="F379" s="745"/>
      <c r="G379" s="745"/>
      <c r="H379" s="745"/>
      <c r="I379" s="745"/>
      <c r="J379" s="745"/>
      <c r="K379" s="745"/>
    </row>
    <row r="380" spans="1:11" s="428" customFormat="1" ht="9" customHeight="1" x14ac:dyDescent="0.25">
      <c r="A380" s="428" t="s">
        <v>23</v>
      </c>
      <c r="B380" s="746">
        <f t="shared" ref="B380:B412" si="10">SUM(C380:J380)</f>
        <v>1204138</v>
      </c>
      <c r="C380" s="746">
        <v>713100</v>
      </c>
      <c r="D380" s="746">
        <v>111519</v>
      </c>
      <c r="E380" s="746">
        <v>1189</v>
      </c>
      <c r="F380" s="746" t="s">
        <v>22</v>
      </c>
      <c r="G380" s="746"/>
      <c r="H380" s="746">
        <v>0</v>
      </c>
      <c r="I380" s="746">
        <v>56883</v>
      </c>
      <c r="J380" s="746">
        <v>321447</v>
      </c>
    </row>
    <row r="381" spans="1:11" s="428" customFormat="1" ht="9" customHeight="1" x14ac:dyDescent="0.25">
      <c r="A381" s="428" t="s">
        <v>24</v>
      </c>
      <c r="B381" s="746">
        <f t="shared" si="10"/>
        <v>2418808</v>
      </c>
      <c r="C381" s="746">
        <v>1841356</v>
      </c>
      <c r="D381" s="746">
        <v>140080</v>
      </c>
      <c r="E381" s="746">
        <v>2698</v>
      </c>
      <c r="F381" s="746" t="s">
        <v>22</v>
      </c>
      <c r="G381" s="746"/>
      <c r="H381" s="746">
        <v>3452</v>
      </c>
      <c r="I381" s="746">
        <v>125974</v>
      </c>
      <c r="J381" s="746">
        <v>305248</v>
      </c>
    </row>
    <row r="382" spans="1:11" s="428" customFormat="1" ht="9" customHeight="1" x14ac:dyDescent="0.25">
      <c r="A382" s="428" t="s">
        <v>25</v>
      </c>
      <c r="B382" s="746">
        <f t="shared" si="10"/>
        <v>537704</v>
      </c>
      <c r="C382" s="746">
        <v>334037</v>
      </c>
      <c r="D382" s="746">
        <v>97767</v>
      </c>
      <c r="E382" s="746">
        <v>429</v>
      </c>
      <c r="F382" s="746" t="s">
        <v>22</v>
      </c>
      <c r="G382" s="746"/>
      <c r="H382" s="746">
        <v>3918</v>
      </c>
      <c r="I382" s="746">
        <v>0</v>
      </c>
      <c r="J382" s="746">
        <v>101553</v>
      </c>
    </row>
    <row r="383" spans="1:11" s="428" customFormat="1" ht="9" customHeight="1" x14ac:dyDescent="0.25">
      <c r="A383" s="475" t="s">
        <v>26</v>
      </c>
      <c r="B383" s="748">
        <f t="shared" si="10"/>
        <v>731211</v>
      </c>
      <c r="C383" s="748">
        <v>396059</v>
      </c>
      <c r="D383" s="748">
        <v>84033</v>
      </c>
      <c r="E383" s="748">
        <v>26073</v>
      </c>
      <c r="F383" s="748" t="s">
        <v>22</v>
      </c>
      <c r="G383" s="748"/>
      <c r="H383" s="748">
        <v>7950</v>
      </c>
      <c r="I383" s="748">
        <v>0</v>
      </c>
      <c r="J383" s="748">
        <v>217096</v>
      </c>
    </row>
    <row r="384" spans="1:11" s="428" customFormat="1" ht="9" customHeight="1" x14ac:dyDescent="0.25">
      <c r="A384" s="428" t="s">
        <v>27</v>
      </c>
      <c r="B384" s="746">
        <f t="shared" si="10"/>
        <v>2253183</v>
      </c>
      <c r="C384" s="746">
        <v>1835179</v>
      </c>
      <c r="D384" s="746">
        <v>257443</v>
      </c>
      <c r="E384" s="746">
        <v>4436</v>
      </c>
      <c r="F384" s="746" t="s">
        <v>22</v>
      </c>
      <c r="G384" s="746"/>
      <c r="H384" s="746">
        <v>0</v>
      </c>
      <c r="I384" s="746">
        <v>0</v>
      </c>
      <c r="J384" s="746">
        <v>156125</v>
      </c>
    </row>
    <row r="385" spans="1:10" s="428" customFormat="1" ht="9" customHeight="1" x14ac:dyDescent="0.25">
      <c r="A385" s="428" t="s">
        <v>28</v>
      </c>
      <c r="B385" s="746">
        <f t="shared" si="10"/>
        <v>622306</v>
      </c>
      <c r="C385" s="746">
        <v>324386</v>
      </c>
      <c r="D385" s="746">
        <v>67600</v>
      </c>
      <c r="E385" s="746">
        <v>9502</v>
      </c>
      <c r="F385" s="746" t="s">
        <v>22</v>
      </c>
      <c r="G385" s="746"/>
      <c r="H385" s="746">
        <v>14980</v>
      </c>
      <c r="I385" s="746">
        <v>0</v>
      </c>
      <c r="J385" s="746">
        <v>205838</v>
      </c>
    </row>
    <row r="386" spans="1:10" s="428" customFormat="1" ht="9" customHeight="1" x14ac:dyDescent="0.25">
      <c r="A386" s="428" t="s">
        <v>29</v>
      </c>
      <c r="B386" s="746">
        <f t="shared" si="10"/>
        <v>2064104</v>
      </c>
      <c r="C386" s="746">
        <v>746405</v>
      </c>
      <c r="D386" s="746">
        <v>255541</v>
      </c>
      <c r="E386" s="746">
        <v>1756</v>
      </c>
      <c r="F386" s="746" t="s">
        <v>22</v>
      </c>
      <c r="G386" s="746"/>
      <c r="H386" s="746">
        <v>6321</v>
      </c>
      <c r="I386" s="746">
        <v>0</v>
      </c>
      <c r="J386" s="746">
        <v>1054081</v>
      </c>
    </row>
    <row r="387" spans="1:10" s="428" customFormat="1" ht="9" customHeight="1" x14ac:dyDescent="0.25">
      <c r="A387" s="475" t="s">
        <v>30</v>
      </c>
      <c r="B387" s="748">
        <f t="shared" si="10"/>
        <v>2707121</v>
      </c>
      <c r="C387" s="748">
        <v>2153103</v>
      </c>
      <c r="D387" s="748">
        <v>265928</v>
      </c>
      <c r="E387" s="748">
        <v>1446</v>
      </c>
      <c r="F387" s="748" t="s">
        <v>22</v>
      </c>
      <c r="G387" s="748"/>
      <c r="H387" s="748">
        <v>0</v>
      </c>
      <c r="I387" s="748">
        <v>0</v>
      </c>
      <c r="J387" s="748">
        <v>286644</v>
      </c>
    </row>
    <row r="388" spans="1:10" s="428" customFormat="1" ht="9" customHeight="1" x14ac:dyDescent="0.25">
      <c r="A388" s="405" t="s">
        <v>63</v>
      </c>
      <c r="B388" s="746">
        <f t="shared" si="10"/>
        <v>10846970</v>
      </c>
      <c r="C388" s="746">
        <v>7128984</v>
      </c>
      <c r="D388" s="746">
        <v>3248110</v>
      </c>
      <c r="E388" s="746">
        <v>70785</v>
      </c>
      <c r="F388" s="746" t="s">
        <v>22</v>
      </c>
      <c r="G388" s="746"/>
      <c r="H388" s="746">
        <v>38976</v>
      </c>
      <c r="I388" s="746">
        <v>42507</v>
      </c>
      <c r="J388" s="746">
        <v>317608</v>
      </c>
    </row>
    <row r="389" spans="1:10" s="428" customFormat="1" ht="9" customHeight="1" x14ac:dyDescent="0.25">
      <c r="A389" s="428" t="s">
        <v>31</v>
      </c>
      <c r="B389" s="746">
        <f t="shared" si="10"/>
        <v>1136006</v>
      </c>
      <c r="C389" s="746">
        <v>709925</v>
      </c>
      <c r="D389" s="746">
        <v>283276</v>
      </c>
      <c r="E389" s="746">
        <v>1561</v>
      </c>
      <c r="F389" s="746" t="s">
        <v>22</v>
      </c>
      <c r="G389" s="746"/>
      <c r="H389" s="746">
        <v>0</v>
      </c>
      <c r="I389" s="746">
        <v>0</v>
      </c>
      <c r="J389" s="746">
        <v>141244</v>
      </c>
    </row>
    <row r="390" spans="1:10" s="428" customFormat="1" ht="9" customHeight="1" x14ac:dyDescent="0.25">
      <c r="A390" s="428" t="s">
        <v>32</v>
      </c>
      <c r="B390" s="746">
        <f t="shared" si="10"/>
        <v>4209387</v>
      </c>
      <c r="C390" s="746">
        <v>2295567</v>
      </c>
      <c r="D390" s="746">
        <v>359577</v>
      </c>
      <c r="E390" s="746">
        <v>18884</v>
      </c>
      <c r="F390" s="746" t="s">
        <v>22</v>
      </c>
      <c r="G390" s="746"/>
      <c r="H390" s="746">
        <v>0</v>
      </c>
      <c r="I390" s="746">
        <v>0</v>
      </c>
      <c r="J390" s="746">
        <v>1535359</v>
      </c>
    </row>
    <row r="391" spans="1:10" s="428" customFormat="1" ht="9" customHeight="1" x14ac:dyDescent="0.25">
      <c r="A391" s="475" t="s">
        <v>33</v>
      </c>
      <c r="B391" s="748">
        <f t="shared" si="10"/>
        <v>1827017</v>
      </c>
      <c r="C391" s="748">
        <v>753996</v>
      </c>
      <c r="D391" s="748">
        <v>436892</v>
      </c>
      <c r="E391" s="748">
        <v>1062</v>
      </c>
      <c r="F391" s="748" t="s">
        <v>22</v>
      </c>
      <c r="G391" s="748"/>
      <c r="H391" s="748">
        <v>7432</v>
      </c>
      <c r="I391" s="748">
        <v>0</v>
      </c>
      <c r="J391" s="748">
        <v>627635</v>
      </c>
    </row>
    <row r="392" spans="1:10" s="428" customFormat="1" ht="9" customHeight="1" x14ac:dyDescent="0.25">
      <c r="A392" s="428" t="s">
        <v>34</v>
      </c>
      <c r="B392" s="746">
        <f t="shared" si="10"/>
        <v>1411989</v>
      </c>
      <c r="C392" s="746">
        <v>695393</v>
      </c>
      <c r="D392" s="746">
        <v>218723</v>
      </c>
      <c r="E392" s="746">
        <v>33068</v>
      </c>
      <c r="F392" s="746" t="s">
        <v>22</v>
      </c>
      <c r="G392" s="746"/>
      <c r="H392" s="746">
        <v>0</v>
      </c>
      <c r="I392" s="746">
        <v>0</v>
      </c>
      <c r="J392" s="746">
        <v>464805</v>
      </c>
    </row>
    <row r="393" spans="1:10" s="428" customFormat="1" ht="9" customHeight="1" x14ac:dyDescent="0.25">
      <c r="A393" s="428" t="s">
        <v>35</v>
      </c>
      <c r="B393" s="746">
        <f t="shared" si="10"/>
        <v>4773840</v>
      </c>
      <c r="C393" s="746">
        <v>3782827</v>
      </c>
      <c r="D393" s="746">
        <v>335554</v>
      </c>
      <c r="E393" s="746">
        <v>19546</v>
      </c>
      <c r="F393" s="746" t="s">
        <v>22</v>
      </c>
      <c r="G393" s="746"/>
      <c r="H393" s="746">
        <v>1567</v>
      </c>
      <c r="I393" s="746">
        <v>0</v>
      </c>
      <c r="J393" s="746">
        <v>634346</v>
      </c>
    </row>
    <row r="394" spans="1:10" s="428" customFormat="1" ht="9" customHeight="1" x14ac:dyDescent="0.25">
      <c r="A394" s="428" t="s">
        <v>36</v>
      </c>
      <c r="B394" s="746">
        <f t="shared" si="10"/>
        <v>7122470</v>
      </c>
      <c r="C394" s="746">
        <v>4200889</v>
      </c>
      <c r="D394" s="746">
        <v>847202</v>
      </c>
      <c r="E394" s="746">
        <v>5057</v>
      </c>
      <c r="F394" s="746" t="s">
        <v>22</v>
      </c>
      <c r="G394" s="746"/>
      <c r="H394" s="746">
        <v>0</v>
      </c>
      <c r="I394" s="746">
        <v>802005</v>
      </c>
      <c r="J394" s="746">
        <v>1267317</v>
      </c>
    </row>
    <row r="395" spans="1:10" s="428" customFormat="1" ht="9" customHeight="1" x14ac:dyDescent="0.25">
      <c r="A395" s="475" t="s">
        <v>37</v>
      </c>
      <c r="B395" s="748">
        <f t="shared" si="10"/>
        <v>1939602</v>
      </c>
      <c r="C395" s="748">
        <v>1254472</v>
      </c>
      <c r="D395" s="748">
        <v>361918</v>
      </c>
      <c r="E395" s="748">
        <v>2881</v>
      </c>
      <c r="F395" s="748" t="s">
        <v>22</v>
      </c>
      <c r="G395" s="748"/>
      <c r="H395" s="748">
        <v>9765</v>
      </c>
      <c r="I395" s="748">
        <v>0</v>
      </c>
      <c r="J395" s="748">
        <v>310566</v>
      </c>
    </row>
    <row r="396" spans="1:10" s="428" customFormat="1" ht="9" customHeight="1" x14ac:dyDescent="0.25">
      <c r="A396" s="428" t="s">
        <v>38</v>
      </c>
      <c r="B396" s="746">
        <f t="shared" si="10"/>
        <v>1086935</v>
      </c>
      <c r="C396" s="746">
        <v>588730</v>
      </c>
      <c r="D396" s="746">
        <v>177921</v>
      </c>
      <c r="E396" s="746">
        <v>1468</v>
      </c>
      <c r="F396" s="746" t="s">
        <v>22</v>
      </c>
      <c r="G396" s="746"/>
      <c r="H396" s="746">
        <v>0</v>
      </c>
      <c r="I396" s="746">
        <v>0</v>
      </c>
      <c r="J396" s="746">
        <v>318816</v>
      </c>
    </row>
    <row r="397" spans="1:10" s="428" customFormat="1" ht="9" customHeight="1" x14ac:dyDescent="0.25">
      <c r="A397" s="428" t="s">
        <v>39</v>
      </c>
      <c r="B397" s="746">
        <f t="shared" si="10"/>
        <v>782556</v>
      </c>
      <c r="C397" s="746">
        <v>398417</v>
      </c>
      <c r="D397" s="746">
        <v>141279</v>
      </c>
      <c r="E397" s="746">
        <v>23449</v>
      </c>
      <c r="F397" s="746" t="s">
        <v>22</v>
      </c>
      <c r="G397" s="746"/>
      <c r="H397" s="746">
        <v>1025</v>
      </c>
      <c r="I397" s="746">
        <v>0</v>
      </c>
      <c r="J397" s="746">
        <v>218386</v>
      </c>
    </row>
    <row r="398" spans="1:10" s="428" customFormat="1" ht="9" customHeight="1" x14ac:dyDescent="0.25">
      <c r="A398" s="428" t="s">
        <v>40</v>
      </c>
      <c r="B398" s="746">
        <f t="shared" si="10"/>
        <v>3705199</v>
      </c>
      <c r="C398" s="746">
        <v>3261918</v>
      </c>
      <c r="D398" s="746">
        <v>205605</v>
      </c>
      <c r="E398" s="746">
        <v>365</v>
      </c>
      <c r="F398" s="746" t="s">
        <v>22</v>
      </c>
      <c r="G398" s="746"/>
      <c r="H398" s="746">
        <v>0</v>
      </c>
      <c r="I398" s="746">
        <v>0</v>
      </c>
      <c r="J398" s="746">
        <v>237311</v>
      </c>
    </row>
    <row r="399" spans="1:10" s="428" customFormat="1" ht="9" customHeight="1" x14ac:dyDescent="0.25">
      <c r="A399" s="475" t="s">
        <v>41</v>
      </c>
      <c r="B399" s="748">
        <f t="shared" si="10"/>
        <v>1748241</v>
      </c>
      <c r="C399" s="748">
        <v>681041</v>
      </c>
      <c r="D399" s="748">
        <v>322530</v>
      </c>
      <c r="E399" s="748">
        <v>26727</v>
      </c>
      <c r="F399" s="748" t="s">
        <v>22</v>
      </c>
      <c r="G399" s="748"/>
      <c r="H399" s="748">
        <v>13456</v>
      </c>
      <c r="I399" s="748">
        <v>0</v>
      </c>
      <c r="J399" s="748">
        <v>704487</v>
      </c>
    </row>
    <row r="400" spans="1:10" s="428" customFormat="1" ht="9" customHeight="1" x14ac:dyDescent="0.25">
      <c r="A400" s="428" t="s">
        <v>42</v>
      </c>
      <c r="B400" s="746">
        <f t="shared" si="10"/>
        <v>2995945</v>
      </c>
      <c r="C400" s="746">
        <v>1542473</v>
      </c>
      <c r="D400" s="746">
        <v>301412</v>
      </c>
      <c r="E400" s="746">
        <v>14576</v>
      </c>
      <c r="F400" s="746" t="s">
        <v>22</v>
      </c>
      <c r="G400" s="746"/>
      <c r="H400" s="746">
        <v>0</v>
      </c>
      <c r="I400" s="746">
        <v>136217</v>
      </c>
      <c r="J400" s="746">
        <v>1001267</v>
      </c>
    </row>
    <row r="401" spans="1:11" s="428" customFormat="1" ht="9" customHeight="1" x14ac:dyDescent="0.25">
      <c r="A401" s="428" t="s">
        <v>43</v>
      </c>
      <c r="B401" s="746">
        <f t="shared" si="10"/>
        <v>1372149</v>
      </c>
      <c r="C401" s="746">
        <v>1065928</v>
      </c>
      <c r="D401" s="746">
        <v>111530</v>
      </c>
      <c r="E401" s="746">
        <v>3127</v>
      </c>
      <c r="F401" s="746" t="s">
        <v>22</v>
      </c>
      <c r="G401" s="746"/>
      <c r="H401" s="746">
        <v>0</v>
      </c>
      <c r="I401" s="746">
        <v>0</v>
      </c>
      <c r="J401" s="746">
        <v>191564</v>
      </c>
    </row>
    <row r="402" spans="1:11" s="428" customFormat="1" ht="9" customHeight="1" x14ac:dyDescent="0.25">
      <c r="A402" s="428" t="s">
        <v>44</v>
      </c>
      <c r="B402" s="746">
        <f t="shared" si="10"/>
        <v>926353</v>
      </c>
      <c r="C402" s="746">
        <v>708396</v>
      </c>
      <c r="D402" s="746">
        <v>102259</v>
      </c>
      <c r="E402" s="746">
        <v>0</v>
      </c>
      <c r="F402" s="746" t="s">
        <v>22</v>
      </c>
      <c r="G402" s="746"/>
      <c r="H402" s="746">
        <v>3897</v>
      </c>
      <c r="I402" s="746">
        <v>0</v>
      </c>
      <c r="J402" s="746">
        <v>111801</v>
      </c>
    </row>
    <row r="403" spans="1:11" s="428" customFormat="1" ht="9" customHeight="1" x14ac:dyDescent="0.25">
      <c r="A403" s="475" t="s">
        <v>45</v>
      </c>
      <c r="B403" s="748">
        <f t="shared" si="10"/>
        <v>1857066</v>
      </c>
      <c r="C403" s="748">
        <v>1114345</v>
      </c>
      <c r="D403" s="748">
        <v>242718</v>
      </c>
      <c r="E403" s="748">
        <v>5625</v>
      </c>
      <c r="F403" s="748" t="s">
        <v>22</v>
      </c>
      <c r="G403" s="748"/>
      <c r="H403" s="748">
        <v>0</v>
      </c>
      <c r="I403" s="748">
        <v>0</v>
      </c>
      <c r="J403" s="748">
        <v>494378</v>
      </c>
    </row>
    <row r="404" spans="1:11" s="428" customFormat="1" ht="9" customHeight="1" x14ac:dyDescent="0.25">
      <c r="A404" s="428" t="s">
        <v>46</v>
      </c>
      <c r="B404" s="746">
        <f t="shared" si="10"/>
        <v>2227366</v>
      </c>
      <c r="C404" s="746">
        <v>1357124</v>
      </c>
      <c r="D404" s="746">
        <v>308480</v>
      </c>
      <c r="E404" s="746">
        <v>4247</v>
      </c>
      <c r="F404" s="746" t="s">
        <v>22</v>
      </c>
      <c r="G404" s="746"/>
      <c r="H404" s="746">
        <v>3221</v>
      </c>
      <c r="I404" s="746">
        <v>1809</v>
      </c>
      <c r="J404" s="746">
        <v>552485</v>
      </c>
    </row>
    <row r="405" spans="1:11" s="428" customFormat="1" ht="9" customHeight="1" x14ac:dyDescent="0.25">
      <c r="A405" s="428" t="s">
        <v>47</v>
      </c>
      <c r="B405" s="746">
        <f t="shared" si="10"/>
        <v>2212353</v>
      </c>
      <c r="C405" s="746">
        <v>1394853</v>
      </c>
      <c r="D405" s="746">
        <v>213265</v>
      </c>
      <c r="E405" s="746">
        <v>4823</v>
      </c>
      <c r="F405" s="746" t="s">
        <v>22</v>
      </c>
      <c r="G405" s="746"/>
      <c r="H405" s="746">
        <v>4245</v>
      </c>
      <c r="I405" s="746">
        <v>158281</v>
      </c>
      <c r="J405" s="746">
        <v>436886</v>
      </c>
    </row>
    <row r="406" spans="1:11" s="428" customFormat="1" ht="9" customHeight="1" x14ac:dyDescent="0.25">
      <c r="A406" s="428" t="s">
        <v>48</v>
      </c>
      <c r="B406" s="746">
        <f t="shared" si="10"/>
        <v>2149628</v>
      </c>
      <c r="C406" s="746">
        <v>621965</v>
      </c>
      <c r="D406" s="746">
        <v>149331</v>
      </c>
      <c r="E406" s="746">
        <v>108587</v>
      </c>
      <c r="F406" s="746" t="s">
        <v>22</v>
      </c>
      <c r="G406" s="746"/>
      <c r="H406" s="746">
        <v>5679</v>
      </c>
      <c r="I406" s="746">
        <v>210837</v>
      </c>
      <c r="J406" s="746">
        <v>1053229</v>
      </c>
    </row>
    <row r="407" spans="1:11" s="428" customFormat="1" ht="9" customHeight="1" x14ac:dyDescent="0.25">
      <c r="A407" s="475" t="s">
        <v>49</v>
      </c>
      <c r="B407" s="748">
        <f t="shared" si="10"/>
        <v>2963936</v>
      </c>
      <c r="C407" s="748">
        <v>1864526</v>
      </c>
      <c r="D407" s="748">
        <v>337114</v>
      </c>
      <c r="E407" s="748">
        <v>95599</v>
      </c>
      <c r="F407" s="748" t="s">
        <v>22</v>
      </c>
      <c r="G407" s="748"/>
      <c r="H407" s="748">
        <v>12978</v>
      </c>
      <c r="I407" s="748">
        <v>0</v>
      </c>
      <c r="J407" s="748">
        <v>653719</v>
      </c>
    </row>
    <row r="408" spans="1:11" s="428" customFormat="1" ht="9" customHeight="1" x14ac:dyDescent="0.25">
      <c r="A408" s="428" t="s">
        <v>50</v>
      </c>
      <c r="B408" s="746">
        <f t="shared" si="10"/>
        <v>545455</v>
      </c>
      <c r="C408" s="746">
        <v>309267</v>
      </c>
      <c r="D408" s="746">
        <v>100505</v>
      </c>
      <c r="E408" s="746">
        <v>467</v>
      </c>
      <c r="F408" s="746" t="s">
        <v>22</v>
      </c>
      <c r="G408" s="746"/>
      <c r="H408" s="746">
        <v>0</v>
      </c>
      <c r="I408" s="746">
        <v>0</v>
      </c>
      <c r="J408" s="746">
        <v>135216</v>
      </c>
    </row>
    <row r="409" spans="1:11" s="428" customFormat="1" ht="9" customHeight="1" x14ac:dyDescent="0.25">
      <c r="A409" s="428" t="s">
        <v>51</v>
      </c>
      <c r="B409" s="746">
        <f t="shared" si="10"/>
        <v>4148874</v>
      </c>
      <c r="C409" s="746">
        <v>2407873</v>
      </c>
      <c r="D409" s="746">
        <v>433670</v>
      </c>
      <c r="E409" s="746">
        <v>218104</v>
      </c>
      <c r="F409" s="746" t="s">
        <v>22</v>
      </c>
      <c r="G409" s="746"/>
      <c r="H409" s="746">
        <v>54789</v>
      </c>
      <c r="I409" s="746">
        <v>0</v>
      </c>
      <c r="J409" s="746">
        <v>1034438</v>
      </c>
    </row>
    <row r="410" spans="1:11" s="428" customFormat="1" ht="9" customHeight="1" x14ac:dyDescent="0.25">
      <c r="A410" s="428" t="s">
        <v>52</v>
      </c>
      <c r="B410" s="746">
        <f t="shared" si="10"/>
        <v>1327420</v>
      </c>
      <c r="C410" s="746">
        <v>851383</v>
      </c>
      <c r="D410" s="746">
        <v>141780</v>
      </c>
      <c r="E410" s="746">
        <v>4299</v>
      </c>
      <c r="F410" s="746" t="s">
        <v>22</v>
      </c>
      <c r="G410" s="746"/>
      <c r="H410" s="746">
        <v>3465</v>
      </c>
      <c r="I410" s="746">
        <v>0</v>
      </c>
      <c r="J410" s="746">
        <v>326493</v>
      </c>
    </row>
    <row r="411" spans="1:11" s="428" customFormat="1" ht="9" customHeight="1" x14ac:dyDescent="0.25">
      <c r="A411" s="475" t="s">
        <v>53</v>
      </c>
      <c r="B411" s="748">
        <f t="shared" si="10"/>
        <v>971839</v>
      </c>
      <c r="C411" s="748">
        <v>584232</v>
      </c>
      <c r="D411" s="748">
        <v>131991</v>
      </c>
      <c r="E411" s="748">
        <v>630</v>
      </c>
      <c r="F411" s="748" t="s">
        <v>22</v>
      </c>
      <c r="G411" s="748"/>
      <c r="H411" s="748">
        <v>0</v>
      </c>
      <c r="I411" s="748">
        <v>0</v>
      </c>
      <c r="J411" s="748">
        <v>254986</v>
      </c>
    </row>
    <row r="412" spans="1:11" s="428" customFormat="1" ht="9" customHeight="1" x14ac:dyDescent="0.25">
      <c r="A412" s="472" t="s">
        <v>434</v>
      </c>
      <c r="B412" s="746">
        <f t="shared" si="10"/>
        <v>6395</v>
      </c>
      <c r="C412" s="747" t="s">
        <v>573</v>
      </c>
      <c r="D412" s="747">
        <v>6395</v>
      </c>
      <c r="E412" s="747" t="s">
        <v>573</v>
      </c>
      <c r="F412" s="747" t="s">
        <v>573</v>
      </c>
      <c r="G412" s="747"/>
      <c r="H412" s="747" t="s">
        <v>573</v>
      </c>
      <c r="I412" s="747" t="s">
        <v>573</v>
      </c>
      <c r="J412" s="747" t="s">
        <v>573</v>
      </c>
    </row>
    <row r="413" spans="1:11" s="428" customFormat="1" ht="9" customHeight="1" x14ac:dyDescent="0.25">
      <c r="A413" s="431"/>
      <c r="B413" s="746"/>
      <c r="C413" s="431"/>
      <c r="D413" s="746"/>
      <c r="E413" s="431"/>
      <c r="F413" s="431"/>
      <c r="G413" s="431"/>
      <c r="H413" s="431"/>
      <c r="I413" s="431"/>
      <c r="J413" s="749"/>
    </row>
    <row r="414" spans="1:11" s="428" customFormat="1" ht="9" customHeight="1" x14ac:dyDescent="0.25">
      <c r="A414" s="470">
        <v>2007</v>
      </c>
      <c r="B414" s="471"/>
      <c r="C414" s="471"/>
      <c r="D414" s="471"/>
      <c r="E414" s="471"/>
      <c r="F414" s="471"/>
      <c r="G414" s="471"/>
      <c r="H414" s="471"/>
      <c r="I414" s="473"/>
      <c r="J414" s="473"/>
    </row>
    <row r="415" spans="1:11" s="428" customFormat="1" ht="9" customHeight="1" x14ac:dyDescent="0.25">
      <c r="A415" s="473" t="s">
        <v>13</v>
      </c>
      <c r="B415" s="745">
        <f>SUM(B417:B449)</f>
        <v>85715105</v>
      </c>
      <c r="C415" s="745">
        <f>SUM(C417:C449)</f>
        <v>50560924</v>
      </c>
      <c r="D415" s="745">
        <f>SUM(D417:D449)</f>
        <v>10980931</v>
      </c>
      <c r="E415" s="745">
        <f>SUM(E417:E449)</f>
        <v>712499</v>
      </c>
      <c r="F415" s="745" t="s">
        <v>22</v>
      </c>
      <c r="G415" s="745"/>
      <c r="H415" s="745">
        <f>SUM(H417:H449)</f>
        <v>201869</v>
      </c>
      <c r="I415" s="745">
        <f>SUM(I417:I449)</f>
        <v>1424263</v>
      </c>
      <c r="J415" s="745">
        <f>SUM(J417:J449)</f>
        <v>21834619</v>
      </c>
      <c r="K415" s="745"/>
    </row>
    <row r="416" spans="1:11" s="428" customFormat="1" ht="3.95" customHeight="1" x14ac:dyDescent="0.25">
      <c r="A416" s="473"/>
      <c r="B416" s="745"/>
      <c r="C416" s="745"/>
      <c r="D416" s="745"/>
      <c r="E416" s="745"/>
      <c r="F416" s="745"/>
      <c r="G416" s="745"/>
      <c r="H416" s="745"/>
      <c r="I416" s="745"/>
      <c r="J416" s="745"/>
      <c r="K416" s="745"/>
    </row>
    <row r="417" spans="1:10" s="428" customFormat="1" ht="9" customHeight="1" x14ac:dyDescent="0.25">
      <c r="A417" s="428" t="s">
        <v>23</v>
      </c>
      <c r="B417" s="746">
        <f t="shared" ref="B417:B449" si="11">SUM(C417:J417)</f>
        <v>1195128</v>
      </c>
      <c r="C417" s="746">
        <v>740440</v>
      </c>
      <c r="D417" s="746">
        <v>117348</v>
      </c>
      <c r="E417" s="746">
        <v>1208</v>
      </c>
      <c r="F417" s="746" t="s">
        <v>22</v>
      </c>
      <c r="G417" s="746"/>
      <c r="H417" s="746">
        <v>0</v>
      </c>
      <c r="I417" s="746">
        <v>0</v>
      </c>
      <c r="J417" s="746">
        <v>336132</v>
      </c>
    </row>
    <row r="418" spans="1:10" s="428" customFormat="1" ht="9" customHeight="1" x14ac:dyDescent="0.25">
      <c r="A418" s="428" t="s">
        <v>24</v>
      </c>
      <c r="B418" s="746">
        <f t="shared" si="11"/>
        <v>2758671</v>
      </c>
      <c r="C418" s="746">
        <v>1938915</v>
      </c>
      <c r="D418" s="746">
        <v>147543</v>
      </c>
      <c r="E418" s="746">
        <v>2756</v>
      </c>
      <c r="F418" s="746" t="s">
        <v>22</v>
      </c>
      <c r="G418" s="746"/>
      <c r="H418" s="746">
        <v>3716</v>
      </c>
      <c r="I418" s="746">
        <v>128139</v>
      </c>
      <c r="J418" s="746">
        <v>537602</v>
      </c>
    </row>
    <row r="419" spans="1:10" s="428" customFormat="1" ht="9" customHeight="1" x14ac:dyDescent="0.25">
      <c r="A419" s="428" t="s">
        <v>25</v>
      </c>
      <c r="B419" s="746">
        <f t="shared" si="11"/>
        <v>590582</v>
      </c>
      <c r="C419" s="746">
        <v>374096</v>
      </c>
      <c r="D419" s="746">
        <v>106640</v>
      </c>
      <c r="E419" s="746">
        <v>445</v>
      </c>
      <c r="F419" s="746" t="s">
        <v>22</v>
      </c>
      <c r="G419" s="746"/>
      <c r="H419" s="746">
        <v>3348</v>
      </c>
      <c r="I419" s="746">
        <v>0</v>
      </c>
      <c r="J419" s="746">
        <v>106053</v>
      </c>
    </row>
    <row r="420" spans="1:10" s="428" customFormat="1" ht="9" customHeight="1" x14ac:dyDescent="0.25">
      <c r="A420" s="475" t="s">
        <v>26</v>
      </c>
      <c r="B420" s="748">
        <f t="shared" si="11"/>
        <v>835497</v>
      </c>
      <c r="C420" s="748">
        <v>422312</v>
      </c>
      <c r="D420" s="748">
        <v>87058</v>
      </c>
      <c r="E420" s="748">
        <v>26098</v>
      </c>
      <c r="F420" s="748" t="s">
        <v>22</v>
      </c>
      <c r="G420" s="748"/>
      <c r="H420" s="748">
        <v>8871</v>
      </c>
      <c r="I420" s="748">
        <v>0</v>
      </c>
      <c r="J420" s="748">
        <v>291158</v>
      </c>
    </row>
    <row r="421" spans="1:10" s="428" customFormat="1" ht="9" customHeight="1" x14ac:dyDescent="0.25">
      <c r="A421" s="428" t="s">
        <v>27</v>
      </c>
      <c r="B421" s="746">
        <f t="shared" si="11"/>
        <v>2475761</v>
      </c>
      <c r="C421" s="746">
        <v>1914682</v>
      </c>
      <c r="D421" s="746">
        <v>272977</v>
      </c>
      <c r="E421" s="746">
        <v>1775</v>
      </c>
      <c r="F421" s="746" t="s">
        <v>22</v>
      </c>
      <c r="G421" s="746"/>
      <c r="H421" s="746">
        <v>0</v>
      </c>
      <c r="I421" s="746">
        <v>0</v>
      </c>
      <c r="J421" s="746">
        <v>286327</v>
      </c>
    </row>
    <row r="422" spans="1:10" s="428" customFormat="1" ht="9" customHeight="1" x14ac:dyDescent="0.25">
      <c r="A422" s="428" t="s">
        <v>28</v>
      </c>
      <c r="B422" s="746">
        <f t="shared" si="11"/>
        <v>631135</v>
      </c>
      <c r="C422" s="746">
        <v>334904</v>
      </c>
      <c r="D422" s="746">
        <v>70618</v>
      </c>
      <c r="E422" s="746">
        <v>1434</v>
      </c>
      <c r="F422" s="746" t="s">
        <v>22</v>
      </c>
      <c r="G422" s="746"/>
      <c r="H422" s="746">
        <v>17039</v>
      </c>
      <c r="I422" s="746">
        <v>0</v>
      </c>
      <c r="J422" s="746">
        <v>207140</v>
      </c>
    </row>
    <row r="423" spans="1:10" s="428" customFormat="1" ht="9" customHeight="1" x14ac:dyDescent="0.25">
      <c r="A423" s="428" t="s">
        <v>29</v>
      </c>
      <c r="B423" s="746">
        <f t="shared" si="11"/>
        <v>2572672</v>
      </c>
      <c r="C423" s="746">
        <v>780883</v>
      </c>
      <c r="D423" s="746">
        <v>269365</v>
      </c>
      <c r="E423" s="746">
        <v>9518</v>
      </c>
      <c r="F423" s="746" t="s">
        <v>22</v>
      </c>
      <c r="G423" s="746"/>
      <c r="H423" s="746">
        <v>7800</v>
      </c>
      <c r="I423" s="746">
        <v>79844</v>
      </c>
      <c r="J423" s="746">
        <v>1425262</v>
      </c>
    </row>
    <row r="424" spans="1:10" s="428" customFormat="1" ht="9" customHeight="1" x14ac:dyDescent="0.25">
      <c r="A424" s="475" t="s">
        <v>30</v>
      </c>
      <c r="B424" s="748">
        <f t="shared" si="11"/>
        <v>2936520</v>
      </c>
      <c r="C424" s="748">
        <v>2224345</v>
      </c>
      <c r="D424" s="748">
        <v>281124</v>
      </c>
      <c r="E424" s="748">
        <v>4750</v>
      </c>
      <c r="F424" s="748" t="s">
        <v>22</v>
      </c>
      <c r="G424" s="748"/>
      <c r="H424" s="748">
        <v>0</v>
      </c>
      <c r="I424" s="748">
        <v>0</v>
      </c>
      <c r="J424" s="748">
        <v>426301</v>
      </c>
    </row>
    <row r="425" spans="1:10" s="428" customFormat="1" ht="9" customHeight="1" x14ac:dyDescent="0.25">
      <c r="A425" s="405" t="s">
        <v>63</v>
      </c>
      <c r="B425" s="746">
        <f t="shared" si="11"/>
        <v>11230914</v>
      </c>
      <c r="C425" s="746">
        <v>7524229</v>
      </c>
      <c r="D425" s="746">
        <v>3032367</v>
      </c>
      <c r="E425" s="746">
        <v>70606</v>
      </c>
      <c r="F425" s="746" t="s">
        <v>22</v>
      </c>
      <c r="G425" s="746"/>
      <c r="H425" s="746">
        <v>38556</v>
      </c>
      <c r="I425" s="746">
        <v>43048</v>
      </c>
      <c r="J425" s="746">
        <v>522108</v>
      </c>
    </row>
    <row r="426" spans="1:10" s="428" customFormat="1" ht="9" customHeight="1" x14ac:dyDescent="0.25">
      <c r="A426" s="428" t="s">
        <v>31</v>
      </c>
      <c r="B426" s="746">
        <f t="shared" si="11"/>
        <v>1315883</v>
      </c>
      <c r="C426" s="746">
        <v>747707</v>
      </c>
      <c r="D426" s="746">
        <v>298002</v>
      </c>
      <c r="E426" s="746">
        <v>1631</v>
      </c>
      <c r="F426" s="746" t="s">
        <v>22</v>
      </c>
      <c r="G426" s="746"/>
      <c r="H426" s="746">
        <v>0</v>
      </c>
      <c r="I426" s="746">
        <v>0</v>
      </c>
      <c r="J426" s="746">
        <v>268543</v>
      </c>
    </row>
    <row r="427" spans="1:10" s="428" customFormat="1" ht="9" customHeight="1" x14ac:dyDescent="0.25">
      <c r="A427" s="428" t="s">
        <v>32</v>
      </c>
      <c r="B427" s="746">
        <f t="shared" si="11"/>
        <v>4516621</v>
      </c>
      <c r="C427" s="746">
        <v>2396876</v>
      </c>
      <c r="D427" s="746">
        <v>375566</v>
      </c>
      <c r="E427" s="746">
        <v>32879</v>
      </c>
      <c r="F427" s="746" t="s">
        <v>22</v>
      </c>
      <c r="G427" s="746"/>
      <c r="H427" s="746">
        <v>0</v>
      </c>
      <c r="I427" s="746">
        <v>0</v>
      </c>
      <c r="J427" s="746">
        <v>1711300</v>
      </c>
    </row>
    <row r="428" spans="1:10" s="428" customFormat="1" ht="9" customHeight="1" x14ac:dyDescent="0.25">
      <c r="A428" s="475" t="s">
        <v>33</v>
      </c>
      <c r="B428" s="748">
        <f t="shared" si="11"/>
        <v>2281617</v>
      </c>
      <c r="C428" s="748">
        <v>794320</v>
      </c>
      <c r="D428" s="748">
        <v>455640</v>
      </c>
      <c r="E428" s="748">
        <v>1058</v>
      </c>
      <c r="F428" s="748" t="s">
        <v>22</v>
      </c>
      <c r="G428" s="748"/>
      <c r="H428" s="748">
        <v>8890</v>
      </c>
      <c r="I428" s="748">
        <v>0</v>
      </c>
      <c r="J428" s="748">
        <v>1021709</v>
      </c>
    </row>
    <row r="429" spans="1:10" s="428" customFormat="1" ht="9" customHeight="1" x14ac:dyDescent="0.25">
      <c r="A429" s="428" t="s">
        <v>34</v>
      </c>
      <c r="B429" s="746">
        <f t="shared" si="11"/>
        <v>1659630</v>
      </c>
      <c r="C429" s="746">
        <v>733274</v>
      </c>
      <c r="D429" s="746">
        <v>227537</v>
      </c>
      <c r="E429" s="746">
        <v>19472</v>
      </c>
      <c r="F429" s="746" t="s">
        <v>22</v>
      </c>
      <c r="G429" s="746"/>
      <c r="H429" s="746">
        <v>0</v>
      </c>
      <c r="I429" s="746">
        <v>0</v>
      </c>
      <c r="J429" s="746">
        <v>679347</v>
      </c>
    </row>
    <row r="430" spans="1:10" s="428" customFormat="1" ht="9" customHeight="1" x14ac:dyDescent="0.25">
      <c r="A430" s="428" t="s">
        <v>35</v>
      </c>
      <c r="B430" s="746">
        <f t="shared" si="11"/>
        <v>5307295</v>
      </c>
      <c r="C430" s="746">
        <v>3968241</v>
      </c>
      <c r="D430" s="746">
        <v>351190</v>
      </c>
      <c r="E430" s="746">
        <v>5055</v>
      </c>
      <c r="F430" s="746" t="s">
        <v>22</v>
      </c>
      <c r="G430" s="746"/>
      <c r="H430" s="746">
        <v>1773</v>
      </c>
      <c r="I430" s="746">
        <v>0</v>
      </c>
      <c r="J430" s="746">
        <v>981036</v>
      </c>
    </row>
    <row r="431" spans="1:10" s="428" customFormat="1" ht="9" customHeight="1" x14ac:dyDescent="0.25">
      <c r="A431" s="428" t="s">
        <v>36</v>
      </c>
      <c r="B431" s="746">
        <f t="shared" si="11"/>
        <v>8093973</v>
      </c>
      <c r="C431" s="746">
        <v>4519797</v>
      </c>
      <c r="D431" s="746">
        <v>906815</v>
      </c>
      <c r="E431" s="746">
        <v>18967</v>
      </c>
      <c r="F431" s="746" t="s">
        <v>22</v>
      </c>
      <c r="G431" s="746"/>
      <c r="H431" s="746">
        <v>0</v>
      </c>
      <c r="I431" s="746">
        <v>867667</v>
      </c>
      <c r="J431" s="746">
        <v>1780727</v>
      </c>
    </row>
    <row r="432" spans="1:10" s="428" customFormat="1" ht="9" customHeight="1" x14ac:dyDescent="0.25">
      <c r="A432" s="475" t="s">
        <v>37</v>
      </c>
      <c r="B432" s="748">
        <f t="shared" si="11"/>
        <v>2434649</v>
      </c>
      <c r="C432" s="748">
        <v>1335005</v>
      </c>
      <c r="D432" s="748">
        <v>377939</v>
      </c>
      <c r="E432" s="748">
        <v>2889</v>
      </c>
      <c r="F432" s="748" t="s">
        <v>22</v>
      </c>
      <c r="G432" s="748"/>
      <c r="H432" s="748">
        <v>8550</v>
      </c>
      <c r="I432" s="748">
        <v>0</v>
      </c>
      <c r="J432" s="748">
        <v>710266</v>
      </c>
    </row>
    <row r="433" spans="1:10" s="428" customFormat="1" ht="9" customHeight="1" x14ac:dyDescent="0.25">
      <c r="A433" s="428" t="s">
        <v>38</v>
      </c>
      <c r="B433" s="746">
        <f t="shared" si="11"/>
        <v>1278497</v>
      </c>
      <c r="C433" s="746">
        <v>610918</v>
      </c>
      <c r="D433" s="746">
        <v>185797</v>
      </c>
      <c r="E433" s="746">
        <v>1493</v>
      </c>
      <c r="F433" s="746" t="s">
        <v>22</v>
      </c>
      <c r="G433" s="746"/>
      <c r="H433" s="746">
        <v>0</v>
      </c>
      <c r="I433" s="746">
        <v>0</v>
      </c>
      <c r="J433" s="746">
        <v>480289</v>
      </c>
    </row>
    <row r="434" spans="1:10" s="428" customFormat="1" ht="9" customHeight="1" x14ac:dyDescent="0.25">
      <c r="A434" s="428" t="s">
        <v>39</v>
      </c>
      <c r="B434" s="746">
        <f t="shared" si="11"/>
        <v>885998</v>
      </c>
      <c r="C434" s="746">
        <v>415002</v>
      </c>
      <c r="D434" s="746">
        <v>150067</v>
      </c>
      <c r="E434" s="746">
        <v>394</v>
      </c>
      <c r="F434" s="746" t="s">
        <v>22</v>
      </c>
      <c r="G434" s="746"/>
      <c r="H434" s="746">
        <v>1839</v>
      </c>
      <c r="I434" s="746">
        <v>0</v>
      </c>
      <c r="J434" s="746">
        <v>318696</v>
      </c>
    </row>
    <row r="435" spans="1:10" s="428" customFormat="1" ht="9" customHeight="1" x14ac:dyDescent="0.25">
      <c r="A435" s="428" t="s">
        <v>40</v>
      </c>
      <c r="B435" s="746">
        <f t="shared" si="11"/>
        <v>4082688</v>
      </c>
      <c r="C435" s="746">
        <v>3459150</v>
      </c>
      <c r="D435" s="746">
        <v>217431</v>
      </c>
      <c r="E435" s="746">
        <v>23967</v>
      </c>
      <c r="F435" s="746" t="s">
        <v>22</v>
      </c>
      <c r="G435" s="746"/>
      <c r="H435" s="746">
        <v>0</v>
      </c>
      <c r="I435" s="746">
        <v>0</v>
      </c>
      <c r="J435" s="746">
        <v>382140</v>
      </c>
    </row>
    <row r="436" spans="1:10" s="428" customFormat="1" ht="9" customHeight="1" x14ac:dyDescent="0.25">
      <c r="A436" s="475" t="s">
        <v>41</v>
      </c>
      <c r="B436" s="748">
        <f t="shared" si="11"/>
        <v>2061068</v>
      </c>
      <c r="C436" s="748">
        <v>723252</v>
      </c>
      <c r="D436" s="748">
        <v>338458</v>
      </c>
      <c r="E436" s="748">
        <v>26934</v>
      </c>
      <c r="F436" s="748" t="s">
        <v>22</v>
      </c>
      <c r="G436" s="748"/>
      <c r="H436" s="748">
        <v>9998</v>
      </c>
      <c r="I436" s="748">
        <v>0</v>
      </c>
      <c r="J436" s="748">
        <v>962426</v>
      </c>
    </row>
    <row r="437" spans="1:10" s="428" customFormat="1" ht="9" customHeight="1" x14ac:dyDescent="0.25">
      <c r="A437" s="428" t="s">
        <v>42</v>
      </c>
      <c r="B437" s="746">
        <f t="shared" si="11"/>
        <v>3308423</v>
      </c>
      <c r="C437" s="746">
        <v>1615098</v>
      </c>
      <c r="D437" s="746">
        <v>313092</v>
      </c>
      <c r="E437" s="746">
        <v>14629</v>
      </c>
      <c r="F437" s="746" t="s">
        <v>22</v>
      </c>
      <c r="G437" s="746"/>
      <c r="H437" s="746">
        <v>0</v>
      </c>
      <c r="I437" s="746">
        <v>141359</v>
      </c>
      <c r="J437" s="746">
        <v>1224245</v>
      </c>
    </row>
    <row r="438" spans="1:10" s="428" customFormat="1" ht="9" customHeight="1" x14ac:dyDescent="0.25">
      <c r="A438" s="428" t="s">
        <v>43</v>
      </c>
      <c r="B438" s="746">
        <f t="shared" si="11"/>
        <v>1631063</v>
      </c>
      <c r="C438" s="746">
        <v>1142736</v>
      </c>
      <c r="D438" s="746">
        <v>115467</v>
      </c>
      <c r="E438" s="746">
        <v>3158</v>
      </c>
      <c r="F438" s="746" t="s">
        <v>22</v>
      </c>
      <c r="G438" s="746"/>
      <c r="H438" s="746">
        <v>0</v>
      </c>
      <c r="I438" s="746">
        <v>0</v>
      </c>
      <c r="J438" s="746">
        <v>369702</v>
      </c>
    </row>
    <row r="439" spans="1:10" s="428" customFormat="1" ht="9" customHeight="1" x14ac:dyDescent="0.25">
      <c r="A439" s="428" t="s">
        <v>44</v>
      </c>
      <c r="B439" s="746">
        <f t="shared" si="11"/>
        <v>1067271</v>
      </c>
      <c r="C439" s="746">
        <v>754666</v>
      </c>
      <c r="D439" s="746">
        <v>111454</v>
      </c>
      <c r="E439" s="746">
        <v>0</v>
      </c>
      <c r="F439" s="746" t="s">
        <v>22</v>
      </c>
      <c r="G439" s="746"/>
      <c r="H439" s="746">
        <v>7462</v>
      </c>
      <c r="I439" s="746">
        <v>0</v>
      </c>
      <c r="J439" s="746">
        <v>193689</v>
      </c>
    </row>
    <row r="440" spans="1:10" s="428" customFormat="1" ht="9" customHeight="1" x14ac:dyDescent="0.25">
      <c r="A440" s="475" t="s">
        <v>45</v>
      </c>
      <c r="B440" s="748">
        <f t="shared" si="11"/>
        <v>2132064</v>
      </c>
      <c r="C440" s="748">
        <v>1190147</v>
      </c>
      <c r="D440" s="748">
        <v>258052</v>
      </c>
      <c r="E440" s="748">
        <v>5442</v>
      </c>
      <c r="F440" s="748" t="s">
        <v>22</v>
      </c>
      <c r="G440" s="748"/>
      <c r="H440" s="748">
        <v>0</v>
      </c>
      <c r="I440" s="748">
        <v>0</v>
      </c>
      <c r="J440" s="748">
        <v>678423</v>
      </c>
    </row>
    <row r="441" spans="1:10" s="428" customFormat="1" ht="9" customHeight="1" x14ac:dyDescent="0.25">
      <c r="A441" s="428" t="s">
        <v>46</v>
      </c>
      <c r="B441" s="746">
        <f t="shared" si="11"/>
        <v>2487370</v>
      </c>
      <c r="C441" s="746">
        <v>1528011</v>
      </c>
      <c r="D441" s="746">
        <v>325438</v>
      </c>
      <c r="E441" s="746">
        <v>4171</v>
      </c>
      <c r="F441" s="746" t="s">
        <v>22</v>
      </c>
      <c r="G441" s="746"/>
      <c r="H441" s="746">
        <v>2113</v>
      </c>
      <c r="I441" s="746">
        <v>0</v>
      </c>
      <c r="J441" s="746">
        <v>627637</v>
      </c>
    </row>
    <row r="442" spans="1:10" s="428" customFormat="1" ht="9" customHeight="1" x14ac:dyDescent="0.25">
      <c r="A442" s="428" t="s">
        <v>47</v>
      </c>
      <c r="B442" s="746">
        <f t="shared" si="11"/>
        <v>2388354</v>
      </c>
      <c r="C442" s="746">
        <v>1459911</v>
      </c>
      <c r="D442" s="746">
        <v>227623</v>
      </c>
      <c r="E442" s="746">
        <v>4860</v>
      </c>
      <c r="F442" s="746" t="s">
        <v>22</v>
      </c>
      <c r="G442" s="746"/>
      <c r="H442" s="746">
        <v>5203</v>
      </c>
      <c r="I442" s="746">
        <v>164206</v>
      </c>
      <c r="J442" s="746">
        <v>526551</v>
      </c>
    </row>
    <row r="443" spans="1:10" s="428" customFormat="1" ht="9" customHeight="1" x14ac:dyDescent="0.25">
      <c r="A443" s="428" t="s">
        <v>48</v>
      </c>
      <c r="B443" s="746">
        <f t="shared" si="11"/>
        <v>2078477</v>
      </c>
      <c r="C443" s="746">
        <v>658311</v>
      </c>
      <c r="D443" s="746">
        <v>155471</v>
      </c>
      <c r="E443" s="746">
        <v>107804</v>
      </c>
      <c r="F443" s="746" t="s">
        <v>22</v>
      </c>
      <c r="G443" s="746"/>
      <c r="H443" s="746">
        <v>2696</v>
      </c>
      <c r="I443" s="746">
        <v>0</v>
      </c>
      <c r="J443" s="746">
        <v>1154195</v>
      </c>
    </row>
    <row r="444" spans="1:10" s="428" customFormat="1" ht="9" customHeight="1" x14ac:dyDescent="0.25">
      <c r="A444" s="475" t="s">
        <v>49</v>
      </c>
      <c r="B444" s="748">
        <f t="shared" si="11"/>
        <v>3244429</v>
      </c>
      <c r="C444" s="748">
        <v>1931168</v>
      </c>
      <c r="D444" s="748">
        <v>352112</v>
      </c>
      <c r="E444" s="748">
        <v>95832</v>
      </c>
      <c r="F444" s="748" t="s">
        <v>22</v>
      </c>
      <c r="G444" s="748"/>
      <c r="H444" s="748">
        <v>12476</v>
      </c>
      <c r="I444" s="748">
        <v>0</v>
      </c>
      <c r="J444" s="748">
        <v>852841</v>
      </c>
    </row>
    <row r="445" spans="1:10" s="428" customFormat="1" ht="9" customHeight="1" x14ac:dyDescent="0.25">
      <c r="A445" s="428" t="s">
        <v>50</v>
      </c>
      <c r="B445" s="746">
        <f t="shared" si="11"/>
        <v>737494</v>
      </c>
      <c r="C445" s="746">
        <v>323964</v>
      </c>
      <c r="D445" s="746">
        <v>105957</v>
      </c>
      <c r="E445" s="746">
        <v>505</v>
      </c>
      <c r="F445" s="746" t="s">
        <v>22</v>
      </c>
      <c r="G445" s="746"/>
      <c r="H445" s="746">
        <v>0</v>
      </c>
      <c r="I445" s="746">
        <v>0</v>
      </c>
      <c r="J445" s="746">
        <v>307068</v>
      </c>
    </row>
    <row r="446" spans="1:10" s="428" customFormat="1" ht="9" customHeight="1" x14ac:dyDescent="0.25">
      <c r="A446" s="428" t="s">
        <v>51</v>
      </c>
      <c r="B446" s="746">
        <f t="shared" si="11"/>
        <v>4761649</v>
      </c>
      <c r="C446" s="746">
        <v>2486519</v>
      </c>
      <c r="D446" s="746">
        <v>449188</v>
      </c>
      <c r="E446" s="746">
        <v>217736</v>
      </c>
      <c r="F446" s="746" t="s">
        <v>22</v>
      </c>
      <c r="G446" s="746"/>
      <c r="H446" s="746">
        <v>57688</v>
      </c>
      <c r="I446" s="746">
        <v>0</v>
      </c>
      <c r="J446" s="746">
        <v>1550518</v>
      </c>
    </row>
    <row r="447" spans="1:10" s="428" customFormat="1" ht="9" customHeight="1" x14ac:dyDescent="0.25">
      <c r="A447" s="428" t="s">
        <v>52</v>
      </c>
      <c r="B447" s="746">
        <f t="shared" si="11"/>
        <v>1515388</v>
      </c>
      <c r="C447" s="746">
        <v>883063</v>
      </c>
      <c r="D447" s="746">
        <v>149732</v>
      </c>
      <c r="E447" s="746">
        <v>4404</v>
      </c>
      <c r="F447" s="746" t="s">
        <v>22</v>
      </c>
      <c r="G447" s="746"/>
      <c r="H447" s="746">
        <v>3851</v>
      </c>
      <c r="I447" s="746">
        <v>0</v>
      </c>
      <c r="J447" s="746">
        <v>474338</v>
      </c>
    </row>
    <row r="448" spans="1:10" s="428" customFormat="1" ht="9" customHeight="1" x14ac:dyDescent="0.25">
      <c r="A448" s="475" t="s">
        <v>53</v>
      </c>
      <c r="B448" s="748">
        <f t="shared" si="11"/>
        <v>1211682</v>
      </c>
      <c r="C448" s="748">
        <v>628982</v>
      </c>
      <c r="D448" s="748">
        <v>141221</v>
      </c>
      <c r="E448" s="748">
        <v>629</v>
      </c>
      <c r="F448" s="748" t="s">
        <v>22</v>
      </c>
      <c r="G448" s="748"/>
      <c r="H448" s="748">
        <v>0</v>
      </c>
      <c r="I448" s="748">
        <v>0</v>
      </c>
      <c r="J448" s="748">
        <v>440850</v>
      </c>
    </row>
    <row r="449" spans="1:11" s="428" customFormat="1" ht="9" customHeight="1" x14ac:dyDescent="0.25">
      <c r="A449" s="472" t="s">
        <v>434</v>
      </c>
      <c r="B449" s="746">
        <f t="shared" si="11"/>
        <v>6642</v>
      </c>
      <c r="C449" s="747" t="s">
        <v>573</v>
      </c>
      <c r="D449" s="747">
        <v>6642</v>
      </c>
      <c r="E449" s="747" t="s">
        <v>573</v>
      </c>
      <c r="F449" s="747" t="s">
        <v>573</v>
      </c>
      <c r="G449" s="747"/>
      <c r="H449" s="747" t="s">
        <v>573</v>
      </c>
      <c r="I449" s="747" t="s">
        <v>573</v>
      </c>
      <c r="J449" s="747" t="s">
        <v>573</v>
      </c>
    </row>
    <row r="450" spans="1:11" s="428" customFormat="1" ht="9" customHeight="1" x14ac:dyDescent="0.25">
      <c r="A450" s="431"/>
      <c r="B450" s="746"/>
      <c r="C450" s="431"/>
      <c r="D450" s="746"/>
      <c r="E450" s="431"/>
      <c r="F450" s="431"/>
      <c r="G450" s="431"/>
      <c r="H450" s="431"/>
      <c r="I450" s="431"/>
      <c r="J450" s="749"/>
    </row>
    <row r="451" spans="1:11" s="428" customFormat="1" ht="9" customHeight="1" x14ac:dyDescent="0.25">
      <c r="A451" s="470">
        <v>2008</v>
      </c>
      <c r="B451" s="471"/>
      <c r="C451" s="471"/>
      <c r="D451" s="471"/>
      <c r="E451" s="471"/>
      <c r="F451" s="471"/>
      <c r="G451" s="471"/>
      <c r="H451" s="471"/>
      <c r="I451" s="473"/>
      <c r="J451" s="473"/>
    </row>
    <row r="452" spans="1:11" s="428" customFormat="1" ht="9" customHeight="1" x14ac:dyDescent="0.25">
      <c r="A452" s="473" t="s">
        <v>13</v>
      </c>
      <c r="B452" s="745">
        <f>SUM(B454:B486)</f>
        <v>88323567</v>
      </c>
      <c r="C452" s="745">
        <f>SUM(C454:C486)</f>
        <v>48909705</v>
      </c>
      <c r="D452" s="745">
        <f>SUM(D454:D486)</f>
        <v>11300744</v>
      </c>
      <c r="E452" s="745">
        <f>SUM(E454:E486)</f>
        <v>727676</v>
      </c>
      <c r="F452" s="745" t="s">
        <v>22</v>
      </c>
      <c r="G452" s="745"/>
      <c r="H452" s="745">
        <f>SUM(H454:H486)</f>
        <v>217655</v>
      </c>
      <c r="I452" s="745" t="s">
        <v>22</v>
      </c>
      <c r="J452" s="745">
        <f>SUM(J454:J486)</f>
        <v>27167787</v>
      </c>
      <c r="K452" s="745"/>
    </row>
    <row r="453" spans="1:11" s="428" customFormat="1" ht="3.95" customHeight="1" x14ac:dyDescent="0.25">
      <c r="A453" s="473"/>
      <c r="B453" s="745"/>
      <c r="C453" s="745"/>
      <c r="D453" s="745"/>
      <c r="E453" s="745"/>
      <c r="F453" s="745"/>
      <c r="G453" s="745"/>
      <c r="H453" s="745"/>
      <c r="I453" s="745"/>
      <c r="J453" s="745"/>
      <c r="K453" s="745"/>
    </row>
    <row r="454" spans="1:11" s="428" customFormat="1" ht="9" customHeight="1" x14ac:dyDescent="0.25">
      <c r="A454" s="428" t="s">
        <v>23</v>
      </c>
      <c r="B454" s="746">
        <f t="shared" ref="B454:B486" si="12">SUM(C454:J454)</f>
        <v>1192072</v>
      </c>
      <c r="C454" s="746">
        <v>700260</v>
      </c>
      <c r="D454" s="746">
        <v>121257</v>
      </c>
      <c r="E454" s="746">
        <v>1247</v>
      </c>
      <c r="F454" s="746" t="s">
        <v>22</v>
      </c>
      <c r="G454" s="746"/>
      <c r="H454" s="746">
        <v>0</v>
      </c>
      <c r="I454" s="746" t="s">
        <v>22</v>
      </c>
      <c r="J454" s="746">
        <v>369308</v>
      </c>
    </row>
    <row r="455" spans="1:11" s="428" customFormat="1" ht="9" customHeight="1" x14ac:dyDescent="0.25">
      <c r="A455" s="428" t="s">
        <v>24</v>
      </c>
      <c r="B455" s="746">
        <f t="shared" si="12"/>
        <v>2516581</v>
      </c>
      <c r="C455" s="746">
        <v>1773006</v>
      </c>
      <c r="D455" s="746">
        <v>151947</v>
      </c>
      <c r="E455" s="746">
        <v>2778</v>
      </c>
      <c r="F455" s="746" t="s">
        <v>22</v>
      </c>
      <c r="G455" s="746"/>
      <c r="H455" s="746">
        <v>7480</v>
      </c>
      <c r="I455" s="746" t="s">
        <v>22</v>
      </c>
      <c r="J455" s="746">
        <v>581370</v>
      </c>
    </row>
    <row r="456" spans="1:11" s="428" customFormat="1" ht="9" customHeight="1" x14ac:dyDescent="0.25">
      <c r="A456" s="428" t="s">
        <v>25</v>
      </c>
      <c r="B456" s="746">
        <f t="shared" si="12"/>
        <v>576043</v>
      </c>
      <c r="C456" s="746">
        <v>340470</v>
      </c>
      <c r="D456" s="746">
        <v>110033</v>
      </c>
      <c r="E456" s="746">
        <v>476</v>
      </c>
      <c r="F456" s="746" t="s">
        <v>22</v>
      </c>
      <c r="G456" s="746"/>
      <c r="H456" s="746">
        <v>5355</v>
      </c>
      <c r="I456" s="746" t="s">
        <v>22</v>
      </c>
      <c r="J456" s="746">
        <v>119709</v>
      </c>
    </row>
    <row r="457" spans="1:11" s="428" customFormat="1" ht="9" customHeight="1" x14ac:dyDescent="0.25">
      <c r="A457" s="475" t="s">
        <v>26</v>
      </c>
      <c r="B457" s="748">
        <f t="shared" si="12"/>
        <v>870570</v>
      </c>
      <c r="C457" s="748">
        <v>414998</v>
      </c>
      <c r="D457" s="748">
        <v>89736</v>
      </c>
      <c r="E457" s="748">
        <v>27137</v>
      </c>
      <c r="F457" s="748" t="s">
        <v>22</v>
      </c>
      <c r="G457" s="748"/>
      <c r="H457" s="748">
        <v>10838</v>
      </c>
      <c r="I457" s="748" t="s">
        <v>22</v>
      </c>
      <c r="J457" s="748">
        <v>327861</v>
      </c>
    </row>
    <row r="458" spans="1:11" s="428" customFormat="1" ht="9" customHeight="1" x14ac:dyDescent="0.25">
      <c r="A458" s="428" t="s">
        <v>27</v>
      </c>
      <c r="B458" s="746">
        <f t="shared" si="12"/>
        <v>2512857</v>
      </c>
      <c r="C458" s="746">
        <v>1812096</v>
      </c>
      <c r="D458" s="746">
        <v>280907</v>
      </c>
      <c r="E458" s="746">
        <v>1777</v>
      </c>
      <c r="F458" s="746" t="s">
        <v>22</v>
      </c>
      <c r="G458" s="746"/>
      <c r="H458" s="746">
        <v>0</v>
      </c>
      <c r="I458" s="746" t="s">
        <v>22</v>
      </c>
      <c r="J458" s="746">
        <v>418077</v>
      </c>
    </row>
    <row r="459" spans="1:11" s="428" customFormat="1" ht="9" customHeight="1" x14ac:dyDescent="0.25">
      <c r="A459" s="428" t="s">
        <v>28</v>
      </c>
      <c r="B459" s="746">
        <f t="shared" si="12"/>
        <v>642475</v>
      </c>
      <c r="C459" s="746">
        <v>324006</v>
      </c>
      <c r="D459" s="746">
        <v>72914</v>
      </c>
      <c r="E459" s="746">
        <v>1458</v>
      </c>
      <c r="F459" s="746" t="s">
        <v>22</v>
      </c>
      <c r="G459" s="746"/>
      <c r="H459" s="746">
        <v>16789</v>
      </c>
      <c r="I459" s="746" t="s">
        <v>22</v>
      </c>
      <c r="J459" s="746">
        <v>227308</v>
      </c>
    </row>
    <row r="460" spans="1:11" s="428" customFormat="1" ht="9" customHeight="1" x14ac:dyDescent="0.25">
      <c r="A460" s="428" t="s">
        <v>29</v>
      </c>
      <c r="B460" s="746">
        <f t="shared" si="12"/>
        <v>2848387</v>
      </c>
      <c r="C460" s="746">
        <v>795557</v>
      </c>
      <c r="D460" s="746">
        <v>278640</v>
      </c>
      <c r="E460" s="746">
        <v>9852</v>
      </c>
      <c r="F460" s="746" t="s">
        <v>22</v>
      </c>
      <c r="G460" s="746"/>
      <c r="H460" s="746">
        <v>8104</v>
      </c>
      <c r="I460" s="746" t="s">
        <v>22</v>
      </c>
      <c r="J460" s="746">
        <v>1756234</v>
      </c>
    </row>
    <row r="461" spans="1:11" s="428" customFormat="1" ht="9" customHeight="1" x14ac:dyDescent="0.25">
      <c r="A461" s="475" t="s">
        <v>30</v>
      </c>
      <c r="B461" s="748">
        <f t="shared" si="12"/>
        <v>2866924</v>
      </c>
      <c r="C461" s="748">
        <v>2015623</v>
      </c>
      <c r="D461" s="748">
        <v>289200</v>
      </c>
      <c r="E461" s="748">
        <v>4787</v>
      </c>
      <c r="F461" s="748" t="s">
        <v>22</v>
      </c>
      <c r="G461" s="748"/>
      <c r="H461" s="748">
        <v>0</v>
      </c>
      <c r="I461" s="748" t="s">
        <v>22</v>
      </c>
      <c r="J461" s="748">
        <v>557314</v>
      </c>
    </row>
    <row r="462" spans="1:11" s="428" customFormat="1" ht="9" customHeight="1" x14ac:dyDescent="0.25">
      <c r="A462" s="405" t="s">
        <v>63</v>
      </c>
      <c r="B462" s="746">
        <f t="shared" si="12"/>
        <v>11238987</v>
      </c>
      <c r="C462" s="746">
        <v>7244651</v>
      </c>
      <c r="D462" s="746">
        <v>3110112</v>
      </c>
      <c r="E462" s="746">
        <v>70980</v>
      </c>
      <c r="F462" s="746" t="s">
        <v>22</v>
      </c>
      <c r="G462" s="746"/>
      <c r="H462" s="746">
        <v>39956</v>
      </c>
      <c r="I462" s="746" t="s">
        <v>22</v>
      </c>
      <c r="J462" s="746">
        <v>773288</v>
      </c>
    </row>
    <row r="463" spans="1:11" s="428" customFormat="1" ht="9" customHeight="1" x14ac:dyDescent="0.25">
      <c r="A463" s="428" t="s">
        <v>31</v>
      </c>
      <c r="B463" s="746">
        <f t="shared" si="12"/>
        <v>1336615</v>
      </c>
      <c r="C463" s="746">
        <v>710871</v>
      </c>
      <c r="D463" s="746">
        <v>306579</v>
      </c>
      <c r="E463" s="746">
        <v>1672</v>
      </c>
      <c r="F463" s="746" t="s">
        <v>22</v>
      </c>
      <c r="G463" s="746"/>
      <c r="H463" s="746">
        <v>0</v>
      </c>
      <c r="I463" s="746" t="s">
        <v>22</v>
      </c>
      <c r="J463" s="746">
        <v>317493</v>
      </c>
    </row>
    <row r="464" spans="1:11" s="428" customFormat="1" ht="9" customHeight="1" x14ac:dyDescent="0.25">
      <c r="A464" s="428" t="s">
        <v>32</v>
      </c>
      <c r="B464" s="746">
        <f t="shared" si="12"/>
        <v>4658911</v>
      </c>
      <c r="C464" s="746">
        <v>2347149</v>
      </c>
      <c r="D464" s="746">
        <v>385973</v>
      </c>
      <c r="E464" s="746">
        <v>32973</v>
      </c>
      <c r="F464" s="746" t="s">
        <v>22</v>
      </c>
      <c r="G464" s="746"/>
      <c r="H464" s="746">
        <v>0</v>
      </c>
      <c r="I464" s="746" t="s">
        <v>22</v>
      </c>
      <c r="J464" s="746">
        <v>1892816</v>
      </c>
    </row>
    <row r="465" spans="1:10" s="428" customFormat="1" ht="9" customHeight="1" x14ac:dyDescent="0.25">
      <c r="A465" s="475" t="s">
        <v>33</v>
      </c>
      <c r="B465" s="748">
        <f t="shared" si="12"/>
        <v>2284767</v>
      </c>
      <c r="C465" s="748">
        <v>729076</v>
      </c>
      <c r="D465" s="748">
        <v>470770</v>
      </c>
      <c r="E465" s="748">
        <v>1070</v>
      </c>
      <c r="F465" s="748" t="s">
        <v>22</v>
      </c>
      <c r="G465" s="748"/>
      <c r="H465" s="748">
        <v>10274</v>
      </c>
      <c r="I465" s="748" t="s">
        <v>22</v>
      </c>
      <c r="J465" s="748">
        <v>1073577</v>
      </c>
    </row>
    <row r="466" spans="1:10" s="428" customFormat="1" ht="9" customHeight="1" x14ac:dyDescent="0.25">
      <c r="A466" s="428" t="s">
        <v>34</v>
      </c>
      <c r="B466" s="746">
        <f t="shared" si="12"/>
        <v>1887945</v>
      </c>
      <c r="C466" s="746">
        <v>712023</v>
      </c>
      <c r="D466" s="746">
        <v>234587</v>
      </c>
      <c r="E466" s="746">
        <v>19496</v>
      </c>
      <c r="F466" s="746" t="s">
        <v>22</v>
      </c>
      <c r="G466" s="746"/>
      <c r="H466" s="746">
        <v>0</v>
      </c>
      <c r="I466" s="746" t="s">
        <v>22</v>
      </c>
      <c r="J466" s="746">
        <v>921839</v>
      </c>
    </row>
    <row r="467" spans="1:10" s="428" customFormat="1" ht="9" customHeight="1" x14ac:dyDescent="0.25">
      <c r="A467" s="428" t="s">
        <v>35</v>
      </c>
      <c r="B467" s="746">
        <f t="shared" si="12"/>
        <v>5725841</v>
      </c>
      <c r="C467" s="746">
        <v>3901998</v>
      </c>
      <c r="D467" s="746">
        <v>361724</v>
      </c>
      <c r="E467" s="746">
        <v>5009</v>
      </c>
      <c r="F467" s="746" t="s">
        <v>22</v>
      </c>
      <c r="G467" s="746"/>
      <c r="H467" s="746">
        <v>1977</v>
      </c>
      <c r="I467" s="746" t="s">
        <v>22</v>
      </c>
      <c r="J467" s="746">
        <v>1455133</v>
      </c>
    </row>
    <row r="468" spans="1:10" s="428" customFormat="1" ht="9" customHeight="1" x14ac:dyDescent="0.25">
      <c r="A468" s="428" t="s">
        <v>36</v>
      </c>
      <c r="B468" s="746">
        <f t="shared" si="12"/>
        <v>8060995</v>
      </c>
      <c r="C468" s="746">
        <v>4393966</v>
      </c>
      <c r="D468" s="746">
        <v>930452</v>
      </c>
      <c r="E468" s="746">
        <v>19033</v>
      </c>
      <c r="F468" s="746" t="s">
        <v>22</v>
      </c>
      <c r="G468" s="746"/>
      <c r="H468" s="746">
        <v>0</v>
      </c>
      <c r="I468" s="746" t="s">
        <v>22</v>
      </c>
      <c r="J468" s="746">
        <v>2717544</v>
      </c>
    </row>
    <row r="469" spans="1:10" s="428" customFormat="1" ht="9" customHeight="1" x14ac:dyDescent="0.25">
      <c r="A469" s="475" t="s">
        <v>37</v>
      </c>
      <c r="B469" s="748">
        <f t="shared" si="12"/>
        <v>2688793</v>
      </c>
      <c r="C469" s="748">
        <v>1348530</v>
      </c>
      <c r="D469" s="748">
        <v>388888</v>
      </c>
      <c r="E469" s="748">
        <v>2953</v>
      </c>
      <c r="F469" s="748" t="s">
        <v>22</v>
      </c>
      <c r="G469" s="748"/>
      <c r="H469" s="748">
        <v>10467</v>
      </c>
      <c r="I469" s="748" t="s">
        <v>22</v>
      </c>
      <c r="J469" s="748">
        <v>937955</v>
      </c>
    </row>
    <row r="470" spans="1:10" s="428" customFormat="1" ht="9" customHeight="1" x14ac:dyDescent="0.25">
      <c r="A470" s="428" t="s">
        <v>38</v>
      </c>
      <c r="B470" s="746">
        <f t="shared" si="12"/>
        <v>1338791</v>
      </c>
      <c r="C470" s="746">
        <v>605373</v>
      </c>
      <c r="D470" s="746">
        <v>191613</v>
      </c>
      <c r="E470" s="746">
        <v>1547</v>
      </c>
      <c r="F470" s="746" t="s">
        <v>22</v>
      </c>
      <c r="G470" s="746"/>
      <c r="H470" s="746">
        <v>0</v>
      </c>
      <c r="I470" s="746" t="s">
        <v>22</v>
      </c>
      <c r="J470" s="746">
        <v>540258</v>
      </c>
    </row>
    <row r="471" spans="1:10" s="428" customFormat="1" ht="9" customHeight="1" x14ac:dyDescent="0.25">
      <c r="A471" s="428" t="s">
        <v>39</v>
      </c>
      <c r="B471" s="746">
        <f t="shared" si="12"/>
        <v>923563</v>
      </c>
      <c r="C471" s="746">
        <v>396539</v>
      </c>
      <c r="D471" s="746">
        <v>154623</v>
      </c>
      <c r="E471" s="746">
        <v>385</v>
      </c>
      <c r="F471" s="746" t="s">
        <v>22</v>
      </c>
      <c r="G471" s="746"/>
      <c r="H471" s="746">
        <v>2056</v>
      </c>
      <c r="I471" s="746" t="s">
        <v>22</v>
      </c>
      <c r="J471" s="746">
        <v>369960</v>
      </c>
    </row>
    <row r="472" spans="1:10" s="428" customFormat="1" ht="9" customHeight="1" x14ac:dyDescent="0.25">
      <c r="A472" s="428" t="s">
        <v>40</v>
      </c>
      <c r="B472" s="746">
        <f t="shared" si="12"/>
        <v>4164150</v>
      </c>
      <c r="C472" s="746">
        <v>3396387</v>
      </c>
      <c r="D472" s="746">
        <v>224455</v>
      </c>
      <c r="E472" s="746">
        <v>24543</v>
      </c>
      <c r="F472" s="746" t="s">
        <v>22</v>
      </c>
      <c r="G472" s="746"/>
      <c r="H472" s="746">
        <v>0</v>
      </c>
      <c r="I472" s="746" t="s">
        <v>22</v>
      </c>
      <c r="J472" s="746">
        <v>518765</v>
      </c>
    </row>
    <row r="473" spans="1:10" s="428" customFormat="1" ht="9" customHeight="1" x14ac:dyDescent="0.25">
      <c r="A473" s="475" t="s">
        <v>41</v>
      </c>
      <c r="B473" s="748">
        <f t="shared" si="12"/>
        <v>2420314</v>
      </c>
      <c r="C473" s="748">
        <v>741171</v>
      </c>
      <c r="D473" s="748">
        <v>349566</v>
      </c>
      <c r="E473" s="748">
        <v>27317</v>
      </c>
      <c r="F473" s="748" t="s">
        <v>22</v>
      </c>
      <c r="G473" s="748"/>
      <c r="H473" s="748">
        <v>11263</v>
      </c>
      <c r="I473" s="748" t="s">
        <v>22</v>
      </c>
      <c r="J473" s="748">
        <v>1290997</v>
      </c>
    </row>
    <row r="474" spans="1:10" s="428" customFormat="1" ht="9" customHeight="1" x14ac:dyDescent="0.25">
      <c r="A474" s="428" t="s">
        <v>42</v>
      </c>
      <c r="B474" s="746">
        <f t="shared" si="12"/>
        <v>3363763</v>
      </c>
      <c r="C474" s="746">
        <v>1574479</v>
      </c>
      <c r="D474" s="746">
        <v>321316</v>
      </c>
      <c r="E474" s="746">
        <v>14910</v>
      </c>
      <c r="F474" s="746" t="s">
        <v>22</v>
      </c>
      <c r="G474" s="746"/>
      <c r="H474" s="746">
        <v>0</v>
      </c>
      <c r="I474" s="746" t="s">
        <v>22</v>
      </c>
      <c r="J474" s="746">
        <v>1453058</v>
      </c>
    </row>
    <row r="475" spans="1:10" s="428" customFormat="1" ht="9" customHeight="1" x14ac:dyDescent="0.25">
      <c r="A475" s="428" t="s">
        <v>43</v>
      </c>
      <c r="B475" s="746">
        <f t="shared" si="12"/>
        <v>1661020</v>
      </c>
      <c r="C475" s="746">
        <v>1068676</v>
      </c>
      <c r="D475" s="746">
        <v>119060</v>
      </c>
      <c r="E475" s="746">
        <v>3229</v>
      </c>
      <c r="F475" s="746" t="s">
        <v>22</v>
      </c>
      <c r="G475" s="746"/>
      <c r="H475" s="746">
        <v>0</v>
      </c>
      <c r="I475" s="746" t="s">
        <v>22</v>
      </c>
      <c r="J475" s="746">
        <v>470055</v>
      </c>
    </row>
    <row r="476" spans="1:10" s="428" customFormat="1" ht="9" customHeight="1" x14ac:dyDescent="0.25">
      <c r="A476" s="428" t="s">
        <v>44</v>
      </c>
      <c r="B476" s="746">
        <f t="shared" si="12"/>
        <v>1113973</v>
      </c>
      <c r="C476" s="746">
        <v>737539</v>
      </c>
      <c r="D476" s="746">
        <v>118729</v>
      </c>
      <c r="E476" s="746">
        <v>0</v>
      </c>
      <c r="F476" s="746" t="s">
        <v>22</v>
      </c>
      <c r="G476" s="746"/>
      <c r="H476" s="746">
        <v>7015</v>
      </c>
      <c r="I476" s="746" t="s">
        <v>22</v>
      </c>
      <c r="J476" s="746">
        <v>250690</v>
      </c>
    </row>
    <row r="477" spans="1:10" s="428" customFormat="1" ht="9" customHeight="1" x14ac:dyDescent="0.25">
      <c r="A477" s="475" t="s">
        <v>45</v>
      </c>
      <c r="B477" s="748">
        <f t="shared" si="12"/>
        <v>2152892</v>
      </c>
      <c r="C477" s="748">
        <v>1117275</v>
      </c>
      <c r="D477" s="748">
        <v>266010</v>
      </c>
      <c r="E477" s="748">
        <v>5567</v>
      </c>
      <c r="F477" s="748" t="s">
        <v>22</v>
      </c>
      <c r="G477" s="748"/>
      <c r="H477" s="748">
        <v>0</v>
      </c>
      <c r="I477" s="748" t="s">
        <v>22</v>
      </c>
      <c r="J477" s="748">
        <v>764040</v>
      </c>
    </row>
    <row r="478" spans="1:10" s="428" customFormat="1" ht="9" customHeight="1" x14ac:dyDescent="0.25">
      <c r="A478" s="428" t="s">
        <v>46</v>
      </c>
      <c r="B478" s="746">
        <f t="shared" si="12"/>
        <v>2543744</v>
      </c>
      <c r="C478" s="746">
        <v>1477083</v>
      </c>
      <c r="D478" s="746">
        <v>334837</v>
      </c>
      <c r="E478" s="746">
        <v>4175</v>
      </c>
      <c r="F478" s="746" t="s">
        <v>22</v>
      </c>
      <c r="G478" s="746"/>
      <c r="H478" s="746">
        <v>3589</v>
      </c>
      <c r="I478" s="746" t="s">
        <v>22</v>
      </c>
      <c r="J478" s="746">
        <v>724060</v>
      </c>
    </row>
    <row r="479" spans="1:10" s="428" customFormat="1" ht="9" customHeight="1" x14ac:dyDescent="0.25">
      <c r="A479" s="428" t="s">
        <v>47</v>
      </c>
      <c r="B479" s="746">
        <f t="shared" si="12"/>
        <v>2173192</v>
      </c>
      <c r="C479" s="746">
        <v>1391331</v>
      </c>
      <c r="D479" s="746">
        <v>234659</v>
      </c>
      <c r="E479" s="746">
        <v>4858</v>
      </c>
      <c r="F479" s="746" t="s">
        <v>22</v>
      </c>
      <c r="G479" s="746"/>
      <c r="H479" s="746">
        <v>5521</v>
      </c>
      <c r="I479" s="746" t="s">
        <v>22</v>
      </c>
      <c r="J479" s="746">
        <v>536823</v>
      </c>
    </row>
    <row r="480" spans="1:10" s="428" customFormat="1" ht="9" customHeight="1" x14ac:dyDescent="0.25">
      <c r="A480" s="428" t="s">
        <v>48</v>
      </c>
      <c r="B480" s="746">
        <f t="shared" si="12"/>
        <v>2144979</v>
      </c>
      <c r="C480" s="746">
        <v>677515</v>
      </c>
      <c r="D480" s="746">
        <v>159965</v>
      </c>
      <c r="E480" s="746">
        <v>111298</v>
      </c>
      <c r="F480" s="746" t="s">
        <v>22</v>
      </c>
      <c r="G480" s="746"/>
      <c r="H480" s="746">
        <v>4089</v>
      </c>
      <c r="I480" s="746" t="s">
        <v>22</v>
      </c>
      <c r="J480" s="746">
        <v>1192112</v>
      </c>
    </row>
    <row r="481" spans="1:11" s="428" customFormat="1" ht="9" customHeight="1" x14ac:dyDescent="0.25">
      <c r="A481" s="475" t="s">
        <v>49</v>
      </c>
      <c r="B481" s="748">
        <f t="shared" si="12"/>
        <v>3254697</v>
      </c>
      <c r="C481" s="748">
        <v>1828924</v>
      </c>
      <c r="D481" s="748">
        <v>361656</v>
      </c>
      <c r="E481" s="748">
        <v>98381</v>
      </c>
      <c r="F481" s="748" t="s">
        <v>22</v>
      </c>
      <c r="G481" s="748"/>
      <c r="H481" s="748">
        <v>12673</v>
      </c>
      <c r="I481" s="748" t="s">
        <v>22</v>
      </c>
      <c r="J481" s="748">
        <v>953063</v>
      </c>
    </row>
    <row r="482" spans="1:11" s="428" customFormat="1" ht="9" customHeight="1" x14ac:dyDescent="0.25">
      <c r="A482" s="428" t="s">
        <v>50</v>
      </c>
      <c r="B482" s="746">
        <f t="shared" si="12"/>
        <v>899384</v>
      </c>
      <c r="C482" s="746">
        <v>296322</v>
      </c>
      <c r="D482" s="746">
        <v>109682</v>
      </c>
      <c r="E482" s="746">
        <v>561</v>
      </c>
      <c r="F482" s="746" t="s">
        <v>22</v>
      </c>
      <c r="G482" s="746"/>
      <c r="H482" s="746">
        <v>0</v>
      </c>
      <c r="I482" s="746" t="s">
        <v>22</v>
      </c>
      <c r="J482" s="746">
        <v>492819</v>
      </c>
    </row>
    <row r="483" spans="1:11" s="428" customFormat="1" ht="9" customHeight="1" x14ac:dyDescent="0.25">
      <c r="A483" s="428" t="s">
        <v>51</v>
      </c>
      <c r="B483" s="746">
        <f t="shared" si="12"/>
        <v>5305601</v>
      </c>
      <c r="C483" s="746">
        <v>2506086</v>
      </c>
      <c r="D483" s="746">
        <v>463300</v>
      </c>
      <c r="E483" s="746">
        <v>222821</v>
      </c>
      <c r="F483" s="746" t="s">
        <v>22</v>
      </c>
      <c r="G483" s="746"/>
      <c r="H483" s="746">
        <v>56556</v>
      </c>
      <c r="I483" s="746" t="s">
        <v>22</v>
      </c>
      <c r="J483" s="746">
        <v>2056838</v>
      </c>
    </row>
    <row r="484" spans="1:11" s="428" customFormat="1" ht="9" customHeight="1" x14ac:dyDescent="0.25">
      <c r="A484" s="428" t="s">
        <v>52</v>
      </c>
      <c r="B484" s="746">
        <f t="shared" si="12"/>
        <v>1589120</v>
      </c>
      <c r="C484" s="746">
        <v>876811</v>
      </c>
      <c r="D484" s="746">
        <v>154453</v>
      </c>
      <c r="E484" s="746">
        <v>4764</v>
      </c>
      <c r="F484" s="746" t="s">
        <v>22</v>
      </c>
      <c r="G484" s="746"/>
      <c r="H484" s="746">
        <v>3653</v>
      </c>
      <c r="I484" s="746" t="s">
        <v>22</v>
      </c>
      <c r="J484" s="746">
        <v>549439</v>
      </c>
    </row>
    <row r="485" spans="1:11" s="428" customFormat="1" ht="9" customHeight="1" x14ac:dyDescent="0.25">
      <c r="A485" s="475" t="s">
        <v>53</v>
      </c>
      <c r="B485" s="748">
        <f t="shared" si="12"/>
        <v>1358824</v>
      </c>
      <c r="C485" s="748">
        <v>653914</v>
      </c>
      <c r="D485" s="748">
        <v>146304</v>
      </c>
      <c r="E485" s="748">
        <v>622</v>
      </c>
      <c r="F485" s="748" t="s">
        <v>22</v>
      </c>
      <c r="G485" s="748"/>
      <c r="H485" s="748">
        <v>0</v>
      </c>
      <c r="I485" s="748" t="s">
        <v>22</v>
      </c>
      <c r="J485" s="748">
        <v>557984</v>
      </c>
    </row>
    <row r="486" spans="1:11" s="428" customFormat="1" ht="9" customHeight="1" x14ac:dyDescent="0.25">
      <c r="A486" s="472" t="s">
        <v>434</v>
      </c>
      <c r="B486" s="746">
        <f t="shared" si="12"/>
        <v>6797</v>
      </c>
      <c r="C486" s="747" t="s">
        <v>573</v>
      </c>
      <c r="D486" s="747">
        <v>6797</v>
      </c>
      <c r="E486" s="747" t="s">
        <v>573</v>
      </c>
      <c r="F486" s="747" t="s">
        <v>573</v>
      </c>
      <c r="G486" s="747"/>
      <c r="H486" s="747" t="s">
        <v>573</v>
      </c>
      <c r="I486" s="746" t="s">
        <v>22</v>
      </c>
      <c r="J486" s="747" t="s">
        <v>573</v>
      </c>
    </row>
    <row r="487" spans="1:11" s="428" customFormat="1" ht="9" customHeight="1" x14ac:dyDescent="0.25">
      <c r="A487" s="431"/>
      <c r="B487" s="746"/>
      <c r="C487" s="431"/>
      <c r="D487" s="746"/>
      <c r="E487" s="431"/>
      <c r="F487" s="431"/>
      <c r="G487" s="431"/>
      <c r="H487" s="431"/>
      <c r="I487" s="431"/>
      <c r="J487" s="749"/>
    </row>
    <row r="488" spans="1:11" s="428" customFormat="1" ht="9" customHeight="1" x14ac:dyDescent="0.25">
      <c r="A488" s="470">
        <v>2009</v>
      </c>
      <c r="B488" s="471"/>
      <c r="C488" s="471"/>
      <c r="D488" s="471"/>
      <c r="E488" s="471"/>
      <c r="F488" s="471"/>
      <c r="G488" s="471"/>
      <c r="H488" s="471"/>
      <c r="I488" s="473"/>
      <c r="J488" s="473"/>
    </row>
    <row r="489" spans="1:11" s="428" customFormat="1" ht="9" customHeight="1" x14ac:dyDescent="0.25">
      <c r="A489" s="473" t="s">
        <v>13</v>
      </c>
      <c r="B489" s="745">
        <f>SUM(B491:B523)+866306</f>
        <v>94642399</v>
      </c>
      <c r="C489" s="745">
        <f>SUM(C491:C523)</f>
        <v>49134310</v>
      </c>
      <c r="D489" s="745">
        <f>SUM(D491:D523)</f>
        <v>11589483</v>
      </c>
      <c r="E489" s="745">
        <f>SUM(E491:E523)</f>
        <v>738526</v>
      </c>
      <c r="F489" s="745">
        <v>866306</v>
      </c>
      <c r="G489" s="787"/>
      <c r="H489" s="745">
        <f>SUM(H491:H523)</f>
        <v>227511</v>
      </c>
      <c r="I489" s="745">
        <f>SUM(I491:I523)</f>
        <v>953314</v>
      </c>
      <c r="J489" s="745">
        <f>SUM(J491:J523)</f>
        <v>31132949</v>
      </c>
      <c r="K489" s="745"/>
    </row>
    <row r="490" spans="1:11" s="428" customFormat="1" ht="3.95" customHeight="1" x14ac:dyDescent="0.25">
      <c r="A490" s="473"/>
      <c r="B490" s="745"/>
      <c r="C490" s="745"/>
      <c r="D490" s="745"/>
      <c r="E490" s="745"/>
      <c r="F490" s="745"/>
      <c r="G490" s="745"/>
      <c r="H490" s="745"/>
      <c r="I490" s="745"/>
      <c r="J490" s="745"/>
      <c r="K490" s="745"/>
    </row>
    <row r="491" spans="1:11" s="428" customFormat="1" ht="9" customHeight="1" x14ac:dyDescent="0.25">
      <c r="A491" s="428" t="s">
        <v>23</v>
      </c>
      <c r="B491" s="746">
        <f t="shared" ref="B491:B523" si="13">SUM(C491:J491)</f>
        <v>1234356</v>
      </c>
      <c r="C491" s="746">
        <v>696191</v>
      </c>
      <c r="D491" s="746">
        <v>124908</v>
      </c>
      <c r="E491" s="746">
        <v>1266</v>
      </c>
      <c r="F491" s="746" t="s">
        <v>22</v>
      </c>
      <c r="G491" s="746"/>
      <c r="H491" s="746">
        <v>0</v>
      </c>
      <c r="I491" s="746">
        <v>19226</v>
      </c>
      <c r="J491" s="746">
        <v>392765</v>
      </c>
    </row>
    <row r="492" spans="1:11" s="428" customFormat="1" ht="9" customHeight="1" x14ac:dyDescent="0.25">
      <c r="A492" s="428" t="s">
        <v>24</v>
      </c>
      <c r="B492" s="746">
        <f t="shared" si="13"/>
        <v>2617529</v>
      </c>
      <c r="C492" s="746">
        <v>1724713</v>
      </c>
      <c r="D492" s="746">
        <v>155614</v>
      </c>
      <c r="E492" s="746">
        <v>2821</v>
      </c>
      <c r="F492" s="746" t="s">
        <v>22</v>
      </c>
      <c r="G492" s="746"/>
      <c r="H492" s="746">
        <v>7182</v>
      </c>
      <c r="I492" s="746">
        <v>132271</v>
      </c>
      <c r="J492" s="746">
        <v>594928</v>
      </c>
    </row>
    <row r="493" spans="1:11" s="428" customFormat="1" ht="9" customHeight="1" x14ac:dyDescent="0.25">
      <c r="A493" s="428" t="s">
        <v>25</v>
      </c>
      <c r="B493" s="746">
        <f t="shared" si="13"/>
        <v>564254</v>
      </c>
      <c r="C493" s="746">
        <v>321667</v>
      </c>
      <c r="D493" s="746">
        <v>113053</v>
      </c>
      <c r="E493" s="746">
        <v>486</v>
      </c>
      <c r="F493" s="746" t="s">
        <v>22</v>
      </c>
      <c r="G493" s="746"/>
      <c r="H493" s="746">
        <v>6033</v>
      </c>
      <c r="I493" s="746">
        <v>0</v>
      </c>
      <c r="J493" s="746">
        <v>123015</v>
      </c>
    </row>
    <row r="494" spans="1:11" s="428" customFormat="1" ht="9" customHeight="1" x14ac:dyDescent="0.25">
      <c r="A494" s="475" t="s">
        <v>26</v>
      </c>
      <c r="B494" s="748">
        <f t="shared" si="13"/>
        <v>905307</v>
      </c>
      <c r="C494" s="748">
        <v>412019</v>
      </c>
      <c r="D494" s="748">
        <v>92130</v>
      </c>
      <c r="E494" s="748">
        <v>27540</v>
      </c>
      <c r="F494" s="748" t="s">
        <v>22</v>
      </c>
      <c r="G494" s="748"/>
      <c r="H494" s="748">
        <v>10913</v>
      </c>
      <c r="I494" s="748">
        <v>0</v>
      </c>
      <c r="J494" s="748">
        <v>362705</v>
      </c>
    </row>
    <row r="495" spans="1:11" s="428" customFormat="1" ht="9" customHeight="1" x14ac:dyDescent="0.25">
      <c r="A495" s="428" t="s">
        <v>27</v>
      </c>
      <c r="B495" s="746">
        <f t="shared" si="13"/>
        <v>2548455</v>
      </c>
      <c r="C495" s="746">
        <v>1788952</v>
      </c>
      <c r="D495" s="746">
        <v>288374</v>
      </c>
      <c r="E495" s="746">
        <v>1806</v>
      </c>
      <c r="F495" s="746" t="s">
        <v>22</v>
      </c>
      <c r="G495" s="746"/>
      <c r="H495" s="746">
        <v>0</v>
      </c>
      <c r="I495" s="746">
        <v>0</v>
      </c>
      <c r="J495" s="746">
        <v>469323</v>
      </c>
    </row>
    <row r="496" spans="1:11" s="428" customFormat="1" ht="9" customHeight="1" x14ac:dyDescent="0.25">
      <c r="A496" s="428" t="s">
        <v>28</v>
      </c>
      <c r="B496" s="746">
        <f t="shared" si="13"/>
        <v>656162</v>
      </c>
      <c r="C496" s="746">
        <v>333691</v>
      </c>
      <c r="D496" s="746">
        <v>74979</v>
      </c>
      <c r="E496" s="746">
        <v>1481</v>
      </c>
      <c r="F496" s="746" t="s">
        <v>22</v>
      </c>
      <c r="G496" s="746"/>
      <c r="H496" s="746">
        <v>11386</v>
      </c>
      <c r="I496" s="746">
        <v>0</v>
      </c>
      <c r="J496" s="746">
        <v>234625</v>
      </c>
    </row>
    <row r="497" spans="1:10" s="428" customFormat="1" ht="9" customHeight="1" x14ac:dyDescent="0.25">
      <c r="A497" s="428" t="s">
        <v>29</v>
      </c>
      <c r="B497" s="746">
        <f t="shared" si="13"/>
        <v>3271341</v>
      </c>
      <c r="C497" s="746">
        <v>811912</v>
      </c>
      <c r="D497" s="746">
        <v>288465</v>
      </c>
      <c r="E497" s="746">
        <v>10000</v>
      </c>
      <c r="F497" s="746" t="s">
        <v>22</v>
      </c>
      <c r="G497" s="746"/>
      <c r="H497" s="746">
        <v>8924</v>
      </c>
      <c r="I497" s="746">
        <v>82304</v>
      </c>
      <c r="J497" s="746">
        <v>2069736</v>
      </c>
    </row>
    <row r="498" spans="1:10" s="428" customFormat="1" ht="9" customHeight="1" x14ac:dyDescent="0.25">
      <c r="A498" s="475" t="s">
        <v>30</v>
      </c>
      <c r="B498" s="748">
        <f t="shared" si="13"/>
        <v>2969215</v>
      </c>
      <c r="C498" s="748">
        <v>1963164</v>
      </c>
      <c r="D498" s="748">
        <v>296507</v>
      </c>
      <c r="E498" s="748">
        <v>4858</v>
      </c>
      <c r="F498" s="748" t="s">
        <v>22</v>
      </c>
      <c r="G498" s="748"/>
      <c r="H498" s="748">
        <v>0</v>
      </c>
      <c r="I498" s="748">
        <v>39358</v>
      </c>
      <c r="J498" s="748">
        <v>665328</v>
      </c>
    </row>
    <row r="499" spans="1:10" s="428" customFormat="1" ht="9" customHeight="1" x14ac:dyDescent="0.25">
      <c r="A499" s="405" t="s">
        <v>63</v>
      </c>
      <c r="B499" s="746">
        <f t="shared" si="13"/>
        <v>11673492</v>
      </c>
      <c r="C499" s="746">
        <v>7298549</v>
      </c>
      <c r="D499" s="746">
        <v>3152488</v>
      </c>
      <c r="E499" s="746">
        <v>72038</v>
      </c>
      <c r="F499" s="746" t="s">
        <v>22</v>
      </c>
      <c r="G499" s="746"/>
      <c r="H499" s="746">
        <v>41956</v>
      </c>
      <c r="I499" s="746">
        <v>0</v>
      </c>
      <c r="J499" s="746">
        <v>1108461</v>
      </c>
    </row>
    <row r="500" spans="1:10" s="428" customFormat="1" ht="9" customHeight="1" x14ac:dyDescent="0.25">
      <c r="A500" s="428" t="s">
        <v>31</v>
      </c>
      <c r="B500" s="746">
        <f t="shared" si="13"/>
        <v>1433318</v>
      </c>
      <c r="C500" s="746">
        <v>734422</v>
      </c>
      <c r="D500" s="746">
        <v>314097</v>
      </c>
      <c r="E500" s="746">
        <v>1698</v>
      </c>
      <c r="F500" s="746" t="s">
        <v>22</v>
      </c>
      <c r="G500" s="746"/>
      <c r="H500" s="746">
        <v>0</v>
      </c>
      <c r="I500" s="746">
        <v>0</v>
      </c>
      <c r="J500" s="746">
        <v>383101</v>
      </c>
    </row>
    <row r="501" spans="1:10" s="428" customFormat="1" ht="9" customHeight="1" x14ac:dyDescent="0.25">
      <c r="A501" s="428" t="s">
        <v>32</v>
      </c>
      <c r="B501" s="746">
        <f t="shared" si="13"/>
        <v>4909604</v>
      </c>
      <c r="C501" s="746">
        <v>2399741</v>
      </c>
      <c r="D501" s="746">
        <v>396352</v>
      </c>
      <c r="E501" s="746">
        <v>33462</v>
      </c>
      <c r="F501" s="746" t="s">
        <v>22</v>
      </c>
      <c r="G501" s="746"/>
      <c r="H501" s="746">
        <v>0</v>
      </c>
      <c r="I501" s="746">
        <v>0</v>
      </c>
      <c r="J501" s="746">
        <v>2080049</v>
      </c>
    </row>
    <row r="502" spans="1:10" s="428" customFormat="1" ht="9" customHeight="1" x14ac:dyDescent="0.25">
      <c r="A502" s="475" t="s">
        <v>33</v>
      </c>
      <c r="B502" s="748">
        <f t="shared" si="13"/>
        <v>2376495</v>
      </c>
      <c r="C502" s="748">
        <v>736633</v>
      </c>
      <c r="D502" s="748">
        <v>481752</v>
      </c>
      <c r="E502" s="748">
        <v>1087</v>
      </c>
      <c r="F502" s="748" t="s">
        <v>22</v>
      </c>
      <c r="G502" s="748"/>
      <c r="H502" s="748">
        <v>10777</v>
      </c>
      <c r="I502" s="748">
        <v>0</v>
      </c>
      <c r="J502" s="748">
        <v>1146246</v>
      </c>
    </row>
    <row r="503" spans="1:10" s="428" customFormat="1" ht="9" customHeight="1" x14ac:dyDescent="0.25">
      <c r="A503" s="428" t="s">
        <v>34</v>
      </c>
      <c r="B503" s="746">
        <f t="shared" si="13"/>
        <v>2054347</v>
      </c>
      <c r="C503" s="746">
        <v>718267</v>
      </c>
      <c r="D503" s="746">
        <v>243973</v>
      </c>
      <c r="E503" s="746">
        <v>19782</v>
      </c>
      <c r="F503" s="746" t="s">
        <v>22</v>
      </c>
      <c r="G503" s="746"/>
      <c r="H503" s="746">
        <v>0</v>
      </c>
      <c r="I503" s="746">
        <v>0</v>
      </c>
      <c r="J503" s="746">
        <v>1072325</v>
      </c>
    </row>
    <row r="504" spans="1:10" s="428" customFormat="1" ht="9" customHeight="1" x14ac:dyDescent="0.25">
      <c r="A504" s="428" t="s">
        <v>35</v>
      </c>
      <c r="B504" s="746">
        <f t="shared" si="13"/>
        <v>6098472</v>
      </c>
      <c r="C504" s="746">
        <v>4009078</v>
      </c>
      <c r="D504" s="746">
        <v>371729</v>
      </c>
      <c r="E504" s="746">
        <v>5085</v>
      </c>
      <c r="F504" s="746" t="s">
        <v>22</v>
      </c>
      <c r="G504" s="746"/>
      <c r="H504" s="746">
        <v>2108</v>
      </c>
      <c r="I504" s="746">
        <v>0</v>
      </c>
      <c r="J504" s="746">
        <v>1710472</v>
      </c>
    </row>
    <row r="505" spans="1:10" s="428" customFormat="1" ht="9" customHeight="1" x14ac:dyDescent="0.25">
      <c r="A505" s="428" t="s">
        <v>36</v>
      </c>
      <c r="B505" s="746">
        <f t="shared" si="13"/>
        <v>8728131</v>
      </c>
      <c r="C505" s="746">
        <v>4368457</v>
      </c>
      <c r="D505" s="746">
        <v>969314</v>
      </c>
      <c r="E505" s="746">
        <v>19317</v>
      </c>
      <c r="F505" s="746" t="s">
        <v>22</v>
      </c>
      <c r="G505" s="746"/>
      <c r="H505" s="746">
        <v>0</v>
      </c>
      <c r="I505" s="746">
        <v>0</v>
      </c>
      <c r="J505" s="746">
        <v>3371043</v>
      </c>
    </row>
    <row r="506" spans="1:10" s="428" customFormat="1" ht="9" customHeight="1" x14ac:dyDescent="0.25">
      <c r="A506" s="475" t="s">
        <v>37</v>
      </c>
      <c r="B506" s="748">
        <f t="shared" si="13"/>
        <v>3030056</v>
      </c>
      <c r="C506" s="748">
        <v>1387030</v>
      </c>
      <c r="D506" s="748">
        <v>397840</v>
      </c>
      <c r="E506" s="748">
        <v>2997</v>
      </c>
      <c r="F506" s="748" t="s">
        <v>22</v>
      </c>
      <c r="G506" s="748"/>
      <c r="H506" s="748">
        <v>10819</v>
      </c>
      <c r="I506" s="748">
        <v>0</v>
      </c>
      <c r="J506" s="748">
        <v>1231370</v>
      </c>
    </row>
    <row r="507" spans="1:10" s="428" customFormat="1" ht="9" customHeight="1" x14ac:dyDescent="0.25">
      <c r="A507" s="428" t="s">
        <v>38</v>
      </c>
      <c r="B507" s="746">
        <f t="shared" si="13"/>
        <v>1412794</v>
      </c>
      <c r="C507" s="746">
        <v>608164</v>
      </c>
      <c r="D507" s="746">
        <v>199615</v>
      </c>
      <c r="E507" s="746">
        <v>1573</v>
      </c>
      <c r="F507" s="746" t="s">
        <v>22</v>
      </c>
      <c r="G507" s="746"/>
      <c r="H507" s="746">
        <v>0</v>
      </c>
      <c r="I507" s="746">
        <v>0</v>
      </c>
      <c r="J507" s="746">
        <v>603442</v>
      </c>
    </row>
    <row r="508" spans="1:10" s="428" customFormat="1" ht="9" customHeight="1" x14ac:dyDescent="0.25">
      <c r="A508" s="428" t="s">
        <v>39</v>
      </c>
      <c r="B508" s="746">
        <f t="shared" si="13"/>
        <v>979948</v>
      </c>
      <c r="C508" s="746">
        <v>418865</v>
      </c>
      <c r="D508" s="746">
        <v>158677</v>
      </c>
      <c r="E508" s="746">
        <v>392</v>
      </c>
      <c r="F508" s="746" t="s">
        <v>22</v>
      </c>
      <c r="G508" s="746"/>
      <c r="H508" s="746">
        <v>2255</v>
      </c>
      <c r="I508" s="746">
        <v>0</v>
      </c>
      <c r="J508" s="746">
        <v>399759</v>
      </c>
    </row>
    <row r="509" spans="1:10" s="428" customFormat="1" ht="9" customHeight="1" x14ac:dyDescent="0.25">
      <c r="A509" s="428" t="s">
        <v>40</v>
      </c>
      <c r="B509" s="746">
        <f t="shared" si="13"/>
        <v>4214799</v>
      </c>
      <c r="C509" s="746">
        <v>3347270</v>
      </c>
      <c r="D509" s="746">
        <v>231474</v>
      </c>
      <c r="E509" s="746">
        <v>24907</v>
      </c>
      <c r="F509" s="746" t="s">
        <v>22</v>
      </c>
      <c r="G509" s="746"/>
      <c r="H509" s="746">
        <v>0</v>
      </c>
      <c r="I509" s="746">
        <v>0</v>
      </c>
      <c r="J509" s="746">
        <v>611148</v>
      </c>
    </row>
    <row r="510" spans="1:10" s="428" customFormat="1" ht="9" customHeight="1" x14ac:dyDescent="0.25">
      <c r="A510" s="475" t="s">
        <v>41</v>
      </c>
      <c r="B510" s="748">
        <f t="shared" si="13"/>
        <v>2705297</v>
      </c>
      <c r="C510" s="748">
        <v>756348</v>
      </c>
      <c r="D510" s="748">
        <v>360873</v>
      </c>
      <c r="E510" s="748">
        <v>27723</v>
      </c>
      <c r="F510" s="748" t="s">
        <v>22</v>
      </c>
      <c r="G510" s="748"/>
      <c r="H510" s="748">
        <v>13017</v>
      </c>
      <c r="I510" s="748">
        <v>0</v>
      </c>
      <c r="J510" s="748">
        <v>1547336</v>
      </c>
    </row>
    <row r="511" spans="1:10" s="428" customFormat="1" ht="9" customHeight="1" x14ac:dyDescent="0.25">
      <c r="A511" s="428" t="s">
        <v>42</v>
      </c>
      <c r="B511" s="746">
        <f t="shared" si="13"/>
        <v>3725117</v>
      </c>
      <c r="C511" s="746">
        <v>1605814</v>
      </c>
      <c r="D511" s="746">
        <v>328606</v>
      </c>
      <c r="E511" s="746">
        <v>15134</v>
      </c>
      <c r="F511" s="746" t="s">
        <v>22</v>
      </c>
      <c r="G511" s="746"/>
      <c r="H511" s="746">
        <v>0</v>
      </c>
      <c r="I511" s="746">
        <v>203629</v>
      </c>
      <c r="J511" s="746">
        <v>1571934</v>
      </c>
    </row>
    <row r="512" spans="1:10" s="428" customFormat="1" ht="9" customHeight="1" x14ac:dyDescent="0.25">
      <c r="A512" s="428" t="s">
        <v>43</v>
      </c>
      <c r="B512" s="746">
        <f t="shared" si="13"/>
        <v>1735221</v>
      </c>
      <c r="C512" s="746">
        <v>1093387</v>
      </c>
      <c r="D512" s="746">
        <v>122639</v>
      </c>
      <c r="E512" s="746">
        <v>3279</v>
      </c>
      <c r="F512" s="746" t="s">
        <v>22</v>
      </c>
      <c r="G512" s="746"/>
      <c r="H512" s="746">
        <v>0</v>
      </c>
      <c r="I512" s="746">
        <v>0</v>
      </c>
      <c r="J512" s="746">
        <v>515916</v>
      </c>
    </row>
    <row r="513" spans="1:11" s="428" customFormat="1" ht="9" customHeight="1" x14ac:dyDescent="0.25">
      <c r="A513" s="428" t="s">
        <v>44</v>
      </c>
      <c r="B513" s="746">
        <f t="shared" si="13"/>
        <v>1161119</v>
      </c>
      <c r="C513" s="746">
        <v>714867</v>
      </c>
      <c r="D513" s="746">
        <v>123299</v>
      </c>
      <c r="E513" s="746">
        <v>0</v>
      </c>
      <c r="F513" s="746" t="s">
        <v>22</v>
      </c>
      <c r="G513" s="746"/>
      <c r="H513" s="746">
        <v>7234</v>
      </c>
      <c r="I513" s="746">
        <v>0</v>
      </c>
      <c r="J513" s="746">
        <v>315719</v>
      </c>
    </row>
    <row r="514" spans="1:11" s="428" customFormat="1" ht="9" customHeight="1" x14ac:dyDescent="0.25">
      <c r="A514" s="475" t="s">
        <v>45</v>
      </c>
      <c r="B514" s="748">
        <f t="shared" si="13"/>
        <v>2240145</v>
      </c>
      <c r="C514" s="748">
        <v>1099801</v>
      </c>
      <c r="D514" s="748">
        <v>273176</v>
      </c>
      <c r="E514" s="748">
        <v>5650</v>
      </c>
      <c r="F514" s="748" t="s">
        <v>22</v>
      </c>
      <c r="G514" s="748"/>
      <c r="H514" s="748">
        <v>0</v>
      </c>
      <c r="I514" s="748">
        <v>0</v>
      </c>
      <c r="J514" s="748">
        <v>861518</v>
      </c>
    </row>
    <row r="515" spans="1:11" s="428" customFormat="1" ht="9" customHeight="1" x14ac:dyDescent="0.25">
      <c r="A515" s="428" t="s">
        <v>46</v>
      </c>
      <c r="B515" s="746">
        <f t="shared" si="13"/>
        <v>2634694</v>
      </c>
      <c r="C515" s="746">
        <v>1507770</v>
      </c>
      <c r="D515" s="746">
        <v>343907</v>
      </c>
      <c r="E515" s="746">
        <v>4236</v>
      </c>
      <c r="F515" s="746" t="s">
        <v>22</v>
      </c>
      <c r="G515" s="746"/>
      <c r="H515" s="746">
        <v>8626</v>
      </c>
      <c r="I515" s="746">
        <v>0</v>
      </c>
      <c r="J515" s="746">
        <v>770155</v>
      </c>
    </row>
    <row r="516" spans="1:11" s="428" customFormat="1" ht="9" customHeight="1" x14ac:dyDescent="0.25">
      <c r="A516" s="428" t="s">
        <v>47</v>
      </c>
      <c r="B516" s="746">
        <f t="shared" si="13"/>
        <v>2313752</v>
      </c>
      <c r="C516" s="746">
        <v>1387130</v>
      </c>
      <c r="D516" s="746">
        <v>240730</v>
      </c>
      <c r="E516" s="746">
        <v>4931</v>
      </c>
      <c r="F516" s="746" t="s">
        <v>22</v>
      </c>
      <c r="G516" s="746"/>
      <c r="H516" s="746">
        <v>5863</v>
      </c>
      <c r="I516" s="746">
        <v>163946</v>
      </c>
      <c r="J516" s="746">
        <v>511152</v>
      </c>
    </row>
    <row r="517" spans="1:11" s="428" customFormat="1" ht="9" customHeight="1" x14ac:dyDescent="0.25">
      <c r="A517" s="428" t="s">
        <v>48</v>
      </c>
      <c r="B517" s="746">
        <f t="shared" si="13"/>
        <v>2537500</v>
      </c>
      <c r="C517" s="746">
        <v>684009</v>
      </c>
      <c r="D517" s="746">
        <v>164300</v>
      </c>
      <c r="E517" s="746">
        <v>112954</v>
      </c>
      <c r="F517" s="746" t="s">
        <v>22</v>
      </c>
      <c r="G517" s="746"/>
      <c r="H517" s="746">
        <v>4654</v>
      </c>
      <c r="I517" s="746">
        <v>312580</v>
      </c>
      <c r="J517" s="746">
        <v>1259003</v>
      </c>
    </row>
    <row r="518" spans="1:11" s="428" customFormat="1" ht="9" customHeight="1" x14ac:dyDescent="0.25">
      <c r="A518" s="475" t="s">
        <v>49</v>
      </c>
      <c r="B518" s="748">
        <f t="shared" si="13"/>
        <v>3257715</v>
      </c>
      <c r="C518" s="748">
        <v>1787693</v>
      </c>
      <c r="D518" s="748">
        <v>372554</v>
      </c>
      <c r="E518" s="748">
        <v>99845</v>
      </c>
      <c r="F518" s="748" t="s">
        <v>22</v>
      </c>
      <c r="G518" s="748"/>
      <c r="H518" s="748">
        <v>13950</v>
      </c>
      <c r="I518" s="748">
        <v>0</v>
      </c>
      <c r="J518" s="748">
        <v>983673</v>
      </c>
    </row>
    <row r="519" spans="1:11" s="428" customFormat="1" ht="9" customHeight="1" x14ac:dyDescent="0.25">
      <c r="A519" s="428" t="s">
        <v>50</v>
      </c>
      <c r="B519" s="746">
        <f t="shared" si="13"/>
        <v>942255</v>
      </c>
      <c r="C519" s="746">
        <v>295154</v>
      </c>
      <c r="D519" s="746">
        <v>113448</v>
      </c>
      <c r="E519" s="746">
        <v>571</v>
      </c>
      <c r="F519" s="746" t="s">
        <v>22</v>
      </c>
      <c r="G519" s="746"/>
      <c r="H519" s="746">
        <v>0</v>
      </c>
      <c r="I519" s="746">
        <v>0</v>
      </c>
      <c r="J519" s="746">
        <v>533082</v>
      </c>
    </row>
    <row r="520" spans="1:11" s="428" customFormat="1" ht="9" customHeight="1" x14ac:dyDescent="0.25">
      <c r="A520" s="428" t="s">
        <v>51</v>
      </c>
      <c r="B520" s="746">
        <f t="shared" si="13"/>
        <v>5725747</v>
      </c>
      <c r="C520" s="746">
        <v>2572934</v>
      </c>
      <c r="D520" s="746">
        <v>475914</v>
      </c>
      <c r="E520" s="746">
        <v>226140</v>
      </c>
      <c r="F520" s="746" t="s">
        <v>22</v>
      </c>
      <c r="G520" s="746"/>
      <c r="H520" s="746">
        <v>58132</v>
      </c>
      <c r="I520" s="746">
        <v>0</v>
      </c>
      <c r="J520" s="746">
        <v>2392627</v>
      </c>
    </row>
    <row r="521" spans="1:11" s="428" customFormat="1" ht="9" customHeight="1" x14ac:dyDescent="0.25">
      <c r="A521" s="428" t="s">
        <v>52</v>
      </c>
      <c r="B521" s="746">
        <f t="shared" si="13"/>
        <v>1662562</v>
      </c>
      <c r="C521" s="746">
        <v>877020</v>
      </c>
      <c r="D521" s="746">
        <v>158964</v>
      </c>
      <c r="E521" s="746">
        <v>4837</v>
      </c>
      <c r="F521" s="746" t="s">
        <v>22</v>
      </c>
      <c r="G521" s="746"/>
      <c r="H521" s="746">
        <v>3682</v>
      </c>
      <c r="I521" s="746">
        <v>0</v>
      </c>
      <c r="J521" s="746">
        <v>618059</v>
      </c>
    </row>
    <row r="522" spans="1:11" s="428" customFormat="1" ht="9" customHeight="1" x14ac:dyDescent="0.25">
      <c r="A522" s="475" t="s">
        <v>53</v>
      </c>
      <c r="B522" s="748">
        <f t="shared" si="13"/>
        <v>1448544</v>
      </c>
      <c r="C522" s="748">
        <v>673598</v>
      </c>
      <c r="D522" s="748">
        <v>151382</v>
      </c>
      <c r="E522" s="748">
        <v>630</v>
      </c>
      <c r="F522" s="748" t="s">
        <v>22</v>
      </c>
      <c r="G522" s="748"/>
      <c r="H522" s="748">
        <v>0</v>
      </c>
      <c r="I522" s="748">
        <v>0</v>
      </c>
      <c r="J522" s="748">
        <v>622934</v>
      </c>
    </row>
    <row r="523" spans="1:11" s="428" customFormat="1" ht="9" customHeight="1" x14ac:dyDescent="0.25">
      <c r="A523" s="472" t="s">
        <v>434</v>
      </c>
      <c r="B523" s="746">
        <f t="shared" si="13"/>
        <v>8350</v>
      </c>
      <c r="C523" s="747" t="s">
        <v>573</v>
      </c>
      <c r="D523" s="747">
        <v>8350</v>
      </c>
      <c r="E523" s="747" t="s">
        <v>573</v>
      </c>
      <c r="F523" s="746" t="s">
        <v>573</v>
      </c>
      <c r="G523" s="746"/>
      <c r="H523" s="747" t="s">
        <v>573</v>
      </c>
      <c r="I523" s="746" t="s">
        <v>573</v>
      </c>
      <c r="J523" s="747" t="s">
        <v>573</v>
      </c>
    </row>
    <row r="524" spans="1:11" s="428" customFormat="1" ht="9" customHeight="1" x14ac:dyDescent="0.25">
      <c r="A524" s="431"/>
      <c r="B524" s="746"/>
      <c r="C524" s="431"/>
      <c r="D524" s="746"/>
      <c r="E524" s="431"/>
      <c r="F524" s="431"/>
      <c r="G524" s="431"/>
      <c r="H524" s="431"/>
      <c r="I524" s="431"/>
      <c r="J524" s="749"/>
    </row>
    <row r="525" spans="1:11" s="428" customFormat="1" ht="9" customHeight="1" x14ac:dyDescent="0.25">
      <c r="A525" s="470">
        <v>2010</v>
      </c>
      <c r="B525" s="471"/>
      <c r="C525" s="471"/>
      <c r="D525" s="471"/>
      <c r="E525" s="471"/>
      <c r="F525" s="471"/>
      <c r="G525" s="471"/>
      <c r="H525" s="471"/>
      <c r="I525" s="473"/>
      <c r="J525" s="473"/>
    </row>
    <row r="526" spans="1:11" s="428" customFormat="1" ht="9" customHeight="1" x14ac:dyDescent="0.25">
      <c r="A526" s="473" t="s">
        <v>13</v>
      </c>
      <c r="B526" s="745">
        <f>SUM(B528:B560)+1048136</f>
        <v>111794439</v>
      </c>
      <c r="C526" s="745">
        <f>SUM(C528:C560)</f>
        <v>52310086</v>
      </c>
      <c r="D526" s="745">
        <f>SUM(D528:D560)</f>
        <v>11993354</v>
      </c>
      <c r="E526" s="745">
        <f>SUM(E528:E560)</f>
        <v>742556</v>
      </c>
      <c r="F526" s="745">
        <v>1048136</v>
      </c>
      <c r="G526" s="787"/>
      <c r="H526" s="745">
        <f>SUM(H528:H560)</f>
        <v>239568</v>
      </c>
      <c r="I526" s="745">
        <f>SUM(I528:I560)</f>
        <v>1942020</v>
      </c>
      <c r="J526" s="745">
        <f>SUM(J528:J560)</f>
        <v>43518719</v>
      </c>
      <c r="K526" s="745"/>
    </row>
    <row r="527" spans="1:11" s="428" customFormat="1" ht="3.95" customHeight="1" x14ac:dyDescent="0.25">
      <c r="A527" s="473"/>
      <c r="B527" s="745"/>
      <c r="C527" s="745"/>
      <c r="D527" s="745"/>
      <c r="E527" s="745"/>
      <c r="F527" s="745"/>
      <c r="G527" s="745"/>
      <c r="H527" s="745"/>
      <c r="I527" s="745"/>
      <c r="J527" s="745"/>
      <c r="K527" s="745"/>
    </row>
    <row r="528" spans="1:11" s="428" customFormat="1" ht="9" customHeight="1" x14ac:dyDescent="0.25">
      <c r="A528" s="428" t="s">
        <v>23</v>
      </c>
      <c r="B528" s="746">
        <f t="shared" ref="B528:B560" si="14">SUM(C528:J528)</f>
        <v>1272857</v>
      </c>
      <c r="C528" s="746">
        <v>724475</v>
      </c>
      <c r="D528" s="746">
        <v>130148</v>
      </c>
      <c r="E528" s="746">
        <v>1273</v>
      </c>
      <c r="F528" s="746" t="s">
        <v>22</v>
      </c>
      <c r="G528" s="746"/>
      <c r="H528" s="746">
        <v>0</v>
      </c>
      <c r="I528" s="746">
        <v>0</v>
      </c>
      <c r="J528" s="746">
        <v>416961</v>
      </c>
    </row>
    <row r="529" spans="1:10" s="428" customFormat="1" ht="9" customHeight="1" x14ac:dyDescent="0.25">
      <c r="A529" s="428" t="s">
        <v>24</v>
      </c>
      <c r="B529" s="746">
        <f t="shared" si="14"/>
        <v>2944093</v>
      </c>
      <c r="C529" s="746">
        <v>1841161</v>
      </c>
      <c r="D529" s="746">
        <v>160861</v>
      </c>
      <c r="E529" s="746">
        <v>2835</v>
      </c>
      <c r="F529" s="746" t="s">
        <v>22</v>
      </c>
      <c r="G529" s="746"/>
      <c r="H529" s="746">
        <v>7182</v>
      </c>
      <c r="I529" s="746">
        <v>134793</v>
      </c>
      <c r="J529" s="746">
        <v>797261</v>
      </c>
    </row>
    <row r="530" spans="1:10" s="428" customFormat="1" ht="9" customHeight="1" x14ac:dyDescent="0.25">
      <c r="A530" s="428" t="s">
        <v>25</v>
      </c>
      <c r="B530" s="746">
        <f t="shared" si="14"/>
        <v>616413</v>
      </c>
      <c r="C530" s="746">
        <v>328281</v>
      </c>
      <c r="D530" s="746">
        <v>117267</v>
      </c>
      <c r="E530" s="746">
        <v>485</v>
      </c>
      <c r="F530" s="746" t="s">
        <v>22</v>
      </c>
      <c r="G530" s="746"/>
      <c r="H530" s="746">
        <v>5699</v>
      </c>
      <c r="I530" s="746">
        <v>0</v>
      </c>
      <c r="J530" s="746">
        <v>164681</v>
      </c>
    </row>
    <row r="531" spans="1:10" s="428" customFormat="1" ht="9" customHeight="1" x14ac:dyDescent="0.25">
      <c r="A531" s="475" t="s">
        <v>26</v>
      </c>
      <c r="B531" s="748">
        <f t="shared" si="14"/>
        <v>982708</v>
      </c>
      <c r="C531" s="748">
        <v>431642</v>
      </c>
      <c r="D531" s="748">
        <v>96074</v>
      </c>
      <c r="E531" s="748">
        <v>27690</v>
      </c>
      <c r="F531" s="748" t="s">
        <v>22</v>
      </c>
      <c r="G531" s="748"/>
      <c r="H531" s="748">
        <v>10974</v>
      </c>
      <c r="I531" s="748">
        <v>0</v>
      </c>
      <c r="J531" s="748">
        <v>416328</v>
      </c>
    </row>
    <row r="532" spans="1:10" s="428" customFormat="1" ht="9" customHeight="1" x14ac:dyDescent="0.25">
      <c r="A532" s="428" t="s">
        <v>27</v>
      </c>
      <c r="B532" s="746">
        <f t="shared" si="14"/>
        <v>2897434</v>
      </c>
      <c r="C532" s="746">
        <v>1967957</v>
      </c>
      <c r="D532" s="746">
        <v>297663</v>
      </c>
      <c r="E532" s="746">
        <v>1814</v>
      </c>
      <c r="F532" s="746" t="s">
        <v>22</v>
      </c>
      <c r="G532" s="746"/>
      <c r="H532" s="746">
        <v>0</v>
      </c>
      <c r="I532" s="746">
        <v>0</v>
      </c>
      <c r="J532" s="746">
        <v>630000</v>
      </c>
    </row>
    <row r="533" spans="1:10" s="428" customFormat="1" ht="9" customHeight="1" x14ac:dyDescent="0.25">
      <c r="A533" s="428" t="s">
        <v>28</v>
      </c>
      <c r="B533" s="746">
        <f t="shared" si="14"/>
        <v>735170</v>
      </c>
      <c r="C533" s="746">
        <v>366568</v>
      </c>
      <c r="D533" s="746">
        <v>77842</v>
      </c>
      <c r="E533" s="746">
        <v>1488</v>
      </c>
      <c r="F533" s="746" t="s">
        <v>22</v>
      </c>
      <c r="G533" s="746"/>
      <c r="H533" s="746">
        <v>13785</v>
      </c>
      <c r="I533" s="746">
        <v>0</v>
      </c>
      <c r="J533" s="746">
        <v>275487</v>
      </c>
    </row>
    <row r="534" spans="1:10" s="428" customFormat="1" ht="9" customHeight="1" x14ac:dyDescent="0.25">
      <c r="A534" s="428" t="s">
        <v>29</v>
      </c>
      <c r="B534" s="746">
        <f t="shared" si="14"/>
        <v>4285168</v>
      </c>
      <c r="C534" s="746">
        <v>883630</v>
      </c>
      <c r="D534" s="746">
        <v>300360</v>
      </c>
      <c r="E534" s="746">
        <v>10052</v>
      </c>
      <c r="F534" s="746" t="s">
        <v>22</v>
      </c>
      <c r="G534" s="746"/>
      <c r="H534" s="746">
        <v>9541</v>
      </c>
      <c r="I534" s="746">
        <v>83685</v>
      </c>
      <c r="J534" s="746">
        <v>2997900</v>
      </c>
    </row>
    <row r="535" spans="1:10" s="428" customFormat="1" ht="9" customHeight="1" x14ac:dyDescent="0.25">
      <c r="A535" s="475" t="s">
        <v>30</v>
      </c>
      <c r="B535" s="748">
        <f t="shared" si="14"/>
        <v>3403402</v>
      </c>
      <c r="C535" s="748">
        <v>2059649</v>
      </c>
      <c r="D535" s="748">
        <v>305830</v>
      </c>
      <c r="E535" s="748">
        <v>4885</v>
      </c>
      <c r="F535" s="748" t="s">
        <v>22</v>
      </c>
      <c r="G535" s="748"/>
      <c r="H535" s="748">
        <v>0</v>
      </c>
      <c r="I535" s="748">
        <v>0</v>
      </c>
      <c r="J535" s="748">
        <v>1033038</v>
      </c>
    </row>
    <row r="536" spans="1:10" s="428" customFormat="1" ht="9" customHeight="1" x14ac:dyDescent="0.25">
      <c r="A536" s="405" t="s">
        <v>63</v>
      </c>
      <c r="B536" s="746">
        <f t="shared" si="14"/>
        <v>12954199</v>
      </c>
      <c r="C536" s="746">
        <v>7804623</v>
      </c>
      <c r="D536" s="746">
        <v>3248051</v>
      </c>
      <c r="E536" s="746">
        <v>72443</v>
      </c>
      <c r="F536" s="746" t="s">
        <v>22</v>
      </c>
      <c r="G536" s="746"/>
      <c r="H536" s="746">
        <v>45676</v>
      </c>
      <c r="I536" s="746">
        <v>38987</v>
      </c>
      <c r="J536" s="746">
        <v>1744419</v>
      </c>
    </row>
    <row r="537" spans="1:10" s="428" customFormat="1" ht="9" customHeight="1" x14ac:dyDescent="0.25">
      <c r="A537" s="428" t="s">
        <v>31</v>
      </c>
      <c r="B537" s="746">
        <f t="shared" si="14"/>
        <v>1628762</v>
      </c>
      <c r="C537" s="746">
        <v>764241</v>
      </c>
      <c r="D537" s="746">
        <v>324208</v>
      </c>
      <c r="E537" s="746">
        <v>1706</v>
      </c>
      <c r="F537" s="746" t="s">
        <v>22</v>
      </c>
      <c r="G537" s="746"/>
      <c r="H537" s="746">
        <v>0</v>
      </c>
      <c r="I537" s="746">
        <v>0</v>
      </c>
      <c r="J537" s="746">
        <v>538607</v>
      </c>
    </row>
    <row r="538" spans="1:10" s="428" customFormat="1" ht="9" customHeight="1" x14ac:dyDescent="0.25">
      <c r="A538" s="428" t="s">
        <v>32</v>
      </c>
      <c r="B538" s="746">
        <f t="shared" si="14"/>
        <v>5564541</v>
      </c>
      <c r="C538" s="746">
        <v>2559857</v>
      </c>
      <c r="D538" s="746">
        <v>410062</v>
      </c>
      <c r="E538" s="746">
        <v>33647</v>
      </c>
      <c r="F538" s="746" t="s">
        <v>22</v>
      </c>
      <c r="G538" s="746"/>
      <c r="H538" s="746">
        <v>0</v>
      </c>
      <c r="I538" s="746">
        <v>0</v>
      </c>
      <c r="J538" s="746">
        <v>2560975</v>
      </c>
    </row>
    <row r="539" spans="1:10" s="428" customFormat="1" ht="9" customHeight="1" x14ac:dyDescent="0.25">
      <c r="A539" s="475" t="s">
        <v>33</v>
      </c>
      <c r="B539" s="748">
        <f t="shared" si="14"/>
        <v>3242754</v>
      </c>
      <c r="C539" s="748">
        <v>753249</v>
      </c>
      <c r="D539" s="748">
        <v>502654</v>
      </c>
      <c r="E539" s="748">
        <v>1092</v>
      </c>
      <c r="F539" s="748" t="s">
        <v>22</v>
      </c>
      <c r="G539" s="748"/>
      <c r="H539" s="748">
        <v>11961</v>
      </c>
      <c r="I539" s="748">
        <v>0</v>
      </c>
      <c r="J539" s="748">
        <v>1973798</v>
      </c>
    </row>
    <row r="540" spans="1:10" s="428" customFormat="1" ht="9" customHeight="1" x14ac:dyDescent="0.25">
      <c r="A540" s="428" t="s">
        <v>34</v>
      </c>
      <c r="B540" s="746">
        <f t="shared" si="14"/>
        <v>2463516</v>
      </c>
      <c r="C540" s="746">
        <v>786091</v>
      </c>
      <c r="D540" s="746">
        <v>253931</v>
      </c>
      <c r="E540" s="746">
        <v>19893</v>
      </c>
      <c r="F540" s="746" t="s">
        <v>22</v>
      </c>
      <c r="G540" s="746"/>
      <c r="H540" s="746">
        <v>0</v>
      </c>
      <c r="I540" s="746">
        <v>0</v>
      </c>
      <c r="J540" s="746">
        <v>1403601</v>
      </c>
    </row>
    <row r="541" spans="1:10" s="428" customFormat="1" ht="9" customHeight="1" x14ac:dyDescent="0.25">
      <c r="A541" s="428" t="s">
        <v>35</v>
      </c>
      <c r="B541" s="746">
        <f t="shared" si="14"/>
        <v>6663167</v>
      </c>
      <c r="C541" s="746">
        <v>4303033</v>
      </c>
      <c r="D541" s="746">
        <v>385111</v>
      </c>
      <c r="E541" s="746">
        <v>5111</v>
      </c>
      <c r="F541" s="746" t="s">
        <v>22</v>
      </c>
      <c r="G541" s="746"/>
      <c r="H541" s="746">
        <v>2108</v>
      </c>
      <c r="I541" s="746">
        <v>0</v>
      </c>
      <c r="J541" s="746">
        <v>1967804</v>
      </c>
    </row>
    <row r="542" spans="1:10" s="428" customFormat="1" ht="9" customHeight="1" x14ac:dyDescent="0.25">
      <c r="A542" s="428" t="s">
        <v>36</v>
      </c>
      <c r="B542" s="746">
        <f t="shared" si="14"/>
        <v>12488568</v>
      </c>
      <c r="C542" s="746">
        <v>4666895</v>
      </c>
      <c r="D542" s="746">
        <v>998643</v>
      </c>
      <c r="E542" s="746">
        <v>19423</v>
      </c>
      <c r="F542" s="746" t="s">
        <v>22</v>
      </c>
      <c r="G542" s="746"/>
      <c r="H542" s="746">
        <v>0</v>
      </c>
      <c r="I542" s="746">
        <v>976609</v>
      </c>
      <c r="J542" s="746">
        <v>5826998</v>
      </c>
    </row>
    <row r="543" spans="1:10" s="428" customFormat="1" ht="9" customHeight="1" x14ac:dyDescent="0.25">
      <c r="A543" s="475" t="s">
        <v>37</v>
      </c>
      <c r="B543" s="748">
        <f t="shared" si="14"/>
        <v>3540031</v>
      </c>
      <c r="C543" s="748">
        <v>1467426</v>
      </c>
      <c r="D543" s="748">
        <v>411163</v>
      </c>
      <c r="E543" s="748">
        <v>3013</v>
      </c>
      <c r="F543" s="748" t="s">
        <v>22</v>
      </c>
      <c r="G543" s="748"/>
      <c r="H543" s="748">
        <v>10819</v>
      </c>
      <c r="I543" s="748">
        <v>0</v>
      </c>
      <c r="J543" s="748">
        <v>1647610</v>
      </c>
    </row>
    <row r="544" spans="1:10" s="428" customFormat="1" ht="9" customHeight="1" x14ac:dyDescent="0.25">
      <c r="A544" s="428" t="s">
        <v>38</v>
      </c>
      <c r="B544" s="746">
        <f t="shared" si="14"/>
        <v>1646463</v>
      </c>
      <c r="C544" s="746">
        <v>657298</v>
      </c>
      <c r="D544" s="746">
        <v>206915</v>
      </c>
      <c r="E544" s="746">
        <v>1578</v>
      </c>
      <c r="F544" s="746" t="s">
        <v>22</v>
      </c>
      <c r="G544" s="746"/>
      <c r="H544" s="746">
        <v>0</v>
      </c>
      <c r="I544" s="746">
        <v>0</v>
      </c>
      <c r="J544" s="746">
        <v>780672</v>
      </c>
    </row>
    <row r="545" spans="1:10" s="428" customFormat="1" ht="9" customHeight="1" x14ac:dyDescent="0.25">
      <c r="A545" s="428" t="s">
        <v>39</v>
      </c>
      <c r="B545" s="746">
        <f t="shared" si="14"/>
        <v>1170485</v>
      </c>
      <c r="C545" s="746">
        <v>453452</v>
      </c>
      <c r="D545" s="746">
        <v>164384</v>
      </c>
      <c r="E545" s="746">
        <v>394</v>
      </c>
      <c r="F545" s="746" t="s">
        <v>22</v>
      </c>
      <c r="G545" s="746"/>
      <c r="H545" s="746">
        <v>2255</v>
      </c>
      <c r="I545" s="746">
        <v>0</v>
      </c>
      <c r="J545" s="746">
        <v>550000</v>
      </c>
    </row>
    <row r="546" spans="1:10" s="428" customFormat="1" ht="9" customHeight="1" x14ac:dyDescent="0.25">
      <c r="A546" s="428" t="s">
        <v>40</v>
      </c>
      <c r="B546" s="746">
        <f t="shared" si="14"/>
        <v>4878534</v>
      </c>
      <c r="C546" s="746">
        <v>3590881</v>
      </c>
      <c r="D546" s="746">
        <v>240177</v>
      </c>
      <c r="E546" s="746">
        <v>25044</v>
      </c>
      <c r="F546" s="746" t="s">
        <v>22</v>
      </c>
      <c r="G546" s="746"/>
      <c r="H546" s="746">
        <v>0</v>
      </c>
      <c r="I546" s="746">
        <v>75903</v>
      </c>
      <c r="J546" s="746">
        <v>946529</v>
      </c>
    </row>
    <row r="547" spans="1:10" s="428" customFormat="1" ht="9" customHeight="1" x14ac:dyDescent="0.25">
      <c r="A547" s="475" t="s">
        <v>41</v>
      </c>
      <c r="B547" s="748">
        <f t="shared" si="14"/>
        <v>3282245</v>
      </c>
      <c r="C547" s="748">
        <v>790825</v>
      </c>
      <c r="D547" s="748">
        <v>380558</v>
      </c>
      <c r="E547" s="748">
        <v>27874</v>
      </c>
      <c r="F547" s="748" t="s">
        <v>22</v>
      </c>
      <c r="G547" s="748"/>
      <c r="H547" s="748">
        <v>13017</v>
      </c>
      <c r="I547" s="748">
        <v>0</v>
      </c>
      <c r="J547" s="748">
        <v>2069971</v>
      </c>
    </row>
    <row r="548" spans="1:10" s="428" customFormat="1" ht="9" customHeight="1" x14ac:dyDescent="0.25">
      <c r="A548" s="428" t="s">
        <v>42</v>
      </c>
      <c r="B548" s="746">
        <f t="shared" si="14"/>
        <v>4408798</v>
      </c>
      <c r="C548" s="746">
        <v>1709631</v>
      </c>
      <c r="D548" s="746">
        <v>339131</v>
      </c>
      <c r="E548" s="746">
        <v>15214</v>
      </c>
      <c r="F548" s="746" t="s">
        <v>22</v>
      </c>
      <c r="G548" s="746"/>
      <c r="H548" s="746">
        <v>0</v>
      </c>
      <c r="I548" s="746">
        <v>156750</v>
      </c>
      <c r="J548" s="746">
        <v>2188072</v>
      </c>
    </row>
    <row r="549" spans="1:10" s="428" customFormat="1" ht="9" customHeight="1" x14ac:dyDescent="0.25">
      <c r="A549" s="428" t="s">
        <v>43</v>
      </c>
      <c r="B549" s="746">
        <f t="shared" si="14"/>
        <v>2028794</v>
      </c>
      <c r="C549" s="746">
        <v>1187451</v>
      </c>
      <c r="D549" s="746">
        <v>126813</v>
      </c>
      <c r="E549" s="746">
        <v>3294</v>
      </c>
      <c r="F549" s="746" t="s">
        <v>22</v>
      </c>
      <c r="G549" s="746"/>
      <c r="H549" s="746">
        <v>0</v>
      </c>
      <c r="I549" s="746">
        <v>0</v>
      </c>
      <c r="J549" s="746">
        <v>711236</v>
      </c>
    </row>
    <row r="550" spans="1:10" s="428" customFormat="1" ht="9" customHeight="1" x14ac:dyDescent="0.25">
      <c r="A550" s="428" t="s">
        <v>44</v>
      </c>
      <c r="B550" s="746">
        <f t="shared" si="14"/>
        <v>1397375</v>
      </c>
      <c r="C550" s="746">
        <v>753022</v>
      </c>
      <c r="D550" s="746">
        <v>127349</v>
      </c>
      <c r="E550" s="746">
        <v>0</v>
      </c>
      <c r="F550" s="746" t="s">
        <v>22</v>
      </c>
      <c r="G550" s="746"/>
      <c r="H550" s="746">
        <v>7870</v>
      </c>
      <c r="I550" s="746">
        <v>0</v>
      </c>
      <c r="J550" s="746">
        <v>509134</v>
      </c>
    </row>
    <row r="551" spans="1:10" s="428" customFormat="1" ht="9" customHeight="1" x14ac:dyDescent="0.25">
      <c r="A551" s="475" t="s">
        <v>45</v>
      </c>
      <c r="B551" s="748">
        <f t="shared" si="14"/>
        <v>2697915</v>
      </c>
      <c r="C551" s="748">
        <v>1197756</v>
      </c>
      <c r="D551" s="748">
        <v>283074</v>
      </c>
      <c r="E551" s="748">
        <v>5683</v>
      </c>
      <c r="F551" s="748" t="s">
        <v>22</v>
      </c>
      <c r="G551" s="748"/>
      <c r="H551" s="748">
        <v>0</v>
      </c>
      <c r="I551" s="748">
        <v>0</v>
      </c>
      <c r="J551" s="748">
        <v>1211402</v>
      </c>
    </row>
    <row r="552" spans="1:10" s="428" customFormat="1" ht="9" customHeight="1" x14ac:dyDescent="0.25">
      <c r="A552" s="428" t="s">
        <v>46</v>
      </c>
      <c r="B552" s="746">
        <f t="shared" si="14"/>
        <v>2921352</v>
      </c>
      <c r="C552" s="746">
        <v>1544859</v>
      </c>
      <c r="D552" s="746">
        <v>355624</v>
      </c>
      <c r="E552" s="746">
        <v>4264</v>
      </c>
      <c r="F552" s="746" t="s">
        <v>22</v>
      </c>
      <c r="G552" s="746"/>
      <c r="H552" s="746">
        <v>8626</v>
      </c>
      <c r="I552" s="746">
        <v>0</v>
      </c>
      <c r="J552" s="746">
        <v>1007979</v>
      </c>
    </row>
    <row r="553" spans="1:10" s="428" customFormat="1" ht="9" customHeight="1" x14ac:dyDescent="0.25">
      <c r="A553" s="428" t="s">
        <v>47</v>
      </c>
      <c r="B553" s="746">
        <f t="shared" si="14"/>
        <v>2600663</v>
      </c>
      <c r="C553" s="746">
        <v>1481303</v>
      </c>
      <c r="D553" s="746">
        <v>249265</v>
      </c>
      <c r="E553" s="746">
        <v>4955</v>
      </c>
      <c r="F553" s="746" t="s">
        <v>22</v>
      </c>
      <c r="G553" s="746"/>
      <c r="H553" s="746">
        <v>5617</v>
      </c>
      <c r="I553" s="746">
        <v>169803</v>
      </c>
      <c r="J553" s="746">
        <v>689720</v>
      </c>
    </row>
    <row r="554" spans="1:10" s="428" customFormat="1" ht="9" customHeight="1" x14ac:dyDescent="0.25">
      <c r="A554" s="428" t="s">
        <v>48</v>
      </c>
      <c r="B554" s="746">
        <f t="shared" si="14"/>
        <v>2697851</v>
      </c>
      <c r="C554" s="746">
        <v>720896</v>
      </c>
      <c r="D554" s="746">
        <v>170609</v>
      </c>
      <c r="E554" s="746">
        <v>113570</v>
      </c>
      <c r="F554" s="746" t="s">
        <v>22</v>
      </c>
      <c r="G554" s="746"/>
      <c r="H554" s="746">
        <v>5574</v>
      </c>
      <c r="I554" s="746">
        <v>305490</v>
      </c>
      <c r="J554" s="746">
        <v>1381712</v>
      </c>
    </row>
    <row r="555" spans="1:10" s="428" customFormat="1" ht="9" customHeight="1" x14ac:dyDescent="0.25">
      <c r="A555" s="475" t="s">
        <v>49</v>
      </c>
      <c r="B555" s="748">
        <f t="shared" si="14"/>
        <v>3564960</v>
      </c>
      <c r="C555" s="748">
        <v>1843666</v>
      </c>
      <c r="D555" s="748">
        <v>386681</v>
      </c>
      <c r="E555" s="748">
        <v>100394</v>
      </c>
      <c r="F555" s="748" t="s">
        <v>22</v>
      </c>
      <c r="G555" s="748"/>
      <c r="H555" s="748">
        <v>13950</v>
      </c>
      <c r="I555" s="748">
        <v>0</v>
      </c>
      <c r="J555" s="748">
        <v>1220269</v>
      </c>
    </row>
    <row r="556" spans="1:10" s="428" customFormat="1" ht="9" customHeight="1" x14ac:dyDescent="0.25">
      <c r="A556" s="428" t="s">
        <v>50</v>
      </c>
      <c r="B556" s="746">
        <f t="shared" si="14"/>
        <v>1161423</v>
      </c>
      <c r="C556" s="746">
        <v>316665</v>
      </c>
      <c r="D556" s="746">
        <v>118689</v>
      </c>
      <c r="E556" s="746">
        <v>572</v>
      </c>
      <c r="F556" s="746" t="s">
        <v>22</v>
      </c>
      <c r="G556" s="746"/>
      <c r="H556" s="746">
        <v>0</v>
      </c>
      <c r="I556" s="746">
        <v>0</v>
      </c>
      <c r="J556" s="746">
        <v>725497</v>
      </c>
    </row>
    <row r="557" spans="1:10" s="428" customFormat="1" ht="9" customHeight="1" x14ac:dyDescent="0.25">
      <c r="A557" s="428" t="s">
        <v>51</v>
      </c>
      <c r="B557" s="746">
        <f t="shared" si="14"/>
        <v>7105385</v>
      </c>
      <c r="C557" s="746">
        <v>2705609</v>
      </c>
      <c r="D557" s="746">
        <v>494122</v>
      </c>
      <c r="E557" s="746">
        <v>227375</v>
      </c>
      <c r="F557" s="746" t="s">
        <v>22</v>
      </c>
      <c r="G557" s="746"/>
      <c r="H557" s="746">
        <v>58132</v>
      </c>
      <c r="I557" s="746">
        <v>0</v>
      </c>
      <c r="J557" s="746">
        <v>3620147</v>
      </c>
    </row>
    <row r="558" spans="1:10" s="428" customFormat="1" ht="9" customHeight="1" x14ac:dyDescent="0.25">
      <c r="A558" s="428" t="s">
        <v>52</v>
      </c>
      <c r="B558" s="746">
        <f t="shared" si="14"/>
        <v>1881229</v>
      </c>
      <c r="C558" s="746">
        <v>920851</v>
      </c>
      <c r="D558" s="746">
        <v>165367</v>
      </c>
      <c r="E558" s="746">
        <v>4861</v>
      </c>
      <c r="F558" s="746" t="s">
        <v>22</v>
      </c>
      <c r="G558" s="746"/>
      <c r="H558" s="746">
        <v>6782</v>
      </c>
      <c r="I558" s="746">
        <v>0</v>
      </c>
      <c r="J558" s="746">
        <v>783368</v>
      </c>
    </row>
    <row r="559" spans="1:10" s="428" customFormat="1" ht="9" customHeight="1" x14ac:dyDescent="0.25">
      <c r="A559" s="475" t="s">
        <v>53</v>
      </c>
      <c r="B559" s="748">
        <f t="shared" si="14"/>
        <v>1612947</v>
      </c>
      <c r="C559" s="748">
        <v>727143</v>
      </c>
      <c r="D559" s="748">
        <v>157627</v>
      </c>
      <c r="E559" s="748">
        <v>634</v>
      </c>
      <c r="F559" s="748" t="s">
        <v>22</v>
      </c>
      <c r="G559" s="748"/>
      <c r="H559" s="748">
        <v>0</v>
      </c>
      <c r="I559" s="748">
        <v>0</v>
      </c>
      <c r="J559" s="748">
        <v>727543</v>
      </c>
    </row>
    <row r="560" spans="1:10" s="428" customFormat="1" ht="9" customHeight="1" x14ac:dyDescent="0.25">
      <c r="A560" s="472" t="s">
        <v>434</v>
      </c>
      <c r="B560" s="746">
        <f t="shared" si="14"/>
        <v>7101</v>
      </c>
      <c r="C560" s="747" t="s">
        <v>573</v>
      </c>
      <c r="D560" s="747">
        <v>7101</v>
      </c>
      <c r="E560" s="746" t="s">
        <v>573</v>
      </c>
      <c r="F560" s="746" t="s">
        <v>573</v>
      </c>
      <c r="G560" s="746"/>
      <c r="H560" s="746" t="s">
        <v>573</v>
      </c>
      <c r="I560" s="746" t="s">
        <v>573</v>
      </c>
      <c r="J560" s="746" t="s">
        <v>573</v>
      </c>
    </row>
    <row r="561" spans="1:11" s="428" customFormat="1" ht="9" customHeight="1" x14ac:dyDescent="0.25">
      <c r="A561" s="472"/>
      <c r="B561" s="746"/>
      <c r="C561" s="747"/>
      <c r="D561" s="747"/>
      <c r="E561" s="746"/>
      <c r="F561" s="746"/>
      <c r="G561" s="746"/>
      <c r="H561" s="746"/>
      <c r="I561" s="746"/>
      <c r="J561" s="746"/>
    </row>
    <row r="562" spans="1:11" s="428" customFormat="1" ht="9" customHeight="1" x14ac:dyDescent="0.15">
      <c r="A562" s="400">
        <v>2011</v>
      </c>
      <c r="B562" s="784"/>
      <c r="C562" s="783"/>
      <c r="D562" s="783"/>
      <c r="E562" s="783"/>
      <c r="F562" s="783"/>
      <c r="G562" s="783"/>
      <c r="H562" s="782"/>
      <c r="I562" s="746"/>
      <c r="J562" s="405"/>
      <c r="K562" s="405"/>
    </row>
    <row r="563" spans="1:11" s="428" customFormat="1" ht="9" customHeight="1" x14ac:dyDescent="0.25">
      <c r="A563" s="399" t="s">
        <v>13</v>
      </c>
      <c r="B563" s="750">
        <f>SUM(B565:B597)+F563</f>
        <v>122708508</v>
      </c>
      <c r="C563" s="750">
        <f>SUM(C565:C596)</f>
        <v>54906396</v>
      </c>
      <c r="D563" s="750">
        <f>SUM(D565:D597)</f>
        <v>12206730</v>
      </c>
      <c r="E563" s="750">
        <f>SUM(E565:E596)</f>
        <v>747997</v>
      </c>
      <c r="F563" s="750">
        <v>806122</v>
      </c>
      <c r="G563" s="750"/>
      <c r="H563" s="750">
        <f>SUM(H565:H596)</f>
        <v>264329</v>
      </c>
      <c r="I563" s="750">
        <f>SUM(I565:I596)</f>
        <v>1953620</v>
      </c>
      <c r="J563" s="750">
        <f>SUM(J565:J596)</f>
        <v>51823314</v>
      </c>
      <c r="K563" s="405"/>
    </row>
    <row r="564" spans="1:11" s="428" customFormat="1" ht="3.95" customHeight="1" x14ac:dyDescent="0.25">
      <c r="A564" s="399"/>
      <c r="B564" s="750"/>
      <c r="C564" s="750"/>
      <c r="D564" s="750"/>
      <c r="E564" s="750"/>
      <c r="F564" s="750"/>
      <c r="G564" s="750"/>
      <c r="H564" s="750"/>
      <c r="I564" s="750"/>
      <c r="J564" s="750"/>
      <c r="K564" s="405"/>
    </row>
    <row r="565" spans="1:11" s="428" customFormat="1" ht="9" customHeight="1" x14ac:dyDescent="0.25">
      <c r="A565" s="405" t="s">
        <v>23</v>
      </c>
      <c r="B565" s="751">
        <f t="shared" ref="B565:B597" si="15">SUM(C565:J565)</f>
        <v>1379186</v>
      </c>
      <c r="C565" s="751">
        <v>757396</v>
      </c>
      <c r="D565" s="751">
        <v>132558</v>
      </c>
      <c r="E565" s="751">
        <v>1286</v>
      </c>
      <c r="F565" s="751" t="s">
        <v>22</v>
      </c>
      <c r="G565" s="751"/>
      <c r="H565" s="751">
        <v>0</v>
      </c>
      <c r="I565" s="751" t="s">
        <v>22</v>
      </c>
      <c r="J565" s="751">
        <v>487946</v>
      </c>
      <c r="K565" s="405"/>
    </row>
    <row r="566" spans="1:11" s="428" customFormat="1" ht="9" customHeight="1" x14ac:dyDescent="0.25">
      <c r="A566" s="405" t="s">
        <v>24</v>
      </c>
      <c r="B566" s="751">
        <f t="shared" si="15"/>
        <v>3358868</v>
      </c>
      <c r="C566" s="751">
        <v>1940078</v>
      </c>
      <c r="D566" s="751">
        <v>163505</v>
      </c>
      <c r="E566" s="751">
        <v>2854</v>
      </c>
      <c r="F566" s="751" t="s">
        <v>22</v>
      </c>
      <c r="G566" s="751"/>
      <c r="H566" s="751">
        <v>5447</v>
      </c>
      <c r="I566" s="751">
        <v>103346</v>
      </c>
      <c r="J566" s="751">
        <v>1143638</v>
      </c>
      <c r="K566" s="405"/>
    </row>
    <row r="567" spans="1:11" s="428" customFormat="1" ht="9" customHeight="1" x14ac:dyDescent="0.25">
      <c r="A567" s="405" t="s">
        <v>25</v>
      </c>
      <c r="B567" s="751">
        <f t="shared" si="15"/>
        <v>668940</v>
      </c>
      <c r="C567" s="751">
        <v>346129</v>
      </c>
      <c r="D567" s="751">
        <v>124542</v>
      </c>
      <c r="E567" s="751">
        <v>493</v>
      </c>
      <c r="F567" s="751" t="s">
        <v>22</v>
      </c>
      <c r="G567" s="751"/>
      <c r="H567" s="751">
        <v>5793</v>
      </c>
      <c r="I567" s="751">
        <v>0</v>
      </c>
      <c r="J567" s="751">
        <v>191983</v>
      </c>
      <c r="K567" s="405"/>
    </row>
    <row r="568" spans="1:11" s="428" customFormat="1" ht="9" customHeight="1" x14ac:dyDescent="0.25">
      <c r="A568" s="406" t="s">
        <v>26</v>
      </c>
      <c r="B568" s="752">
        <f t="shared" si="15"/>
        <v>1060672</v>
      </c>
      <c r="C568" s="752">
        <v>460136</v>
      </c>
      <c r="D568" s="752">
        <v>97855</v>
      </c>
      <c r="E568" s="752">
        <v>27894</v>
      </c>
      <c r="F568" s="752" t="s">
        <v>22</v>
      </c>
      <c r="G568" s="752"/>
      <c r="H568" s="752">
        <v>17258</v>
      </c>
      <c r="I568" s="752">
        <v>0</v>
      </c>
      <c r="J568" s="752">
        <v>457529</v>
      </c>
      <c r="K568" s="405"/>
    </row>
    <row r="569" spans="1:11" s="428" customFormat="1" ht="9" customHeight="1" x14ac:dyDescent="0.25">
      <c r="A569" s="405" t="s">
        <v>27</v>
      </c>
      <c r="B569" s="751">
        <f t="shared" si="15"/>
        <v>3057144</v>
      </c>
      <c r="C569" s="751">
        <v>2080049</v>
      </c>
      <c r="D569" s="751">
        <v>301114</v>
      </c>
      <c r="E569" s="751">
        <v>1825</v>
      </c>
      <c r="F569" s="751" t="s">
        <v>22</v>
      </c>
      <c r="G569" s="751"/>
      <c r="H569" s="751">
        <v>0</v>
      </c>
      <c r="I569" s="751">
        <v>0</v>
      </c>
      <c r="J569" s="751">
        <v>674156</v>
      </c>
      <c r="K569" s="405"/>
    </row>
    <row r="570" spans="1:11" s="428" customFormat="1" ht="9" customHeight="1" x14ac:dyDescent="0.25">
      <c r="A570" s="405" t="s">
        <v>28</v>
      </c>
      <c r="B570" s="751">
        <f t="shared" si="15"/>
        <v>766521</v>
      </c>
      <c r="C570" s="751">
        <v>371390</v>
      </c>
      <c r="D570" s="751">
        <v>79475</v>
      </c>
      <c r="E570" s="751">
        <v>1498</v>
      </c>
      <c r="F570" s="751" t="s">
        <v>22</v>
      </c>
      <c r="G570" s="751"/>
      <c r="H570" s="751">
        <v>13955</v>
      </c>
      <c r="I570" s="751">
        <v>0</v>
      </c>
      <c r="J570" s="751">
        <v>300203</v>
      </c>
      <c r="K570" s="405"/>
    </row>
    <row r="571" spans="1:11" s="428" customFormat="1" ht="9" customHeight="1" x14ac:dyDescent="0.25">
      <c r="A571" s="405" t="s">
        <v>29</v>
      </c>
      <c r="B571" s="751">
        <f t="shared" si="15"/>
        <v>4707866</v>
      </c>
      <c r="C571" s="751">
        <v>941360</v>
      </c>
      <c r="D571" s="751">
        <v>307135</v>
      </c>
      <c r="E571" s="751">
        <v>10125</v>
      </c>
      <c r="F571" s="751" t="s">
        <v>22</v>
      </c>
      <c r="G571" s="751"/>
      <c r="H571" s="751">
        <v>10322</v>
      </c>
      <c r="I571" s="751">
        <v>85418</v>
      </c>
      <c r="J571" s="751">
        <v>3353506</v>
      </c>
      <c r="K571" s="405"/>
    </row>
    <row r="572" spans="1:11" s="428" customFormat="1" ht="9" customHeight="1" x14ac:dyDescent="0.25">
      <c r="A572" s="406" t="s">
        <v>30</v>
      </c>
      <c r="B572" s="752">
        <f t="shared" si="15"/>
        <v>3611128</v>
      </c>
      <c r="C572" s="752">
        <v>2125199</v>
      </c>
      <c r="D572" s="752">
        <v>310405</v>
      </c>
      <c r="E572" s="752">
        <v>4923</v>
      </c>
      <c r="F572" s="752" t="s">
        <v>22</v>
      </c>
      <c r="G572" s="752"/>
      <c r="H572" s="752">
        <v>0</v>
      </c>
      <c r="I572" s="752">
        <v>0</v>
      </c>
      <c r="J572" s="752">
        <v>1170601</v>
      </c>
      <c r="K572" s="405"/>
    </row>
    <row r="573" spans="1:11" s="428" customFormat="1" ht="9" customHeight="1" x14ac:dyDescent="0.25">
      <c r="A573" s="405" t="s">
        <v>63</v>
      </c>
      <c r="B573" s="751">
        <f t="shared" si="15"/>
        <v>13875666</v>
      </c>
      <c r="C573" s="751">
        <v>8176887</v>
      </c>
      <c r="D573" s="751">
        <v>3237015</v>
      </c>
      <c r="E573" s="751">
        <v>72979</v>
      </c>
      <c r="F573" s="751" t="s">
        <v>22</v>
      </c>
      <c r="G573" s="751"/>
      <c r="H573" s="751">
        <v>48040</v>
      </c>
      <c r="I573" s="751">
        <v>40662</v>
      </c>
      <c r="J573" s="751">
        <v>2300083</v>
      </c>
      <c r="K573" s="405"/>
    </row>
    <row r="574" spans="1:11" s="428" customFormat="1" ht="9" customHeight="1" x14ac:dyDescent="0.25">
      <c r="A574" s="405" t="s">
        <v>31</v>
      </c>
      <c r="B574" s="751">
        <f t="shared" si="15"/>
        <v>1876284</v>
      </c>
      <c r="C574" s="751">
        <v>829108</v>
      </c>
      <c r="D574" s="751">
        <v>330030</v>
      </c>
      <c r="E574" s="751">
        <v>1716</v>
      </c>
      <c r="F574" s="751" t="s">
        <v>22</v>
      </c>
      <c r="G574" s="751"/>
      <c r="H574" s="751">
        <v>0</v>
      </c>
      <c r="I574" s="751">
        <v>0</v>
      </c>
      <c r="J574" s="751">
        <v>715430</v>
      </c>
      <c r="K574" s="405"/>
    </row>
    <row r="575" spans="1:11" s="428" customFormat="1" ht="9" customHeight="1" x14ac:dyDescent="0.25">
      <c r="A575" s="405" t="s">
        <v>32</v>
      </c>
      <c r="B575" s="751">
        <f t="shared" si="15"/>
        <v>6196823</v>
      </c>
      <c r="C575" s="751">
        <v>2737134</v>
      </c>
      <c r="D575" s="751">
        <v>417804</v>
      </c>
      <c r="E575" s="751">
        <v>33892</v>
      </c>
      <c r="F575" s="751" t="s">
        <v>22</v>
      </c>
      <c r="G575" s="751"/>
      <c r="H575" s="751">
        <v>0</v>
      </c>
      <c r="I575" s="751">
        <v>0</v>
      </c>
      <c r="J575" s="751">
        <v>3007993</v>
      </c>
      <c r="K575" s="405"/>
    </row>
    <row r="576" spans="1:11" s="428" customFormat="1" ht="9" customHeight="1" x14ac:dyDescent="0.25">
      <c r="A576" s="406" t="s">
        <v>33</v>
      </c>
      <c r="B576" s="752">
        <f t="shared" si="15"/>
        <v>3546424</v>
      </c>
      <c r="C576" s="752">
        <v>741434</v>
      </c>
      <c r="D576" s="752">
        <v>512306</v>
      </c>
      <c r="E576" s="752">
        <v>1099</v>
      </c>
      <c r="F576" s="752" t="s">
        <v>22</v>
      </c>
      <c r="G576" s="752"/>
      <c r="H576" s="752">
        <v>12227</v>
      </c>
      <c r="I576" s="752">
        <v>0</v>
      </c>
      <c r="J576" s="752">
        <v>2279358</v>
      </c>
      <c r="K576" s="405"/>
    </row>
    <row r="577" spans="1:11" s="428" customFormat="1" ht="9" customHeight="1" x14ac:dyDescent="0.25">
      <c r="A577" s="405" t="s">
        <v>34</v>
      </c>
      <c r="B577" s="751">
        <f t="shared" si="15"/>
        <v>2724697</v>
      </c>
      <c r="C577" s="751">
        <v>864422</v>
      </c>
      <c r="D577" s="751">
        <v>270337</v>
      </c>
      <c r="E577" s="751">
        <v>20037</v>
      </c>
      <c r="F577" s="751" t="s">
        <v>22</v>
      </c>
      <c r="G577" s="751"/>
      <c r="H577" s="751">
        <v>0</v>
      </c>
      <c r="I577" s="751">
        <v>0</v>
      </c>
      <c r="J577" s="751">
        <v>1569901</v>
      </c>
      <c r="K577" s="405"/>
    </row>
    <row r="578" spans="1:11" s="428" customFormat="1" ht="9" customHeight="1" x14ac:dyDescent="0.25">
      <c r="A578" s="405" t="s">
        <v>35</v>
      </c>
      <c r="B578" s="751">
        <f t="shared" si="15"/>
        <v>7707324</v>
      </c>
      <c r="C578" s="751">
        <v>4549633</v>
      </c>
      <c r="D578" s="751">
        <v>392916</v>
      </c>
      <c r="E578" s="751">
        <v>5149</v>
      </c>
      <c r="F578" s="751" t="s">
        <v>22</v>
      </c>
      <c r="G578" s="751"/>
      <c r="H578" s="751">
        <v>2135</v>
      </c>
      <c r="I578" s="751">
        <v>0</v>
      </c>
      <c r="J578" s="751">
        <v>2757491</v>
      </c>
      <c r="K578" s="405"/>
    </row>
    <row r="579" spans="1:11" s="428" customFormat="1" ht="9" customHeight="1" x14ac:dyDescent="0.25">
      <c r="A579" s="405" t="s">
        <v>36</v>
      </c>
      <c r="B579" s="751">
        <f t="shared" si="15"/>
        <v>13477881</v>
      </c>
      <c r="C579" s="751">
        <v>4824568</v>
      </c>
      <c r="D579" s="751">
        <v>1053219</v>
      </c>
      <c r="E579" s="751">
        <v>19563</v>
      </c>
      <c r="F579" s="751" t="s">
        <v>22</v>
      </c>
      <c r="G579" s="751"/>
      <c r="H579" s="751">
        <v>0</v>
      </c>
      <c r="I579" s="751">
        <v>1013850</v>
      </c>
      <c r="J579" s="751">
        <v>6566681</v>
      </c>
      <c r="K579" s="405"/>
    </row>
    <row r="580" spans="1:11" s="428" customFormat="1" ht="9" customHeight="1" x14ac:dyDescent="0.25">
      <c r="A580" s="406" t="s">
        <v>37</v>
      </c>
      <c r="B580" s="752">
        <f t="shared" si="15"/>
        <v>4232510</v>
      </c>
      <c r="C580" s="752">
        <v>1546312</v>
      </c>
      <c r="D580" s="752">
        <v>418286</v>
      </c>
      <c r="E580" s="752">
        <v>3036</v>
      </c>
      <c r="F580" s="752" t="s">
        <v>22</v>
      </c>
      <c r="G580" s="752"/>
      <c r="H580" s="752">
        <v>10154</v>
      </c>
      <c r="I580" s="752">
        <v>0</v>
      </c>
      <c r="J580" s="752">
        <v>2254722</v>
      </c>
      <c r="K580" s="405"/>
    </row>
    <row r="581" spans="1:11" s="428" customFormat="1" ht="9" customHeight="1" x14ac:dyDescent="0.25">
      <c r="A581" s="405" t="s">
        <v>38</v>
      </c>
      <c r="B581" s="751">
        <f t="shared" si="15"/>
        <v>1851931</v>
      </c>
      <c r="C581" s="751">
        <v>689482</v>
      </c>
      <c r="D581" s="751">
        <v>211110</v>
      </c>
      <c r="E581" s="751">
        <v>1591</v>
      </c>
      <c r="F581" s="751" t="s">
        <v>22</v>
      </c>
      <c r="G581" s="751"/>
      <c r="H581" s="751">
        <v>0</v>
      </c>
      <c r="I581" s="751">
        <v>0</v>
      </c>
      <c r="J581" s="751">
        <v>949748</v>
      </c>
      <c r="K581" s="405"/>
    </row>
    <row r="582" spans="1:11" s="428" customFormat="1" ht="9" customHeight="1" x14ac:dyDescent="0.25">
      <c r="A582" s="405" t="s">
        <v>39</v>
      </c>
      <c r="B582" s="751">
        <f t="shared" si="15"/>
        <v>1273856</v>
      </c>
      <c r="C582" s="751">
        <v>477282</v>
      </c>
      <c r="D582" s="751">
        <v>167865</v>
      </c>
      <c r="E582" s="751">
        <v>396</v>
      </c>
      <c r="F582" s="751" t="s">
        <v>22</v>
      </c>
      <c r="G582" s="751"/>
      <c r="H582" s="751">
        <v>2641</v>
      </c>
      <c r="I582" s="751">
        <v>0</v>
      </c>
      <c r="J582" s="751">
        <v>625672</v>
      </c>
      <c r="K582" s="405"/>
    </row>
    <row r="583" spans="1:11" s="428" customFormat="1" ht="9" customHeight="1" x14ac:dyDescent="0.25">
      <c r="A583" s="405" t="s">
        <v>40</v>
      </c>
      <c r="B583" s="751">
        <f t="shared" si="15"/>
        <v>5129152</v>
      </c>
      <c r="C583" s="751">
        <v>3738066</v>
      </c>
      <c r="D583" s="751">
        <v>244437</v>
      </c>
      <c r="E583" s="751">
        <v>25224</v>
      </c>
      <c r="F583" s="751" t="s">
        <v>22</v>
      </c>
      <c r="G583" s="751"/>
      <c r="H583" s="751">
        <v>0</v>
      </c>
      <c r="I583" s="751" t="s">
        <v>22</v>
      </c>
      <c r="J583" s="751">
        <v>1121425</v>
      </c>
      <c r="K583" s="405"/>
    </row>
    <row r="584" spans="1:11" s="428" customFormat="1" ht="9" customHeight="1" x14ac:dyDescent="0.25">
      <c r="A584" s="406" t="s">
        <v>41</v>
      </c>
      <c r="B584" s="752">
        <f t="shared" si="15"/>
        <v>3857077</v>
      </c>
      <c r="C584" s="752">
        <v>800713</v>
      </c>
      <c r="D584" s="752">
        <v>388323</v>
      </c>
      <c r="E584" s="752">
        <v>28082</v>
      </c>
      <c r="F584" s="752" t="s">
        <v>22</v>
      </c>
      <c r="G584" s="752"/>
      <c r="H584" s="752">
        <v>19839</v>
      </c>
      <c r="I584" s="752">
        <v>0</v>
      </c>
      <c r="J584" s="752">
        <v>2620120</v>
      </c>
      <c r="K584" s="405"/>
    </row>
    <row r="585" spans="1:11" s="428" customFormat="1" ht="9" customHeight="1" x14ac:dyDescent="0.25">
      <c r="A585" s="405" t="s">
        <v>42</v>
      </c>
      <c r="B585" s="751">
        <f t="shared" si="15"/>
        <v>5519589</v>
      </c>
      <c r="C585" s="751">
        <v>1812191</v>
      </c>
      <c r="D585" s="751">
        <v>345005</v>
      </c>
      <c r="E585" s="751">
        <v>15328</v>
      </c>
      <c r="F585" s="751" t="s">
        <v>22</v>
      </c>
      <c r="G585" s="751"/>
      <c r="H585" s="751">
        <v>0</v>
      </c>
      <c r="I585" s="751">
        <v>223341</v>
      </c>
      <c r="J585" s="751">
        <v>3123724</v>
      </c>
      <c r="K585" s="405"/>
    </row>
    <row r="586" spans="1:11" s="428" customFormat="1" ht="9" customHeight="1" x14ac:dyDescent="0.25">
      <c r="A586" s="405" t="s">
        <v>43</v>
      </c>
      <c r="B586" s="751">
        <f t="shared" si="15"/>
        <v>2239859</v>
      </c>
      <c r="C586" s="751">
        <v>1286786</v>
      </c>
      <c r="D586" s="751">
        <v>129292</v>
      </c>
      <c r="E586" s="751">
        <v>3321</v>
      </c>
      <c r="F586" s="751" t="s">
        <v>22</v>
      </c>
      <c r="G586" s="751"/>
      <c r="H586" s="751">
        <v>0</v>
      </c>
      <c r="I586" s="751">
        <v>0</v>
      </c>
      <c r="J586" s="751">
        <v>820460</v>
      </c>
      <c r="K586" s="405"/>
    </row>
    <row r="587" spans="1:11" s="428" customFormat="1" ht="9" customHeight="1" x14ac:dyDescent="0.25">
      <c r="A587" s="405" t="s">
        <v>44</v>
      </c>
      <c r="B587" s="751">
        <f t="shared" si="15"/>
        <v>1497756</v>
      </c>
      <c r="C587" s="751">
        <v>775710</v>
      </c>
      <c r="D587" s="751">
        <v>134943</v>
      </c>
      <c r="E587" s="751">
        <v>0</v>
      </c>
      <c r="F587" s="751" t="s">
        <v>22</v>
      </c>
      <c r="G587" s="751"/>
      <c r="H587" s="751">
        <v>9170</v>
      </c>
      <c r="I587" s="751">
        <v>0</v>
      </c>
      <c r="J587" s="751">
        <v>577933</v>
      </c>
      <c r="K587" s="405"/>
    </row>
    <row r="588" spans="1:11" s="428" customFormat="1" ht="9" customHeight="1" x14ac:dyDescent="0.25">
      <c r="A588" s="406" t="s">
        <v>45</v>
      </c>
      <c r="B588" s="752">
        <f t="shared" si="15"/>
        <v>2934095</v>
      </c>
      <c r="C588" s="752">
        <v>1267316</v>
      </c>
      <c r="D588" s="752">
        <v>288664</v>
      </c>
      <c r="E588" s="752">
        <v>5726</v>
      </c>
      <c r="F588" s="752" t="s">
        <v>22</v>
      </c>
      <c r="G588" s="752"/>
      <c r="H588" s="752">
        <v>0</v>
      </c>
      <c r="I588" s="752">
        <v>0</v>
      </c>
      <c r="J588" s="752">
        <v>1372389</v>
      </c>
      <c r="K588" s="405"/>
    </row>
    <row r="589" spans="1:11" s="428" customFormat="1" ht="9" customHeight="1" x14ac:dyDescent="0.25">
      <c r="A589" s="405" t="s">
        <v>46</v>
      </c>
      <c r="B589" s="751">
        <f t="shared" si="15"/>
        <v>3120823</v>
      </c>
      <c r="C589" s="751">
        <v>1658547</v>
      </c>
      <c r="D589" s="751">
        <v>367768</v>
      </c>
      <c r="E589" s="751">
        <v>4291</v>
      </c>
      <c r="F589" s="751" t="s">
        <v>22</v>
      </c>
      <c r="G589" s="751"/>
      <c r="H589" s="751">
        <v>8677</v>
      </c>
      <c r="I589" s="751">
        <v>0</v>
      </c>
      <c r="J589" s="751">
        <v>1081540</v>
      </c>
      <c r="K589" s="405"/>
    </row>
    <row r="590" spans="1:11" s="428" customFormat="1" ht="9" customHeight="1" x14ac:dyDescent="0.25">
      <c r="A590" s="405" t="s">
        <v>47</v>
      </c>
      <c r="B590" s="751">
        <f t="shared" si="15"/>
        <v>2818375</v>
      </c>
      <c r="C590" s="751">
        <v>1544991</v>
      </c>
      <c r="D590" s="751">
        <v>252339</v>
      </c>
      <c r="E590" s="751">
        <v>4995</v>
      </c>
      <c r="F590" s="751" t="s">
        <v>22</v>
      </c>
      <c r="G590" s="751"/>
      <c r="H590" s="751">
        <v>6521</v>
      </c>
      <c r="I590" s="751">
        <v>174776</v>
      </c>
      <c r="J590" s="751">
        <v>834753</v>
      </c>
      <c r="K590" s="405"/>
    </row>
    <row r="591" spans="1:11" s="428" customFormat="1" ht="9" customHeight="1" x14ac:dyDescent="0.25">
      <c r="A591" s="405" t="s">
        <v>48</v>
      </c>
      <c r="B591" s="751">
        <f t="shared" si="15"/>
        <v>2919218</v>
      </c>
      <c r="C591" s="751">
        <v>782460</v>
      </c>
      <c r="D591" s="751">
        <v>173869</v>
      </c>
      <c r="E591" s="751">
        <v>114400</v>
      </c>
      <c r="F591" s="751" t="s">
        <v>22</v>
      </c>
      <c r="G591" s="751"/>
      <c r="H591" s="751">
        <v>5044</v>
      </c>
      <c r="I591" s="751">
        <v>312227</v>
      </c>
      <c r="J591" s="751">
        <v>1531218</v>
      </c>
      <c r="K591" s="405"/>
    </row>
    <row r="592" spans="1:11" s="428" customFormat="1" ht="9" customHeight="1" x14ac:dyDescent="0.25">
      <c r="A592" s="406" t="s">
        <v>49</v>
      </c>
      <c r="B592" s="752">
        <f t="shared" si="15"/>
        <v>3735447</v>
      </c>
      <c r="C592" s="752">
        <v>1872356</v>
      </c>
      <c r="D592" s="752">
        <v>393827</v>
      </c>
      <c r="E592" s="752">
        <v>101127</v>
      </c>
      <c r="F592" s="752" t="s">
        <v>22</v>
      </c>
      <c r="G592" s="752"/>
      <c r="H592" s="752">
        <v>11937</v>
      </c>
      <c r="I592" s="752">
        <v>0</v>
      </c>
      <c r="J592" s="752">
        <v>1356200</v>
      </c>
      <c r="K592" s="405"/>
    </row>
    <row r="593" spans="1:11" s="428" customFormat="1" ht="9" customHeight="1" x14ac:dyDescent="0.25">
      <c r="A593" s="405" t="s">
        <v>50</v>
      </c>
      <c r="B593" s="751">
        <f t="shared" si="15"/>
        <v>1223394</v>
      </c>
      <c r="C593" s="751">
        <v>335708</v>
      </c>
      <c r="D593" s="751">
        <v>120827</v>
      </c>
      <c r="E593" s="751">
        <v>576</v>
      </c>
      <c r="F593" s="751" t="s">
        <v>22</v>
      </c>
      <c r="G593" s="751"/>
      <c r="H593" s="751">
        <v>0</v>
      </c>
      <c r="I593" s="751">
        <v>0</v>
      </c>
      <c r="J593" s="751">
        <v>766283</v>
      </c>
      <c r="K593" s="405"/>
    </row>
    <row r="594" spans="1:11" s="428" customFormat="1" ht="9" customHeight="1" x14ac:dyDescent="0.25">
      <c r="A594" s="405" t="s">
        <v>51</v>
      </c>
      <c r="B594" s="751">
        <f t="shared" si="15"/>
        <v>7737739</v>
      </c>
      <c r="C594" s="751">
        <v>2843818</v>
      </c>
      <c r="D594" s="751">
        <v>504715</v>
      </c>
      <c r="E594" s="751">
        <v>229035</v>
      </c>
      <c r="F594" s="751" t="s">
        <v>22</v>
      </c>
      <c r="G594" s="751"/>
      <c r="H594" s="751">
        <v>69990</v>
      </c>
      <c r="I594" s="751">
        <v>0</v>
      </c>
      <c r="J594" s="751">
        <v>4090181</v>
      </c>
      <c r="K594" s="405"/>
    </row>
    <row r="595" spans="1:11" s="428" customFormat="1" ht="9" customHeight="1" x14ac:dyDescent="0.25">
      <c r="A595" s="405" t="s">
        <v>52</v>
      </c>
      <c r="B595" s="751">
        <f t="shared" si="15"/>
        <v>2030492</v>
      </c>
      <c r="C595" s="751">
        <v>965635</v>
      </c>
      <c r="D595" s="751">
        <v>167971</v>
      </c>
      <c r="E595" s="751">
        <v>4898</v>
      </c>
      <c r="F595" s="751" t="s">
        <v>22</v>
      </c>
      <c r="G595" s="751"/>
      <c r="H595" s="751">
        <v>5179</v>
      </c>
      <c r="I595" s="751">
        <v>0</v>
      </c>
      <c r="J595" s="751">
        <v>886809</v>
      </c>
      <c r="K595" s="405"/>
    </row>
    <row r="596" spans="1:11" s="428" customFormat="1" ht="9" customHeight="1" x14ac:dyDescent="0.25">
      <c r="A596" s="406" t="s">
        <v>53</v>
      </c>
      <c r="B596" s="752">
        <f t="shared" si="15"/>
        <v>1758725</v>
      </c>
      <c r="C596" s="752">
        <v>764100</v>
      </c>
      <c r="D596" s="752">
        <v>160349</v>
      </c>
      <c r="E596" s="752">
        <v>638</v>
      </c>
      <c r="F596" s="752" t="s">
        <v>22</v>
      </c>
      <c r="G596" s="752"/>
      <c r="H596" s="752">
        <v>0</v>
      </c>
      <c r="I596" s="752">
        <v>0</v>
      </c>
      <c r="J596" s="752">
        <v>833638</v>
      </c>
      <c r="K596" s="405"/>
    </row>
    <row r="597" spans="1:11" s="428" customFormat="1" ht="9" customHeight="1" x14ac:dyDescent="0.25">
      <c r="A597" s="786" t="s">
        <v>434</v>
      </c>
      <c r="B597" s="785">
        <f t="shared" si="15"/>
        <v>6924</v>
      </c>
      <c r="C597" s="785" t="s">
        <v>573</v>
      </c>
      <c r="D597" s="785">
        <v>6924</v>
      </c>
      <c r="E597" s="785" t="s">
        <v>573</v>
      </c>
      <c r="F597" s="785" t="s">
        <v>573</v>
      </c>
      <c r="G597" s="785"/>
      <c r="H597" s="785" t="s">
        <v>573</v>
      </c>
      <c r="I597" s="751" t="s">
        <v>573</v>
      </c>
      <c r="J597" s="751" t="s">
        <v>573</v>
      </c>
      <c r="K597" s="405"/>
    </row>
    <row r="598" spans="1:11" s="428" customFormat="1" ht="9" customHeight="1" x14ac:dyDescent="0.25">
      <c r="A598" s="786"/>
      <c r="B598" s="785"/>
      <c r="C598" s="785"/>
      <c r="D598" s="785"/>
      <c r="E598" s="785"/>
      <c r="F598" s="785"/>
      <c r="G598" s="785"/>
      <c r="H598" s="785"/>
      <c r="I598" s="751"/>
      <c r="J598" s="751"/>
      <c r="K598" s="405"/>
    </row>
    <row r="599" spans="1:11" s="405" customFormat="1" ht="9" customHeight="1" x14ac:dyDescent="0.15">
      <c r="A599" s="400">
        <v>2012</v>
      </c>
      <c r="B599" s="784"/>
      <c r="C599" s="783"/>
      <c r="D599" s="783"/>
      <c r="E599" s="783"/>
      <c r="F599" s="783"/>
      <c r="G599" s="783"/>
      <c r="H599" s="782"/>
      <c r="I599" s="746"/>
    </row>
    <row r="600" spans="1:11" s="405" customFormat="1" ht="9" customHeight="1" x14ac:dyDescent="0.25">
      <c r="A600" s="399" t="s">
        <v>13</v>
      </c>
      <c r="B600" s="750">
        <f>SUM(B602:B634)+F600</f>
        <v>126381490</v>
      </c>
      <c r="C600" s="750">
        <f>SUM(C602:C633)</f>
        <v>57475897</v>
      </c>
      <c r="D600" s="750">
        <f>SUM(D602:D634)</f>
        <v>12449609</v>
      </c>
      <c r="E600" s="750">
        <f>SUM(E602:E633)</f>
        <v>755346</v>
      </c>
      <c r="F600" s="750">
        <v>831621</v>
      </c>
      <c r="G600" s="750"/>
      <c r="H600" s="750">
        <f>SUM(H602:H633)</f>
        <v>278904</v>
      </c>
      <c r="I600" s="750">
        <f>SUM(I602:I633)</f>
        <v>1682102</v>
      </c>
      <c r="J600" s="750">
        <f>SUM(J602:J633)</f>
        <v>52908011</v>
      </c>
    </row>
    <row r="601" spans="1:11" s="405" customFormat="1" ht="3.95" customHeight="1" x14ac:dyDescent="0.25">
      <c r="A601" s="399"/>
      <c r="B601" s="750"/>
      <c r="C601" s="750"/>
      <c r="D601" s="750"/>
      <c r="E601" s="750"/>
      <c r="F601" s="750"/>
      <c r="G601" s="750"/>
      <c r="H601" s="750"/>
      <c r="I601" s="750"/>
      <c r="J601" s="750"/>
    </row>
    <row r="602" spans="1:11" s="405" customFormat="1" ht="9" customHeight="1" x14ac:dyDescent="0.25">
      <c r="A602" s="405" t="s">
        <v>23</v>
      </c>
      <c r="B602" s="751">
        <f t="shared" ref="B602:B634" si="16">SUM(C602:J602)</f>
        <v>1455900</v>
      </c>
      <c r="C602" s="751">
        <v>809480</v>
      </c>
      <c r="D602" s="751">
        <v>139890</v>
      </c>
      <c r="E602" s="751">
        <v>1295</v>
      </c>
      <c r="F602" s="751" t="s">
        <v>22</v>
      </c>
      <c r="G602" s="751"/>
      <c r="H602" s="751">
        <v>0</v>
      </c>
      <c r="I602" s="751">
        <v>0</v>
      </c>
      <c r="J602" s="751">
        <v>505235</v>
      </c>
    </row>
    <row r="603" spans="1:11" s="405" customFormat="1" ht="9" customHeight="1" x14ac:dyDescent="0.25">
      <c r="A603" s="405" t="s">
        <v>24</v>
      </c>
      <c r="B603" s="751">
        <f t="shared" si="16"/>
        <v>3511894</v>
      </c>
      <c r="C603" s="751">
        <v>2044376</v>
      </c>
      <c r="D603" s="751">
        <v>167144</v>
      </c>
      <c r="E603" s="751">
        <v>2884</v>
      </c>
      <c r="F603" s="751" t="s">
        <v>22</v>
      </c>
      <c r="G603" s="751"/>
      <c r="H603" s="751">
        <v>6166</v>
      </c>
      <c r="I603" s="751">
        <v>141301</v>
      </c>
      <c r="J603" s="751">
        <v>1150023</v>
      </c>
    </row>
    <row r="604" spans="1:11" s="405" customFormat="1" ht="9" customHeight="1" x14ac:dyDescent="0.25">
      <c r="A604" s="405" t="s">
        <v>25</v>
      </c>
      <c r="B604" s="751">
        <f t="shared" si="16"/>
        <v>705903</v>
      </c>
      <c r="C604" s="751">
        <v>361521</v>
      </c>
      <c r="D604" s="751">
        <v>132773</v>
      </c>
      <c r="E604" s="751">
        <v>494</v>
      </c>
      <c r="F604" s="751" t="s">
        <v>22</v>
      </c>
      <c r="G604" s="751"/>
      <c r="H604" s="751">
        <v>5889</v>
      </c>
      <c r="I604" s="751">
        <v>0</v>
      </c>
      <c r="J604" s="751">
        <v>205226</v>
      </c>
    </row>
    <row r="605" spans="1:11" s="405" customFormat="1" ht="9" customHeight="1" x14ac:dyDescent="0.25">
      <c r="A605" s="406" t="s">
        <v>26</v>
      </c>
      <c r="B605" s="752">
        <f t="shared" si="16"/>
        <v>1135441</v>
      </c>
      <c r="C605" s="752">
        <v>517827</v>
      </c>
      <c r="D605" s="752">
        <v>100087</v>
      </c>
      <c r="E605" s="752">
        <v>28166</v>
      </c>
      <c r="F605" s="752" t="s">
        <v>22</v>
      </c>
      <c r="G605" s="752"/>
      <c r="H605" s="752">
        <v>12315</v>
      </c>
      <c r="I605" s="752">
        <v>0</v>
      </c>
      <c r="J605" s="752">
        <v>477046</v>
      </c>
    </row>
    <row r="606" spans="1:11" s="405" customFormat="1" ht="9" customHeight="1" x14ac:dyDescent="0.25">
      <c r="A606" s="405" t="s">
        <v>27</v>
      </c>
      <c r="B606" s="751">
        <f t="shared" si="16"/>
        <v>3184996</v>
      </c>
      <c r="C606" s="751">
        <v>2189794</v>
      </c>
      <c r="D606" s="751">
        <v>307094</v>
      </c>
      <c r="E606" s="751">
        <v>1845</v>
      </c>
      <c r="F606" s="751" t="s">
        <v>22</v>
      </c>
      <c r="G606" s="751"/>
      <c r="H606" s="751">
        <v>0</v>
      </c>
      <c r="I606" s="751">
        <v>0</v>
      </c>
      <c r="J606" s="751">
        <v>686263</v>
      </c>
    </row>
    <row r="607" spans="1:11" s="405" customFormat="1" ht="9" customHeight="1" x14ac:dyDescent="0.25">
      <c r="A607" s="405" t="s">
        <v>28</v>
      </c>
      <c r="B607" s="751">
        <f t="shared" si="16"/>
        <v>788264</v>
      </c>
      <c r="C607" s="751">
        <v>392210</v>
      </c>
      <c r="D607" s="751">
        <v>81150</v>
      </c>
      <c r="E607" s="751">
        <v>1514</v>
      </c>
      <c r="F607" s="751" t="s">
        <v>22</v>
      </c>
      <c r="G607" s="751"/>
      <c r="H607" s="751">
        <v>14354</v>
      </c>
      <c r="I607" s="751">
        <v>0</v>
      </c>
      <c r="J607" s="751">
        <v>299036</v>
      </c>
    </row>
    <row r="608" spans="1:11" s="405" customFormat="1" ht="9" customHeight="1" x14ac:dyDescent="0.25">
      <c r="A608" s="405" t="s">
        <v>29</v>
      </c>
      <c r="B608" s="751">
        <f t="shared" si="16"/>
        <v>4839401</v>
      </c>
      <c r="C608" s="751">
        <v>1000606</v>
      </c>
      <c r="D608" s="751">
        <v>314830</v>
      </c>
      <c r="E608" s="751">
        <v>10225</v>
      </c>
      <c r="F608" s="751" t="s">
        <v>22</v>
      </c>
      <c r="G608" s="751"/>
      <c r="H608" s="751">
        <v>12183</v>
      </c>
      <c r="I608" s="751">
        <v>86790</v>
      </c>
      <c r="J608" s="751">
        <v>3414767</v>
      </c>
    </row>
    <row r="609" spans="1:10" s="405" customFormat="1" ht="9" customHeight="1" x14ac:dyDescent="0.25">
      <c r="A609" s="406" t="s">
        <v>30</v>
      </c>
      <c r="B609" s="752">
        <f t="shared" si="16"/>
        <v>3799152</v>
      </c>
      <c r="C609" s="752">
        <v>2242096</v>
      </c>
      <c r="D609" s="752">
        <v>316659</v>
      </c>
      <c r="E609" s="752">
        <v>4968</v>
      </c>
      <c r="F609" s="752" t="s">
        <v>22</v>
      </c>
      <c r="G609" s="752"/>
      <c r="H609" s="752">
        <v>0</v>
      </c>
      <c r="I609" s="752">
        <v>0</v>
      </c>
      <c r="J609" s="752">
        <v>1235429</v>
      </c>
    </row>
    <row r="610" spans="1:10" s="405" customFormat="1" ht="9" customHeight="1" x14ac:dyDescent="0.25">
      <c r="A610" s="405" t="s">
        <v>63</v>
      </c>
      <c r="B610" s="751">
        <f t="shared" si="16"/>
        <v>14253489</v>
      </c>
      <c r="C610" s="751">
        <v>8396096</v>
      </c>
      <c r="D610" s="751">
        <v>3212847</v>
      </c>
      <c r="E610" s="751">
        <v>73696</v>
      </c>
      <c r="F610" s="751" t="s">
        <v>22</v>
      </c>
      <c r="G610" s="751"/>
      <c r="H610" s="751">
        <v>50434</v>
      </c>
      <c r="I610" s="751">
        <v>40326</v>
      </c>
      <c r="J610" s="751">
        <v>2480090</v>
      </c>
    </row>
    <row r="611" spans="1:10" s="405" customFormat="1" ht="9" customHeight="1" x14ac:dyDescent="0.25">
      <c r="A611" s="405" t="s">
        <v>31</v>
      </c>
      <c r="B611" s="751">
        <f t="shared" si="16"/>
        <v>1972016</v>
      </c>
      <c r="C611" s="751">
        <v>902309</v>
      </c>
      <c r="D611" s="751">
        <v>336769</v>
      </c>
      <c r="E611" s="751">
        <v>1736</v>
      </c>
      <c r="F611" s="751" t="s">
        <v>22</v>
      </c>
      <c r="G611" s="751"/>
      <c r="H611" s="751">
        <v>0</v>
      </c>
      <c r="I611" s="751">
        <v>0</v>
      </c>
      <c r="J611" s="751">
        <v>731202</v>
      </c>
    </row>
    <row r="612" spans="1:10" s="405" customFormat="1" ht="9" customHeight="1" x14ac:dyDescent="0.25">
      <c r="A612" s="405" t="s">
        <v>32</v>
      </c>
      <c r="B612" s="751">
        <f t="shared" si="16"/>
        <v>6456771</v>
      </c>
      <c r="C612" s="751">
        <v>2882494</v>
      </c>
      <c r="D612" s="751">
        <v>426656</v>
      </c>
      <c r="E612" s="751">
        <v>34227</v>
      </c>
      <c r="F612" s="751" t="s">
        <v>22</v>
      </c>
      <c r="G612" s="751"/>
      <c r="H612" s="751">
        <v>0</v>
      </c>
      <c r="I612" s="751">
        <v>0</v>
      </c>
      <c r="J612" s="751">
        <v>3113394</v>
      </c>
    </row>
    <row r="613" spans="1:10" s="405" customFormat="1" ht="9" customHeight="1" x14ac:dyDescent="0.25">
      <c r="A613" s="406" t="s">
        <v>33</v>
      </c>
      <c r="B613" s="752">
        <f t="shared" si="16"/>
        <v>3531915</v>
      </c>
      <c r="C613" s="752">
        <v>767225</v>
      </c>
      <c r="D613" s="752">
        <v>522628</v>
      </c>
      <c r="E613" s="752">
        <v>1111</v>
      </c>
      <c r="F613" s="752" t="s">
        <v>22</v>
      </c>
      <c r="G613" s="752"/>
      <c r="H613" s="752">
        <v>17481</v>
      </c>
      <c r="I613" s="752">
        <v>0</v>
      </c>
      <c r="J613" s="752">
        <v>2223470</v>
      </c>
    </row>
    <row r="614" spans="1:10" s="405" customFormat="1" ht="9" customHeight="1" x14ac:dyDescent="0.25">
      <c r="A614" s="405" t="s">
        <v>34</v>
      </c>
      <c r="B614" s="751">
        <f t="shared" si="16"/>
        <v>2798584</v>
      </c>
      <c r="C614" s="751">
        <v>911233</v>
      </c>
      <c r="D614" s="751">
        <v>286791</v>
      </c>
      <c r="E614" s="751">
        <v>20234</v>
      </c>
      <c r="F614" s="751" t="s">
        <v>22</v>
      </c>
      <c r="G614" s="751"/>
      <c r="H614" s="751">
        <v>0</v>
      </c>
      <c r="I614" s="751">
        <v>0</v>
      </c>
      <c r="J614" s="751">
        <v>1580326</v>
      </c>
    </row>
    <row r="615" spans="1:10" s="405" customFormat="1" ht="9" customHeight="1" x14ac:dyDescent="0.25">
      <c r="A615" s="405" t="s">
        <v>35</v>
      </c>
      <c r="B615" s="751">
        <f t="shared" si="16"/>
        <v>7874603</v>
      </c>
      <c r="C615" s="751">
        <v>4692474</v>
      </c>
      <c r="D615" s="751">
        <v>401627</v>
      </c>
      <c r="E615" s="751">
        <v>5199</v>
      </c>
      <c r="F615" s="751" t="s">
        <v>22</v>
      </c>
      <c r="G615" s="751"/>
      <c r="H615" s="751">
        <v>2417</v>
      </c>
      <c r="I615" s="751">
        <v>0</v>
      </c>
      <c r="J615" s="751">
        <v>2772886</v>
      </c>
    </row>
    <row r="616" spans="1:10" s="405" customFormat="1" ht="9" customHeight="1" x14ac:dyDescent="0.25">
      <c r="A616" s="405" t="s">
        <v>36</v>
      </c>
      <c r="B616" s="751">
        <f t="shared" si="16"/>
        <v>13833494</v>
      </c>
      <c r="C616" s="751">
        <v>5074359</v>
      </c>
      <c r="D616" s="751">
        <v>1102056</v>
      </c>
      <c r="E616" s="751">
        <v>19759</v>
      </c>
      <c r="F616" s="751" t="s">
        <v>22</v>
      </c>
      <c r="G616" s="751"/>
      <c r="H616" s="751">
        <v>0</v>
      </c>
      <c r="I616" s="751">
        <v>1024971</v>
      </c>
      <c r="J616" s="751">
        <v>6612349</v>
      </c>
    </row>
    <row r="617" spans="1:10" s="405" customFormat="1" ht="9" customHeight="1" x14ac:dyDescent="0.25">
      <c r="A617" s="406" t="s">
        <v>37</v>
      </c>
      <c r="B617" s="752">
        <f t="shared" si="16"/>
        <v>4400257</v>
      </c>
      <c r="C617" s="752">
        <v>1598778</v>
      </c>
      <c r="D617" s="752">
        <v>426846</v>
      </c>
      <c r="E617" s="752">
        <v>3064</v>
      </c>
      <c r="F617" s="752" t="s">
        <v>22</v>
      </c>
      <c r="G617" s="752"/>
      <c r="H617" s="752">
        <v>14130</v>
      </c>
      <c r="I617" s="752">
        <v>0</v>
      </c>
      <c r="J617" s="752">
        <v>2357439</v>
      </c>
    </row>
    <row r="618" spans="1:10" s="405" customFormat="1" ht="9" customHeight="1" x14ac:dyDescent="0.25">
      <c r="A618" s="405" t="s">
        <v>38</v>
      </c>
      <c r="B618" s="751">
        <f t="shared" si="16"/>
        <v>1925795</v>
      </c>
      <c r="C618" s="751">
        <v>746225</v>
      </c>
      <c r="D618" s="751">
        <v>216134</v>
      </c>
      <c r="E618" s="751">
        <v>1606</v>
      </c>
      <c r="F618" s="751" t="s">
        <v>22</v>
      </c>
      <c r="G618" s="751"/>
      <c r="H618" s="751">
        <v>0</v>
      </c>
      <c r="I618" s="751">
        <v>0</v>
      </c>
      <c r="J618" s="751">
        <v>961830</v>
      </c>
    </row>
    <row r="619" spans="1:10" s="405" customFormat="1" ht="9" customHeight="1" x14ac:dyDescent="0.25">
      <c r="A619" s="405" t="s">
        <v>39</v>
      </c>
      <c r="B619" s="751">
        <f t="shared" si="16"/>
        <v>1326565</v>
      </c>
      <c r="C619" s="751">
        <v>504765</v>
      </c>
      <c r="D619" s="751">
        <v>179788</v>
      </c>
      <c r="E619" s="751">
        <v>401</v>
      </c>
      <c r="F619" s="751" t="s">
        <v>22</v>
      </c>
      <c r="G619" s="751"/>
      <c r="H619" s="751">
        <v>2445</v>
      </c>
      <c r="I619" s="751">
        <v>0</v>
      </c>
      <c r="J619" s="751">
        <v>639166</v>
      </c>
    </row>
    <row r="620" spans="1:10" s="405" customFormat="1" ht="9" customHeight="1" x14ac:dyDescent="0.25">
      <c r="A620" s="405" t="s">
        <v>40</v>
      </c>
      <c r="B620" s="751">
        <f t="shared" si="16"/>
        <v>5356060</v>
      </c>
      <c r="C620" s="751">
        <v>3868716</v>
      </c>
      <c r="D620" s="751">
        <v>249430</v>
      </c>
      <c r="E620" s="751">
        <v>25474</v>
      </c>
      <c r="F620" s="751" t="s">
        <v>22</v>
      </c>
      <c r="G620" s="751"/>
      <c r="H620" s="751">
        <v>0</v>
      </c>
      <c r="I620" s="751">
        <v>58544</v>
      </c>
      <c r="J620" s="751">
        <v>1153896</v>
      </c>
    </row>
    <row r="621" spans="1:10" s="405" customFormat="1" ht="9" customHeight="1" x14ac:dyDescent="0.25">
      <c r="A621" s="406" t="s">
        <v>41</v>
      </c>
      <c r="B621" s="752">
        <f t="shared" si="16"/>
        <v>3906529</v>
      </c>
      <c r="C621" s="752">
        <v>822969</v>
      </c>
      <c r="D621" s="752">
        <v>397221</v>
      </c>
      <c r="E621" s="752">
        <v>28353</v>
      </c>
      <c r="F621" s="752" t="s">
        <v>22</v>
      </c>
      <c r="G621" s="752"/>
      <c r="H621" s="752">
        <v>23237</v>
      </c>
      <c r="I621" s="752">
        <v>0</v>
      </c>
      <c r="J621" s="752">
        <v>2634749</v>
      </c>
    </row>
    <row r="622" spans="1:10" s="405" customFormat="1" ht="9" customHeight="1" x14ac:dyDescent="0.25">
      <c r="A622" s="405" t="s">
        <v>42</v>
      </c>
      <c r="B622" s="751">
        <f t="shared" si="16"/>
        <v>5653338</v>
      </c>
      <c r="C622" s="751">
        <v>1913933</v>
      </c>
      <c r="D622" s="751">
        <v>352593</v>
      </c>
      <c r="E622" s="751">
        <v>15478</v>
      </c>
      <c r="F622" s="751" t="s">
        <v>22</v>
      </c>
      <c r="G622" s="751"/>
      <c r="H622" s="751">
        <v>0</v>
      </c>
      <c r="I622" s="751">
        <v>230170</v>
      </c>
      <c r="J622" s="751">
        <v>3141164</v>
      </c>
    </row>
    <row r="623" spans="1:10" s="405" customFormat="1" ht="9" customHeight="1" x14ac:dyDescent="0.25">
      <c r="A623" s="405" t="s">
        <v>43</v>
      </c>
      <c r="B623" s="751">
        <f t="shared" si="16"/>
        <v>2378561</v>
      </c>
      <c r="C623" s="751">
        <v>1392697</v>
      </c>
      <c r="D623" s="751">
        <v>132075</v>
      </c>
      <c r="E623" s="751">
        <v>3352</v>
      </c>
      <c r="F623" s="751" t="s">
        <v>22</v>
      </c>
      <c r="G623" s="751"/>
      <c r="H623" s="751">
        <v>0</v>
      </c>
      <c r="I623" s="751">
        <v>0</v>
      </c>
      <c r="J623" s="751">
        <v>850437</v>
      </c>
    </row>
    <row r="624" spans="1:10" s="405" customFormat="1" ht="9" customHeight="1" x14ac:dyDescent="0.25">
      <c r="A624" s="405" t="s">
        <v>44</v>
      </c>
      <c r="B624" s="751">
        <f t="shared" si="16"/>
        <v>1571851</v>
      </c>
      <c r="C624" s="751">
        <v>814123</v>
      </c>
      <c r="D624" s="751">
        <v>143662</v>
      </c>
      <c r="E624" s="751">
        <v>0</v>
      </c>
      <c r="F624" s="751" t="s">
        <v>22</v>
      </c>
      <c r="G624" s="751"/>
      <c r="H624" s="751">
        <v>9315</v>
      </c>
      <c r="I624" s="751">
        <v>0</v>
      </c>
      <c r="J624" s="751">
        <v>604751</v>
      </c>
    </row>
    <row r="625" spans="1:11" s="405" customFormat="1" ht="9" customHeight="1" x14ac:dyDescent="0.25">
      <c r="A625" s="406" t="s">
        <v>45</v>
      </c>
      <c r="B625" s="752">
        <f t="shared" si="16"/>
        <v>3069966</v>
      </c>
      <c r="C625" s="752">
        <v>1336303</v>
      </c>
      <c r="D625" s="752">
        <v>294788</v>
      </c>
      <c r="E625" s="752">
        <v>5780</v>
      </c>
      <c r="F625" s="752" t="s">
        <v>22</v>
      </c>
      <c r="G625" s="752"/>
      <c r="H625" s="752">
        <v>0</v>
      </c>
      <c r="I625" s="752">
        <v>0</v>
      </c>
      <c r="J625" s="752">
        <v>1433095</v>
      </c>
    </row>
    <row r="626" spans="1:11" s="405" customFormat="1" ht="9" customHeight="1" x14ac:dyDescent="0.25">
      <c r="A626" s="405" t="s">
        <v>46</v>
      </c>
      <c r="B626" s="751">
        <f t="shared" si="16"/>
        <v>3337883</v>
      </c>
      <c r="C626" s="751">
        <v>1734077</v>
      </c>
      <c r="D626" s="751">
        <v>389036</v>
      </c>
      <c r="E626" s="751">
        <v>4334</v>
      </c>
      <c r="F626" s="751" t="s">
        <v>22</v>
      </c>
      <c r="G626" s="751"/>
      <c r="H626" s="751">
        <v>9317</v>
      </c>
      <c r="I626" s="751">
        <v>100000</v>
      </c>
      <c r="J626" s="751">
        <v>1101119</v>
      </c>
    </row>
    <row r="627" spans="1:11" s="405" customFormat="1" ht="9" customHeight="1" x14ac:dyDescent="0.25">
      <c r="A627" s="405" t="s">
        <v>47</v>
      </c>
      <c r="B627" s="751">
        <f t="shared" si="16"/>
        <v>2759366</v>
      </c>
      <c r="C627" s="751">
        <v>1630813</v>
      </c>
      <c r="D627" s="751">
        <v>258039</v>
      </c>
      <c r="E627" s="751">
        <v>5042</v>
      </c>
      <c r="F627" s="751" t="s">
        <v>22</v>
      </c>
      <c r="G627" s="751"/>
      <c r="H627" s="751">
        <v>7152</v>
      </c>
      <c r="I627" s="751">
        <v>0</v>
      </c>
      <c r="J627" s="751">
        <v>858320</v>
      </c>
    </row>
    <row r="628" spans="1:11" s="405" customFormat="1" ht="9" customHeight="1" x14ac:dyDescent="0.25">
      <c r="A628" s="405" t="s">
        <v>48</v>
      </c>
      <c r="B628" s="751">
        <f t="shared" si="16"/>
        <v>2688103</v>
      </c>
      <c r="C628" s="751">
        <v>835332</v>
      </c>
      <c r="D628" s="751">
        <v>177432</v>
      </c>
      <c r="E628" s="751">
        <v>115523</v>
      </c>
      <c r="F628" s="751" t="s">
        <v>22</v>
      </c>
      <c r="G628" s="751"/>
      <c r="H628" s="751">
        <v>3978</v>
      </c>
      <c r="I628" s="751">
        <v>0</v>
      </c>
      <c r="J628" s="751">
        <v>1555838</v>
      </c>
    </row>
    <row r="629" spans="1:11" s="405" customFormat="1" ht="9" customHeight="1" x14ac:dyDescent="0.25">
      <c r="A629" s="406" t="s">
        <v>49</v>
      </c>
      <c r="B629" s="752">
        <f t="shared" si="16"/>
        <v>3858509</v>
      </c>
      <c r="C629" s="752">
        <v>1957084</v>
      </c>
      <c r="D629" s="752">
        <v>401530</v>
      </c>
      <c r="E629" s="752">
        <v>102123</v>
      </c>
      <c r="F629" s="752" t="s">
        <v>22</v>
      </c>
      <c r="G629" s="752"/>
      <c r="H629" s="752">
        <v>13408</v>
      </c>
      <c r="I629" s="752">
        <v>0</v>
      </c>
      <c r="J629" s="752">
        <v>1384364</v>
      </c>
    </row>
    <row r="630" spans="1:11" s="405" customFormat="1" ht="9" customHeight="1" x14ac:dyDescent="0.25">
      <c r="A630" s="405" t="s">
        <v>50</v>
      </c>
      <c r="B630" s="751">
        <f t="shared" si="16"/>
        <v>1346748</v>
      </c>
      <c r="C630" s="751">
        <v>366816</v>
      </c>
      <c r="D630" s="751">
        <v>124214</v>
      </c>
      <c r="E630" s="751">
        <v>582</v>
      </c>
      <c r="F630" s="751" t="s">
        <v>22</v>
      </c>
      <c r="G630" s="751"/>
      <c r="H630" s="751">
        <v>0</v>
      </c>
      <c r="I630" s="751">
        <v>0</v>
      </c>
      <c r="J630" s="751">
        <v>855136</v>
      </c>
    </row>
    <row r="631" spans="1:11" s="405" customFormat="1" ht="9" customHeight="1" x14ac:dyDescent="0.25">
      <c r="A631" s="405" t="s">
        <v>51</v>
      </c>
      <c r="B631" s="751">
        <f t="shared" si="16"/>
        <v>7927274</v>
      </c>
      <c r="C631" s="751">
        <v>2996843</v>
      </c>
      <c r="D631" s="751">
        <v>515690</v>
      </c>
      <c r="E631" s="751">
        <v>231290</v>
      </c>
      <c r="F631" s="751" t="s">
        <v>22</v>
      </c>
      <c r="G631" s="751"/>
      <c r="H631" s="751">
        <v>70434</v>
      </c>
      <c r="I631" s="751">
        <v>0</v>
      </c>
      <c r="J631" s="751">
        <v>4113017</v>
      </c>
    </row>
    <row r="632" spans="1:11" s="405" customFormat="1" ht="9" customHeight="1" x14ac:dyDescent="0.25">
      <c r="A632" s="405" t="s">
        <v>52</v>
      </c>
      <c r="B632" s="751">
        <f t="shared" si="16"/>
        <v>2102491</v>
      </c>
      <c r="C632" s="751">
        <v>989785</v>
      </c>
      <c r="D632" s="751">
        <v>171769</v>
      </c>
      <c r="E632" s="751">
        <v>4945</v>
      </c>
      <c r="F632" s="751" t="s">
        <v>22</v>
      </c>
      <c r="G632" s="751"/>
      <c r="H632" s="751">
        <v>4249</v>
      </c>
      <c r="I632" s="751">
        <v>0</v>
      </c>
      <c r="J632" s="751">
        <v>931743</v>
      </c>
    </row>
    <row r="633" spans="1:11" s="405" customFormat="1" ht="9" customHeight="1" x14ac:dyDescent="0.25">
      <c r="A633" s="406" t="s">
        <v>53</v>
      </c>
      <c r="B633" s="752">
        <f t="shared" si="16"/>
        <v>1792022</v>
      </c>
      <c r="C633" s="752">
        <v>782538</v>
      </c>
      <c r="D633" s="752">
        <v>163633</v>
      </c>
      <c r="E633" s="752">
        <v>646</v>
      </c>
      <c r="F633" s="752" t="s">
        <v>22</v>
      </c>
      <c r="G633" s="752"/>
      <c r="H633" s="752">
        <v>0</v>
      </c>
      <c r="I633" s="752">
        <v>0</v>
      </c>
      <c r="J633" s="752">
        <v>845205</v>
      </c>
    </row>
    <row r="634" spans="1:11" s="405" customFormat="1" ht="9" customHeight="1" x14ac:dyDescent="0.25">
      <c r="A634" s="786" t="s">
        <v>434</v>
      </c>
      <c r="B634" s="785">
        <f t="shared" si="16"/>
        <v>6728</v>
      </c>
      <c r="C634" s="785" t="s">
        <v>573</v>
      </c>
      <c r="D634" s="785">
        <v>6728</v>
      </c>
      <c r="E634" s="785" t="s">
        <v>573</v>
      </c>
      <c r="F634" s="785" t="s">
        <v>573</v>
      </c>
      <c r="G634" s="785"/>
      <c r="H634" s="785" t="s">
        <v>573</v>
      </c>
      <c r="I634" s="785" t="s">
        <v>573</v>
      </c>
      <c r="J634" s="751" t="s">
        <v>573</v>
      </c>
    </row>
    <row r="635" spans="1:11" s="428" customFormat="1" ht="9" customHeight="1" x14ac:dyDescent="0.25">
      <c r="A635" s="786"/>
      <c r="B635" s="785"/>
      <c r="C635" s="785"/>
      <c r="D635" s="785"/>
      <c r="E635" s="785"/>
      <c r="F635" s="785"/>
      <c r="G635" s="785"/>
      <c r="H635" s="785"/>
      <c r="I635" s="751"/>
      <c r="J635" s="751"/>
      <c r="K635" s="405"/>
    </row>
    <row r="636" spans="1:11" s="405" customFormat="1" ht="9" customHeight="1" x14ac:dyDescent="0.15">
      <c r="A636" s="400">
        <v>2013</v>
      </c>
      <c r="B636" s="784"/>
      <c r="C636" s="783"/>
      <c r="D636" s="783"/>
      <c r="E636" s="783"/>
      <c r="F636" s="783"/>
      <c r="G636" s="783"/>
      <c r="H636" s="782"/>
      <c r="I636" s="746"/>
    </row>
    <row r="637" spans="1:11" s="405" customFormat="1" ht="9" customHeight="1" x14ac:dyDescent="0.25">
      <c r="A637" s="399" t="s">
        <v>13</v>
      </c>
      <c r="B637" s="750">
        <f>SUM(B639:B670)+F637</f>
        <v>131207512</v>
      </c>
      <c r="C637" s="750">
        <f>SUM(C639:C670)</f>
        <v>59511963</v>
      </c>
      <c r="D637" s="750">
        <f>SUM(D639:D670)</f>
        <v>12623665</v>
      </c>
      <c r="E637" s="750">
        <f>SUM(E639:E670)</f>
        <v>764027</v>
      </c>
      <c r="F637" s="750">
        <v>831621</v>
      </c>
      <c r="G637" s="750"/>
      <c r="H637" s="750">
        <f>SUM(H639:H670)</f>
        <v>286973</v>
      </c>
      <c r="I637" s="750">
        <f>SUM(I639:I670)</f>
        <v>1551264</v>
      </c>
      <c r="J637" s="750">
        <f>SUM(J639:J670)</f>
        <v>55637999</v>
      </c>
    </row>
    <row r="638" spans="1:11" s="405" customFormat="1" ht="3.95" customHeight="1" x14ac:dyDescent="0.25">
      <c r="A638" s="399"/>
      <c r="B638" s="750"/>
      <c r="C638" s="750"/>
      <c r="D638" s="750"/>
      <c r="E638" s="750"/>
      <c r="F638" s="750"/>
      <c r="G638" s="750"/>
      <c r="H638" s="750"/>
      <c r="I638" s="750"/>
      <c r="J638" s="750"/>
    </row>
    <row r="639" spans="1:11" s="405" customFormat="1" ht="9" customHeight="1" x14ac:dyDescent="0.25">
      <c r="A639" s="405" t="s">
        <v>23</v>
      </c>
      <c r="B639" s="751">
        <f t="shared" ref="B639:B670" si="17">SUM(C639:J639)</f>
        <v>1530536</v>
      </c>
      <c r="C639" s="751">
        <v>849319</v>
      </c>
      <c r="D639" s="751">
        <v>140999</v>
      </c>
      <c r="E639" s="751">
        <v>1312</v>
      </c>
      <c r="F639" s="751" t="s">
        <v>22</v>
      </c>
      <c r="G639" s="751"/>
      <c r="H639" s="751">
        <v>0</v>
      </c>
      <c r="I639" s="751">
        <v>0</v>
      </c>
      <c r="J639" s="751">
        <v>538906</v>
      </c>
    </row>
    <row r="640" spans="1:11" s="405" customFormat="1" ht="9" customHeight="1" x14ac:dyDescent="0.25">
      <c r="A640" s="405" t="s">
        <v>24</v>
      </c>
      <c r="B640" s="751">
        <f t="shared" si="17"/>
        <v>3586989</v>
      </c>
      <c r="C640" s="751">
        <v>2119906</v>
      </c>
      <c r="D640" s="751">
        <v>168517</v>
      </c>
      <c r="E640" s="751">
        <v>2918</v>
      </c>
      <c r="F640" s="751" t="s">
        <v>22</v>
      </c>
      <c r="G640" s="751"/>
      <c r="H640" s="751">
        <v>6124</v>
      </c>
      <c r="I640" s="751">
        <v>142828</v>
      </c>
      <c r="J640" s="751">
        <v>1146696</v>
      </c>
    </row>
    <row r="641" spans="1:10" s="405" customFormat="1" ht="9" customHeight="1" x14ac:dyDescent="0.25">
      <c r="A641" s="405" t="s">
        <v>25</v>
      </c>
      <c r="B641" s="751">
        <f t="shared" si="17"/>
        <v>743641</v>
      </c>
      <c r="C641" s="751">
        <v>384361</v>
      </c>
      <c r="D641" s="751">
        <v>133599</v>
      </c>
      <c r="E641" s="751">
        <v>503</v>
      </c>
      <c r="F641" s="751" t="s">
        <v>22</v>
      </c>
      <c r="G641" s="751"/>
      <c r="H641" s="751">
        <v>5597</v>
      </c>
      <c r="I641" s="751">
        <v>0</v>
      </c>
      <c r="J641" s="751">
        <v>219581</v>
      </c>
    </row>
    <row r="642" spans="1:10" s="405" customFormat="1" ht="9" customHeight="1" x14ac:dyDescent="0.25">
      <c r="A642" s="406" t="s">
        <v>26</v>
      </c>
      <c r="B642" s="752">
        <f t="shared" si="17"/>
        <v>1166046</v>
      </c>
      <c r="C642" s="752">
        <v>527245</v>
      </c>
      <c r="D642" s="752">
        <v>100795</v>
      </c>
      <c r="E642" s="752">
        <v>28489</v>
      </c>
      <c r="F642" s="752" t="s">
        <v>22</v>
      </c>
      <c r="G642" s="752"/>
      <c r="H642" s="752">
        <v>11420</v>
      </c>
      <c r="I642" s="752">
        <v>0</v>
      </c>
      <c r="J642" s="752">
        <v>498097</v>
      </c>
    </row>
    <row r="643" spans="1:10" s="405" customFormat="1" ht="9" customHeight="1" x14ac:dyDescent="0.25">
      <c r="A643" s="405" t="s">
        <v>27</v>
      </c>
      <c r="B643" s="751">
        <f t="shared" si="17"/>
        <v>2132105</v>
      </c>
      <c r="C643" s="751">
        <v>1026682</v>
      </c>
      <c r="D643" s="751">
        <v>316241</v>
      </c>
      <c r="E643" s="751">
        <v>1863</v>
      </c>
      <c r="F643" s="751" t="s">
        <v>22</v>
      </c>
      <c r="G643" s="751"/>
      <c r="H643" s="751">
        <v>0</v>
      </c>
      <c r="I643" s="751">
        <v>0</v>
      </c>
      <c r="J643" s="751">
        <v>787319</v>
      </c>
    </row>
    <row r="644" spans="1:10" s="405" customFormat="1" ht="9" customHeight="1" x14ac:dyDescent="0.25">
      <c r="A644" s="405" t="s">
        <v>28</v>
      </c>
      <c r="B644" s="751">
        <f t="shared" si="17"/>
        <v>2710776</v>
      </c>
      <c r="C644" s="751">
        <v>2320028</v>
      </c>
      <c r="D644" s="751">
        <v>81759</v>
      </c>
      <c r="E644" s="751">
        <v>1530</v>
      </c>
      <c r="F644" s="751" t="s">
        <v>22</v>
      </c>
      <c r="G644" s="751"/>
      <c r="H644" s="751">
        <v>13108</v>
      </c>
      <c r="I644" s="751">
        <v>0</v>
      </c>
      <c r="J644" s="751">
        <v>294351</v>
      </c>
    </row>
    <row r="645" spans="1:10" s="405" customFormat="1" ht="9" customHeight="1" x14ac:dyDescent="0.25">
      <c r="A645" s="405" t="s">
        <v>29</v>
      </c>
      <c r="B645" s="751">
        <f t="shared" si="17"/>
        <v>6190610</v>
      </c>
      <c r="C645" s="751">
        <v>2232451</v>
      </c>
      <c r="D645" s="751">
        <v>325180</v>
      </c>
      <c r="E645" s="751">
        <v>10341</v>
      </c>
      <c r="F645" s="751" t="s">
        <v>22</v>
      </c>
      <c r="G645" s="751"/>
      <c r="H645" s="751">
        <v>14463</v>
      </c>
      <c r="I645" s="751">
        <v>87826</v>
      </c>
      <c r="J645" s="751">
        <v>3520349</v>
      </c>
    </row>
    <row r="646" spans="1:10" s="405" customFormat="1" ht="9" customHeight="1" x14ac:dyDescent="0.25">
      <c r="A646" s="406" t="s">
        <v>30</v>
      </c>
      <c r="B646" s="752">
        <f t="shared" si="17"/>
        <v>2061287</v>
      </c>
      <c r="C646" s="752">
        <v>402077</v>
      </c>
      <c r="D646" s="752">
        <v>318901</v>
      </c>
      <c r="E646" s="752">
        <v>5026</v>
      </c>
      <c r="F646" s="752" t="s">
        <v>22</v>
      </c>
      <c r="G646" s="752"/>
      <c r="H646" s="752">
        <v>0</v>
      </c>
      <c r="I646" s="752">
        <v>0</v>
      </c>
      <c r="J646" s="752">
        <v>1335283</v>
      </c>
    </row>
    <row r="647" spans="1:10" s="405" customFormat="1" ht="9" customHeight="1" x14ac:dyDescent="0.25">
      <c r="A647" s="405" t="s">
        <v>63</v>
      </c>
      <c r="B647" s="751">
        <f t="shared" si="17"/>
        <v>15080892</v>
      </c>
      <c r="C647" s="751">
        <v>8768039</v>
      </c>
      <c r="D647" s="751">
        <v>3247193</v>
      </c>
      <c r="E647" s="751">
        <v>74545</v>
      </c>
      <c r="F647" s="751" t="s">
        <v>22</v>
      </c>
      <c r="G647" s="751"/>
      <c r="H647" s="751">
        <v>53481</v>
      </c>
      <c r="I647" s="751">
        <v>40832</v>
      </c>
      <c r="J647" s="751">
        <v>2896802</v>
      </c>
    </row>
    <row r="648" spans="1:10" s="405" customFormat="1" ht="9" customHeight="1" x14ac:dyDescent="0.25">
      <c r="A648" s="405" t="s">
        <v>31</v>
      </c>
      <c r="B648" s="751">
        <f t="shared" si="17"/>
        <v>2041569</v>
      </c>
      <c r="C648" s="751">
        <v>899638</v>
      </c>
      <c r="D648" s="751">
        <v>346531</v>
      </c>
      <c r="E648" s="751">
        <v>1757</v>
      </c>
      <c r="F648" s="751" t="s">
        <v>22</v>
      </c>
      <c r="G648" s="751"/>
      <c r="H648" s="751">
        <v>0</v>
      </c>
      <c r="I648" s="751">
        <v>0</v>
      </c>
      <c r="J648" s="751">
        <v>793643</v>
      </c>
    </row>
    <row r="649" spans="1:10" s="405" customFormat="1" ht="9" customHeight="1" x14ac:dyDescent="0.25">
      <c r="A649" s="405" t="s">
        <v>32</v>
      </c>
      <c r="B649" s="751">
        <f t="shared" si="17"/>
        <v>6678573</v>
      </c>
      <c r="C649" s="751">
        <v>3027228</v>
      </c>
      <c r="D649" s="751">
        <v>439632</v>
      </c>
      <c r="E649" s="751">
        <v>34621</v>
      </c>
      <c r="F649" s="751" t="s">
        <v>22</v>
      </c>
      <c r="G649" s="751"/>
      <c r="H649" s="751">
        <v>0</v>
      </c>
      <c r="I649" s="751">
        <v>0</v>
      </c>
      <c r="J649" s="751">
        <v>3177092</v>
      </c>
    </row>
    <row r="650" spans="1:10" s="405" customFormat="1" ht="9" customHeight="1" x14ac:dyDescent="0.25">
      <c r="A650" s="406" t="s">
        <v>33</v>
      </c>
      <c r="B650" s="752">
        <f t="shared" si="17"/>
        <v>3611067</v>
      </c>
      <c r="C650" s="752">
        <v>776171</v>
      </c>
      <c r="D650" s="752">
        <v>536414</v>
      </c>
      <c r="E650" s="752">
        <v>1124</v>
      </c>
      <c r="F650" s="752" t="s">
        <v>22</v>
      </c>
      <c r="G650" s="752"/>
      <c r="H650" s="752">
        <v>18004</v>
      </c>
      <c r="I650" s="752">
        <v>0</v>
      </c>
      <c r="J650" s="752">
        <v>2279354</v>
      </c>
    </row>
    <row r="651" spans="1:10" s="405" customFormat="1" ht="9" customHeight="1" x14ac:dyDescent="0.25">
      <c r="A651" s="405" t="s">
        <v>34</v>
      </c>
      <c r="B651" s="751">
        <f t="shared" si="17"/>
        <v>2945896</v>
      </c>
      <c r="C651" s="751">
        <v>971472</v>
      </c>
      <c r="D651" s="751">
        <v>295180</v>
      </c>
      <c r="E651" s="751">
        <v>20466</v>
      </c>
      <c r="F651" s="751" t="s">
        <v>22</v>
      </c>
      <c r="G651" s="751"/>
      <c r="H651" s="751">
        <v>0</v>
      </c>
      <c r="I651" s="751">
        <v>0</v>
      </c>
      <c r="J651" s="751">
        <v>1658778</v>
      </c>
    </row>
    <row r="652" spans="1:10" s="405" customFormat="1" ht="9" customHeight="1" x14ac:dyDescent="0.25">
      <c r="A652" s="405" t="s">
        <v>35</v>
      </c>
      <c r="B652" s="751">
        <f t="shared" si="17"/>
        <v>8273482</v>
      </c>
      <c r="C652" s="751">
        <v>4886491</v>
      </c>
      <c r="D652" s="751">
        <v>404881</v>
      </c>
      <c r="E652" s="751">
        <v>5259</v>
      </c>
      <c r="F652" s="751" t="s">
        <v>22</v>
      </c>
      <c r="G652" s="751"/>
      <c r="H652" s="751">
        <v>2346</v>
      </c>
      <c r="I652" s="751">
        <v>0</v>
      </c>
      <c r="J652" s="751">
        <v>2974505</v>
      </c>
    </row>
    <row r="653" spans="1:10" s="405" customFormat="1" ht="9" customHeight="1" x14ac:dyDescent="0.25">
      <c r="A653" s="405" t="s">
        <v>36</v>
      </c>
      <c r="B653" s="751">
        <f t="shared" si="17"/>
        <v>14355909</v>
      </c>
      <c r="C653" s="751">
        <v>5176807</v>
      </c>
      <c r="D653" s="751">
        <v>1109204</v>
      </c>
      <c r="E653" s="751">
        <v>19986</v>
      </c>
      <c r="F653" s="751" t="s">
        <v>22</v>
      </c>
      <c r="G653" s="751"/>
      <c r="H653" s="751">
        <v>0</v>
      </c>
      <c r="I653" s="751">
        <v>1060670</v>
      </c>
      <c r="J653" s="751">
        <v>6989242</v>
      </c>
    </row>
    <row r="654" spans="1:10" s="405" customFormat="1" ht="9" customHeight="1" x14ac:dyDescent="0.25">
      <c r="A654" s="406" t="s">
        <v>37</v>
      </c>
      <c r="B654" s="752">
        <f t="shared" si="17"/>
        <v>4467025</v>
      </c>
      <c r="C654" s="752">
        <v>1627623</v>
      </c>
      <c r="D654" s="752">
        <v>430270</v>
      </c>
      <c r="E654" s="752">
        <v>3098</v>
      </c>
      <c r="F654" s="752" t="s">
        <v>22</v>
      </c>
      <c r="G654" s="752"/>
      <c r="H654" s="752">
        <v>13822</v>
      </c>
      <c r="I654" s="752">
        <v>0</v>
      </c>
      <c r="J654" s="752">
        <v>2392212</v>
      </c>
    </row>
    <row r="655" spans="1:10" s="405" customFormat="1" ht="9" customHeight="1" x14ac:dyDescent="0.25">
      <c r="A655" s="405" t="s">
        <v>38</v>
      </c>
      <c r="B655" s="751">
        <f t="shared" si="17"/>
        <v>1985389</v>
      </c>
      <c r="C655" s="751">
        <v>771463</v>
      </c>
      <c r="D655" s="751">
        <v>217975</v>
      </c>
      <c r="E655" s="751">
        <v>1624</v>
      </c>
      <c r="F655" s="751" t="s">
        <v>22</v>
      </c>
      <c r="G655" s="751"/>
      <c r="H655" s="751">
        <v>0</v>
      </c>
      <c r="I655" s="751">
        <v>0</v>
      </c>
      <c r="J655" s="751">
        <v>994327</v>
      </c>
    </row>
    <row r="656" spans="1:10" s="405" customFormat="1" ht="9" customHeight="1" x14ac:dyDescent="0.25">
      <c r="A656" s="405" t="s">
        <v>39</v>
      </c>
      <c r="B656" s="751">
        <f t="shared" si="17"/>
        <v>1364728</v>
      </c>
      <c r="C656" s="751">
        <v>526311</v>
      </c>
      <c r="D656" s="751">
        <v>181281</v>
      </c>
      <c r="E656" s="751">
        <v>409</v>
      </c>
      <c r="F656" s="751" t="s">
        <v>22</v>
      </c>
      <c r="G656" s="751"/>
      <c r="H656" s="751">
        <v>2568</v>
      </c>
      <c r="I656" s="751">
        <v>0</v>
      </c>
      <c r="J656" s="751">
        <v>654159</v>
      </c>
    </row>
    <row r="657" spans="1:11" s="405" customFormat="1" ht="9" customHeight="1" x14ac:dyDescent="0.25">
      <c r="A657" s="405" t="s">
        <v>40</v>
      </c>
      <c r="B657" s="751">
        <f t="shared" si="17"/>
        <v>5539049</v>
      </c>
      <c r="C657" s="751">
        <v>3971966</v>
      </c>
      <c r="D657" s="751">
        <v>251379</v>
      </c>
      <c r="E657" s="751">
        <v>25770</v>
      </c>
      <c r="F657" s="751" t="s">
        <v>22</v>
      </c>
      <c r="G657" s="751"/>
      <c r="H657" s="751">
        <v>0</v>
      </c>
      <c r="I657" s="751">
        <v>59713</v>
      </c>
      <c r="J657" s="751">
        <v>1230221</v>
      </c>
    </row>
    <row r="658" spans="1:11" s="405" customFormat="1" ht="9" customHeight="1" x14ac:dyDescent="0.25">
      <c r="A658" s="406" t="s">
        <v>41</v>
      </c>
      <c r="B658" s="752">
        <f t="shared" si="17"/>
        <v>4009562</v>
      </c>
      <c r="C658" s="752">
        <v>856255</v>
      </c>
      <c r="D658" s="752">
        <v>408483</v>
      </c>
      <c r="E658" s="752">
        <v>28677</v>
      </c>
      <c r="F658" s="752" t="s">
        <v>22</v>
      </c>
      <c r="G658" s="752"/>
      <c r="H658" s="752">
        <v>23526</v>
      </c>
      <c r="I658" s="752">
        <v>0</v>
      </c>
      <c r="J658" s="752">
        <v>2692621</v>
      </c>
    </row>
    <row r="659" spans="1:11" s="405" customFormat="1" ht="9" customHeight="1" x14ac:dyDescent="0.25">
      <c r="A659" s="405" t="s">
        <v>42</v>
      </c>
      <c r="B659" s="751">
        <f t="shared" si="17"/>
        <v>5721453</v>
      </c>
      <c r="C659" s="751">
        <v>1971640</v>
      </c>
      <c r="D659" s="751">
        <v>355374</v>
      </c>
      <c r="E659" s="751">
        <v>15655</v>
      </c>
      <c r="F659" s="751" t="s">
        <v>22</v>
      </c>
      <c r="G659" s="751"/>
      <c r="H659" s="751">
        <v>0</v>
      </c>
      <c r="I659" s="751">
        <v>159395</v>
      </c>
      <c r="J659" s="751">
        <v>3219389</v>
      </c>
    </row>
    <row r="660" spans="1:11" s="405" customFormat="1" ht="9" customHeight="1" x14ac:dyDescent="0.25">
      <c r="A660" s="405" t="s">
        <v>43</v>
      </c>
      <c r="B660" s="751">
        <f t="shared" si="17"/>
        <v>2519241</v>
      </c>
      <c r="C660" s="751">
        <v>1454155</v>
      </c>
      <c r="D660" s="751">
        <v>133217</v>
      </c>
      <c r="E660" s="751">
        <v>3388</v>
      </c>
      <c r="F660" s="751" t="s">
        <v>22</v>
      </c>
      <c r="G660" s="751"/>
      <c r="H660" s="751">
        <v>0</v>
      </c>
      <c r="I660" s="751">
        <v>0</v>
      </c>
      <c r="J660" s="751">
        <v>928481</v>
      </c>
    </row>
    <row r="661" spans="1:11" s="405" customFormat="1" ht="9" customHeight="1" x14ac:dyDescent="0.25">
      <c r="A661" s="405" t="s">
        <v>44</v>
      </c>
      <c r="B661" s="751">
        <f t="shared" si="17"/>
        <v>1674380</v>
      </c>
      <c r="C661" s="751">
        <v>857089</v>
      </c>
      <c r="D661" s="751">
        <v>147966</v>
      </c>
      <c r="E661" s="751">
        <v>0</v>
      </c>
      <c r="F661" s="751" t="s">
        <v>22</v>
      </c>
      <c r="G661" s="751"/>
      <c r="H661" s="751">
        <v>10214</v>
      </c>
      <c r="I661" s="751">
        <v>0</v>
      </c>
      <c r="J661" s="751">
        <v>659111</v>
      </c>
    </row>
    <row r="662" spans="1:11" s="405" customFormat="1" ht="9" customHeight="1" x14ac:dyDescent="0.25">
      <c r="A662" s="406" t="s">
        <v>45</v>
      </c>
      <c r="B662" s="752">
        <f t="shared" si="17"/>
        <v>3253334</v>
      </c>
      <c r="C662" s="752">
        <v>1395548</v>
      </c>
      <c r="D662" s="752">
        <v>297142</v>
      </c>
      <c r="E662" s="752">
        <v>5845</v>
      </c>
      <c r="F662" s="752" t="s">
        <v>22</v>
      </c>
      <c r="G662" s="752"/>
      <c r="H662" s="752">
        <v>0</v>
      </c>
      <c r="I662" s="752">
        <v>0</v>
      </c>
      <c r="J662" s="752">
        <v>1554799</v>
      </c>
    </row>
    <row r="663" spans="1:11" s="405" customFormat="1" ht="9" customHeight="1" x14ac:dyDescent="0.25">
      <c r="A663" s="405" t="s">
        <v>46</v>
      </c>
      <c r="B663" s="751">
        <f t="shared" si="17"/>
        <v>3403432</v>
      </c>
      <c r="C663" s="751">
        <v>1850472</v>
      </c>
      <c r="D663" s="751">
        <v>392297</v>
      </c>
      <c r="E663" s="751">
        <v>4383</v>
      </c>
      <c r="F663" s="751" t="s">
        <v>22</v>
      </c>
      <c r="G663" s="751"/>
      <c r="H663" s="751">
        <v>9401</v>
      </c>
      <c r="I663" s="751">
        <v>0</v>
      </c>
      <c r="J663" s="751">
        <v>1146879</v>
      </c>
    </row>
    <row r="664" spans="1:11" s="405" customFormat="1" ht="9" customHeight="1" x14ac:dyDescent="0.25">
      <c r="A664" s="405" t="s">
        <v>47</v>
      </c>
      <c r="B664" s="751">
        <f t="shared" si="17"/>
        <v>2895528</v>
      </c>
      <c r="C664" s="751">
        <v>1682195</v>
      </c>
      <c r="D664" s="751">
        <v>260043</v>
      </c>
      <c r="E664" s="751">
        <v>5103</v>
      </c>
      <c r="F664" s="751" t="s">
        <v>22</v>
      </c>
      <c r="G664" s="751"/>
      <c r="H664" s="751">
        <v>7158</v>
      </c>
      <c r="I664" s="751">
        <v>0</v>
      </c>
      <c r="J664" s="751">
        <v>941029</v>
      </c>
    </row>
    <row r="665" spans="1:11" s="405" customFormat="1" ht="9" customHeight="1" x14ac:dyDescent="0.25">
      <c r="A665" s="405" t="s">
        <v>48</v>
      </c>
      <c r="B665" s="751">
        <f t="shared" si="17"/>
        <v>2758448</v>
      </c>
      <c r="C665" s="751">
        <v>873856</v>
      </c>
      <c r="D665" s="751">
        <v>178716</v>
      </c>
      <c r="E665" s="751">
        <v>116848</v>
      </c>
      <c r="F665" s="751" t="s">
        <v>22</v>
      </c>
      <c r="G665" s="751"/>
      <c r="H665" s="751">
        <v>4193</v>
      </c>
      <c r="I665" s="751">
        <v>0</v>
      </c>
      <c r="J665" s="751">
        <v>1584835</v>
      </c>
    </row>
    <row r="666" spans="1:11" s="405" customFormat="1" ht="9" customHeight="1" x14ac:dyDescent="0.25">
      <c r="A666" s="406" t="s">
        <v>49</v>
      </c>
      <c r="B666" s="752">
        <f t="shared" si="17"/>
        <v>3929087</v>
      </c>
      <c r="C666" s="752">
        <v>2012611</v>
      </c>
      <c r="D666" s="752">
        <v>405009</v>
      </c>
      <c r="E666" s="752">
        <v>103295</v>
      </c>
      <c r="F666" s="752" t="s">
        <v>22</v>
      </c>
      <c r="G666" s="752"/>
      <c r="H666" s="752">
        <v>14174</v>
      </c>
      <c r="I666" s="752">
        <v>0</v>
      </c>
      <c r="J666" s="752">
        <v>1393998</v>
      </c>
    </row>
    <row r="667" spans="1:11" s="405" customFormat="1" ht="9" customHeight="1" x14ac:dyDescent="0.25">
      <c r="A667" s="405" t="s">
        <v>50</v>
      </c>
      <c r="B667" s="751">
        <f t="shared" si="17"/>
        <v>1409888</v>
      </c>
      <c r="C667" s="751">
        <v>377292</v>
      </c>
      <c r="D667" s="751">
        <v>125208</v>
      </c>
      <c r="E667" s="751">
        <v>592</v>
      </c>
      <c r="F667" s="751" t="s">
        <v>22</v>
      </c>
      <c r="G667" s="751"/>
      <c r="H667" s="751">
        <v>0</v>
      </c>
      <c r="I667" s="751">
        <v>0</v>
      </c>
      <c r="J667" s="751">
        <v>906796</v>
      </c>
    </row>
    <row r="668" spans="1:11" s="405" customFormat="1" ht="9" customHeight="1" x14ac:dyDescent="0.25">
      <c r="A668" s="405" t="s">
        <v>51</v>
      </c>
      <c r="B668" s="751">
        <f t="shared" si="17"/>
        <v>8224138</v>
      </c>
      <c r="C668" s="751">
        <v>3064044</v>
      </c>
      <c r="D668" s="751">
        <v>536169</v>
      </c>
      <c r="E668" s="751">
        <v>233946</v>
      </c>
      <c r="F668" s="751" t="s">
        <v>22</v>
      </c>
      <c r="G668" s="751"/>
      <c r="H668" s="751">
        <v>71905</v>
      </c>
      <c r="I668" s="751">
        <v>0</v>
      </c>
      <c r="J668" s="751">
        <v>4318074</v>
      </c>
    </row>
    <row r="669" spans="1:11" s="405" customFormat="1" ht="9" customHeight="1" x14ac:dyDescent="0.25">
      <c r="A669" s="405" t="s">
        <v>52</v>
      </c>
      <c r="B669" s="751">
        <f t="shared" si="17"/>
        <v>2216430</v>
      </c>
      <c r="C669" s="751">
        <v>1029736</v>
      </c>
      <c r="D669" s="751">
        <v>173041</v>
      </c>
      <c r="E669" s="751">
        <v>5002</v>
      </c>
      <c r="F669" s="751" t="s">
        <v>22</v>
      </c>
      <c r="G669" s="751"/>
      <c r="H669" s="751">
        <v>5469</v>
      </c>
      <c r="I669" s="751">
        <v>0</v>
      </c>
      <c r="J669" s="751">
        <v>1003182</v>
      </c>
    </row>
    <row r="670" spans="1:11" s="405" customFormat="1" ht="9" customHeight="1" x14ac:dyDescent="0.25">
      <c r="A670" s="406" t="s">
        <v>53</v>
      </c>
      <c r="B670" s="752">
        <f t="shared" si="17"/>
        <v>1895401</v>
      </c>
      <c r="C670" s="752">
        <v>821792</v>
      </c>
      <c r="D670" s="752">
        <v>165069</v>
      </c>
      <c r="E670" s="752">
        <v>652</v>
      </c>
      <c r="F670" s="752" t="s">
        <v>22</v>
      </c>
      <c r="G670" s="752"/>
      <c r="H670" s="752">
        <v>0</v>
      </c>
      <c r="I670" s="752">
        <v>0</v>
      </c>
      <c r="J670" s="752">
        <v>907888</v>
      </c>
    </row>
    <row r="671" spans="1:11" s="428" customFormat="1" ht="9" customHeight="1" x14ac:dyDescent="0.25">
      <c r="A671" s="786"/>
      <c r="B671" s="785"/>
      <c r="C671" s="785"/>
      <c r="D671" s="785"/>
      <c r="E671" s="785"/>
      <c r="F671" s="785"/>
      <c r="G671" s="785"/>
      <c r="H671" s="785"/>
      <c r="I671" s="751"/>
      <c r="J671" s="751"/>
      <c r="K671" s="405"/>
    </row>
    <row r="672" spans="1:11" s="405" customFormat="1" ht="9" customHeight="1" x14ac:dyDescent="0.15">
      <c r="A672" s="400" t="s">
        <v>195</v>
      </c>
      <c r="B672" s="784"/>
      <c r="C672" s="783"/>
      <c r="D672" s="783"/>
      <c r="E672" s="783"/>
      <c r="F672" s="783"/>
      <c r="G672" s="783"/>
      <c r="H672" s="782"/>
      <c r="I672" s="746"/>
    </row>
    <row r="673" spans="1:10" s="405" customFormat="1" ht="9" customHeight="1" x14ac:dyDescent="0.25">
      <c r="A673" s="399" t="s">
        <v>13</v>
      </c>
      <c r="B673" s="750">
        <f>SUM(B675:B743)+F673</f>
        <v>133235476</v>
      </c>
      <c r="C673" s="750">
        <f>SUM(C675:C706)</f>
        <v>59487144</v>
      </c>
      <c r="D673" s="750">
        <f>SUM(D675:D743)</f>
        <v>12796779</v>
      </c>
      <c r="E673" s="750">
        <f>SUM(E675:E706)</f>
        <v>765421</v>
      </c>
      <c r="F673" s="750">
        <v>697842</v>
      </c>
      <c r="G673" s="750"/>
      <c r="H673" s="750">
        <f>SUM(H675:H706)</f>
        <v>286258</v>
      </c>
      <c r="I673" s="750">
        <f>SUM(I675:I706)</f>
        <v>1902032</v>
      </c>
      <c r="J673" s="750">
        <f>SUM(J675:J706)</f>
        <v>57300000</v>
      </c>
    </row>
    <row r="674" spans="1:10" s="405" customFormat="1" ht="3.95" customHeight="1" x14ac:dyDescent="0.25">
      <c r="A674" s="399"/>
      <c r="B674" s="750"/>
      <c r="C674" s="750"/>
      <c r="D674" s="750"/>
      <c r="E674" s="750"/>
      <c r="F674" s="750"/>
      <c r="G674" s="750"/>
      <c r="H674" s="750"/>
      <c r="I674" s="750"/>
      <c r="J674" s="750"/>
    </row>
    <row r="675" spans="1:10" s="405" customFormat="1" ht="9" customHeight="1" x14ac:dyDescent="0.25">
      <c r="A675" s="405" t="s">
        <v>23</v>
      </c>
      <c r="B675" s="751">
        <f t="shared" ref="B675:B706" si="18">SUM(C675:J675)</f>
        <v>1730016</v>
      </c>
      <c r="C675" s="751">
        <v>873514</v>
      </c>
      <c r="D675" s="751">
        <v>146226</v>
      </c>
      <c r="E675" s="751">
        <v>1313</v>
      </c>
      <c r="F675" s="751" t="s">
        <v>22</v>
      </c>
      <c r="G675" s="751"/>
      <c r="H675" s="751">
        <v>0</v>
      </c>
      <c r="I675" s="751">
        <v>159411</v>
      </c>
      <c r="J675" s="751">
        <v>549552</v>
      </c>
    </row>
    <row r="676" spans="1:10" s="405" customFormat="1" ht="9" customHeight="1" x14ac:dyDescent="0.25">
      <c r="A676" s="405" t="s">
        <v>24</v>
      </c>
      <c r="B676" s="751">
        <f t="shared" si="18"/>
        <v>3778597</v>
      </c>
      <c r="C676" s="751">
        <v>2293139</v>
      </c>
      <c r="D676" s="751">
        <v>173950</v>
      </c>
      <c r="E676" s="751">
        <v>2921</v>
      </c>
      <c r="F676" s="751" t="s">
        <v>22</v>
      </c>
      <c r="G676" s="751"/>
      <c r="H676" s="751">
        <v>628</v>
      </c>
      <c r="I676" s="751">
        <v>140042</v>
      </c>
      <c r="J676" s="751">
        <v>1167917</v>
      </c>
    </row>
    <row r="677" spans="1:10" s="405" customFormat="1" ht="9" customHeight="1" x14ac:dyDescent="0.25">
      <c r="A677" s="405" t="s">
        <v>25</v>
      </c>
      <c r="B677" s="751">
        <f t="shared" si="18"/>
        <v>757990</v>
      </c>
      <c r="C677" s="751">
        <v>383231</v>
      </c>
      <c r="D677" s="751">
        <v>138083</v>
      </c>
      <c r="E677" s="751">
        <v>502</v>
      </c>
      <c r="F677" s="751" t="s">
        <v>22</v>
      </c>
      <c r="G677" s="751"/>
      <c r="H677" s="751">
        <v>7288</v>
      </c>
      <c r="I677" s="751">
        <v>0</v>
      </c>
      <c r="J677" s="751">
        <v>228886</v>
      </c>
    </row>
    <row r="678" spans="1:10" s="405" customFormat="1" ht="9" customHeight="1" x14ac:dyDescent="0.25">
      <c r="A678" s="406" t="s">
        <v>26</v>
      </c>
      <c r="B678" s="752">
        <f t="shared" si="18"/>
        <v>1140187</v>
      </c>
      <c r="C678" s="752">
        <v>488152</v>
      </c>
      <c r="D678" s="752">
        <v>100841</v>
      </c>
      <c r="E678" s="752">
        <v>28540</v>
      </c>
      <c r="F678" s="752" t="s">
        <v>22</v>
      </c>
      <c r="G678" s="752"/>
      <c r="H678" s="752">
        <v>12801</v>
      </c>
      <c r="I678" s="752">
        <v>0</v>
      </c>
      <c r="J678" s="752">
        <v>509853</v>
      </c>
    </row>
    <row r="679" spans="1:10" s="405" customFormat="1" ht="9" customHeight="1" x14ac:dyDescent="0.25">
      <c r="A679" s="405" t="s">
        <v>27</v>
      </c>
      <c r="B679" s="751">
        <f t="shared" si="18"/>
        <v>3354008</v>
      </c>
      <c r="C679" s="751">
        <v>2221827</v>
      </c>
      <c r="D679" s="751">
        <v>324008</v>
      </c>
      <c r="E679" s="751">
        <v>1871</v>
      </c>
      <c r="F679" s="751" t="s">
        <v>22</v>
      </c>
      <c r="G679" s="751"/>
      <c r="H679" s="751">
        <v>0</v>
      </c>
      <c r="I679" s="751">
        <v>0</v>
      </c>
      <c r="J679" s="751">
        <v>806302</v>
      </c>
    </row>
    <row r="680" spans="1:10" s="405" customFormat="1" ht="9" customHeight="1" x14ac:dyDescent="0.25">
      <c r="A680" s="405" t="s">
        <v>28</v>
      </c>
      <c r="B680" s="751">
        <f t="shared" si="18"/>
        <v>813673</v>
      </c>
      <c r="C680" s="751">
        <v>420993</v>
      </c>
      <c r="D680" s="751">
        <v>82881</v>
      </c>
      <c r="E680" s="751">
        <v>1535</v>
      </c>
      <c r="F680" s="751" t="s">
        <v>22</v>
      </c>
      <c r="G680" s="751"/>
      <c r="H680" s="751">
        <v>12367</v>
      </c>
      <c r="I680" s="751">
        <v>0</v>
      </c>
      <c r="J680" s="751">
        <v>295897</v>
      </c>
    </row>
    <row r="681" spans="1:10" s="405" customFormat="1" ht="9" customHeight="1" x14ac:dyDescent="0.25">
      <c r="A681" s="405" t="s">
        <v>29</v>
      </c>
      <c r="B681" s="751">
        <f t="shared" si="18"/>
        <v>4928820</v>
      </c>
      <c r="C681" s="751">
        <v>943024</v>
      </c>
      <c r="D681" s="751">
        <v>333016</v>
      </c>
      <c r="E681" s="751">
        <v>10358</v>
      </c>
      <c r="F681" s="751" t="s">
        <v>22</v>
      </c>
      <c r="G681" s="751"/>
      <c r="H681" s="751">
        <v>14332</v>
      </c>
      <c r="I681" s="751">
        <v>0</v>
      </c>
      <c r="J681" s="751">
        <v>3628090</v>
      </c>
    </row>
    <row r="682" spans="1:10" s="405" customFormat="1" ht="9" customHeight="1" x14ac:dyDescent="0.25">
      <c r="A682" s="406" t="s">
        <v>30</v>
      </c>
      <c r="B682" s="752">
        <f t="shared" si="18"/>
        <v>4012763</v>
      </c>
      <c r="C682" s="752">
        <v>2312850</v>
      </c>
      <c r="D682" s="752">
        <v>319904</v>
      </c>
      <c r="E682" s="752">
        <v>5031</v>
      </c>
      <c r="F682" s="752" t="s">
        <v>22</v>
      </c>
      <c r="G682" s="752"/>
      <c r="H682" s="752">
        <v>0</v>
      </c>
      <c r="I682" s="752">
        <v>0</v>
      </c>
      <c r="J682" s="752">
        <v>1374978</v>
      </c>
    </row>
    <row r="683" spans="1:10" s="405" customFormat="1" ht="9" customHeight="1" x14ac:dyDescent="0.25">
      <c r="A683" s="405" t="s">
        <v>63</v>
      </c>
      <c r="B683" s="751">
        <f t="shared" si="18"/>
        <v>15970006</v>
      </c>
      <c r="C683" s="751">
        <v>9559110</v>
      </c>
      <c r="D683" s="751">
        <v>3284087</v>
      </c>
      <c r="E683" s="751">
        <v>74696</v>
      </c>
      <c r="F683" s="751" t="s">
        <v>22</v>
      </c>
      <c r="G683" s="751"/>
      <c r="H683" s="751">
        <v>55181</v>
      </c>
      <c r="I683" s="751">
        <v>40746</v>
      </c>
      <c r="J683" s="751">
        <v>2956186</v>
      </c>
    </row>
    <row r="684" spans="1:10" s="405" customFormat="1" ht="9" customHeight="1" x14ac:dyDescent="0.25">
      <c r="A684" s="405" t="s">
        <v>31</v>
      </c>
      <c r="B684" s="751">
        <f t="shared" si="18"/>
        <v>2005896</v>
      </c>
      <c r="C684" s="751">
        <v>827639</v>
      </c>
      <c r="D684" s="751">
        <v>354002</v>
      </c>
      <c r="E684" s="751">
        <v>1760</v>
      </c>
      <c r="F684" s="751" t="s">
        <v>22</v>
      </c>
      <c r="G684" s="751"/>
      <c r="H684" s="751">
        <v>0</v>
      </c>
      <c r="I684" s="751">
        <v>0</v>
      </c>
      <c r="J684" s="751">
        <v>822495</v>
      </c>
    </row>
    <row r="685" spans="1:10" s="405" customFormat="1" ht="9" customHeight="1" x14ac:dyDescent="0.25">
      <c r="A685" s="405" t="s">
        <v>32</v>
      </c>
      <c r="B685" s="751">
        <f t="shared" si="18"/>
        <v>6626018</v>
      </c>
      <c r="C685" s="751">
        <v>2860862</v>
      </c>
      <c r="D685" s="751">
        <v>451607</v>
      </c>
      <c r="E685" s="751">
        <v>34685</v>
      </c>
      <c r="F685" s="751" t="s">
        <v>22</v>
      </c>
      <c r="G685" s="751"/>
      <c r="H685" s="751">
        <v>0</v>
      </c>
      <c r="I685" s="751">
        <v>0</v>
      </c>
      <c r="J685" s="751">
        <v>3278864</v>
      </c>
    </row>
    <row r="686" spans="1:10" s="405" customFormat="1" ht="9" customHeight="1" x14ac:dyDescent="0.25">
      <c r="A686" s="406" t="s">
        <v>33</v>
      </c>
      <c r="B686" s="752">
        <f t="shared" si="18"/>
        <v>3565525</v>
      </c>
      <c r="C686" s="752">
        <v>685584</v>
      </c>
      <c r="D686" s="752">
        <v>551679</v>
      </c>
      <c r="E686" s="752">
        <v>1127</v>
      </c>
      <c r="F686" s="752" t="s">
        <v>22</v>
      </c>
      <c r="G686" s="752"/>
      <c r="H686" s="752">
        <v>12530</v>
      </c>
      <c r="I686" s="752">
        <v>0</v>
      </c>
      <c r="J686" s="752">
        <v>2314605</v>
      </c>
    </row>
    <row r="687" spans="1:10" s="405" customFormat="1" ht="9" customHeight="1" x14ac:dyDescent="0.25">
      <c r="A687" s="405" t="s">
        <v>34</v>
      </c>
      <c r="B687" s="751">
        <f t="shared" si="18"/>
        <v>2998187</v>
      </c>
      <c r="C687" s="751">
        <v>955466</v>
      </c>
      <c r="D687" s="751">
        <v>299284</v>
      </c>
      <c r="E687" s="751">
        <v>20504</v>
      </c>
      <c r="F687" s="751" t="s">
        <v>22</v>
      </c>
      <c r="G687" s="751"/>
      <c r="H687" s="751">
        <v>0</v>
      </c>
      <c r="I687" s="751">
        <v>0</v>
      </c>
      <c r="J687" s="751">
        <v>1722933</v>
      </c>
    </row>
    <row r="688" spans="1:10" s="405" customFormat="1" ht="9" customHeight="1" x14ac:dyDescent="0.25">
      <c r="A688" s="405" t="s">
        <v>35</v>
      </c>
      <c r="B688" s="751">
        <f t="shared" si="18"/>
        <v>8530736</v>
      </c>
      <c r="C688" s="751">
        <v>4996452</v>
      </c>
      <c r="D688" s="751">
        <v>405546</v>
      </c>
      <c r="E688" s="751">
        <v>5271</v>
      </c>
      <c r="F688" s="751" t="s">
        <v>22</v>
      </c>
      <c r="G688" s="751"/>
      <c r="H688" s="751">
        <v>1798</v>
      </c>
      <c r="I688" s="751">
        <v>0</v>
      </c>
      <c r="J688" s="751">
        <v>3121669</v>
      </c>
    </row>
    <row r="689" spans="1:10" s="405" customFormat="1" ht="9" customHeight="1" x14ac:dyDescent="0.25">
      <c r="A689" s="405" t="s">
        <v>36</v>
      </c>
      <c r="B689" s="751">
        <f t="shared" si="18"/>
        <v>14771205</v>
      </c>
      <c r="C689" s="751">
        <v>5302780</v>
      </c>
      <c r="D689" s="751">
        <v>1111583</v>
      </c>
      <c r="E689" s="751">
        <v>20027</v>
      </c>
      <c r="F689" s="751" t="s">
        <v>22</v>
      </c>
      <c r="G689" s="751"/>
      <c r="H689" s="751">
        <v>0</v>
      </c>
      <c r="I689" s="751">
        <v>1093069</v>
      </c>
      <c r="J689" s="751">
        <v>7243746</v>
      </c>
    </row>
    <row r="690" spans="1:10" s="405" customFormat="1" ht="9" customHeight="1" x14ac:dyDescent="0.25">
      <c r="A690" s="406" t="s">
        <v>37</v>
      </c>
      <c r="B690" s="752">
        <f t="shared" si="18"/>
        <v>4338645</v>
      </c>
      <c r="C690" s="752">
        <v>1468382</v>
      </c>
      <c r="D690" s="752">
        <v>430290</v>
      </c>
      <c r="E690" s="752">
        <v>3105</v>
      </c>
      <c r="F690" s="752" t="s">
        <v>22</v>
      </c>
      <c r="G690" s="752"/>
      <c r="H690" s="752">
        <v>17271</v>
      </c>
      <c r="I690" s="752">
        <v>0</v>
      </c>
      <c r="J690" s="752">
        <v>2419597</v>
      </c>
    </row>
    <row r="691" spans="1:10" s="405" customFormat="1" ht="9" customHeight="1" x14ac:dyDescent="0.25">
      <c r="A691" s="405" t="s">
        <v>38</v>
      </c>
      <c r="B691" s="751">
        <f t="shared" si="18"/>
        <v>2024999</v>
      </c>
      <c r="C691" s="751">
        <v>801763</v>
      </c>
      <c r="D691" s="751">
        <v>221746</v>
      </c>
      <c r="E691" s="751">
        <v>1627</v>
      </c>
      <c r="F691" s="751" t="s">
        <v>22</v>
      </c>
      <c r="G691" s="751"/>
      <c r="H691" s="751">
        <v>0</v>
      </c>
      <c r="I691" s="751">
        <v>0</v>
      </c>
      <c r="J691" s="751">
        <v>999863</v>
      </c>
    </row>
    <row r="692" spans="1:10" s="405" customFormat="1" ht="9" customHeight="1" x14ac:dyDescent="0.25">
      <c r="A692" s="405" t="s">
        <v>39</v>
      </c>
      <c r="B692" s="751">
        <f t="shared" si="18"/>
        <v>1398673</v>
      </c>
      <c r="C692" s="751">
        <v>526889</v>
      </c>
      <c r="D692" s="751">
        <v>187230</v>
      </c>
      <c r="E692" s="751">
        <v>410</v>
      </c>
      <c r="F692" s="751" t="s">
        <v>22</v>
      </c>
      <c r="G692" s="751"/>
      <c r="H692" s="751">
        <v>2479</v>
      </c>
      <c r="I692" s="751">
        <v>0</v>
      </c>
      <c r="J692" s="751">
        <v>681665</v>
      </c>
    </row>
    <row r="693" spans="1:10" s="405" customFormat="1" ht="9" customHeight="1" x14ac:dyDescent="0.25">
      <c r="A693" s="405" t="s">
        <v>40</v>
      </c>
      <c r="B693" s="751">
        <f t="shared" si="18"/>
        <v>5634860</v>
      </c>
      <c r="C693" s="751">
        <v>4015015</v>
      </c>
      <c r="D693" s="751">
        <v>254942</v>
      </c>
      <c r="E693" s="751">
        <v>25813</v>
      </c>
      <c r="F693" s="751" t="s">
        <v>22</v>
      </c>
      <c r="G693" s="751"/>
      <c r="H693" s="751">
        <v>0</v>
      </c>
      <c r="I693" s="751">
        <v>61377</v>
      </c>
      <c r="J693" s="751">
        <v>1277713</v>
      </c>
    </row>
    <row r="694" spans="1:10" s="405" customFormat="1" ht="9" customHeight="1" x14ac:dyDescent="0.25">
      <c r="A694" s="406" t="s">
        <v>41</v>
      </c>
      <c r="B694" s="752">
        <f t="shared" si="18"/>
        <v>3987343</v>
      </c>
      <c r="C694" s="752">
        <v>759649</v>
      </c>
      <c r="D694" s="752">
        <v>418431</v>
      </c>
      <c r="E694" s="752">
        <v>28728</v>
      </c>
      <c r="F694" s="752" t="s">
        <v>22</v>
      </c>
      <c r="G694" s="752"/>
      <c r="H694" s="752">
        <v>23425</v>
      </c>
      <c r="I694" s="752">
        <v>0</v>
      </c>
      <c r="J694" s="752">
        <v>2757110</v>
      </c>
    </row>
    <row r="695" spans="1:10" s="405" customFormat="1" ht="9" customHeight="1" x14ac:dyDescent="0.25">
      <c r="A695" s="405" t="s">
        <v>42</v>
      </c>
      <c r="B695" s="751">
        <f t="shared" si="18"/>
        <v>5960092</v>
      </c>
      <c r="C695" s="751">
        <v>2008281</v>
      </c>
      <c r="D695" s="751">
        <v>358488</v>
      </c>
      <c r="E695" s="751">
        <v>15685</v>
      </c>
      <c r="F695" s="751" t="s">
        <v>22</v>
      </c>
      <c r="G695" s="751"/>
      <c r="H695" s="751">
        <v>0</v>
      </c>
      <c r="I695" s="751">
        <v>159411</v>
      </c>
      <c r="J695" s="751">
        <v>3418227</v>
      </c>
    </row>
    <row r="696" spans="1:10" s="405" customFormat="1" ht="9" customHeight="1" x14ac:dyDescent="0.25">
      <c r="A696" s="405" t="s">
        <v>43</v>
      </c>
      <c r="B696" s="751">
        <f t="shared" si="18"/>
        <v>2471883</v>
      </c>
      <c r="C696" s="751">
        <v>1372505</v>
      </c>
      <c r="D696" s="751">
        <v>138282</v>
      </c>
      <c r="E696" s="751">
        <v>3395</v>
      </c>
      <c r="F696" s="751" t="s">
        <v>22</v>
      </c>
      <c r="G696" s="751"/>
      <c r="H696" s="751">
        <v>0</v>
      </c>
      <c r="I696" s="751">
        <v>0</v>
      </c>
      <c r="J696" s="751">
        <v>957701</v>
      </c>
    </row>
    <row r="697" spans="1:10" s="405" customFormat="1" ht="9" customHeight="1" x14ac:dyDescent="0.25">
      <c r="A697" s="405" t="s">
        <v>44</v>
      </c>
      <c r="B697" s="751">
        <f t="shared" si="18"/>
        <v>1735576</v>
      </c>
      <c r="C697" s="751">
        <v>897876</v>
      </c>
      <c r="D697" s="751">
        <v>153700</v>
      </c>
      <c r="E697" s="751">
        <v>0</v>
      </c>
      <c r="F697" s="751" t="s">
        <v>22</v>
      </c>
      <c r="G697" s="751"/>
      <c r="H697" s="751">
        <v>8607</v>
      </c>
      <c r="I697" s="751">
        <v>0</v>
      </c>
      <c r="J697" s="751">
        <v>675393</v>
      </c>
    </row>
    <row r="698" spans="1:10" s="405" customFormat="1" ht="9" customHeight="1" x14ac:dyDescent="0.25">
      <c r="A698" s="406" t="s">
        <v>45</v>
      </c>
      <c r="B698" s="752">
        <f t="shared" si="18"/>
        <v>3140739</v>
      </c>
      <c r="C698" s="752">
        <v>1249000</v>
      </c>
      <c r="D698" s="752">
        <v>298814</v>
      </c>
      <c r="E698" s="752">
        <v>5860</v>
      </c>
      <c r="F698" s="752" t="s">
        <v>22</v>
      </c>
      <c r="G698" s="752"/>
      <c r="H698" s="752">
        <v>0</v>
      </c>
      <c r="I698" s="752">
        <v>0</v>
      </c>
      <c r="J698" s="752">
        <v>1587065</v>
      </c>
    </row>
    <row r="699" spans="1:10" s="405" customFormat="1" ht="9" customHeight="1" x14ac:dyDescent="0.25">
      <c r="A699" s="405" t="s">
        <v>46</v>
      </c>
      <c r="B699" s="751">
        <f t="shared" si="18"/>
        <v>3359834</v>
      </c>
      <c r="C699" s="751">
        <v>1763096</v>
      </c>
      <c r="D699" s="751">
        <v>397331</v>
      </c>
      <c r="E699" s="751">
        <v>4394</v>
      </c>
      <c r="F699" s="751" t="s">
        <v>22</v>
      </c>
      <c r="G699" s="751"/>
      <c r="H699" s="751">
        <v>10178</v>
      </c>
      <c r="I699" s="751">
        <v>0</v>
      </c>
      <c r="J699" s="751">
        <v>1184835</v>
      </c>
    </row>
    <row r="700" spans="1:10" s="405" customFormat="1" ht="9" customHeight="1" x14ac:dyDescent="0.25">
      <c r="A700" s="405" t="s">
        <v>47</v>
      </c>
      <c r="B700" s="751">
        <f t="shared" si="18"/>
        <v>2869543</v>
      </c>
      <c r="C700" s="751">
        <v>1641343</v>
      </c>
      <c r="D700" s="751">
        <v>260224</v>
      </c>
      <c r="E700" s="751">
        <v>5109</v>
      </c>
      <c r="F700" s="751" t="s">
        <v>22</v>
      </c>
      <c r="G700" s="751"/>
      <c r="H700" s="751">
        <v>7671</v>
      </c>
      <c r="I700" s="751">
        <v>0</v>
      </c>
      <c r="J700" s="751">
        <v>955196</v>
      </c>
    </row>
    <row r="701" spans="1:10" s="405" customFormat="1" ht="9" customHeight="1" x14ac:dyDescent="0.25">
      <c r="A701" s="405" t="s">
        <v>48</v>
      </c>
      <c r="B701" s="751">
        <f t="shared" si="18"/>
        <v>3008404</v>
      </c>
      <c r="C701" s="751">
        <v>838002</v>
      </c>
      <c r="D701" s="751">
        <v>181198</v>
      </c>
      <c r="E701" s="751">
        <v>117050</v>
      </c>
      <c r="F701" s="751" t="s">
        <v>22</v>
      </c>
      <c r="G701" s="751"/>
      <c r="H701" s="751">
        <v>5175</v>
      </c>
      <c r="I701" s="751">
        <v>247976</v>
      </c>
      <c r="J701" s="751">
        <v>1619003</v>
      </c>
    </row>
    <row r="702" spans="1:10" s="405" customFormat="1" ht="9" customHeight="1" x14ac:dyDescent="0.25">
      <c r="A702" s="406" t="s">
        <v>49</v>
      </c>
      <c r="B702" s="752">
        <f t="shared" si="18"/>
        <v>3955128</v>
      </c>
      <c r="C702" s="752">
        <v>1999604</v>
      </c>
      <c r="D702" s="752">
        <v>408902</v>
      </c>
      <c r="E702" s="752">
        <v>103483</v>
      </c>
      <c r="F702" s="752" t="s">
        <v>22</v>
      </c>
      <c r="G702" s="752"/>
      <c r="H702" s="752">
        <v>14666</v>
      </c>
      <c r="I702" s="752">
        <v>0</v>
      </c>
      <c r="J702" s="752">
        <v>1428473</v>
      </c>
    </row>
    <row r="703" spans="1:10" s="405" customFormat="1" ht="9" customHeight="1" x14ac:dyDescent="0.25">
      <c r="A703" s="405" t="s">
        <v>50</v>
      </c>
      <c r="B703" s="751">
        <f t="shared" si="18"/>
        <v>1455320</v>
      </c>
      <c r="C703" s="751">
        <v>397392</v>
      </c>
      <c r="D703" s="751">
        <v>126461</v>
      </c>
      <c r="E703" s="751">
        <v>590</v>
      </c>
      <c r="F703" s="751" t="s">
        <v>22</v>
      </c>
      <c r="G703" s="751"/>
      <c r="H703" s="751">
        <v>0</v>
      </c>
      <c r="I703" s="751">
        <v>0</v>
      </c>
      <c r="J703" s="751">
        <v>930877</v>
      </c>
    </row>
    <row r="704" spans="1:10" s="405" customFormat="1" ht="9" customHeight="1" x14ac:dyDescent="0.25">
      <c r="A704" s="405" t="s">
        <v>51</v>
      </c>
      <c r="B704" s="751">
        <f t="shared" si="18"/>
        <v>8173737</v>
      </c>
      <c r="C704" s="751">
        <v>2890611</v>
      </c>
      <c r="D704" s="751">
        <v>542943</v>
      </c>
      <c r="E704" s="751">
        <v>234372</v>
      </c>
      <c r="F704" s="751" t="s">
        <v>22</v>
      </c>
      <c r="G704" s="751"/>
      <c r="H704" s="751">
        <v>74857</v>
      </c>
      <c r="I704" s="751">
        <v>0</v>
      </c>
      <c r="J704" s="751">
        <v>4430954</v>
      </c>
    </row>
    <row r="705" spans="1:10" s="405" customFormat="1" ht="9" customHeight="1" x14ac:dyDescent="0.25">
      <c r="A705" s="405" t="s">
        <v>52</v>
      </c>
      <c r="B705" s="751">
        <f t="shared" si="18"/>
        <v>2267228</v>
      </c>
      <c r="C705" s="751">
        <v>1059806</v>
      </c>
      <c r="D705" s="751">
        <v>173081</v>
      </c>
      <c r="E705" s="751">
        <v>5006</v>
      </c>
      <c r="F705" s="751" t="s">
        <v>22</v>
      </c>
      <c r="G705" s="751"/>
      <c r="H705" s="751">
        <v>5004</v>
      </c>
      <c r="I705" s="751">
        <v>0</v>
      </c>
      <c r="J705" s="751">
        <v>1024331</v>
      </c>
    </row>
    <row r="706" spans="1:10" s="405" customFormat="1" ht="9" customHeight="1" x14ac:dyDescent="0.25">
      <c r="A706" s="406" t="s">
        <v>53</v>
      </c>
      <c r="B706" s="752">
        <f t="shared" si="18"/>
        <v>1772003</v>
      </c>
      <c r="C706" s="752">
        <v>673307</v>
      </c>
      <c r="D706" s="752">
        <v>168019</v>
      </c>
      <c r="E706" s="752">
        <v>653</v>
      </c>
      <c r="F706" s="752" t="s">
        <v>22</v>
      </c>
      <c r="G706" s="752"/>
      <c r="H706" s="752">
        <v>0</v>
      </c>
      <c r="I706" s="752">
        <v>0</v>
      </c>
      <c r="J706" s="752">
        <v>930024</v>
      </c>
    </row>
    <row r="707" spans="1:10" ht="3" customHeight="1" x14ac:dyDescent="0.2">
      <c r="A707" s="419"/>
      <c r="B707" s="777"/>
      <c r="C707" s="419"/>
      <c r="D707" s="419"/>
      <c r="E707" s="781"/>
      <c r="F707" s="419"/>
      <c r="G707" s="419"/>
      <c r="H707" s="419"/>
      <c r="I707" s="419"/>
      <c r="J707" s="419"/>
    </row>
    <row r="708" spans="1:10" ht="3" customHeight="1" x14ac:dyDescent="0.2">
      <c r="A708" s="456"/>
      <c r="B708" s="780"/>
    </row>
    <row r="709" spans="1:10" s="423" customFormat="1" ht="9.6" customHeight="1" x14ac:dyDescent="0.25">
      <c r="A709" s="505" t="s">
        <v>577</v>
      </c>
      <c r="B709" s="779"/>
    </row>
    <row r="710" spans="1:10" s="423" customFormat="1" ht="9.6" customHeight="1" x14ac:dyDescent="0.25">
      <c r="A710" s="505" t="s">
        <v>576</v>
      </c>
      <c r="B710" s="779"/>
    </row>
    <row r="711" spans="1:10" s="423" customFormat="1" ht="9.6" customHeight="1" x14ac:dyDescent="0.25">
      <c r="A711" s="505" t="s">
        <v>202</v>
      </c>
      <c r="B711" s="779"/>
    </row>
    <row r="712" spans="1:10" ht="9.6" customHeight="1" x14ac:dyDescent="0.2">
      <c r="A712" s="505" t="s">
        <v>575</v>
      </c>
      <c r="B712" s="777"/>
    </row>
    <row r="713" spans="1:10" ht="11.25" hidden="1" customHeight="1" x14ac:dyDescent="0.2">
      <c r="A713" s="505"/>
      <c r="B713" s="777"/>
    </row>
    <row r="714" spans="1:10" ht="11.25" hidden="1" customHeight="1" x14ac:dyDescent="0.2">
      <c r="A714" s="778"/>
      <c r="B714" s="777"/>
    </row>
    <row r="715" spans="1:10" ht="11.25" hidden="1" customHeight="1" x14ac:dyDescent="0.2">
      <c r="A715" s="778"/>
      <c r="B715" s="777"/>
    </row>
    <row r="716" spans="1:10" ht="11.25" hidden="1" customHeight="1" x14ac:dyDescent="0.2">
      <c r="B716" s="777"/>
    </row>
    <row r="717" spans="1:10" ht="11.25" hidden="1" customHeight="1" x14ac:dyDescent="0.2">
      <c r="B717" s="777"/>
    </row>
    <row r="718" spans="1:10" ht="11.25" hidden="1" customHeight="1" x14ac:dyDescent="0.2">
      <c r="B718" s="777"/>
    </row>
    <row r="719" spans="1:10" ht="11.25" hidden="1" customHeight="1" x14ac:dyDescent="0.2">
      <c r="B719" s="777"/>
    </row>
    <row r="720" spans="1:10" ht="11.25" hidden="1" customHeight="1" x14ac:dyDescent="0.2">
      <c r="B720" s="777"/>
    </row>
    <row r="721" spans="2:2" ht="11.25" hidden="1" customHeight="1" x14ac:dyDescent="0.2">
      <c r="B721" s="777"/>
    </row>
    <row r="722" spans="2:2" ht="11.25" hidden="1" customHeight="1" x14ac:dyDescent="0.2">
      <c r="B722" s="777"/>
    </row>
    <row r="723" spans="2:2" ht="11.25" hidden="1" customHeight="1" x14ac:dyDescent="0.2">
      <c r="B723" s="777"/>
    </row>
    <row r="724" spans="2:2" ht="11.25" hidden="1" customHeight="1" x14ac:dyDescent="0.2">
      <c r="B724" s="777"/>
    </row>
    <row r="725" spans="2:2" ht="11.25" hidden="1" customHeight="1" x14ac:dyDescent="0.2">
      <c r="B725" s="777"/>
    </row>
    <row r="726" spans="2:2" ht="11.25" hidden="1" customHeight="1" x14ac:dyDescent="0.2">
      <c r="B726" s="777"/>
    </row>
    <row r="727" spans="2:2" ht="11.25" hidden="1" customHeight="1" x14ac:dyDescent="0.2">
      <c r="B727" s="777"/>
    </row>
    <row r="728" spans="2:2" ht="11.25" hidden="1" customHeight="1" x14ac:dyDescent="0.2">
      <c r="B728" s="777"/>
    </row>
    <row r="729" spans="2:2" ht="11.25" hidden="1" customHeight="1" x14ac:dyDescent="0.2">
      <c r="B729" s="777"/>
    </row>
    <row r="730" spans="2:2" ht="11.25" hidden="1" customHeight="1" x14ac:dyDescent="0.2">
      <c r="B730" s="777"/>
    </row>
    <row r="731" spans="2:2" ht="11.25" hidden="1" customHeight="1" x14ac:dyDescent="0.2">
      <c r="B731" s="777"/>
    </row>
    <row r="732" spans="2:2" ht="11.25" hidden="1" customHeight="1" x14ac:dyDescent="0.2">
      <c r="B732" s="777"/>
    </row>
    <row r="733" spans="2:2" ht="11.25" hidden="1" customHeight="1" x14ac:dyDescent="0.2">
      <c r="B733" s="777"/>
    </row>
    <row r="734" spans="2:2" ht="11.25" hidden="1" customHeight="1" x14ac:dyDescent="0.2">
      <c r="B734" s="777"/>
    </row>
    <row r="735" spans="2:2" ht="11.25" hidden="1" customHeight="1" x14ac:dyDescent="0.2">
      <c r="B735" s="777"/>
    </row>
    <row r="736" spans="2:2" ht="11.25" hidden="1" customHeight="1" x14ac:dyDescent="0.2">
      <c r="B736" s="777"/>
    </row>
    <row r="737" spans="2:2" ht="11.25" hidden="1" customHeight="1" x14ac:dyDescent="0.2">
      <c r="B737" s="777"/>
    </row>
    <row r="738" spans="2:2" ht="11.25" hidden="1" customHeight="1" x14ac:dyDescent="0.2">
      <c r="B738" s="777"/>
    </row>
    <row r="739" spans="2:2" ht="11.25" hidden="1" customHeight="1" x14ac:dyDescent="0.2">
      <c r="B739" s="777"/>
    </row>
    <row r="740" spans="2:2" ht="11.25" hidden="1" customHeight="1" x14ac:dyDescent="0.2">
      <c r="B740" s="776"/>
    </row>
    <row r="741" spans="2:2" ht="11.25" hidden="1" customHeight="1" x14ac:dyDescent="0.25">
      <c r="B741" s="421"/>
    </row>
    <row r="742" spans="2:2" ht="11.25" hidden="1" customHeight="1" x14ac:dyDescent="0.25"/>
  </sheetData>
  <sheetProtection sheet="1" objects="1" scenarios="1"/>
  <mergeCells count="2">
    <mergeCell ref="A6:A7"/>
    <mergeCell ref="J6:J7"/>
  </mergeCells>
  <hyperlinks>
    <hyperlink ref="J1" location="Índice!A1" tooltip="Ir a Índice" display="Índice!A1"/>
    <hyperlink ref="A712" r:id="rId1" display="             Para 2004 a 2013: SSA. Boletín de Información Estadística. Servicios Otorgados y Programas Sustantivos. En: http://www.dgis.salud.gob.mx (24 de junio de 2015)."/>
  </hyperlinks>
  <printOptions horizontalCentered="1" verticalCentered="1" gridLinesSet="0"/>
  <pageMargins left="0.39370078740157483" right="0.39370078740157483" top="0.39370078740157483" bottom="0.39370078740157483" header="0.39370078740157483" footer="0.39370078740157483"/>
  <pageSetup orientation="portrait" r:id="rId2"/>
  <headerFooter>
    <oddHeader>&amp;L&amp;"Arial,Normal"&amp;10&amp;K000080INEGI. Anuario estadístico y geográfico por entidad federativa 2018.</oddHeader>
  </headerFooter>
  <rowBreaks count="9" manualBreakCount="9">
    <brk id="83" max="7" man="1"/>
    <brk id="157" max="7" man="1"/>
    <brk id="231" max="7" man="1"/>
    <brk id="304" max="8" man="1"/>
    <brk id="376" max="9" man="1"/>
    <brk id="450" max="8" man="1"/>
    <brk id="524" max="9" man="1"/>
    <brk id="598" max="9" man="1"/>
    <brk id="671" max="9" man="1"/>
  </rowBreak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854"/>
  <sheetViews>
    <sheetView showGridLines="0" showRowColHeaders="0" zoomScale="130" zoomScaleNormal="130" workbookViewId="0">
      <pane xSplit="1" ySplit="7" topLeftCell="B8" activePane="bottomRight" state="frozen"/>
      <selection activeCell="B5" sqref="B5"/>
      <selection pane="topRight" activeCell="B5" sqref="B5"/>
      <selection pane="bottomLeft" activeCell="B5" sqref="B5"/>
      <selection pane="bottomRight"/>
    </sheetView>
  </sheetViews>
  <sheetFormatPr baseColWidth="10" defaultColWidth="0" defaultRowHeight="11.25" customHeight="1" zeroHeight="1" x14ac:dyDescent="0.25"/>
  <cols>
    <col min="1" max="1" width="17.28515625" style="223" customWidth="1"/>
    <col min="2" max="2" width="8.42578125" style="223" customWidth="1"/>
    <col min="3" max="3" width="8" style="223" customWidth="1"/>
    <col min="4" max="4" width="9" style="223" customWidth="1"/>
    <col min="5" max="5" width="7" style="223" customWidth="1"/>
    <col min="6" max="6" width="2.140625" style="223" customWidth="1"/>
    <col min="7" max="7" width="6.5703125" style="223" customWidth="1"/>
    <col min="8" max="8" width="7.42578125" style="223" customWidth="1"/>
    <col min="9" max="9" width="1.7109375" style="223" customWidth="1"/>
    <col min="10" max="10" width="6" style="223" customWidth="1"/>
    <col min="11" max="11" width="7.42578125" style="223" customWidth="1"/>
    <col min="12" max="12" width="9" style="223" customWidth="1"/>
    <col min="13" max="13" width="7.85546875" style="223" customWidth="1"/>
    <col min="14" max="14" width="0.85546875" style="223" customWidth="1"/>
    <col min="15" max="16384" width="11.5703125" style="223" hidden="1"/>
  </cols>
  <sheetData>
    <row r="1" spans="1:13" s="220" customFormat="1" ht="12" customHeight="1" x14ac:dyDescent="0.2">
      <c r="A1" s="218" t="s">
        <v>183</v>
      </c>
      <c r="B1" s="219"/>
      <c r="C1" s="219"/>
      <c r="D1" s="219"/>
      <c r="E1" s="219"/>
      <c r="F1" s="219"/>
      <c r="G1" s="219"/>
      <c r="H1" s="219"/>
      <c r="I1" s="219"/>
      <c r="J1" s="219"/>
      <c r="K1" s="219"/>
      <c r="L1" s="802" t="s">
        <v>184</v>
      </c>
      <c r="M1" s="802"/>
    </row>
    <row r="2" spans="1:13" s="220" customFormat="1" ht="12" customHeight="1" x14ac:dyDescent="0.25">
      <c r="A2" s="221" t="s">
        <v>185</v>
      </c>
      <c r="B2" s="219"/>
      <c r="C2" s="219"/>
      <c r="D2" s="219"/>
      <c r="E2" s="219"/>
      <c r="F2" s="219"/>
      <c r="G2" s="219"/>
      <c r="H2" s="219"/>
      <c r="I2" s="219"/>
      <c r="J2" s="219"/>
      <c r="K2" s="219"/>
      <c r="M2" s="219"/>
    </row>
    <row r="3" spans="1:13" ht="3" customHeight="1" x14ac:dyDescent="0.25">
      <c r="A3" s="222"/>
      <c r="B3" s="222"/>
      <c r="C3" s="222"/>
      <c r="D3" s="222"/>
      <c r="E3" s="222"/>
      <c r="F3" s="222"/>
      <c r="G3" s="222"/>
      <c r="H3" s="222"/>
      <c r="I3" s="222"/>
      <c r="J3" s="222"/>
      <c r="K3" s="222"/>
      <c r="L3" s="222"/>
      <c r="M3" s="222"/>
    </row>
    <row r="4" spans="1:13" ht="3" customHeight="1" x14ac:dyDescent="0.25">
      <c r="A4" s="224"/>
      <c r="B4" s="224"/>
      <c r="C4" s="224"/>
      <c r="D4" s="224"/>
      <c r="E4" s="224"/>
      <c r="F4" s="224"/>
      <c r="G4" s="224"/>
      <c r="H4" s="224"/>
      <c r="I4" s="224"/>
      <c r="J4" s="224"/>
      <c r="K4" s="224"/>
      <c r="M4" s="224"/>
    </row>
    <row r="5" spans="1:13" s="225" customFormat="1" ht="9.6" customHeight="1" x14ac:dyDescent="0.25">
      <c r="A5" s="803" t="s">
        <v>4</v>
      </c>
      <c r="B5" s="755" t="s">
        <v>13</v>
      </c>
      <c r="C5" s="805" t="s">
        <v>186</v>
      </c>
      <c r="D5" s="807" t="s">
        <v>187</v>
      </c>
      <c r="E5" s="755" t="s">
        <v>166</v>
      </c>
      <c r="F5" s="755"/>
      <c r="G5" s="755" t="s">
        <v>167</v>
      </c>
      <c r="H5" s="755" t="s">
        <v>188</v>
      </c>
      <c r="I5" s="755"/>
      <c r="J5" s="755" t="s">
        <v>189</v>
      </c>
      <c r="K5" s="755" t="s">
        <v>190</v>
      </c>
      <c r="L5" s="809" t="s">
        <v>191</v>
      </c>
      <c r="M5" s="805" t="s">
        <v>192</v>
      </c>
    </row>
    <row r="6" spans="1:13" s="225" customFormat="1" ht="8.25" customHeight="1" x14ac:dyDescent="0.15">
      <c r="A6" s="804"/>
      <c r="B6" s="226"/>
      <c r="C6" s="806"/>
      <c r="D6" s="808"/>
      <c r="E6" s="226"/>
      <c r="F6" s="226"/>
      <c r="G6" s="226"/>
      <c r="H6" s="226"/>
      <c r="I6" s="226"/>
      <c r="J6" s="226"/>
      <c r="K6" s="226"/>
      <c r="L6" s="805"/>
      <c r="M6" s="808"/>
    </row>
    <row r="7" spans="1:13" ht="3" customHeight="1" x14ac:dyDescent="0.2">
      <c r="A7" s="222"/>
      <c r="B7" s="227"/>
      <c r="C7" s="227"/>
      <c r="D7" s="227"/>
      <c r="E7" s="227"/>
      <c r="F7" s="227"/>
      <c r="G7" s="227"/>
      <c r="H7" s="227"/>
      <c r="I7" s="227"/>
      <c r="J7" s="227"/>
      <c r="K7" s="227"/>
      <c r="L7" s="227"/>
      <c r="M7" s="227"/>
    </row>
    <row r="8" spans="1:13" ht="3" customHeight="1" x14ac:dyDescent="0.25">
      <c r="A8" s="224"/>
      <c r="B8" s="224"/>
      <c r="C8" s="224"/>
      <c r="D8" s="224"/>
      <c r="E8" s="224"/>
      <c r="F8" s="224"/>
      <c r="G8" s="224"/>
      <c r="H8" s="224"/>
      <c r="I8" s="224"/>
      <c r="J8" s="224"/>
      <c r="K8" s="224"/>
      <c r="M8" s="224"/>
    </row>
    <row r="9" spans="1:13" s="230" customFormat="1" ht="9" customHeight="1" x14ac:dyDescent="0.25">
      <c r="A9" s="228">
        <v>1995</v>
      </c>
      <c r="B9" s="229"/>
      <c r="C9" s="229"/>
      <c r="D9" s="229"/>
      <c r="E9" s="229"/>
      <c r="F9" s="229"/>
      <c r="G9" s="229"/>
      <c r="H9" s="229"/>
      <c r="I9" s="229"/>
      <c r="J9" s="229"/>
      <c r="K9" s="229"/>
      <c r="M9" s="229"/>
    </row>
    <row r="10" spans="1:13" s="233" customFormat="1" ht="9" customHeight="1" x14ac:dyDescent="0.25">
      <c r="A10" s="231" t="s">
        <v>21</v>
      </c>
      <c r="B10" s="232">
        <f>SUM(B12:B43)</f>
        <v>15525</v>
      </c>
      <c r="C10" s="232">
        <f>SUM(C12:C43)</f>
        <v>8003</v>
      </c>
      <c r="D10" s="232">
        <f>SUM(D12:D43)</f>
        <v>3506</v>
      </c>
      <c r="E10" s="232">
        <f>SUM(E12:E43)</f>
        <v>1748</v>
      </c>
      <c r="F10" s="232"/>
      <c r="G10" s="232">
        <f>SUM(G12:G43)</f>
        <v>1190</v>
      </c>
      <c r="H10" s="232">
        <f>SUM(H12:H43)</f>
        <v>151</v>
      </c>
      <c r="I10" s="232"/>
      <c r="J10" s="232">
        <f>SUM(J12:J43)</f>
        <v>279</v>
      </c>
      <c r="K10" s="232">
        <f>SUM(K12:K43)</f>
        <v>159</v>
      </c>
      <c r="L10" s="232">
        <f>SUM(L12:L43)</f>
        <v>79</v>
      </c>
      <c r="M10" s="232">
        <f>SUM(M12:M43)</f>
        <v>410</v>
      </c>
    </row>
    <row r="11" spans="1:13" s="233" customFormat="1" ht="3.95" customHeight="1" x14ac:dyDescent="0.25">
      <c r="A11" s="231"/>
      <c r="B11" s="232"/>
      <c r="C11" s="232"/>
      <c r="D11" s="232"/>
      <c r="E11" s="232"/>
      <c r="F11" s="232"/>
      <c r="G11" s="232"/>
      <c r="H11" s="232"/>
      <c r="I11" s="232"/>
      <c r="J11" s="232"/>
      <c r="K11" s="232"/>
      <c r="L11" s="232"/>
      <c r="M11" s="232"/>
    </row>
    <row r="12" spans="1:13" s="230" customFormat="1" ht="9" customHeight="1" x14ac:dyDescent="0.25">
      <c r="A12" s="230" t="s">
        <v>23</v>
      </c>
      <c r="B12" s="234">
        <f t="shared" ref="B12:B43" si="0">SUM(C12:M12)</f>
        <v>107</v>
      </c>
      <c r="C12" s="234">
        <v>83</v>
      </c>
      <c r="D12" s="234">
        <v>0</v>
      </c>
      <c r="E12" s="234">
        <v>13</v>
      </c>
      <c r="F12" s="234"/>
      <c r="G12" s="234">
        <v>8</v>
      </c>
      <c r="H12" s="234">
        <v>0</v>
      </c>
      <c r="I12" s="234"/>
      <c r="J12" s="234">
        <v>3</v>
      </c>
      <c r="K12" s="234">
        <v>0</v>
      </c>
      <c r="L12" s="234">
        <v>0</v>
      </c>
      <c r="M12" s="234">
        <v>0</v>
      </c>
    </row>
    <row r="13" spans="1:13" s="230" customFormat="1" ht="9" customHeight="1" x14ac:dyDescent="0.25">
      <c r="A13" s="230" t="s">
        <v>24</v>
      </c>
      <c r="B13" s="234">
        <f t="shared" si="0"/>
        <v>178</v>
      </c>
      <c r="C13" s="234">
        <v>86</v>
      </c>
      <c r="D13" s="234">
        <v>11</v>
      </c>
      <c r="E13" s="234">
        <v>31</v>
      </c>
      <c r="F13" s="234"/>
      <c r="G13" s="234">
        <v>15</v>
      </c>
      <c r="H13" s="234">
        <v>0</v>
      </c>
      <c r="I13" s="234"/>
      <c r="J13" s="234">
        <v>7</v>
      </c>
      <c r="K13" s="234">
        <v>6</v>
      </c>
      <c r="L13" s="234">
        <v>18</v>
      </c>
      <c r="M13" s="234">
        <v>4</v>
      </c>
    </row>
    <row r="14" spans="1:13" s="230" customFormat="1" ht="9" customHeight="1" x14ac:dyDescent="0.25">
      <c r="A14" s="230" t="s">
        <v>25</v>
      </c>
      <c r="B14" s="234">
        <f t="shared" si="0"/>
        <v>158</v>
      </c>
      <c r="C14" s="234">
        <v>78</v>
      </c>
      <c r="D14" s="234">
        <v>0</v>
      </c>
      <c r="E14" s="234">
        <v>33</v>
      </c>
      <c r="F14" s="234"/>
      <c r="G14" s="234">
        <v>28</v>
      </c>
      <c r="H14" s="234">
        <v>0</v>
      </c>
      <c r="I14" s="234"/>
      <c r="J14" s="234">
        <v>4</v>
      </c>
      <c r="K14" s="234">
        <v>9</v>
      </c>
      <c r="L14" s="234">
        <v>0</v>
      </c>
      <c r="M14" s="234">
        <v>6</v>
      </c>
    </row>
    <row r="15" spans="1:13" s="230" customFormat="1" ht="9" customHeight="1" x14ac:dyDescent="0.25">
      <c r="A15" s="235" t="s">
        <v>26</v>
      </c>
      <c r="B15" s="236">
        <f t="shared" si="0"/>
        <v>191</v>
      </c>
      <c r="C15" s="236">
        <v>67</v>
      </c>
      <c r="D15" s="236">
        <v>37</v>
      </c>
      <c r="E15" s="236">
        <v>16</v>
      </c>
      <c r="F15" s="236"/>
      <c r="G15" s="236">
        <v>11</v>
      </c>
      <c r="H15" s="236">
        <v>41</v>
      </c>
      <c r="I15" s="236"/>
      <c r="J15" s="236">
        <v>3</v>
      </c>
      <c r="K15" s="236">
        <v>11</v>
      </c>
      <c r="L15" s="236">
        <v>0</v>
      </c>
      <c r="M15" s="236">
        <v>5</v>
      </c>
    </row>
    <row r="16" spans="1:13" s="230" customFormat="1" ht="9" customHeight="1" x14ac:dyDescent="0.25">
      <c r="A16" s="230" t="s">
        <v>27</v>
      </c>
      <c r="B16" s="234">
        <f t="shared" si="0"/>
        <v>357</v>
      </c>
      <c r="C16" s="234">
        <v>159</v>
      </c>
      <c r="D16" s="234">
        <v>82</v>
      </c>
      <c r="E16" s="234">
        <v>71</v>
      </c>
      <c r="F16" s="234"/>
      <c r="G16" s="234">
        <v>29</v>
      </c>
      <c r="H16" s="234">
        <v>0</v>
      </c>
      <c r="I16" s="234"/>
      <c r="J16" s="234">
        <v>5</v>
      </c>
      <c r="K16" s="234">
        <v>0</v>
      </c>
      <c r="L16" s="234">
        <v>0</v>
      </c>
      <c r="M16" s="234">
        <v>11</v>
      </c>
    </row>
    <row r="17" spans="1:13" s="230" customFormat="1" ht="9" customHeight="1" x14ac:dyDescent="0.25">
      <c r="A17" s="230" t="s">
        <v>28</v>
      </c>
      <c r="B17" s="234">
        <f t="shared" si="0"/>
        <v>139</v>
      </c>
      <c r="C17" s="234">
        <v>99</v>
      </c>
      <c r="D17" s="234">
        <v>0</v>
      </c>
      <c r="E17" s="234">
        <v>16</v>
      </c>
      <c r="F17" s="234"/>
      <c r="G17" s="234">
        <v>5</v>
      </c>
      <c r="H17" s="234">
        <v>0</v>
      </c>
      <c r="I17" s="234"/>
      <c r="J17" s="234">
        <v>3</v>
      </c>
      <c r="K17" s="234">
        <v>16</v>
      </c>
      <c r="L17" s="234">
        <v>0</v>
      </c>
      <c r="M17" s="234">
        <v>0</v>
      </c>
    </row>
    <row r="18" spans="1:13" s="230" customFormat="1" ht="9" customHeight="1" x14ac:dyDescent="0.25">
      <c r="A18" s="230" t="s">
        <v>29</v>
      </c>
      <c r="B18" s="234">
        <f t="shared" si="0"/>
        <v>895</v>
      </c>
      <c r="C18" s="234">
        <v>230</v>
      </c>
      <c r="D18" s="234">
        <v>535</v>
      </c>
      <c r="E18" s="234">
        <v>42</v>
      </c>
      <c r="F18" s="234"/>
      <c r="G18" s="234">
        <v>41</v>
      </c>
      <c r="H18" s="234">
        <v>1</v>
      </c>
      <c r="I18" s="234"/>
      <c r="J18" s="234">
        <v>21</v>
      </c>
      <c r="K18" s="234">
        <v>2</v>
      </c>
      <c r="L18" s="234">
        <v>8</v>
      </c>
      <c r="M18" s="234">
        <v>15</v>
      </c>
    </row>
    <row r="19" spans="1:13" s="230" customFormat="1" ht="9" customHeight="1" x14ac:dyDescent="0.25">
      <c r="A19" s="235" t="s">
        <v>30</v>
      </c>
      <c r="B19" s="236">
        <f t="shared" si="0"/>
        <v>481</v>
      </c>
      <c r="C19" s="236">
        <v>201</v>
      </c>
      <c r="D19" s="236">
        <v>135</v>
      </c>
      <c r="E19" s="236">
        <v>57</v>
      </c>
      <c r="F19" s="236"/>
      <c r="G19" s="236">
        <v>50</v>
      </c>
      <c r="H19" s="236">
        <v>1</v>
      </c>
      <c r="I19" s="236"/>
      <c r="J19" s="236">
        <v>10</v>
      </c>
      <c r="K19" s="236">
        <v>0</v>
      </c>
      <c r="L19" s="236">
        <v>0</v>
      </c>
      <c r="M19" s="236">
        <v>27</v>
      </c>
    </row>
    <row r="20" spans="1:13" s="230" customFormat="1" ht="9" customHeight="1" x14ac:dyDescent="0.25">
      <c r="A20" s="405" t="s">
        <v>63</v>
      </c>
      <c r="B20" s="234">
        <f t="shared" si="0"/>
        <v>780</v>
      </c>
      <c r="C20" s="234">
        <v>245</v>
      </c>
      <c r="D20" s="234">
        <v>1</v>
      </c>
      <c r="E20" s="234">
        <v>159</v>
      </c>
      <c r="F20" s="234"/>
      <c r="G20" s="234">
        <v>137</v>
      </c>
      <c r="H20" s="234">
        <v>12</v>
      </c>
      <c r="I20" s="234"/>
      <c r="J20" s="234">
        <v>75</v>
      </c>
      <c r="K20" s="234">
        <v>9</v>
      </c>
      <c r="L20" s="234">
        <v>3</v>
      </c>
      <c r="M20" s="234">
        <v>139</v>
      </c>
    </row>
    <row r="21" spans="1:13" s="230" customFormat="1" ht="9" customHeight="1" x14ac:dyDescent="0.25">
      <c r="A21" s="230" t="s">
        <v>31</v>
      </c>
      <c r="B21" s="234">
        <f t="shared" si="0"/>
        <v>415</v>
      </c>
      <c r="C21" s="234">
        <v>139</v>
      </c>
      <c r="D21" s="234">
        <v>166</v>
      </c>
      <c r="E21" s="234">
        <v>61</v>
      </c>
      <c r="F21" s="234"/>
      <c r="G21" s="234">
        <v>42</v>
      </c>
      <c r="H21" s="234">
        <v>0</v>
      </c>
      <c r="I21" s="234"/>
      <c r="J21" s="234">
        <v>5</v>
      </c>
      <c r="K21" s="234">
        <v>0</v>
      </c>
      <c r="L21" s="234">
        <v>0</v>
      </c>
      <c r="M21" s="234">
        <v>2</v>
      </c>
    </row>
    <row r="22" spans="1:13" s="230" customFormat="1" ht="9" customHeight="1" x14ac:dyDescent="0.25">
      <c r="A22" s="230" t="s">
        <v>32</v>
      </c>
      <c r="B22" s="234">
        <f t="shared" si="0"/>
        <v>527</v>
      </c>
      <c r="C22" s="234">
        <v>420</v>
      </c>
      <c r="D22" s="234">
        <v>0</v>
      </c>
      <c r="E22" s="234">
        <v>55</v>
      </c>
      <c r="F22" s="234"/>
      <c r="G22" s="234">
        <v>40</v>
      </c>
      <c r="H22" s="234">
        <v>3</v>
      </c>
      <c r="I22" s="234"/>
      <c r="J22" s="234">
        <v>8</v>
      </c>
      <c r="K22" s="234">
        <v>0</v>
      </c>
      <c r="L22" s="234">
        <v>0</v>
      </c>
      <c r="M22" s="234">
        <v>1</v>
      </c>
    </row>
    <row r="23" spans="1:13" s="230" customFormat="1" ht="9" customHeight="1" x14ac:dyDescent="0.25">
      <c r="A23" s="235" t="s">
        <v>33</v>
      </c>
      <c r="B23" s="236">
        <f t="shared" si="0"/>
        <v>733</v>
      </c>
      <c r="C23" s="236">
        <v>626</v>
      </c>
      <c r="D23" s="236">
        <v>0</v>
      </c>
      <c r="E23" s="236">
        <v>29</v>
      </c>
      <c r="F23" s="236"/>
      <c r="G23" s="236">
        <v>50</v>
      </c>
      <c r="H23" s="236">
        <v>0</v>
      </c>
      <c r="I23" s="236"/>
      <c r="J23" s="236">
        <v>12</v>
      </c>
      <c r="K23" s="236">
        <v>11</v>
      </c>
      <c r="L23" s="236">
        <v>0</v>
      </c>
      <c r="M23" s="236">
        <v>5</v>
      </c>
    </row>
    <row r="24" spans="1:13" s="230" customFormat="1" ht="9" customHeight="1" x14ac:dyDescent="0.25">
      <c r="A24" s="230" t="s">
        <v>34</v>
      </c>
      <c r="B24" s="234">
        <f t="shared" si="0"/>
        <v>654</v>
      </c>
      <c r="C24" s="234">
        <v>371</v>
      </c>
      <c r="D24" s="234">
        <v>209</v>
      </c>
      <c r="E24" s="234">
        <v>18</v>
      </c>
      <c r="F24" s="234"/>
      <c r="G24" s="234">
        <v>44</v>
      </c>
      <c r="H24" s="234">
        <v>5</v>
      </c>
      <c r="I24" s="234"/>
      <c r="J24" s="234">
        <v>4</v>
      </c>
      <c r="K24" s="234">
        <v>0</v>
      </c>
      <c r="L24" s="234">
        <v>0</v>
      </c>
      <c r="M24" s="234">
        <v>3</v>
      </c>
    </row>
    <row r="25" spans="1:13" s="230" customFormat="1" ht="9" customHeight="1" x14ac:dyDescent="0.25">
      <c r="A25" s="230" t="s">
        <v>35</v>
      </c>
      <c r="B25" s="234">
        <f t="shared" si="0"/>
        <v>783</v>
      </c>
      <c r="C25" s="234">
        <v>495</v>
      </c>
      <c r="D25" s="234">
        <v>0</v>
      </c>
      <c r="E25" s="234">
        <v>181</v>
      </c>
      <c r="F25" s="234"/>
      <c r="G25" s="234">
        <v>76</v>
      </c>
      <c r="H25" s="234">
        <v>1</v>
      </c>
      <c r="I25" s="234"/>
      <c r="J25" s="234">
        <v>8</v>
      </c>
      <c r="K25" s="234">
        <v>2</v>
      </c>
      <c r="L25" s="234">
        <v>0</v>
      </c>
      <c r="M25" s="234">
        <v>20</v>
      </c>
    </row>
    <row r="26" spans="1:13" s="230" customFormat="1" ht="9" customHeight="1" x14ac:dyDescent="0.25">
      <c r="A26" s="230" t="s">
        <v>36</v>
      </c>
      <c r="B26" s="234">
        <f t="shared" si="0"/>
        <v>1047</v>
      </c>
      <c r="C26" s="234">
        <v>857</v>
      </c>
      <c r="D26" s="234">
        <v>0</v>
      </c>
      <c r="E26" s="234">
        <v>110</v>
      </c>
      <c r="F26" s="234"/>
      <c r="G26" s="234">
        <v>52</v>
      </c>
      <c r="H26" s="234">
        <v>3</v>
      </c>
      <c r="I26" s="234"/>
      <c r="J26" s="234">
        <v>16</v>
      </c>
      <c r="K26" s="234">
        <v>0</v>
      </c>
      <c r="L26" s="234">
        <v>8</v>
      </c>
      <c r="M26" s="234">
        <v>1</v>
      </c>
    </row>
    <row r="27" spans="1:13" s="230" customFormat="1" ht="9" customHeight="1" x14ac:dyDescent="0.25">
      <c r="A27" s="235" t="s">
        <v>37</v>
      </c>
      <c r="B27" s="236">
        <f t="shared" si="0"/>
        <v>752</v>
      </c>
      <c r="C27" s="236">
        <v>261</v>
      </c>
      <c r="D27" s="236">
        <v>339</v>
      </c>
      <c r="E27" s="236">
        <v>59</v>
      </c>
      <c r="F27" s="236"/>
      <c r="G27" s="236">
        <v>62</v>
      </c>
      <c r="H27" s="236">
        <v>0</v>
      </c>
      <c r="I27" s="236"/>
      <c r="J27" s="236">
        <v>4</v>
      </c>
      <c r="K27" s="236">
        <v>6</v>
      </c>
      <c r="L27" s="236">
        <v>0</v>
      </c>
      <c r="M27" s="236">
        <v>21</v>
      </c>
    </row>
    <row r="28" spans="1:13" s="230" customFormat="1" ht="9" customHeight="1" x14ac:dyDescent="0.25">
      <c r="A28" s="230" t="s">
        <v>38</v>
      </c>
      <c r="B28" s="234">
        <f t="shared" si="0"/>
        <v>246</v>
      </c>
      <c r="C28" s="234">
        <v>186</v>
      </c>
      <c r="D28" s="234">
        <v>0</v>
      </c>
      <c r="E28" s="234">
        <v>26</v>
      </c>
      <c r="F28" s="234"/>
      <c r="G28" s="234">
        <v>28</v>
      </c>
      <c r="H28" s="234">
        <v>0</v>
      </c>
      <c r="I28" s="234"/>
      <c r="J28" s="234">
        <v>5</v>
      </c>
      <c r="K28" s="234">
        <v>0</v>
      </c>
      <c r="L28" s="234">
        <v>0</v>
      </c>
      <c r="M28" s="234">
        <v>1</v>
      </c>
    </row>
    <row r="29" spans="1:13" s="230" customFormat="1" ht="9" customHeight="1" x14ac:dyDescent="0.25">
      <c r="A29" s="230" t="s">
        <v>39</v>
      </c>
      <c r="B29" s="234">
        <f t="shared" si="0"/>
        <v>267</v>
      </c>
      <c r="C29" s="234">
        <v>114</v>
      </c>
      <c r="D29" s="234">
        <v>80</v>
      </c>
      <c r="E29" s="234">
        <v>35</v>
      </c>
      <c r="F29" s="234"/>
      <c r="G29" s="234">
        <v>25</v>
      </c>
      <c r="H29" s="234">
        <v>0</v>
      </c>
      <c r="I29" s="234"/>
      <c r="J29" s="234">
        <v>2</v>
      </c>
      <c r="K29" s="234">
        <v>3</v>
      </c>
      <c r="L29" s="234">
        <v>0</v>
      </c>
      <c r="M29" s="234">
        <v>8</v>
      </c>
    </row>
    <row r="30" spans="1:13" s="230" customFormat="1" ht="9" customHeight="1" x14ac:dyDescent="0.25">
      <c r="A30" s="230" t="s">
        <v>40</v>
      </c>
      <c r="B30" s="234">
        <f t="shared" si="0"/>
        <v>489</v>
      </c>
      <c r="C30" s="234">
        <v>375</v>
      </c>
      <c r="D30" s="234">
        <v>0</v>
      </c>
      <c r="E30" s="234">
        <v>71</v>
      </c>
      <c r="F30" s="234"/>
      <c r="G30" s="234">
        <v>30</v>
      </c>
      <c r="H30" s="234">
        <v>4</v>
      </c>
      <c r="I30" s="234"/>
      <c r="J30" s="234">
        <v>4</v>
      </c>
      <c r="K30" s="234">
        <v>0</v>
      </c>
      <c r="L30" s="234">
        <v>3</v>
      </c>
      <c r="M30" s="234">
        <v>2</v>
      </c>
    </row>
    <row r="31" spans="1:13" s="230" customFormat="1" ht="9" customHeight="1" x14ac:dyDescent="0.25">
      <c r="A31" s="235" t="s">
        <v>41</v>
      </c>
      <c r="B31" s="236">
        <f t="shared" si="0"/>
        <v>952</v>
      </c>
      <c r="C31" s="236">
        <v>376</v>
      </c>
      <c r="D31" s="236">
        <v>452</v>
      </c>
      <c r="E31" s="236">
        <v>31</v>
      </c>
      <c r="F31" s="236"/>
      <c r="G31" s="236">
        <v>48</v>
      </c>
      <c r="H31" s="236">
        <v>6</v>
      </c>
      <c r="I31" s="236"/>
      <c r="J31" s="236">
        <v>8</v>
      </c>
      <c r="K31" s="236">
        <v>8</v>
      </c>
      <c r="L31" s="236">
        <v>0</v>
      </c>
      <c r="M31" s="236">
        <v>23</v>
      </c>
    </row>
    <row r="32" spans="1:13" s="230" customFormat="1" ht="9" customHeight="1" x14ac:dyDescent="0.25">
      <c r="A32" s="230" t="s">
        <v>42</v>
      </c>
      <c r="B32" s="234">
        <f t="shared" si="0"/>
        <v>819</v>
      </c>
      <c r="C32" s="234">
        <v>327</v>
      </c>
      <c r="D32" s="234">
        <v>313</v>
      </c>
      <c r="E32" s="234">
        <v>51</v>
      </c>
      <c r="F32" s="234"/>
      <c r="G32" s="234">
        <v>44</v>
      </c>
      <c r="H32" s="234">
        <v>5</v>
      </c>
      <c r="I32" s="234"/>
      <c r="J32" s="234">
        <v>9</v>
      </c>
      <c r="K32" s="234">
        <v>0</v>
      </c>
      <c r="L32" s="234">
        <v>35</v>
      </c>
      <c r="M32" s="234">
        <v>35</v>
      </c>
    </row>
    <row r="33" spans="1:13" s="230" customFormat="1" ht="9" customHeight="1" x14ac:dyDescent="0.25">
      <c r="A33" s="230" t="s">
        <v>43</v>
      </c>
      <c r="B33" s="234">
        <f t="shared" si="0"/>
        <v>255</v>
      </c>
      <c r="C33" s="234">
        <v>206</v>
      </c>
      <c r="D33" s="234">
        <v>0</v>
      </c>
      <c r="E33" s="234">
        <v>23</v>
      </c>
      <c r="F33" s="234"/>
      <c r="G33" s="234">
        <v>20</v>
      </c>
      <c r="H33" s="234">
        <v>0</v>
      </c>
      <c r="I33" s="234"/>
      <c r="J33" s="234">
        <v>3</v>
      </c>
      <c r="K33" s="234">
        <v>0</v>
      </c>
      <c r="L33" s="234">
        <v>0</v>
      </c>
      <c r="M33" s="234">
        <v>3</v>
      </c>
    </row>
    <row r="34" spans="1:13" s="230" customFormat="1" ht="9" customHeight="1" x14ac:dyDescent="0.25">
      <c r="A34" s="230" t="s">
        <v>44</v>
      </c>
      <c r="B34" s="234">
        <f t="shared" si="0"/>
        <v>170</v>
      </c>
      <c r="C34" s="234">
        <v>135</v>
      </c>
      <c r="D34" s="234">
        <v>0</v>
      </c>
      <c r="E34" s="234">
        <v>16</v>
      </c>
      <c r="F34" s="234"/>
      <c r="G34" s="234">
        <v>7</v>
      </c>
      <c r="H34" s="234">
        <v>0</v>
      </c>
      <c r="I34" s="234"/>
      <c r="J34" s="234">
        <v>4</v>
      </c>
      <c r="K34" s="234">
        <v>6</v>
      </c>
      <c r="L34" s="234">
        <v>0</v>
      </c>
      <c r="M34" s="234">
        <v>2</v>
      </c>
    </row>
    <row r="35" spans="1:13" s="230" customFormat="1" ht="9" customHeight="1" x14ac:dyDescent="0.25">
      <c r="A35" s="235" t="s">
        <v>45</v>
      </c>
      <c r="B35" s="236">
        <f t="shared" si="0"/>
        <v>414</v>
      </c>
      <c r="C35" s="236">
        <v>132</v>
      </c>
      <c r="D35" s="236">
        <v>206</v>
      </c>
      <c r="E35" s="236">
        <v>44</v>
      </c>
      <c r="F35" s="236"/>
      <c r="G35" s="236">
        <v>22</v>
      </c>
      <c r="H35" s="236">
        <v>1</v>
      </c>
      <c r="I35" s="236"/>
      <c r="J35" s="236">
        <v>4</v>
      </c>
      <c r="K35" s="236">
        <v>0</v>
      </c>
      <c r="L35" s="236">
        <v>0</v>
      </c>
      <c r="M35" s="236">
        <v>5</v>
      </c>
    </row>
    <row r="36" spans="1:13" s="230" customFormat="1" ht="9" customHeight="1" x14ac:dyDescent="0.25">
      <c r="A36" s="230" t="s">
        <v>46</v>
      </c>
      <c r="B36" s="234">
        <f t="shared" si="0"/>
        <v>412</v>
      </c>
      <c r="C36" s="234">
        <v>170</v>
      </c>
      <c r="D36" s="234">
        <v>107</v>
      </c>
      <c r="E36" s="234">
        <v>73</v>
      </c>
      <c r="F36" s="234"/>
      <c r="G36" s="234">
        <v>39</v>
      </c>
      <c r="H36" s="234">
        <v>1</v>
      </c>
      <c r="I36" s="234"/>
      <c r="J36" s="234">
        <v>7</v>
      </c>
      <c r="K36" s="234">
        <v>9</v>
      </c>
      <c r="L36" s="234">
        <v>0</v>
      </c>
      <c r="M36" s="234">
        <v>6</v>
      </c>
    </row>
    <row r="37" spans="1:13" s="230" customFormat="1" ht="9" customHeight="1" x14ac:dyDescent="0.25">
      <c r="A37" s="230" t="s">
        <v>47</v>
      </c>
      <c r="B37" s="234">
        <f t="shared" si="0"/>
        <v>342</v>
      </c>
      <c r="C37" s="234">
        <v>210</v>
      </c>
      <c r="D37" s="234">
        <v>0</v>
      </c>
      <c r="E37" s="234">
        <v>72</v>
      </c>
      <c r="F37" s="234"/>
      <c r="G37" s="234">
        <v>34</v>
      </c>
      <c r="H37" s="234">
        <v>0</v>
      </c>
      <c r="I37" s="234"/>
      <c r="J37" s="234">
        <v>10</v>
      </c>
      <c r="K37" s="234">
        <v>7</v>
      </c>
      <c r="L37" s="234">
        <v>3</v>
      </c>
      <c r="M37" s="234">
        <v>6</v>
      </c>
    </row>
    <row r="38" spans="1:13" s="230" customFormat="1" ht="9" customHeight="1" x14ac:dyDescent="0.25">
      <c r="A38" s="230" t="s">
        <v>48</v>
      </c>
      <c r="B38" s="234">
        <f t="shared" si="0"/>
        <v>538</v>
      </c>
      <c r="C38" s="234">
        <v>452</v>
      </c>
      <c r="D38" s="234">
        <v>0</v>
      </c>
      <c r="E38" s="234">
        <v>38</v>
      </c>
      <c r="F38" s="234"/>
      <c r="G38" s="234">
        <v>23</v>
      </c>
      <c r="H38" s="234">
        <v>15</v>
      </c>
      <c r="I38" s="234"/>
      <c r="J38" s="234">
        <v>4</v>
      </c>
      <c r="K38" s="234">
        <v>3</v>
      </c>
      <c r="L38" s="234">
        <v>1</v>
      </c>
      <c r="M38" s="234">
        <v>2</v>
      </c>
    </row>
    <row r="39" spans="1:13" s="230" customFormat="1" ht="9" customHeight="1" x14ac:dyDescent="0.25">
      <c r="A39" s="235" t="s">
        <v>49</v>
      </c>
      <c r="B39" s="236">
        <f t="shared" si="0"/>
        <v>396</v>
      </c>
      <c r="C39" s="236">
        <v>154</v>
      </c>
      <c r="D39" s="236">
        <v>106</v>
      </c>
      <c r="E39" s="236">
        <v>52</v>
      </c>
      <c r="F39" s="236"/>
      <c r="G39" s="236">
        <v>34</v>
      </c>
      <c r="H39" s="236">
        <v>13</v>
      </c>
      <c r="I39" s="236"/>
      <c r="J39" s="236">
        <v>8</v>
      </c>
      <c r="K39" s="236">
        <v>17</v>
      </c>
      <c r="L39" s="236">
        <v>0</v>
      </c>
      <c r="M39" s="236">
        <v>12</v>
      </c>
    </row>
    <row r="40" spans="1:13" s="230" customFormat="1" ht="9" customHeight="1" x14ac:dyDescent="0.25">
      <c r="A40" s="230" t="s">
        <v>50</v>
      </c>
      <c r="B40" s="234">
        <f t="shared" si="0"/>
        <v>182</v>
      </c>
      <c r="C40" s="234">
        <v>159</v>
      </c>
      <c r="D40" s="234">
        <v>0</v>
      </c>
      <c r="E40" s="234">
        <v>16</v>
      </c>
      <c r="F40" s="234"/>
      <c r="G40" s="234">
        <v>4</v>
      </c>
      <c r="H40" s="234">
        <v>0</v>
      </c>
      <c r="I40" s="234"/>
      <c r="J40" s="234">
        <v>3</v>
      </c>
      <c r="K40" s="234">
        <v>0</v>
      </c>
      <c r="L40" s="234">
        <v>0</v>
      </c>
      <c r="M40" s="234">
        <v>0</v>
      </c>
    </row>
    <row r="41" spans="1:13" s="230" customFormat="1" ht="9" customHeight="1" x14ac:dyDescent="0.25">
      <c r="A41" s="230" t="s">
        <v>51</v>
      </c>
      <c r="B41" s="234">
        <f t="shared" si="0"/>
        <v>1243</v>
      </c>
      <c r="C41" s="234">
        <v>360</v>
      </c>
      <c r="D41" s="234">
        <v>524</v>
      </c>
      <c r="E41" s="234">
        <v>154</v>
      </c>
      <c r="F41" s="234"/>
      <c r="G41" s="234">
        <v>88</v>
      </c>
      <c r="H41" s="234">
        <v>39</v>
      </c>
      <c r="I41" s="234"/>
      <c r="J41" s="234">
        <v>14</v>
      </c>
      <c r="K41" s="234">
        <v>32</v>
      </c>
      <c r="L41" s="234">
        <v>0</v>
      </c>
      <c r="M41" s="234">
        <v>32</v>
      </c>
    </row>
    <row r="42" spans="1:13" s="230" customFormat="1" ht="9" customHeight="1" x14ac:dyDescent="0.25">
      <c r="A42" s="230" t="s">
        <v>52</v>
      </c>
      <c r="B42" s="234">
        <f t="shared" si="0"/>
        <v>253</v>
      </c>
      <c r="C42" s="234">
        <v>111</v>
      </c>
      <c r="D42" s="234">
        <v>57</v>
      </c>
      <c r="E42" s="234">
        <v>56</v>
      </c>
      <c r="F42" s="234"/>
      <c r="G42" s="234">
        <v>16</v>
      </c>
      <c r="H42" s="234">
        <v>0</v>
      </c>
      <c r="I42" s="234"/>
      <c r="J42" s="234">
        <v>4</v>
      </c>
      <c r="K42" s="234">
        <v>2</v>
      </c>
      <c r="L42" s="234">
        <v>0</v>
      </c>
      <c r="M42" s="234">
        <v>7</v>
      </c>
    </row>
    <row r="43" spans="1:13" s="230" customFormat="1" ht="9" customHeight="1" x14ac:dyDescent="0.25">
      <c r="A43" s="235" t="s">
        <v>53</v>
      </c>
      <c r="B43" s="236">
        <f t="shared" si="0"/>
        <v>350</v>
      </c>
      <c r="C43" s="236">
        <v>119</v>
      </c>
      <c r="D43" s="236">
        <v>146</v>
      </c>
      <c r="E43" s="236">
        <v>39</v>
      </c>
      <c r="F43" s="236"/>
      <c r="G43" s="236">
        <v>38</v>
      </c>
      <c r="H43" s="236">
        <v>0</v>
      </c>
      <c r="I43" s="236"/>
      <c r="J43" s="236">
        <v>2</v>
      </c>
      <c r="K43" s="236">
        <v>0</v>
      </c>
      <c r="L43" s="236">
        <v>0</v>
      </c>
      <c r="M43" s="236">
        <v>6</v>
      </c>
    </row>
    <row r="44" spans="1:13" s="230" customFormat="1" ht="9" customHeight="1" x14ac:dyDescent="0.25">
      <c r="A44" s="237"/>
      <c r="B44" s="238"/>
      <c r="C44" s="238"/>
      <c r="D44" s="238"/>
      <c r="E44" s="238"/>
      <c r="F44" s="238"/>
      <c r="G44" s="238"/>
      <c r="H44" s="238"/>
      <c r="I44" s="238"/>
      <c r="J44" s="238"/>
      <c r="K44" s="238"/>
      <c r="L44" s="238"/>
      <c r="M44" s="238"/>
    </row>
    <row r="45" spans="1:13" s="230" customFormat="1" ht="9" customHeight="1" x14ac:dyDescent="0.25">
      <c r="A45" s="228">
        <v>1996</v>
      </c>
      <c r="B45" s="229"/>
      <c r="C45" s="229"/>
      <c r="D45" s="229"/>
      <c r="E45" s="229"/>
      <c r="F45" s="229"/>
      <c r="G45" s="229"/>
      <c r="H45" s="229"/>
      <c r="I45" s="229"/>
      <c r="J45" s="229"/>
      <c r="K45" s="229"/>
      <c r="M45" s="229"/>
    </row>
    <row r="46" spans="1:13" s="230" customFormat="1" ht="9" customHeight="1" x14ac:dyDescent="0.25">
      <c r="A46" s="231" t="s">
        <v>21</v>
      </c>
      <c r="B46" s="232">
        <f>SUM(B48:B79)</f>
        <v>16158</v>
      </c>
      <c r="C46" s="232">
        <f>SUM(C48:C79)</f>
        <v>8312</v>
      </c>
      <c r="D46" s="232">
        <f>SUM(D48:D79)</f>
        <v>3607</v>
      </c>
      <c r="E46" s="232">
        <f>SUM(E48:E79)</f>
        <v>1752</v>
      </c>
      <c r="F46" s="232"/>
      <c r="G46" s="232">
        <f>SUM(G48:G79)</f>
        <v>1198</v>
      </c>
      <c r="H46" s="232">
        <f>SUM(H48:H79)</f>
        <v>202</v>
      </c>
      <c r="I46" s="232"/>
      <c r="J46" s="232">
        <f>SUM(J48:J79)</f>
        <v>279</v>
      </c>
      <c r="K46" s="232">
        <f>SUM(K48:K79)</f>
        <v>159</v>
      </c>
      <c r="L46" s="232">
        <f>SUM(L48:L79)</f>
        <v>143</v>
      </c>
      <c r="M46" s="232">
        <f>SUM(M48:M79)</f>
        <v>506</v>
      </c>
    </row>
    <row r="47" spans="1:13" s="230" customFormat="1" ht="3.95" customHeight="1" x14ac:dyDescent="0.25">
      <c r="A47" s="233"/>
      <c r="B47" s="232"/>
      <c r="C47" s="232"/>
      <c r="D47" s="232"/>
      <c r="E47" s="232"/>
      <c r="F47" s="232"/>
      <c r="G47" s="232"/>
      <c r="H47" s="232"/>
      <c r="I47" s="232"/>
      <c r="J47" s="232"/>
      <c r="K47" s="232"/>
      <c r="L47" s="232"/>
      <c r="M47" s="232"/>
    </row>
    <row r="48" spans="1:13" s="230" customFormat="1" ht="9" customHeight="1" x14ac:dyDescent="0.25">
      <c r="A48" s="230" t="s">
        <v>23</v>
      </c>
      <c r="B48" s="234">
        <f t="shared" ref="B48:B79" si="1">SUM(C48:M48)</f>
        <v>108</v>
      </c>
      <c r="C48" s="234">
        <v>83</v>
      </c>
      <c r="D48" s="234">
        <v>0</v>
      </c>
      <c r="E48" s="234">
        <v>12</v>
      </c>
      <c r="F48" s="234"/>
      <c r="G48" s="234">
        <v>9</v>
      </c>
      <c r="H48" s="234">
        <v>1</v>
      </c>
      <c r="I48" s="234"/>
      <c r="J48" s="234">
        <v>3</v>
      </c>
      <c r="K48" s="234">
        <v>0</v>
      </c>
      <c r="L48" s="234">
        <v>0</v>
      </c>
      <c r="M48" s="234">
        <v>0</v>
      </c>
    </row>
    <row r="49" spans="1:17" s="230" customFormat="1" ht="9" customHeight="1" x14ac:dyDescent="0.25">
      <c r="A49" s="230" t="s">
        <v>24</v>
      </c>
      <c r="B49" s="234">
        <f t="shared" si="1"/>
        <v>181</v>
      </c>
      <c r="C49" s="234">
        <v>87</v>
      </c>
      <c r="D49" s="234">
        <v>11</v>
      </c>
      <c r="E49" s="234">
        <v>31</v>
      </c>
      <c r="F49" s="234"/>
      <c r="G49" s="234">
        <v>15</v>
      </c>
      <c r="H49" s="234">
        <v>3</v>
      </c>
      <c r="I49" s="234"/>
      <c r="J49" s="234">
        <v>7</v>
      </c>
      <c r="K49" s="234">
        <v>6</v>
      </c>
      <c r="L49" s="234">
        <v>18</v>
      </c>
      <c r="M49" s="234">
        <v>3</v>
      </c>
    </row>
    <row r="50" spans="1:17" s="230" customFormat="1" ht="9" customHeight="1" x14ac:dyDescent="0.25">
      <c r="A50" s="230" t="s">
        <v>25</v>
      </c>
      <c r="B50" s="234">
        <f t="shared" si="1"/>
        <v>163</v>
      </c>
      <c r="C50" s="234">
        <v>81</v>
      </c>
      <c r="D50" s="234">
        <v>0</v>
      </c>
      <c r="E50" s="234">
        <v>33</v>
      </c>
      <c r="F50" s="234"/>
      <c r="G50" s="234">
        <v>29</v>
      </c>
      <c r="H50" s="234">
        <v>1</v>
      </c>
      <c r="I50" s="234"/>
      <c r="J50" s="234">
        <v>4</v>
      </c>
      <c r="K50" s="234">
        <v>9</v>
      </c>
      <c r="L50" s="234">
        <v>0</v>
      </c>
      <c r="M50" s="234">
        <v>6</v>
      </c>
    </row>
    <row r="51" spans="1:17" s="230" customFormat="1" ht="9" customHeight="1" x14ac:dyDescent="0.25">
      <c r="A51" s="235" t="s">
        <v>26</v>
      </c>
      <c r="B51" s="236">
        <f t="shared" si="1"/>
        <v>206</v>
      </c>
      <c r="C51" s="236">
        <v>74</v>
      </c>
      <c r="D51" s="236">
        <v>37</v>
      </c>
      <c r="E51" s="236">
        <v>16</v>
      </c>
      <c r="F51" s="236"/>
      <c r="G51" s="236">
        <v>11</v>
      </c>
      <c r="H51" s="236">
        <v>48</v>
      </c>
      <c r="I51" s="236"/>
      <c r="J51" s="236">
        <v>3</v>
      </c>
      <c r="K51" s="236">
        <v>11</v>
      </c>
      <c r="L51" s="236">
        <v>0</v>
      </c>
      <c r="M51" s="236">
        <v>6</v>
      </c>
    </row>
    <row r="52" spans="1:17" s="230" customFormat="1" ht="9" customHeight="1" x14ac:dyDescent="0.25">
      <c r="A52" s="230" t="s">
        <v>27</v>
      </c>
      <c r="B52" s="234">
        <f t="shared" si="1"/>
        <v>367</v>
      </c>
      <c r="C52" s="234">
        <v>166</v>
      </c>
      <c r="D52" s="234">
        <v>82</v>
      </c>
      <c r="E52" s="234">
        <v>70</v>
      </c>
      <c r="F52" s="234"/>
      <c r="G52" s="234">
        <v>29</v>
      </c>
      <c r="H52" s="234">
        <v>2</v>
      </c>
      <c r="I52" s="234"/>
      <c r="J52" s="234">
        <v>5</v>
      </c>
      <c r="K52" s="234">
        <v>0</v>
      </c>
      <c r="L52" s="234">
        <v>0</v>
      </c>
      <c r="M52" s="234">
        <v>13</v>
      </c>
      <c r="Q52" s="239"/>
    </row>
    <row r="53" spans="1:17" s="230" customFormat="1" ht="9" customHeight="1" x14ac:dyDescent="0.25">
      <c r="A53" s="230" t="s">
        <v>28</v>
      </c>
      <c r="B53" s="234">
        <f t="shared" si="1"/>
        <v>141</v>
      </c>
      <c r="C53" s="234">
        <v>99</v>
      </c>
      <c r="D53" s="234">
        <v>0</v>
      </c>
      <c r="E53" s="234">
        <v>17</v>
      </c>
      <c r="F53" s="234"/>
      <c r="G53" s="234">
        <v>5</v>
      </c>
      <c r="H53" s="234">
        <v>1</v>
      </c>
      <c r="I53" s="234"/>
      <c r="J53" s="234">
        <v>3</v>
      </c>
      <c r="K53" s="234">
        <v>16</v>
      </c>
      <c r="L53" s="234">
        <v>0</v>
      </c>
      <c r="M53" s="234">
        <v>0</v>
      </c>
      <c r="Q53" s="240"/>
    </row>
    <row r="54" spans="1:17" s="230" customFormat="1" ht="9" customHeight="1" x14ac:dyDescent="0.25">
      <c r="A54" s="230" t="s">
        <v>29</v>
      </c>
      <c r="B54" s="234">
        <f t="shared" si="1"/>
        <v>958</v>
      </c>
      <c r="C54" s="234">
        <v>258</v>
      </c>
      <c r="D54" s="234">
        <v>560</v>
      </c>
      <c r="E54" s="234">
        <v>42</v>
      </c>
      <c r="F54" s="234"/>
      <c r="G54" s="234">
        <v>41</v>
      </c>
      <c r="H54" s="234">
        <v>5</v>
      </c>
      <c r="I54" s="234"/>
      <c r="J54" s="234">
        <v>21</v>
      </c>
      <c r="K54" s="234">
        <v>2</v>
      </c>
      <c r="L54" s="234">
        <v>11</v>
      </c>
      <c r="M54" s="234">
        <v>18</v>
      </c>
    </row>
    <row r="55" spans="1:17" s="230" customFormat="1" ht="9" customHeight="1" x14ac:dyDescent="0.25">
      <c r="A55" s="235" t="s">
        <v>30</v>
      </c>
      <c r="B55" s="236">
        <f t="shared" si="1"/>
        <v>521</v>
      </c>
      <c r="C55" s="236">
        <v>194</v>
      </c>
      <c r="D55" s="236">
        <v>146</v>
      </c>
      <c r="E55" s="236">
        <v>59</v>
      </c>
      <c r="F55" s="236"/>
      <c r="G55" s="236">
        <v>54</v>
      </c>
      <c r="H55" s="236">
        <v>4</v>
      </c>
      <c r="I55" s="236"/>
      <c r="J55" s="236">
        <v>10</v>
      </c>
      <c r="K55" s="236">
        <v>0</v>
      </c>
      <c r="L55" s="236">
        <v>0</v>
      </c>
      <c r="M55" s="236">
        <v>54</v>
      </c>
    </row>
    <row r="56" spans="1:17" s="230" customFormat="1" ht="9" customHeight="1" x14ac:dyDescent="0.25">
      <c r="A56" s="405" t="s">
        <v>63</v>
      </c>
      <c r="B56" s="234">
        <f t="shared" si="1"/>
        <v>778</v>
      </c>
      <c r="C56" s="234">
        <v>244</v>
      </c>
      <c r="D56" s="234">
        <v>1</v>
      </c>
      <c r="E56" s="234">
        <v>159</v>
      </c>
      <c r="F56" s="234"/>
      <c r="G56" s="234">
        <v>130</v>
      </c>
      <c r="H56" s="234">
        <v>11</v>
      </c>
      <c r="I56" s="234"/>
      <c r="J56" s="234">
        <v>75</v>
      </c>
      <c r="K56" s="234">
        <v>9</v>
      </c>
      <c r="L56" s="234">
        <v>3</v>
      </c>
      <c r="M56" s="234">
        <v>146</v>
      </c>
    </row>
    <row r="57" spans="1:17" s="230" customFormat="1" ht="9" customHeight="1" x14ac:dyDescent="0.25">
      <c r="A57" s="230" t="s">
        <v>31</v>
      </c>
      <c r="B57" s="234">
        <f t="shared" si="1"/>
        <v>417</v>
      </c>
      <c r="C57" s="234">
        <v>139</v>
      </c>
      <c r="D57" s="234">
        <v>166</v>
      </c>
      <c r="E57" s="234">
        <v>62</v>
      </c>
      <c r="F57" s="234"/>
      <c r="G57" s="234">
        <v>42</v>
      </c>
      <c r="H57" s="234">
        <v>2</v>
      </c>
      <c r="I57" s="234"/>
      <c r="J57" s="234">
        <v>5</v>
      </c>
      <c r="K57" s="234">
        <v>0</v>
      </c>
      <c r="L57" s="234">
        <v>0</v>
      </c>
      <c r="M57" s="234">
        <v>1</v>
      </c>
    </row>
    <row r="58" spans="1:17" s="230" customFormat="1" ht="9" customHeight="1" x14ac:dyDescent="0.25">
      <c r="A58" s="230" t="s">
        <v>32</v>
      </c>
      <c r="B58" s="234">
        <f t="shared" si="1"/>
        <v>529</v>
      </c>
      <c r="C58" s="234">
        <v>419</v>
      </c>
      <c r="D58" s="234">
        <v>0</v>
      </c>
      <c r="E58" s="234">
        <v>55</v>
      </c>
      <c r="F58" s="234"/>
      <c r="G58" s="234">
        <v>41</v>
      </c>
      <c r="H58" s="234">
        <v>5</v>
      </c>
      <c r="I58" s="234"/>
      <c r="J58" s="234">
        <v>8</v>
      </c>
      <c r="K58" s="234">
        <v>0</v>
      </c>
      <c r="L58" s="234">
        <v>0</v>
      </c>
      <c r="M58" s="234">
        <v>1</v>
      </c>
    </row>
    <row r="59" spans="1:17" s="230" customFormat="1" ht="9" customHeight="1" x14ac:dyDescent="0.25">
      <c r="A59" s="235" t="s">
        <v>33</v>
      </c>
      <c r="B59" s="236">
        <f t="shared" si="1"/>
        <v>774</v>
      </c>
      <c r="C59" s="236">
        <v>666</v>
      </c>
      <c r="D59" s="236">
        <v>0</v>
      </c>
      <c r="E59" s="236">
        <v>30</v>
      </c>
      <c r="F59" s="236"/>
      <c r="G59" s="236">
        <v>50</v>
      </c>
      <c r="H59" s="236">
        <v>0</v>
      </c>
      <c r="I59" s="236"/>
      <c r="J59" s="236">
        <v>12</v>
      </c>
      <c r="K59" s="236">
        <v>11</v>
      </c>
      <c r="L59" s="236">
        <v>0</v>
      </c>
      <c r="M59" s="236">
        <v>5</v>
      </c>
    </row>
    <row r="60" spans="1:17" s="230" customFormat="1" ht="9" customHeight="1" x14ac:dyDescent="0.25">
      <c r="A60" s="230" t="s">
        <v>34</v>
      </c>
      <c r="B60" s="234">
        <f t="shared" si="1"/>
        <v>669</v>
      </c>
      <c r="C60" s="234">
        <v>378</v>
      </c>
      <c r="D60" s="234">
        <v>217</v>
      </c>
      <c r="E60" s="234">
        <v>18</v>
      </c>
      <c r="F60" s="234"/>
      <c r="G60" s="234">
        <v>43</v>
      </c>
      <c r="H60" s="234">
        <v>6</v>
      </c>
      <c r="I60" s="234"/>
      <c r="J60" s="234">
        <v>4</v>
      </c>
      <c r="K60" s="234">
        <v>0</v>
      </c>
      <c r="L60" s="234">
        <v>0</v>
      </c>
      <c r="M60" s="234">
        <v>3</v>
      </c>
    </row>
    <row r="61" spans="1:17" s="230" customFormat="1" ht="9" customHeight="1" x14ac:dyDescent="0.25">
      <c r="A61" s="230" t="s">
        <v>35</v>
      </c>
      <c r="B61" s="234">
        <f t="shared" si="1"/>
        <v>797</v>
      </c>
      <c r="C61" s="234">
        <v>505</v>
      </c>
      <c r="D61" s="234">
        <v>0</v>
      </c>
      <c r="E61" s="234">
        <v>181</v>
      </c>
      <c r="F61" s="234"/>
      <c r="G61" s="234">
        <v>80</v>
      </c>
      <c r="H61" s="234">
        <v>3</v>
      </c>
      <c r="I61" s="234"/>
      <c r="J61" s="234">
        <v>8</v>
      </c>
      <c r="K61" s="234">
        <v>2</v>
      </c>
      <c r="L61" s="234">
        <v>0</v>
      </c>
      <c r="M61" s="234">
        <v>18</v>
      </c>
    </row>
    <row r="62" spans="1:17" s="230" customFormat="1" ht="9" customHeight="1" x14ac:dyDescent="0.25">
      <c r="A62" s="230" t="s">
        <v>36</v>
      </c>
      <c r="B62" s="234">
        <f t="shared" si="1"/>
        <v>1186</v>
      </c>
      <c r="C62" s="234">
        <v>868</v>
      </c>
      <c r="D62" s="234">
        <v>0</v>
      </c>
      <c r="E62" s="234">
        <v>111</v>
      </c>
      <c r="F62" s="234"/>
      <c r="G62" s="234">
        <v>52</v>
      </c>
      <c r="H62" s="234">
        <v>4</v>
      </c>
      <c r="I62" s="234"/>
      <c r="J62" s="234">
        <v>16</v>
      </c>
      <c r="K62" s="234">
        <v>0</v>
      </c>
      <c r="L62" s="234">
        <v>66</v>
      </c>
      <c r="M62" s="234">
        <v>69</v>
      </c>
    </row>
    <row r="63" spans="1:17" s="230" customFormat="1" ht="9" customHeight="1" x14ac:dyDescent="0.25">
      <c r="A63" s="235" t="s">
        <v>37</v>
      </c>
      <c r="B63" s="236">
        <f t="shared" si="1"/>
        <v>767</v>
      </c>
      <c r="C63" s="236">
        <v>277</v>
      </c>
      <c r="D63" s="236">
        <v>339</v>
      </c>
      <c r="E63" s="236">
        <v>59</v>
      </c>
      <c r="F63" s="236"/>
      <c r="G63" s="236">
        <v>63</v>
      </c>
      <c r="H63" s="236">
        <v>2</v>
      </c>
      <c r="I63" s="236"/>
      <c r="J63" s="236">
        <v>4</v>
      </c>
      <c r="K63" s="236">
        <v>6</v>
      </c>
      <c r="L63" s="236">
        <v>0</v>
      </c>
      <c r="M63" s="236">
        <v>17</v>
      </c>
    </row>
    <row r="64" spans="1:17" s="230" customFormat="1" ht="9" customHeight="1" x14ac:dyDescent="0.25">
      <c r="A64" s="230" t="s">
        <v>38</v>
      </c>
      <c r="B64" s="234">
        <f t="shared" si="1"/>
        <v>253</v>
      </c>
      <c r="C64" s="234">
        <v>189</v>
      </c>
      <c r="D64" s="234">
        <v>0</v>
      </c>
      <c r="E64" s="234">
        <v>27</v>
      </c>
      <c r="F64" s="234"/>
      <c r="G64" s="234">
        <v>28</v>
      </c>
      <c r="H64" s="234">
        <v>1</v>
      </c>
      <c r="I64" s="234"/>
      <c r="J64" s="234">
        <v>5</v>
      </c>
      <c r="K64" s="234">
        <v>0</v>
      </c>
      <c r="L64" s="234">
        <v>0</v>
      </c>
      <c r="M64" s="234">
        <v>3</v>
      </c>
    </row>
    <row r="65" spans="1:13" s="230" customFormat="1" ht="9" customHeight="1" x14ac:dyDescent="0.25">
      <c r="A65" s="230" t="s">
        <v>39</v>
      </c>
      <c r="B65" s="234">
        <f t="shared" si="1"/>
        <v>282</v>
      </c>
      <c r="C65" s="234">
        <v>130</v>
      </c>
      <c r="D65" s="234">
        <v>80</v>
      </c>
      <c r="E65" s="234">
        <v>34</v>
      </c>
      <c r="F65" s="234"/>
      <c r="G65" s="234">
        <v>25</v>
      </c>
      <c r="H65" s="234">
        <v>0</v>
      </c>
      <c r="I65" s="234"/>
      <c r="J65" s="234">
        <v>2</v>
      </c>
      <c r="K65" s="234">
        <v>3</v>
      </c>
      <c r="L65" s="234">
        <v>0</v>
      </c>
      <c r="M65" s="234">
        <v>8</v>
      </c>
    </row>
    <row r="66" spans="1:13" s="230" customFormat="1" ht="9" customHeight="1" x14ac:dyDescent="0.25">
      <c r="A66" s="230" t="s">
        <v>40</v>
      </c>
      <c r="B66" s="234">
        <f t="shared" si="1"/>
        <v>495</v>
      </c>
      <c r="C66" s="234">
        <v>379</v>
      </c>
      <c r="D66" s="234">
        <v>0</v>
      </c>
      <c r="E66" s="234">
        <v>72</v>
      </c>
      <c r="F66" s="234"/>
      <c r="G66" s="234">
        <v>30</v>
      </c>
      <c r="H66" s="234">
        <v>5</v>
      </c>
      <c r="I66" s="234"/>
      <c r="J66" s="234">
        <v>4</v>
      </c>
      <c r="K66" s="234">
        <v>0</v>
      </c>
      <c r="L66" s="234">
        <v>3</v>
      </c>
      <c r="M66" s="234">
        <v>2</v>
      </c>
    </row>
    <row r="67" spans="1:13" s="230" customFormat="1" ht="9" customHeight="1" x14ac:dyDescent="0.25">
      <c r="A67" s="235" t="s">
        <v>41</v>
      </c>
      <c r="B67" s="236">
        <f t="shared" si="1"/>
        <v>1025</v>
      </c>
      <c r="C67" s="236">
        <v>420</v>
      </c>
      <c r="D67" s="236">
        <v>479</v>
      </c>
      <c r="E67" s="236">
        <v>31</v>
      </c>
      <c r="F67" s="236"/>
      <c r="G67" s="236">
        <v>49</v>
      </c>
      <c r="H67" s="236">
        <v>7</v>
      </c>
      <c r="I67" s="236"/>
      <c r="J67" s="236">
        <v>8</v>
      </c>
      <c r="K67" s="236">
        <v>8</v>
      </c>
      <c r="L67" s="236">
        <v>0</v>
      </c>
      <c r="M67" s="236">
        <v>23</v>
      </c>
    </row>
    <row r="68" spans="1:13" s="230" customFormat="1" ht="9" customHeight="1" x14ac:dyDescent="0.25">
      <c r="A68" s="230" t="s">
        <v>42</v>
      </c>
      <c r="B68" s="234">
        <f t="shared" si="1"/>
        <v>817</v>
      </c>
      <c r="C68" s="234">
        <v>332</v>
      </c>
      <c r="D68" s="234">
        <v>313</v>
      </c>
      <c r="E68" s="234">
        <v>51</v>
      </c>
      <c r="F68" s="234"/>
      <c r="G68" s="234">
        <v>44</v>
      </c>
      <c r="H68" s="234">
        <v>5</v>
      </c>
      <c r="I68" s="234"/>
      <c r="J68" s="234">
        <v>9</v>
      </c>
      <c r="K68" s="234">
        <v>0</v>
      </c>
      <c r="L68" s="234">
        <v>37</v>
      </c>
      <c r="M68" s="234">
        <v>26</v>
      </c>
    </row>
    <row r="69" spans="1:13" s="230" customFormat="1" ht="9" customHeight="1" x14ac:dyDescent="0.25">
      <c r="A69" s="230" t="s">
        <v>43</v>
      </c>
      <c r="B69" s="234">
        <f t="shared" si="1"/>
        <v>259</v>
      </c>
      <c r="C69" s="234">
        <v>211</v>
      </c>
      <c r="D69" s="234">
        <v>0</v>
      </c>
      <c r="E69" s="234">
        <v>23</v>
      </c>
      <c r="F69" s="234"/>
      <c r="G69" s="234">
        <v>19</v>
      </c>
      <c r="H69" s="234">
        <v>1</v>
      </c>
      <c r="I69" s="234"/>
      <c r="J69" s="234">
        <v>3</v>
      </c>
      <c r="K69" s="234">
        <v>0</v>
      </c>
      <c r="L69" s="234">
        <v>0</v>
      </c>
      <c r="M69" s="234">
        <v>2</v>
      </c>
    </row>
    <row r="70" spans="1:13" s="230" customFormat="1" ht="9" customHeight="1" x14ac:dyDescent="0.25">
      <c r="A70" s="230" t="s">
        <v>44</v>
      </c>
      <c r="B70" s="234">
        <f t="shared" si="1"/>
        <v>178</v>
      </c>
      <c r="C70" s="234">
        <v>143</v>
      </c>
      <c r="D70" s="234">
        <v>0</v>
      </c>
      <c r="E70" s="234">
        <v>16</v>
      </c>
      <c r="F70" s="234"/>
      <c r="G70" s="234">
        <v>7</v>
      </c>
      <c r="H70" s="234">
        <v>0</v>
      </c>
      <c r="I70" s="234"/>
      <c r="J70" s="234">
        <v>4</v>
      </c>
      <c r="K70" s="234">
        <v>6</v>
      </c>
      <c r="L70" s="234">
        <v>0</v>
      </c>
      <c r="M70" s="234">
        <v>2</v>
      </c>
    </row>
    <row r="71" spans="1:13" s="230" customFormat="1" ht="9" customHeight="1" x14ac:dyDescent="0.25">
      <c r="A71" s="235" t="s">
        <v>45</v>
      </c>
      <c r="B71" s="236">
        <f t="shared" si="1"/>
        <v>453</v>
      </c>
      <c r="C71" s="236">
        <v>163</v>
      </c>
      <c r="D71" s="236">
        <v>206</v>
      </c>
      <c r="E71" s="236">
        <v>44</v>
      </c>
      <c r="F71" s="236"/>
      <c r="G71" s="236">
        <v>22</v>
      </c>
      <c r="H71" s="236">
        <v>2</v>
      </c>
      <c r="I71" s="236"/>
      <c r="J71" s="236">
        <v>4</v>
      </c>
      <c r="K71" s="236">
        <v>0</v>
      </c>
      <c r="L71" s="236">
        <v>0</v>
      </c>
      <c r="M71" s="236">
        <v>12</v>
      </c>
    </row>
    <row r="72" spans="1:13" s="230" customFormat="1" ht="9" customHeight="1" x14ac:dyDescent="0.25">
      <c r="A72" s="230" t="s">
        <v>46</v>
      </c>
      <c r="B72" s="234">
        <f t="shared" si="1"/>
        <v>422</v>
      </c>
      <c r="C72" s="234">
        <v>177</v>
      </c>
      <c r="D72" s="234">
        <v>107</v>
      </c>
      <c r="E72" s="234">
        <v>75</v>
      </c>
      <c r="F72" s="234"/>
      <c r="G72" s="234">
        <v>39</v>
      </c>
      <c r="H72" s="234">
        <v>3</v>
      </c>
      <c r="I72" s="234"/>
      <c r="J72" s="234">
        <v>7</v>
      </c>
      <c r="K72" s="234">
        <v>9</v>
      </c>
      <c r="L72" s="234">
        <v>0</v>
      </c>
      <c r="M72" s="234">
        <v>5</v>
      </c>
    </row>
    <row r="73" spans="1:13" s="230" customFormat="1" ht="9" customHeight="1" x14ac:dyDescent="0.25">
      <c r="A73" s="230" t="s">
        <v>47</v>
      </c>
      <c r="B73" s="234">
        <f t="shared" si="1"/>
        <v>345</v>
      </c>
      <c r="C73" s="234">
        <v>210</v>
      </c>
      <c r="D73" s="234">
        <v>0</v>
      </c>
      <c r="E73" s="234">
        <v>72</v>
      </c>
      <c r="F73" s="234"/>
      <c r="G73" s="234">
        <v>36</v>
      </c>
      <c r="H73" s="234">
        <v>3</v>
      </c>
      <c r="I73" s="234"/>
      <c r="J73" s="234">
        <v>10</v>
      </c>
      <c r="K73" s="234">
        <v>7</v>
      </c>
      <c r="L73" s="234">
        <v>3</v>
      </c>
      <c r="M73" s="234">
        <v>4</v>
      </c>
    </row>
    <row r="74" spans="1:13" s="230" customFormat="1" ht="9" customHeight="1" x14ac:dyDescent="0.25">
      <c r="A74" s="230" t="s">
        <v>48</v>
      </c>
      <c r="B74" s="234">
        <f t="shared" si="1"/>
        <v>556</v>
      </c>
      <c r="C74" s="234">
        <v>468</v>
      </c>
      <c r="D74" s="234">
        <v>0</v>
      </c>
      <c r="E74" s="234">
        <v>37</v>
      </c>
      <c r="F74" s="234"/>
      <c r="G74" s="234">
        <v>23</v>
      </c>
      <c r="H74" s="234">
        <v>17</v>
      </c>
      <c r="I74" s="234"/>
      <c r="J74" s="234">
        <v>4</v>
      </c>
      <c r="K74" s="234">
        <v>3</v>
      </c>
      <c r="L74" s="234">
        <v>2</v>
      </c>
      <c r="M74" s="234">
        <v>2</v>
      </c>
    </row>
    <row r="75" spans="1:13" s="230" customFormat="1" ht="9" customHeight="1" x14ac:dyDescent="0.25">
      <c r="A75" s="235" t="s">
        <v>49</v>
      </c>
      <c r="B75" s="236">
        <f t="shared" si="1"/>
        <v>400</v>
      </c>
      <c r="C75" s="236">
        <v>156</v>
      </c>
      <c r="D75" s="236">
        <v>106</v>
      </c>
      <c r="E75" s="236">
        <v>52</v>
      </c>
      <c r="F75" s="236"/>
      <c r="G75" s="236">
        <v>34</v>
      </c>
      <c r="H75" s="236">
        <v>15</v>
      </c>
      <c r="I75" s="236"/>
      <c r="J75" s="236">
        <v>8</v>
      </c>
      <c r="K75" s="236">
        <v>17</v>
      </c>
      <c r="L75" s="236">
        <v>0</v>
      </c>
      <c r="M75" s="236">
        <v>12</v>
      </c>
    </row>
    <row r="76" spans="1:13" s="230" customFormat="1" ht="9" customHeight="1" x14ac:dyDescent="0.25">
      <c r="A76" s="230" t="s">
        <v>50</v>
      </c>
      <c r="B76" s="234">
        <f t="shared" si="1"/>
        <v>186</v>
      </c>
      <c r="C76" s="234">
        <v>163</v>
      </c>
      <c r="D76" s="234">
        <v>0</v>
      </c>
      <c r="E76" s="234">
        <v>16</v>
      </c>
      <c r="F76" s="234"/>
      <c r="G76" s="234">
        <v>4</v>
      </c>
      <c r="H76" s="234">
        <v>0</v>
      </c>
      <c r="I76" s="234"/>
      <c r="J76" s="234">
        <v>3</v>
      </c>
      <c r="K76" s="234">
        <v>0</v>
      </c>
      <c r="L76" s="234">
        <v>0</v>
      </c>
      <c r="M76" s="234">
        <v>0</v>
      </c>
    </row>
    <row r="77" spans="1:13" s="230" customFormat="1" ht="9" customHeight="1" x14ac:dyDescent="0.25">
      <c r="A77" s="230" t="s">
        <v>51</v>
      </c>
      <c r="B77" s="234">
        <f t="shared" si="1"/>
        <v>1259</v>
      </c>
      <c r="C77" s="234">
        <v>372</v>
      </c>
      <c r="D77" s="234">
        <v>524</v>
      </c>
      <c r="E77" s="234">
        <v>154</v>
      </c>
      <c r="F77" s="234"/>
      <c r="G77" s="234">
        <v>89</v>
      </c>
      <c r="H77" s="234">
        <v>43</v>
      </c>
      <c r="I77" s="234"/>
      <c r="J77" s="234">
        <v>14</v>
      </c>
      <c r="K77" s="234">
        <v>32</v>
      </c>
      <c r="L77" s="234">
        <v>0</v>
      </c>
      <c r="M77" s="234">
        <v>31</v>
      </c>
    </row>
    <row r="78" spans="1:13" s="230" customFormat="1" ht="9" customHeight="1" x14ac:dyDescent="0.25">
      <c r="A78" s="230" t="s">
        <v>52</v>
      </c>
      <c r="B78" s="234">
        <f t="shared" si="1"/>
        <v>302</v>
      </c>
      <c r="C78" s="234">
        <v>130</v>
      </c>
      <c r="D78" s="234">
        <v>87</v>
      </c>
      <c r="E78" s="234">
        <v>54</v>
      </c>
      <c r="F78" s="234"/>
      <c r="G78" s="234">
        <v>16</v>
      </c>
      <c r="H78" s="234">
        <v>1</v>
      </c>
      <c r="I78" s="234"/>
      <c r="J78" s="234">
        <v>4</v>
      </c>
      <c r="K78" s="234">
        <v>2</v>
      </c>
      <c r="L78" s="234">
        <v>0</v>
      </c>
      <c r="M78" s="234">
        <v>8</v>
      </c>
    </row>
    <row r="79" spans="1:13" s="230" customFormat="1" ht="9" customHeight="1" x14ac:dyDescent="0.25">
      <c r="A79" s="235" t="s">
        <v>53</v>
      </c>
      <c r="B79" s="236">
        <f t="shared" si="1"/>
        <v>364</v>
      </c>
      <c r="C79" s="236">
        <v>131</v>
      </c>
      <c r="D79" s="236">
        <v>146</v>
      </c>
      <c r="E79" s="236">
        <v>39</v>
      </c>
      <c r="F79" s="236"/>
      <c r="G79" s="236">
        <v>39</v>
      </c>
      <c r="H79" s="236">
        <v>1</v>
      </c>
      <c r="I79" s="236"/>
      <c r="J79" s="236">
        <v>2</v>
      </c>
      <c r="K79" s="236">
        <v>0</v>
      </c>
      <c r="L79" s="236">
        <v>0</v>
      </c>
      <c r="M79" s="236">
        <v>6</v>
      </c>
    </row>
    <row r="80" spans="1:13" s="230" customFormat="1" ht="8.25" customHeight="1" x14ac:dyDescent="0.25">
      <c r="B80" s="234"/>
      <c r="C80" s="234"/>
      <c r="D80" s="234"/>
      <c r="E80" s="234"/>
      <c r="F80" s="234"/>
      <c r="G80" s="234"/>
      <c r="H80" s="234"/>
      <c r="I80" s="234"/>
      <c r="J80" s="234"/>
      <c r="K80" s="234"/>
      <c r="L80" s="234"/>
      <c r="M80" s="234"/>
    </row>
    <row r="81" spans="1:13" s="230" customFormat="1" ht="9" customHeight="1" x14ac:dyDescent="0.25">
      <c r="A81" s="228">
        <v>1997</v>
      </c>
      <c r="B81" s="229"/>
      <c r="C81" s="229"/>
      <c r="D81" s="229"/>
      <c r="E81" s="229"/>
      <c r="F81" s="229"/>
      <c r="G81" s="229"/>
      <c r="H81" s="229"/>
      <c r="I81" s="229"/>
      <c r="J81" s="229"/>
      <c r="K81" s="229"/>
      <c r="M81" s="229"/>
    </row>
    <row r="82" spans="1:13" s="230" customFormat="1" ht="9" customHeight="1" x14ac:dyDescent="0.25">
      <c r="A82" s="231" t="s">
        <v>21</v>
      </c>
      <c r="B82" s="232">
        <f>SUM(B84:B115)</f>
        <v>17109</v>
      </c>
      <c r="C82" s="232">
        <f>SUM(C84:C115)</f>
        <v>9255</v>
      </c>
      <c r="D82" s="232">
        <f>SUM(D84:D115)</f>
        <v>3607</v>
      </c>
      <c r="E82" s="232">
        <f>SUM(E84:E115)</f>
        <v>1755</v>
      </c>
      <c r="F82" s="232"/>
      <c r="G82" s="232">
        <f>SUM(G84:G115)</f>
        <v>1212</v>
      </c>
      <c r="H82" s="232">
        <f>SUM(H84:H115)</f>
        <v>206</v>
      </c>
      <c r="I82" s="232"/>
      <c r="J82" s="232">
        <f>SUM(J84:J115)</f>
        <v>330</v>
      </c>
      <c r="K82" s="232">
        <f>SUM(K84:K115)</f>
        <v>160</v>
      </c>
      <c r="L82" s="232">
        <f>SUM(L84:L115)</f>
        <v>163</v>
      </c>
      <c r="M82" s="232">
        <f>SUM(M84:M115)</f>
        <v>421</v>
      </c>
    </row>
    <row r="83" spans="1:13" s="230" customFormat="1" ht="3.95" customHeight="1" x14ac:dyDescent="0.25">
      <c r="A83" s="233"/>
      <c r="B83" s="232"/>
      <c r="C83" s="232"/>
      <c r="D83" s="232"/>
      <c r="E83" s="232"/>
      <c r="F83" s="232"/>
      <c r="G83" s="232"/>
      <c r="H83" s="232"/>
      <c r="I83" s="232"/>
      <c r="J83" s="232"/>
      <c r="K83" s="232"/>
      <c r="L83" s="232"/>
      <c r="M83" s="232"/>
    </row>
    <row r="84" spans="1:13" s="230" customFormat="1" ht="9" customHeight="1" x14ac:dyDescent="0.25">
      <c r="A84" s="230" t="s">
        <v>23</v>
      </c>
      <c r="B84" s="234">
        <f t="shared" ref="B84:B115" si="2">SUM(C84:M84)</f>
        <v>109</v>
      </c>
      <c r="C84" s="234">
        <v>83</v>
      </c>
      <c r="D84" s="234">
        <v>0</v>
      </c>
      <c r="E84" s="234">
        <v>12</v>
      </c>
      <c r="F84" s="234"/>
      <c r="G84" s="234">
        <v>9</v>
      </c>
      <c r="H84" s="234">
        <v>1</v>
      </c>
      <c r="I84" s="234"/>
      <c r="J84" s="234">
        <v>3</v>
      </c>
      <c r="K84" s="234">
        <v>0</v>
      </c>
      <c r="L84" s="234">
        <v>0</v>
      </c>
      <c r="M84" s="234">
        <v>1</v>
      </c>
    </row>
    <row r="85" spans="1:13" s="230" customFormat="1" ht="9" customHeight="1" x14ac:dyDescent="0.25">
      <c r="A85" s="230" t="s">
        <v>24</v>
      </c>
      <c r="B85" s="234">
        <f t="shared" si="2"/>
        <v>198</v>
      </c>
      <c r="C85" s="234">
        <v>90</v>
      </c>
      <c r="D85" s="234">
        <v>11</v>
      </c>
      <c r="E85" s="234">
        <v>35</v>
      </c>
      <c r="F85" s="234"/>
      <c r="G85" s="234">
        <v>15</v>
      </c>
      <c r="H85" s="234">
        <v>3</v>
      </c>
      <c r="I85" s="234"/>
      <c r="J85" s="234">
        <v>10</v>
      </c>
      <c r="K85" s="234">
        <v>6</v>
      </c>
      <c r="L85" s="234">
        <v>21</v>
      </c>
      <c r="M85" s="234">
        <v>7</v>
      </c>
    </row>
    <row r="86" spans="1:13" s="230" customFormat="1" ht="9" customHeight="1" x14ac:dyDescent="0.25">
      <c r="A86" s="230" t="s">
        <v>25</v>
      </c>
      <c r="B86" s="234">
        <f t="shared" si="2"/>
        <v>163</v>
      </c>
      <c r="C86" s="234">
        <v>71</v>
      </c>
      <c r="D86" s="234">
        <v>0</v>
      </c>
      <c r="E86" s="234">
        <v>33</v>
      </c>
      <c r="F86" s="234"/>
      <c r="G86" s="234">
        <v>29</v>
      </c>
      <c r="H86" s="234">
        <v>1</v>
      </c>
      <c r="I86" s="234"/>
      <c r="J86" s="234">
        <v>6</v>
      </c>
      <c r="K86" s="234">
        <v>10</v>
      </c>
      <c r="L86" s="234">
        <v>0</v>
      </c>
      <c r="M86" s="234">
        <v>13</v>
      </c>
    </row>
    <row r="87" spans="1:13" s="230" customFormat="1" ht="9" customHeight="1" x14ac:dyDescent="0.25">
      <c r="A87" s="235" t="s">
        <v>26</v>
      </c>
      <c r="B87" s="236">
        <f t="shared" si="2"/>
        <v>227</v>
      </c>
      <c r="C87" s="236">
        <v>97</v>
      </c>
      <c r="D87" s="236">
        <v>36</v>
      </c>
      <c r="E87" s="236">
        <v>16</v>
      </c>
      <c r="F87" s="236"/>
      <c r="G87" s="236">
        <v>11</v>
      </c>
      <c r="H87" s="236">
        <v>50</v>
      </c>
      <c r="I87" s="236"/>
      <c r="J87" s="236">
        <v>3</v>
      </c>
      <c r="K87" s="236">
        <v>9</v>
      </c>
      <c r="L87" s="236">
        <v>0</v>
      </c>
      <c r="M87" s="236">
        <v>5</v>
      </c>
    </row>
    <row r="88" spans="1:13" s="230" customFormat="1" ht="9" customHeight="1" x14ac:dyDescent="0.25">
      <c r="A88" s="230" t="s">
        <v>27</v>
      </c>
      <c r="B88" s="234">
        <f t="shared" si="2"/>
        <v>374</v>
      </c>
      <c r="C88" s="234">
        <v>172</v>
      </c>
      <c r="D88" s="234">
        <v>82</v>
      </c>
      <c r="E88" s="234">
        <v>69</v>
      </c>
      <c r="F88" s="234"/>
      <c r="G88" s="234">
        <v>30</v>
      </c>
      <c r="H88" s="234">
        <v>2</v>
      </c>
      <c r="I88" s="234"/>
      <c r="J88" s="234">
        <v>7</v>
      </c>
      <c r="K88" s="234">
        <v>0</v>
      </c>
      <c r="L88" s="234">
        <v>0</v>
      </c>
      <c r="M88" s="234">
        <v>12</v>
      </c>
    </row>
    <row r="89" spans="1:13" s="230" customFormat="1" ht="9" customHeight="1" x14ac:dyDescent="0.25">
      <c r="A89" s="230" t="s">
        <v>28</v>
      </c>
      <c r="B89" s="234">
        <f t="shared" si="2"/>
        <v>145</v>
      </c>
      <c r="C89" s="234">
        <v>100</v>
      </c>
      <c r="D89" s="234">
        <v>0</v>
      </c>
      <c r="E89" s="234">
        <v>17</v>
      </c>
      <c r="F89" s="234"/>
      <c r="G89" s="234">
        <v>5</v>
      </c>
      <c r="H89" s="234">
        <v>1</v>
      </c>
      <c r="I89" s="234"/>
      <c r="J89" s="234">
        <v>4</v>
      </c>
      <c r="K89" s="234">
        <v>13</v>
      </c>
      <c r="L89" s="234">
        <v>0</v>
      </c>
      <c r="M89" s="234">
        <v>5</v>
      </c>
    </row>
    <row r="90" spans="1:13" s="230" customFormat="1" ht="9" customHeight="1" x14ac:dyDescent="0.25">
      <c r="A90" s="230" t="s">
        <v>29</v>
      </c>
      <c r="B90" s="234">
        <f t="shared" si="2"/>
        <v>993</v>
      </c>
      <c r="C90" s="234">
        <v>275</v>
      </c>
      <c r="D90" s="234">
        <v>562</v>
      </c>
      <c r="E90" s="234">
        <v>44</v>
      </c>
      <c r="F90" s="234"/>
      <c r="G90" s="234">
        <v>41</v>
      </c>
      <c r="H90" s="234">
        <v>6</v>
      </c>
      <c r="I90" s="234"/>
      <c r="J90" s="234">
        <v>27</v>
      </c>
      <c r="K90" s="234">
        <v>4</v>
      </c>
      <c r="L90" s="234">
        <v>12</v>
      </c>
      <c r="M90" s="234">
        <v>22</v>
      </c>
    </row>
    <row r="91" spans="1:13" s="230" customFormat="1" ht="9" customHeight="1" x14ac:dyDescent="0.25">
      <c r="A91" s="235" t="s">
        <v>30</v>
      </c>
      <c r="B91" s="236">
        <f t="shared" si="2"/>
        <v>532</v>
      </c>
      <c r="C91" s="236">
        <v>233</v>
      </c>
      <c r="D91" s="236">
        <v>146</v>
      </c>
      <c r="E91" s="236">
        <v>60</v>
      </c>
      <c r="F91" s="236"/>
      <c r="G91" s="236">
        <v>55</v>
      </c>
      <c r="H91" s="236">
        <v>4</v>
      </c>
      <c r="I91" s="236"/>
      <c r="J91" s="236">
        <v>13</v>
      </c>
      <c r="K91" s="236">
        <v>0</v>
      </c>
      <c r="L91" s="236">
        <v>0</v>
      </c>
      <c r="M91" s="236">
        <v>21</v>
      </c>
    </row>
    <row r="92" spans="1:13" s="230" customFormat="1" ht="9" customHeight="1" x14ac:dyDescent="0.25">
      <c r="A92" s="405" t="s">
        <v>63</v>
      </c>
      <c r="B92" s="234">
        <f t="shared" si="2"/>
        <v>789</v>
      </c>
      <c r="C92" s="234">
        <v>394</v>
      </c>
      <c r="D92" s="234">
        <v>1</v>
      </c>
      <c r="E92" s="234">
        <v>154</v>
      </c>
      <c r="F92" s="234"/>
      <c r="G92" s="234">
        <v>132</v>
      </c>
      <c r="H92" s="234">
        <v>11</v>
      </c>
      <c r="I92" s="234"/>
      <c r="J92" s="234">
        <v>74</v>
      </c>
      <c r="K92" s="234">
        <v>10</v>
      </c>
      <c r="L92" s="234">
        <v>11</v>
      </c>
      <c r="M92" s="234">
        <v>2</v>
      </c>
    </row>
    <row r="93" spans="1:13" s="230" customFormat="1" ht="9" customHeight="1" x14ac:dyDescent="0.25">
      <c r="A93" s="230" t="s">
        <v>31</v>
      </c>
      <c r="B93" s="234">
        <f t="shared" si="2"/>
        <v>432</v>
      </c>
      <c r="C93" s="234">
        <v>146</v>
      </c>
      <c r="D93" s="234">
        <v>166</v>
      </c>
      <c r="E93" s="234">
        <v>63</v>
      </c>
      <c r="F93" s="234"/>
      <c r="G93" s="234">
        <v>43</v>
      </c>
      <c r="H93" s="234">
        <v>2</v>
      </c>
      <c r="I93" s="234"/>
      <c r="J93" s="234">
        <v>6</v>
      </c>
      <c r="K93" s="234">
        <v>0</v>
      </c>
      <c r="L93" s="234">
        <v>0</v>
      </c>
      <c r="M93" s="234">
        <v>6</v>
      </c>
    </row>
    <row r="94" spans="1:13" s="230" customFormat="1" ht="9" customHeight="1" x14ac:dyDescent="0.25">
      <c r="A94" s="230" t="s">
        <v>32</v>
      </c>
      <c r="B94" s="234">
        <f t="shared" si="2"/>
        <v>556</v>
      </c>
      <c r="C94" s="234">
        <v>433</v>
      </c>
      <c r="D94" s="234">
        <v>0</v>
      </c>
      <c r="E94" s="234">
        <v>55</v>
      </c>
      <c r="F94" s="234"/>
      <c r="G94" s="234">
        <v>41</v>
      </c>
      <c r="H94" s="234">
        <v>5</v>
      </c>
      <c r="I94" s="234"/>
      <c r="J94" s="234">
        <v>6</v>
      </c>
      <c r="K94" s="234">
        <v>0</v>
      </c>
      <c r="L94" s="234">
        <v>0</v>
      </c>
      <c r="M94" s="234">
        <v>16</v>
      </c>
    </row>
    <row r="95" spans="1:13" s="230" customFormat="1" ht="9" customHeight="1" x14ac:dyDescent="0.25">
      <c r="A95" s="235" t="s">
        <v>33</v>
      </c>
      <c r="B95" s="236">
        <f t="shared" si="2"/>
        <v>869</v>
      </c>
      <c r="C95" s="236">
        <v>751</v>
      </c>
      <c r="D95" s="236">
        <v>0</v>
      </c>
      <c r="E95" s="236">
        <v>30</v>
      </c>
      <c r="F95" s="236"/>
      <c r="G95" s="236">
        <v>50</v>
      </c>
      <c r="H95" s="236">
        <v>0</v>
      </c>
      <c r="I95" s="236"/>
      <c r="J95" s="236">
        <v>14</v>
      </c>
      <c r="K95" s="236">
        <v>11</v>
      </c>
      <c r="L95" s="236">
        <v>0</v>
      </c>
      <c r="M95" s="236">
        <v>13</v>
      </c>
    </row>
    <row r="96" spans="1:13" s="230" customFormat="1" ht="9" customHeight="1" x14ac:dyDescent="0.25">
      <c r="A96" s="230" t="s">
        <v>34</v>
      </c>
      <c r="B96" s="234">
        <f t="shared" si="2"/>
        <v>698</v>
      </c>
      <c r="C96" s="234">
        <v>393</v>
      </c>
      <c r="D96" s="234">
        <v>217</v>
      </c>
      <c r="E96" s="234">
        <v>22</v>
      </c>
      <c r="F96" s="234"/>
      <c r="G96" s="234">
        <v>43</v>
      </c>
      <c r="H96" s="234">
        <v>6</v>
      </c>
      <c r="I96" s="234"/>
      <c r="J96" s="234">
        <v>4</v>
      </c>
      <c r="K96" s="234">
        <v>0</v>
      </c>
      <c r="L96" s="234">
        <v>0</v>
      </c>
      <c r="M96" s="234">
        <v>13</v>
      </c>
    </row>
    <row r="97" spans="1:13" s="230" customFormat="1" ht="9" customHeight="1" x14ac:dyDescent="0.25">
      <c r="A97" s="230" t="s">
        <v>35</v>
      </c>
      <c r="B97" s="234">
        <f t="shared" si="2"/>
        <v>925</v>
      </c>
      <c r="C97" s="234">
        <v>626</v>
      </c>
      <c r="D97" s="234">
        <v>0</v>
      </c>
      <c r="E97" s="234">
        <v>180</v>
      </c>
      <c r="F97" s="234"/>
      <c r="G97" s="234">
        <v>83</v>
      </c>
      <c r="H97" s="234">
        <v>3</v>
      </c>
      <c r="I97" s="234"/>
      <c r="J97" s="234">
        <v>11</v>
      </c>
      <c r="K97" s="234">
        <v>1</v>
      </c>
      <c r="L97" s="234">
        <v>0</v>
      </c>
      <c r="M97" s="234">
        <v>21</v>
      </c>
    </row>
    <row r="98" spans="1:13" s="230" customFormat="1" ht="9" customHeight="1" x14ac:dyDescent="0.25">
      <c r="A98" s="230" t="s">
        <v>36</v>
      </c>
      <c r="B98" s="234">
        <f t="shared" si="2"/>
        <v>1173</v>
      </c>
      <c r="C98" s="234">
        <v>902</v>
      </c>
      <c r="D98" s="234">
        <v>0</v>
      </c>
      <c r="E98" s="234">
        <v>111</v>
      </c>
      <c r="F98" s="234"/>
      <c r="G98" s="234">
        <v>49</v>
      </c>
      <c r="H98" s="234">
        <v>4</v>
      </c>
      <c r="I98" s="234"/>
      <c r="J98" s="234">
        <v>19</v>
      </c>
      <c r="K98" s="234">
        <v>0</v>
      </c>
      <c r="L98" s="234">
        <v>66</v>
      </c>
      <c r="M98" s="234">
        <v>22</v>
      </c>
    </row>
    <row r="99" spans="1:13" s="230" customFormat="1" ht="9" customHeight="1" x14ac:dyDescent="0.25">
      <c r="A99" s="235" t="s">
        <v>37</v>
      </c>
      <c r="B99" s="236">
        <f t="shared" si="2"/>
        <v>781</v>
      </c>
      <c r="C99" s="236">
        <v>287</v>
      </c>
      <c r="D99" s="236">
        <v>339</v>
      </c>
      <c r="E99" s="236">
        <v>58</v>
      </c>
      <c r="F99" s="236"/>
      <c r="G99" s="236">
        <v>66</v>
      </c>
      <c r="H99" s="236">
        <v>2</v>
      </c>
      <c r="I99" s="236"/>
      <c r="J99" s="236">
        <v>6</v>
      </c>
      <c r="K99" s="236">
        <v>6</v>
      </c>
      <c r="L99" s="236">
        <v>0</v>
      </c>
      <c r="M99" s="236">
        <v>17</v>
      </c>
    </row>
    <row r="100" spans="1:13" s="230" customFormat="1" ht="9" customHeight="1" x14ac:dyDescent="0.25">
      <c r="A100" s="230" t="s">
        <v>38</v>
      </c>
      <c r="B100" s="234">
        <f t="shared" si="2"/>
        <v>267</v>
      </c>
      <c r="C100" s="234">
        <v>203</v>
      </c>
      <c r="D100" s="234">
        <v>0</v>
      </c>
      <c r="E100" s="234">
        <v>27</v>
      </c>
      <c r="F100" s="234"/>
      <c r="G100" s="234">
        <v>28</v>
      </c>
      <c r="H100" s="234">
        <v>1</v>
      </c>
      <c r="I100" s="234"/>
      <c r="J100" s="234">
        <v>5</v>
      </c>
      <c r="K100" s="234">
        <v>0</v>
      </c>
      <c r="L100" s="234">
        <v>0</v>
      </c>
      <c r="M100" s="234">
        <v>3</v>
      </c>
    </row>
    <row r="101" spans="1:13" s="230" customFormat="1" ht="9" customHeight="1" x14ac:dyDescent="0.25">
      <c r="A101" s="230" t="s">
        <v>39</v>
      </c>
      <c r="B101" s="234">
        <f t="shared" si="2"/>
        <v>315</v>
      </c>
      <c r="C101" s="234">
        <v>157</v>
      </c>
      <c r="D101" s="234">
        <v>80</v>
      </c>
      <c r="E101" s="234">
        <v>36</v>
      </c>
      <c r="F101" s="234"/>
      <c r="G101" s="234">
        <v>25</v>
      </c>
      <c r="H101" s="234">
        <v>0</v>
      </c>
      <c r="I101" s="234"/>
      <c r="J101" s="234">
        <v>3</v>
      </c>
      <c r="K101" s="234">
        <v>2</v>
      </c>
      <c r="L101" s="234">
        <v>0</v>
      </c>
      <c r="M101" s="234">
        <v>12</v>
      </c>
    </row>
    <row r="102" spans="1:13" s="230" customFormat="1" ht="9" customHeight="1" x14ac:dyDescent="0.25">
      <c r="A102" s="230" t="s">
        <v>40</v>
      </c>
      <c r="B102" s="234">
        <f t="shared" si="2"/>
        <v>542</v>
      </c>
      <c r="C102" s="234">
        <v>429</v>
      </c>
      <c r="D102" s="234">
        <v>0</v>
      </c>
      <c r="E102" s="234">
        <v>65</v>
      </c>
      <c r="F102" s="234"/>
      <c r="G102" s="234">
        <v>31</v>
      </c>
      <c r="H102" s="234">
        <v>5</v>
      </c>
      <c r="I102" s="234"/>
      <c r="J102" s="234">
        <v>4</v>
      </c>
      <c r="K102" s="234">
        <v>0</v>
      </c>
      <c r="L102" s="234">
        <v>3</v>
      </c>
      <c r="M102" s="234">
        <v>5</v>
      </c>
    </row>
    <row r="103" spans="1:13" s="230" customFormat="1" ht="9" customHeight="1" x14ac:dyDescent="0.25">
      <c r="A103" s="235" t="s">
        <v>41</v>
      </c>
      <c r="B103" s="236">
        <f t="shared" si="2"/>
        <v>1073</v>
      </c>
      <c r="C103" s="236">
        <v>455</v>
      </c>
      <c r="D103" s="236">
        <v>479</v>
      </c>
      <c r="E103" s="236">
        <v>34</v>
      </c>
      <c r="F103" s="236"/>
      <c r="G103" s="236">
        <v>49</v>
      </c>
      <c r="H103" s="236">
        <v>7</v>
      </c>
      <c r="I103" s="236"/>
      <c r="J103" s="236">
        <v>14</v>
      </c>
      <c r="K103" s="236">
        <v>8</v>
      </c>
      <c r="L103" s="236">
        <v>0</v>
      </c>
      <c r="M103" s="236">
        <v>27</v>
      </c>
    </row>
    <row r="104" spans="1:13" s="230" customFormat="1" ht="9" customHeight="1" x14ac:dyDescent="0.25">
      <c r="A104" s="230" t="s">
        <v>42</v>
      </c>
      <c r="B104" s="234">
        <f t="shared" si="2"/>
        <v>906</v>
      </c>
      <c r="C104" s="234">
        <v>417</v>
      </c>
      <c r="D104" s="234">
        <v>312</v>
      </c>
      <c r="E104" s="234">
        <v>53</v>
      </c>
      <c r="F104" s="234"/>
      <c r="G104" s="234">
        <v>44</v>
      </c>
      <c r="H104" s="234">
        <v>5</v>
      </c>
      <c r="I104" s="234"/>
      <c r="J104" s="234">
        <v>11</v>
      </c>
      <c r="K104" s="234">
        <v>0</v>
      </c>
      <c r="L104" s="234">
        <v>42</v>
      </c>
      <c r="M104" s="234">
        <v>22</v>
      </c>
    </row>
    <row r="105" spans="1:13" s="230" customFormat="1" ht="9" customHeight="1" x14ac:dyDescent="0.25">
      <c r="A105" s="230" t="s">
        <v>43</v>
      </c>
      <c r="B105" s="234">
        <f t="shared" si="2"/>
        <v>281</v>
      </c>
      <c r="C105" s="234">
        <v>226</v>
      </c>
      <c r="D105" s="234">
        <v>0</v>
      </c>
      <c r="E105" s="234">
        <v>27</v>
      </c>
      <c r="F105" s="234"/>
      <c r="G105" s="234">
        <v>18</v>
      </c>
      <c r="H105" s="234">
        <v>1</v>
      </c>
      <c r="I105" s="234"/>
      <c r="J105" s="234">
        <v>5</v>
      </c>
      <c r="K105" s="234">
        <v>0</v>
      </c>
      <c r="L105" s="234">
        <v>0</v>
      </c>
      <c r="M105" s="234">
        <v>4</v>
      </c>
    </row>
    <row r="106" spans="1:13" s="230" customFormat="1" ht="9" customHeight="1" x14ac:dyDescent="0.25">
      <c r="A106" s="230" t="s">
        <v>44</v>
      </c>
      <c r="B106" s="234">
        <f t="shared" si="2"/>
        <v>191</v>
      </c>
      <c r="C106" s="234">
        <v>154</v>
      </c>
      <c r="D106" s="234">
        <v>0</v>
      </c>
      <c r="E106" s="234">
        <v>16</v>
      </c>
      <c r="F106" s="234"/>
      <c r="G106" s="234">
        <v>7</v>
      </c>
      <c r="H106" s="234">
        <v>0</v>
      </c>
      <c r="I106" s="234"/>
      <c r="J106" s="234">
        <v>6</v>
      </c>
      <c r="K106" s="234">
        <v>6</v>
      </c>
      <c r="L106" s="234">
        <v>0</v>
      </c>
      <c r="M106" s="234">
        <v>2</v>
      </c>
    </row>
    <row r="107" spans="1:13" s="230" customFormat="1" ht="9" customHeight="1" x14ac:dyDescent="0.25">
      <c r="A107" s="235" t="s">
        <v>45</v>
      </c>
      <c r="B107" s="236">
        <f t="shared" si="2"/>
        <v>470</v>
      </c>
      <c r="C107" s="236">
        <v>186</v>
      </c>
      <c r="D107" s="236">
        <v>206</v>
      </c>
      <c r="E107" s="236">
        <v>40</v>
      </c>
      <c r="F107" s="236"/>
      <c r="G107" s="236">
        <v>24</v>
      </c>
      <c r="H107" s="236">
        <v>2</v>
      </c>
      <c r="I107" s="236"/>
      <c r="J107" s="236">
        <v>3</v>
      </c>
      <c r="K107" s="236">
        <v>0</v>
      </c>
      <c r="L107" s="236">
        <v>0</v>
      </c>
      <c r="M107" s="236">
        <v>9</v>
      </c>
    </row>
    <row r="108" spans="1:13" s="230" customFormat="1" ht="9" customHeight="1" x14ac:dyDescent="0.25">
      <c r="A108" s="230" t="s">
        <v>46</v>
      </c>
      <c r="B108" s="234">
        <f t="shared" si="2"/>
        <v>459</v>
      </c>
      <c r="C108" s="234">
        <v>188</v>
      </c>
      <c r="D108" s="234">
        <v>107</v>
      </c>
      <c r="E108" s="234">
        <v>78</v>
      </c>
      <c r="F108" s="234"/>
      <c r="G108" s="234">
        <v>39</v>
      </c>
      <c r="H108" s="234">
        <v>3</v>
      </c>
      <c r="I108" s="234"/>
      <c r="J108" s="234">
        <v>8</v>
      </c>
      <c r="K108" s="234">
        <v>13</v>
      </c>
      <c r="L108" s="234">
        <v>0</v>
      </c>
      <c r="M108" s="234">
        <v>23</v>
      </c>
    </row>
    <row r="109" spans="1:13" s="230" customFormat="1" ht="9" customHeight="1" x14ac:dyDescent="0.25">
      <c r="A109" s="230" t="s">
        <v>47</v>
      </c>
      <c r="B109" s="234">
        <f t="shared" si="2"/>
        <v>376</v>
      </c>
      <c r="C109" s="234">
        <v>213</v>
      </c>
      <c r="D109" s="234">
        <v>0</v>
      </c>
      <c r="E109" s="234">
        <v>70</v>
      </c>
      <c r="F109" s="234"/>
      <c r="G109" s="234">
        <v>38</v>
      </c>
      <c r="H109" s="234">
        <v>3</v>
      </c>
      <c r="I109" s="234"/>
      <c r="J109" s="234">
        <v>13</v>
      </c>
      <c r="K109" s="234">
        <v>7</v>
      </c>
      <c r="L109" s="234">
        <v>3</v>
      </c>
      <c r="M109" s="234">
        <v>29</v>
      </c>
    </row>
    <row r="110" spans="1:13" s="230" customFormat="1" ht="9" customHeight="1" x14ac:dyDescent="0.25">
      <c r="A110" s="230" t="s">
        <v>48</v>
      </c>
      <c r="B110" s="234">
        <f t="shared" si="2"/>
        <v>576</v>
      </c>
      <c r="C110" s="234">
        <v>481</v>
      </c>
      <c r="D110" s="234">
        <v>0</v>
      </c>
      <c r="E110" s="234">
        <v>34</v>
      </c>
      <c r="F110" s="234"/>
      <c r="G110" s="234">
        <v>25</v>
      </c>
      <c r="H110" s="234">
        <v>16</v>
      </c>
      <c r="I110" s="234"/>
      <c r="J110" s="234">
        <v>8</v>
      </c>
      <c r="K110" s="234">
        <v>4</v>
      </c>
      <c r="L110" s="234">
        <v>5</v>
      </c>
      <c r="M110" s="234">
        <v>3</v>
      </c>
    </row>
    <row r="111" spans="1:13" s="230" customFormat="1" ht="9" customHeight="1" x14ac:dyDescent="0.25">
      <c r="A111" s="235" t="s">
        <v>49</v>
      </c>
      <c r="B111" s="236">
        <f t="shared" si="2"/>
        <v>433</v>
      </c>
      <c r="C111" s="236">
        <v>174</v>
      </c>
      <c r="D111" s="236">
        <v>106</v>
      </c>
      <c r="E111" s="236">
        <v>53</v>
      </c>
      <c r="F111" s="236"/>
      <c r="G111" s="236">
        <v>34</v>
      </c>
      <c r="H111" s="236">
        <v>15</v>
      </c>
      <c r="I111" s="236"/>
      <c r="J111" s="236">
        <v>8</v>
      </c>
      <c r="K111" s="236">
        <v>21</v>
      </c>
      <c r="L111" s="236">
        <v>0</v>
      </c>
      <c r="M111" s="236">
        <v>22</v>
      </c>
    </row>
    <row r="112" spans="1:13" s="230" customFormat="1" ht="9" customHeight="1" x14ac:dyDescent="0.25">
      <c r="A112" s="230" t="s">
        <v>50</v>
      </c>
      <c r="B112" s="234">
        <f t="shared" si="2"/>
        <v>200</v>
      </c>
      <c r="C112" s="234">
        <v>167</v>
      </c>
      <c r="D112" s="234">
        <v>0</v>
      </c>
      <c r="E112" s="234">
        <v>16</v>
      </c>
      <c r="F112" s="234"/>
      <c r="G112" s="234">
        <v>4</v>
      </c>
      <c r="H112" s="234">
        <v>0</v>
      </c>
      <c r="I112" s="234"/>
      <c r="J112" s="234">
        <v>5</v>
      </c>
      <c r="K112" s="234">
        <v>0</v>
      </c>
      <c r="L112" s="234">
        <v>0</v>
      </c>
      <c r="M112" s="234">
        <v>8</v>
      </c>
    </row>
    <row r="113" spans="1:13" s="230" customFormat="1" ht="9" customHeight="1" x14ac:dyDescent="0.25">
      <c r="A113" s="230" t="s">
        <v>51</v>
      </c>
      <c r="B113" s="234">
        <f t="shared" si="2"/>
        <v>1352</v>
      </c>
      <c r="C113" s="234">
        <v>452</v>
      </c>
      <c r="D113" s="234">
        <v>524</v>
      </c>
      <c r="E113" s="234">
        <v>152</v>
      </c>
      <c r="F113" s="234"/>
      <c r="G113" s="234">
        <v>89</v>
      </c>
      <c r="H113" s="234">
        <v>45</v>
      </c>
      <c r="I113" s="234"/>
      <c r="J113" s="234">
        <v>16</v>
      </c>
      <c r="K113" s="234">
        <v>27</v>
      </c>
      <c r="L113" s="234">
        <v>0</v>
      </c>
      <c r="M113" s="234">
        <v>47</v>
      </c>
    </row>
    <row r="114" spans="1:13" s="230" customFormat="1" ht="9" customHeight="1" x14ac:dyDescent="0.25">
      <c r="A114" s="230" t="s">
        <v>52</v>
      </c>
      <c r="B114" s="234">
        <f t="shared" si="2"/>
        <v>329</v>
      </c>
      <c r="C114" s="234">
        <v>156</v>
      </c>
      <c r="D114" s="234">
        <v>87</v>
      </c>
      <c r="E114" s="234">
        <v>56</v>
      </c>
      <c r="F114" s="234"/>
      <c r="G114" s="234">
        <v>16</v>
      </c>
      <c r="H114" s="234">
        <v>1</v>
      </c>
      <c r="I114" s="234"/>
      <c r="J114" s="234">
        <v>5</v>
      </c>
      <c r="K114" s="234">
        <v>2</v>
      </c>
      <c r="L114" s="234">
        <v>0</v>
      </c>
      <c r="M114" s="234">
        <v>6</v>
      </c>
    </row>
    <row r="115" spans="1:13" s="230" customFormat="1" ht="9" customHeight="1" x14ac:dyDescent="0.25">
      <c r="A115" s="235" t="s">
        <v>53</v>
      </c>
      <c r="B115" s="236">
        <f t="shared" si="2"/>
        <v>375</v>
      </c>
      <c r="C115" s="236">
        <v>144</v>
      </c>
      <c r="D115" s="236">
        <v>146</v>
      </c>
      <c r="E115" s="236">
        <v>39</v>
      </c>
      <c r="F115" s="236"/>
      <c r="G115" s="236">
        <v>39</v>
      </c>
      <c r="H115" s="236">
        <v>1</v>
      </c>
      <c r="I115" s="236"/>
      <c r="J115" s="236">
        <v>3</v>
      </c>
      <c r="K115" s="236">
        <v>0</v>
      </c>
      <c r="L115" s="236">
        <v>0</v>
      </c>
      <c r="M115" s="236">
        <v>3</v>
      </c>
    </row>
    <row r="116" spans="1:13" s="230" customFormat="1" ht="8.25" customHeight="1" x14ac:dyDescent="0.25">
      <c r="B116" s="234"/>
      <c r="C116" s="234"/>
      <c r="D116" s="234"/>
      <c r="E116" s="234"/>
      <c r="F116" s="234"/>
      <c r="G116" s="234"/>
      <c r="H116" s="234"/>
      <c r="I116" s="234"/>
      <c r="J116" s="234"/>
      <c r="K116" s="234"/>
      <c r="L116" s="234"/>
      <c r="M116" s="234"/>
    </row>
    <row r="117" spans="1:13" s="230" customFormat="1" ht="9" customHeight="1" x14ac:dyDescent="0.25">
      <c r="A117" s="228">
        <v>1998</v>
      </c>
      <c r="B117" s="229"/>
      <c r="C117" s="229"/>
      <c r="D117" s="229"/>
      <c r="E117" s="229"/>
      <c r="F117" s="229"/>
      <c r="G117" s="229"/>
      <c r="H117" s="229"/>
      <c r="I117" s="229"/>
      <c r="J117" s="229"/>
      <c r="K117" s="229"/>
      <c r="M117" s="229"/>
    </row>
    <row r="118" spans="1:13" s="230" customFormat="1" ht="9" customHeight="1" x14ac:dyDescent="0.25">
      <c r="A118" s="231" t="s">
        <v>21</v>
      </c>
      <c r="B118" s="232">
        <f>SUM(B120:B151)</f>
        <v>17622</v>
      </c>
      <c r="C118" s="232">
        <f>SUM(C120:C151)</f>
        <v>9832</v>
      </c>
      <c r="D118" s="232">
        <f>SUM(D120:D151)</f>
        <v>3607</v>
      </c>
      <c r="E118" s="232">
        <f>SUM(E120:E151)</f>
        <v>1775</v>
      </c>
      <c r="F118" s="232"/>
      <c r="G118" s="232">
        <f>SUM(G120:G151)</f>
        <v>1220</v>
      </c>
      <c r="H118" s="232">
        <f>SUM(H120:H151)</f>
        <v>219</v>
      </c>
      <c r="I118" s="232"/>
      <c r="J118" s="232">
        <f>SUM(J120:J151)</f>
        <v>349</v>
      </c>
      <c r="K118" s="232">
        <f>SUM(K120:K151)</f>
        <v>133</v>
      </c>
      <c r="L118" s="232">
        <f>SUM(L120:L151)</f>
        <v>161</v>
      </c>
      <c r="M118" s="232">
        <f>SUM(M120:M151)</f>
        <v>326</v>
      </c>
    </row>
    <row r="119" spans="1:13" s="230" customFormat="1" ht="3.95" customHeight="1" x14ac:dyDescent="0.25">
      <c r="A119" s="231"/>
      <c r="B119" s="232"/>
      <c r="C119" s="232"/>
      <c r="D119" s="232"/>
      <c r="E119" s="232"/>
      <c r="F119" s="232"/>
      <c r="G119" s="232"/>
      <c r="H119" s="232"/>
      <c r="I119" s="232"/>
      <c r="J119" s="232"/>
      <c r="K119" s="232"/>
      <c r="L119" s="232"/>
      <c r="M119" s="232"/>
    </row>
    <row r="120" spans="1:13" s="230" customFormat="1" ht="9" customHeight="1" x14ac:dyDescent="0.25">
      <c r="A120" s="230" t="s">
        <v>23</v>
      </c>
      <c r="B120" s="234">
        <f t="shared" ref="B120:B151" si="3">SUM(C120:M120)</f>
        <v>114</v>
      </c>
      <c r="C120" s="234">
        <v>84</v>
      </c>
      <c r="D120" s="234">
        <v>0</v>
      </c>
      <c r="E120" s="234">
        <v>12</v>
      </c>
      <c r="F120" s="234"/>
      <c r="G120" s="234">
        <v>12</v>
      </c>
      <c r="H120" s="234">
        <v>2</v>
      </c>
      <c r="I120" s="234"/>
      <c r="J120" s="234">
        <v>3</v>
      </c>
      <c r="K120" s="234">
        <v>0</v>
      </c>
      <c r="L120" s="234">
        <v>0</v>
      </c>
      <c r="M120" s="234">
        <v>1</v>
      </c>
    </row>
    <row r="121" spans="1:13" s="230" customFormat="1" ht="9" customHeight="1" x14ac:dyDescent="0.25">
      <c r="A121" s="230" t="s">
        <v>24</v>
      </c>
      <c r="B121" s="234">
        <f t="shared" si="3"/>
        <v>210</v>
      </c>
      <c r="C121" s="234">
        <v>95</v>
      </c>
      <c r="D121" s="234">
        <v>11</v>
      </c>
      <c r="E121" s="234">
        <v>37</v>
      </c>
      <c r="F121" s="234"/>
      <c r="G121" s="234">
        <v>15</v>
      </c>
      <c r="H121" s="234">
        <v>3</v>
      </c>
      <c r="I121" s="234"/>
      <c r="J121" s="234">
        <v>14</v>
      </c>
      <c r="K121" s="234">
        <v>8</v>
      </c>
      <c r="L121" s="234">
        <v>21</v>
      </c>
      <c r="M121" s="234">
        <v>6</v>
      </c>
    </row>
    <row r="122" spans="1:13" s="230" customFormat="1" ht="9" customHeight="1" x14ac:dyDescent="0.25">
      <c r="A122" s="230" t="s">
        <v>25</v>
      </c>
      <c r="B122" s="234">
        <f t="shared" si="3"/>
        <v>162</v>
      </c>
      <c r="C122" s="234">
        <v>72</v>
      </c>
      <c r="D122" s="234">
        <v>0</v>
      </c>
      <c r="E122" s="234">
        <v>34</v>
      </c>
      <c r="F122" s="234"/>
      <c r="G122" s="234">
        <v>30</v>
      </c>
      <c r="H122" s="234">
        <v>1</v>
      </c>
      <c r="I122" s="234"/>
      <c r="J122" s="234">
        <v>4</v>
      </c>
      <c r="K122" s="234">
        <v>8</v>
      </c>
      <c r="L122" s="234">
        <v>0</v>
      </c>
      <c r="M122" s="234">
        <v>13</v>
      </c>
    </row>
    <row r="123" spans="1:13" s="230" customFormat="1" ht="9" customHeight="1" x14ac:dyDescent="0.25">
      <c r="A123" s="235" t="s">
        <v>26</v>
      </c>
      <c r="B123" s="236">
        <f t="shared" si="3"/>
        <v>241</v>
      </c>
      <c r="C123" s="236">
        <v>106</v>
      </c>
      <c r="D123" s="236">
        <v>36</v>
      </c>
      <c r="E123" s="236">
        <v>21</v>
      </c>
      <c r="F123" s="236"/>
      <c r="G123" s="236">
        <v>12</v>
      </c>
      <c r="H123" s="236">
        <v>53</v>
      </c>
      <c r="I123" s="236"/>
      <c r="J123" s="236">
        <v>4</v>
      </c>
      <c r="K123" s="236">
        <v>7</v>
      </c>
      <c r="L123" s="236">
        <v>0</v>
      </c>
      <c r="M123" s="236">
        <v>2</v>
      </c>
    </row>
    <row r="124" spans="1:13" s="230" customFormat="1" ht="9" customHeight="1" x14ac:dyDescent="0.25">
      <c r="A124" s="230" t="s">
        <v>27</v>
      </c>
      <c r="B124" s="234">
        <f t="shared" si="3"/>
        <v>381</v>
      </c>
      <c r="C124" s="234">
        <v>177</v>
      </c>
      <c r="D124" s="234">
        <v>82</v>
      </c>
      <c r="E124" s="234">
        <v>69</v>
      </c>
      <c r="F124" s="234"/>
      <c r="G124" s="234">
        <v>31</v>
      </c>
      <c r="H124" s="234">
        <v>3</v>
      </c>
      <c r="I124" s="234"/>
      <c r="J124" s="234">
        <v>7</v>
      </c>
      <c r="K124" s="234">
        <v>0</v>
      </c>
      <c r="L124" s="234">
        <v>0</v>
      </c>
      <c r="M124" s="234">
        <v>12</v>
      </c>
    </row>
    <row r="125" spans="1:13" s="230" customFormat="1" ht="9" customHeight="1" x14ac:dyDescent="0.25">
      <c r="A125" s="230" t="s">
        <v>28</v>
      </c>
      <c r="B125" s="234">
        <f t="shared" si="3"/>
        <v>153</v>
      </c>
      <c r="C125" s="234">
        <v>106</v>
      </c>
      <c r="D125" s="234">
        <v>0</v>
      </c>
      <c r="E125" s="234">
        <v>17</v>
      </c>
      <c r="F125" s="234"/>
      <c r="G125" s="234">
        <v>5</v>
      </c>
      <c r="H125" s="234">
        <v>1</v>
      </c>
      <c r="I125" s="234"/>
      <c r="J125" s="234">
        <v>4</v>
      </c>
      <c r="K125" s="234">
        <v>15</v>
      </c>
      <c r="L125" s="234">
        <v>0</v>
      </c>
      <c r="M125" s="234">
        <v>5</v>
      </c>
    </row>
    <row r="126" spans="1:13" s="230" customFormat="1" ht="9" customHeight="1" x14ac:dyDescent="0.25">
      <c r="A126" s="230" t="s">
        <v>29</v>
      </c>
      <c r="B126" s="234">
        <f t="shared" si="3"/>
        <v>1006</v>
      </c>
      <c r="C126" s="234">
        <v>307</v>
      </c>
      <c r="D126" s="234">
        <v>562</v>
      </c>
      <c r="E126" s="234">
        <v>45</v>
      </c>
      <c r="F126" s="234"/>
      <c r="G126" s="234">
        <v>42</v>
      </c>
      <c r="H126" s="234">
        <v>5</v>
      </c>
      <c r="I126" s="234"/>
      <c r="J126" s="234">
        <v>22</v>
      </c>
      <c r="K126" s="234">
        <v>4</v>
      </c>
      <c r="L126" s="234">
        <v>12</v>
      </c>
      <c r="M126" s="234">
        <v>7</v>
      </c>
    </row>
    <row r="127" spans="1:13" s="230" customFormat="1" ht="9" customHeight="1" x14ac:dyDescent="0.25">
      <c r="A127" s="235" t="s">
        <v>30</v>
      </c>
      <c r="B127" s="236">
        <f t="shared" si="3"/>
        <v>543</v>
      </c>
      <c r="C127" s="236">
        <v>245</v>
      </c>
      <c r="D127" s="236">
        <v>146</v>
      </c>
      <c r="E127" s="236">
        <v>62</v>
      </c>
      <c r="F127" s="236"/>
      <c r="G127" s="236">
        <v>56</v>
      </c>
      <c r="H127" s="236">
        <v>4</v>
      </c>
      <c r="I127" s="236"/>
      <c r="J127" s="236">
        <v>13</v>
      </c>
      <c r="K127" s="236">
        <v>0</v>
      </c>
      <c r="L127" s="236">
        <v>0</v>
      </c>
      <c r="M127" s="236">
        <v>17</v>
      </c>
    </row>
    <row r="128" spans="1:13" s="230" customFormat="1" ht="9" customHeight="1" x14ac:dyDescent="0.25">
      <c r="A128" s="405" t="s">
        <v>63</v>
      </c>
      <c r="B128" s="234">
        <f t="shared" si="3"/>
        <v>771</v>
      </c>
      <c r="C128" s="234">
        <v>372</v>
      </c>
      <c r="D128" s="234">
        <v>1</v>
      </c>
      <c r="E128" s="234">
        <v>149</v>
      </c>
      <c r="F128" s="234"/>
      <c r="G128" s="234">
        <v>133</v>
      </c>
      <c r="H128" s="234">
        <v>13</v>
      </c>
      <c r="I128" s="234"/>
      <c r="J128" s="234">
        <v>80</v>
      </c>
      <c r="K128" s="234">
        <v>10</v>
      </c>
      <c r="L128" s="234">
        <v>12</v>
      </c>
      <c r="M128" s="234">
        <v>1</v>
      </c>
    </row>
    <row r="129" spans="1:13" s="230" customFormat="1" ht="9" customHeight="1" x14ac:dyDescent="0.25">
      <c r="A129" s="230" t="s">
        <v>31</v>
      </c>
      <c r="B129" s="234">
        <f t="shared" si="3"/>
        <v>438</v>
      </c>
      <c r="C129" s="234">
        <v>152</v>
      </c>
      <c r="D129" s="234">
        <v>166</v>
      </c>
      <c r="E129" s="234">
        <v>65</v>
      </c>
      <c r="F129" s="234"/>
      <c r="G129" s="234">
        <v>42</v>
      </c>
      <c r="H129" s="234">
        <v>2</v>
      </c>
      <c r="I129" s="234"/>
      <c r="J129" s="234">
        <v>6</v>
      </c>
      <c r="K129" s="234">
        <v>0</v>
      </c>
      <c r="L129" s="234">
        <v>0</v>
      </c>
      <c r="M129" s="234">
        <v>5</v>
      </c>
    </row>
    <row r="130" spans="1:13" s="230" customFormat="1" ht="9" customHeight="1" x14ac:dyDescent="0.25">
      <c r="A130" s="230" t="s">
        <v>32</v>
      </c>
      <c r="B130" s="234">
        <f t="shared" si="3"/>
        <v>560</v>
      </c>
      <c r="C130" s="234">
        <v>435</v>
      </c>
      <c r="D130" s="234">
        <v>0</v>
      </c>
      <c r="E130" s="234">
        <v>54</v>
      </c>
      <c r="F130" s="234"/>
      <c r="G130" s="234">
        <v>41</v>
      </c>
      <c r="H130" s="234">
        <v>5</v>
      </c>
      <c r="I130" s="234"/>
      <c r="J130" s="234">
        <v>10</v>
      </c>
      <c r="K130" s="234">
        <v>0</v>
      </c>
      <c r="L130" s="234">
        <v>0</v>
      </c>
      <c r="M130" s="234">
        <v>15</v>
      </c>
    </row>
    <row r="131" spans="1:13" s="230" customFormat="1" ht="9" customHeight="1" x14ac:dyDescent="0.25">
      <c r="A131" s="235" t="s">
        <v>33</v>
      </c>
      <c r="B131" s="236">
        <f t="shared" si="3"/>
        <v>942</v>
      </c>
      <c r="C131" s="236">
        <v>828</v>
      </c>
      <c r="D131" s="236">
        <v>0</v>
      </c>
      <c r="E131" s="236">
        <v>30</v>
      </c>
      <c r="F131" s="236"/>
      <c r="G131" s="236">
        <v>51</v>
      </c>
      <c r="H131" s="236">
        <v>0</v>
      </c>
      <c r="I131" s="236"/>
      <c r="J131" s="236">
        <v>14</v>
      </c>
      <c r="K131" s="236">
        <v>11</v>
      </c>
      <c r="L131" s="236">
        <v>0</v>
      </c>
      <c r="M131" s="236">
        <v>8</v>
      </c>
    </row>
    <row r="132" spans="1:13" s="230" customFormat="1" ht="9" customHeight="1" x14ac:dyDescent="0.25">
      <c r="A132" s="230" t="s">
        <v>34</v>
      </c>
      <c r="B132" s="234">
        <f t="shared" si="3"/>
        <v>706</v>
      </c>
      <c r="C132" s="234">
        <v>403</v>
      </c>
      <c r="D132" s="234">
        <v>217</v>
      </c>
      <c r="E132" s="234">
        <v>23</v>
      </c>
      <c r="F132" s="234"/>
      <c r="G132" s="234">
        <v>42</v>
      </c>
      <c r="H132" s="234">
        <v>6</v>
      </c>
      <c r="I132" s="234"/>
      <c r="J132" s="234">
        <v>4</v>
      </c>
      <c r="K132" s="234">
        <v>0</v>
      </c>
      <c r="L132" s="234">
        <v>0</v>
      </c>
      <c r="M132" s="234">
        <v>11</v>
      </c>
    </row>
    <row r="133" spans="1:13" s="230" customFormat="1" ht="9" customHeight="1" x14ac:dyDescent="0.25">
      <c r="A133" s="230" t="s">
        <v>35</v>
      </c>
      <c r="B133" s="234">
        <f t="shared" si="3"/>
        <v>972</v>
      </c>
      <c r="C133" s="234">
        <v>671</v>
      </c>
      <c r="D133" s="234">
        <v>0</v>
      </c>
      <c r="E133" s="234">
        <v>181</v>
      </c>
      <c r="F133" s="234"/>
      <c r="G133" s="234">
        <v>83</v>
      </c>
      <c r="H133" s="234">
        <v>3</v>
      </c>
      <c r="I133" s="234"/>
      <c r="J133" s="234">
        <v>12</v>
      </c>
      <c r="K133" s="234">
        <v>1</v>
      </c>
      <c r="L133" s="234">
        <v>0</v>
      </c>
      <c r="M133" s="234">
        <v>21</v>
      </c>
    </row>
    <row r="134" spans="1:13" s="230" customFormat="1" ht="9" customHeight="1" x14ac:dyDescent="0.25">
      <c r="A134" s="230" t="s">
        <v>36</v>
      </c>
      <c r="B134" s="234">
        <f t="shared" si="3"/>
        <v>1224</v>
      </c>
      <c r="C134" s="234">
        <v>951</v>
      </c>
      <c r="D134" s="234">
        <v>0</v>
      </c>
      <c r="E134" s="234">
        <v>112</v>
      </c>
      <c r="F134" s="234"/>
      <c r="G134" s="234">
        <v>48</v>
      </c>
      <c r="H134" s="234">
        <v>4</v>
      </c>
      <c r="I134" s="234"/>
      <c r="J134" s="234">
        <v>29</v>
      </c>
      <c r="K134" s="234">
        <v>0</v>
      </c>
      <c r="L134" s="234">
        <v>59</v>
      </c>
      <c r="M134" s="234">
        <v>21</v>
      </c>
    </row>
    <row r="135" spans="1:13" s="230" customFormat="1" ht="9" customHeight="1" x14ac:dyDescent="0.25">
      <c r="A135" s="235" t="s">
        <v>37</v>
      </c>
      <c r="B135" s="236">
        <f t="shared" si="3"/>
        <v>847</v>
      </c>
      <c r="C135" s="236">
        <v>362</v>
      </c>
      <c r="D135" s="236">
        <v>339</v>
      </c>
      <c r="E135" s="236">
        <v>58</v>
      </c>
      <c r="F135" s="236"/>
      <c r="G135" s="236">
        <v>65</v>
      </c>
      <c r="H135" s="236">
        <v>3</v>
      </c>
      <c r="I135" s="236"/>
      <c r="J135" s="236">
        <v>6</v>
      </c>
      <c r="K135" s="236">
        <v>1</v>
      </c>
      <c r="L135" s="236">
        <v>0</v>
      </c>
      <c r="M135" s="236">
        <v>13</v>
      </c>
    </row>
    <row r="136" spans="1:13" s="230" customFormat="1" ht="9" customHeight="1" x14ac:dyDescent="0.25">
      <c r="A136" s="230" t="s">
        <v>38</v>
      </c>
      <c r="B136" s="234">
        <f t="shared" si="3"/>
        <v>273</v>
      </c>
      <c r="C136" s="234">
        <v>209</v>
      </c>
      <c r="D136" s="234">
        <v>0</v>
      </c>
      <c r="E136" s="234">
        <v>27</v>
      </c>
      <c r="F136" s="234"/>
      <c r="G136" s="234">
        <v>28</v>
      </c>
      <c r="H136" s="234">
        <v>1</v>
      </c>
      <c r="I136" s="234"/>
      <c r="J136" s="234">
        <v>5</v>
      </c>
      <c r="K136" s="234">
        <v>0</v>
      </c>
      <c r="L136" s="234">
        <v>0</v>
      </c>
      <c r="M136" s="234">
        <v>3</v>
      </c>
    </row>
    <row r="137" spans="1:13" s="230" customFormat="1" ht="9" customHeight="1" x14ac:dyDescent="0.25">
      <c r="A137" s="230" t="s">
        <v>39</v>
      </c>
      <c r="B137" s="234">
        <f t="shared" si="3"/>
        <v>336</v>
      </c>
      <c r="C137" s="234">
        <v>181</v>
      </c>
      <c r="D137" s="234">
        <v>80</v>
      </c>
      <c r="E137" s="234">
        <v>37</v>
      </c>
      <c r="F137" s="234"/>
      <c r="G137" s="234">
        <v>25</v>
      </c>
      <c r="H137" s="234">
        <v>0</v>
      </c>
      <c r="I137" s="234"/>
      <c r="J137" s="234">
        <v>3</v>
      </c>
      <c r="K137" s="234">
        <v>2</v>
      </c>
      <c r="L137" s="234">
        <v>0</v>
      </c>
      <c r="M137" s="234">
        <v>8</v>
      </c>
    </row>
    <row r="138" spans="1:13" s="230" customFormat="1" ht="9" customHeight="1" x14ac:dyDescent="0.25">
      <c r="A138" s="230" t="s">
        <v>40</v>
      </c>
      <c r="B138" s="234">
        <f t="shared" si="3"/>
        <v>554</v>
      </c>
      <c r="C138" s="234">
        <v>438</v>
      </c>
      <c r="D138" s="234">
        <v>0</v>
      </c>
      <c r="E138" s="234">
        <v>65</v>
      </c>
      <c r="F138" s="234"/>
      <c r="G138" s="234">
        <v>32</v>
      </c>
      <c r="H138" s="234">
        <v>5</v>
      </c>
      <c r="I138" s="234"/>
      <c r="J138" s="234">
        <v>5</v>
      </c>
      <c r="K138" s="234">
        <v>0</v>
      </c>
      <c r="L138" s="234">
        <v>4</v>
      </c>
      <c r="M138" s="234">
        <v>5</v>
      </c>
    </row>
    <row r="139" spans="1:13" s="230" customFormat="1" ht="9" customHeight="1" x14ac:dyDescent="0.25">
      <c r="A139" s="235" t="s">
        <v>41</v>
      </c>
      <c r="B139" s="236">
        <f t="shared" si="3"/>
        <v>1108</v>
      </c>
      <c r="C139" s="236">
        <v>511</v>
      </c>
      <c r="D139" s="236">
        <v>479</v>
      </c>
      <c r="E139" s="236">
        <v>32</v>
      </c>
      <c r="F139" s="236"/>
      <c r="G139" s="236">
        <v>49</v>
      </c>
      <c r="H139" s="236">
        <v>7</v>
      </c>
      <c r="I139" s="236"/>
      <c r="J139" s="236">
        <v>17</v>
      </c>
      <c r="K139" s="236">
        <v>6</v>
      </c>
      <c r="L139" s="236">
        <v>0</v>
      </c>
      <c r="M139" s="236">
        <v>7</v>
      </c>
    </row>
    <row r="140" spans="1:13" s="230" customFormat="1" ht="9" customHeight="1" x14ac:dyDescent="0.25">
      <c r="A140" s="230" t="s">
        <v>42</v>
      </c>
      <c r="B140" s="234">
        <f t="shared" si="3"/>
        <v>934</v>
      </c>
      <c r="C140" s="234">
        <v>448</v>
      </c>
      <c r="D140" s="234">
        <v>312</v>
      </c>
      <c r="E140" s="234">
        <v>56</v>
      </c>
      <c r="F140" s="234"/>
      <c r="G140" s="234">
        <v>45</v>
      </c>
      <c r="H140" s="234">
        <v>5</v>
      </c>
      <c r="I140" s="234"/>
      <c r="J140" s="234">
        <v>12</v>
      </c>
      <c r="K140" s="234">
        <v>0</v>
      </c>
      <c r="L140" s="234">
        <v>42</v>
      </c>
      <c r="M140" s="234">
        <v>14</v>
      </c>
    </row>
    <row r="141" spans="1:13" s="230" customFormat="1" ht="9" customHeight="1" x14ac:dyDescent="0.25">
      <c r="A141" s="230" t="s">
        <v>43</v>
      </c>
      <c r="B141" s="234">
        <f t="shared" si="3"/>
        <v>285</v>
      </c>
      <c r="C141" s="234">
        <v>228</v>
      </c>
      <c r="D141" s="234">
        <v>0</v>
      </c>
      <c r="E141" s="234">
        <v>27</v>
      </c>
      <c r="F141" s="234"/>
      <c r="G141" s="234">
        <v>19</v>
      </c>
      <c r="H141" s="234">
        <v>1</v>
      </c>
      <c r="I141" s="234"/>
      <c r="J141" s="234">
        <v>8</v>
      </c>
      <c r="K141" s="234">
        <v>0</v>
      </c>
      <c r="L141" s="234">
        <v>0</v>
      </c>
      <c r="M141" s="234">
        <v>2</v>
      </c>
    </row>
    <row r="142" spans="1:13" s="230" customFormat="1" ht="9" customHeight="1" x14ac:dyDescent="0.25">
      <c r="A142" s="230" t="s">
        <v>44</v>
      </c>
      <c r="B142" s="234">
        <f t="shared" si="3"/>
        <v>190</v>
      </c>
      <c r="C142" s="234">
        <v>156</v>
      </c>
      <c r="D142" s="234">
        <v>0</v>
      </c>
      <c r="E142" s="234">
        <v>16</v>
      </c>
      <c r="F142" s="234"/>
      <c r="G142" s="234">
        <v>7</v>
      </c>
      <c r="H142" s="234">
        <v>0</v>
      </c>
      <c r="I142" s="234"/>
      <c r="J142" s="234">
        <v>7</v>
      </c>
      <c r="K142" s="234">
        <v>4</v>
      </c>
      <c r="L142" s="234">
        <v>0</v>
      </c>
      <c r="M142" s="234">
        <v>0</v>
      </c>
    </row>
    <row r="143" spans="1:13" s="230" customFormat="1" ht="9" customHeight="1" x14ac:dyDescent="0.25">
      <c r="A143" s="235" t="s">
        <v>45</v>
      </c>
      <c r="B143" s="236">
        <f t="shared" si="3"/>
        <v>510</v>
      </c>
      <c r="C143" s="236">
        <v>226</v>
      </c>
      <c r="D143" s="236">
        <v>206</v>
      </c>
      <c r="E143" s="236">
        <v>41</v>
      </c>
      <c r="F143" s="236"/>
      <c r="G143" s="236">
        <v>26</v>
      </c>
      <c r="H143" s="236">
        <v>2</v>
      </c>
      <c r="I143" s="236"/>
      <c r="J143" s="236">
        <v>3</v>
      </c>
      <c r="K143" s="236">
        <v>0</v>
      </c>
      <c r="L143" s="236">
        <v>0</v>
      </c>
      <c r="M143" s="236">
        <v>6</v>
      </c>
    </row>
    <row r="144" spans="1:13" s="230" customFormat="1" ht="9" customHeight="1" x14ac:dyDescent="0.25">
      <c r="A144" s="230" t="s">
        <v>46</v>
      </c>
      <c r="B144" s="234">
        <f t="shared" si="3"/>
        <v>458</v>
      </c>
      <c r="C144" s="234">
        <v>194</v>
      </c>
      <c r="D144" s="234">
        <v>107</v>
      </c>
      <c r="E144" s="234">
        <v>77</v>
      </c>
      <c r="F144" s="234"/>
      <c r="G144" s="234">
        <v>39</v>
      </c>
      <c r="H144" s="234">
        <v>3</v>
      </c>
      <c r="I144" s="234"/>
      <c r="J144" s="234">
        <v>8</v>
      </c>
      <c r="K144" s="234">
        <v>8</v>
      </c>
      <c r="L144" s="234">
        <v>0</v>
      </c>
      <c r="M144" s="234">
        <v>22</v>
      </c>
    </row>
    <row r="145" spans="1:13" s="230" customFormat="1" ht="9" customHeight="1" x14ac:dyDescent="0.25">
      <c r="A145" s="230" t="s">
        <v>47</v>
      </c>
      <c r="B145" s="234">
        <f t="shared" si="3"/>
        <v>378</v>
      </c>
      <c r="C145" s="234">
        <v>214</v>
      </c>
      <c r="D145" s="234">
        <v>0</v>
      </c>
      <c r="E145" s="234">
        <v>73</v>
      </c>
      <c r="F145" s="234"/>
      <c r="G145" s="234">
        <v>39</v>
      </c>
      <c r="H145" s="234">
        <v>3</v>
      </c>
      <c r="I145" s="234"/>
      <c r="J145" s="234">
        <v>11</v>
      </c>
      <c r="K145" s="234">
        <v>7</v>
      </c>
      <c r="L145" s="234">
        <v>7</v>
      </c>
      <c r="M145" s="234">
        <v>24</v>
      </c>
    </row>
    <row r="146" spans="1:13" s="230" customFormat="1" ht="9" customHeight="1" x14ac:dyDescent="0.25">
      <c r="A146" s="230" t="s">
        <v>48</v>
      </c>
      <c r="B146" s="234">
        <f t="shared" si="3"/>
        <v>583</v>
      </c>
      <c r="C146" s="234">
        <v>484</v>
      </c>
      <c r="D146" s="234">
        <v>0</v>
      </c>
      <c r="E146" s="234">
        <v>35</v>
      </c>
      <c r="F146" s="234"/>
      <c r="G146" s="234">
        <v>25</v>
      </c>
      <c r="H146" s="234">
        <v>18</v>
      </c>
      <c r="I146" s="234"/>
      <c r="J146" s="234">
        <v>7</v>
      </c>
      <c r="K146" s="234">
        <v>6</v>
      </c>
      <c r="L146" s="234">
        <v>4</v>
      </c>
      <c r="M146" s="234">
        <v>4</v>
      </c>
    </row>
    <row r="147" spans="1:13" s="230" customFormat="1" ht="9" customHeight="1" x14ac:dyDescent="0.25">
      <c r="A147" s="235" t="s">
        <v>49</v>
      </c>
      <c r="B147" s="236">
        <f t="shared" si="3"/>
        <v>471</v>
      </c>
      <c r="C147" s="236">
        <v>219</v>
      </c>
      <c r="D147" s="236">
        <v>106</v>
      </c>
      <c r="E147" s="236">
        <v>53</v>
      </c>
      <c r="F147" s="236"/>
      <c r="G147" s="236">
        <v>34</v>
      </c>
      <c r="H147" s="236">
        <v>17</v>
      </c>
      <c r="I147" s="236"/>
      <c r="J147" s="236">
        <v>6</v>
      </c>
      <c r="K147" s="236">
        <v>14</v>
      </c>
      <c r="L147" s="236">
        <v>0</v>
      </c>
      <c r="M147" s="236">
        <v>22</v>
      </c>
    </row>
    <row r="148" spans="1:13" s="230" customFormat="1" ht="9" customHeight="1" x14ac:dyDescent="0.25">
      <c r="A148" s="230" t="s">
        <v>50</v>
      </c>
      <c r="B148" s="234">
        <f t="shared" si="3"/>
        <v>201</v>
      </c>
      <c r="C148" s="234">
        <v>168</v>
      </c>
      <c r="D148" s="234">
        <v>0</v>
      </c>
      <c r="E148" s="234">
        <v>17</v>
      </c>
      <c r="F148" s="234"/>
      <c r="G148" s="234">
        <v>4</v>
      </c>
      <c r="H148" s="234">
        <v>0</v>
      </c>
      <c r="I148" s="234"/>
      <c r="J148" s="234">
        <v>4</v>
      </c>
      <c r="K148" s="234">
        <v>0</v>
      </c>
      <c r="L148" s="234">
        <v>0</v>
      </c>
      <c r="M148" s="234">
        <v>8</v>
      </c>
    </row>
    <row r="149" spans="1:13" s="230" customFormat="1" ht="9" customHeight="1" x14ac:dyDescent="0.25">
      <c r="A149" s="230" t="s">
        <v>51</v>
      </c>
      <c r="B149" s="234">
        <f t="shared" si="3"/>
        <v>1376</v>
      </c>
      <c r="C149" s="234">
        <v>494</v>
      </c>
      <c r="D149" s="234">
        <v>524</v>
      </c>
      <c r="E149" s="234">
        <v>156</v>
      </c>
      <c r="F149" s="234"/>
      <c r="G149" s="234">
        <v>85</v>
      </c>
      <c r="H149" s="234">
        <v>46</v>
      </c>
      <c r="I149" s="234"/>
      <c r="J149" s="234">
        <v>14</v>
      </c>
      <c r="K149" s="234">
        <v>19</v>
      </c>
      <c r="L149" s="234">
        <v>0</v>
      </c>
      <c r="M149" s="234">
        <v>38</v>
      </c>
    </row>
    <row r="150" spans="1:13" s="230" customFormat="1" ht="9" customHeight="1" x14ac:dyDescent="0.25">
      <c r="A150" s="230" t="s">
        <v>52</v>
      </c>
      <c r="B150" s="234">
        <f t="shared" si="3"/>
        <v>319</v>
      </c>
      <c r="C150" s="234">
        <v>151</v>
      </c>
      <c r="D150" s="234">
        <v>87</v>
      </c>
      <c r="E150" s="234">
        <v>55</v>
      </c>
      <c r="F150" s="234"/>
      <c r="G150" s="234">
        <v>16</v>
      </c>
      <c r="H150" s="234">
        <v>1</v>
      </c>
      <c r="I150" s="234"/>
      <c r="J150" s="234">
        <v>5</v>
      </c>
      <c r="K150" s="234">
        <v>2</v>
      </c>
      <c r="L150" s="234">
        <v>0</v>
      </c>
      <c r="M150" s="234">
        <v>2</v>
      </c>
    </row>
    <row r="151" spans="1:13" s="230" customFormat="1" ht="9" customHeight="1" x14ac:dyDescent="0.25">
      <c r="A151" s="235" t="s">
        <v>53</v>
      </c>
      <c r="B151" s="236">
        <f t="shared" si="3"/>
        <v>376</v>
      </c>
      <c r="C151" s="236">
        <v>145</v>
      </c>
      <c r="D151" s="236">
        <v>146</v>
      </c>
      <c r="E151" s="235">
        <v>39</v>
      </c>
      <c r="F151" s="235"/>
      <c r="G151" s="236">
        <v>39</v>
      </c>
      <c r="H151" s="236">
        <v>2</v>
      </c>
      <c r="I151" s="236"/>
      <c r="J151" s="236">
        <v>2</v>
      </c>
      <c r="K151" s="236">
        <v>0</v>
      </c>
      <c r="L151" s="236">
        <v>0</v>
      </c>
      <c r="M151" s="236">
        <v>3</v>
      </c>
    </row>
    <row r="152" spans="1:13" s="230" customFormat="1" ht="8.25" customHeight="1" x14ac:dyDescent="0.25">
      <c r="B152" s="234"/>
      <c r="C152" s="234"/>
      <c r="D152" s="234"/>
      <c r="G152" s="234"/>
      <c r="H152" s="234"/>
      <c r="I152" s="234"/>
      <c r="J152" s="234"/>
      <c r="K152" s="234"/>
      <c r="L152" s="234"/>
      <c r="M152" s="234"/>
    </row>
    <row r="153" spans="1:13" s="230" customFormat="1" ht="9" customHeight="1" x14ac:dyDescent="0.25">
      <c r="A153" s="228">
        <v>1999</v>
      </c>
      <c r="B153" s="229"/>
      <c r="C153" s="229"/>
      <c r="D153" s="229"/>
      <c r="E153" s="229"/>
      <c r="F153" s="229"/>
      <c r="G153" s="229"/>
      <c r="H153" s="229"/>
      <c r="I153" s="229"/>
      <c r="J153" s="229"/>
      <c r="K153" s="229"/>
      <c r="M153" s="229"/>
    </row>
    <row r="154" spans="1:13" s="230" customFormat="1" ht="9" customHeight="1" x14ac:dyDescent="0.25">
      <c r="A154" s="231" t="s">
        <v>21</v>
      </c>
      <c r="B154" s="232">
        <f>SUM(B156:B187)</f>
        <v>18335</v>
      </c>
      <c r="C154" s="232">
        <f>SUM(C156:C187)</f>
        <v>10493</v>
      </c>
      <c r="D154" s="232">
        <f>SUM(D156:D187)</f>
        <v>3609</v>
      </c>
      <c r="E154" s="232">
        <f>SUM(E156:E187)</f>
        <v>1784</v>
      </c>
      <c r="F154" s="232"/>
      <c r="G154" s="232">
        <f>SUM(G156:G187)</f>
        <v>1232</v>
      </c>
      <c r="H154" s="232">
        <f>SUM(H156:H187)</f>
        <v>219</v>
      </c>
      <c r="I154" s="232"/>
      <c r="J154" s="232">
        <f>SUM(J156:J187)</f>
        <v>357</v>
      </c>
      <c r="K154" s="232">
        <f>SUM(K156:K187)</f>
        <v>126</v>
      </c>
      <c r="L154" s="232">
        <f>SUM(L156:L187)</f>
        <v>196</v>
      </c>
      <c r="M154" s="232">
        <f>SUM(M156:M187)</f>
        <v>319</v>
      </c>
    </row>
    <row r="155" spans="1:13" s="230" customFormat="1" ht="4.7" customHeight="1" x14ac:dyDescent="0.25">
      <c r="A155" s="231"/>
      <c r="B155" s="232"/>
      <c r="C155" s="232"/>
      <c r="D155" s="232"/>
      <c r="E155" s="232"/>
      <c r="F155" s="232"/>
      <c r="G155" s="232"/>
      <c r="H155" s="232"/>
      <c r="I155" s="232"/>
      <c r="J155" s="232"/>
      <c r="K155" s="232"/>
      <c r="L155" s="232"/>
      <c r="M155" s="232"/>
    </row>
    <row r="156" spans="1:13" s="230" customFormat="1" ht="9" customHeight="1" x14ac:dyDescent="0.25">
      <c r="A156" s="230" t="s">
        <v>23</v>
      </c>
      <c r="B156" s="234">
        <f t="shared" ref="B156:B187" si="4">SUM(C156:M156)</f>
        <v>116</v>
      </c>
      <c r="C156" s="234">
        <v>84</v>
      </c>
      <c r="D156" s="234">
        <v>0</v>
      </c>
      <c r="E156" s="234">
        <v>13</v>
      </c>
      <c r="F156" s="234"/>
      <c r="G156" s="234">
        <v>12</v>
      </c>
      <c r="H156" s="234">
        <v>2</v>
      </c>
      <c r="I156" s="234"/>
      <c r="J156" s="234">
        <v>3</v>
      </c>
      <c r="K156" s="234">
        <v>0</v>
      </c>
      <c r="L156" s="234">
        <v>0</v>
      </c>
      <c r="M156" s="234">
        <v>2</v>
      </c>
    </row>
    <row r="157" spans="1:13" s="230" customFormat="1" ht="9" customHeight="1" x14ac:dyDescent="0.25">
      <c r="A157" s="230" t="s">
        <v>24</v>
      </c>
      <c r="B157" s="234">
        <f t="shared" si="4"/>
        <v>225</v>
      </c>
      <c r="C157" s="234">
        <v>113</v>
      </c>
      <c r="D157" s="234">
        <v>12</v>
      </c>
      <c r="E157" s="234">
        <v>37</v>
      </c>
      <c r="F157" s="234"/>
      <c r="G157" s="234">
        <v>15</v>
      </c>
      <c r="H157" s="234">
        <v>3</v>
      </c>
      <c r="I157" s="234"/>
      <c r="J157" s="234">
        <v>12</v>
      </c>
      <c r="K157" s="234">
        <v>6</v>
      </c>
      <c r="L157" s="234">
        <v>21</v>
      </c>
      <c r="M157" s="234">
        <v>6</v>
      </c>
    </row>
    <row r="158" spans="1:13" s="230" customFormat="1" ht="9" customHeight="1" x14ac:dyDescent="0.25">
      <c r="A158" s="230" t="s">
        <v>25</v>
      </c>
      <c r="B158" s="234">
        <f t="shared" si="4"/>
        <v>165</v>
      </c>
      <c r="C158" s="234">
        <v>75</v>
      </c>
      <c r="D158" s="234">
        <v>0</v>
      </c>
      <c r="E158" s="234">
        <v>33</v>
      </c>
      <c r="F158" s="234"/>
      <c r="G158" s="234">
        <v>30</v>
      </c>
      <c r="H158" s="234">
        <v>1</v>
      </c>
      <c r="I158" s="234"/>
      <c r="J158" s="234">
        <v>6</v>
      </c>
      <c r="K158" s="234">
        <v>7</v>
      </c>
      <c r="L158" s="234">
        <v>0</v>
      </c>
      <c r="M158" s="234">
        <v>13</v>
      </c>
    </row>
    <row r="159" spans="1:13" s="230" customFormat="1" ht="9" customHeight="1" x14ac:dyDescent="0.25">
      <c r="A159" s="235" t="s">
        <v>26</v>
      </c>
      <c r="B159" s="236">
        <f t="shared" si="4"/>
        <v>278</v>
      </c>
      <c r="C159" s="236">
        <v>144</v>
      </c>
      <c r="D159" s="236">
        <v>36</v>
      </c>
      <c r="E159" s="236">
        <v>20</v>
      </c>
      <c r="F159" s="236"/>
      <c r="G159" s="236">
        <v>13</v>
      </c>
      <c r="H159" s="236">
        <v>53</v>
      </c>
      <c r="I159" s="236"/>
      <c r="J159" s="236">
        <v>4</v>
      </c>
      <c r="K159" s="236">
        <v>6</v>
      </c>
      <c r="L159" s="236">
        <v>0</v>
      </c>
      <c r="M159" s="236">
        <v>2</v>
      </c>
    </row>
    <row r="160" spans="1:13" s="230" customFormat="1" ht="9" customHeight="1" x14ac:dyDescent="0.25">
      <c r="A160" s="230" t="s">
        <v>27</v>
      </c>
      <c r="B160" s="234">
        <f t="shared" si="4"/>
        <v>391</v>
      </c>
      <c r="C160" s="234">
        <v>182</v>
      </c>
      <c r="D160" s="234">
        <v>82</v>
      </c>
      <c r="E160" s="234">
        <v>72</v>
      </c>
      <c r="F160" s="234"/>
      <c r="G160" s="234">
        <v>31</v>
      </c>
      <c r="H160" s="234">
        <v>4</v>
      </c>
      <c r="I160" s="234"/>
      <c r="J160" s="234">
        <v>8</v>
      </c>
      <c r="K160" s="234">
        <v>0</v>
      </c>
      <c r="L160" s="234">
        <v>0</v>
      </c>
      <c r="M160" s="234">
        <v>12</v>
      </c>
    </row>
    <row r="161" spans="1:13" s="230" customFormat="1" ht="9" customHeight="1" x14ac:dyDescent="0.25">
      <c r="A161" s="230" t="s">
        <v>28</v>
      </c>
      <c r="B161" s="234">
        <f t="shared" si="4"/>
        <v>160</v>
      </c>
      <c r="C161" s="234">
        <v>116</v>
      </c>
      <c r="D161" s="234">
        <v>0</v>
      </c>
      <c r="E161" s="234">
        <v>18</v>
      </c>
      <c r="F161" s="234"/>
      <c r="G161" s="234">
        <v>5</v>
      </c>
      <c r="H161" s="234">
        <v>1</v>
      </c>
      <c r="I161" s="234"/>
      <c r="J161" s="234">
        <v>4</v>
      </c>
      <c r="K161" s="234">
        <v>11</v>
      </c>
      <c r="L161" s="234">
        <v>0</v>
      </c>
      <c r="M161" s="234">
        <v>5</v>
      </c>
    </row>
    <row r="162" spans="1:13" s="230" customFormat="1" ht="9" customHeight="1" x14ac:dyDescent="0.25">
      <c r="A162" s="230" t="s">
        <v>29</v>
      </c>
      <c r="B162" s="234">
        <f t="shared" si="4"/>
        <v>1033</v>
      </c>
      <c r="C162" s="234">
        <v>328</v>
      </c>
      <c r="D162" s="234">
        <v>562</v>
      </c>
      <c r="E162" s="234">
        <v>47</v>
      </c>
      <c r="F162" s="234"/>
      <c r="G162" s="234">
        <v>43</v>
      </c>
      <c r="H162" s="234">
        <v>5</v>
      </c>
      <c r="I162" s="234"/>
      <c r="J162" s="234">
        <v>26</v>
      </c>
      <c r="K162" s="234">
        <v>3</v>
      </c>
      <c r="L162" s="234">
        <v>12</v>
      </c>
      <c r="M162" s="234">
        <v>7</v>
      </c>
    </row>
    <row r="163" spans="1:13" s="230" customFormat="1" ht="9" customHeight="1" x14ac:dyDescent="0.25">
      <c r="A163" s="235" t="s">
        <v>30</v>
      </c>
      <c r="B163" s="236">
        <f t="shared" si="4"/>
        <v>570</v>
      </c>
      <c r="C163" s="236">
        <v>265</v>
      </c>
      <c r="D163" s="236">
        <v>146</v>
      </c>
      <c r="E163" s="236">
        <v>62</v>
      </c>
      <c r="F163" s="236"/>
      <c r="G163" s="236">
        <v>56</v>
      </c>
      <c r="H163" s="236">
        <v>4</v>
      </c>
      <c r="I163" s="236"/>
      <c r="J163" s="236">
        <v>20</v>
      </c>
      <c r="K163" s="236">
        <v>0</v>
      </c>
      <c r="L163" s="236">
        <v>0</v>
      </c>
      <c r="M163" s="236">
        <v>17</v>
      </c>
    </row>
    <row r="164" spans="1:13" s="230" customFormat="1" ht="9" customHeight="1" x14ac:dyDescent="0.25">
      <c r="A164" s="405" t="s">
        <v>63</v>
      </c>
      <c r="B164" s="234">
        <f t="shared" si="4"/>
        <v>764</v>
      </c>
      <c r="C164" s="234">
        <v>377</v>
      </c>
      <c r="D164" s="234">
        <v>1</v>
      </c>
      <c r="E164" s="234">
        <v>146</v>
      </c>
      <c r="F164" s="234"/>
      <c r="G164" s="234">
        <v>134</v>
      </c>
      <c r="H164" s="234">
        <v>13</v>
      </c>
      <c r="I164" s="234"/>
      <c r="J164" s="234">
        <v>71</v>
      </c>
      <c r="K164" s="234">
        <v>9</v>
      </c>
      <c r="L164" s="234">
        <v>12</v>
      </c>
      <c r="M164" s="234">
        <v>1</v>
      </c>
    </row>
    <row r="165" spans="1:13" s="230" customFormat="1" ht="9" customHeight="1" x14ac:dyDescent="0.25">
      <c r="A165" s="230" t="s">
        <v>31</v>
      </c>
      <c r="B165" s="234">
        <f t="shared" si="4"/>
        <v>471</v>
      </c>
      <c r="C165" s="234">
        <v>186</v>
      </c>
      <c r="D165" s="234">
        <v>166</v>
      </c>
      <c r="E165" s="234">
        <v>65</v>
      </c>
      <c r="F165" s="234"/>
      <c r="G165" s="234">
        <v>42</v>
      </c>
      <c r="H165" s="234">
        <v>1</v>
      </c>
      <c r="I165" s="234"/>
      <c r="J165" s="234">
        <v>6</v>
      </c>
      <c r="K165" s="234">
        <v>0</v>
      </c>
      <c r="L165" s="234">
        <v>0</v>
      </c>
      <c r="M165" s="234">
        <v>5</v>
      </c>
    </row>
    <row r="166" spans="1:13" s="230" customFormat="1" ht="9" customHeight="1" x14ac:dyDescent="0.25">
      <c r="A166" s="230" t="s">
        <v>32</v>
      </c>
      <c r="B166" s="234">
        <f t="shared" si="4"/>
        <v>616</v>
      </c>
      <c r="C166" s="234">
        <v>491</v>
      </c>
      <c r="D166" s="234">
        <v>0</v>
      </c>
      <c r="E166" s="234">
        <v>55</v>
      </c>
      <c r="F166" s="234"/>
      <c r="G166" s="234">
        <v>41</v>
      </c>
      <c r="H166" s="234">
        <v>5</v>
      </c>
      <c r="I166" s="234"/>
      <c r="J166" s="234">
        <v>9</v>
      </c>
      <c r="K166" s="234">
        <v>0</v>
      </c>
      <c r="L166" s="234">
        <v>0</v>
      </c>
      <c r="M166" s="234">
        <v>15</v>
      </c>
    </row>
    <row r="167" spans="1:13" s="230" customFormat="1" ht="9" customHeight="1" x14ac:dyDescent="0.25">
      <c r="A167" s="235" t="s">
        <v>33</v>
      </c>
      <c r="B167" s="236">
        <f t="shared" si="4"/>
        <v>989</v>
      </c>
      <c r="C167" s="236">
        <v>878</v>
      </c>
      <c r="D167" s="236">
        <v>0</v>
      </c>
      <c r="E167" s="236">
        <v>30</v>
      </c>
      <c r="F167" s="236"/>
      <c r="G167" s="236">
        <v>51</v>
      </c>
      <c r="H167" s="236">
        <v>0</v>
      </c>
      <c r="I167" s="236"/>
      <c r="J167" s="236">
        <v>15</v>
      </c>
      <c r="K167" s="236">
        <v>7</v>
      </c>
      <c r="L167" s="236">
        <v>0</v>
      </c>
      <c r="M167" s="236">
        <v>8</v>
      </c>
    </row>
    <row r="168" spans="1:13" s="230" customFormat="1" ht="9" customHeight="1" x14ac:dyDescent="0.25">
      <c r="A168" s="230" t="s">
        <v>34</v>
      </c>
      <c r="B168" s="234">
        <f t="shared" si="4"/>
        <v>710</v>
      </c>
      <c r="C168" s="234">
        <v>405</v>
      </c>
      <c r="D168" s="234">
        <v>218</v>
      </c>
      <c r="E168" s="234">
        <v>24</v>
      </c>
      <c r="F168" s="234"/>
      <c r="G168" s="234">
        <v>43</v>
      </c>
      <c r="H168" s="234">
        <v>6</v>
      </c>
      <c r="I168" s="234"/>
      <c r="J168" s="234">
        <v>4</v>
      </c>
      <c r="K168" s="234">
        <v>0</v>
      </c>
      <c r="L168" s="234">
        <v>0</v>
      </c>
      <c r="M168" s="234">
        <v>10</v>
      </c>
    </row>
    <row r="169" spans="1:13" s="230" customFormat="1" ht="9" customHeight="1" x14ac:dyDescent="0.25">
      <c r="A169" s="230" t="s">
        <v>35</v>
      </c>
      <c r="B169" s="234">
        <f t="shared" si="4"/>
        <v>1017</v>
      </c>
      <c r="C169" s="234">
        <v>717</v>
      </c>
      <c r="D169" s="234">
        <v>0</v>
      </c>
      <c r="E169" s="234">
        <v>180</v>
      </c>
      <c r="F169" s="234"/>
      <c r="G169" s="234">
        <v>87</v>
      </c>
      <c r="H169" s="234">
        <v>3</v>
      </c>
      <c r="I169" s="234"/>
      <c r="J169" s="234">
        <v>13</v>
      </c>
      <c r="K169" s="234">
        <v>2</v>
      </c>
      <c r="L169" s="234">
        <v>0</v>
      </c>
      <c r="M169" s="234">
        <v>15</v>
      </c>
    </row>
    <row r="170" spans="1:13" s="230" customFormat="1" ht="9" customHeight="1" x14ac:dyDescent="0.25">
      <c r="A170" s="230" t="s">
        <v>36</v>
      </c>
      <c r="B170" s="234">
        <f t="shared" si="4"/>
        <v>1255</v>
      </c>
      <c r="C170" s="234">
        <v>971</v>
      </c>
      <c r="D170" s="234">
        <v>0</v>
      </c>
      <c r="E170" s="234">
        <v>112</v>
      </c>
      <c r="F170" s="234"/>
      <c r="G170" s="234">
        <v>48</v>
      </c>
      <c r="H170" s="234">
        <v>4</v>
      </c>
      <c r="I170" s="234"/>
      <c r="J170" s="234">
        <v>28</v>
      </c>
      <c r="K170" s="234">
        <v>0</v>
      </c>
      <c r="L170" s="234">
        <v>71</v>
      </c>
      <c r="M170" s="234">
        <v>21</v>
      </c>
    </row>
    <row r="171" spans="1:13" s="230" customFormat="1" ht="9" customHeight="1" x14ac:dyDescent="0.25">
      <c r="A171" s="235" t="s">
        <v>37</v>
      </c>
      <c r="B171" s="236">
        <f t="shared" si="4"/>
        <v>892</v>
      </c>
      <c r="C171" s="236">
        <v>395</v>
      </c>
      <c r="D171" s="236">
        <v>339</v>
      </c>
      <c r="E171" s="236">
        <v>59</v>
      </c>
      <c r="F171" s="236"/>
      <c r="G171" s="236">
        <v>66</v>
      </c>
      <c r="H171" s="236">
        <v>3</v>
      </c>
      <c r="I171" s="236"/>
      <c r="J171" s="236">
        <v>8</v>
      </c>
      <c r="K171" s="236">
        <v>9</v>
      </c>
      <c r="L171" s="236">
        <v>0</v>
      </c>
      <c r="M171" s="236">
        <v>13</v>
      </c>
    </row>
    <row r="172" spans="1:13" s="230" customFormat="1" ht="9" customHeight="1" x14ac:dyDescent="0.25">
      <c r="A172" s="230" t="s">
        <v>38</v>
      </c>
      <c r="B172" s="234">
        <f t="shared" si="4"/>
        <v>277</v>
      </c>
      <c r="C172" s="234">
        <v>212</v>
      </c>
      <c r="D172" s="234">
        <v>0</v>
      </c>
      <c r="E172" s="234">
        <v>27</v>
      </c>
      <c r="F172" s="234"/>
      <c r="G172" s="234">
        <v>28</v>
      </c>
      <c r="H172" s="234">
        <v>1</v>
      </c>
      <c r="I172" s="234"/>
      <c r="J172" s="234">
        <v>6</v>
      </c>
      <c r="K172" s="234">
        <v>0</v>
      </c>
      <c r="L172" s="234">
        <v>0</v>
      </c>
      <c r="M172" s="234">
        <v>3</v>
      </c>
    </row>
    <row r="173" spans="1:13" s="230" customFormat="1" ht="9" customHeight="1" x14ac:dyDescent="0.25">
      <c r="A173" s="230" t="s">
        <v>39</v>
      </c>
      <c r="B173" s="234">
        <f t="shared" si="4"/>
        <v>348</v>
      </c>
      <c r="C173" s="234">
        <v>195</v>
      </c>
      <c r="D173" s="234">
        <v>80</v>
      </c>
      <c r="E173" s="234">
        <v>35</v>
      </c>
      <c r="F173" s="234"/>
      <c r="G173" s="234">
        <v>25</v>
      </c>
      <c r="H173" s="234">
        <v>0</v>
      </c>
      <c r="I173" s="234"/>
      <c r="J173" s="234">
        <v>3</v>
      </c>
      <c r="K173" s="234">
        <v>2</v>
      </c>
      <c r="L173" s="234">
        <v>0</v>
      </c>
      <c r="M173" s="234">
        <v>8</v>
      </c>
    </row>
    <row r="174" spans="1:13" s="230" customFormat="1" ht="9" customHeight="1" x14ac:dyDescent="0.25">
      <c r="A174" s="230" t="s">
        <v>40</v>
      </c>
      <c r="B174" s="234">
        <f t="shared" si="4"/>
        <v>559</v>
      </c>
      <c r="C174" s="234">
        <v>443</v>
      </c>
      <c r="D174" s="234">
        <v>0</v>
      </c>
      <c r="E174" s="234">
        <v>64</v>
      </c>
      <c r="F174" s="234"/>
      <c r="G174" s="234">
        <v>32</v>
      </c>
      <c r="H174" s="234">
        <v>6</v>
      </c>
      <c r="I174" s="234"/>
      <c r="J174" s="234">
        <v>5</v>
      </c>
      <c r="K174" s="234">
        <v>0</v>
      </c>
      <c r="L174" s="234">
        <v>4</v>
      </c>
      <c r="M174" s="234">
        <v>5</v>
      </c>
    </row>
    <row r="175" spans="1:13" s="230" customFormat="1" ht="9" customHeight="1" x14ac:dyDescent="0.25">
      <c r="A175" s="235" t="s">
        <v>41</v>
      </c>
      <c r="B175" s="236">
        <f t="shared" si="4"/>
        <v>1175</v>
      </c>
      <c r="C175" s="236">
        <v>576</v>
      </c>
      <c r="D175" s="236">
        <v>479</v>
      </c>
      <c r="E175" s="236">
        <v>34</v>
      </c>
      <c r="F175" s="236"/>
      <c r="G175" s="236">
        <v>49</v>
      </c>
      <c r="H175" s="236">
        <v>7</v>
      </c>
      <c r="I175" s="236"/>
      <c r="J175" s="236">
        <v>15</v>
      </c>
      <c r="K175" s="236">
        <v>8</v>
      </c>
      <c r="L175" s="236">
        <v>0</v>
      </c>
      <c r="M175" s="236">
        <v>7</v>
      </c>
    </row>
    <row r="176" spans="1:13" s="230" customFormat="1" ht="9" customHeight="1" x14ac:dyDescent="0.25">
      <c r="A176" s="230" t="s">
        <v>42</v>
      </c>
      <c r="B176" s="234">
        <f t="shared" si="4"/>
        <v>974</v>
      </c>
      <c r="C176" s="234">
        <v>471</v>
      </c>
      <c r="D176" s="234">
        <v>312</v>
      </c>
      <c r="E176" s="234">
        <v>56</v>
      </c>
      <c r="F176" s="234"/>
      <c r="G176" s="234">
        <v>45</v>
      </c>
      <c r="H176" s="234">
        <v>5</v>
      </c>
      <c r="I176" s="234"/>
      <c r="J176" s="234">
        <v>11</v>
      </c>
      <c r="K176" s="234">
        <v>0</v>
      </c>
      <c r="L176" s="234">
        <v>59</v>
      </c>
      <c r="M176" s="234">
        <v>15</v>
      </c>
    </row>
    <row r="177" spans="1:13" s="230" customFormat="1" ht="9" customHeight="1" x14ac:dyDescent="0.25">
      <c r="A177" s="230" t="s">
        <v>43</v>
      </c>
      <c r="B177" s="234">
        <f t="shared" si="4"/>
        <v>291</v>
      </c>
      <c r="C177" s="234">
        <v>236</v>
      </c>
      <c r="D177" s="234">
        <v>0</v>
      </c>
      <c r="E177" s="234">
        <v>27</v>
      </c>
      <c r="F177" s="234"/>
      <c r="G177" s="234">
        <v>19</v>
      </c>
      <c r="H177" s="234">
        <v>1</v>
      </c>
      <c r="I177" s="234"/>
      <c r="J177" s="234">
        <v>6</v>
      </c>
      <c r="K177" s="234">
        <v>0</v>
      </c>
      <c r="L177" s="234">
        <v>0</v>
      </c>
      <c r="M177" s="234">
        <v>2</v>
      </c>
    </row>
    <row r="178" spans="1:13" s="230" customFormat="1" ht="9" customHeight="1" x14ac:dyDescent="0.25">
      <c r="A178" s="230" t="s">
        <v>44</v>
      </c>
      <c r="B178" s="234">
        <f t="shared" si="4"/>
        <v>199</v>
      </c>
      <c r="C178" s="234">
        <v>166</v>
      </c>
      <c r="D178" s="234">
        <v>0</v>
      </c>
      <c r="E178" s="234">
        <v>16</v>
      </c>
      <c r="F178" s="234"/>
      <c r="G178" s="234">
        <v>8</v>
      </c>
      <c r="H178" s="234">
        <v>0</v>
      </c>
      <c r="I178" s="234"/>
      <c r="J178" s="234">
        <v>5</v>
      </c>
      <c r="K178" s="234">
        <v>4</v>
      </c>
      <c r="L178" s="234">
        <v>0</v>
      </c>
      <c r="M178" s="234">
        <v>0</v>
      </c>
    </row>
    <row r="179" spans="1:13" s="230" customFormat="1" ht="9" customHeight="1" x14ac:dyDescent="0.25">
      <c r="A179" s="235" t="s">
        <v>45</v>
      </c>
      <c r="B179" s="236">
        <f t="shared" si="4"/>
        <v>545</v>
      </c>
      <c r="C179" s="236">
        <v>259</v>
      </c>
      <c r="D179" s="236">
        <v>206</v>
      </c>
      <c r="E179" s="236">
        <v>41</v>
      </c>
      <c r="F179" s="236"/>
      <c r="G179" s="236">
        <v>28</v>
      </c>
      <c r="H179" s="236">
        <v>2</v>
      </c>
      <c r="I179" s="236"/>
      <c r="J179" s="236">
        <v>3</v>
      </c>
      <c r="K179" s="236">
        <v>0</v>
      </c>
      <c r="L179" s="236">
        <v>0</v>
      </c>
      <c r="M179" s="236">
        <v>6</v>
      </c>
    </row>
    <row r="180" spans="1:13" s="230" customFormat="1" ht="9" customHeight="1" x14ac:dyDescent="0.25">
      <c r="A180" s="230" t="s">
        <v>46</v>
      </c>
      <c r="B180" s="234">
        <f t="shared" si="4"/>
        <v>469</v>
      </c>
      <c r="C180" s="234">
        <v>207</v>
      </c>
      <c r="D180" s="234">
        <v>107</v>
      </c>
      <c r="E180" s="234">
        <v>77</v>
      </c>
      <c r="F180" s="234"/>
      <c r="G180" s="234">
        <v>39</v>
      </c>
      <c r="H180" s="234">
        <v>3</v>
      </c>
      <c r="I180" s="234"/>
      <c r="J180" s="234">
        <v>8</v>
      </c>
      <c r="K180" s="234">
        <v>6</v>
      </c>
      <c r="L180" s="234">
        <v>0</v>
      </c>
      <c r="M180" s="234">
        <v>22</v>
      </c>
    </row>
    <row r="181" spans="1:13" s="230" customFormat="1" ht="9" customHeight="1" x14ac:dyDescent="0.25">
      <c r="A181" s="230" t="s">
        <v>47</v>
      </c>
      <c r="B181" s="234">
        <f t="shared" si="4"/>
        <v>400</v>
      </c>
      <c r="C181" s="234">
        <v>228</v>
      </c>
      <c r="D181" s="234">
        <v>0</v>
      </c>
      <c r="E181" s="234">
        <v>75</v>
      </c>
      <c r="F181" s="234"/>
      <c r="G181" s="234">
        <v>39</v>
      </c>
      <c r="H181" s="234">
        <v>3</v>
      </c>
      <c r="I181" s="234"/>
      <c r="J181" s="234">
        <v>13</v>
      </c>
      <c r="K181" s="234">
        <v>7</v>
      </c>
      <c r="L181" s="234">
        <v>11</v>
      </c>
      <c r="M181" s="234">
        <v>24</v>
      </c>
    </row>
    <row r="182" spans="1:13" s="230" customFormat="1" ht="9" customHeight="1" x14ac:dyDescent="0.25">
      <c r="A182" s="230" t="s">
        <v>48</v>
      </c>
      <c r="B182" s="234">
        <f t="shared" si="4"/>
        <v>604</v>
      </c>
      <c r="C182" s="234">
        <v>503</v>
      </c>
      <c r="D182" s="234">
        <v>0</v>
      </c>
      <c r="E182" s="234">
        <v>35</v>
      </c>
      <c r="F182" s="234"/>
      <c r="G182" s="234">
        <v>25</v>
      </c>
      <c r="H182" s="234">
        <v>18</v>
      </c>
      <c r="I182" s="234"/>
      <c r="J182" s="234">
        <v>9</v>
      </c>
      <c r="K182" s="234">
        <v>4</v>
      </c>
      <c r="L182" s="234">
        <v>6</v>
      </c>
      <c r="M182" s="234">
        <v>4</v>
      </c>
    </row>
    <row r="183" spans="1:13" s="230" customFormat="1" ht="9" customHeight="1" x14ac:dyDescent="0.25">
      <c r="A183" s="235" t="s">
        <v>49</v>
      </c>
      <c r="B183" s="236">
        <f t="shared" si="4"/>
        <v>497</v>
      </c>
      <c r="C183" s="236">
        <v>245</v>
      </c>
      <c r="D183" s="236">
        <v>106</v>
      </c>
      <c r="E183" s="236">
        <v>53</v>
      </c>
      <c r="F183" s="236"/>
      <c r="G183" s="236">
        <v>34</v>
      </c>
      <c r="H183" s="236">
        <v>16</v>
      </c>
      <c r="I183" s="236"/>
      <c r="J183" s="236">
        <v>8</v>
      </c>
      <c r="K183" s="236">
        <v>13</v>
      </c>
      <c r="L183" s="236">
        <v>0</v>
      </c>
      <c r="M183" s="236">
        <v>22</v>
      </c>
    </row>
    <row r="184" spans="1:13" s="230" customFormat="1" ht="9" customHeight="1" x14ac:dyDescent="0.25">
      <c r="A184" s="230" t="s">
        <v>50</v>
      </c>
      <c r="B184" s="234">
        <f t="shared" si="4"/>
        <v>203</v>
      </c>
      <c r="C184" s="234">
        <v>168</v>
      </c>
      <c r="D184" s="234">
        <v>0</v>
      </c>
      <c r="E184" s="234">
        <v>17</v>
      </c>
      <c r="F184" s="234"/>
      <c r="G184" s="234">
        <v>4</v>
      </c>
      <c r="H184" s="234">
        <v>0</v>
      </c>
      <c r="I184" s="234"/>
      <c r="J184" s="234">
        <v>6</v>
      </c>
      <c r="K184" s="234">
        <v>0</v>
      </c>
      <c r="L184" s="234">
        <v>0</v>
      </c>
      <c r="M184" s="234">
        <v>8</v>
      </c>
    </row>
    <row r="185" spans="1:13" s="230" customFormat="1" ht="9" customHeight="1" x14ac:dyDescent="0.25">
      <c r="A185" s="230" t="s">
        <v>51</v>
      </c>
      <c r="B185" s="234">
        <f t="shared" si="4"/>
        <v>1431</v>
      </c>
      <c r="C185" s="234">
        <v>543</v>
      </c>
      <c r="D185" s="234">
        <v>524</v>
      </c>
      <c r="E185" s="234">
        <v>159</v>
      </c>
      <c r="F185" s="234"/>
      <c r="G185" s="234">
        <v>85</v>
      </c>
      <c r="H185" s="234">
        <v>46</v>
      </c>
      <c r="I185" s="234"/>
      <c r="J185" s="234">
        <v>16</v>
      </c>
      <c r="K185" s="234">
        <v>20</v>
      </c>
      <c r="L185" s="234">
        <v>0</v>
      </c>
      <c r="M185" s="234">
        <v>38</v>
      </c>
    </row>
    <row r="186" spans="1:13" s="230" customFormat="1" ht="9" customHeight="1" x14ac:dyDescent="0.25">
      <c r="A186" s="230" t="s">
        <v>52</v>
      </c>
      <c r="B186" s="234">
        <f t="shared" si="4"/>
        <v>322</v>
      </c>
      <c r="C186" s="234">
        <v>155</v>
      </c>
      <c r="D186" s="234">
        <v>87</v>
      </c>
      <c r="E186" s="234">
        <v>55</v>
      </c>
      <c r="F186" s="234"/>
      <c r="G186" s="234">
        <v>16</v>
      </c>
      <c r="H186" s="234">
        <v>1</v>
      </c>
      <c r="I186" s="234"/>
      <c r="J186" s="234">
        <v>4</v>
      </c>
      <c r="K186" s="234">
        <v>2</v>
      </c>
      <c r="L186" s="234">
        <v>0</v>
      </c>
      <c r="M186" s="234">
        <v>2</v>
      </c>
    </row>
    <row r="187" spans="1:13" s="230" customFormat="1" ht="9" customHeight="1" x14ac:dyDescent="0.25">
      <c r="A187" s="235" t="s">
        <v>53</v>
      </c>
      <c r="B187" s="236">
        <f t="shared" si="4"/>
        <v>389</v>
      </c>
      <c r="C187" s="236">
        <v>159</v>
      </c>
      <c r="D187" s="236">
        <v>146</v>
      </c>
      <c r="E187" s="236">
        <v>40</v>
      </c>
      <c r="F187" s="236"/>
      <c r="G187" s="236">
        <v>39</v>
      </c>
      <c r="H187" s="236">
        <v>2</v>
      </c>
      <c r="I187" s="236"/>
      <c r="J187" s="236">
        <v>2</v>
      </c>
      <c r="K187" s="236">
        <v>0</v>
      </c>
      <c r="L187" s="236">
        <v>0</v>
      </c>
      <c r="M187" s="236">
        <v>1</v>
      </c>
    </row>
    <row r="188" spans="1:13" s="230" customFormat="1" ht="8.25" customHeight="1" x14ac:dyDescent="0.25">
      <c r="A188" s="228"/>
      <c r="B188" s="229"/>
      <c r="C188" s="229"/>
      <c r="D188" s="229"/>
      <c r="E188" s="229"/>
      <c r="F188" s="229"/>
      <c r="G188" s="229"/>
      <c r="H188" s="229"/>
      <c r="I188" s="229"/>
      <c r="J188" s="229"/>
      <c r="K188" s="229"/>
      <c r="M188" s="229"/>
    </row>
    <row r="189" spans="1:13" s="230" customFormat="1" ht="9" customHeight="1" x14ac:dyDescent="0.25">
      <c r="A189" s="228">
        <v>2000</v>
      </c>
      <c r="B189" s="229"/>
      <c r="C189" s="229"/>
      <c r="D189" s="229"/>
      <c r="E189" s="229"/>
      <c r="F189" s="229"/>
      <c r="G189" s="229"/>
      <c r="H189" s="229"/>
      <c r="I189" s="229"/>
      <c r="J189" s="229"/>
      <c r="K189" s="229"/>
      <c r="M189" s="229"/>
    </row>
    <row r="190" spans="1:13" s="230" customFormat="1" ht="9" customHeight="1" x14ac:dyDescent="0.25">
      <c r="A190" s="231" t="s">
        <v>21</v>
      </c>
      <c r="B190" s="232">
        <f>SUM(B192:B223)</f>
        <v>19107</v>
      </c>
      <c r="C190" s="232">
        <f>SUM(C192:C223)</f>
        <v>11551</v>
      </c>
      <c r="D190" s="232">
        <f>SUM(D192:D223)</f>
        <v>3609</v>
      </c>
      <c r="E190" s="232">
        <f>SUM(E192:E223)</f>
        <v>1784</v>
      </c>
      <c r="F190" s="232"/>
      <c r="G190" s="232">
        <f>SUM(G192:G223)</f>
        <v>1244</v>
      </c>
      <c r="H190" s="232">
        <f>SUM(H192:H223)</f>
        <v>215</v>
      </c>
      <c r="I190" s="232"/>
      <c r="J190" s="232">
        <f>SUM(J192:J223)</f>
        <v>296</v>
      </c>
      <c r="K190" s="232">
        <f>SUM(K192:K223)</f>
        <v>142</v>
      </c>
      <c r="L190" s="232">
        <f>SUM(L192:L223)</f>
        <v>187</v>
      </c>
      <c r="M190" s="232">
        <f>SUM(M192:M223)</f>
        <v>79</v>
      </c>
    </row>
    <row r="191" spans="1:13" s="230" customFormat="1" ht="3.95" customHeight="1" x14ac:dyDescent="0.25">
      <c r="A191" s="231"/>
      <c r="B191" s="232"/>
      <c r="C191" s="232"/>
      <c r="D191" s="232"/>
      <c r="E191" s="232"/>
      <c r="F191" s="232"/>
      <c r="G191" s="232"/>
      <c r="H191" s="232"/>
      <c r="I191" s="232"/>
      <c r="J191" s="232"/>
      <c r="K191" s="232"/>
      <c r="L191" s="232"/>
      <c r="M191" s="232"/>
    </row>
    <row r="192" spans="1:13" s="230" customFormat="1" ht="9" customHeight="1" x14ac:dyDescent="0.25">
      <c r="A192" s="230" t="s">
        <v>23</v>
      </c>
      <c r="B192" s="234">
        <f t="shared" ref="B192:B223" si="5">SUM(C192:M192)</f>
        <v>119</v>
      </c>
      <c r="C192" s="234">
        <v>88</v>
      </c>
      <c r="D192" s="234">
        <v>0</v>
      </c>
      <c r="E192" s="234">
        <v>13</v>
      </c>
      <c r="F192" s="234"/>
      <c r="G192" s="234">
        <v>12</v>
      </c>
      <c r="H192" s="234">
        <v>1</v>
      </c>
      <c r="I192" s="234"/>
      <c r="J192" s="234">
        <v>2</v>
      </c>
      <c r="K192" s="234">
        <v>0</v>
      </c>
      <c r="L192" s="234">
        <v>1</v>
      </c>
      <c r="M192" s="234">
        <v>2</v>
      </c>
    </row>
    <row r="193" spans="1:13" s="230" customFormat="1" ht="9" customHeight="1" x14ac:dyDescent="0.25">
      <c r="A193" s="230" t="s">
        <v>24</v>
      </c>
      <c r="B193" s="234">
        <f t="shared" si="5"/>
        <v>229</v>
      </c>
      <c r="C193" s="234">
        <v>125</v>
      </c>
      <c r="D193" s="234">
        <v>12</v>
      </c>
      <c r="E193" s="234">
        <v>39</v>
      </c>
      <c r="F193" s="234"/>
      <c r="G193" s="234">
        <v>15</v>
      </c>
      <c r="H193" s="234">
        <v>2</v>
      </c>
      <c r="I193" s="234"/>
      <c r="J193" s="234">
        <v>10</v>
      </c>
      <c r="K193" s="234">
        <v>4</v>
      </c>
      <c r="L193" s="234">
        <v>22</v>
      </c>
      <c r="M193" s="234">
        <v>0</v>
      </c>
    </row>
    <row r="194" spans="1:13" s="230" customFormat="1" ht="9" customHeight="1" x14ac:dyDescent="0.25">
      <c r="A194" s="230" t="s">
        <v>25</v>
      </c>
      <c r="B194" s="234">
        <f t="shared" si="5"/>
        <v>155</v>
      </c>
      <c r="C194" s="234">
        <v>77</v>
      </c>
      <c r="D194" s="234">
        <v>0</v>
      </c>
      <c r="E194" s="234">
        <v>34</v>
      </c>
      <c r="F194" s="234"/>
      <c r="G194" s="234">
        <v>30</v>
      </c>
      <c r="H194" s="234">
        <v>1</v>
      </c>
      <c r="I194" s="234"/>
      <c r="J194" s="234">
        <v>6</v>
      </c>
      <c r="K194" s="234">
        <v>7</v>
      </c>
      <c r="L194" s="234">
        <v>0</v>
      </c>
      <c r="M194" s="234">
        <v>0</v>
      </c>
    </row>
    <row r="195" spans="1:13" s="230" customFormat="1" ht="9" customHeight="1" x14ac:dyDescent="0.25">
      <c r="A195" s="235" t="s">
        <v>26</v>
      </c>
      <c r="B195" s="236">
        <f t="shared" si="5"/>
        <v>276</v>
      </c>
      <c r="C195" s="236">
        <v>146</v>
      </c>
      <c r="D195" s="236">
        <v>36</v>
      </c>
      <c r="E195" s="236">
        <v>20</v>
      </c>
      <c r="F195" s="236"/>
      <c r="G195" s="236">
        <v>13</v>
      </c>
      <c r="H195" s="236">
        <v>52</v>
      </c>
      <c r="I195" s="236"/>
      <c r="J195" s="236">
        <v>3</v>
      </c>
      <c r="K195" s="236">
        <v>5</v>
      </c>
      <c r="L195" s="236">
        <v>0</v>
      </c>
      <c r="M195" s="236">
        <v>1</v>
      </c>
    </row>
    <row r="196" spans="1:13" s="230" customFormat="1" ht="9" customHeight="1" x14ac:dyDescent="0.25">
      <c r="A196" s="230" t="s">
        <v>27</v>
      </c>
      <c r="B196" s="234">
        <f t="shared" si="5"/>
        <v>383</v>
      </c>
      <c r="C196" s="234">
        <v>184</v>
      </c>
      <c r="D196" s="234">
        <v>82</v>
      </c>
      <c r="E196" s="234">
        <v>72</v>
      </c>
      <c r="F196" s="234"/>
      <c r="G196" s="234">
        <v>30</v>
      </c>
      <c r="H196" s="234">
        <v>3</v>
      </c>
      <c r="I196" s="234"/>
      <c r="J196" s="234">
        <v>8</v>
      </c>
      <c r="K196" s="234">
        <v>0</v>
      </c>
      <c r="L196" s="234">
        <v>0</v>
      </c>
      <c r="M196" s="234">
        <v>4</v>
      </c>
    </row>
    <row r="197" spans="1:13" s="230" customFormat="1" ht="9" customHeight="1" x14ac:dyDescent="0.25">
      <c r="A197" s="230" t="s">
        <v>28</v>
      </c>
      <c r="B197" s="234">
        <f t="shared" si="5"/>
        <v>161</v>
      </c>
      <c r="C197" s="234">
        <v>122</v>
      </c>
      <c r="D197" s="234">
        <v>0</v>
      </c>
      <c r="E197" s="234">
        <v>19</v>
      </c>
      <c r="F197" s="234"/>
      <c r="G197" s="234">
        <v>5</v>
      </c>
      <c r="H197" s="234">
        <v>1</v>
      </c>
      <c r="I197" s="234"/>
      <c r="J197" s="234">
        <v>3</v>
      </c>
      <c r="K197" s="234">
        <v>11</v>
      </c>
      <c r="L197" s="234">
        <v>0</v>
      </c>
      <c r="M197" s="234">
        <v>0</v>
      </c>
    </row>
    <row r="198" spans="1:13" s="230" customFormat="1" ht="9" customHeight="1" x14ac:dyDescent="0.25">
      <c r="A198" s="230" t="s">
        <v>29</v>
      </c>
      <c r="B198" s="234">
        <f t="shared" si="5"/>
        <v>1514</v>
      </c>
      <c r="C198" s="234">
        <v>808</v>
      </c>
      <c r="D198" s="234">
        <v>562</v>
      </c>
      <c r="E198" s="234">
        <v>45</v>
      </c>
      <c r="F198" s="234"/>
      <c r="G198" s="234">
        <v>45</v>
      </c>
      <c r="H198" s="234">
        <v>6</v>
      </c>
      <c r="I198" s="234"/>
      <c r="J198" s="234">
        <v>19</v>
      </c>
      <c r="K198" s="234">
        <v>4</v>
      </c>
      <c r="L198" s="234">
        <v>12</v>
      </c>
      <c r="M198" s="234">
        <v>13</v>
      </c>
    </row>
    <row r="199" spans="1:13" s="230" customFormat="1" ht="9" customHeight="1" x14ac:dyDescent="0.25">
      <c r="A199" s="235" t="s">
        <v>30</v>
      </c>
      <c r="B199" s="236">
        <f t="shared" si="5"/>
        <v>560</v>
      </c>
      <c r="C199" s="236">
        <v>280</v>
      </c>
      <c r="D199" s="236">
        <v>146</v>
      </c>
      <c r="E199" s="236">
        <v>61</v>
      </c>
      <c r="F199" s="236"/>
      <c r="G199" s="236">
        <v>56</v>
      </c>
      <c r="H199" s="236">
        <v>4</v>
      </c>
      <c r="I199" s="236"/>
      <c r="J199" s="236">
        <v>13</v>
      </c>
      <c r="K199" s="236">
        <v>0</v>
      </c>
      <c r="L199" s="236">
        <v>0</v>
      </c>
      <c r="M199" s="236">
        <v>0</v>
      </c>
    </row>
    <row r="200" spans="1:13" s="230" customFormat="1" ht="9" customHeight="1" x14ac:dyDescent="0.25">
      <c r="A200" s="405" t="s">
        <v>63</v>
      </c>
      <c r="B200" s="234">
        <f t="shared" si="5"/>
        <v>795</v>
      </c>
      <c r="C200" s="234">
        <v>425</v>
      </c>
      <c r="D200" s="234">
        <v>1</v>
      </c>
      <c r="E200" s="234">
        <v>148</v>
      </c>
      <c r="F200" s="234"/>
      <c r="G200" s="234">
        <v>137</v>
      </c>
      <c r="H200" s="234">
        <v>13</v>
      </c>
      <c r="I200" s="234"/>
      <c r="J200" s="234">
        <v>48</v>
      </c>
      <c r="K200" s="234">
        <v>8</v>
      </c>
      <c r="L200" s="234">
        <v>14</v>
      </c>
      <c r="M200" s="234">
        <v>1</v>
      </c>
    </row>
    <row r="201" spans="1:13" s="230" customFormat="1" ht="9" customHeight="1" x14ac:dyDescent="0.25">
      <c r="A201" s="230" t="s">
        <v>31</v>
      </c>
      <c r="B201" s="234">
        <f t="shared" si="5"/>
        <v>484</v>
      </c>
      <c r="C201" s="234">
        <v>204</v>
      </c>
      <c r="D201" s="234">
        <v>166</v>
      </c>
      <c r="E201" s="234">
        <v>64</v>
      </c>
      <c r="F201" s="234"/>
      <c r="G201" s="234">
        <v>43</v>
      </c>
      <c r="H201" s="234">
        <v>1</v>
      </c>
      <c r="I201" s="234"/>
      <c r="J201" s="234">
        <v>6</v>
      </c>
      <c r="K201" s="234">
        <v>0</v>
      </c>
      <c r="L201" s="234">
        <v>0</v>
      </c>
      <c r="M201" s="234">
        <v>0</v>
      </c>
    </row>
    <row r="202" spans="1:13" s="230" customFormat="1" ht="9" customHeight="1" x14ac:dyDescent="0.25">
      <c r="A202" s="230" t="s">
        <v>32</v>
      </c>
      <c r="B202" s="234">
        <f t="shared" si="5"/>
        <v>612</v>
      </c>
      <c r="C202" s="234">
        <v>506</v>
      </c>
      <c r="D202" s="234">
        <v>0</v>
      </c>
      <c r="E202" s="234">
        <v>54</v>
      </c>
      <c r="F202" s="234"/>
      <c r="G202" s="234">
        <v>41</v>
      </c>
      <c r="H202" s="234">
        <v>5</v>
      </c>
      <c r="I202" s="234"/>
      <c r="J202" s="234">
        <v>6</v>
      </c>
      <c r="K202" s="234">
        <v>0</v>
      </c>
      <c r="L202" s="234">
        <v>0</v>
      </c>
      <c r="M202" s="234">
        <v>0</v>
      </c>
    </row>
    <row r="203" spans="1:13" s="230" customFormat="1" ht="9" customHeight="1" x14ac:dyDescent="0.25">
      <c r="A203" s="235" t="s">
        <v>33</v>
      </c>
      <c r="B203" s="236">
        <f t="shared" si="5"/>
        <v>1009</v>
      </c>
      <c r="C203" s="236">
        <v>905</v>
      </c>
      <c r="D203" s="236">
        <v>0</v>
      </c>
      <c r="E203" s="236">
        <v>30</v>
      </c>
      <c r="F203" s="236"/>
      <c r="G203" s="236">
        <v>51</v>
      </c>
      <c r="H203" s="236">
        <v>0</v>
      </c>
      <c r="I203" s="236"/>
      <c r="J203" s="236">
        <v>16</v>
      </c>
      <c r="K203" s="236">
        <v>7</v>
      </c>
      <c r="L203" s="236">
        <v>0</v>
      </c>
      <c r="M203" s="236">
        <v>0</v>
      </c>
    </row>
    <row r="204" spans="1:13" s="230" customFormat="1" ht="9" customHeight="1" x14ac:dyDescent="0.25">
      <c r="A204" s="230" t="s">
        <v>34</v>
      </c>
      <c r="B204" s="234">
        <f t="shared" si="5"/>
        <v>746</v>
      </c>
      <c r="C204" s="234">
        <v>439</v>
      </c>
      <c r="D204" s="234">
        <v>218</v>
      </c>
      <c r="E204" s="234">
        <v>25</v>
      </c>
      <c r="F204" s="234"/>
      <c r="G204" s="234">
        <v>43</v>
      </c>
      <c r="H204" s="234">
        <v>6</v>
      </c>
      <c r="I204" s="234"/>
      <c r="J204" s="234">
        <v>3</v>
      </c>
      <c r="K204" s="234">
        <v>0</v>
      </c>
      <c r="L204" s="234">
        <v>0</v>
      </c>
      <c r="M204" s="234">
        <v>12</v>
      </c>
    </row>
    <row r="205" spans="1:13" s="230" customFormat="1" ht="9" customHeight="1" x14ac:dyDescent="0.25">
      <c r="A205" s="230" t="s">
        <v>35</v>
      </c>
      <c r="B205" s="234">
        <f t="shared" si="5"/>
        <v>1042</v>
      </c>
      <c r="C205" s="234">
        <v>745</v>
      </c>
      <c r="D205" s="234">
        <v>0</v>
      </c>
      <c r="E205" s="234">
        <v>177</v>
      </c>
      <c r="F205" s="234"/>
      <c r="G205" s="234">
        <v>88</v>
      </c>
      <c r="H205" s="234">
        <v>3</v>
      </c>
      <c r="I205" s="234"/>
      <c r="J205" s="234">
        <v>12</v>
      </c>
      <c r="K205" s="234">
        <v>2</v>
      </c>
      <c r="L205" s="234">
        <v>0</v>
      </c>
      <c r="M205" s="234">
        <v>15</v>
      </c>
    </row>
    <row r="206" spans="1:13" s="230" customFormat="1" ht="9" customHeight="1" x14ac:dyDescent="0.25">
      <c r="A206" s="230" t="s">
        <v>36</v>
      </c>
      <c r="B206" s="234">
        <f t="shared" si="5"/>
        <v>1248</v>
      </c>
      <c r="C206" s="234">
        <v>987</v>
      </c>
      <c r="D206" s="234">
        <v>0</v>
      </c>
      <c r="E206" s="234">
        <v>113</v>
      </c>
      <c r="F206" s="234"/>
      <c r="G206" s="234">
        <v>48</v>
      </c>
      <c r="H206" s="234">
        <v>4</v>
      </c>
      <c r="I206" s="234"/>
      <c r="J206" s="234">
        <v>24</v>
      </c>
      <c r="K206" s="234">
        <v>0</v>
      </c>
      <c r="L206" s="234">
        <v>72</v>
      </c>
      <c r="M206" s="234">
        <v>0</v>
      </c>
    </row>
    <row r="207" spans="1:13" s="230" customFormat="1" ht="9" customHeight="1" x14ac:dyDescent="0.25">
      <c r="A207" s="235" t="s">
        <v>37</v>
      </c>
      <c r="B207" s="236">
        <f t="shared" si="5"/>
        <v>900</v>
      </c>
      <c r="C207" s="236">
        <v>407</v>
      </c>
      <c r="D207" s="236">
        <v>339</v>
      </c>
      <c r="E207" s="236">
        <v>70</v>
      </c>
      <c r="F207" s="236"/>
      <c r="G207" s="236">
        <v>66</v>
      </c>
      <c r="H207" s="236">
        <v>1</v>
      </c>
      <c r="I207" s="236"/>
      <c r="J207" s="236">
        <v>5</v>
      </c>
      <c r="K207" s="236">
        <v>12</v>
      </c>
      <c r="L207" s="236">
        <v>0</v>
      </c>
      <c r="M207" s="236">
        <v>0</v>
      </c>
    </row>
    <row r="208" spans="1:13" s="230" customFormat="1" ht="9" customHeight="1" x14ac:dyDescent="0.25">
      <c r="A208" s="230" t="s">
        <v>38</v>
      </c>
      <c r="B208" s="234">
        <f t="shared" si="5"/>
        <v>279</v>
      </c>
      <c r="C208" s="234">
        <v>214</v>
      </c>
      <c r="D208" s="234">
        <v>0</v>
      </c>
      <c r="E208" s="234">
        <v>27</v>
      </c>
      <c r="F208" s="234"/>
      <c r="G208" s="234">
        <v>28</v>
      </c>
      <c r="H208" s="234">
        <v>1</v>
      </c>
      <c r="I208" s="234"/>
      <c r="J208" s="234">
        <v>6</v>
      </c>
      <c r="K208" s="234">
        <v>0</v>
      </c>
      <c r="L208" s="234">
        <v>0</v>
      </c>
      <c r="M208" s="234">
        <v>3</v>
      </c>
    </row>
    <row r="209" spans="1:13" s="230" customFormat="1" ht="9" customHeight="1" x14ac:dyDescent="0.25">
      <c r="A209" s="230" t="s">
        <v>39</v>
      </c>
      <c r="B209" s="234">
        <f t="shared" si="5"/>
        <v>341</v>
      </c>
      <c r="C209" s="234">
        <v>197</v>
      </c>
      <c r="D209" s="234">
        <v>80</v>
      </c>
      <c r="E209" s="234">
        <v>35</v>
      </c>
      <c r="F209" s="234"/>
      <c r="G209" s="234">
        <v>25</v>
      </c>
      <c r="H209" s="234">
        <v>0</v>
      </c>
      <c r="I209" s="234"/>
      <c r="J209" s="234">
        <v>2</v>
      </c>
      <c r="K209" s="234">
        <v>2</v>
      </c>
      <c r="L209" s="234">
        <v>0</v>
      </c>
      <c r="M209" s="234">
        <v>0</v>
      </c>
    </row>
    <row r="210" spans="1:13" s="230" customFormat="1" ht="9" customHeight="1" x14ac:dyDescent="0.25">
      <c r="A210" s="230" t="s">
        <v>40</v>
      </c>
      <c r="B210" s="234">
        <f t="shared" si="5"/>
        <v>554</v>
      </c>
      <c r="C210" s="234">
        <v>445</v>
      </c>
      <c r="D210" s="234">
        <v>0</v>
      </c>
      <c r="E210" s="234">
        <v>64</v>
      </c>
      <c r="F210" s="234"/>
      <c r="G210" s="234">
        <v>32</v>
      </c>
      <c r="H210" s="234">
        <v>6</v>
      </c>
      <c r="I210" s="234"/>
      <c r="J210" s="234">
        <v>4</v>
      </c>
      <c r="K210" s="234">
        <v>0</v>
      </c>
      <c r="L210" s="234">
        <v>2</v>
      </c>
      <c r="M210" s="234">
        <v>1</v>
      </c>
    </row>
    <row r="211" spans="1:13" s="230" customFormat="1" ht="9" customHeight="1" x14ac:dyDescent="0.25">
      <c r="A211" s="235" t="s">
        <v>41</v>
      </c>
      <c r="B211" s="236">
        <f t="shared" si="5"/>
        <v>1204</v>
      </c>
      <c r="C211" s="236">
        <v>598</v>
      </c>
      <c r="D211" s="236">
        <v>479</v>
      </c>
      <c r="E211" s="236">
        <v>34</v>
      </c>
      <c r="F211" s="236"/>
      <c r="G211" s="236">
        <v>54</v>
      </c>
      <c r="H211" s="236">
        <v>7</v>
      </c>
      <c r="I211" s="236"/>
      <c r="J211" s="236">
        <v>12</v>
      </c>
      <c r="K211" s="236">
        <v>12</v>
      </c>
      <c r="L211" s="236">
        <v>0</v>
      </c>
      <c r="M211" s="236">
        <v>8</v>
      </c>
    </row>
    <row r="212" spans="1:13" s="230" customFormat="1" ht="9" customHeight="1" x14ac:dyDescent="0.25">
      <c r="A212" s="230" t="s">
        <v>42</v>
      </c>
      <c r="B212" s="234">
        <f t="shared" si="5"/>
        <v>985</v>
      </c>
      <c r="C212" s="234">
        <v>502</v>
      </c>
      <c r="D212" s="234">
        <v>312</v>
      </c>
      <c r="E212" s="234">
        <v>57</v>
      </c>
      <c r="F212" s="234"/>
      <c r="G212" s="234">
        <v>45</v>
      </c>
      <c r="H212" s="234">
        <v>5</v>
      </c>
      <c r="I212" s="234"/>
      <c r="J212" s="234">
        <v>8</v>
      </c>
      <c r="K212" s="234">
        <v>0</v>
      </c>
      <c r="L212" s="234">
        <v>51</v>
      </c>
      <c r="M212" s="234">
        <v>5</v>
      </c>
    </row>
    <row r="213" spans="1:13" s="230" customFormat="1" ht="9" customHeight="1" x14ac:dyDescent="0.25">
      <c r="A213" s="230" t="s">
        <v>43</v>
      </c>
      <c r="B213" s="234">
        <f t="shared" si="5"/>
        <v>299</v>
      </c>
      <c r="C213" s="234">
        <v>246</v>
      </c>
      <c r="D213" s="234">
        <v>0</v>
      </c>
      <c r="E213" s="234">
        <v>26</v>
      </c>
      <c r="F213" s="234"/>
      <c r="G213" s="234">
        <v>19</v>
      </c>
      <c r="H213" s="234">
        <v>1</v>
      </c>
      <c r="I213" s="234"/>
      <c r="J213" s="234">
        <v>5</v>
      </c>
      <c r="K213" s="234">
        <v>0</v>
      </c>
      <c r="L213" s="234">
        <v>0</v>
      </c>
      <c r="M213" s="234">
        <v>2</v>
      </c>
    </row>
    <row r="214" spans="1:13" s="230" customFormat="1" ht="9" customHeight="1" x14ac:dyDescent="0.25">
      <c r="A214" s="230" t="s">
        <v>44</v>
      </c>
      <c r="B214" s="234">
        <f t="shared" si="5"/>
        <v>206</v>
      </c>
      <c r="C214" s="234">
        <v>173</v>
      </c>
      <c r="D214" s="234">
        <v>0</v>
      </c>
      <c r="E214" s="234">
        <v>17</v>
      </c>
      <c r="F214" s="234"/>
      <c r="G214" s="234">
        <v>9</v>
      </c>
      <c r="H214" s="234">
        <v>0</v>
      </c>
      <c r="I214" s="234"/>
      <c r="J214" s="234">
        <v>3</v>
      </c>
      <c r="K214" s="234">
        <v>4</v>
      </c>
      <c r="L214" s="234">
        <v>0</v>
      </c>
      <c r="M214" s="234">
        <v>0</v>
      </c>
    </row>
    <row r="215" spans="1:13" s="230" customFormat="1" ht="9" customHeight="1" x14ac:dyDescent="0.25">
      <c r="A215" s="235" t="s">
        <v>45</v>
      </c>
      <c r="B215" s="236">
        <f t="shared" si="5"/>
        <v>547</v>
      </c>
      <c r="C215" s="236">
        <v>267</v>
      </c>
      <c r="D215" s="236">
        <v>206</v>
      </c>
      <c r="E215" s="236">
        <v>41</v>
      </c>
      <c r="F215" s="236"/>
      <c r="G215" s="236">
        <v>28</v>
      </c>
      <c r="H215" s="236">
        <v>2</v>
      </c>
      <c r="I215" s="236"/>
      <c r="J215" s="236">
        <v>3</v>
      </c>
      <c r="K215" s="236">
        <v>0</v>
      </c>
      <c r="L215" s="236">
        <v>0</v>
      </c>
      <c r="M215" s="236">
        <v>0</v>
      </c>
    </row>
    <row r="216" spans="1:13" s="230" customFormat="1" ht="9" customHeight="1" x14ac:dyDescent="0.25">
      <c r="A216" s="230" t="s">
        <v>46</v>
      </c>
      <c r="B216" s="234">
        <f t="shared" si="5"/>
        <v>463</v>
      </c>
      <c r="C216" s="234">
        <v>222</v>
      </c>
      <c r="D216" s="234">
        <v>107</v>
      </c>
      <c r="E216" s="234">
        <v>77</v>
      </c>
      <c r="F216" s="234"/>
      <c r="G216" s="234">
        <v>39</v>
      </c>
      <c r="H216" s="234">
        <v>2</v>
      </c>
      <c r="I216" s="234"/>
      <c r="J216" s="234">
        <v>8</v>
      </c>
      <c r="K216" s="234">
        <v>8</v>
      </c>
      <c r="L216" s="234">
        <v>0</v>
      </c>
      <c r="M216" s="234">
        <v>0</v>
      </c>
    </row>
    <row r="217" spans="1:13" s="230" customFormat="1" ht="9" customHeight="1" x14ac:dyDescent="0.25">
      <c r="A217" s="230" t="s">
        <v>47</v>
      </c>
      <c r="B217" s="234">
        <f t="shared" si="5"/>
        <v>371</v>
      </c>
      <c r="C217" s="234">
        <v>229</v>
      </c>
      <c r="D217" s="234">
        <v>0</v>
      </c>
      <c r="E217" s="234">
        <v>74</v>
      </c>
      <c r="F217" s="234"/>
      <c r="G217" s="234">
        <v>39</v>
      </c>
      <c r="H217" s="234">
        <v>3</v>
      </c>
      <c r="I217" s="234"/>
      <c r="J217" s="234">
        <v>13</v>
      </c>
      <c r="K217" s="234">
        <v>6</v>
      </c>
      <c r="L217" s="234">
        <v>7</v>
      </c>
      <c r="M217" s="234">
        <v>0</v>
      </c>
    </row>
    <row r="218" spans="1:13" s="230" customFormat="1" ht="9" customHeight="1" x14ac:dyDescent="0.25">
      <c r="A218" s="230" t="s">
        <v>48</v>
      </c>
      <c r="B218" s="234">
        <f t="shared" si="5"/>
        <v>607</v>
      </c>
      <c r="C218" s="234">
        <v>503</v>
      </c>
      <c r="D218" s="234">
        <v>0</v>
      </c>
      <c r="E218" s="234">
        <v>35</v>
      </c>
      <c r="F218" s="234"/>
      <c r="G218" s="234">
        <v>25</v>
      </c>
      <c r="H218" s="234">
        <v>21</v>
      </c>
      <c r="I218" s="234"/>
      <c r="J218" s="234">
        <v>8</v>
      </c>
      <c r="K218" s="234">
        <v>5</v>
      </c>
      <c r="L218" s="234">
        <v>6</v>
      </c>
      <c r="M218" s="234">
        <v>4</v>
      </c>
    </row>
    <row r="219" spans="1:13" s="230" customFormat="1" ht="9" customHeight="1" x14ac:dyDescent="0.25">
      <c r="A219" s="235" t="s">
        <v>49</v>
      </c>
      <c r="B219" s="236">
        <f t="shared" si="5"/>
        <v>493</v>
      </c>
      <c r="C219" s="236">
        <v>263</v>
      </c>
      <c r="D219" s="236">
        <v>106</v>
      </c>
      <c r="E219" s="236">
        <v>53</v>
      </c>
      <c r="F219" s="236"/>
      <c r="G219" s="236">
        <v>34</v>
      </c>
      <c r="H219" s="236">
        <v>15</v>
      </c>
      <c r="I219" s="236"/>
      <c r="J219" s="236">
        <v>7</v>
      </c>
      <c r="K219" s="236">
        <v>14</v>
      </c>
      <c r="L219" s="236">
        <v>0</v>
      </c>
      <c r="M219" s="236">
        <v>1</v>
      </c>
    </row>
    <row r="220" spans="1:13" s="230" customFormat="1" ht="9" customHeight="1" x14ac:dyDescent="0.25">
      <c r="A220" s="230" t="s">
        <v>50</v>
      </c>
      <c r="B220" s="234">
        <f t="shared" si="5"/>
        <v>197</v>
      </c>
      <c r="C220" s="234">
        <v>172</v>
      </c>
      <c r="D220" s="234">
        <v>0</v>
      </c>
      <c r="E220" s="234">
        <v>17</v>
      </c>
      <c r="F220" s="234"/>
      <c r="G220" s="234">
        <v>4</v>
      </c>
      <c r="H220" s="234">
        <v>0</v>
      </c>
      <c r="I220" s="234"/>
      <c r="J220" s="234">
        <v>4</v>
      </c>
      <c r="K220" s="234">
        <v>0</v>
      </c>
      <c r="L220" s="234">
        <v>0</v>
      </c>
      <c r="M220" s="234">
        <v>0</v>
      </c>
    </row>
    <row r="221" spans="1:13" s="230" customFormat="1" ht="9" customHeight="1" x14ac:dyDescent="0.25">
      <c r="A221" s="230" t="s">
        <v>51</v>
      </c>
      <c r="B221" s="234">
        <f t="shared" si="5"/>
        <v>1595</v>
      </c>
      <c r="C221" s="234">
        <v>736</v>
      </c>
      <c r="D221" s="234">
        <v>524</v>
      </c>
      <c r="E221" s="234">
        <v>150</v>
      </c>
      <c r="F221" s="234"/>
      <c r="G221" s="234">
        <v>85</v>
      </c>
      <c r="H221" s="234">
        <v>47</v>
      </c>
      <c r="I221" s="234"/>
      <c r="J221" s="234">
        <v>23</v>
      </c>
      <c r="K221" s="234">
        <v>29</v>
      </c>
      <c r="L221" s="234">
        <v>0</v>
      </c>
      <c r="M221" s="234">
        <v>1</v>
      </c>
    </row>
    <row r="222" spans="1:13" s="230" customFormat="1" ht="9" customHeight="1" x14ac:dyDescent="0.25">
      <c r="A222" s="230" t="s">
        <v>52</v>
      </c>
      <c r="B222" s="234">
        <f t="shared" si="5"/>
        <v>324</v>
      </c>
      <c r="C222" s="234">
        <v>158</v>
      </c>
      <c r="D222" s="234">
        <v>87</v>
      </c>
      <c r="E222" s="234">
        <v>56</v>
      </c>
      <c r="F222" s="234"/>
      <c r="G222" s="234">
        <v>16</v>
      </c>
      <c r="H222" s="234">
        <v>1</v>
      </c>
      <c r="I222" s="234"/>
      <c r="J222" s="234">
        <v>4</v>
      </c>
      <c r="K222" s="234">
        <v>2</v>
      </c>
      <c r="L222" s="234">
        <v>0</v>
      </c>
      <c r="M222" s="234">
        <v>0</v>
      </c>
    </row>
    <row r="223" spans="1:13" s="230" customFormat="1" ht="9" customHeight="1" x14ac:dyDescent="0.25">
      <c r="A223" s="235" t="s">
        <v>53</v>
      </c>
      <c r="B223" s="236">
        <f t="shared" si="5"/>
        <v>409</v>
      </c>
      <c r="C223" s="236">
        <v>178</v>
      </c>
      <c r="D223" s="236">
        <v>146</v>
      </c>
      <c r="E223" s="236">
        <v>37</v>
      </c>
      <c r="F223" s="236"/>
      <c r="G223" s="236">
        <v>39</v>
      </c>
      <c r="H223" s="236">
        <v>1</v>
      </c>
      <c r="I223" s="236"/>
      <c r="J223" s="236">
        <v>2</v>
      </c>
      <c r="K223" s="236">
        <v>0</v>
      </c>
      <c r="L223" s="236">
        <v>0</v>
      </c>
      <c r="M223" s="236">
        <v>6</v>
      </c>
    </row>
    <row r="224" spans="1:13" s="230" customFormat="1" ht="8.25" customHeight="1" x14ac:dyDescent="0.25">
      <c r="B224" s="234"/>
      <c r="C224" s="234"/>
      <c r="D224" s="234"/>
      <c r="E224" s="234"/>
      <c r="F224" s="234"/>
      <c r="G224" s="234"/>
      <c r="H224" s="234"/>
      <c r="I224" s="234"/>
      <c r="J224" s="234"/>
      <c r="K224" s="234"/>
      <c r="L224" s="234"/>
      <c r="M224" s="234"/>
    </row>
    <row r="225" spans="1:13" s="230" customFormat="1" ht="9" customHeight="1" x14ac:dyDescent="0.25">
      <c r="A225" s="228">
        <v>2001</v>
      </c>
      <c r="B225" s="229"/>
      <c r="C225" s="229"/>
      <c r="D225" s="229"/>
      <c r="E225" s="229"/>
      <c r="F225" s="229"/>
      <c r="G225" s="229"/>
      <c r="H225" s="229"/>
      <c r="I225" s="229"/>
      <c r="J225" s="229"/>
      <c r="K225" s="229"/>
      <c r="M225" s="229"/>
    </row>
    <row r="226" spans="1:13" s="230" customFormat="1" ht="9" customHeight="1" x14ac:dyDescent="0.25">
      <c r="A226" s="231" t="s">
        <v>21</v>
      </c>
      <c r="B226" s="232">
        <f>SUM(B228:B259)</f>
        <v>19359</v>
      </c>
      <c r="C226" s="232">
        <f>SUM(C228:C259)</f>
        <v>11835</v>
      </c>
      <c r="D226" s="232">
        <f>SUM(D228:D259)</f>
        <v>3609</v>
      </c>
      <c r="E226" s="232">
        <f>SUM(E228:E259)</f>
        <v>1769</v>
      </c>
      <c r="F226" s="232"/>
      <c r="G226" s="232">
        <f>SUM(G228:G259)</f>
        <v>1247</v>
      </c>
      <c r="H226" s="232">
        <f>SUM(H228:H259)</f>
        <v>215</v>
      </c>
      <c r="I226" s="232"/>
      <c r="J226" s="232">
        <f>SUM(J228:J259)</f>
        <v>341</v>
      </c>
      <c r="K226" s="232">
        <f>SUM(K228:K259)</f>
        <v>137</v>
      </c>
      <c r="L226" s="232">
        <f>SUM(L228:L259)</f>
        <v>197</v>
      </c>
      <c r="M226" s="232">
        <f>SUM(M228:M259)</f>
        <v>9</v>
      </c>
    </row>
    <row r="227" spans="1:13" s="230" customFormat="1" ht="3.95" customHeight="1" x14ac:dyDescent="0.25">
      <c r="A227" s="231"/>
      <c r="B227" s="232"/>
      <c r="C227" s="232"/>
      <c r="D227" s="232"/>
      <c r="E227" s="232"/>
      <c r="F227" s="232"/>
      <c r="G227" s="232"/>
      <c r="H227" s="232"/>
      <c r="I227" s="232"/>
      <c r="J227" s="232"/>
      <c r="K227" s="232"/>
      <c r="L227" s="232"/>
      <c r="M227" s="232"/>
    </row>
    <row r="228" spans="1:13" s="230" customFormat="1" ht="9" customHeight="1" x14ac:dyDescent="0.25">
      <c r="A228" s="230" t="s">
        <v>23</v>
      </c>
      <c r="B228" s="234">
        <f t="shared" ref="B228:B259" si="6">SUM(C228:M228)</f>
        <v>116</v>
      </c>
      <c r="C228" s="234">
        <v>86</v>
      </c>
      <c r="D228" s="234">
        <v>0</v>
      </c>
      <c r="E228" s="234">
        <v>14</v>
      </c>
      <c r="F228" s="234"/>
      <c r="G228" s="234">
        <v>12</v>
      </c>
      <c r="H228" s="234">
        <v>1</v>
      </c>
      <c r="I228" s="234"/>
      <c r="J228" s="234">
        <v>2</v>
      </c>
      <c r="K228" s="234">
        <v>0</v>
      </c>
      <c r="L228" s="234">
        <v>1</v>
      </c>
      <c r="M228" s="234">
        <v>0</v>
      </c>
    </row>
    <row r="229" spans="1:13" s="230" customFormat="1" ht="9" customHeight="1" x14ac:dyDescent="0.25">
      <c r="A229" s="230" t="s">
        <v>24</v>
      </c>
      <c r="B229" s="234">
        <f t="shared" si="6"/>
        <v>240</v>
      </c>
      <c r="C229" s="234">
        <v>130</v>
      </c>
      <c r="D229" s="234">
        <v>12</v>
      </c>
      <c r="E229" s="234">
        <v>40</v>
      </c>
      <c r="F229" s="234"/>
      <c r="G229" s="234">
        <v>15</v>
      </c>
      <c r="H229" s="234">
        <v>2</v>
      </c>
      <c r="I229" s="234"/>
      <c r="J229" s="234">
        <v>10</v>
      </c>
      <c r="K229" s="234">
        <v>5</v>
      </c>
      <c r="L229" s="234">
        <v>26</v>
      </c>
      <c r="M229" s="234">
        <v>0</v>
      </c>
    </row>
    <row r="230" spans="1:13" s="230" customFormat="1" ht="9" customHeight="1" x14ac:dyDescent="0.25">
      <c r="A230" s="230" t="s">
        <v>25</v>
      </c>
      <c r="B230" s="234">
        <f t="shared" si="6"/>
        <v>148</v>
      </c>
      <c r="C230" s="234">
        <v>78</v>
      </c>
      <c r="D230" s="234">
        <v>0</v>
      </c>
      <c r="E230" s="234">
        <v>26</v>
      </c>
      <c r="F230" s="234"/>
      <c r="G230" s="234">
        <v>30</v>
      </c>
      <c r="H230" s="234">
        <v>1</v>
      </c>
      <c r="I230" s="234"/>
      <c r="J230" s="234">
        <v>7</v>
      </c>
      <c r="K230" s="234">
        <v>6</v>
      </c>
      <c r="L230" s="234">
        <v>0</v>
      </c>
      <c r="M230" s="234">
        <v>0</v>
      </c>
    </row>
    <row r="231" spans="1:13" s="230" customFormat="1" ht="9" customHeight="1" x14ac:dyDescent="0.25">
      <c r="A231" s="235" t="s">
        <v>26</v>
      </c>
      <c r="B231" s="236">
        <f t="shared" si="6"/>
        <v>276</v>
      </c>
      <c r="C231" s="236">
        <v>150</v>
      </c>
      <c r="D231" s="236">
        <v>36</v>
      </c>
      <c r="E231" s="236">
        <v>19</v>
      </c>
      <c r="F231" s="236"/>
      <c r="G231" s="236">
        <v>10</v>
      </c>
      <c r="H231" s="236">
        <v>52</v>
      </c>
      <c r="I231" s="236"/>
      <c r="J231" s="236">
        <v>3</v>
      </c>
      <c r="K231" s="236">
        <v>6</v>
      </c>
      <c r="L231" s="236">
        <v>0</v>
      </c>
      <c r="M231" s="236">
        <v>0</v>
      </c>
    </row>
    <row r="232" spans="1:13" s="230" customFormat="1" ht="9" customHeight="1" x14ac:dyDescent="0.25">
      <c r="A232" s="230" t="s">
        <v>27</v>
      </c>
      <c r="B232" s="234">
        <f t="shared" si="6"/>
        <v>372</v>
      </c>
      <c r="C232" s="234">
        <v>182</v>
      </c>
      <c r="D232" s="234">
        <v>82</v>
      </c>
      <c r="E232" s="234">
        <v>64</v>
      </c>
      <c r="F232" s="234"/>
      <c r="G232" s="234">
        <v>30</v>
      </c>
      <c r="H232" s="234">
        <v>3</v>
      </c>
      <c r="I232" s="234"/>
      <c r="J232" s="234">
        <v>8</v>
      </c>
      <c r="K232" s="234">
        <v>0</v>
      </c>
      <c r="L232" s="234">
        <v>0</v>
      </c>
      <c r="M232" s="234">
        <v>3</v>
      </c>
    </row>
    <row r="233" spans="1:13" s="230" customFormat="1" ht="9" customHeight="1" x14ac:dyDescent="0.25">
      <c r="A233" s="230" t="s">
        <v>28</v>
      </c>
      <c r="B233" s="234">
        <f t="shared" si="6"/>
        <v>163</v>
      </c>
      <c r="C233" s="234">
        <v>128</v>
      </c>
      <c r="D233" s="234">
        <v>0</v>
      </c>
      <c r="E233" s="234">
        <v>19</v>
      </c>
      <c r="F233" s="234"/>
      <c r="G233" s="234">
        <v>5</v>
      </c>
      <c r="H233" s="234">
        <v>1</v>
      </c>
      <c r="I233" s="234"/>
      <c r="J233" s="234">
        <v>3</v>
      </c>
      <c r="K233" s="234">
        <v>7</v>
      </c>
      <c r="L233" s="234">
        <v>0</v>
      </c>
      <c r="M233" s="234">
        <v>0</v>
      </c>
    </row>
    <row r="234" spans="1:13" s="230" customFormat="1" ht="9" customHeight="1" x14ac:dyDescent="0.25">
      <c r="A234" s="230" t="s">
        <v>29</v>
      </c>
      <c r="B234" s="234">
        <f t="shared" si="6"/>
        <v>1552</v>
      </c>
      <c r="C234" s="234">
        <v>851</v>
      </c>
      <c r="D234" s="234">
        <v>562</v>
      </c>
      <c r="E234" s="234">
        <v>45</v>
      </c>
      <c r="F234" s="234"/>
      <c r="G234" s="234">
        <v>46</v>
      </c>
      <c r="H234" s="234">
        <v>6</v>
      </c>
      <c r="I234" s="234"/>
      <c r="J234" s="234">
        <v>26</v>
      </c>
      <c r="K234" s="234">
        <v>5</v>
      </c>
      <c r="L234" s="234">
        <v>11</v>
      </c>
      <c r="M234" s="234">
        <v>0</v>
      </c>
    </row>
    <row r="235" spans="1:13" s="230" customFormat="1" ht="9" customHeight="1" x14ac:dyDescent="0.25">
      <c r="A235" s="235" t="s">
        <v>30</v>
      </c>
      <c r="B235" s="236">
        <f t="shared" si="6"/>
        <v>568</v>
      </c>
      <c r="C235" s="236">
        <v>285</v>
      </c>
      <c r="D235" s="236">
        <v>146</v>
      </c>
      <c r="E235" s="236">
        <v>62</v>
      </c>
      <c r="F235" s="236"/>
      <c r="G235" s="236">
        <v>56</v>
      </c>
      <c r="H235" s="236">
        <v>4</v>
      </c>
      <c r="I235" s="236"/>
      <c r="J235" s="236">
        <v>15</v>
      </c>
      <c r="K235" s="236">
        <v>0</v>
      </c>
      <c r="L235" s="236">
        <v>0</v>
      </c>
      <c r="M235" s="236">
        <v>0</v>
      </c>
    </row>
    <row r="236" spans="1:13" s="230" customFormat="1" ht="9" customHeight="1" x14ac:dyDescent="0.25">
      <c r="A236" s="405" t="s">
        <v>63</v>
      </c>
      <c r="B236" s="234">
        <f t="shared" si="6"/>
        <v>808</v>
      </c>
      <c r="C236" s="234">
        <v>416</v>
      </c>
      <c r="D236" s="234">
        <v>1</v>
      </c>
      <c r="E236" s="234">
        <v>147</v>
      </c>
      <c r="F236" s="234"/>
      <c r="G236" s="234">
        <v>135</v>
      </c>
      <c r="H236" s="234">
        <v>13</v>
      </c>
      <c r="I236" s="234"/>
      <c r="J236" s="234">
        <v>70</v>
      </c>
      <c r="K236" s="234">
        <v>12</v>
      </c>
      <c r="L236" s="234">
        <v>14</v>
      </c>
      <c r="M236" s="234">
        <v>0</v>
      </c>
    </row>
    <row r="237" spans="1:13" s="230" customFormat="1" ht="9" customHeight="1" x14ac:dyDescent="0.25">
      <c r="A237" s="230" t="s">
        <v>31</v>
      </c>
      <c r="B237" s="234">
        <f t="shared" si="6"/>
        <v>497</v>
      </c>
      <c r="C237" s="234">
        <v>218</v>
      </c>
      <c r="D237" s="234">
        <v>166</v>
      </c>
      <c r="E237" s="234">
        <v>63</v>
      </c>
      <c r="F237" s="234"/>
      <c r="G237" s="234">
        <v>43</v>
      </c>
      <c r="H237" s="234">
        <v>1</v>
      </c>
      <c r="I237" s="234"/>
      <c r="J237" s="234">
        <v>6</v>
      </c>
      <c r="K237" s="234">
        <v>0</v>
      </c>
      <c r="L237" s="234">
        <v>0</v>
      </c>
      <c r="M237" s="234">
        <v>0</v>
      </c>
    </row>
    <row r="238" spans="1:13" s="230" customFormat="1" ht="9" customHeight="1" x14ac:dyDescent="0.25">
      <c r="A238" s="230" t="s">
        <v>32</v>
      </c>
      <c r="B238" s="234">
        <f t="shared" si="6"/>
        <v>623</v>
      </c>
      <c r="C238" s="234">
        <v>518</v>
      </c>
      <c r="D238" s="234">
        <v>0</v>
      </c>
      <c r="E238" s="234">
        <v>51</v>
      </c>
      <c r="F238" s="234"/>
      <c r="G238" s="234">
        <v>41</v>
      </c>
      <c r="H238" s="234">
        <v>5</v>
      </c>
      <c r="I238" s="234"/>
      <c r="J238" s="234">
        <v>8</v>
      </c>
      <c r="K238" s="234">
        <v>0</v>
      </c>
      <c r="L238" s="234">
        <v>0</v>
      </c>
      <c r="M238" s="234">
        <v>0</v>
      </c>
    </row>
    <row r="239" spans="1:13" s="230" customFormat="1" ht="9" customHeight="1" x14ac:dyDescent="0.25">
      <c r="A239" s="235" t="s">
        <v>33</v>
      </c>
      <c r="B239" s="236">
        <f t="shared" si="6"/>
        <v>1043</v>
      </c>
      <c r="C239" s="236">
        <v>942</v>
      </c>
      <c r="D239" s="236">
        <v>0</v>
      </c>
      <c r="E239" s="236">
        <v>30</v>
      </c>
      <c r="F239" s="236"/>
      <c r="G239" s="236">
        <v>51</v>
      </c>
      <c r="H239" s="236">
        <v>0</v>
      </c>
      <c r="I239" s="236"/>
      <c r="J239" s="236">
        <v>15</v>
      </c>
      <c r="K239" s="236">
        <v>5</v>
      </c>
      <c r="L239" s="236">
        <v>0</v>
      </c>
      <c r="M239" s="236">
        <v>0</v>
      </c>
    </row>
    <row r="240" spans="1:13" s="230" customFormat="1" ht="9" customHeight="1" x14ac:dyDescent="0.25">
      <c r="A240" s="230" t="s">
        <v>34</v>
      </c>
      <c r="B240" s="234">
        <f t="shared" si="6"/>
        <v>747</v>
      </c>
      <c r="C240" s="234">
        <v>451</v>
      </c>
      <c r="D240" s="234">
        <v>218</v>
      </c>
      <c r="E240" s="234">
        <v>26</v>
      </c>
      <c r="F240" s="234"/>
      <c r="G240" s="234">
        <v>43</v>
      </c>
      <c r="H240" s="234">
        <v>6</v>
      </c>
      <c r="I240" s="234"/>
      <c r="J240" s="234">
        <v>3</v>
      </c>
      <c r="K240" s="234">
        <v>0</v>
      </c>
      <c r="L240" s="234">
        <v>0</v>
      </c>
      <c r="M240" s="234">
        <v>0</v>
      </c>
    </row>
    <row r="241" spans="1:13" s="230" customFormat="1" ht="9" customHeight="1" x14ac:dyDescent="0.25">
      <c r="A241" s="230" t="s">
        <v>35</v>
      </c>
      <c r="B241" s="234">
        <f t="shared" si="6"/>
        <v>1044</v>
      </c>
      <c r="C241" s="234">
        <v>757</v>
      </c>
      <c r="D241" s="234">
        <v>0</v>
      </c>
      <c r="E241" s="234">
        <v>179</v>
      </c>
      <c r="F241" s="234"/>
      <c r="G241" s="234">
        <v>87</v>
      </c>
      <c r="H241" s="234">
        <v>3</v>
      </c>
      <c r="I241" s="234"/>
      <c r="J241" s="234">
        <v>15</v>
      </c>
      <c r="K241" s="234">
        <v>2</v>
      </c>
      <c r="L241" s="234">
        <v>0</v>
      </c>
      <c r="M241" s="234">
        <v>1</v>
      </c>
    </row>
    <row r="242" spans="1:13" s="230" customFormat="1" ht="9" customHeight="1" x14ac:dyDescent="0.25">
      <c r="A242" s="230" t="s">
        <v>36</v>
      </c>
      <c r="B242" s="234">
        <f t="shared" si="6"/>
        <v>1263</v>
      </c>
      <c r="C242" s="234">
        <v>991</v>
      </c>
      <c r="D242" s="234">
        <v>0</v>
      </c>
      <c r="E242" s="234">
        <v>114</v>
      </c>
      <c r="F242" s="234"/>
      <c r="G242" s="234">
        <v>51</v>
      </c>
      <c r="H242" s="234">
        <v>4</v>
      </c>
      <c r="I242" s="234"/>
      <c r="J242" s="234">
        <v>28</v>
      </c>
      <c r="K242" s="234">
        <v>0</v>
      </c>
      <c r="L242" s="234">
        <v>75</v>
      </c>
      <c r="M242" s="234">
        <v>0</v>
      </c>
    </row>
    <row r="243" spans="1:13" s="230" customFormat="1" ht="9" customHeight="1" x14ac:dyDescent="0.25">
      <c r="A243" s="235" t="s">
        <v>37</v>
      </c>
      <c r="B243" s="236">
        <f t="shared" si="6"/>
        <v>907</v>
      </c>
      <c r="C243" s="236">
        <v>412</v>
      </c>
      <c r="D243" s="236">
        <v>339</v>
      </c>
      <c r="E243" s="236">
        <v>70</v>
      </c>
      <c r="F243" s="236"/>
      <c r="G243" s="236">
        <v>66</v>
      </c>
      <c r="H243" s="236">
        <v>1</v>
      </c>
      <c r="I243" s="236"/>
      <c r="J243" s="236">
        <v>7</v>
      </c>
      <c r="K243" s="236">
        <v>12</v>
      </c>
      <c r="L243" s="236">
        <v>0</v>
      </c>
      <c r="M243" s="236">
        <v>0</v>
      </c>
    </row>
    <row r="244" spans="1:13" s="230" customFormat="1" ht="9" customHeight="1" x14ac:dyDescent="0.25">
      <c r="A244" s="230" t="s">
        <v>38</v>
      </c>
      <c r="B244" s="234">
        <f t="shared" si="6"/>
        <v>276</v>
      </c>
      <c r="C244" s="234">
        <v>215</v>
      </c>
      <c r="D244" s="234">
        <v>0</v>
      </c>
      <c r="E244" s="234">
        <v>27</v>
      </c>
      <c r="F244" s="234"/>
      <c r="G244" s="234">
        <v>28</v>
      </c>
      <c r="H244" s="234">
        <v>1</v>
      </c>
      <c r="I244" s="234"/>
      <c r="J244" s="234">
        <v>5</v>
      </c>
      <c r="K244" s="234">
        <v>0</v>
      </c>
      <c r="L244" s="234">
        <v>0</v>
      </c>
      <c r="M244" s="234">
        <v>0</v>
      </c>
    </row>
    <row r="245" spans="1:13" s="230" customFormat="1" ht="9" customHeight="1" x14ac:dyDescent="0.25">
      <c r="A245" s="230" t="s">
        <v>39</v>
      </c>
      <c r="B245" s="234">
        <f t="shared" si="6"/>
        <v>347</v>
      </c>
      <c r="C245" s="234">
        <v>203</v>
      </c>
      <c r="D245" s="234">
        <v>80</v>
      </c>
      <c r="E245" s="234">
        <v>34</v>
      </c>
      <c r="F245" s="234"/>
      <c r="G245" s="234">
        <v>25</v>
      </c>
      <c r="H245" s="234">
        <v>0</v>
      </c>
      <c r="I245" s="234"/>
      <c r="J245" s="234">
        <v>2</v>
      </c>
      <c r="K245" s="234">
        <v>3</v>
      </c>
      <c r="L245" s="234">
        <v>0</v>
      </c>
      <c r="M245" s="234">
        <v>0</v>
      </c>
    </row>
    <row r="246" spans="1:13" s="230" customFormat="1" ht="9" customHeight="1" x14ac:dyDescent="0.25">
      <c r="A246" s="230" t="s">
        <v>40</v>
      </c>
      <c r="B246" s="234">
        <f t="shared" si="6"/>
        <v>563</v>
      </c>
      <c r="C246" s="234">
        <v>449</v>
      </c>
      <c r="D246" s="234">
        <v>0</v>
      </c>
      <c r="E246" s="234">
        <v>65</v>
      </c>
      <c r="F246" s="234"/>
      <c r="G246" s="234">
        <v>31</v>
      </c>
      <c r="H246" s="234">
        <v>6</v>
      </c>
      <c r="I246" s="234"/>
      <c r="J246" s="234">
        <v>4</v>
      </c>
      <c r="K246" s="234">
        <v>0</v>
      </c>
      <c r="L246" s="234">
        <v>7</v>
      </c>
      <c r="M246" s="234">
        <v>1</v>
      </c>
    </row>
    <row r="247" spans="1:13" s="230" customFormat="1" ht="9" customHeight="1" x14ac:dyDescent="0.25">
      <c r="A247" s="235" t="s">
        <v>41</v>
      </c>
      <c r="B247" s="236">
        <f t="shared" si="6"/>
        <v>1258</v>
      </c>
      <c r="C247" s="236">
        <v>656</v>
      </c>
      <c r="D247" s="236">
        <v>479</v>
      </c>
      <c r="E247" s="236">
        <v>34</v>
      </c>
      <c r="F247" s="236"/>
      <c r="G247" s="236">
        <v>59</v>
      </c>
      <c r="H247" s="236">
        <v>7</v>
      </c>
      <c r="I247" s="236"/>
      <c r="J247" s="236">
        <v>16</v>
      </c>
      <c r="K247" s="236">
        <v>7</v>
      </c>
      <c r="L247" s="236">
        <v>0</v>
      </c>
      <c r="M247" s="236">
        <v>0</v>
      </c>
    </row>
    <row r="248" spans="1:13" s="230" customFormat="1" ht="9" customHeight="1" x14ac:dyDescent="0.25">
      <c r="A248" s="230" t="s">
        <v>42</v>
      </c>
      <c r="B248" s="234">
        <f t="shared" si="6"/>
        <v>989</v>
      </c>
      <c r="C248" s="234">
        <v>512</v>
      </c>
      <c r="D248" s="234">
        <v>312</v>
      </c>
      <c r="E248" s="234">
        <v>57</v>
      </c>
      <c r="F248" s="234"/>
      <c r="G248" s="234">
        <v>45</v>
      </c>
      <c r="H248" s="234">
        <v>5</v>
      </c>
      <c r="I248" s="234"/>
      <c r="J248" s="234">
        <v>10</v>
      </c>
      <c r="K248" s="234">
        <v>0</v>
      </c>
      <c r="L248" s="234">
        <v>46</v>
      </c>
      <c r="M248" s="234">
        <v>2</v>
      </c>
    </row>
    <row r="249" spans="1:13" s="230" customFormat="1" ht="9" customHeight="1" x14ac:dyDescent="0.25">
      <c r="A249" s="230" t="s">
        <v>43</v>
      </c>
      <c r="B249" s="234">
        <f t="shared" si="6"/>
        <v>301</v>
      </c>
      <c r="C249" s="234">
        <v>250</v>
      </c>
      <c r="D249" s="234">
        <v>0</v>
      </c>
      <c r="E249" s="234">
        <v>26</v>
      </c>
      <c r="F249" s="234"/>
      <c r="G249" s="234">
        <v>19</v>
      </c>
      <c r="H249" s="234">
        <v>1</v>
      </c>
      <c r="I249" s="234"/>
      <c r="J249" s="234">
        <v>5</v>
      </c>
      <c r="K249" s="234">
        <v>0</v>
      </c>
      <c r="L249" s="234">
        <v>0</v>
      </c>
      <c r="M249" s="234">
        <v>0</v>
      </c>
    </row>
    <row r="250" spans="1:13" s="230" customFormat="1" ht="9" customHeight="1" x14ac:dyDescent="0.25">
      <c r="A250" s="230" t="s">
        <v>44</v>
      </c>
      <c r="B250" s="234">
        <f t="shared" si="6"/>
        <v>211</v>
      </c>
      <c r="C250" s="234">
        <v>174</v>
      </c>
      <c r="D250" s="234">
        <v>0</v>
      </c>
      <c r="E250" s="234">
        <v>17</v>
      </c>
      <c r="F250" s="234"/>
      <c r="G250" s="234">
        <v>9</v>
      </c>
      <c r="H250" s="234">
        <v>0</v>
      </c>
      <c r="I250" s="234"/>
      <c r="J250" s="234">
        <v>6</v>
      </c>
      <c r="K250" s="234">
        <v>5</v>
      </c>
      <c r="L250" s="234">
        <v>0</v>
      </c>
      <c r="M250" s="234">
        <v>0</v>
      </c>
    </row>
    <row r="251" spans="1:13" s="230" customFormat="1" ht="9" customHeight="1" x14ac:dyDescent="0.25">
      <c r="A251" s="235" t="s">
        <v>45</v>
      </c>
      <c r="B251" s="236">
        <f t="shared" si="6"/>
        <v>552</v>
      </c>
      <c r="C251" s="236">
        <v>271</v>
      </c>
      <c r="D251" s="236">
        <v>206</v>
      </c>
      <c r="E251" s="236">
        <v>41</v>
      </c>
      <c r="F251" s="236"/>
      <c r="G251" s="236">
        <v>29</v>
      </c>
      <c r="H251" s="236">
        <v>2</v>
      </c>
      <c r="I251" s="236"/>
      <c r="J251" s="236">
        <v>3</v>
      </c>
      <c r="K251" s="236">
        <v>0</v>
      </c>
      <c r="L251" s="236">
        <v>0</v>
      </c>
      <c r="M251" s="236">
        <v>0</v>
      </c>
    </row>
    <row r="252" spans="1:13" s="230" customFormat="1" ht="9" customHeight="1" x14ac:dyDescent="0.25">
      <c r="A252" s="230" t="s">
        <v>46</v>
      </c>
      <c r="B252" s="234">
        <f t="shared" si="6"/>
        <v>463</v>
      </c>
      <c r="C252" s="234">
        <v>229</v>
      </c>
      <c r="D252" s="234">
        <v>107</v>
      </c>
      <c r="E252" s="234">
        <v>75</v>
      </c>
      <c r="F252" s="234"/>
      <c r="G252" s="234">
        <v>39</v>
      </c>
      <c r="H252" s="234">
        <v>2</v>
      </c>
      <c r="I252" s="234"/>
      <c r="J252" s="234">
        <v>8</v>
      </c>
      <c r="K252" s="234">
        <v>3</v>
      </c>
      <c r="L252" s="234">
        <v>0</v>
      </c>
      <c r="M252" s="234">
        <v>0</v>
      </c>
    </row>
    <row r="253" spans="1:13" s="230" customFormat="1" ht="9" customHeight="1" x14ac:dyDescent="0.25">
      <c r="A253" s="230" t="s">
        <v>47</v>
      </c>
      <c r="B253" s="234">
        <f t="shared" si="6"/>
        <v>380</v>
      </c>
      <c r="C253" s="234">
        <v>232</v>
      </c>
      <c r="D253" s="234">
        <v>0</v>
      </c>
      <c r="E253" s="234">
        <v>74</v>
      </c>
      <c r="F253" s="234"/>
      <c r="G253" s="234">
        <v>40</v>
      </c>
      <c r="H253" s="234">
        <v>3</v>
      </c>
      <c r="I253" s="234"/>
      <c r="J253" s="234">
        <v>14</v>
      </c>
      <c r="K253" s="234">
        <v>6</v>
      </c>
      <c r="L253" s="234">
        <v>11</v>
      </c>
      <c r="M253" s="234">
        <v>0</v>
      </c>
    </row>
    <row r="254" spans="1:13" s="230" customFormat="1" ht="9" customHeight="1" x14ac:dyDescent="0.25">
      <c r="A254" s="230" t="s">
        <v>48</v>
      </c>
      <c r="B254" s="234">
        <f t="shared" si="6"/>
        <v>611</v>
      </c>
      <c r="C254" s="234">
        <v>510</v>
      </c>
      <c r="D254" s="234">
        <v>0</v>
      </c>
      <c r="E254" s="234">
        <v>36</v>
      </c>
      <c r="F254" s="234"/>
      <c r="G254" s="234">
        <v>25</v>
      </c>
      <c r="H254" s="234">
        <v>21</v>
      </c>
      <c r="I254" s="234"/>
      <c r="J254" s="234">
        <v>7</v>
      </c>
      <c r="K254" s="234">
        <v>6</v>
      </c>
      <c r="L254" s="234">
        <v>6</v>
      </c>
      <c r="M254" s="234">
        <v>0</v>
      </c>
    </row>
    <row r="255" spans="1:13" s="230" customFormat="1" ht="9" customHeight="1" x14ac:dyDescent="0.25">
      <c r="A255" s="235" t="s">
        <v>49</v>
      </c>
      <c r="B255" s="236">
        <f t="shared" si="6"/>
        <v>508</v>
      </c>
      <c r="C255" s="236">
        <v>274</v>
      </c>
      <c r="D255" s="236">
        <v>106</v>
      </c>
      <c r="E255" s="236">
        <v>53</v>
      </c>
      <c r="F255" s="236"/>
      <c r="G255" s="236">
        <v>34</v>
      </c>
      <c r="H255" s="236">
        <v>15</v>
      </c>
      <c r="I255" s="236"/>
      <c r="J255" s="236">
        <v>8</v>
      </c>
      <c r="K255" s="236">
        <v>17</v>
      </c>
      <c r="L255" s="236">
        <v>0</v>
      </c>
      <c r="M255" s="236">
        <v>1</v>
      </c>
    </row>
    <row r="256" spans="1:13" s="230" customFormat="1" ht="9" customHeight="1" x14ac:dyDescent="0.25">
      <c r="A256" s="230" t="s">
        <v>50</v>
      </c>
      <c r="B256" s="234">
        <f t="shared" si="6"/>
        <v>198</v>
      </c>
      <c r="C256" s="234">
        <v>172</v>
      </c>
      <c r="D256" s="234">
        <v>0</v>
      </c>
      <c r="E256" s="234">
        <v>17</v>
      </c>
      <c r="F256" s="234"/>
      <c r="G256" s="234">
        <v>4</v>
      </c>
      <c r="H256" s="234">
        <v>0</v>
      </c>
      <c r="I256" s="234"/>
      <c r="J256" s="234">
        <v>5</v>
      </c>
      <c r="K256" s="234">
        <v>0</v>
      </c>
      <c r="L256" s="234">
        <v>0</v>
      </c>
      <c r="M256" s="234">
        <v>0</v>
      </c>
    </row>
    <row r="257" spans="1:13" s="230" customFormat="1" ht="9" customHeight="1" x14ac:dyDescent="0.25">
      <c r="A257" s="230" t="s">
        <v>51</v>
      </c>
      <c r="B257" s="234">
        <f t="shared" si="6"/>
        <v>1592</v>
      </c>
      <c r="C257" s="234">
        <v>741</v>
      </c>
      <c r="D257" s="234">
        <v>524</v>
      </c>
      <c r="E257" s="234">
        <v>151</v>
      </c>
      <c r="F257" s="234"/>
      <c r="G257" s="234">
        <v>85</v>
      </c>
      <c r="H257" s="234">
        <v>47</v>
      </c>
      <c r="I257" s="234"/>
      <c r="J257" s="234">
        <v>15</v>
      </c>
      <c r="K257" s="234">
        <v>28</v>
      </c>
      <c r="L257" s="234">
        <v>0</v>
      </c>
      <c r="M257" s="234">
        <v>1</v>
      </c>
    </row>
    <row r="258" spans="1:13" s="230" customFormat="1" ht="9" customHeight="1" x14ac:dyDescent="0.25">
      <c r="A258" s="230" t="s">
        <v>52</v>
      </c>
      <c r="B258" s="234">
        <f t="shared" si="6"/>
        <v>335</v>
      </c>
      <c r="C258" s="234">
        <v>169</v>
      </c>
      <c r="D258" s="234">
        <v>87</v>
      </c>
      <c r="E258" s="234">
        <v>56</v>
      </c>
      <c r="F258" s="234"/>
      <c r="G258" s="234">
        <v>16</v>
      </c>
      <c r="H258" s="234">
        <v>1</v>
      </c>
      <c r="I258" s="234"/>
      <c r="J258" s="234">
        <v>4</v>
      </c>
      <c r="K258" s="234">
        <v>2</v>
      </c>
      <c r="L258" s="234">
        <v>0</v>
      </c>
      <c r="M258" s="234">
        <v>0</v>
      </c>
    </row>
    <row r="259" spans="1:13" s="230" customFormat="1" ht="9" customHeight="1" x14ac:dyDescent="0.25">
      <c r="A259" s="235" t="s">
        <v>53</v>
      </c>
      <c r="B259" s="236">
        <f t="shared" si="6"/>
        <v>408</v>
      </c>
      <c r="C259" s="236">
        <v>183</v>
      </c>
      <c r="D259" s="236">
        <v>146</v>
      </c>
      <c r="E259" s="236">
        <v>37</v>
      </c>
      <c r="F259" s="236"/>
      <c r="G259" s="236">
        <v>38</v>
      </c>
      <c r="H259" s="236">
        <v>1</v>
      </c>
      <c r="I259" s="236"/>
      <c r="J259" s="236">
        <v>3</v>
      </c>
      <c r="K259" s="236">
        <v>0</v>
      </c>
      <c r="L259" s="236">
        <v>0</v>
      </c>
      <c r="M259" s="236">
        <v>0</v>
      </c>
    </row>
    <row r="260" spans="1:13" s="230" customFormat="1" ht="8.25" customHeight="1" x14ac:dyDescent="0.25">
      <c r="B260" s="234"/>
      <c r="C260" s="234"/>
      <c r="D260" s="234"/>
      <c r="E260" s="234"/>
      <c r="F260" s="234"/>
      <c r="G260" s="234"/>
      <c r="H260" s="234"/>
      <c r="I260" s="234"/>
      <c r="J260" s="234"/>
      <c r="K260" s="234"/>
      <c r="L260" s="234"/>
      <c r="M260" s="234"/>
    </row>
    <row r="261" spans="1:13" s="230" customFormat="1" ht="9" customHeight="1" x14ac:dyDescent="0.25">
      <c r="A261" s="228">
        <v>2002</v>
      </c>
      <c r="B261" s="229"/>
      <c r="C261" s="229"/>
      <c r="D261" s="229"/>
      <c r="E261" s="229"/>
      <c r="F261" s="229"/>
      <c r="G261" s="229"/>
      <c r="H261" s="229"/>
      <c r="I261" s="229"/>
      <c r="J261" s="229"/>
      <c r="K261" s="229"/>
      <c r="M261" s="229"/>
    </row>
    <row r="262" spans="1:13" s="230" customFormat="1" ht="9" customHeight="1" x14ac:dyDescent="0.25">
      <c r="A262" s="231" t="s">
        <v>21</v>
      </c>
      <c r="B262" s="241">
        <f>SUM(B264:B295)</f>
        <v>19554</v>
      </c>
      <c r="C262" s="241">
        <f>SUM(C264:C295)</f>
        <v>12034</v>
      </c>
      <c r="D262" s="241">
        <f>SUM(D264:D295)</f>
        <v>3609</v>
      </c>
      <c r="E262" s="241">
        <f>SUM(E264:E295)</f>
        <v>1779</v>
      </c>
      <c r="F262" s="241"/>
      <c r="G262" s="241">
        <f>SUM(G264:G295)</f>
        <v>1259</v>
      </c>
      <c r="H262" s="241">
        <f>SUM(H264:H295)</f>
        <v>195</v>
      </c>
      <c r="I262" s="241"/>
      <c r="J262" s="241">
        <f>SUM(J264:J295)</f>
        <v>333</v>
      </c>
      <c r="K262" s="241">
        <f>SUM(K264:K295)</f>
        <v>130</v>
      </c>
      <c r="L262" s="241">
        <f>SUM(L264:L295)</f>
        <v>208</v>
      </c>
      <c r="M262" s="241">
        <f>SUM(M264:M295)</f>
        <v>7</v>
      </c>
    </row>
    <row r="263" spans="1:13" s="230" customFormat="1" ht="3.95" customHeight="1" x14ac:dyDescent="0.25">
      <c r="A263" s="231"/>
      <c r="B263" s="241"/>
      <c r="C263" s="241"/>
      <c r="D263" s="241"/>
      <c r="E263" s="241"/>
      <c r="F263" s="241"/>
      <c r="G263" s="241"/>
      <c r="H263" s="241"/>
      <c r="I263" s="241"/>
      <c r="J263" s="241"/>
      <c r="K263" s="241"/>
      <c r="L263" s="241"/>
      <c r="M263" s="241"/>
    </row>
    <row r="264" spans="1:13" s="230" customFormat="1" ht="9" customHeight="1" x14ac:dyDescent="0.25">
      <c r="A264" s="230" t="s">
        <v>23</v>
      </c>
      <c r="B264" s="242">
        <f t="shared" ref="B264:B295" si="7">SUM(C264:M264)</f>
        <v>118</v>
      </c>
      <c r="C264" s="242">
        <v>88</v>
      </c>
      <c r="D264" s="242">
        <v>0</v>
      </c>
      <c r="E264" s="242">
        <v>14</v>
      </c>
      <c r="F264" s="242"/>
      <c r="G264" s="242">
        <v>12</v>
      </c>
      <c r="H264" s="242">
        <v>0</v>
      </c>
      <c r="I264" s="242"/>
      <c r="J264" s="242">
        <v>2</v>
      </c>
      <c r="K264" s="242">
        <v>0</v>
      </c>
      <c r="L264" s="242">
        <v>1</v>
      </c>
      <c r="M264" s="242">
        <v>1</v>
      </c>
    </row>
    <row r="265" spans="1:13" s="230" customFormat="1" ht="9" customHeight="1" x14ac:dyDescent="0.25">
      <c r="A265" s="230" t="s">
        <v>24</v>
      </c>
      <c r="B265" s="242">
        <f t="shared" si="7"/>
        <v>253</v>
      </c>
      <c r="C265" s="242">
        <v>137</v>
      </c>
      <c r="D265" s="242">
        <v>12</v>
      </c>
      <c r="E265" s="242">
        <v>51</v>
      </c>
      <c r="F265" s="242"/>
      <c r="G265" s="242">
        <v>15</v>
      </c>
      <c r="H265" s="242">
        <v>0</v>
      </c>
      <c r="I265" s="242"/>
      <c r="J265" s="242">
        <v>10</v>
      </c>
      <c r="K265" s="242">
        <v>5</v>
      </c>
      <c r="L265" s="242">
        <v>23</v>
      </c>
      <c r="M265" s="242">
        <v>0</v>
      </c>
    </row>
    <row r="266" spans="1:13" s="230" customFormat="1" ht="9" customHeight="1" x14ac:dyDescent="0.25">
      <c r="A266" s="230" t="s">
        <v>25</v>
      </c>
      <c r="B266" s="242">
        <f t="shared" si="7"/>
        <v>145</v>
      </c>
      <c r="C266" s="242">
        <v>78</v>
      </c>
      <c r="D266" s="242">
        <v>0</v>
      </c>
      <c r="E266" s="242">
        <v>28</v>
      </c>
      <c r="F266" s="242"/>
      <c r="G266" s="242">
        <v>30</v>
      </c>
      <c r="H266" s="242">
        <v>0</v>
      </c>
      <c r="I266" s="242"/>
      <c r="J266" s="242">
        <v>6</v>
      </c>
      <c r="K266" s="242">
        <v>3</v>
      </c>
      <c r="L266" s="242">
        <v>0</v>
      </c>
      <c r="M266" s="242">
        <v>0</v>
      </c>
    </row>
    <row r="267" spans="1:13" s="230" customFormat="1" ht="9" customHeight="1" x14ac:dyDescent="0.25">
      <c r="A267" s="235" t="s">
        <v>26</v>
      </c>
      <c r="B267" s="243">
        <f t="shared" si="7"/>
        <v>294</v>
      </c>
      <c r="C267" s="243">
        <v>150</v>
      </c>
      <c r="D267" s="243">
        <v>36</v>
      </c>
      <c r="E267" s="243">
        <v>25</v>
      </c>
      <c r="F267" s="243"/>
      <c r="G267" s="243">
        <v>10</v>
      </c>
      <c r="H267" s="243">
        <v>64</v>
      </c>
      <c r="I267" s="243"/>
      <c r="J267" s="243">
        <v>3</v>
      </c>
      <c r="K267" s="243">
        <v>6</v>
      </c>
      <c r="L267" s="243">
        <v>0</v>
      </c>
      <c r="M267" s="243">
        <v>0</v>
      </c>
    </row>
    <row r="268" spans="1:13" s="230" customFormat="1" ht="9" customHeight="1" x14ac:dyDescent="0.25">
      <c r="A268" s="230" t="s">
        <v>27</v>
      </c>
      <c r="B268" s="242">
        <f t="shared" si="7"/>
        <v>366</v>
      </c>
      <c r="C268" s="242">
        <v>189</v>
      </c>
      <c r="D268" s="242">
        <v>82</v>
      </c>
      <c r="E268" s="242">
        <v>56</v>
      </c>
      <c r="F268" s="242"/>
      <c r="G268" s="242">
        <v>30</v>
      </c>
      <c r="H268" s="242">
        <v>0</v>
      </c>
      <c r="I268" s="242"/>
      <c r="J268" s="242">
        <v>8</v>
      </c>
      <c r="K268" s="242">
        <v>0</v>
      </c>
      <c r="L268" s="242">
        <v>0</v>
      </c>
      <c r="M268" s="242">
        <v>1</v>
      </c>
    </row>
    <row r="269" spans="1:13" s="230" customFormat="1" ht="9" customHeight="1" x14ac:dyDescent="0.25">
      <c r="A269" s="230" t="s">
        <v>28</v>
      </c>
      <c r="B269" s="242">
        <f t="shared" si="7"/>
        <v>176</v>
      </c>
      <c r="C269" s="242">
        <v>131</v>
      </c>
      <c r="D269" s="242">
        <v>0</v>
      </c>
      <c r="E269" s="242">
        <v>26</v>
      </c>
      <c r="F269" s="242"/>
      <c r="G269" s="242">
        <v>5</v>
      </c>
      <c r="H269" s="242">
        <v>0</v>
      </c>
      <c r="I269" s="242"/>
      <c r="J269" s="242">
        <v>3</v>
      </c>
      <c r="K269" s="242">
        <v>11</v>
      </c>
      <c r="L269" s="242">
        <v>0</v>
      </c>
      <c r="M269" s="242">
        <v>0</v>
      </c>
    </row>
    <row r="270" spans="1:13" s="230" customFormat="1" ht="9" customHeight="1" x14ac:dyDescent="0.25">
      <c r="A270" s="230" t="s">
        <v>29</v>
      </c>
      <c r="B270" s="242">
        <f t="shared" si="7"/>
        <v>1577</v>
      </c>
      <c r="C270" s="242">
        <v>881</v>
      </c>
      <c r="D270" s="242">
        <v>562</v>
      </c>
      <c r="E270" s="242">
        <v>39</v>
      </c>
      <c r="F270" s="242"/>
      <c r="G270" s="242">
        <v>48</v>
      </c>
      <c r="H270" s="242">
        <v>5</v>
      </c>
      <c r="I270" s="242"/>
      <c r="J270" s="242">
        <v>25</v>
      </c>
      <c r="K270" s="242">
        <v>5</v>
      </c>
      <c r="L270" s="242">
        <v>12</v>
      </c>
      <c r="M270" s="242">
        <v>0</v>
      </c>
    </row>
    <row r="271" spans="1:13" s="230" customFormat="1" ht="9" customHeight="1" x14ac:dyDescent="0.25">
      <c r="A271" s="235" t="s">
        <v>30</v>
      </c>
      <c r="B271" s="243">
        <f t="shared" si="7"/>
        <v>585</v>
      </c>
      <c r="C271" s="243">
        <v>282</v>
      </c>
      <c r="D271" s="243">
        <v>146</v>
      </c>
      <c r="E271" s="243">
        <v>85</v>
      </c>
      <c r="F271" s="243"/>
      <c r="G271" s="243">
        <v>56</v>
      </c>
      <c r="H271" s="243">
        <v>2</v>
      </c>
      <c r="I271" s="243"/>
      <c r="J271" s="243">
        <v>14</v>
      </c>
      <c r="K271" s="243">
        <v>0</v>
      </c>
      <c r="L271" s="243">
        <v>0</v>
      </c>
      <c r="M271" s="243">
        <v>0</v>
      </c>
    </row>
    <row r="272" spans="1:13" s="230" customFormat="1" ht="9" customHeight="1" x14ac:dyDescent="0.25">
      <c r="A272" s="405" t="s">
        <v>63</v>
      </c>
      <c r="B272" s="242">
        <f t="shared" si="7"/>
        <v>749</v>
      </c>
      <c r="C272" s="242">
        <v>416</v>
      </c>
      <c r="D272" s="242">
        <v>1</v>
      </c>
      <c r="E272" s="242">
        <v>81</v>
      </c>
      <c r="F272" s="242"/>
      <c r="G272" s="242">
        <v>143</v>
      </c>
      <c r="H272" s="242">
        <v>13</v>
      </c>
      <c r="I272" s="242"/>
      <c r="J272" s="242">
        <v>71</v>
      </c>
      <c r="K272" s="242">
        <v>11</v>
      </c>
      <c r="L272" s="242">
        <v>13</v>
      </c>
      <c r="M272" s="242">
        <v>0</v>
      </c>
    </row>
    <row r="273" spans="1:13" s="230" customFormat="1" ht="9" customHeight="1" x14ac:dyDescent="0.25">
      <c r="A273" s="230" t="s">
        <v>31</v>
      </c>
      <c r="B273" s="242">
        <f t="shared" si="7"/>
        <v>479</v>
      </c>
      <c r="C273" s="242">
        <v>223</v>
      </c>
      <c r="D273" s="242">
        <v>166</v>
      </c>
      <c r="E273" s="242">
        <v>42</v>
      </c>
      <c r="F273" s="242"/>
      <c r="G273" s="242">
        <v>42</v>
      </c>
      <c r="H273" s="242">
        <v>0</v>
      </c>
      <c r="I273" s="242"/>
      <c r="J273" s="242">
        <v>6</v>
      </c>
      <c r="K273" s="242">
        <v>0</v>
      </c>
      <c r="L273" s="242">
        <v>0</v>
      </c>
      <c r="M273" s="242">
        <v>0</v>
      </c>
    </row>
    <row r="274" spans="1:13" s="230" customFormat="1" ht="9" customHeight="1" x14ac:dyDescent="0.25">
      <c r="A274" s="230" t="s">
        <v>32</v>
      </c>
      <c r="B274" s="242">
        <f t="shared" si="7"/>
        <v>626</v>
      </c>
      <c r="C274" s="242">
        <v>522</v>
      </c>
      <c r="D274" s="242">
        <v>0</v>
      </c>
      <c r="E274" s="242">
        <v>53</v>
      </c>
      <c r="F274" s="242"/>
      <c r="G274" s="242">
        <v>41</v>
      </c>
      <c r="H274" s="242">
        <v>3</v>
      </c>
      <c r="I274" s="242"/>
      <c r="J274" s="242">
        <v>7</v>
      </c>
      <c r="K274" s="242">
        <v>0</v>
      </c>
      <c r="L274" s="242">
        <v>0</v>
      </c>
      <c r="M274" s="242">
        <v>0</v>
      </c>
    </row>
    <row r="275" spans="1:13" s="230" customFormat="1" ht="9" customHeight="1" x14ac:dyDescent="0.25">
      <c r="A275" s="235" t="s">
        <v>33</v>
      </c>
      <c r="B275" s="243">
        <f t="shared" si="7"/>
        <v>1096</v>
      </c>
      <c r="C275" s="243">
        <v>942</v>
      </c>
      <c r="D275" s="243">
        <v>0</v>
      </c>
      <c r="E275" s="243">
        <v>80</v>
      </c>
      <c r="F275" s="243"/>
      <c r="G275" s="243">
        <v>54</v>
      </c>
      <c r="H275" s="243">
        <v>0</v>
      </c>
      <c r="I275" s="243"/>
      <c r="J275" s="243">
        <v>15</v>
      </c>
      <c r="K275" s="243">
        <v>5</v>
      </c>
      <c r="L275" s="243">
        <v>0</v>
      </c>
      <c r="M275" s="243">
        <v>0</v>
      </c>
    </row>
    <row r="276" spans="1:13" s="230" customFormat="1" ht="9" customHeight="1" x14ac:dyDescent="0.25">
      <c r="A276" s="230" t="s">
        <v>34</v>
      </c>
      <c r="B276" s="242">
        <f t="shared" si="7"/>
        <v>766</v>
      </c>
      <c r="C276" s="242">
        <v>463</v>
      </c>
      <c r="D276" s="242">
        <v>218</v>
      </c>
      <c r="E276" s="242">
        <v>38</v>
      </c>
      <c r="F276" s="242"/>
      <c r="G276" s="242">
        <v>39</v>
      </c>
      <c r="H276" s="242">
        <v>5</v>
      </c>
      <c r="I276" s="242"/>
      <c r="J276" s="242">
        <v>3</v>
      </c>
      <c r="K276" s="242">
        <v>0</v>
      </c>
      <c r="L276" s="242">
        <v>0</v>
      </c>
      <c r="M276" s="242">
        <v>0</v>
      </c>
    </row>
    <row r="277" spans="1:13" s="230" customFormat="1" ht="9" customHeight="1" x14ac:dyDescent="0.25">
      <c r="A277" s="230" t="s">
        <v>35</v>
      </c>
      <c r="B277" s="242">
        <f t="shared" si="7"/>
        <v>1015</v>
      </c>
      <c r="C277" s="242">
        <v>773</v>
      </c>
      <c r="D277" s="242">
        <v>0</v>
      </c>
      <c r="E277" s="242">
        <v>136</v>
      </c>
      <c r="F277" s="242"/>
      <c r="G277" s="242">
        <v>87</v>
      </c>
      <c r="H277" s="242">
        <v>3</v>
      </c>
      <c r="I277" s="242"/>
      <c r="J277" s="242">
        <v>14</v>
      </c>
      <c r="K277" s="242">
        <v>1</v>
      </c>
      <c r="L277" s="242">
        <v>0</v>
      </c>
      <c r="M277" s="242">
        <v>1</v>
      </c>
    </row>
    <row r="278" spans="1:13" s="230" customFormat="1" ht="9" customHeight="1" x14ac:dyDescent="0.25">
      <c r="A278" s="230" t="s">
        <v>36</v>
      </c>
      <c r="B278" s="242">
        <f t="shared" si="7"/>
        <v>1258</v>
      </c>
      <c r="C278" s="242">
        <v>997</v>
      </c>
      <c r="D278" s="242">
        <v>0</v>
      </c>
      <c r="E278" s="242">
        <v>99</v>
      </c>
      <c r="F278" s="242"/>
      <c r="G278" s="242">
        <v>52</v>
      </c>
      <c r="H278" s="242">
        <v>3</v>
      </c>
      <c r="I278" s="242"/>
      <c r="J278" s="242">
        <v>28</v>
      </c>
      <c r="K278" s="242">
        <v>0</v>
      </c>
      <c r="L278" s="242">
        <v>79</v>
      </c>
      <c r="M278" s="242">
        <v>0</v>
      </c>
    </row>
    <row r="279" spans="1:13" s="230" customFormat="1" ht="9" customHeight="1" x14ac:dyDescent="0.25">
      <c r="A279" s="235" t="s">
        <v>37</v>
      </c>
      <c r="B279" s="243">
        <f t="shared" si="7"/>
        <v>899</v>
      </c>
      <c r="C279" s="243">
        <v>413</v>
      </c>
      <c r="D279" s="243">
        <v>339</v>
      </c>
      <c r="E279" s="243">
        <v>61</v>
      </c>
      <c r="F279" s="243"/>
      <c r="G279" s="243">
        <v>66</v>
      </c>
      <c r="H279" s="243">
        <v>0</v>
      </c>
      <c r="I279" s="243"/>
      <c r="J279" s="243">
        <v>7</v>
      </c>
      <c r="K279" s="243">
        <v>13</v>
      </c>
      <c r="L279" s="243">
        <v>0</v>
      </c>
      <c r="M279" s="243">
        <v>0</v>
      </c>
    </row>
    <row r="280" spans="1:13" s="230" customFormat="1" ht="9" customHeight="1" x14ac:dyDescent="0.25">
      <c r="A280" s="230" t="s">
        <v>38</v>
      </c>
      <c r="B280" s="242">
        <f t="shared" si="7"/>
        <v>278</v>
      </c>
      <c r="C280" s="242">
        <v>215</v>
      </c>
      <c r="D280" s="242">
        <v>0</v>
      </c>
      <c r="E280" s="242">
        <v>30</v>
      </c>
      <c r="F280" s="242"/>
      <c r="G280" s="242">
        <v>28</v>
      </c>
      <c r="H280" s="242">
        <v>0</v>
      </c>
      <c r="I280" s="242"/>
      <c r="J280" s="242">
        <v>5</v>
      </c>
      <c r="K280" s="242">
        <v>0</v>
      </c>
      <c r="L280" s="242">
        <v>0</v>
      </c>
      <c r="M280" s="242">
        <v>0</v>
      </c>
    </row>
    <row r="281" spans="1:13" s="230" customFormat="1" ht="9" customHeight="1" x14ac:dyDescent="0.25">
      <c r="A281" s="230" t="s">
        <v>39</v>
      </c>
      <c r="B281" s="242">
        <f t="shared" si="7"/>
        <v>353</v>
      </c>
      <c r="C281" s="242">
        <v>214</v>
      </c>
      <c r="D281" s="242">
        <v>80</v>
      </c>
      <c r="E281" s="242">
        <v>31</v>
      </c>
      <c r="F281" s="242"/>
      <c r="G281" s="242">
        <v>25</v>
      </c>
      <c r="H281" s="242">
        <v>0</v>
      </c>
      <c r="I281" s="242"/>
      <c r="J281" s="242">
        <v>2</v>
      </c>
      <c r="K281" s="242">
        <v>1</v>
      </c>
      <c r="L281" s="242">
        <v>0</v>
      </c>
      <c r="M281" s="242">
        <v>0</v>
      </c>
    </row>
    <row r="282" spans="1:13" s="230" customFormat="1" ht="9" customHeight="1" x14ac:dyDescent="0.25">
      <c r="A282" s="230" t="s">
        <v>40</v>
      </c>
      <c r="B282" s="242">
        <f t="shared" si="7"/>
        <v>564</v>
      </c>
      <c r="C282" s="242">
        <v>457</v>
      </c>
      <c r="D282" s="242">
        <v>0</v>
      </c>
      <c r="E282" s="242">
        <v>65</v>
      </c>
      <c r="F282" s="242"/>
      <c r="G282" s="242">
        <v>32</v>
      </c>
      <c r="H282" s="242">
        <v>6</v>
      </c>
      <c r="I282" s="242"/>
      <c r="J282" s="242">
        <v>4</v>
      </c>
      <c r="K282" s="242">
        <v>0</v>
      </c>
      <c r="L282" s="242">
        <v>0</v>
      </c>
      <c r="M282" s="242">
        <v>0</v>
      </c>
    </row>
    <row r="283" spans="1:13" s="230" customFormat="1" ht="9" customHeight="1" x14ac:dyDescent="0.25">
      <c r="A283" s="235" t="s">
        <v>41</v>
      </c>
      <c r="B283" s="243">
        <f t="shared" si="7"/>
        <v>1270</v>
      </c>
      <c r="C283" s="243">
        <v>665</v>
      </c>
      <c r="D283" s="243">
        <v>479</v>
      </c>
      <c r="E283" s="243">
        <v>36</v>
      </c>
      <c r="F283" s="243"/>
      <c r="G283" s="243">
        <v>61</v>
      </c>
      <c r="H283" s="243">
        <v>6</v>
      </c>
      <c r="I283" s="243"/>
      <c r="J283" s="243">
        <v>16</v>
      </c>
      <c r="K283" s="243">
        <v>7</v>
      </c>
      <c r="L283" s="243">
        <v>0</v>
      </c>
      <c r="M283" s="243">
        <v>0</v>
      </c>
    </row>
    <row r="284" spans="1:13" s="230" customFormat="1" ht="9" customHeight="1" x14ac:dyDescent="0.25">
      <c r="A284" s="230" t="s">
        <v>42</v>
      </c>
      <c r="B284" s="242">
        <f t="shared" si="7"/>
        <v>1024</v>
      </c>
      <c r="C284" s="242">
        <v>536</v>
      </c>
      <c r="D284" s="242">
        <v>312</v>
      </c>
      <c r="E284" s="242">
        <v>57</v>
      </c>
      <c r="F284" s="242"/>
      <c r="G284" s="242">
        <v>45</v>
      </c>
      <c r="H284" s="242">
        <v>5</v>
      </c>
      <c r="I284" s="242"/>
      <c r="J284" s="242">
        <v>9</v>
      </c>
      <c r="K284" s="242">
        <v>0</v>
      </c>
      <c r="L284" s="242">
        <v>58</v>
      </c>
      <c r="M284" s="242">
        <v>2</v>
      </c>
    </row>
    <row r="285" spans="1:13" s="230" customFormat="1" ht="9" customHeight="1" x14ac:dyDescent="0.25">
      <c r="A285" s="230" t="s">
        <v>43</v>
      </c>
      <c r="B285" s="242">
        <f t="shared" si="7"/>
        <v>301</v>
      </c>
      <c r="C285" s="242">
        <v>251</v>
      </c>
      <c r="D285" s="242">
        <v>0</v>
      </c>
      <c r="E285" s="242">
        <v>27</v>
      </c>
      <c r="F285" s="242"/>
      <c r="G285" s="242">
        <v>19</v>
      </c>
      <c r="H285" s="242">
        <v>0</v>
      </c>
      <c r="I285" s="242"/>
      <c r="J285" s="242">
        <v>4</v>
      </c>
      <c r="K285" s="242">
        <v>0</v>
      </c>
      <c r="L285" s="242">
        <v>0</v>
      </c>
      <c r="M285" s="242">
        <v>0</v>
      </c>
    </row>
    <row r="286" spans="1:13" s="230" customFormat="1" ht="9" customHeight="1" x14ac:dyDescent="0.25">
      <c r="A286" s="230" t="s">
        <v>44</v>
      </c>
      <c r="B286" s="242">
        <f t="shared" si="7"/>
        <v>225</v>
      </c>
      <c r="C286" s="242">
        <v>168</v>
      </c>
      <c r="D286" s="242">
        <v>0</v>
      </c>
      <c r="E286" s="242">
        <v>38</v>
      </c>
      <c r="F286" s="242"/>
      <c r="G286" s="242">
        <v>9</v>
      </c>
      <c r="H286" s="242">
        <v>0</v>
      </c>
      <c r="I286" s="242"/>
      <c r="J286" s="242">
        <v>6</v>
      </c>
      <c r="K286" s="242">
        <v>4</v>
      </c>
      <c r="L286" s="242">
        <v>0</v>
      </c>
      <c r="M286" s="242">
        <v>0</v>
      </c>
    </row>
    <row r="287" spans="1:13" s="230" customFormat="1" ht="9" customHeight="1" x14ac:dyDescent="0.25">
      <c r="A287" s="235" t="s">
        <v>45</v>
      </c>
      <c r="B287" s="243">
        <f t="shared" si="7"/>
        <v>555</v>
      </c>
      <c r="C287" s="243">
        <v>276</v>
      </c>
      <c r="D287" s="243">
        <v>206</v>
      </c>
      <c r="E287" s="243">
        <v>40</v>
      </c>
      <c r="F287" s="243"/>
      <c r="G287" s="243">
        <v>29</v>
      </c>
      <c r="H287" s="243">
        <v>1</v>
      </c>
      <c r="I287" s="243"/>
      <c r="J287" s="243">
        <v>3</v>
      </c>
      <c r="K287" s="243">
        <v>0</v>
      </c>
      <c r="L287" s="243">
        <v>0</v>
      </c>
      <c r="M287" s="243">
        <v>0</v>
      </c>
    </row>
    <row r="288" spans="1:13" s="230" customFormat="1" ht="9" customHeight="1" x14ac:dyDescent="0.25">
      <c r="A288" s="230" t="s">
        <v>46</v>
      </c>
      <c r="B288" s="242">
        <f t="shared" si="7"/>
        <v>439</v>
      </c>
      <c r="C288" s="242">
        <v>231</v>
      </c>
      <c r="D288" s="242">
        <v>107</v>
      </c>
      <c r="E288" s="242">
        <v>50</v>
      </c>
      <c r="F288" s="242"/>
      <c r="G288" s="242">
        <v>39</v>
      </c>
      <c r="H288" s="242">
        <v>1</v>
      </c>
      <c r="I288" s="242"/>
      <c r="J288" s="242">
        <v>8</v>
      </c>
      <c r="K288" s="242">
        <v>3</v>
      </c>
      <c r="L288" s="242">
        <v>0</v>
      </c>
      <c r="M288" s="242">
        <v>0</v>
      </c>
    </row>
    <row r="289" spans="1:13" s="230" customFormat="1" ht="9" customHeight="1" x14ac:dyDescent="0.25">
      <c r="A289" s="230" t="s">
        <v>47</v>
      </c>
      <c r="B289" s="242">
        <f>SUM(C289:M289)</f>
        <v>395</v>
      </c>
      <c r="C289" s="242">
        <v>243</v>
      </c>
      <c r="D289" s="242">
        <v>0</v>
      </c>
      <c r="E289" s="242">
        <v>78</v>
      </c>
      <c r="F289" s="242"/>
      <c r="G289" s="242">
        <v>40</v>
      </c>
      <c r="H289" s="242">
        <v>0</v>
      </c>
      <c r="I289" s="242"/>
      <c r="J289" s="242">
        <v>13</v>
      </c>
      <c r="K289" s="242">
        <v>5</v>
      </c>
      <c r="L289" s="242">
        <v>16</v>
      </c>
      <c r="M289" s="242">
        <v>0</v>
      </c>
    </row>
    <row r="290" spans="1:13" s="230" customFormat="1" ht="9" customHeight="1" x14ac:dyDescent="0.25">
      <c r="A290" s="230" t="s">
        <v>48</v>
      </c>
      <c r="B290" s="242">
        <f t="shared" si="7"/>
        <v>603</v>
      </c>
      <c r="C290" s="242">
        <v>506</v>
      </c>
      <c r="D290" s="242">
        <v>0</v>
      </c>
      <c r="E290" s="242">
        <v>34</v>
      </c>
      <c r="F290" s="242"/>
      <c r="G290" s="242">
        <v>25</v>
      </c>
      <c r="H290" s="242">
        <v>21</v>
      </c>
      <c r="I290" s="242"/>
      <c r="J290" s="242">
        <v>7</v>
      </c>
      <c r="K290" s="242">
        <v>4</v>
      </c>
      <c r="L290" s="242">
        <v>6</v>
      </c>
      <c r="M290" s="242">
        <v>0</v>
      </c>
    </row>
    <row r="291" spans="1:13" s="230" customFormat="1" ht="9" customHeight="1" x14ac:dyDescent="0.25">
      <c r="A291" s="235" t="s">
        <v>49</v>
      </c>
      <c r="B291" s="243">
        <f t="shared" si="7"/>
        <v>554</v>
      </c>
      <c r="C291" s="243">
        <v>300</v>
      </c>
      <c r="D291" s="243">
        <v>106</v>
      </c>
      <c r="E291" s="243">
        <v>76</v>
      </c>
      <c r="F291" s="243"/>
      <c r="G291" s="243">
        <v>34</v>
      </c>
      <c r="H291" s="243">
        <v>13</v>
      </c>
      <c r="I291" s="243"/>
      <c r="J291" s="243">
        <v>7</v>
      </c>
      <c r="K291" s="243">
        <v>17</v>
      </c>
      <c r="L291" s="243">
        <v>0</v>
      </c>
      <c r="M291" s="243">
        <v>1</v>
      </c>
    </row>
    <row r="292" spans="1:13" s="230" customFormat="1" ht="9" customHeight="1" x14ac:dyDescent="0.25">
      <c r="A292" s="230" t="s">
        <v>50</v>
      </c>
      <c r="B292" s="242">
        <f t="shared" si="7"/>
        <v>225</v>
      </c>
      <c r="C292" s="242">
        <v>173</v>
      </c>
      <c r="D292" s="242">
        <v>0</v>
      </c>
      <c r="E292" s="242">
        <v>43</v>
      </c>
      <c r="F292" s="242"/>
      <c r="G292" s="242">
        <v>4</v>
      </c>
      <c r="H292" s="242">
        <v>0</v>
      </c>
      <c r="I292" s="242"/>
      <c r="J292" s="242">
        <v>5</v>
      </c>
      <c r="K292" s="242">
        <v>0</v>
      </c>
      <c r="L292" s="242">
        <v>0</v>
      </c>
      <c r="M292" s="242">
        <v>0</v>
      </c>
    </row>
    <row r="293" spans="1:13" s="230" customFormat="1" ht="9" customHeight="1" x14ac:dyDescent="0.25">
      <c r="A293" s="230" t="s">
        <v>51</v>
      </c>
      <c r="B293" s="242">
        <f t="shared" si="7"/>
        <v>1579</v>
      </c>
      <c r="C293" s="242">
        <v>759</v>
      </c>
      <c r="D293" s="242">
        <v>524</v>
      </c>
      <c r="E293" s="242">
        <v>124</v>
      </c>
      <c r="F293" s="242"/>
      <c r="G293" s="242">
        <v>85</v>
      </c>
      <c r="H293" s="242">
        <v>44</v>
      </c>
      <c r="I293" s="242"/>
      <c r="J293" s="242">
        <v>15</v>
      </c>
      <c r="K293" s="242">
        <v>27</v>
      </c>
      <c r="L293" s="242">
        <v>0</v>
      </c>
      <c r="M293" s="242">
        <v>1</v>
      </c>
    </row>
    <row r="294" spans="1:13" s="230" customFormat="1" ht="9" customHeight="1" x14ac:dyDescent="0.25">
      <c r="A294" s="230" t="s">
        <v>52</v>
      </c>
      <c r="B294" s="242">
        <f t="shared" si="7"/>
        <v>378</v>
      </c>
      <c r="C294" s="242">
        <v>169</v>
      </c>
      <c r="D294" s="242">
        <v>87</v>
      </c>
      <c r="E294" s="242">
        <v>100</v>
      </c>
      <c r="F294" s="242"/>
      <c r="G294" s="242">
        <v>16</v>
      </c>
      <c r="H294" s="242">
        <v>0</v>
      </c>
      <c r="I294" s="242"/>
      <c r="J294" s="242">
        <v>4</v>
      </c>
      <c r="K294" s="242">
        <v>2</v>
      </c>
      <c r="L294" s="242">
        <v>0</v>
      </c>
      <c r="M294" s="242">
        <v>0</v>
      </c>
    </row>
    <row r="295" spans="1:13" s="230" customFormat="1" ht="9" customHeight="1" x14ac:dyDescent="0.25">
      <c r="A295" s="235" t="s">
        <v>53</v>
      </c>
      <c r="B295" s="243">
        <f t="shared" si="7"/>
        <v>409</v>
      </c>
      <c r="C295" s="243">
        <v>186</v>
      </c>
      <c r="D295" s="243">
        <v>146</v>
      </c>
      <c r="E295" s="243">
        <v>36</v>
      </c>
      <c r="F295" s="243"/>
      <c r="G295" s="243">
        <v>38</v>
      </c>
      <c r="H295" s="243">
        <v>0</v>
      </c>
      <c r="I295" s="243"/>
      <c r="J295" s="243">
        <v>3</v>
      </c>
      <c r="K295" s="243">
        <v>0</v>
      </c>
      <c r="L295" s="243">
        <v>0</v>
      </c>
      <c r="M295" s="243">
        <v>0</v>
      </c>
    </row>
    <row r="296" spans="1:13" s="230" customFormat="1" ht="8.25" customHeight="1" x14ac:dyDescent="0.25">
      <c r="B296" s="234"/>
      <c r="C296" s="234"/>
      <c r="D296" s="234"/>
      <c r="E296" s="234"/>
      <c r="F296" s="234"/>
      <c r="G296" s="234"/>
      <c r="H296" s="234"/>
      <c r="I296" s="234"/>
      <c r="J296" s="234"/>
      <c r="K296" s="234"/>
      <c r="L296" s="234"/>
      <c r="M296" s="234"/>
    </row>
    <row r="297" spans="1:13" s="230" customFormat="1" ht="9" customHeight="1" x14ac:dyDescent="0.25">
      <c r="A297" s="228">
        <v>2003</v>
      </c>
      <c r="B297" s="244"/>
      <c r="C297" s="244"/>
      <c r="D297" s="244"/>
      <c r="E297" s="244"/>
      <c r="F297" s="244"/>
      <c r="G297" s="229"/>
      <c r="H297" s="229"/>
      <c r="I297" s="229"/>
      <c r="J297" s="229"/>
      <c r="K297" s="229"/>
      <c r="M297" s="244"/>
    </row>
    <row r="298" spans="1:13" s="230" customFormat="1" ht="9" customHeight="1" x14ac:dyDescent="0.25">
      <c r="A298" s="231" t="s">
        <v>21</v>
      </c>
      <c r="B298" s="232">
        <f>SUM(B300:B331)+430</f>
        <v>19543</v>
      </c>
      <c r="C298" s="232">
        <f>SUM(C300:C331)</f>
        <v>12206</v>
      </c>
      <c r="D298" s="232">
        <f>SUM(D300:D331)</f>
        <v>3609</v>
      </c>
      <c r="E298" s="232">
        <f>SUM(E300:E331)+430</f>
        <v>1755</v>
      </c>
      <c r="F298" s="245" t="s">
        <v>193</v>
      </c>
      <c r="G298" s="232">
        <f>SUM(G300:G331)</f>
        <v>1242</v>
      </c>
      <c r="H298" s="232">
        <f>SUM(H300:H331)</f>
        <v>27</v>
      </c>
      <c r="I298" s="232"/>
      <c r="J298" s="232">
        <f>SUM(J300:J331)</f>
        <v>366</v>
      </c>
      <c r="K298" s="232">
        <f>SUM(K300:K331)</f>
        <v>54</v>
      </c>
      <c r="L298" s="232">
        <f>SUM(L300:L331)</f>
        <v>279</v>
      </c>
      <c r="M298" s="232">
        <f>SUM(M300:M331)</f>
        <v>5</v>
      </c>
    </row>
    <row r="299" spans="1:13" s="230" customFormat="1" ht="3.95" customHeight="1" x14ac:dyDescent="0.25">
      <c r="A299" s="231"/>
      <c r="B299" s="232"/>
      <c r="C299" s="232"/>
      <c r="D299" s="232"/>
      <c r="E299" s="232"/>
      <c r="F299" s="232"/>
      <c r="G299" s="232"/>
      <c r="H299" s="232"/>
      <c r="I299" s="232"/>
      <c r="J299" s="232"/>
      <c r="K299" s="232"/>
      <c r="L299" s="232"/>
      <c r="M299" s="232"/>
    </row>
    <row r="300" spans="1:13" s="230" customFormat="1" ht="9" customHeight="1" x14ac:dyDescent="0.25">
      <c r="A300" s="230" t="s">
        <v>23</v>
      </c>
      <c r="B300" s="234">
        <f t="shared" ref="B300:B331" si="8">SUM(C300:M300)</f>
        <v>117</v>
      </c>
      <c r="C300" s="234">
        <v>88</v>
      </c>
      <c r="D300" s="234">
        <v>0</v>
      </c>
      <c r="E300" s="234">
        <v>12</v>
      </c>
      <c r="F300" s="234"/>
      <c r="G300" s="234">
        <v>12</v>
      </c>
      <c r="H300" s="234">
        <v>0</v>
      </c>
      <c r="I300" s="234"/>
      <c r="J300" s="234">
        <v>3</v>
      </c>
      <c r="K300" s="234">
        <v>0</v>
      </c>
      <c r="L300" s="234">
        <v>1</v>
      </c>
      <c r="M300" s="234">
        <v>1</v>
      </c>
    </row>
    <row r="301" spans="1:13" s="230" customFormat="1" ht="9" customHeight="1" x14ac:dyDescent="0.25">
      <c r="A301" s="230" t="s">
        <v>24</v>
      </c>
      <c r="B301" s="234">
        <f t="shared" si="8"/>
        <v>240</v>
      </c>
      <c r="C301" s="234">
        <v>140</v>
      </c>
      <c r="D301" s="234">
        <v>12</v>
      </c>
      <c r="E301" s="234">
        <v>34</v>
      </c>
      <c r="F301" s="234"/>
      <c r="G301" s="234">
        <v>15</v>
      </c>
      <c r="H301" s="234">
        <v>0</v>
      </c>
      <c r="I301" s="234"/>
      <c r="J301" s="234">
        <v>14</v>
      </c>
      <c r="K301" s="234">
        <v>2</v>
      </c>
      <c r="L301" s="234">
        <v>23</v>
      </c>
      <c r="M301" s="234">
        <v>0</v>
      </c>
    </row>
    <row r="302" spans="1:13" s="230" customFormat="1" ht="9" customHeight="1" x14ac:dyDescent="0.25">
      <c r="A302" s="230" t="s">
        <v>25</v>
      </c>
      <c r="B302" s="234">
        <f t="shared" si="8"/>
        <v>132</v>
      </c>
      <c r="C302" s="234">
        <v>78</v>
      </c>
      <c r="D302" s="234">
        <v>0</v>
      </c>
      <c r="E302" s="234">
        <v>16</v>
      </c>
      <c r="F302" s="234"/>
      <c r="G302" s="234">
        <v>30</v>
      </c>
      <c r="H302" s="234">
        <v>0</v>
      </c>
      <c r="I302" s="234"/>
      <c r="J302" s="234">
        <v>4</v>
      </c>
      <c r="K302" s="234">
        <v>4</v>
      </c>
      <c r="L302" s="234">
        <v>0</v>
      </c>
      <c r="M302" s="234">
        <v>0</v>
      </c>
    </row>
    <row r="303" spans="1:13" s="230" customFormat="1" ht="9" customHeight="1" x14ac:dyDescent="0.25">
      <c r="A303" s="235" t="s">
        <v>26</v>
      </c>
      <c r="B303" s="236">
        <f t="shared" si="8"/>
        <v>213</v>
      </c>
      <c r="C303" s="236">
        <v>150</v>
      </c>
      <c r="D303" s="236">
        <v>36</v>
      </c>
      <c r="E303" s="236">
        <v>9</v>
      </c>
      <c r="F303" s="236"/>
      <c r="G303" s="236">
        <v>10</v>
      </c>
      <c r="H303" s="236">
        <v>1</v>
      </c>
      <c r="I303" s="236"/>
      <c r="J303" s="236">
        <v>3</v>
      </c>
      <c r="K303" s="236">
        <v>4</v>
      </c>
      <c r="L303" s="236">
        <v>0</v>
      </c>
      <c r="M303" s="236">
        <v>0</v>
      </c>
    </row>
    <row r="304" spans="1:13" s="230" customFormat="1" ht="9" customHeight="1" x14ac:dyDescent="0.25">
      <c r="A304" s="230" t="s">
        <v>27</v>
      </c>
      <c r="B304" s="234">
        <f t="shared" si="8"/>
        <v>367</v>
      </c>
      <c r="C304" s="234">
        <v>193</v>
      </c>
      <c r="D304" s="234">
        <v>82</v>
      </c>
      <c r="E304" s="234">
        <v>50</v>
      </c>
      <c r="F304" s="234"/>
      <c r="G304" s="234">
        <v>32</v>
      </c>
      <c r="H304" s="234">
        <v>0</v>
      </c>
      <c r="I304" s="234"/>
      <c r="J304" s="234">
        <v>9</v>
      </c>
      <c r="K304" s="234">
        <v>0</v>
      </c>
      <c r="L304" s="234">
        <v>0</v>
      </c>
      <c r="M304" s="234">
        <v>1</v>
      </c>
    </row>
    <row r="305" spans="1:13" s="230" customFormat="1" ht="9" customHeight="1" x14ac:dyDescent="0.25">
      <c r="A305" s="230" t="s">
        <v>28</v>
      </c>
      <c r="B305" s="234">
        <f t="shared" si="8"/>
        <v>153</v>
      </c>
      <c r="C305" s="234">
        <v>132</v>
      </c>
      <c r="D305" s="234">
        <v>0</v>
      </c>
      <c r="E305" s="234">
        <v>11</v>
      </c>
      <c r="F305" s="234"/>
      <c r="G305" s="234">
        <v>5</v>
      </c>
      <c r="H305" s="234">
        <v>0</v>
      </c>
      <c r="I305" s="234"/>
      <c r="J305" s="234">
        <v>3</v>
      </c>
      <c r="K305" s="234">
        <v>2</v>
      </c>
      <c r="L305" s="234">
        <v>0</v>
      </c>
      <c r="M305" s="234">
        <v>0</v>
      </c>
    </row>
    <row r="306" spans="1:13" s="230" customFormat="1" ht="9" customHeight="1" x14ac:dyDescent="0.25">
      <c r="A306" s="230" t="s">
        <v>29</v>
      </c>
      <c r="B306" s="234">
        <f t="shared" si="8"/>
        <v>1654</v>
      </c>
      <c r="C306" s="234">
        <v>873</v>
      </c>
      <c r="D306" s="234">
        <v>562</v>
      </c>
      <c r="E306" s="234">
        <v>30</v>
      </c>
      <c r="F306" s="234"/>
      <c r="G306" s="234">
        <v>48</v>
      </c>
      <c r="H306" s="234">
        <v>0</v>
      </c>
      <c r="I306" s="234"/>
      <c r="J306" s="234">
        <v>27</v>
      </c>
      <c r="K306" s="234">
        <v>2</v>
      </c>
      <c r="L306" s="234">
        <v>112</v>
      </c>
      <c r="M306" s="234">
        <v>0</v>
      </c>
    </row>
    <row r="307" spans="1:13" s="230" customFormat="1" ht="9" customHeight="1" x14ac:dyDescent="0.25">
      <c r="A307" s="235" t="s">
        <v>30</v>
      </c>
      <c r="B307" s="236">
        <f t="shared" si="8"/>
        <v>549</v>
      </c>
      <c r="C307" s="236">
        <v>282</v>
      </c>
      <c r="D307" s="236">
        <v>146</v>
      </c>
      <c r="E307" s="236">
        <v>54</v>
      </c>
      <c r="F307" s="236"/>
      <c r="G307" s="236">
        <v>53</v>
      </c>
      <c r="H307" s="236">
        <v>0</v>
      </c>
      <c r="I307" s="236"/>
      <c r="J307" s="236">
        <v>14</v>
      </c>
      <c r="K307" s="236">
        <v>0</v>
      </c>
      <c r="L307" s="236">
        <v>0</v>
      </c>
      <c r="M307" s="236">
        <v>0</v>
      </c>
    </row>
    <row r="308" spans="1:13" s="230" customFormat="1" ht="9" customHeight="1" x14ac:dyDescent="0.25">
      <c r="A308" s="405" t="s">
        <v>63</v>
      </c>
      <c r="B308" s="234">
        <f t="shared" si="8"/>
        <v>658</v>
      </c>
      <c r="C308" s="234">
        <v>374</v>
      </c>
      <c r="D308" s="234">
        <v>1</v>
      </c>
      <c r="E308" s="234">
        <v>75</v>
      </c>
      <c r="F308" s="234"/>
      <c r="G308" s="234">
        <v>127</v>
      </c>
      <c r="H308" s="234">
        <v>2</v>
      </c>
      <c r="I308" s="234"/>
      <c r="J308" s="234">
        <v>74</v>
      </c>
      <c r="K308" s="234">
        <v>4</v>
      </c>
      <c r="L308" s="234">
        <v>1</v>
      </c>
      <c r="M308" s="234">
        <v>0</v>
      </c>
    </row>
    <row r="309" spans="1:13" s="230" customFormat="1" ht="9" customHeight="1" x14ac:dyDescent="0.25">
      <c r="A309" s="230" t="s">
        <v>31</v>
      </c>
      <c r="B309" s="234">
        <f t="shared" si="8"/>
        <v>504</v>
      </c>
      <c r="C309" s="234">
        <v>257</v>
      </c>
      <c r="D309" s="234">
        <v>166</v>
      </c>
      <c r="E309" s="234">
        <v>33</v>
      </c>
      <c r="F309" s="234"/>
      <c r="G309" s="234">
        <v>42</v>
      </c>
      <c r="H309" s="234">
        <v>0</v>
      </c>
      <c r="I309" s="234"/>
      <c r="J309" s="234">
        <v>6</v>
      </c>
      <c r="K309" s="234">
        <v>0</v>
      </c>
      <c r="L309" s="234">
        <v>0</v>
      </c>
      <c r="M309" s="234">
        <v>0</v>
      </c>
    </row>
    <row r="310" spans="1:13" s="230" customFormat="1" ht="9" customHeight="1" x14ac:dyDescent="0.25">
      <c r="A310" s="230" t="s">
        <v>32</v>
      </c>
      <c r="B310" s="234">
        <f t="shared" si="8"/>
        <v>628</v>
      </c>
      <c r="C310" s="234">
        <v>530</v>
      </c>
      <c r="D310" s="234">
        <v>0</v>
      </c>
      <c r="E310" s="234">
        <v>47</v>
      </c>
      <c r="F310" s="234"/>
      <c r="G310" s="234">
        <v>41</v>
      </c>
      <c r="H310" s="234">
        <v>1</v>
      </c>
      <c r="I310" s="234"/>
      <c r="J310" s="234">
        <v>9</v>
      </c>
      <c r="K310" s="234">
        <v>0</v>
      </c>
      <c r="L310" s="234">
        <v>0</v>
      </c>
      <c r="M310" s="234">
        <v>0</v>
      </c>
    </row>
    <row r="311" spans="1:13" s="230" customFormat="1" ht="9" customHeight="1" x14ac:dyDescent="0.25">
      <c r="A311" s="235" t="s">
        <v>33</v>
      </c>
      <c r="B311" s="236">
        <f t="shared" si="8"/>
        <v>1034</v>
      </c>
      <c r="C311" s="236">
        <v>945</v>
      </c>
      <c r="D311" s="236">
        <v>0</v>
      </c>
      <c r="E311" s="236">
        <v>19</v>
      </c>
      <c r="F311" s="236"/>
      <c r="G311" s="236">
        <v>50</v>
      </c>
      <c r="H311" s="236">
        <v>0</v>
      </c>
      <c r="I311" s="236"/>
      <c r="J311" s="236">
        <v>17</v>
      </c>
      <c r="K311" s="236">
        <v>3</v>
      </c>
      <c r="L311" s="236">
        <v>0</v>
      </c>
      <c r="M311" s="236">
        <v>0</v>
      </c>
    </row>
    <row r="312" spans="1:13" s="230" customFormat="1" ht="9" customHeight="1" x14ac:dyDescent="0.25">
      <c r="A312" s="230" t="s">
        <v>34</v>
      </c>
      <c r="B312" s="234">
        <f t="shared" si="8"/>
        <v>744</v>
      </c>
      <c r="C312" s="234">
        <v>465</v>
      </c>
      <c r="D312" s="234">
        <v>218</v>
      </c>
      <c r="E312" s="234">
        <v>19</v>
      </c>
      <c r="F312" s="234"/>
      <c r="G312" s="234">
        <v>38</v>
      </c>
      <c r="H312" s="234">
        <v>1</v>
      </c>
      <c r="I312" s="234"/>
      <c r="J312" s="234">
        <v>3</v>
      </c>
      <c r="K312" s="234">
        <v>0</v>
      </c>
      <c r="L312" s="234">
        <v>0</v>
      </c>
      <c r="M312" s="234">
        <v>0</v>
      </c>
    </row>
    <row r="313" spans="1:13" s="230" customFormat="1" ht="9" customHeight="1" x14ac:dyDescent="0.25">
      <c r="A313" s="230" t="s">
        <v>35</v>
      </c>
      <c r="B313" s="234">
        <f t="shared" si="8"/>
        <v>1000</v>
      </c>
      <c r="C313" s="234">
        <v>776</v>
      </c>
      <c r="D313" s="234">
        <v>0</v>
      </c>
      <c r="E313" s="234">
        <v>116</v>
      </c>
      <c r="F313" s="234"/>
      <c r="G313" s="234">
        <v>89</v>
      </c>
      <c r="H313" s="234">
        <v>0</v>
      </c>
      <c r="I313" s="234"/>
      <c r="J313" s="234">
        <v>17</v>
      </c>
      <c r="K313" s="234">
        <v>2</v>
      </c>
      <c r="L313" s="234">
        <v>0</v>
      </c>
      <c r="M313" s="234">
        <v>0</v>
      </c>
    </row>
    <row r="314" spans="1:13" s="230" customFormat="1" ht="9" customHeight="1" x14ac:dyDescent="0.25">
      <c r="A314" s="230" t="s">
        <v>36</v>
      </c>
      <c r="B314" s="234">
        <f t="shared" si="8"/>
        <v>1276</v>
      </c>
      <c r="C314" s="234">
        <v>1004</v>
      </c>
      <c r="D314" s="234">
        <v>0</v>
      </c>
      <c r="E314" s="234">
        <v>95</v>
      </c>
      <c r="F314" s="234"/>
      <c r="G314" s="234">
        <v>54</v>
      </c>
      <c r="H314" s="234">
        <v>1</v>
      </c>
      <c r="I314" s="234"/>
      <c r="J314" s="234">
        <v>33</v>
      </c>
      <c r="K314" s="234">
        <v>0</v>
      </c>
      <c r="L314" s="234">
        <v>89</v>
      </c>
      <c r="M314" s="234">
        <v>0</v>
      </c>
    </row>
    <row r="315" spans="1:13" s="230" customFormat="1" ht="9" customHeight="1" x14ac:dyDescent="0.25">
      <c r="A315" s="235" t="s">
        <v>37</v>
      </c>
      <c r="B315" s="236">
        <f t="shared" si="8"/>
        <v>949</v>
      </c>
      <c r="C315" s="236">
        <v>482</v>
      </c>
      <c r="D315" s="236">
        <v>339</v>
      </c>
      <c r="E315" s="236">
        <v>52</v>
      </c>
      <c r="F315" s="236"/>
      <c r="G315" s="236">
        <v>67</v>
      </c>
      <c r="H315" s="236">
        <v>0</v>
      </c>
      <c r="I315" s="236"/>
      <c r="J315" s="236">
        <v>7</v>
      </c>
      <c r="K315" s="236">
        <v>2</v>
      </c>
      <c r="L315" s="236">
        <v>0</v>
      </c>
      <c r="M315" s="236">
        <v>0</v>
      </c>
    </row>
    <row r="316" spans="1:13" s="230" customFormat="1" ht="9" customHeight="1" x14ac:dyDescent="0.25">
      <c r="A316" s="230" t="s">
        <v>38</v>
      </c>
      <c r="B316" s="234">
        <f t="shared" si="8"/>
        <v>271</v>
      </c>
      <c r="C316" s="234">
        <v>215</v>
      </c>
      <c r="D316" s="234">
        <v>0</v>
      </c>
      <c r="E316" s="234">
        <v>23</v>
      </c>
      <c r="F316" s="234"/>
      <c r="G316" s="234">
        <v>28</v>
      </c>
      <c r="H316" s="234">
        <v>0</v>
      </c>
      <c r="I316" s="234"/>
      <c r="J316" s="234">
        <v>5</v>
      </c>
      <c r="K316" s="234">
        <v>0</v>
      </c>
      <c r="L316" s="234">
        <v>0</v>
      </c>
      <c r="M316" s="234">
        <v>0</v>
      </c>
    </row>
    <row r="317" spans="1:13" s="230" customFormat="1" ht="9" customHeight="1" x14ac:dyDescent="0.25">
      <c r="A317" s="230" t="s">
        <v>39</v>
      </c>
      <c r="B317" s="234">
        <f t="shared" si="8"/>
        <v>350</v>
      </c>
      <c r="C317" s="234">
        <v>214</v>
      </c>
      <c r="D317" s="234">
        <v>82</v>
      </c>
      <c r="E317" s="234">
        <v>25</v>
      </c>
      <c r="F317" s="234"/>
      <c r="G317" s="234">
        <v>25</v>
      </c>
      <c r="H317" s="234">
        <v>0</v>
      </c>
      <c r="I317" s="234"/>
      <c r="J317" s="234">
        <v>2</v>
      </c>
      <c r="K317" s="234">
        <v>2</v>
      </c>
      <c r="L317" s="234">
        <v>0</v>
      </c>
      <c r="M317" s="234">
        <v>0</v>
      </c>
    </row>
    <row r="318" spans="1:13" s="230" customFormat="1" ht="9" customHeight="1" x14ac:dyDescent="0.25">
      <c r="A318" s="230" t="s">
        <v>40</v>
      </c>
      <c r="B318" s="234">
        <f t="shared" si="8"/>
        <v>556</v>
      </c>
      <c r="C318" s="234">
        <v>460</v>
      </c>
      <c r="D318" s="234">
        <v>0</v>
      </c>
      <c r="E318" s="234">
        <v>58</v>
      </c>
      <c r="F318" s="234"/>
      <c r="G318" s="234">
        <v>31</v>
      </c>
      <c r="H318" s="234">
        <v>1</v>
      </c>
      <c r="I318" s="234"/>
      <c r="J318" s="234">
        <v>6</v>
      </c>
      <c r="K318" s="234">
        <v>0</v>
      </c>
      <c r="L318" s="234">
        <v>0</v>
      </c>
      <c r="M318" s="234">
        <v>0</v>
      </c>
    </row>
    <row r="319" spans="1:13" s="230" customFormat="1" ht="9" customHeight="1" x14ac:dyDescent="0.25">
      <c r="A319" s="235" t="s">
        <v>41</v>
      </c>
      <c r="B319" s="236">
        <f t="shared" si="8"/>
        <v>1311</v>
      </c>
      <c r="C319" s="236">
        <v>707</v>
      </c>
      <c r="D319" s="236">
        <v>486</v>
      </c>
      <c r="E319" s="236">
        <v>33</v>
      </c>
      <c r="F319" s="236"/>
      <c r="G319" s="236">
        <v>61</v>
      </c>
      <c r="H319" s="236">
        <v>1</v>
      </c>
      <c r="I319" s="236"/>
      <c r="J319" s="236">
        <v>19</v>
      </c>
      <c r="K319" s="236">
        <v>4</v>
      </c>
      <c r="L319" s="236">
        <v>0</v>
      </c>
      <c r="M319" s="236">
        <v>0</v>
      </c>
    </row>
    <row r="320" spans="1:13" s="230" customFormat="1" ht="9" customHeight="1" x14ac:dyDescent="0.25">
      <c r="A320" s="230" t="s">
        <v>42</v>
      </c>
      <c r="B320" s="234">
        <f t="shared" si="8"/>
        <v>1015</v>
      </c>
      <c r="C320" s="234">
        <v>543</v>
      </c>
      <c r="D320" s="234">
        <v>311</v>
      </c>
      <c r="E320" s="234">
        <v>50</v>
      </c>
      <c r="F320" s="234"/>
      <c r="G320" s="234">
        <v>45</v>
      </c>
      <c r="H320" s="234">
        <v>1</v>
      </c>
      <c r="I320" s="234"/>
      <c r="J320" s="234">
        <v>12</v>
      </c>
      <c r="K320" s="234">
        <v>0</v>
      </c>
      <c r="L320" s="234">
        <v>52</v>
      </c>
      <c r="M320" s="234">
        <v>1</v>
      </c>
    </row>
    <row r="321" spans="1:13" s="230" customFormat="1" ht="9" customHeight="1" x14ac:dyDescent="0.25">
      <c r="A321" s="230" t="s">
        <v>43</v>
      </c>
      <c r="B321" s="234">
        <f t="shared" si="8"/>
        <v>297</v>
      </c>
      <c r="C321" s="234">
        <v>253</v>
      </c>
      <c r="D321" s="234">
        <v>0</v>
      </c>
      <c r="E321" s="234">
        <v>21</v>
      </c>
      <c r="F321" s="234"/>
      <c r="G321" s="234">
        <v>19</v>
      </c>
      <c r="H321" s="234">
        <v>0</v>
      </c>
      <c r="I321" s="234"/>
      <c r="J321" s="234">
        <v>4</v>
      </c>
      <c r="K321" s="234">
        <v>0</v>
      </c>
      <c r="L321" s="234">
        <v>0</v>
      </c>
      <c r="M321" s="234">
        <v>0</v>
      </c>
    </row>
    <row r="322" spans="1:13" s="230" customFormat="1" ht="9" customHeight="1" x14ac:dyDescent="0.25">
      <c r="A322" s="230" t="s">
        <v>44</v>
      </c>
      <c r="B322" s="234">
        <f t="shared" si="8"/>
        <v>202</v>
      </c>
      <c r="C322" s="234">
        <v>172</v>
      </c>
      <c r="D322" s="234">
        <v>0</v>
      </c>
      <c r="E322" s="234">
        <v>11</v>
      </c>
      <c r="F322" s="234"/>
      <c r="G322" s="234">
        <v>9</v>
      </c>
      <c r="H322" s="234">
        <v>0</v>
      </c>
      <c r="I322" s="234"/>
      <c r="J322" s="234">
        <v>6</v>
      </c>
      <c r="K322" s="234">
        <v>4</v>
      </c>
      <c r="L322" s="234">
        <v>0</v>
      </c>
      <c r="M322" s="234">
        <v>0</v>
      </c>
    </row>
    <row r="323" spans="1:13" s="230" customFormat="1" ht="9" customHeight="1" x14ac:dyDescent="0.25">
      <c r="A323" s="235" t="s">
        <v>45</v>
      </c>
      <c r="B323" s="236">
        <f t="shared" si="8"/>
        <v>555</v>
      </c>
      <c r="C323" s="236">
        <v>281</v>
      </c>
      <c r="D323" s="236">
        <v>206</v>
      </c>
      <c r="E323" s="236">
        <v>35</v>
      </c>
      <c r="F323" s="236"/>
      <c r="G323" s="236">
        <v>29</v>
      </c>
      <c r="H323" s="236">
        <v>1</v>
      </c>
      <c r="I323" s="236"/>
      <c r="J323" s="236">
        <v>3</v>
      </c>
      <c r="K323" s="236">
        <v>0</v>
      </c>
      <c r="L323" s="236">
        <v>0</v>
      </c>
      <c r="M323" s="236">
        <v>0</v>
      </c>
    </row>
    <row r="324" spans="1:13" s="230" customFormat="1" ht="9" customHeight="1" x14ac:dyDescent="0.25">
      <c r="A324" s="230" t="s">
        <v>46</v>
      </c>
      <c r="B324" s="234">
        <f t="shared" si="8"/>
        <v>437</v>
      </c>
      <c r="C324" s="234">
        <v>233</v>
      </c>
      <c r="D324" s="234">
        <v>105</v>
      </c>
      <c r="E324" s="234">
        <v>48</v>
      </c>
      <c r="F324" s="234"/>
      <c r="G324" s="234">
        <v>39</v>
      </c>
      <c r="H324" s="234">
        <v>0</v>
      </c>
      <c r="I324" s="234"/>
      <c r="J324" s="234">
        <v>9</v>
      </c>
      <c r="K324" s="234">
        <v>3</v>
      </c>
      <c r="L324" s="234">
        <v>0</v>
      </c>
      <c r="M324" s="234">
        <v>0</v>
      </c>
    </row>
    <row r="325" spans="1:13" s="230" customFormat="1" ht="9" customHeight="1" x14ac:dyDescent="0.25">
      <c r="A325" s="230" t="s">
        <v>47</v>
      </c>
      <c r="B325" s="234">
        <f t="shared" si="8"/>
        <v>372</v>
      </c>
      <c r="C325" s="234">
        <v>244</v>
      </c>
      <c r="D325" s="234">
        <v>0</v>
      </c>
      <c r="E325" s="234">
        <v>71</v>
      </c>
      <c r="F325" s="234"/>
      <c r="G325" s="234">
        <v>40</v>
      </c>
      <c r="H325" s="234">
        <v>0</v>
      </c>
      <c r="I325" s="234"/>
      <c r="J325" s="234">
        <v>14</v>
      </c>
      <c r="K325" s="234">
        <v>3</v>
      </c>
      <c r="L325" s="234">
        <v>0</v>
      </c>
      <c r="M325" s="234">
        <v>0</v>
      </c>
    </row>
    <row r="326" spans="1:13" s="230" customFormat="1" ht="9" customHeight="1" x14ac:dyDescent="0.25">
      <c r="A326" s="230" t="s">
        <v>48</v>
      </c>
      <c r="B326" s="234">
        <f t="shared" si="8"/>
        <v>582</v>
      </c>
      <c r="C326" s="234">
        <v>510</v>
      </c>
      <c r="D326" s="234">
        <v>0</v>
      </c>
      <c r="E326" s="234">
        <v>34</v>
      </c>
      <c r="F326" s="234"/>
      <c r="G326" s="234">
        <v>25</v>
      </c>
      <c r="H326" s="234">
        <v>3</v>
      </c>
      <c r="I326" s="234"/>
      <c r="J326" s="234">
        <v>7</v>
      </c>
      <c r="K326" s="234">
        <v>2</v>
      </c>
      <c r="L326" s="234">
        <v>1</v>
      </c>
      <c r="M326" s="234">
        <v>0</v>
      </c>
    </row>
    <row r="327" spans="1:13" s="230" customFormat="1" ht="9" customHeight="1" x14ac:dyDescent="0.25">
      <c r="A327" s="235" t="s">
        <v>49</v>
      </c>
      <c r="B327" s="236">
        <f t="shared" si="8"/>
        <v>505</v>
      </c>
      <c r="C327" s="236">
        <v>309</v>
      </c>
      <c r="D327" s="236">
        <v>106</v>
      </c>
      <c r="E327" s="236">
        <v>41</v>
      </c>
      <c r="F327" s="236"/>
      <c r="G327" s="236">
        <v>34</v>
      </c>
      <c r="H327" s="236">
        <v>3</v>
      </c>
      <c r="I327" s="236"/>
      <c r="J327" s="236">
        <v>7</v>
      </c>
      <c r="K327" s="236">
        <v>4</v>
      </c>
      <c r="L327" s="236">
        <v>0</v>
      </c>
      <c r="M327" s="236">
        <v>1</v>
      </c>
    </row>
    <row r="328" spans="1:13" s="230" customFormat="1" ht="9" customHeight="1" x14ac:dyDescent="0.25">
      <c r="A328" s="230" t="s">
        <v>50</v>
      </c>
      <c r="B328" s="234">
        <f t="shared" si="8"/>
        <v>201</v>
      </c>
      <c r="C328" s="234">
        <v>175</v>
      </c>
      <c r="D328" s="234">
        <v>0</v>
      </c>
      <c r="E328" s="234">
        <v>17</v>
      </c>
      <c r="F328" s="234"/>
      <c r="G328" s="234">
        <v>4</v>
      </c>
      <c r="H328" s="234">
        <v>0</v>
      </c>
      <c r="I328" s="234"/>
      <c r="J328" s="234">
        <v>5</v>
      </c>
      <c r="K328" s="234">
        <v>0</v>
      </c>
      <c r="L328" s="234">
        <v>0</v>
      </c>
      <c r="M328" s="234">
        <v>0</v>
      </c>
    </row>
    <row r="329" spans="1:13" s="230" customFormat="1" ht="9" customHeight="1" x14ac:dyDescent="0.25">
      <c r="A329" s="230" t="s">
        <v>51</v>
      </c>
      <c r="B329" s="234">
        <f t="shared" si="8"/>
        <v>1522</v>
      </c>
      <c r="C329" s="234">
        <v>766</v>
      </c>
      <c r="D329" s="234">
        <v>518</v>
      </c>
      <c r="E329" s="234">
        <v>121</v>
      </c>
      <c r="F329" s="234"/>
      <c r="G329" s="234">
        <v>85</v>
      </c>
      <c r="H329" s="234">
        <v>11</v>
      </c>
      <c r="I329" s="234"/>
      <c r="J329" s="234">
        <v>15</v>
      </c>
      <c r="K329" s="234">
        <v>5</v>
      </c>
      <c r="L329" s="234">
        <v>0</v>
      </c>
      <c r="M329" s="234">
        <v>1</v>
      </c>
    </row>
    <row r="330" spans="1:13" s="230" customFormat="1" ht="9" customHeight="1" x14ac:dyDescent="0.25">
      <c r="A330" s="230" t="s">
        <v>52</v>
      </c>
      <c r="B330" s="234">
        <f t="shared" si="8"/>
        <v>311</v>
      </c>
      <c r="C330" s="234">
        <v>169</v>
      </c>
      <c r="D330" s="234">
        <v>87</v>
      </c>
      <c r="E330" s="234">
        <v>30</v>
      </c>
      <c r="F330" s="234"/>
      <c r="G330" s="234">
        <v>17</v>
      </c>
      <c r="H330" s="234">
        <v>0</v>
      </c>
      <c r="I330" s="234"/>
      <c r="J330" s="234">
        <v>6</v>
      </c>
      <c r="K330" s="234">
        <v>2</v>
      </c>
      <c r="L330" s="234">
        <v>0</v>
      </c>
      <c r="M330" s="234">
        <v>0</v>
      </c>
    </row>
    <row r="331" spans="1:13" s="230" customFormat="1" ht="9" customHeight="1" x14ac:dyDescent="0.25">
      <c r="A331" s="235" t="s">
        <v>53</v>
      </c>
      <c r="B331" s="236">
        <f t="shared" si="8"/>
        <v>408</v>
      </c>
      <c r="C331" s="236">
        <v>186</v>
      </c>
      <c r="D331" s="236">
        <v>146</v>
      </c>
      <c r="E331" s="236">
        <v>35</v>
      </c>
      <c r="F331" s="236"/>
      <c r="G331" s="236">
        <v>38</v>
      </c>
      <c r="H331" s="236">
        <v>0</v>
      </c>
      <c r="I331" s="236"/>
      <c r="J331" s="236">
        <v>3</v>
      </c>
      <c r="K331" s="236">
        <v>0</v>
      </c>
      <c r="L331" s="236">
        <v>0</v>
      </c>
      <c r="M331" s="236">
        <v>0</v>
      </c>
    </row>
    <row r="332" spans="1:13" s="230" customFormat="1" ht="8.25" customHeight="1" x14ac:dyDescent="0.25">
      <c r="B332" s="234"/>
      <c r="C332" s="234"/>
      <c r="D332" s="234"/>
      <c r="E332" s="234"/>
      <c r="F332" s="234"/>
      <c r="G332" s="234"/>
      <c r="H332" s="234"/>
      <c r="I332" s="234"/>
      <c r="J332" s="234"/>
      <c r="K332" s="234"/>
      <c r="L332" s="234"/>
      <c r="M332" s="234"/>
    </row>
    <row r="333" spans="1:13" s="230" customFormat="1" ht="9" customHeight="1" x14ac:dyDescent="0.25">
      <c r="A333" s="228">
        <v>2004</v>
      </c>
      <c r="B333" s="244"/>
      <c r="C333" s="244"/>
      <c r="D333" s="244"/>
      <c r="E333" s="244"/>
      <c r="F333" s="244"/>
      <c r="G333" s="229"/>
      <c r="H333" s="229"/>
      <c r="I333" s="229"/>
      <c r="J333" s="229"/>
      <c r="K333" s="229"/>
      <c r="M333" s="244"/>
    </row>
    <row r="334" spans="1:13" s="230" customFormat="1" ht="9" customHeight="1" x14ac:dyDescent="0.25">
      <c r="A334" s="231" t="s">
        <v>21</v>
      </c>
      <c r="B334" s="232">
        <f>SUM(B336:B367)</f>
        <v>19748</v>
      </c>
      <c r="C334" s="232">
        <f>SUM(C336:C367)</f>
        <v>12375</v>
      </c>
      <c r="D334" s="232">
        <f>SUM(D336:D367)</f>
        <v>3609</v>
      </c>
      <c r="E334" s="232">
        <f>SUM(E336:E367)</f>
        <v>1795</v>
      </c>
      <c r="F334" s="232"/>
      <c r="G334" s="232">
        <f>SUM(G336:G367)</f>
        <v>1233</v>
      </c>
      <c r="H334" s="232">
        <f>SUM(H336:H367)</f>
        <v>27</v>
      </c>
      <c r="I334" s="245" t="s">
        <v>194</v>
      </c>
      <c r="J334" s="232">
        <f>SUM(J336:J367)</f>
        <v>366</v>
      </c>
      <c r="K334" s="232">
        <f>SUM(K336:K367)</f>
        <v>36</v>
      </c>
      <c r="L334" s="232">
        <f>SUM(L336:L367)</f>
        <v>295</v>
      </c>
      <c r="M334" s="232">
        <f>SUM(M336:M367)</f>
        <v>12</v>
      </c>
    </row>
    <row r="335" spans="1:13" s="230" customFormat="1" ht="3.95" customHeight="1" x14ac:dyDescent="0.25">
      <c r="A335" s="231"/>
      <c r="B335" s="232"/>
      <c r="C335" s="232"/>
      <c r="D335" s="232"/>
      <c r="E335" s="232"/>
      <c r="F335" s="232"/>
      <c r="G335" s="232"/>
      <c r="H335" s="232"/>
      <c r="I335" s="232"/>
      <c r="J335" s="232"/>
      <c r="K335" s="232"/>
      <c r="L335" s="232"/>
      <c r="M335" s="232"/>
    </row>
    <row r="336" spans="1:13" s="230" customFormat="1" ht="9" customHeight="1" x14ac:dyDescent="0.25">
      <c r="A336" s="230" t="s">
        <v>23</v>
      </c>
      <c r="B336" s="234">
        <f t="shared" ref="B336:B367" si="9">SUM(C336:M336)</f>
        <v>118</v>
      </c>
      <c r="C336" s="234">
        <v>88</v>
      </c>
      <c r="D336" s="234">
        <v>0</v>
      </c>
      <c r="E336" s="234">
        <v>13</v>
      </c>
      <c r="F336" s="234"/>
      <c r="G336" s="234">
        <v>12</v>
      </c>
      <c r="H336" s="234">
        <v>0</v>
      </c>
      <c r="I336" s="234"/>
      <c r="J336" s="234">
        <v>3</v>
      </c>
      <c r="K336" s="234">
        <v>0</v>
      </c>
      <c r="L336" s="234">
        <v>1</v>
      </c>
      <c r="M336" s="234">
        <v>1</v>
      </c>
    </row>
    <row r="337" spans="1:13" s="230" customFormat="1" ht="9" customHeight="1" x14ac:dyDescent="0.25">
      <c r="A337" s="230" t="s">
        <v>24</v>
      </c>
      <c r="B337" s="234">
        <f t="shared" si="9"/>
        <v>259</v>
      </c>
      <c r="C337" s="234">
        <v>158</v>
      </c>
      <c r="D337" s="234">
        <v>12</v>
      </c>
      <c r="E337" s="234">
        <v>36</v>
      </c>
      <c r="F337" s="234"/>
      <c r="G337" s="234">
        <v>14</v>
      </c>
      <c r="H337" s="234">
        <v>0</v>
      </c>
      <c r="I337" s="234"/>
      <c r="J337" s="234">
        <v>15</v>
      </c>
      <c r="K337" s="234">
        <v>1</v>
      </c>
      <c r="L337" s="234">
        <v>23</v>
      </c>
      <c r="M337" s="234">
        <v>0</v>
      </c>
    </row>
    <row r="338" spans="1:13" s="230" customFormat="1" ht="9" customHeight="1" x14ac:dyDescent="0.25">
      <c r="A338" s="230" t="s">
        <v>25</v>
      </c>
      <c r="B338" s="234">
        <f t="shared" si="9"/>
        <v>148</v>
      </c>
      <c r="C338" s="234">
        <v>78</v>
      </c>
      <c r="D338" s="234">
        <v>0</v>
      </c>
      <c r="E338" s="234">
        <v>33</v>
      </c>
      <c r="F338" s="234"/>
      <c r="G338" s="234">
        <v>30</v>
      </c>
      <c r="H338" s="234">
        <v>0</v>
      </c>
      <c r="I338" s="234"/>
      <c r="J338" s="234">
        <v>4</v>
      </c>
      <c r="K338" s="234">
        <v>3</v>
      </c>
      <c r="L338" s="234">
        <v>0</v>
      </c>
      <c r="M338" s="234">
        <v>0</v>
      </c>
    </row>
    <row r="339" spans="1:13" s="230" customFormat="1" ht="9" customHeight="1" x14ac:dyDescent="0.25">
      <c r="A339" s="235" t="s">
        <v>26</v>
      </c>
      <c r="B339" s="236">
        <f t="shared" si="9"/>
        <v>215</v>
      </c>
      <c r="C339" s="236">
        <v>149</v>
      </c>
      <c r="D339" s="236">
        <v>36</v>
      </c>
      <c r="E339" s="236">
        <v>12</v>
      </c>
      <c r="F339" s="236"/>
      <c r="G339" s="236">
        <v>11</v>
      </c>
      <c r="H339" s="236">
        <v>1</v>
      </c>
      <c r="I339" s="236"/>
      <c r="J339" s="236">
        <v>3</v>
      </c>
      <c r="K339" s="236">
        <v>3</v>
      </c>
      <c r="L339" s="236">
        <v>0</v>
      </c>
      <c r="M339" s="236">
        <v>0</v>
      </c>
    </row>
    <row r="340" spans="1:13" s="230" customFormat="1" ht="9" customHeight="1" x14ac:dyDescent="0.25">
      <c r="A340" s="230" t="s">
        <v>27</v>
      </c>
      <c r="B340" s="234">
        <f t="shared" si="9"/>
        <v>381</v>
      </c>
      <c r="C340" s="234">
        <v>194</v>
      </c>
      <c r="D340" s="234">
        <v>82</v>
      </c>
      <c r="E340" s="234">
        <v>63</v>
      </c>
      <c r="F340" s="234"/>
      <c r="G340" s="234">
        <v>31</v>
      </c>
      <c r="H340" s="234">
        <v>0</v>
      </c>
      <c r="I340" s="234"/>
      <c r="J340" s="234">
        <v>9</v>
      </c>
      <c r="K340" s="234">
        <v>0</v>
      </c>
      <c r="L340" s="234">
        <v>0</v>
      </c>
      <c r="M340" s="234">
        <v>2</v>
      </c>
    </row>
    <row r="341" spans="1:13" s="230" customFormat="1" ht="9" customHeight="1" x14ac:dyDescent="0.25">
      <c r="A341" s="230" t="s">
        <v>28</v>
      </c>
      <c r="B341" s="234">
        <f t="shared" si="9"/>
        <v>155</v>
      </c>
      <c r="C341" s="234">
        <v>133</v>
      </c>
      <c r="D341" s="234">
        <v>0</v>
      </c>
      <c r="E341" s="234">
        <v>13</v>
      </c>
      <c r="F341" s="234"/>
      <c r="G341" s="234">
        <v>5</v>
      </c>
      <c r="H341" s="234">
        <v>0</v>
      </c>
      <c r="I341" s="234"/>
      <c r="J341" s="234">
        <v>3</v>
      </c>
      <c r="K341" s="234">
        <v>1</v>
      </c>
      <c r="L341" s="234">
        <v>0</v>
      </c>
      <c r="M341" s="234">
        <v>0</v>
      </c>
    </row>
    <row r="342" spans="1:13" s="230" customFormat="1" ht="9" customHeight="1" x14ac:dyDescent="0.25">
      <c r="A342" s="230" t="s">
        <v>29</v>
      </c>
      <c r="B342" s="234">
        <f t="shared" si="9"/>
        <v>1656</v>
      </c>
      <c r="C342" s="234">
        <v>869</v>
      </c>
      <c r="D342" s="234">
        <v>562</v>
      </c>
      <c r="E342" s="234">
        <v>37</v>
      </c>
      <c r="F342" s="234"/>
      <c r="G342" s="234">
        <v>48</v>
      </c>
      <c r="H342" s="234">
        <v>0</v>
      </c>
      <c r="I342" s="234"/>
      <c r="J342" s="234">
        <v>27</v>
      </c>
      <c r="K342" s="234">
        <v>1</v>
      </c>
      <c r="L342" s="234">
        <v>112</v>
      </c>
      <c r="M342" s="234">
        <v>0</v>
      </c>
    </row>
    <row r="343" spans="1:13" s="230" customFormat="1" ht="9" customHeight="1" x14ac:dyDescent="0.25">
      <c r="A343" s="235" t="s">
        <v>30</v>
      </c>
      <c r="B343" s="236">
        <f t="shared" si="9"/>
        <v>562</v>
      </c>
      <c r="C343" s="236">
        <v>282</v>
      </c>
      <c r="D343" s="236">
        <v>146</v>
      </c>
      <c r="E343" s="236">
        <v>67</v>
      </c>
      <c r="F343" s="236"/>
      <c r="G343" s="236">
        <v>53</v>
      </c>
      <c r="H343" s="236">
        <v>0</v>
      </c>
      <c r="I343" s="236"/>
      <c r="J343" s="236">
        <v>14</v>
      </c>
      <c r="K343" s="236">
        <v>0</v>
      </c>
      <c r="L343" s="236">
        <v>0</v>
      </c>
      <c r="M343" s="236">
        <v>0</v>
      </c>
    </row>
    <row r="344" spans="1:13" s="230" customFormat="1" ht="9" customHeight="1" x14ac:dyDescent="0.25">
      <c r="A344" s="405" t="s">
        <v>63</v>
      </c>
      <c r="B344" s="234">
        <f t="shared" si="9"/>
        <v>733</v>
      </c>
      <c r="C344" s="234">
        <v>328</v>
      </c>
      <c r="D344" s="234">
        <v>1</v>
      </c>
      <c r="E344" s="234">
        <v>191</v>
      </c>
      <c r="F344" s="234"/>
      <c r="G344" s="234">
        <v>123</v>
      </c>
      <c r="H344" s="234">
        <v>2</v>
      </c>
      <c r="I344" s="234"/>
      <c r="J344" s="234">
        <v>71</v>
      </c>
      <c r="K344" s="234">
        <v>3</v>
      </c>
      <c r="L344" s="234">
        <v>14</v>
      </c>
      <c r="M344" s="234">
        <v>0</v>
      </c>
    </row>
    <row r="345" spans="1:13" s="230" customFormat="1" ht="9" customHeight="1" x14ac:dyDescent="0.25">
      <c r="A345" s="230" t="s">
        <v>31</v>
      </c>
      <c r="B345" s="234">
        <f t="shared" si="9"/>
        <v>499</v>
      </c>
      <c r="C345" s="234">
        <v>223</v>
      </c>
      <c r="D345" s="234">
        <v>166</v>
      </c>
      <c r="E345" s="234">
        <v>62</v>
      </c>
      <c r="F345" s="234"/>
      <c r="G345" s="234">
        <v>42</v>
      </c>
      <c r="H345" s="234">
        <v>0</v>
      </c>
      <c r="I345" s="234"/>
      <c r="J345" s="234">
        <v>6</v>
      </c>
      <c r="K345" s="234">
        <v>0</v>
      </c>
      <c r="L345" s="234">
        <v>0</v>
      </c>
      <c r="M345" s="234">
        <v>0</v>
      </c>
    </row>
    <row r="346" spans="1:13" s="230" customFormat="1" ht="9" customHeight="1" x14ac:dyDescent="0.25">
      <c r="A346" s="230" t="s">
        <v>32</v>
      </c>
      <c r="B346" s="234">
        <f t="shared" si="9"/>
        <v>631</v>
      </c>
      <c r="C346" s="234">
        <v>531</v>
      </c>
      <c r="D346" s="234">
        <v>0</v>
      </c>
      <c r="E346" s="234">
        <v>49</v>
      </c>
      <c r="F346" s="234"/>
      <c r="G346" s="234">
        <v>41</v>
      </c>
      <c r="H346" s="234">
        <v>1</v>
      </c>
      <c r="I346" s="234"/>
      <c r="J346" s="234">
        <v>9</v>
      </c>
      <c r="K346" s="234">
        <v>0</v>
      </c>
      <c r="L346" s="234">
        <v>0</v>
      </c>
      <c r="M346" s="234">
        <v>0</v>
      </c>
    </row>
    <row r="347" spans="1:13" s="230" customFormat="1" ht="9" customHeight="1" x14ac:dyDescent="0.25">
      <c r="A347" s="235" t="s">
        <v>33</v>
      </c>
      <c r="B347" s="236">
        <f t="shared" si="9"/>
        <v>1084</v>
      </c>
      <c r="C347" s="236">
        <v>988</v>
      </c>
      <c r="D347" s="236">
        <v>0</v>
      </c>
      <c r="E347" s="236">
        <v>26</v>
      </c>
      <c r="F347" s="236"/>
      <c r="G347" s="236">
        <v>51</v>
      </c>
      <c r="H347" s="236">
        <v>0</v>
      </c>
      <c r="I347" s="236"/>
      <c r="J347" s="236">
        <v>17</v>
      </c>
      <c r="K347" s="236">
        <v>2</v>
      </c>
      <c r="L347" s="236">
        <v>0</v>
      </c>
      <c r="M347" s="236">
        <v>0</v>
      </c>
    </row>
    <row r="348" spans="1:13" s="230" customFormat="1" ht="9" customHeight="1" x14ac:dyDescent="0.25">
      <c r="A348" s="230" t="s">
        <v>34</v>
      </c>
      <c r="B348" s="234">
        <f t="shared" si="9"/>
        <v>761</v>
      </c>
      <c r="C348" s="234">
        <v>478</v>
      </c>
      <c r="D348" s="234">
        <v>218</v>
      </c>
      <c r="E348" s="234">
        <v>23</v>
      </c>
      <c r="F348" s="234"/>
      <c r="G348" s="234">
        <v>38</v>
      </c>
      <c r="H348" s="234">
        <v>1</v>
      </c>
      <c r="I348" s="234"/>
      <c r="J348" s="234">
        <v>3</v>
      </c>
      <c r="K348" s="234">
        <v>0</v>
      </c>
      <c r="L348" s="234">
        <v>0</v>
      </c>
      <c r="M348" s="234">
        <v>0</v>
      </c>
    </row>
    <row r="349" spans="1:13" s="230" customFormat="1" ht="9" customHeight="1" x14ac:dyDescent="0.25">
      <c r="A349" s="230" t="s">
        <v>35</v>
      </c>
      <c r="B349" s="234">
        <f t="shared" si="9"/>
        <v>1028</v>
      </c>
      <c r="C349" s="234">
        <v>786</v>
      </c>
      <c r="D349" s="234">
        <v>0</v>
      </c>
      <c r="E349" s="234">
        <v>133</v>
      </c>
      <c r="F349" s="234"/>
      <c r="G349" s="234">
        <v>89</v>
      </c>
      <c r="H349" s="234">
        <v>0</v>
      </c>
      <c r="I349" s="234"/>
      <c r="J349" s="234">
        <v>17</v>
      </c>
      <c r="K349" s="234">
        <v>1</v>
      </c>
      <c r="L349" s="234">
        <v>0</v>
      </c>
      <c r="M349" s="234">
        <v>2</v>
      </c>
    </row>
    <row r="350" spans="1:13" s="230" customFormat="1" ht="9" customHeight="1" x14ac:dyDescent="0.25">
      <c r="A350" s="230" t="s">
        <v>36</v>
      </c>
      <c r="B350" s="234">
        <f t="shared" si="9"/>
        <v>1358</v>
      </c>
      <c r="C350" s="234">
        <v>1003</v>
      </c>
      <c r="D350" s="234">
        <v>0</v>
      </c>
      <c r="E350" s="234">
        <v>176</v>
      </c>
      <c r="F350" s="234"/>
      <c r="G350" s="234">
        <v>54</v>
      </c>
      <c r="H350" s="234">
        <v>1</v>
      </c>
      <c r="I350" s="234"/>
      <c r="J350" s="234">
        <v>35</v>
      </c>
      <c r="K350" s="234">
        <v>0</v>
      </c>
      <c r="L350" s="234">
        <v>89</v>
      </c>
      <c r="M350" s="234">
        <v>0</v>
      </c>
    </row>
    <row r="351" spans="1:13" s="230" customFormat="1" ht="9" customHeight="1" x14ac:dyDescent="0.25">
      <c r="A351" s="235" t="s">
        <v>37</v>
      </c>
      <c r="B351" s="236">
        <f t="shared" si="9"/>
        <v>962</v>
      </c>
      <c r="C351" s="236">
        <v>490</v>
      </c>
      <c r="D351" s="236">
        <v>339</v>
      </c>
      <c r="E351" s="236">
        <v>58</v>
      </c>
      <c r="F351" s="236"/>
      <c r="G351" s="236">
        <v>67</v>
      </c>
      <c r="H351" s="236">
        <v>0</v>
      </c>
      <c r="I351" s="236"/>
      <c r="J351" s="236">
        <v>7</v>
      </c>
      <c r="K351" s="236">
        <v>1</v>
      </c>
      <c r="L351" s="236">
        <v>0</v>
      </c>
      <c r="M351" s="236">
        <v>0</v>
      </c>
    </row>
    <row r="352" spans="1:13" s="230" customFormat="1" ht="9" customHeight="1" x14ac:dyDescent="0.25">
      <c r="A352" s="230" t="s">
        <v>38</v>
      </c>
      <c r="B352" s="234">
        <f t="shared" si="9"/>
        <v>275</v>
      </c>
      <c r="C352" s="234">
        <v>215</v>
      </c>
      <c r="D352" s="234">
        <v>0</v>
      </c>
      <c r="E352" s="234">
        <v>27</v>
      </c>
      <c r="F352" s="234"/>
      <c r="G352" s="234">
        <v>28</v>
      </c>
      <c r="H352" s="234">
        <v>0</v>
      </c>
      <c r="I352" s="234"/>
      <c r="J352" s="234">
        <v>5</v>
      </c>
      <c r="K352" s="234">
        <v>0</v>
      </c>
      <c r="L352" s="234">
        <v>0</v>
      </c>
      <c r="M352" s="234">
        <v>0</v>
      </c>
    </row>
    <row r="353" spans="1:13" s="230" customFormat="1" ht="9" customHeight="1" x14ac:dyDescent="0.25">
      <c r="A353" s="230" t="s">
        <v>39</v>
      </c>
      <c r="B353" s="234">
        <f t="shared" si="9"/>
        <v>363</v>
      </c>
      <c r="C353" s="234">
        <v>219</v>
      </c>
      <c r="D353" s="234">
        <v>82</v>
      </c>
      <c r="E353" s="234">
        <v>34</v>
      </c>
      <c r="F353" s="234"/>
      <c r="G353" s="234">
        <v>25</v>
      </c>
      <c r="H353" s="234">
        <v>0</v>
      </c>
      <c r="I353" s="234"/>
      <c r="J353" s="234">
        <v>2</v>
      </c>
      <c r="K353" s="234">
        <v>1</v>
      </c>
      <c r="L353" s="234">
        <v>0</v>
      </c>
      <c r="M353" s="234">
        <v>0</v>
      </c>
    </row>
    <row r="354" spans="1:13" s="230" customFormat="1" ht="9" customHeight="1" x14ac:dyDescent="0.25">
      <c r="A354" s="230" t="s">
        <v>40</v>
      </c>
      <c r="B354" s="234">
        <f t="shared" si="9"/>
        <v>569</v>
      </c>
      <c r="C354" s="234">
        <v>465</v>
      </c>
      <c r="D354" s="234">
        <v>0</v>
      </c>
      <c r="E354" s="234">
        <v>65</v>
      </c>
      <c r="F354" s="234"/>
      <c r="G354" s="234">
        <v>32</v>
      </c>
      <c r="H354" s="234">
        <v>1</v>
      </c>
      <c r="I354" s="234"/>
      <c r="J354" s="234">
        <v>6</v>
      </c>
      <c r="K354" s="234">
        <v>0</v>
      </c>
      <c r="L354" s="234">
        <v>0</v>
      </c>
      <c r="M354" s="234">
        <v>0</v>
      </c>
    </row>
    <row r="355" spans="1:13" s="230" customFormat="1" ht="9" customHeight="1" x14ac:dyDescent="0.25">
      <c r="A355" s="235" t="s">
        <v>41</v>
      </c>
      <c r="B355" s="236">
        <f t="shared" si="9"/>
        <v>1326</v>
      </c>
      <c r="C355" s="236">
        <v>726</v>
      </c>
      <c r="D355" s="236">
        <v>486</v>
      </c>
      <c r="E355" s="236">
        <v>30</v>
      </c>
      <c r="F355" s="236"/>
      <c r="G355" s="236">
        <v>61</v>
      </c>
      <c r="H355" s="236">
        <v>1</v>
      </c>
      <c r="I355" s="236"/>
      <c r="J355" s="236">
        <v>19</v>
      </c>
      <c r="K355" s="236">
        <v>3</v>
      </c>
      <c r="L355" s="236">
        <v>0</v>
      </c>
      <c r="M355" s="236">
        <v>0</v>
      </c>
    </row>
    <row r="356" spans="1:13" s="230" customFormat="1" ht="9" customHeight="1" x14ac:dyDescent="0.25">
      <c r="A356" s="230" t="s">
        <v>42</v>
      </c>
      <c r="B356" s="234">
        <f t="shared" si="9"/>
        <v>1063</v>
      </c>
      <c r="C356" s="234">
        <v>569</v>
      </c>
      <c r="D356" s="234">
        <v>311</v>
      </c>
      <c r="E356" s="234">
        <v>73</v>
      </c>
      <c r="F356" s="234"/>
      <c r="G356" s="234">
        <v>43</v>
      </c>
      <c r="H356" s="234">
        <v>1</v>
      </c>
      <c r="I356" s="234"/>
      <c r="J356" s="234">
        <v>12</v>
      </c>
      <c r="K356" s="234">
        <v>0</v>
      </c>
      <c r="L356" s="234">
        <v>52</v>
      </c>
      <c r="M356" s="234">
        <v>2</v>
      </c>
    </row>
    <row r="357" spans="1:13" s="230" customFormat="1" ht="9" customHeight="1" x14ac:dyDescent="0.25">
      <c r="A357" s="230" t="s">
        <v>43</v>
      </c>
      <c r="B357" s="234">
        <f t="shared" si="9"/>
        <v>301</v>
      </c>
      <c r="C357" s="234">
        <v>253</v>
      </c>
      <c r="D357" s="234">
        <v>0</v>
      </c>
      <c r="E357" s="234">
        <v>25</v>
      </c>
      <c r="F357" s="234"/>
      <c r="G357" s="234">
        <v>19</v>
      </c>
      <c r="H357" s="234">
        <v>0</v>
      </c>
      <c r="I357" s="234"/>
      <c r="J357" s="234">
        <v>4</v>
      </c>
      <c r="K357" s="234">
        <v>0</v>
      </c>
      <c r="L357" s="234">
        <v>0</v>
      </c>
      <c r="M357" s="234">
        <v>0</v>
      </c>
    </row>
    <row r="358" spans="1:13" s="230" customFormat="1" ht="9" customHeight="1" x14ac:dyDescent="0.25">
      <c r="A358" s="230" t="s">
        <v>44</v>
      </c>
      <c r="B358" s="234">
        <f t="shared" si="9"/>
        <v>202</v>
      </c>
      <c r="C358" s="234">
        <v>172</v>
      </c>
      <c r="D358" s="234">
        <v>0</v>
      </c>
      <c r="E358" s="234">
        <v>12</v>
      </c>
      <c r="F358" s="234"/>
      <c r="G358" s="234">
        <v>9</v>
      </c>
      <c r="H358" s="234">
        <v>0</v>
      </c>
      <c r="I358" s="234"/>
      <c r="J358" s="234">
        <v>6</v>
      </c>
      <c r="K358" s="234">
        <v>3</v>
      </c>
      <c r="L358" s="234">
        <v>0</v>
      </c>
      <c r="M358" s="234">
        <v>0</v>
      </c>
    </row>
    <row r="359" spans="1:13" s="230" customFormat="1" ht="9" customHeight="1" x14ac:dyDescent="0.25">
      <c r="A359" s="235" t="s">
        <v>45</v>
      </c>
      <c r="B359" s="236">
        <f t="shared" si="9"/>
        <v>573</v>
      </c>
      <c r="C359" s="236">
        <v>289</v>
      </c>
      <c r="D359" s="236">
        <v>206</v>
      </c>
      <c r="E359" s="236">
        <v>45</v>
      </c>
      <c r="F359" s="236"/>
      <c r="G359" s="236">
        <v>29</v>
      </c>
      <c r="H359" s="236">
        <v>1</v>
      </c>
      <c r="I359" s="236"/>
      <c r="J359" s="236">
        <v>3</v>
      </c>
      <c r="K359" s="236">
        <v>0</v>
      </c>
      <c r="L359" s="236">
        <v>0</v>
      </c>
      <c r="M359" s="236">
        <v>0</v>
      </c>
    </row>
    <row r="360" spans="1:13" s="230" customFormat="1" ht="9" customHeight="1" x14ac:dyDescent="0.25">
      <c r="A360" s="230" t="s">
        <v>46</v>
      </c>
      <c r="B360" s="234">
        <f t="shared" si="9"/>
        <v>472</v>
      </c>
      <c r="C360" s="234">
        <v>251</v>
      </c>
      <c r="D360" s="234">
        <v>105</v>
      </c>
      <c r="E360" s="234">
        <v>63</v>
      </c>
      <c r="F360" s="234"/>
      <c r="G360" s="234">
        <v>39</v>
      </c>
      <c r="H360" s="234">
        <v>0</v>
      </c>
      <c r="I360" s="234"/>
      <c r="J360" s="234">
        <v>9</v>
      </c>
      <c r="K360" s="234">
        <v>2</v>
      </c>
      <c r="L360" s="234">
        <v>0</v>
      </c>
      <c r="M360" s="234">
        <v>3</v>
      </c>
    </row>
    <row r="361" spans="1:13" s="230" customFormat="1" ht="9" customHeight="1" x14ac:dyDescent="0.25">
      <c r="A361" s="230" t="s">
        <v>47</v>
      </c>
      <c r="B361" s="234">
        <f t="shared" si="9"/>
        <v>374</v>
      </c>
      <c r="C361" s="234">
        <v>242</v>
      </c>
      <c r="D361" s="234">
        <v>0</v>
      </c>
      <c r="E361" s="234">
        <v>72</v>
      </c>
      <c r="F361" s="234"/>
      <c r="G361" s="234">
        <v>41</v>
      </c>
      <c r="H361" s="234">
        <v>0</v>
      </c>
      <c r="I361" s="234"/>
      <c r="J361" s="234">
        <v>14</v>
      </c>
      <c r="K361" s="234">
        <v>2</v>
      </c>
      <c r="L361" s="234">
        <v>3</v>
      </c>
      <c r="M361" s="234">
        <v>0</v>
      </c>
    </row>
    <row r="362" spans="1:13" s="230" customFormat="1" ht="9" customHeight="1" x14ac:dyDescent="0.25">
      <c r="A362" s="230" t="s">
        <v>48</v>
      </c>
      <c r="B362" s="234">
        <f t="shared" si="9"/>
        <v>612</v>
      </c>
      <c r="C362" s="234">
        <v>537</v>
      </c>
      <c r="D362" s="234">
        <v>0</v>
      </c>
      <c r="E362" s="234">
        <v>37</v>
      </c>
      <c r="F362" s="234"/>
      <c r="G362" s="234">
        <v>26</v>
      </c>
      <c r="H362" s="234">
        <v>3</v>
      </c>
      <c r="I362" s="234"/>
      <c r="J362" s="234">
        <v>7</v>
      </c>
      <c r="K362" s="234">
        <v>1</v>
      </c>
      <c r="L362" s="234">
        <v>1</v>
      </c>
      <c r="M362" s="234">
        <v>0</v>
      </c>
    </row>
    <row r="363" spans="1:13" s="230" customFormat="1" ht="9" customHeight="1" x14ac:dyDescent="0.25">
      <c r="A363" s="235" t="s">
        <v>49</v>
      </c>
      <c r="B363" s="236">
        <f t="shared" si="9"/>
        <v>524</v>
      </c>
      <c r="C363" s="236">
        <v>317</v>
      </c>
      <c r="D363" s="236">
        <v>106</v>
      </c>
      <c r="E363" s="236">
        <v>55</v>
      </c>
      <c r="F363" s="236"/>
      <c r="G363" s="236">
        <v>32</v>
      </c>
      <c r="H363" s="236">
        <v>3</v>
      </c>
      <c r="I363" s="236"/>
      <c r="J363" s="236">
        <v>7</v>
      </c>
      <c r="K363" s="236">
        <v>3</v>
      </c>
      <c r="L363" s="236">
        <v>0</v>
      </c>
      <c r="M363" s="236">
        <v>1</v>
      </c>
    </row>
    <row r="364" spans="1:13" s="230" customFormat="1" ht="9" customHeight="1" x14ac:dyDescent="0.25">
      <c r="A364" s="230" t="s">
        <v>50</v>
      </c>
      <c r="B364" s="234">
        <f t="shared" si="9"/>
        <v>202</v>
      </c>
      <c r="C364" s="234">
        <v>176</v>
      </c>
      <c r="D364" s="234">
        <v>0</v>
      </c>
      <c r="E364" s="234">
        <v>17</v>
      </c>
      <c r="F364" s="234"/>
      <c r="G364" s="234">
        <v>4</v>
      </c>
      <c r="H364" s="234">
        <v>0</v>
      </c>
      <c r="I364" s="234"/>
      <c r="J364" s="234">
        <v>5</v>
      </c>
      <c r="K364" s="234">
        <v>0</v>
      </c>
      <c r="L364" s="234">
        <v>0</v>
      </c>
      <c r="M364" s="234">
        <v>0</v>
      </c>
    </row>
    <row r="365" spans="1:13" s="230" customFormat="1" ht="9" customHeight="1" x14ac:dyDescent="0.25">
      <c r="A365" s="230" t="s">
        <v>51</v>
      </c>
      <c r="B365" s="234">
        <f t="shared" si="9"/>
        <v>1565</v>
      </c>
      <c r="C365" s="234">
        <v>786</v>
      </c>
      <c r="D365" s="234">
        <v>518</v>
      </c>
      <c r="E365" s="234">
        <v>146</v>
      </c>
      <c r="F365" s="234"/>
      <c r="G365" s="234">
        <v>84</v>
      </c>
      <c r="H365" s="234">
        <v>11</v>
      </c>
      <c r="I365" s="234"/>
      <c r="J365" s="234">
        <v>15</v>
      </c>
      <c r="K365" s="234">
        <v>4</v>
      </c>
      <c r="L365" s="234">
        <v>0</v>
      </c>
      <c r="M365" s="234">
        <v>1</v>
      </c>
    </row>
    <row r="366" spans="1:13" s="230" customFormat="1" ht="9" customHeight="1" x14ac:dyDescent="0.25">
      <c r="A366" s="230" t="s">
        <v>52</v>
      </c>
      <c r="B366" s="234">
        <f t="shared" si="9"/>
        <v>344</v>
      </c>
      <c r="C366" s="234">
        <v>169</v>
      </c>
      <c r="D366" s="234">
        <v>87</v>
      </c>
      <c r="E366" s="234">
        <v>65</v>
      </c>
      <c r="F366" s="234"/>
      <c r="G366" s="234">
        <v>16</v>
      </c>
      <c r="H366" s="234">
        <v>0</v>
      </c>
      <c r="I366" s="234"/>
      <c r="J366" s="234">
        <v>6</v>
      </c>
      <c r="K366" s="234">
        <v>1</v>
      </c>
      <c r="L366" s="234">
        <v>0</v>
      </c>
      <c r="M366" s="234">
        <v>0</v>
      </c>
    </row>
    <row r="367" spans="1:13" s="230" customFormat="1" ht="9" customHeight="1" x14ac:dyDescent="0.25">
      <c r="A367" s="235" t="s">
        <v>53</v>
      </c>
      <c r="B367" s="236">
        <f t="shared" si="9"/>
        <v>433</v>
      </c>
      <c r="C367" s="236">
        <v>211</v>
      </c>
      <c r="D367" s="236">
        <v>146</v>
      </c>
      <c r="E367" s="236">
        <v>37</v>
      </c>
      <c r="F367" s="236"/>
      <c r="G367" s="236">
        <v>36</v>
      </c>
      <c r="H367" s="236">
        <v>0</v>
      </c>
      <c r="I367" s="236"/>
      <c r="J367" s="236">
        <v>3</v>
      </c>
      <c r="K367" s="236">
        <v>0</v>
      </c>
      <c r="L367" s="236">
        <v>0</v>
      </c>
      <c r="M367" s="236">
        <v>0</v>
      </c>
    </row>
    <row r="368" spans="1:13" s="230" customFormat="1" ht="8.25" customHeight="1" x14ac:dyDescent="0.25">
      <c r="B368" s="234"/>
      <c r="C368" s="234"/>
      <c r="D368" s="234"/>
      <c r="E368" s="234"/>
      <c r="F368" s="234"/>
      <c r="G368" s="234"/>
      <c r="H368" s="234"/>
      <c r="I368" s="234"/>
      <c r="J368" s="234"/>
      <c r="K368" s="234"/>
      <c r="L368" s="234"/>
      <c r="M368" s="234"/>
    </row>
    <row r="369" spans="1:13" s="230" customFormat="1" ht="9" customHeight="1" x14ac:dyDescent="0.25">
      <c r="A369" s="228">
        <v>2005</v>
      </c>
      <c r="B369" s="244"/>
      <c r="C369" s="244"/>
      <c r="D369" s="244"/>
      <c r="E369" s="244"/>
      <c r="F369" s="244"/>
      <c r="G369" s="229"/>
      <c r="H369" s="229"/>
      <c r="I369" s="229"/>
      <c r="J369" s="229"/>
      <c r="K369" s="229"/>
      <c r="M369" s="244"/>
    </row>
    <row r="370" spans="1:13" s="230" customFormat="1" ht="9" customHeight="1" x14ac:dyDescent="0.25">
      <c r="A370" s="231" t="s">
        <v>21</v>
      </c>
      <c r="B370" s="232">
        <f>SUM(B372:B403)</f>
        <v>19049</v>
      </c>
      <c r="C370" s="232">
        <f>SUM(C372:C403)</f>
        <v>12563</v>
      </c>
      <c r="D370" s="232">
        <f>SUM(D372:D403)</f>
        <v>3610</v>
      </c>
      <c r="E370" s="232">
        <f>SUM(E372:E403)</f>
        <v>1345</v>
      </c>
      <c r="F370" s="232"/>
      <c r="G370" s="232">
        <f>SUM(G372:G403)</f>
        <v>1226</v>
      </c>
      <c r="H370" s="232">
        <f>SUM(H372:H403)</f>
        <v>60</v>
      </c>
      <c r="I370" s="245"/>
      <c r="J370" s="232" t="s">
        <v>22</v>
      </c>
      <c r="K370" s="232">
        <f>SUM(K372:K403)</f>
        <v>36</v>
      </c>
      <c r="L370" s="232">
        <f>SUM(L372:L403)</f>
        <v>196</v>
      </c>
      <c r="M370" s="232">
        <f>SUM(M372:M403)</f>
        <v>13</v>
      </c>
    </row>
    <row r="371" spans="1:13" s="230" customFormat="1" ht="3.95" customHeight="1" x14ac:dyDescent="0.25">
      <c r="A371" s="231"/>
      <c r="B371" s="232"/>
      <c r="C371" s="232"/>
      <c r="D371" s="232"/>
      <c r="E371" s="232"/>
      <c r="F371" s="232"/>
      <c r="G371" s="232"/>
      <c r="H371" s="232"/>
      <c r="I371" s="232"/>
      <c r="J371" s="232"/>
      <c r="K371" s="232"/>
      <c r="L371" s="232"/>
      <c r="M371" s="232"/>
    </row>
    <row r="372" spans="1:13" s="230" customFormat="1" ht="9" customHeight="1" x14ac:dyDescent="0.25">
      <c r="A372" s="230" t="s">
        <v>23</v>
      </c>
      <c r="B372" s="234">
        <f t="shared" ref="B372:B403" si="10">SUM(C372:M372)</f>
        <v>118</v>
      </c>
      <c r="C372" s="234">
        <v>92</v>
      </c>
      <c r="D372" s="234">
        <v>0</v>
      </c>
      <c r="E372" s="234">
        <v>12</v>
      </c>
      <c r="F372" s="234"/>
      <c r="G372" s="234">
        <v>12</v>
      </c>
      <c r="H372" s="234">
        <v>0</v>
      </c>
      <c r="I372" s="234"/>
      <c r="J372" s="234" t="s">
        <v>22</v>
      </c>
      <c r="K372" s="234">
        <v>0</v>
      </c>
      <c r="L372" s="234">
        <v>1</v>
      </c>
      <c r="M372" s="234">
        <v>1</v>
      </c>
    </row>
    <row r="373" spans="1:13" s="230" customFormat="1" ht="9" customHeight="1" x14ac:dyDescent="0.25">
      <c r="A373" s="230" t="s">
        <v>24</v>
      </c>
      <c r="B373" s="234">
        <f t="shared" si="10"/>
        <v>244</v>
      </c>
      <c r="C373" s="234">
        <v>161</v>
      </c>
      <c r="D373" s="234">
        <v>12</v>
      </c>
      <c r="E373" s="234">
        <v>35</v>
      </c>
      <c r="F373" s="234"/>
      <c r="G373" s="234">
        <v>13</v>
      </c>
      <c r="H373" s="234">
        <v>0</v>
      </c>
      <c r="I373" s="234"/>
      <c r="J373" s="234" t="s">
        <v>22</v>
      </c>
      <c r="K373" s="234">
        <v>1</v>
      </c>
      <c r="L373" s="234">
        <v>22</v>
      </c>
      <c r="M373" s="234">
        <v>0</v>
      </c>
    </row>
    <row r="374" spans="1:13" s="230" customFormat="1" ht="9" customHeight="1" x14ac:dyDescent="0.25">
      <c r="A374" s="230" t="s">
        <v>25</v>
      </c>
      <c r="B374" s="234">
        <f t="shared" si="10"/>
        <v>128</v>
      </c>
      <c r="C374" s="234">
        <v>79</v>
      </c>
      <c r="D374" s="234">
        <v>0</v>
      </c>
      <c r="E374" s="234">
        <v>16</v>
      </c>
      <c r="F374" s="234"/>
      <c r="G374" s="234">
        <v>30</v>
      </c>
      <c r="H374" s="234">
        <v>0</v>
      </c>
      <c r="I374" s="234"/>
      <c r="J374" s="234" t="s">
        <v>22</v>
      </c>
      <c r="K374" s="234">
        <v>3</v>
      </c>
      <c r="L374" s="234">
        <v>0</v>
      </c>
      <c r="M374" s="234">
        <v>0</v>
      </c>
    </row>
    <row r="375" spans="1:13" s="230" customFormat="1" ht="9" customHeight="1" x14ac:dyDescent="0.25">
      <c r="A375" s="235" t="s">
        <v>26</v>
      </c>
      <c r="B375" s="236">
        <f t="shared" si="10"/>
        <v>211</v>
      </c>
      <c r="C375" s="236">
        <v>150</v>
      </c>
      <c r="D375" s="236">
        <v>36</v>
      </c>
      <c r="E375" s="236">
        <v>10</v>
      </c>
      <c r="F375" s="236"/>
      <c r="G375" s="236">
        <v>11</v>
      </c>
      <c r="H375" s="236">
        <v>1</v>
      </c>
      <c r="I375" s="236"/>
      <c r="J375" s="236" t="s">
        <v>22</v>
      </c>
      <c r="K375" s="236">
        <v>3</v>
      </c>
      <c r="L375" s="236">
        <v>0</v>
      </c>
      <c r="M375" s="236">
        <v>0</v>
      </c>
    </row>
    <row r="376" spans="1:13" s="230" customFormat="1" ht="9" customHeight="1" x14ac:dyDescent="0.25">
      <c r="A376" s="230" t="s">
        <v>27</v>
      </c>
      <c r="B376" s="234">
        <f t="shared" si="10"/>
        <v>360</v>
      </c>
      <c r="C376" s="234">
        <v>196</v>
      </c>
      <c r="D376" s="234">
        <v>82</v>
      </c>
      <c r="E376" s="234">
        <v>49</v>
      </c>
      <c r="F376" s="234"/>
      <c r="G376" s="234">
        <v>31</v>
      </c>
      <c r="H376" s="234">
        <v>0</v>
      </c>
      <c r="I376" s="234"/>
      <c r="J376" s="234" t="s">
        <v>22</v>
      </c>
      <c r="K376" s="234">
        <v>0</v>
      </c>
      <c r="L376" s="234">
        <v>0</v>
      </c>
      <c r="M376" s="234">
        <v>2</v>
      </c>
    </row>
    <row r="377" spans="1:13" s="230" customFormat="1" ht="9" customHeight="1" x14ac:dyDescent="0.25">
      <c r="A377" s="230" t="s">
        <v>28</v>
      </c>
      <c r="B377" s="234">
        <f t="shared" si="10"/>
        <v>150</v>
      </c>
      <c r="C377" s="234">
        <v>133</v>
      </c>
      <c r="D377" s="234">
        <v>0</v>
      </c>
      <c r="E377" s="234">
        <v>11</v>
      </c>
      <c r="F377" s="234"/>
      <c r="G377" s="234">
        <v>5</v>
      </c>
      <c r="H377" s="234">
        <v>0</v>
      </c>
      <c r="I377" s="234"/>
      <c r="J377" s="234" t="s">
        <v>22</v>
      </c>
      <c r="K377" s="234">
        <v>1</v>
      </c>
      <c r="L377" s="234">
        <v>0</v>
      </c>
      <c r="M377" s="234">
        <v>0</v>
      </c>
    </row>
    <row r="378" spans="1:13" s="230" customFormat="1" ht="9" customHeight="1" x14ac:dyDescent="0.25">
      <c r="A378" s="230" t="s">
        <v>29</v>
      </c>
      <c r="B378" s="234">
        <f t="shared" si="10"/>
        <v>1551</v>
      </c>
      <c r="C378" s="234">
        <v>896</v>
      </c>
      <c r="D378" s="234">
        <v>562</v>
      </c>
      <c r="E378" s="234">
        <v>31</v>
      </c>
      <c r="F378" s="234"/>
      <c r="G378" s="234">
        <v>48</v>
      </c>
      <c r="H378" s="234">
        <v>1</v>
      </c>
      <c r="I378" s="234"/>
      <c r="J378" s="234" t="s">
        <v>22</v>
      </c>
      <c r="K378" s="234">
        <v>1</v>
      </c>
      <c r="L378" s="234">
        <v>12</v>
      </c>
      <c r="M378" s="234">
        <v>0</v>
      </c>
    </row>
    <row r="379" spans="1:13" s="230" customFormat="1" ht="9" customHeight="1" x14ac:dyDescent="0.25">
      <c r="A379" s="235" t="s">
        <v>30</v>
      </c>
      <c r="B379" s="236">
        <f t="shared" si="10"/>
        <v>538</v>
      </c>
      <c r="C379" s="236">
        <v>282</v>
      </c>
      <c r="D379" s="236">
        <v>147</v>
      </c>
      <c r="E379" s="236">
        <v>55</v>
      </c>
      <c r="F379" s="236"/>
      <c r="G379" s="236">
        <v>53</v>
      </c>
      <c r="H379" s="236">
        <v>1</v>
      </c>
      <c r="I379" s="236"/>
      <c r="J379" s="236" t="s">
        <v>22</v>
      </c>
      <c r="K379" s="236">
        <v>0</v>
      </c>
      <c r="L379" s="236">
        <v>0</v>
      </c>
      <c r="M379" s="236">
        <v>0</v>
      </c>
    </row>
    <row r="380" spans="1:13" s="230" customFormat="1" ht="9" customHeight="1" x14ac:dyDescent="0.25">
      <c r="A380" s="405" t="s">
        <v>63</v>
      </c>
      <c r="B380" s="234">
        <f t="shared" si="10"/>
        <v>548</v>
      </c>
      <c r="C380" s="234">
        <v>328</v>
      </c>
      <c r="D380" s="234">
        <v>1</v>
      </c>
      <c r="E380" s="234">
        <v>79</v>
      </c>
      <c r="F380" s="234"/>
      <c r="G380" s="234">
        <v>120</v>
      </c>
      <c r="H380" s="234">
        <v>3</v>
      </c>
      <c r="I380" s="234"/>
      <c r="J380" s="234" t="s">
        <v>22</v>
      </c>
      <c r="K380" s="234">
        <v>3</v>
      </c>
      <c r="L380" s="234">
        <v>14</v>
      </c>
      <c r="M380" s="234">
        <v>0</v>
      </c>
    </row>
    <row r="381" spans="1:13" s="230" customFormat="1" ht="9" customHeight="1" x14ac:dyDescent="0.25">
      <c r="A381" s="230" t="s">
        <v>31</v>
      </c>
      <c r="B381" s="234">
        <f t="shared" si="10"/>
        <v>470</v>
      </c>
      <c r="C381" s="234">
        <v>229</v>
      </c>
      <c r="D381" s="234">
        <v>166</v>
      </c>
      <c r="E381" s="234">
        <v>33</v>
      </c>
      <c r="F381" s="234"/>
      <c r="G381" s="234">
        <v>42</v>
      </c>
      <c r="H381" s="234">
        <v>0</v>
      </c>
      <c r="I381" s="234"/>
      <c r="J381" s="234" t="s">
        <v>22</v>
      </c>
      <c r="K381" s="234">
        <v>0</v>
      </c>
      <c r="L381" s="234">
        <v>0</v>
      </c>
      <c r="M381" s="234">
        <v>0</v>
      </c>
    </row>
    <row r="382" spans="1:13" s="230" customFormat="1" ht="9" customHeight="1" x14ac:dyDescent="0.25">
      <c r="A382" s="230" t="s">
        <v>32</v>
      </c>
      <c r="B382" s="234">
        <f t="shared" si="10"/>
        <v>621</v>
      </c>
      <c r="C382" s="234">
        <v>533</v>
      </c>
      <c r="D382" s="234">
        <v>0</v>
      </c>
      <c r="E382" s="234">
        <v>46</v>
      </c>
      <c r="F382" s="234"/>
      <c r="G382" s="234">
        <v>41</v>
      </c>
      <c r="H382" s="234">
        <v>1</v>
      </c>
      <c r="I382" s="234"/>
      <c r="J382" s="234" t="s">
        <v>22</v>
      </c>
      <c r="K382" s="234">
        <v>0</v>
      </c>
      <c r="L382" s="234">
        <v>0</v>
      </c>
      <c r="M382" s="234">
        <v>0</v>
      </c>
    </row>
    <row r="383" spans="1:13" s="230" customFormat="1" ht="9" customHeight="1" x14ac:dyDescent="0.25">
      <c r="A383" s="235" t="s">
        <v>33</v>
      </c>
      <c r="B383" s="236">
        <f t="shared" si="10"/>
        <v>1061</v>
      </c>
      <c r="C383" s="236">
        <v>990</v>
      </c>
      <c r="D383" s="236">
        <v>0</v>
      </c>
      <c r="E383" s="236">
        <v>19</v>
      </c>
      <c r="F383" s="236"/>
      <c r="G383" s="236">
        <v>50</v>
      </c>
      <c r="H383" s="236">
        <v>0</v>
      </c>
      <c r="I383" s="236"/>
      <c r="J383" s="236" t="s">
        <v>22</v>
      </c>
      <c r="K383" s="236">
        <v>2</v>
      </c>
      <c r="L383" s="236">
        <v>0</v>
      </c>
      <c r="M383" s="236">
        <v>0</v>
      </c>
    </row>
    <row r="384" spans="1:13" s="230" customFormat="1" ht="9" customHeight="1" x14ac:dyDescent="0.25">
      <c r="A384" s="230" t="s">
        <v>34</v>
      </c>
      <c r="B384" s="234">
        <f t="shared" si="10"/>
        <v>760</v>
      </c>
      <c r="C384" s="234">
        <v>485</v>
      </c>
      <c r="D384" s="234">
        <v>218</v>
      </c>
      <c r="E384" s="234">
        <v>19</v>
      </c>
      <c r="F384" s="234"/>
      <c r="G384" s="234">
        <v>36</v>
      </c>
      <c r="H384" s="234">
        <v>2</v>
      </c>
      <c r="I384" s="234"/>
      <c r="J384" s="234" t="s">
        <v>22</v>
      </c>
      <c r="K384" s="234">
        <v>0</v>
      </c>
      <c r="L384" s="234">
        <v>0</v>
      </c>
      <c r="M384" s="234">
        <v>0</v>
      </c>
    </row>
    <row r="385" spans="1:13" s="230" customFormat="1" ht="9" customHeight="1" x14ac:dyDescent="0.25">
      <c r="A385" s="230" t="s">
        <v>35</v>
      </c>
      <c r="B385" s="234">
        <f t="shared" si="10"/>
        <v>994</v>
      </c>
      <c r="C385" s="234">
        <v>779</v>
      </c>
      <c r="D385" s="234">
        <v>0</v>
      </c>
      <c r="E385" s="234">
        <v>121</v>
      </c>
      <c r="F385" s="234"/>
      <c r="G385" s="234">
        <v>90</v>
      </c>
      <c r="H385" s="234">
        <v>1</v>
      </c>
      <c r="I385" s="234"/>
      <c r="J385" s="234" t="s">
        <v>22</v>
      </c>
      <c r="K385" s="234">
        <v>1</v>
      </c>
      <c r="L385" s="234">
        <v>0</v>
      </c>
      <c r="M385" s="234">
        <v>2</v>
      </c>
    </row>
    <row r="386" spans="1:13" s="230" customFormat="1" ht="9" customHeight="1" x14ac:dyDescent="0.25">
      <c r="A386" s="230" t="s">
        <v>36</v>
      </c>
      <c r="B386" s="234">
        <f t="shared" si="10"/>
        <v>1279</v>
      </c>
      <c r="C386" s="234">
        <v>1037</v>
      </c>
      <c r="D386" s="234">
        <v>0</v>
      </c>
      <c r="E386" s="234">
        <v>96</v>
      </c>
      <c r="F386" s="234"/>
      <c r="G386" s="234">
        <v>54</v>
      </c>
      <c r="H386" s="234">
        <v>2</v>
      </c>
      <c r="I386" s="234"/>
      <c r="J386" s="234" t="s">
        <v>22</v>
      </c>
      <c r="K386" s="234">
        <v>0</v>
      </c>
      <c r="L386" s="234">
        <v>90</v>
      </c>
      <c r="M386" s="234">
        <v>0</v>
      </c>
    </row>
    <row r="387" spans="1:13" s="230" customFormat="1" ht="9" customHeight="1" x14ac:dyDescent="0.25">
      <c r="A387" s="235" t="s">
        <v>37</v>
      </c>
      <c r="B387" s="236">
        <f t="shared" si="10"/>
        <v>949</v>
      </c>
      <c r="C387" s="236">
        <v>490</v>
      </c>
      <c r="D387" s="236">
        <v>339</v>
      </c>
      <c r="E387" s="236">
        <v>52</v>
      </c>
      <c r="F387" s="236"/>
      <c r="G387" s="236">
        <v>67</v>
      </c>
      <c r="H387" s="236">
        <v>0</v>
      </c>
      <c r="I387" s="236"/>
      <c r="J387" s="236" t="s">
        <v>22</v>
      </c>
      <c r="K387" s="236">
        <v>1</v>
      </c>
      <c r="L387" s="236">
        <v>0</v>
      </c>
      <c r="M387" s="236">
        <v>0</v>
      </c>
    </row>
    <row r="388" spans="1:13" s="230" customFormat="1" ht="9" customHeight="1" x14ac:dyDescent="0.25">
      <c r="A388" s="230" t="s">
        <v>38</v>
      </c>
      <c r="B388" s="234">
        <f t="shared" si="10"/>
        <v>266</v>
      </c>
      <c r="C388" s="234">
        <v>215</v>
      </c>
      <c r="D388" s="234">
        <v>0</v>
      </c>
      <c r="E388" s="234">
        <v>23</v>
      </c>
      <c r="F388" s="234"/>
      <c r="G388" s="234">
        <v>28</v>
      </c>
      <c r="H388" s="234">
        <v>0</v>
      </c>
      <c r="I388" s="234"/>
      <c r="J388" s="234" t="s">
        <v>22</v>
      </c>
      <c r="K388" s="234">
        <v>0</v>
      </c>
      <c r="L388" s="234">
        <v>0</v>
      </c>
      <c r="M388" s="234">
        <v>0</v>
      </c>
    </row>
    <row r="389" spans="1:13" s="230" customFormat="1" ht="9" customHeight="1" x14ac:dyDescent="0.25">
      <c r="A389" s="230" t="s">
        <v>39</v>
      </c>
      <c r="B389" s="234">
        <f t="shared" si="10"/>
        <v>358</v>
      </c>
      <c r="C389" s="234">
        <v>227</v>
      </c>
      <c r="D389" s="234">
        <v>80</v>
      </c>
      <c r="E389" s="234">
        <v>25</v>
      </c>
      <c r="F389" s="234"/>
      <c r="G389" s="234">
        <v>25</v>
      </c>
      <c r="H389" s="234">
        <v>0</v>
      </c>
      <c r="I389" s="234"/>
      <c r="J389" s="234" t="s">
        <v>22</v>
      </c>
      <c r="K389" s="234">
        <v>1</v>
      </c>
      <c r="L389" s="234">
        <v>0</v>
      </c>
      <c r="M389" s="234">
        <v>0</v>
      </c>
    </row>
    <row r="390" spans="1:13" s="230" customFormat="1" ht="9" customHeight="1" x14ac:dyDescent="0.25">
      <c r="A390" s="230" t="s">
        <v>40</v>
      </c>
      <c r="B390" s="234">
        <f t="shared" si="10"/>
        <v>568</v>
      </c>
      <c r="C390" s="234">
        <v>474</v>
      </c>
      <c r="D390" s="234">
        <v>0</v>
      </c>
      <c r="E390" s="234">
        <v>59</v>
      </c>
      <c r="F390" s="234"/>
      <c r="G390" s="234">
        <v>32</v>
      </c>
      <c r="H390" s="234">
        <v>2</v>
      </c>
      <c r="I390" s="234"/>
      <c r="J390" s="234" t="s">
        <v>22</v>
      </c>
      <c r="K390" s="234">
        <v>0</v>
      </c>
      <c r="L390" s="234">
        <v>0</v>
      </c>
      <c r="M390" s="234">
        <v>1</v>
      </c>
    </row>
    <row r="391" spans="1:13" s="230" customFormat="1" ht="9" customHeight="1" x14ac:dyDescent="0.25">
      <c r="A391" s="235" t="s">
        <v>41</v>
      </c>
      <c r="B391" s="236">
        <f t="shared" si="10"/>
        <v>1318</v>
      </c>
      <c r="C391" s="236">
        <v>740</v>
      </c>
      <c r="D391" s="236">
        <v>479</v>
      </c>
      <c r="E391" s="236">
        <v>32</v>
      </c>
      <c r="F391" s="236"/>
      <c r="G391" s="236">
        <v>61</v>
      </c>
      <c r="H391" s="236">
        <v>3</v>
      </c>
      <c r="I391" s="236"/>
      <c r="J391" s="236" t="s">
        <v>22</v>
      </c>
      <c r="K391" s="236">
        <v>3</v>
      </c>
      <c r="L391" s="236">
        <v>0</v>
      </c>
      <c r="M391" s="236">
        <v>0</v>
      </c>
    </row>
    <row r="392" spans="1:13" s="230" customFormat="1" ht="9" customHeight="1" x14ac:dyDescent="0.25">
      <c r="A392" s="230" t="s">
        <v>42</v>
      </c>
      <c r="B392" s="234">
        <f t="shared" si="10"/>
        <v>1043</v>
      </c>
      <c r="C392" s="234">
        <v>580</v>
      </c>
      <c r="D392" s="234">
        <v>312</v>
      </c>
      <c r="E392" s="234">
        <v>50</v>
      </c>
      <c r="F392" s="234"/>
      <c r="G392" s="234">
        <v>43</v>
      </c>
      <c r="H392" s="234">
        <v>3</v>
      </c>
      <c r="I392" s="234"/>
      <c r="J392" s="234" t="s">
        <v>22</v>
      </c>
      <c r="K392" s="234">
        <v>0</v>
      </c>
      <c r="L392" s="234">
        <v>53</v>
      </c>
      <c r="M392" s="234">
        <v>2</v>
      </c>
    </row>
    <row r="393" spans="1:13" s="230" customFormat="1" ht="9" customHeight="1" x14ac:dyDescent="0.25">
      <c r="A393" s="230" t="s">
        <v>43</v>
      </c>
      <c r="B393" s="234">
        <f t="shared" si="10"/>
        <v>295</v>
      </c>
      <c r="C393" s="234">
        <v>254</v>
      </c>
      <c r="D393" s="234">
        <v>0</v>
      </c>
      <c r="E393" s="234">
        <v>22</v>
      </c>
      <c r="F393" s="234"/>
      <c r="G393" s="234">
        <v>19</v>
      </c>
      <c r="H393" s="234">
        <v>0</v>
      </c>
      <c r="I393" s="234"/>
      <c r="J393" s="234" t="s">
        <v>22</v>
      </c>
      <c r="K393" s="234">
        <v>0</v>
      </c>
      <c r="L393" s="234">
        <v>0</v>
      </c>
      <c r="M393" s="234">
        <v>0</v>
      </c>
    </row>
    <row r="394" spans="1:13" s="230" customFormat="1" ht="9" customHeight="1" x14ac:dyDescent="0.25">
      <c r="A394" s="230" t="s">
        <v>44</v>
      </c>
      <c r="B394" s="234">
        <f t="shared" si="10"/>
        <v>197</v>
      </c>
      <c r="C394" s="234">
        <v>173</v>
      </c>
      <c r="D394" s="234">
        <v>0</v>
      </c>
      <c r="E394" s="234">
        <v>12</v>
      </c>
      <c r="F394" s="234"/>
      <c r="G394" s="234">
        <v>9</v>
      </c>
      <c r="H394" s="234">
        <v>0</v>
      </c>
      <c r="I394" s="234"/>
      <c r="J394" s="234" t="s">
        <v>22</v>
      </c>
      <c r="K394" s="234">
        <v>3</v>
      </c>
      <c r="L394" s="234">
        <v>0</v>
      </c>
      <c r="M394" s="234">
        <v>0</v>
      </c>
    </row>
    <row r="395" spans="1:13" s="230" customFormat="1" ht="9" customHeight="1" x14ac:dyDescent="0.25">
      <c r="A395" s="235" t="s">
        <v>45</v>
      </c>
      <c r="B395" s="236">
        <f t="shared" si="10"/>
        <v>563</v>
      </c>
      <c r="C395" s="236">
        <v>291</v>
      </c>
      <c r="D395" s="236">
        <v>206</v>
      </c>
      <c r="E395" s="236">
        <v>36</v>
      </c>
      <c r="F395" s="236"/>
      <c r="G395" s="236">
        <v>29</v>
      </c>
      <c r="H395" s="236">
        <v>1</v>
      </c>
      <c r="I395" s="236"/>
      <c r="J395" s="236" t="s">
        <v>22</v>
      </c>
      <c r="K395" s="236">
        <v>0</v>
      </c>
      <c r="L395" s="236">
        <v>0</v>
      </c>
      <c r="M395" s="236">
        <v>0</v>
      </c>
    </row>
    <row r="396" spans="1:13" s="230" customFormat="1" ht="9" customHeight="1" x14ac:dyDescent="0.25">
      <c r="A396" s="230" t="s">
        <v>46</v>
      </c>
      <c r="B396" s="234">
        <f t="shared" si="10"/>
        <v>453</v>
      </c>
      <c r="C396" s="234">
        <v>253</v>
      </c>
      <c r="D396" s="234">
        <v>107</v>
      </c>
      <c r="E396" s="234">
        <v>48</v>
      </c>
      <c r="F396" s="234"/>
      <c r="G396" s="234">
        <v>39</v>
      </c>
      <c r="H396" s="234">
        <v>1</v>
      </c>
      <c r="I396" s="234"/>
      <c r="J396" s="234" t="s">
        <v>22</v>
      </c>
      <c r="K396" s="234">
        <v>2</v>
      </c>
      <c r="L396" s="234">
        <v>0</v>
      </c>
      <c r="M396" s="234">
        <v>3</v>
      </c>
    </row>
    <row r="397" spans="1:13" s="230" customFormat="1" ht="9" customHeight="1" x14ac:dyDescent="0.25">
      <c r="A397" s="230" t="s">
        <v>47</v>
      </c>
      <c r="B397" s="234">
        <f t="shared" si="10"/>
        <v>378</v>
      </c>
      <c r="C397" s="234">
        <v>261</v>
      </c>
      <c r="D397" s="234">
        <v>0</v>
      </c>
      <c r="E397" s="234">
        <v>72</v>
      </c>
      <c r="F397" s="234"/>
      <c r="G397" s="234">
        <v>40</v>
      </c>
      <c r="H397" s="234">
        <v>0</v>
      </c>
      <c r="I397" s="234"/>
      <c r="J397" s="234" t="s">
        <v>22</v>
      </c>
      <c r="K397" s="234">
        <v>2</v>
      </c>
      <c r="L397" s="234">
        <v>3</v>
      </c>
      <c r="M397" s="234">
        <v>0</v>
      </c>
    </row>
    <row r="398" spans="1:13" s="230" customFormat="1" ht="9" customHeight="1" x14ac:dyDescent="0.25">
      <c r="A398" s="230" t="s">
        <v>48</v>
      </c>
      <c r="B398" s="234">
        <f t="shared" si="10"/>
        <v>639</v>
      </c>
      <c r="C398" s="234">
        <v>567</v>
      </c>
      <c r="D398" s="234">
        <v>0</v>
      </c>
      <c r="E398" s="234">
        <v>34</v>
      </c>
      <c r="F398" s="234"/>
      <c r="G398" s="234">
        <v>26</v>
      </c>
      <c r="H398" s="234">
        <v>10</v>
      </c>
      <c r="I398" s="234"/>
      <c r="J398" s="234" t="s">
        <v>22</v>
      </c>
      <c r="K398" s="234">
        <v>1</v>
      </c>
      <c r="L398" s="234">
        <v>1</v>
      </c>
      <c r="M398" s="234">
        <v>0</v>
      </c>
    </row>
    <row r="399" spans="1:13" s="230" customFormat="1" ht="9" customHeight="1" x14ac:dyDescent="0.25">
      <c r="A399" s="235" t="s">
        <v>49</v>
      </c>
      <c r="B399" s="236">
        <f t="shared" si="10"/>
        <v>507</v>
      </c>
      <c r="C399" s="236">
        <v>317</v>
      </c>
      <c r="D399" s="236">
        <v>106</v>
      </c>
      <c r="E399" s="236">
        <v>42</v>
      </c>
      <c r="F399" s="236"/>
      <c r="G399" s="236">
        <v>32</v>
      </c>
      <c r="H399" s="236">
        <v>6</v>
      </c>
      <c r="I399" s="236"/>
      <c r="J399" s="236" t="s">
        <v>22</v>
      </c>
      <c r="K399" s="236">
        <v>3</v>
      </c>
      <c r="L399" s="236">
        <v>0</v>
      </c>
      <c r="M399" s="236">
        <v>1</v>
      </c>
    </row>
    <row r="400" spans="1:13" s="230" customFormat="1" ht="9" customHeight="1" x14ac:dyDescent="0.25">
      <c r="A400" s="230" t="s">
        <v>50</v>
      </c>
      <c r="B400" s="234">
        <f t="shared" si="10"/>
        <v>199</v>
      </c>
      <c r="C400" s="234">
        <v>177</v>
      </c>
      <c r="D400" s="234">
        <v>0</v>
      </c>
      <c r="E400" s="234">
        <v>18</v>
      </c>
      <c r="F400" s="234"/>
      <c r="G400" s="234">
        <v>4</v>
      </c>
      <c r="H400" s="234">
        <v>0</v>
      </c>
      <c r="I400" s="234"/>
      <c r="J400" s="234" t="s">
        <v>22</v>
      </c>
      <c r="K400" s="234">
        <v>0</v>
      </c>
      <c r="L400" s="234">
        <v>0</v>
      </c>
      <c r="M400" s="234">
        <v>0</v>
      </c>
    </row>
    <row r="401" spans="1:13" s="230" customFormat="1" ht="9" customHeight="1" x14ac:dyDescent="0.25">
      <c r="A401" s="230" t="s">
        <v>51</v>
      </c>
      <c r="B401" s="234">
        <f t="shared" si="10"/>
        <v>1548</v>
      </c>
      <c r="C401" s="234">
        <v>792</v>
      </c>
      <c r="D401" s="234">
        <v>524</v>
      </c>
      <c r="E401" s="234">
        <v>121</v>
      </c>
      <c r="F401" s="234"/>
      <c r="G401" s="234">
        <v>84</v>
      </c>
      <c r="H401" s="234">
        <v>22</v>
      </c>
      <c r="I401" s="234"/>
      <c r="J401" s="234" t="s">
        <v>22</v>
      </c>
      <c r="K401" s="234">
        <v>4</v>
      </c>
      <c r="L401" s="234">
        <v>0</v>
      </c>
      <c r="M401" s="234">
        <v>1</v>
      </c>
    </row>
    <row r="402" spans="1:13" s="230" customFormat="1" ht="9" customHeight="1" x14ac:dyDescent="0.25">
      <c r="A402" s="230" t="s">
        <v>52</v>
      </c>
      <c r="B402" s="234">
        <f t="shared" si="10"/>
        <v>303</v>
      </c>
      <c r="C402" s="234">
        <v>169</v>
      </c>
      <c r="D402" s="234">
        <v>87</v>
      </c>
      <c r="E402" s="234">
        <v>30</v>
      </c>
      <c r="F402" s="234"/>
      <c r="G402" s="234">
        <v>16</v>
      </c>
      <c r="H402" s="234">
        <v>0</v>
      </c>
      <c r="I402" s="234"/>
      <c r="J402" s="234" t="s">
        <v>22</v>
      </c>
      <c r="K402" s="234">
        <v>1</v>
      </c>
      <c r="L402" s="234">
        <v>0</v>
      </c>
      <c r="M402" s="234">
        <v>0</v>
      </c>
    </row>
    <row r="403" spans="1:13" s="230" customFormat="1" ht="9" customHeight="1" x14ac:dyDescent="0.25">
      <c r="A403" s="235" t="s">
        <v>53</v>
      </c>
      <c r="B403" s="236">
        <f t="shared" si="10"/>
        <v>432</v>
      </c>
      <c r="C403" s="236">
        <v>213</v>
      </c>
      <c r="D403" s="236">
        <v>146</v>
      </c>
      <c r="E403" s="236">
        <v>37</v>
      </c>
      <c r="F403" s="236"/>
      <c r="G403" s="236">
        <v>36</v>
      </c>
      <c r="H403" s="236">
        <v>0</v>
      </c>
      <c r="I403" s="236"/>
      <c r="J403" s="236" t="s">
        <v>22</v>
      </c>
      <c r="K403" s="236">
        <v>0</v>
      </c>
      <c r="L403" s="236">
        <v>0</v>
      </c>
      <c r="M403" s="236">
        <v>0</v>
      </c>
    </row>
    <row r="404" spans="1:13" s="230" customFormat="1" ht="8.25" customHeight="1" x14ac:dyDescent="0.25">
      <c r="B404" s="234"/>
      <c r="C404" s="234"/>
      <c r="D404" s="234"/>
      <c r="E404" s="234"/>
      <c r="F404" s="234"/>
      <c r="G404" s="234"/>
      <c r="H404" s="234"/>
      <c r="I404" s="234"/>
      <c r="J404" s="234"/>
      <c r="K404" s="234"/>
      <c r="L404" s="234"/>
      <c r="M404" s="234"/>
    </row>
    <row r="405" spans="1:13" s="230" customFormat="1" ht="9" customHeight="1" x14ac:dyDescent="0.25">
      <c r="A405" s="228">
        <v>2006</v>
      </c>
      <c r="B405" s="244"/>
      <c r="C405" s="244"/>
      <c r="D405" s="244"/>
      <c r="E405" s="244"/>
      <c r="F405" s="244"/>
      <c r="G405" s="229"/>
      <c r="H405" s="229"/>
      <c r="I405" s="229"/>
      <c r="J405" s="229"/>
      <c r="K405" s="229"/>
      <c r="M405" s="244"/>
    </row>
    <row r="406" spans="1:13" s="230" customFormat="1" ht="9" customHeight="1" x14ac:dyDescent="0.25">
      <c r="A406" s="231" t="s">
        <v>21</v>
      </c>
      <c r="B406" s="232">
        <f>SUM(B408:B439)</f>
        <v>19683</v>
      </c>
      <c r="C406" s="232">
        <f>SUM(C408:C439)</f>
        <v>12758</v>
      </c>
      <c r="D406" s="232">
        <f>SUM(D408:D439)</f>
        <v>4060</v>
      </c>
      <c r="E406" s="232">
        <f>SUM(E408:E439)</f>
        <v>1352</v>
      </c>
      <c r="F406" s="232"/>
      <c r="G406" s="232">
        <f>SUM(G408:G439)</f>
        <v>1197</v>
      </c>
      <c r="H406" s="232">
        <f>SUM(H408:H439)</f>
        <v>60</v>
      </c>
      <c r="I406" s="245"/>
      <c r="J406" s="232" t="s">
        <v>22</v>
      </c>
      <c r="K406" s="232">
        <f>SUM(K408:K439)</f>
        <v>36</v>
      </c>
      <c r="L406" s="232">
        <f>SUM(L408:L439)</f>
        <v>205</v>
      </c>
      <c r="M406" s="232">
        <f>SUM(M408:M439)</f>
        <v>15</v>
      </c>
    </row>
    <row r="407" spans="1:13" s="230" customFormat="1" ht="3.95" customHeight="1" x14ac:dyDescent="0.25">
      <c r="A407" s="231"/>
      <c r="B407" s="232"/>
      <c r="C407" s="232"/>
      <c r="D407" s="232"/>
      <c r="E407" s="232"/>
      <c r="F407" s="232"/>
      <c r="G407" s="232"/>
      <c r="H407" s="232"/>
      <c r="I407" s="232"/>
      <c r="J407" s="232"/>
      <c r="K407" s="232"/>
      <c r="L407" s="232"/>
      <c r="M407" s="232"/>
    </row>
    <row r="408" spans="1:13" s="230" customFormat="1" ht="9" customHeight="1" x14ac:dyDescent="0.25">
      <c r="A408" s="230" t="s">
        <v>23</v>
      </c>
      <c r="B408" s="234">
        <f t="shared" ref="B408:B439" si="11">SUM(C408:M408)</f>
        <v>119</v>
      </c>
      <c r="C408" s="234">
        <v>93</v>
      </c>
      <c r="D408" s="234">
        <v>0</v>
      </c>
      <c r="E408" s="234">
        <v>12</v>
      </c>
      <c r="F408" s="234"/>
      <c r="G408" s="234">
        <v>12</v>
      </c>
      <c r="H408" s="234">
        <v>0</v>
      </c>
      <c r="I408" s="234"/>
      <c r="J408" s="234" t="s">
        <v>22</v>
      </c>
      <c r="K408" s="234">
        <v>0</v>
      </c>
      <c r="L408" s="234">
        <v>1</v>
      </c>
      <c r="M408" s="234">
        <v>1</v>
      </c>
    </row>
    <row r="409" spans="1:13" s="230" customFormat="1" ht="9" customHeight="1" x14ac:dyDescent="0.25">
      <c r="A409" s="230" t="s">
        <v>24</v>
      </c>
      <c r="B409" s="234">
        <f t="shared" si="11"/>
        <v>255</v>
      </c>
      <c r="C409" s="234">
        <v>173</v>
      </c>
      <c r="D409" s="234">
        <v>12</v>
      </c>
      <c r="E409" s="234">
        <v>34</v>
      </c>
      <c r="F409" s="234"/>
      <c r="G409" s="234">
        <v>13</v>
      </c>
      <c r="H409" s="234">
        <v>0</v>
      </c>
      <c r="I409" s="234"/>
      <c r="J409" s="234" t="s">
        <v>22</v>
      </c>
      <c r="K409" s="234">
        <v>1</v>
      </c>
      <c r="L409" s="234">
        <v>22</v>
      </c>
      <c r="M409" s="234">
        <v>0</v>
      </c>
    </row>
    <row r="410" spans="1:13" s="230" customFormat="1" ht="9" customHeight="1" x14ac:dyDescent="0.25">
      <c r="A410" s="230" t="s">
        <v>25</v>
      </c>
      <c r="B410" s="234">
        <f t="shared" si="11"/>
        <v>130</v>
      </c>
      <c r="C410" s="234">
        <v>79</v>
      </c>
      <c r="D410" s="234">
        <v>0</v>
      </c>
      <c r="E410" s="234">
        <v>18</v>
      </c>
      <c r="F410" s="234"/>
      <c r="G410" s="234">
        <v>30</v>
      </c>
      <c r="H410" s="234">
        <v>0</v>
      </c>
      <c r="I410" s="234"/>
      <c r="J410" s="234" t="s">
        <v>22</v>
      </c>
      <c r="K410" s="234">
        <v>3</v>
      </c>
      <c r="L410" s="234">
        <v>0</v>
      </c>
      <c r="M410" s="234">
        <v>0</v>
      </c>
    </row>
    <row r="411" spans="1:13" s="230" customFormat="1" ht="9" customHeight="1" x14ac:dyDescent="0.25">
      <c r="A411" s="235" t="s">
        <v>26</v>
      </c>
      <c r="B411" s="236">
        <f t="shared" si="11"/>
        <v>219</v>
      </c>
      <c r="C411" s="236">
        <v>151</v>
      </c>
      <c r="D411" s="236">
        <v>43</v>
      </c>
      <c r="E411" s="236">
        <v>10</v>
      </c>
      <c r="F411" s="236"/>
      <c r="G411" s="236">
        <v>11</v>
      </c>
      <c r="H411" s="236">
        <v>1</v>
      </c>
      <c r="I411" s="236"/>
      <c r="J411" s="236" t="s">
        <v>22</v>
      </c>
      <c r="K411" s="236">
        <v>3</v>
      </c>
      <c r="L411" s="236">
        <v>0</v>
      </c>
      <c r="M411" s="236">
        <v>0</v>
      </c>
    </row>
    <row r="412" spans="1:13" s="230" customFormat="1" ht="9" customHeight="1" x14ac:dyDescent="0.25">
      <c r="A412" s="230" t="s">
        <v>27</v>
      </c>
      <c r="B412" s="234">
        <f t="shared" si="11"/>
        <v>374</v>
      </c>
      <c r="C412" s="234">
        <v>199</v>
      </c>
      <c r="D412" s="234">
        <v>91</v>
      </c>
      <c r="E412" s="234">
        <v>49</v>
      </c>
      <c r="F412" s="234"/>
      <c r="G412" s="234">
        <v>32</v>
      </c>
      <c r="H412" s="234">
        <v>0</v>
      </c>
      <c r="I412" s="234"/>
      <c r="J412" s="234" t="s">
        <v>22</v>
      </c>
      <c r="K412" s="234">
        <v>0</v>
      </c>
      <c r="L412" s="234">
        <v>0</v>
      </c>
      <c r="M412" s="234">
        <v>3</v>
      </c>
    </row>
    <row r="413" spans="1:13" s="230" customFormat="1" ht="9" customHeight="1" x14ac:dyDescent="0.25">
      <c r="A413" s="230" t="s">
        <v>28</v>
      </c>
      <c r="B413" s="234">
        <f t="shared" si="11"/>
        <v>152</v>
      </c>
      <c r="C413" s="234">
        <v>134</v>
      </c>
      <c r="D413" s="234">
        <v>0</v>
      </c>
      <c r="E413" s="234">
        <v>12</v>
      </c>
      <c r="F413" s="234"/>
      <c r="G413" s="234">
        <v>5</v>
      </c>
      <c r="H413" s="234">
        <v>0</v>
      </c>
      <c r="I413" s="234"/>
      <c r="J413" s="234" t="s">
        <v>22</v>
      </c>
      <c r="K413" s="234">
        <v>1</v>
      </c>
      <c r="L413" s="234">
        <v>0</v>
      </c>
      <c r="M413" s="234">
        <v>0</v>
      </c>
    </row>
    <row r="414" spans="1:13" s="230" customFormat="1" ht="9" customHeight="1" x14ac:dyDescent="0.25">
      <c r="A414" s="230" t="s">
        <v>29</v>
      </c>
      <c r="B414" s="234">
        <f t="shared" si="11"/>
        <v>1600</v>
      </c>
      <c r="C414" s="234">
        <v>915</v>
      </c>
      <c r="D414" s="234">
        <v>592</v>
      </c>
      <c r="E414" s="234">
        <v>31</v>
      </c>
      <c r="F414" s="234"/>
      <c r="G414" s="234">
        <v>48</v>
      </c>
      <c r="H414" s="234">
        <v>1</v>
      </c>
      <c r="I414" s="234"/>
      <c r="J414" s="234" t="s">
        <v>22</v>
      </c>
      <c r="K414" s="234">
        <v>1</v>
      </c>
      <c r="L414" s="234">
        <v>12</v>
      </c>
      <c r="M414" s="234">
        <v>0</v>
      </c>
    </row>
    <row r="415" spans="1:13" s="230" customFormat="1" ht="9" customHeight="1" x14ac:dyDescent="0.25">
      <c r="A415" s="235" t="s">
        <v>30</v>
      </c>
      <c r="B415" s="236">
        <f t="shared" si="11"/>
        <v>569</v>
      </c>
      <c r="C415" s="236">
        <v>296</v>
      </c>
      <c r="D415" s="236">
        <v>162</v>
      </c>
      <c r="E415" s="236">
        <v>57</v>
      </c>
      <c r="F415" s="236"/>
      <c r="G415" s="236">
        <v>53</v>
      </c>
      <c r="H415" s="236">
        <v>1</v>
      </c>
      <c r="I415" s="236"/>
      <c r="J415" s="236" t="s">
        <v>22</v>
      </c>
      <c r="K415" s="236">
        <v>0</v>
      </c>
      <c r="L415" s="236">
        <v>0</v>
      </c>
      <c r="M415" s="236">
        <v>0</v>
      </c>
    </row>
    <row r="416" spans="1:13" s="230" customFormat="1" ht="9" customHeight="1" x14ac:dyDescent="0.25">
      <c r="A416" s="405" t="s">
        <v>63</v>
      </c>
      <c r="B416" s="234">
        <f t="shared" si="11"/>
        <v>563</v>
      </c>
      <c r="C416" s="234">
        <v>340</v>
      </c>
      <c r="D416" s="234">
        <v>19</v>
      </c>
      <c r="E416" s="234">
        <v>79</v>
      </c>
      <c r="F416" s="234"/>
      <c r="G416" s="234">
        <v>105</v>
      </c>
      <c r="H416" s="234">
        <v>3</v>
      </c>
      <c r="I416" s="234"/>
      <c r="J416" s="234" t="s">
        <v>22</v>
      </c>
      <c r="K416" s="234">
        <v>3</v>
      </c>
      <c r="L416" s="234">
        <v>14</v>
      </c>
      <c r="M416" s="234">
        <v>0</v>
      </c>
    </row>
    <row r="417" spans="1:13" s="230" customFormat="1" ht="9" customHeight="1" x14ac:dyDescent="0.25">
      <c r="A417" s="230" t="s">
        <v>31</v>
      </c>
      <c r="B417" s="234">
        <f t="shared" si="11"/>
        <v>472</v>
      </c>
      <c r="C417" s="234">
        <v>228</v>
      </c>
      <c r="D417" s="234">
        <v>169</v>
      </c>
      <c r="E417" s="234">
        <v>33</v>
      </c>
      <c r="F417" s="234"/>
      <c r="G417" s="234">
        <v>42</v>
      </c>
      <c r="H417" s="234">
        <v>0</v>
      </c>
      <c r="I417" s="234"/>
      <c r="J417" s="234" t="s">
        <v>22</v>
      </c>
      <c r="K417" s="234">
        <v>0</v>
      </c>
      <c r="L417" s="234">
        <v>0</v>
      </c>
      <c r="M417" s="234">
        <v>0</v>
      </c>
    </row>
    <row r="418" spans="1:13" s="230" customFormat="1" ht="9" customHeight="1" x14ac:dyDescent="0.25">
      <c r="A418" s="230" t="s">
        <v>32</v>
      </c>
      <c r="B418" s="234">
        <f t="shared" si="11"/>
        <v>643</v>
      </c>
      <c r="C418" s="234">
        <v>544</v>
      </c>
      <c r="D418" s="234">
        <v>11</v>
      </c>
      <c r="E418" s="234">
        <v>46</v>
      </c>
      <c r="F418" s="234"/>
      <c r="G418" s="234">
        <v>41</v>
      </c>
      <c r="H418" s="234">
        <v>1</v>
      </c>
      <c r="I418" s="234"/>
      <c r="J418" s="234" t="s">
        <v>22</v>
      </c>
      <c r="K418" s="234">
        <v>0</v>
      </c>
      <c r="L418" s="234">
        <v>0</v>
      </c>
      <c r="M418" s="234">
        <v>0</v>
      </c>
    </row>
    <row r="419" spans="1:13" s="230" customFormat="1" ht="9" customHeight="1" x14ac:dyDescent="0.25">
      <c r="A419" s="235" t="s">
        <v>33</v>
      </c>
      <c r="B419" s="236">
        <f t="shared" si="11"/>
        <v>1083</v>
      </c>
      <c r="C419" s="236">
        <v>995</v>
      </c>
      <c r="D419" s="236">
        <v>16</v>
      </c>
      <c r="E419" s="236">
        <v>20</v>
      </c>
      <c r="F419" s="236"/>
      <c r="G419" s="236">
        <v>50</v>
      </c>
      <c r="H419" s="236">
        <v>0</v>
      </c>
      <c r="I419" s="236"/>
      <c r="J419" s="236" t="s">
        <v>22</v>
      </c>
      <c r="K419" s="236">
        <v>2</v>
      </c>
      <c r="L419" s="236">
        <v>0</v>
      </c>
      <c r="M419" s="236">
        <v>0</v>
      </c>
    </row>
    <row r="420" spans="1:13" s="230" customFormat="1" ht="9" customHeight="1" x14ac:dyDescent="0.25">
      <c r="A420" s="230" t="s">
        <v>34</v>
      </c>
      <c r="B420" s="234">
        <f t="shared" si="11"/>
        <v>785</v>
      </c>
      <c r="C420" s="234">
        <v>490</v>
      </c>
      <c r="D420" s="234">
        <v>237</v>
      </c>
      <c r="E420" s="234">
        <v>20</v>
      </c>
      <c r="F420" s="234"/>
      <c r="G420" s="234">
        <v>36</v>
      </c>
      <c r="H420" s="234">
        <v>2</v>
      </c>
      <c r="I420" s="234"/>
      <c r="J420" s="234" t="s">
        <v>22</v>
      </c>
      <c r="K420" s="234">
        <v>0</v>
      </c>
      <c r="L420" s="234">
        <v>0</v>
      </c>
      <c r="M420" s="234">
        <v>0</v>
      </c>
    </row>
    <row r="421" spans="1:13" s="230" customFormat="1" ht="9" customHeight="1" x14ac:dyDescent="0.25">
      <c r="A421" s="230" t="s">
        <v>35</v>
      </c>
      <c r="B421" s="234">
        <f t="shared" si="11"/>
        <v>1004</v>
      </c>
      <c r="C421" s="234">
        <v>783</v>
      </c>
      <c r="D421" s="234">
        <v>9</v>
      </c>
      <c r="E421" s="234">
        <v>122</v>
      </c>
      <c r="F421" s="234"/>
      <c r="G421" s="234">
        <v>86</v>
      </c>
      <c r="H421" s="234">
        <v>1</v>
      </c>
      <c r="I421" s="234"/>
      <c r="J421" s="234" t="s">
        <v>22</v>
      </c>
      <c r="K421" s="234">
        <v>1</v>
      </c>
      <c r="L421" s="234">
        <v>0</v>
      </c>
      <c r="M421" s="234">
        <v>2</v>
      </c>
    </row>
    <row r="422" spans="1:13" s="230" customFormat="1" ht="9" customHeight="1" x14ac:dyDescent="0.25">
      <c r="A422" s="230" t="s">
        <v>36</v>
      </c>
      <c r="B422" s="234">
        <f t="shared" si="11"/>
        <v>1285</v>
      </c>
      <c r="C422" s="234">
        <v>1041</v>
      </c>
      <c r="D422" s="234">
        <v>8</v>
      </c>
      <c r="E422" s="234">
        <v>98</v>
      </c>
      <c r="F422" s="234"/>
      <c r="G422" s="234">
        <v>42</v>
      </c>
      <c r="H422" s="234">
        <v>2</v>
      </c>
      <c r="I422" s="234"/>
      <c r="J422" s="234" t="s">
        <v>22</v>
      </c>
      <c r="K422" s="234">
        <v>0</v>
      </c>
      <c r="L422" s="234">
        <v>94</v>
      </c>
      <c r="M422" s="234">
        <v>0</v>
      </c>
    </row>
    <row r="423" spans="1:13" s="230" customFormat="1" ht="9" customHeight="1" x14ac:dyDescent="0.25">
      <c r="A423" s="235" t="s">
        <v>37</v>
      </c>
      <c r="B423" s="236">
        <f t="shared" si="11"/>
        <v>1011</v>
      </c>
      <c r="C423" s="236">
        <v>509</v>
      </c>
      <c r="D423" s="236">
        <v>382</v>
      </c>
      <c r="E423" s="236">
        <v>52</v>
      </c>
      <c r="F423" s="236"/>
      <c r="G423" s="236">
        <v>67</v>
      </c>
      <c r="H423" s="236">
        <v>0</v>
      </c>
      <c r="I423" s="236"/>
      <c r="J423" s="236" t="s">
        <v>22</v>
      </c>
      <c r="K423" s="236">
        <v>1</v>
      </c>
      <c r="L423" s="236">
        <v>0</v>
      </c>
      <c r="M423" s="236">
        <v>0</v>
      </c>
    </row>
    <row r="424" spans="1:13" s="230" customFormat="1" ht="9" customHeight="1" x14ac:dyDescent="0.25">
      <c r="A424" s="230" t="s">
        <v>38</v>
      </c>
      <c r="B424" s="234">
        <f t="shared" si="11"/>
        <v>270</v>
      </c>
      <c r="C424" s="234">
        <v>215</v>
      </c>
      <c r="D424" s="234">
        <v>4</v>
      </c>
      <c r="E424" s="234">
        <v>23</v>
      </c>
      <c r="F424" s="234"/>
      <c r="G424" s="234">
        <v>28</v>
      </c>
      <c r="H424" s="234">
        <v>0</v>
      </c>
      <c r="I424" s="234"/>
      <c r="J424" s="234" t="s">
        <v>22</v>
      </c>
      <c r="K424" s="234">
        <v>0</v>
      </c>
      <c r="L424" s="234">
        <v>0</v>
      </c>
      <c r="M424" s="234">
        <v>0</v>
      </c>
    </row>
    <row r="425" spans="1:13" s="230" customFormat="1" ht="9" customHeight="1" x14ac:dyDescent="0.25">
      <c r="A425" s="230" t="s">
        <v>39</v>
      </c>
      <c r="B425" s="234">
        <f t="shared" si="11"/>
        <v>361</v>
      </c>
      <c r="C425" s="234">
        <v>226</v>
      </c>
      <c r="D425" s="234">
        <v>84</v>
      </c>
      <c r="E425" s="234">
        <v>25</v>
      </c>
      <c r="F425" s="234"/>
      <c r="G425" s="234">
        <v>25</v>
      </c>
      <c r="H425" s="234">
        <v>0</v>
      </c>
      <c r="I425" s="234"/>
      <c r="J425" s="234" t="s">
        <v>22</v>
      </c>
      <c r="K425" s="234">
        <v>1</v>
      </c>
      <c r="L425" s="234">
        <v>0</v>
      </c>
      <c r="M425" s="234">
        <v>0</v>
      </c>
    </row>
    <row r="426" spans="1:13" s="230" customFormat="1" ht="9" customHeight="1" x14ac:dyDescent="0.25">
      <c r="A426" s="230" t="s">
        <v>40</v>
      </c>
      <c r="B426" s="234">
        <f t="shared" si="11"/>
        <v>578</v>
      </c>
      <c r="C426" s="234">
        <v>479</v>
      </c>
      <c r="D426" s="234">
        <v>3</v>
      </c>
      <c r="E426" s="234">
        <v>59</v>
      </c>
      <c r="F426" s="234"/>
      <c r="G426" s="234">
        <v>32</v>
      </c>
      <c r="H426" s="234">
        <v>2</v>
      </c>
      <c r="I426" s="234"/>
      <c r="J426" s="234" t="s">
        <v>22</v>
      </c>
      <c r="K426" s="234">
        <v>0</v>
      </c>
      <c r="L426" s="234">
        <v>0</v>
      </c>
      <c r="M426" s="234">
        <v>3</v>
      </c>
    </row>
    <row r="427" spans="1:13" s="230" customFormat="1" ht="9" customHeight="1" x14ac:dyDescent="0.25">
      <c r="A427" s="235" t="s">
        <v>41</v>
      </c>
      <c r="B427" s="236">
        <f t="shared" si="11"/>
        <v>1385</v>
      </c>
      <c r="C427" s="236">
        <v>778</v>
      </c>
      <c r="D427" s="236">
        <v>513</v>
      </c>
      <c r="E427" s="236">
        <v>27</v>
      </c>
      <c r="F427" s="236"/>
      <c r="G427" s="236">
        <v>61</v>
      </c>
      <c r="H427" s="236">
        <v>3</v>
      </c>
      <c r="I427" s="236"/>
      <c r="J427" s="236" t="s">
        <v>22</v>
      </c>
      <c r="K427" s="236">
        <v>3</v>
      </c>
      <c r="L427" s="236">
        <v>0</v>
      </c>
      <c r="M427" s="236">
        <v>0</v>
      </c>
    </row>
    <row r="428" spans="1:13" s="230" customFormat="1" ht="9" customHeight="1" x14ac:dyDescent="0.25">
      <c r="A428" s="230" t="s">
        <v>42</v>
      </c>
      <c r="B428" s="234">
        <f t="shared" si="11"/>
        <v>1089</v>
      </c>
      <c r="C428" s="234">
        <v>597</v>
      </c>
      <c r="D428" s="234">
        <v>340</v>
      </c>
      <c r="E428" s="234">
        <v>50</v>
      </c>
      <c r="F428" s="234"/>
      <c r="G428" s="234">
        <v>44</v>
      </c>
      <c r="H428" s="234">
        <v>3</v>
      </c>
      <c r="I428" s="234"/>
      <c r="J428" s="234" t="s">
        <v>22</v>
      </c>
      <c r="K428" s="234">
        <v>0</v>
      </c>
      <c r="L428" s="234">
        <v>53</v>
      </c>
      <c r="M428" s="234">
        <v>2</v>
      </c>
    </row>
    <row r="429" spans="1:13" s="230" customFormat="1" ht="9" customHeight="1" x14ac:dyDescent="0.25">
      <c r="A429" s="230" t="s">
        <v>43</v>
      </c>
      <c r="B429" s="234">
        <f t="shared" si="11"/>
        <v>276</v>
      </c>
      <c r="C429" s="234">
        <v>231</v>
      </c>
      <c r="D429" s="234">
        <v>3</v>
      </c>
      <c r="E429" s="234">
        <v>23</v>
      </c>
      <c r="F429" s="234"/>
      <c r="G429" s="234">
        <v>19</v>
      </c>
      <c r="H429" s="234">
        <v>0</v>
      </c>
      <c r="I429" s="234"/>
      <c r="J429" s="234" t="s">
        <v>22</v>
      </c>
      <c r="K429" s="234">
        <v>0</v>
      </c>
      <c r="L429" s="234">
        <v>0</v>
      </c>
      <c r="M429" s="234">
        <v>0</v>
      </c>
    </row>
    <row r="430" spans="1:13" s="230" customFormat="1" ht="9" customHeight="1" x14ac:dyDescent="0.25">
      <c r="A430" s="230" t="s">
        <v>44</v>
      </c>
      <c r="B430" s="234">
        <f t="shared" si="11"/>
        <v>201</v>
      </c>
      <c r="C430" s="234">
        <v>177</v>
      </c>
      <c r="D430" s="234">
        <v>0</v>
      </c>
      <c r="E430" s="234">
        <v>12</v>
      </c>
      <c r="F430" s="234"/>
      <c r="G430" s="234">
        <v>9</v>
      </c>
      <c r="H430" s="234">
        <v>0</v>
      </c>
      <c r="I430" s="234"/>
      <c r="J430" s="234" t="s">
        <v>22</v>
      </c>
      <c r="K430" s="234">
        <v>3</v>
      </c>
      <c r="L430" s="234">
        <v>0</v>
      </c>
      <c r="M430" s="234">
        <v>0</v>
      </c>
    </row>
    <row r="431" spans="1:13" s="230" customFormat="1" ht="9" customHeight="1" x14ac:dyDescent="0.25">
      <c r="A431" s="235" t="s">
        <v>45</v>
      </c>
      <c r="B431" s="236">
        <f t="shared" si="11"/>
        <v>600</v>
      </c>
      <c r="C431" s="236">
        <v>296</v>
      </c>
      <c r="D431" s="236">
        <v>238</v>
      </c>
      <c r="E431" s="236">
        <v>36</v>
      </c>
      <c r="F431" s="236"/>
      <c r="G431" s="236">
        <v>29</v>
      </c>
      <c r="H431" s="236">
        <v>1</v>
      </c>
      <c r="I431" s="236"/>
      <c r="J431" s="236" t="s">
        <v>22</v>
      </c>
      <c r="K431" s="236">
        <v>0</v>
      </c>
      <c r="L431" s="236">
        <v>0</v>
      </c>
      <c r="M431" s="236">
        <v>0</v>
      </c>
    </row>
    <row r="432" spans="1:13" s="230" customFormat="1" ht="9" customHeight="1" x14ac:dyDescent="0.25">
      <c r="A432" s="230" t="s">
        <v>46</v>
      </c>
      <c r="B432" s="234">
        <f t="shared" si="11"/>
        <v>480</v>
      </c>
      <c r="C432" s="234">
        <v>256</v>
      </c>
      <c r="D432" s="234">
        <v>132</v>
      </c>
      <c r="E432" s="234">
        <v>48</v>
      </c>
      <c r="F432" s="234"/>
      <c r="G432" s="234">
        <v>38</v>
      </c>
      <c r="H432" s="234">
        <v>1</v>
      </c>
      <c r="I432" s="234"/>
      <c r="J432" s="234" t="s">
        <v>22</v>
      </c>
      <c r="K432" s="234">
        <v>2</v>
      </c>
      <c r="L432" s="234">
        <v>0</v>
      </c>
      <c r="M432" s="234">
        <v>3</v>
      </c>
    </row>
    <row r="433" spans="1:13" s="230" customFormat="1" ht="9" customHeight="1" x14ac:dyDescent="0.25">
      <c r="A433" s="230" t="s">
        <v>47</v>
      </c>
      <c r="B433" s="234">
        <f t="shared" si="11"/>
        <v>393</v>
      </c>
      <c r="C433" s="234">
        <v>273</v>
      </c>
      <c r="D433" s="234">
        <v>5</v>
      </c>
      <c r="E433" s="234">
        <v>70</v>
      </c>
      <c r="F433" s="234"/>
      <c r="G433" s="234">
        <v>40</v>
      </c>
      <c r="H433" s="234">
        <v>0</v>
      </c>
      <c r="I433" s="234"/>
      <c r="J433" s="234" t="s">
        <v>22</v>
      </c>
      <c r="K433" s="234">
        <v>2</v>
      </c>
      <c r="L433" s="234">
        <v>3</v>
      </c>
      <c r="M433" s="234">
        <v>0</v>
      </c>
    </row>
    <row r="434" spans="1:13" s="230" customFormat="1" ht="9" customHeight="1" x14ac:dyDescent="0.25">
      <c r="A434" s="230" t="s">
        <v>48</v>
      </c>
      <c r="B434" s="234">
        <f t="shared" si="11"/>
        <v>655</v>
      </c>
      <c r="C434" s="234">
        <v>578</v>
      </c>
      <c r="D434" s="234">
        <v>0</v>
      </c>
      <c r="E434" s="234">
        <v>34</v>
      </c>
      <c r="F434" s="234"/>
      <c r="G434" s="234">
        <v>26</v>
      </c>
      <c r="H434" s="234">
        <v>10</v>
      </c>
      <c r="I434" s="234"/>
      <c r="J434" s="234" t="s">
        <v>22</v>
      </c>
      <c r="K434" s="234">
        <v>1</v>
      </c>
      <c r="L434" s="234">
        <v>6</v>
      </c>
      <c r="M434" s="234">
        <v>0</v>
      </c>
    </row>
    <row r="435" spans="1:13" s="230" customFormat="1" ht="9" customHeight="1" x14ac:dyDescent="0.25">
      <c r="A435" s="235" t="s">
        <v>49</v>
      </c>
      <c r="B435" s="236">
        <f t="shared" si="11"/>
        <v>526</v>
      </c>
      <c r="C435" s="236">
        <v>320</v>
      </c>
      <c r="D435" s="236">
        <v>116</v>
      </c>
      <c r="E435" s="236">
        <v>48</v>
      </c>
      <c r="F435" s="236"/>
      <c r="G435" s="236">
        <v>33</v>
      </c>
      <c r="H435" s="236">
        <v>6</v>
      </c>
      <c r="I435" s="236"/>
      <c r="J435" s="236" t="s">
        <v>22</v>
      </c>
      <c r="K435" s="236">
        <v>3</v>
      </c>
      <c r="L435" s="236">
        <v>0</v>
      </c>
      <c r="M435" s="236">
        <v>0</v>
      </c>
    </row>
    <row r="436" spans="1:13" s="230" customFormat="1" ht="9" customHeight="1" x14ac:dyDescent="0.25">
      <c r="A436" s="230" t="s">
        <v>50</v>
      </c>
      <c r="B436" s="234">
        <f t="shared" si="11"/>
        <v>201</v>
      </c>
      <c r="C436" s="234">
        <v>177</v>
      </c>
      <c r="D436" s="234">
        <v>3</v>
      </c>
      <c r="E436" s="234">
        <v>17</v>
      </c>
      <c r="F436" s="234"/>
      <c r="G436" s="234">
        <v>4</v>
      </c>
      <c r="H436" s="234">
        <v>0</v>
      </c>
      <c r="I436" s="234"/>
      <c r="J436" s="234" t="s">
        <v>22</v>
      </c>
      <c r="K436" s="234">
        <v>0</v>
      </c>
      <c r="L436" s="234">
        <v>0</v>
      </c>
      <c r="M436" s="234">
        <v>0</v>
      </c>
    </row>
    <row r="437" spans="1:13" s="230" customFormat="1" ht="9" customHeight="1" x14ac:dyDescent="0.25">
      <c r="A437" s="230" t="s">
        <v>51</v>
      </c>
      <c r="B437" s="234">
        <f t="shared" si="11"/>
        <v>1633</v>
      </c>
      <c r="C437" s="234">
        <v>800</v>
      </c>
      <c r="D437" s="234">
        <v>601</v>
      </c>
      <c r="E437" s="234">
        <v>121</v>
      </c>
      <c r="F437" s="234"/>
      <c r="G437" s="234">
        <v>84</v>
      </c>
      <c r="H437" s="234">
        <v>22</v>
      </c>
      <c r="I437" s="234"/>
      <c r="J437" s="234" t="s">
        <v>22</v>
      </c>
      <c r="K437" s="234">
        <v>4</v>
      </c>
      <c r="L437" s="234">
        <v>0</v>
      </c>
      <c r="M437" s="234">
        <v>1</v>
      </c>
    </row>
    <row r="438" spans="1:13" s="230" customFormat="1" ht="9" customHeight="1" x14ac:dyDescent="0.25">
      <c r="A438" s="230" t="s">
        <v>52</v>
      </c>
      <c r="B438" s="234">
        <f t="shared" si="11"/>
        <v>314</v>
      </c>
      <c r="C438" s="234">
        <v>168</v>
      </c>
      <c r="D438" s="234">
        <v>98</v>
      </c>
      <c r="E438" s="234">
        <v>31</v>
      </c>
      <c r="F438" s="234"/>
      <c r="G438" s="234">
        <v>16</v>
      </c>
      <c r="H438" s="234">
        <v>0</v>
      </c>
      <c r="I438" s="234"/>
      <c r="J438" s="234" t="s">
        <v>22</v>
      </c>
      <c r="K438" s="234">
        <v>1</v>
      </c>
      <c r="L438" s="234">
        <v>0</v>
      </c>
      <c r="M438" s="234">
        <v>0</v>
      </c>
    </row>
    <row r="439" spans="1:13" s="230" customFormat="1" ht="9" customHeight="1" x14ac:dyDescent="0.25">
      <c r="A439" s="235" t="s">
        <v>53</v>
      </c>
      <c r="B439" s="236">
        <f t="shared" si="11"/>
        <v>457</v>
      </c>
      <c r="C439" s="236">
        <v>217</v>
      </c>
      <c r="D439" s="236">
        <v>169</v>
      </c>
      <c r="E439" s="236">
        <v>35</v>
      </c>
      <c r="F439" s="236"/>
      <c r="G439" s="236">
        <v>36</v>
      </c>
      <c r="H439" s="236">
        <v>0</v>
      </c>
      <c r="I439" s="236"/>
      <c r="J439" s="236" t="s">
        <v>22</v>
      </c>
      <c r="K439" s="236">
        <v>0</v>
      </c>
      <c r="L439" s="236">
        <v>0</v>
      </c>
      <c r="M439" s="236">
        <v>0</v>
      </c>
    </row>
    <row r="440" spans="1:13" s="230" customFormat="1" ht="8.25" customHeight="1" x14ac:dyDescent="0.25">
      <c r="B440" s="234"/>
      <c r="C440" s="234"/>
      <c r="D440" s="234"/>
      <c r="E440" s="234"/>
      <c r="F440" s="234"/>
      <c r="G440" s="234"/>
      <c r="H440" s="234"/>
      <c r="I440" s="234"/>
      <c r="J440" s="234"/>
      <c r="K440" s="234"/>
      <c r="L440" s="234"/>
      <c r="M440" s="234"/>
    </row>
    <row r="441" spans="1:13" s="230" customFormat="1" ht="9" customHeight="1" x14ac:dyDescent="0.25">
      <c r="A441" s="228">
        <v>2007</v>
      </c>
      <c r="B441" s="244"/>
      <c r="C441" s="244"/>
      <c r="D441" s="244"/>
      <c r="E441" s="244"/>
      <c r="F441" s="244"/>
      <c r="G441" s="229"/>
      <c r="H441" s="229"/>
      <c r="I441" s="229"/>
      <c r="J441" s="229"/>
      <c r="K441" s="229"/>
      <c r="M441" s="244"/>
    </row>
    <row r="442" spans="1:13" s="230" customFormat="1" ht="9" customHeight="1" x14ac:dyDescent="0.25">
      <c r="A442" s="231" t="s">
        <v>21</v>
      </c>
      <c r="B442" s="232">
        <f>SUM(B444:B475)</f>
        <v>19939</v>
      </c>
      <c r="C442" s="232">
        <f>SUM(C444:C475)</f>
        <v>12857</v>
      </c>
      <c r="D442" s="232">
        <f>SUM(D444:D475)</f>
        <v>4068</v>
      </c>
      <c r="E442" s="232">
        <f>SUM(E444:E475)</f>
        <v>1482</v>
      </c>
      <c r="F442" s="232"/>
      <c r="G442" s="232">
        <f>SUM(G444:G475)</f>
        <v>1198</v>
      </c>
      <c r="H442" s="232">
        <f>SUM(H444:H475)</f>
        <v>58</v>
      </c>
      <c r="I442" s="245"/>
      <c r="J442" s="232" t="s">
        <v>22</v>
      </c>
      <c r="K442" s="232">
        <f>SUM(K444:K475)</f>
        <v>37</v>
      </c>
      <c r="L442" s="232">
        <f>SUM(L444:L475)</f>
        <v>224</v>
      </c>
      <c r="M442" s="232">
        <f>SUM(M444:M475)</f>
        <v>15</v>
      </c>
    </row>
    <row r="443" spans="1:13" s="230" customFormat="1" ht="3.95" customHeight="1" x14ac:dyDescent="0.25">
      <c r="A443" s="231"/>
      <c r="B443" s="232"/>
      <c r="C443" s="232"/>
      <c r="D443" s="232"/>
      <c r="E443" s="232"/>
      <c r="F443" s="232"/>
      <c r="G443" s="232"/>
      <c r="H443" s="232"/>
      <c r="I443" s="232"/>
      <c r="J443" s="232"/>
      <c r="K443" s="232"/>
      <c r="L443" s="232"/>
      <c r="M443" s="232"/>
    </row>
    <row r="444" spans="1:13" s="230" customFormat="1" ht="9" customHeight="1" x14ac:dyDescent="0.25">
      <c r="A444" s="230" t="s">
        <v>23</v>
      </c>
      <c r="B444" s="234">
        <f t="shared" ref="B444:B475" si="12">SUM(C444:M444)</f>
        <v>120</v>
      </c>
      <c r="C444" s="234">
        <v>94</v>
      </c>
      <c r="D444" s="234">
        <v>0</v>
      </c>
      <c r="E444" s="234">
        <v>12</v>
      </c>
      <c r="F444" s="234"/>
      <c r="G444" s="234">
        <v>12</v>
      </c>
      <c r="H444" s="234">
        <v>0</v>
      </c>
      <c r="I444" s="234"/>
      <c r="J444" s="234" t="s">
        <v>22</v>
      </c>
      <c r="K444" s="234">
        <v>0</v>
      </c>
      <c r="L444" s="234">
        <v>1</v>
      </c>
      <c r="M444" s="234">
        <v>1</v>
      </c>
    </row>
    <row r="445" spans="1:13" s="230" customFormat="1" ht="9" customHeight="1" x14ac:dyDescent="0.25">
      <c r="A445" s="230" t="s">
        <v>24</v>
      </c>
      <c r="B445" s="234">
        <f t="shared" si="12"/>
        <v>265</v>
      </c>
      <c r="C445" s="234">
        <v>177</v>
      </c>
      <c r="D445" s="234">
        <v>12</v>
      </c>
      <c r="E445" s="234">
        <v>40</v>
      </c>
      <c r="F445" s="234"/>
      <c r="G445" s="234">
        <v>13</v>
      </c>
      <c r="H445" s="234">
        <v>0</v>
      </c>
      <c r="I445" s="234"/>
      <c r="J445" s="234" t="s">
        <v>22</v>
      </c>
      <c r="K445" s="234">
        <v>1</v>
      </c>
      <c r="L445" s="234">
        <v>22</v>
      </c>
      <c r="M445" s="234">
        <v>0</v>
      </c>
    </row>
    <row r="446" spans="1:13" s="230" customFormat="1" ht="9" customHeight="1" x14ac:dyDescent="0.25">
      <c r="A446" s="230" t="s">
        <v>25</v>
      </c>
      <c r="B446" s="234">
        <f t="shared" si="12"/>
        <v>137</v>
      </c>
      <c r="C446" s="234">
        <v>81</v>
      </c>
      <c r="D446" s="234">
        <v>0</v>
      </c>
      <c r="E446" s="234">
        <v>23</v>
      </c>
      <c r="F446" s="234"/>
      <c r="G446" s="234">
        <v>30</v>
      </c>
      <c r="H446" s="234">
        <v>0</v>
      </c>
      <c r="I446" s="234"/>
      <c r="J446" s="234" t="s">
        <v>22</v>
      </c>
      <c r="K446" s="234">
        <v>3</v>
      </c>
      <c r="L446" s="234">
        <v>0</v>
      </c>
      <c r="M446" s="234">
        <v>0</v>
      </c>
    </row>
    <row r="447" spans="1:13" s="230" customFormat="1" ht="9" customHeight="1" x14ac:dyDescent="0.25">
      <c r="A447" s="235" t="s">
        <v>26</v>
      </c>
      <c r="B447" s="236">
        <f t="shared" si="12"/>
        <v>227</v>
      </c>
      <c r="C447" s="236">
        <v>152</v>
      </c>
      <c r="D447" s="236">
        <v>48</v>
      </c>
      <c r="E447" s="236">
        <v>12</v>
      </c>
      <c r="F447" s="236"/>
      <c r="G447" s="236">
        <v>11</v>
      </c>
      <c r="H447" s="236">
        <v>1</v>
      </c>
      <c r="I447" s="236"/>
      <c r="J447" s="236" t="s">
        <v>22</v>
      </c>
      <c r="K447" s="236">
        <v>3</v>
      </c>
      <c r="L447" s="236">
        <v>0</v>
      </c>
      <c r="M447" s="236">
        <v>0</v>
      </c>
    </row>
    <row r="448" spans="1:13" s="230" customFormat="1" ht="9" customHeight="1" x14ac:dyDescent="0.25">
      <c r="A448" s="230" t="s">
        <v>27</v>
      </c>
      <c r="B448" s="234">
        <f t="shared" si="12"/>
        <v>385</v>
      </c>
      <c r="C448" s="234">
        <v>202</v>
      </c>
      <c r="D448" s="234">
        <v>91</v>
      </c>
      <c r="E448" s="234">
        <v>57</v>
      </c>
      <c r="F448" s="234"/>
      <c r="G448" s="234">
        <v>32</v>
      </c>
      <c r="H448" s="234">
        <v>0</v>
      </c>
      <c r="I448" s="234"/>
      <c r="J448" s="234" t="s">
        <v>22</v>
      </c>
      <c r="K448" s="234">
        <v>0</v>
      </c>
      <c r="L448" s="234">
        <v>0</v>
      </c>
      <c r="M448" s="234">
        <v>3</v>
      </c>
    </row>
    <row r="449" spans="1:13" s="230" customFormat="1" ht="9" customHeight="1" x14ac:dyDescent="0.25">
      <c r="A449" s="230" t="s">
        <v>28</v>
      </c>
      <c r="B449" s="234">
        <f t="shared" si="12"/>
        <v>154</v>
      </c>
      <c r="C449" s="234">
        <v>134</v>
      </c>
      <c r="D449" s="234">
        <v>0</v>
      </c>
      <c r="E449" s="234">
        <v>14</v>
      </c>
      <c r="F449" s="234"/>
      <c r="G449" s="234">
        <v>5</v>
      </c>
      <c r="H449" s="234">
        <v>0</v>
      </c>
      <c r="I449" s="234"/>
      <c r="J449" s="234" t="s">
        <v>22</v>
      </c>
      <c r="K449" s="234">
        <v>1</v>
      </c>
      <c r="L449" s="234">
        <v>0</v>
      </c>
      <c r="M449" s="234">
        <v>0</v>
      </c>
    </row>
    <row r="450" spans="1:13" s="230" customFormat="1" ht="9" customHeight="1" x14ac:dyDescent="0.25">
      <c r="A450" s="230" t="s">
        <v>29</v>
      </c>
      <c r="B450" s="234">
        <f t="shared" si="12"/>
        <v>1618</v>
      </c>
      <c r="C450" s="234">
        <v>929</v>
      </c>
      <c r="D450" s="234">
        <v>593</v>
      </c>
      <c r="E450" s="234">
        <v>34</v>
      </c>
      <c r="F450" s="234"/>
      <c r="G450" s="234">
        <v>48</v>
      </c>
      <c r="H450" s="234">
        <v>1</v>
      </c>
      <c r="I450" s="234"/>
      <c r="J450" s="234" t="s">
        <v>22</v>
      </c>
      <c r="K450" s="234">
        <v>1</v>
      </c>
      <c r="L450" s="234">
        <v>12</v>
      </c>
      <c r="M450" s="234">
        <v>0</v>
      </c>
    </row>
    <row r="451" spans="1:13" s="230" customFormat="1" ht="9" customHeight="1" x14ac:dyDescent="0.25">
      <c r="A451" s="235" t="s">
        <v>30</v>
      </c>
      <c r="B451" s="236">
        <f t="shared" si="12"/>
        <v>557</v>
      </c>
      <c r="C451" s="236">
        <v>280</v>
      </c>
      <c r="D451" s="236">
        <v>162</v>
      </c>
      <c r="E451" s="236">
        <v>61</v>
      </c>
      <c r="F451" s="236"/>
      <c r="G451" s="236">
        <v>53</v>
      </c>
      <c r="H451" s="236">
        <v>1</v>
      </c>
      <c r="I451" s="236"/>
      <c r="J451" s="236" t="s">
        <v>22</v>
      </c>
      <c r="K451" s="236">
        <v>0</v>
      </c>
      <c r="L451" s="236">
        <v>0</v>
      </c>
      <c r="M451" s="236">
        <v>0</v>
      </c>
    </row>
    <row r="452" spans="1:13" s="230" customFormat="1" ht="9" customHeight="1" x14ac:dyDescent="0.25">
      <c r="A452" s="405" t="s">
        <v>63</v>
      </c>
      <c r="B452" s="234">
        <f t="shared" si="12"/>
        <v>564</v>
      </c>
      <c r="C452" s="234">
        <v>336</v>
      </c>
      <c r="D452" s="234">
        <v>19</v>
      </c>
      <c r="E452" s="234">
        <v>84</v>
      </c>
      <c r="F452" s="234"/>
      <c r="G452" s="234">
        <v>105</v>
      </c>
      <c r="H452" s="234">
        <v>3</v>
      </c>
      <c r="I452" s="234"/>
      <c r="J452" s="234" t="s">
        <v>22</v>
      </c>
      <c r="K452" s="234">
        <v>3</v>
      </c>
      <c r="L452" s="234">
        <v>14</v>
      </c>
      <c r="M452" s="234">
        <v>0</v>
      </c>
    </row>
    <row r="453" spans="1:13" s="230" customFormat="1" ht="9" customHeight="1" x14ac:dyDescent="0.25">
      <c r="A453" s="230" t="s">
        <v>31</v>
      </c>
      <c r="B453" s="234">
        <f t="shared" si="12"/>
        <v>476</v>
      </c>
      <c r="C453" s="234">
        <v>230</v>
      </c>
      <c r="D453" s="234">
        <v>169</v>
      </c>
      <c r="E453" s="234">
        <v>35</v>
      </c>
      <c r="F453" s="234"/>
      <c r="G453" s="234">
        <v>42</v>
      </c>
      <c r="H453" s="234">
        <v>0</v>
      </c>
      <c r="I453" s="234"/>
      <c r="J453" s="234" t="s">
        <v>22</v>
      </c>
      <c r="K453" s="234">
        <v>0</v>
      </c>
      <c r="L453" s="234">
        <v>0</v>
      </c>
      <c r="M453" s="234">
        <v>0</v>
      </c>
    </row>
    <row r="454" spans="1:13" s="230" customFormat="1" ht="9" customHeight="1" x14ac:dyDescent="0.25">
      <c r="A454" s="230" t="s">
        <v>32</v>
      </c>
      <c r="B454" s="234">
        <f t="shared" si="12"/>
        <v>661</v>
      </c>
      <c r="C454" s="234">
        <v>554</v>
      </c>
      <c r="D454" s="234">
        <v>11</v>
      </c>
      <c r="E454" s="234">
        <v>54</v>
      </c>
      <c r="F454" s="234"/>
      <c r="G454" s="234">
        <v>41</v>
      </c>
      <c r="H454" s="234">
        <v>1</v>
      </c>
      <c r="I454" s="234"/>
      <c r="J454" s="234" t="s">
        <v>22</v>
      </c>
      <c r="K454" s="234">
        <v>0</v>
      </c>
      <c r="L454" s="234">
        <v>0</v>
      </c>
      <c r="M454" s="234">
        <v>0</v>
      </c>
    </row>
    <row r="455" spans="1:13" s="230" customFormat="1" ht="9" customHeight="1" x14ac:dyDescent="0.25">
      <c r="A455" s="235" t="s">
        <v>33</v>
      </c>
      <c r="B455" s="236">
        <f t="shared" si="12"/>
        <v>1089</v>
      </c>
      <c r="C455" s="236">
        <v>996</v>
      </c>
      <c r="D455" s="236">
        <v>16</v>
      </c>
      <c r="E455" s="236">
        <v>25</v>
      </c>
      <c r="F455" s="236"/>
      <c r="G455" s="236">
        <v>50</v>
      </c>
      <c r="H455" s="236">
        <v>0</v>
      </c>
      <c r="I455" s="236"/>
      <c r="J455" s="236" t="s">
        <v>22</v>
      </c>
      <c r="K455" s="236">
        <v>2</v>
      </c>
      <c r="L455" s="236">
        <v>0</v>
      </c>
      <c r="M455" s="236">
        <v>0</v>
      </c>
    </row>
    <row r="456" spans="1:13" s="230" customFormat="1" ht="9" customHeight="1" x14ac:dyDescent="0.25">
      <c r="A456" s="230" t="s">
        <v>34</v>
      </c>
      <c r="B456" s="234">
        <f t="shared" si="12"/>
        <v>793</v>
      </c>
      <c r="C456" s="234">
        <v>494</v>
      </c>
      <c r="D456" s="234">
        <v>237</v>
      </c>
      <c r="E456" s="234">
        <v>24</v>
      </c>
      <c r="F456" s="234"/>
      <c r="G456" s="234">
        <v>36</v>
      </c>
      <c r="H456" s="234">
        <v>2</v>
      </c>
      <c r="I456" s="234"/>
      <c r="J456" s="234" t="s">
        <v>22</v>
      </c>
      <c r="K456" s="234">
        <v>0</v>
      </c>
      <c r="L456" s="234">
        <v>0</v>
      </c>
      <c r="M456" s="234">
        <v>0</v>
      </c>
    </row>
    <row r="457" spans="1:13" s="230" customFormat="1" ht="9" customHeight="1" x14ac:dyDescent="0.25">
      <c r="A457" s="230" t="s">
        <v>35</v>
      </c>
      <c r="B457" s="234">
        <f t="shared" si="12"/>
        <v>1021</v>
      </c>
      <c r="C457" s="234">
        <v>791</v>
      </c>
      <c r="D457" s="234">
        <v>9</v>
      </c>
      <c r="E457" s="234">
        <v>131</v>
      </c>
      <c r="F457" s="234"/>
      <c r="G457" s="234">
        <v>86</v>
      </c>
      <c r="H457" s="234">
        <v>1</v>
      </c>
      <c r="I457" s="234"/>
      <c r="J457" s="234" t="s">
        <v>22</v>
      </c>
      <c r="K457" s="234">
        <v>1</v>
      </c>
      <c r="L457" s="234">
        <v>0</v>
      </c>
      <c r="M457" s="234">
        <v>2</v>
      </c>
    </row>
    <row r="458" spans="1:13" s="230" customFormat="1" ht="9" customHeight="1" x14ac:dyDescent="0.25">
      <c r="A458" s="230" t="s">
        <v>36</v>
      </c>
      <c r="B458" s="234">
        <f t="shared" si="12"/>
        <v>1288</v>
      </c>
      <c r="C458" s="234">
        <v>1041</v>
      </c>
      <c r="D458" s="234">
        <v>8</v>
      </c>
      <c r="E458" s="234">
        <v>100</v>
      </c>
      <c r="F458" s="234"/>
      <c r="G458" s="234">
        <v>43</v>
      </c>
      <c r="H458" s="234">
        <v>2</v>
      </c>
      <c r="I458" s="234"/>
      <c r="J458" s="234" t="s">
        <v>22</v>
      </c>
      <c r="K458" s="234">
        <v>0</v>
      </c>
      <c r="L458" s="234">
        <v>94</v>
      </c>
      <c r="M458" s="234">
        <v>0</v>
      </c>
    </row>
    <row r="459" spans="1:13" s="230" customFormat="1" ht="9" customHeight="1" x14ac:dyDescent="0.25">
      <c r="A459" s="235" t="s">
        <v>37</v>
      </c>
      <c r="B459" s="236">
        <f t="shared" si="12"/>
        <v>1018</v>
      </c>
      <c r="C459" s="236">
        <v>509</v>
      </c>
      <c r="D459" s="236">
        <v>383</v>
      </c>
      <c r="E459" s="236">
        <v>58</v>
      </c>
      <c r="F459" s="236"/>
      <c r="G459" s="236">
        <v>67</v>
      </c>
      <c r="H459" s="236">
        <v>0</v>
      </c>
      <c r="I459" s="236"/>
      <c r="J459" s="236" t="s">
        <v>22</v>
      </c>
      <c r="K459" s="236">
        <v>1</v>
      </c>
      <c r="L459" s="236">
        <v>0</v>
      </c>
      <c r="M459" s="236">
        <v>0</v>
      </c>
    </row>
    <row r="460" spans="1:13" s="230" customFormat="1" ht="9" customHeight="1" x14ac:dyDescent="0.25">
      <c r="A460" s="230" t="s">
        <v>38</v>
      </c>
      <c r="B460" s="234">
        <f t="shared" si="12"/>
        <v>277</v>
      </c>
      <c r="C460" s="234">
        <v>218</v>
      </c>
      <c r="D460" s="234">
        <v>4</v>
      </c>
      <c r="E460" s="234">
        <v>27</v>
      </c>
      <c r="F460" s="234"/>
      <c r="G460" s="234">
        <v>28</v>
      </c>
      <c r="H460" s="234">
        <v>0</v>
      </c>
      <c r="I460" s="234"/>
      <c r="J460" s="234" t="s">
        <v>22</v>
      </c>
      <c r="K460" s="234">
        <v>0</v>
      </c>
      <c r="L460" s="234">
        <v>0</v>
      </c>
      <c r="M460" s="234">
        <v>0</v>
      </c>
    </row>
    <row r="461" spans="1:13" s="230" customFormat="1" ht="9" customHeight="1" x14ac:dyDescent="0.25">
      <c r="A461" s="230" t="s">
        <v>39</v>
      </c>
      <c r="B461" s="234">
        <f t="shared" si="12"/>
        <v>371</v>
      </c>
      <c r="C461" s="234">
        <v>230</v>
      </c>
      <c r="D461" s="234">
        <v>86</v>
      </c>
      <c r="E461" s="234">
        <v>29</v>
      </c>
      <c r="F461" s="234"/>
      <c r="G461" s="234">
        <v>25</v>
      </c>
      <c r="H461" s="234">
        <v>0</v>
      </c>
      <c r="I461" s="234"/>
      <c r="J461" s="234" t="s">
        <v>22</v>
      </c>
      <c r="K461" s="234">
        <v>1</v>
      </c>
      <c r="L461" s="234">
        <v>0</v>
      </c>
      <c r="M461" s="234">
        <v>0</v>
      </c>
    </row>
    <row r="462" spans="1:13" s="230" customFormat="1" ht="9" customHeight="1" x14ac:dyDescent="0.25">
      <c r="A462" s="230" t="s">
        <v>40</v>
      </c>
      <c r="B462" s="234">
        <f t="shared" si="12"/>
        <v>586</v>
      </c>
      <c r="C462" s="234">
        <v>480</v>
      </c>
      <c r="D462" s="234">
        <v>3</v>
      </c>
      <c r="E462" s="234">
        <v>66</v>
      </c>
      <c r="F462" s="234"/>
      <c r="G462" s="234">
        <v>32</v>
      </c>
      <c r="H462" s="234">
        <v>2</v>
      </c>
      <c r="I462" s="234"/>
      <c r="J462" s="234" t="s">
        <v>22</v>
      </c>
      <c r="K462" s="234">
        <v>0</v>
      </c>
      <c r="L462" s="234">
        <v>0</v>
      </c>
      <c r="M462" s="234">
        <v>3</v>
      </c>
    </row>
    <row r="463" spans="1:13" s="230" customFormat="1" ht="9" customHeight="1" x14ac:dyDescent="0.25">
      <c r="A463" s="235" t="s">
        <v>41</v>
      </c>
      <c r="B463" s="236">
        <f t="shared" si="12"/>
        <v>1414</v>
      </c>
      <c r="C463" s="236">
        <v>799</v>
      </c>
      <c r="D463" s="236">
        <v>520</v>
      </c>
      <c r="E463" s="236">
        <v>28</v>
      </c>
      <c r="F463" s="236"/>
      <c r="G463" s="236">
        <v>61</v>
      </c>
      <c r="H463" s="236">
        <v>3</v>
      </c>
      <c r="I463" s="236"/>
      <c r="J463" s="236" t="s">
        <v>22</v>
      </c>
      <c r="K463" s="236">
        <v>3</v>
      </c>
      <c r="L463" s="236">
        <v>0</v>
      </c>
      <c r="M463" s="236">
        <v>0</v>
      </c>
    </row>
    <row r="464" spans="1:13" s="230" customFormat="1" ht="9" customHeight="1" x14ac:dyDescent="0.25">
      <c r="A464" s="230" t="s">
        <v>42</v>
      </c>
      <c r="B464" s="234">
        <f t="shared" si="12"/>
        <v>1106</v>
      </c>
      <c r="C464" s="234">
        <v>615</v>
      </c>
      <c r="D464" s="234">
        <v>339</v>
      </c>
      <c r="E464" s="234">
        <v>51</v>
      </c>
      <c r="F464" s="234"/>
      <c r="G464" s="234">
        <v>44</v>
      </c>
      <c r="H464" s="234">
        <v>3</v>
      </c>
      <c r="I464" s="234"/>
      <c r="J464" s="234" t="s">
        <v>22</v>
      </c>
      <c r="K464" s="234">
        <v>0</v>
      </c>
      <c r="L464" s="234">
        <v>52</v>
      </c>
      <c r="M464" s="234">
        <v>2</v>
      </c>
    </row>
    <row r="465" spans="1:13" s="230" customFormat="1" ht="9" customHeight="1" x14ac:dyDescent="0.25">
      <c r="A465" s="230" t="s">
        <v>43</v>
      </c>
      <c r="B465" s="234">
        <f t="shared" si="12"/>
        <v>279</v>
      </c>
      <c r="C465" s="234">
        <v>233</v>
      </c>
      <c r="D465" s="234">
        <v>4</v>
      </c>
      <c r="E465" s="234">
        <v>23</v>
      </c>
      <c r="F465" s="234"/>
      <c r="G465" s="234">
        <v>19</v>
      </c>
      <c r="H465" s="234">
        <v>0</v>
      </c>
      <c r="I465" s="234"/>
      <c r="J465" s="234" t="s">
        <v>22</v>
      </c>
      <c r="K465" s="234">
        <v>0</v>
      </c>
      <c r="L465" s="234">
        <v>0</v>
      </c>
      <c r="M465" s="234">
        <v>0</v>
      </c>
    </row>
    <row r="466" spans="1:13" s="230" customFormat="1" ht="9" customHeight="1" x14ac:dyDescent="0.25">
      <c r="A466" s="230" t="s">
        <v>44</v>
      </c>
      <c r="B466" s="234">
        <f t="shared" si="12"/>
        <v>215</v>
      </c>
      <c r="C466" s="234">
        <v>188</v>
      </c>
      <c r="D466" s="234">
        <v>0</v>
      </c>
      <c r="E466" s="234">
        <v>15</v>
      </c>
      <c r="F466" s="234"/>
      <c r="G466" s="234">
        <v>9</v>
      </c>
      <c r="H466" s="234">
        <v>0</v>
      </c>
      <c r="I466" s="234"/>
      <c r="J466" s="234" t="s">
        <v>22</v>
      </c>
      <c r="K466" s="234">
        <v>3</v>
      </c>
      <c r="L466" s="234">
        <v>0</v>
      </c>
      <c r="M466" s="234">
        <v>0</v>
      </c>
    </row>
    <row r="467" spans="1:13" s="230" customFormat="1" ht="9" customHeight="1" x14ac:dyDescent="0.25">
      <c r="A467" s="235" t="s">
        <v>45</v>
      </c>
      <c r="B467" s="236">
        <f t="shared" si="12"/>
        <v>607</v>
      </c>
      <c r="C467" s="236">
        <v>299</v>
      </c>
      <c r="D467" s="236">
        <v>238</v>
      </c>
      <c r="E467" s="236">
        <v>40</v>
      </c>
      <c r="F467" s="236"/>
      <c r="G467" s="236">
        <v>29</v>
      </c>
      <c r="H467" s="236">
        <v>1</v>
      </c>
      <c r="I467" s="236"/>
      <c r="J467" s="236" t="s">
        <v>22</v>
      </c>
      <c r="K467" s="236">
        <v>0</v>
      </c>
      <c r="L467" s="236">
        <v>0</v>
      </c>
      <c r="M467" s="236">
        <v>0</v>
      </c>
    </row>
    <row r="468" spans="1:13" s="230" customFormat="1" ht="9" customHeight="1" x14ac:dyDescent="0.25">
      <c r="A468" s="230" t="s">
        <v>46</v>
      </c>
      <c r="B468" s="234">
        <f t="shared" si="12"/>
        <v>484</v>
      </c>
      <c r="C468" s="234">
        <v>257</v>
      </c>
      <c r="D468" s="234">
        <v>130</v>
      </c>
      <c r="E468" s="234">
        <v>53</v>
      </c>
      <c r="F468" s="234"/>
      <c r="G468" s="234">
        <v>38</v>
      </c>
      <c r="H468" s="234">
        <v>1</v>
      </c>
      <c r="I468" s="234"/>
      <c r="J468" s="234" t="s">
        <v>22</v>
      </c>
      <c r="K468" s="234">
        <v>2</v>
      </c>
      <c r="L468" s="234">
        <v>0</v>
      </c>
      <c r="M468" s="234">
        <v>3</v>
      </c>
    </row>
    <row r="469" spans="1:13" s="230" customFormat="1" ht="9" customHeight="1" x14ac:dyDescent="0.25">
      <c r="A469" s="230" t="s">
        <v>47</v>
      </c>
      <c r="B469" s="234">
        <f t="shared" si="12"/>
        <v>418</v>
      </c>
      <c r="C469" s="234">
        <v>271</v>
      </c>
      <c r="D469" s="234">
        <v>5</v>
      </c>
      <c r="E469" s="234">
        <v>78</v>
      </c>
      <c r="F469" s="234"/>
      <c r="G469" s="234">
        <v>40</v>
      </c>
      <c r="H469" s="234">
        <v>0</v>
      </c>
      <c r="I469" s="234"/>
      <c r="J469" s="234" t="s">
        <v>22</v>
      </c>
      <c r="K469" s="234">
        <v>2</v>
      </c>
      <c r="L469" s="234">
        <v>22</v>
      </c>
      <c r="M469" s="234">
        <v>0</v>
      </c>
    </row>
    <row r="470" spans="1:13" s="230" customFormat="1" ht="9" customHeight="1" x14ac:dyDescent="0.25">
      <c r="A470" s="230" t="s">
        <v>48</v>
      </c>
      <c r="B470" s="234">
        <f t="shared" si="12"/>
        <v>652</v>
      </c>
      <c r="C470" s="234">
        <v>574</v>
      </c>
      <c r="D470" s="234">
        <v>0</v>
      </c>
      <c r="E470" s="234">
        <v>35</v>
      </c>
      <c r="F470" s="234"/>
      <c r="G470" s="234">
        <v>26</v>
      </c>
      <c r="H470" s="234">
        <v>9</v>
      </c>
      <c r="I470" s="234"/>
      <c r="J470" s="234" t="s">
        <v>22</v>
      </c>
      <c r="K470" s="234">
        <v>1</v>
      </c>
      <c r="L470" s="234">
        <v>7</v>
      </c>
      <c r="M470" s="234">
        <v>0</v>
      </c>
    </row>
    <row r="471" spans="1:13" s="230" customFormat="1" ht="9" customHeight="1" x14ac:dyDescent="0.25">
      <c r="A471" s="235" t="s">
        <v>49</v>
      </c>
      <c r="B471" s="236">
        <f t="shared" si="12"/>
        <v>533</v>
      </c>
      <c r="C471" s="236">
        <v>323</v>
      </c>
      <c r="D471" s="236">
        <v>116</v>
      </c>
      <c r="E471" s="236">
        <v>51</v>
      </c>
      <c r="F471" s="236"/>
      <c r="G471" s="236">
        <v>33</v>
      </c>
      <c r="H471" s="236">
        <v>7</v>
      </c>
      <c r="I471" s="236"/>
      <c r="J471" s="236" t="s">
        <v>22</v>
      </c>
      <c r="K471" s="236">
        <v>3</v>
      </c>
      <c r="L471" s="236">
        <v>0</v>
      </c>
      <c r="M471" s="236">
        <v>0</v>
      </c>
    </row>
    <row r="472" spans="1:13" s="230" customFormat="1" ht="9" customHeight="1" x14ac:dyDescent="0.25">
      <c r="A472" s="230" t="s">
        <v>50</v>
      </c>
      <c r="B472" s="234">
        <f t="shared" si="12"/>
        <v>203</v>
      </c>
      <c r="C472" s="234">
        <v>177</v>
      </c>
      <c r="D472" s="234">
        <v>3</v>
      </c>
      <c r="E472" s="234">
        <v>19</v>
      </c>
      <c r="F472" s="234"/>
      <c r="G472" s="234">
        <v>4</v>
      </c>
      <c r="H472" s="234">
        <v>0</v>
      </c>
      <c r="I472" s="234"/>
      <c r="J472" s="234" t="s">
        <v>22</v>
      </c>
      <c r="K472" s="234">
        <v>0</v>
      </c>
      <c r="L472" s="234">
        <v>0</v>
      </c>
      <c r="M472" s="234">
        <v>0</v>
      </c>
    </row>
    <row r="473" spans="1:13" s="230" customFormat="1" ht="9" customHeight="1" x14ac:dyDescent="0.25">
      <c r="A473" s="230" t="s">
        <v>51</v>
      </c>
      <c r="B473" s="234">
        <f t="shared" si="12"/>
        <v>1642</v>
      </c>
      <c r="C473" s="234">
        <v>804</v>
      </c>
      <c r="D473" s="234">
        <v>595</v>
      </c>
      <c r="E473" s="234">
        <v>133</v>
      </c>
      <c r="F473" s="234"/>
      <c r="G473" s="234">
        <v>84</v>
      </c>
      <c r="H473" s="234">
        <v>20</v>
      </c>
      <c r="I473" s="234"/>
      <c r="J473" s="234" t="s">
        <v>22</v>
      </c>
      <c r="K473" s="234">
        <v>5</v>
      </c>
      <c r="L473" s="234">
        <v>0</v>
      </c>
      <c r="M473" s="234">
        <v>1</v>
      </c>
    </row>
    <row r="474" spans="1:13" s="230" customFormat="1" ht="9" customHeight="1" x14ac:dyDescent="0.25">
      <c r="A474" s="230" t="s">
        <v>52</v>
      </c>
      <c r="B474" s="234">
        <f t="shared" si="12"/>
        <v>318</v>
      </c>
      <c r="C474" s="234">
        <v>169</v>
      </c>
      <c r="D474" s="234">
        <v>98</v>
      </c>
      <c r="E474" s="234">
        <v>34</v>
      </c>
      <c r="F474" s="234"/>
      <c r="G474" s="234">
        <v>16</v>
      </c>
      <c r="H474" s="234">
        <v>0</v>
      </c>
      <c r="I474" s="234"/>
      <c r="J474" s="234" t="s">
        <v>22</v>
      </c>
      <c r="K474" s="234">
        <v>1</v>
      </c>
      <c r="L474" s="234">
        <v>0</v>
      </c>
      <c r="M474" s="234">
        <v>0</v>
      </c>
    </row>
    <row r="475" spans="1:13" s="230" customFormat="1" ht="9" customHeight="1" x14ac:dyDescent="0.25">
      <c r="A475" s="235" t="s">
        <v>53</v>
      </c>
      <c r="B475" s="236">
        <f t="shared" si="12"/>
        <v>461</v>
      </c>
      <c r="C475" s="236">
        <v>220</v>
      </c>
      <c r="D475" s="236">
        <v>169</v>
      </c>
      <c r="E475" s="236">
        <v>36</v>
      </c>
      <c r="F475" s="236"/>
      <c r="G475" s="236">
        <v>36</v>
      </c>
      <c r="H475" s="236">
        <v>0</v>
      </c>
      <c r="I475" s="236"/>
      <c r="J475" s="236" t="s">
        <v>22</v>
      </c>
      <c r="K475" s="236">
        <v>0</v>
      </c>
      <c r="L475" s="236">
        <v>0</v>
      </c>
      <c r="M475" s="236">
        <v>0</v>
      </c>
    </row>
    <row r="476" spans="1:13" s="230" customFormat="1" ht="8.25" customHeight="1" x14ac:dyDescent="0.25">
      <c r="B476" s="234"/>
      <c r="C476" s="234"/>
      <c r="D476" s="234"/>
      <c r="E476" s="234"/>
      <c r="F476" s="234"/>
      <c r="G476" s="234"/>
      <c r="H476" s="234"/>
      <c r="I476" s="234"/>
      <c r="J476" s="234"/>
      <c r="K476" s="234"/>
      <c r="L476" s="234"/>
      <c r="M476" s="234"/>
    </row>
    <row r="477" spans="1:13" s="230" customFormat="1" ht="9" customHeight="1" x14ac:dyDescent="0.25">
      <c r="A477" s="228">
        <v>2008</v>
      </c>
      <c r="B477" s="244"/>
      <c r="C477" s="244"/>
      <c r="D477" s="244"/>
      <c r="E477" s="244"/>
      <c r="F477" s="244"/>
      <c r="G477" s="229"/>
      <c r="H477" s="229"/>
      <c r="I477" s="229"/>
      <c r="J477" s="229"/>
      <c r="K477" s="229"/>
      <c r="M477" s="244"/>
    </row>
    <row r="478" spans="1:13" s="230" customFormat="1" ht="9" customHeight="1" x14ac:dyDescent="0.25">
      <c r="A478" s="231" t="s">
        <v>21</v>
      </c>
      <c r="B478" s="232">
        <f>SUM(B480:B511)</f>
        <v>20001</v>
      </c>
      <c r="C478" s="232">
        <f>SUM(C480:C511)</f>
        <v>13477</v>
      </c>
      <c r="D478" s="232">
        <f>SUM(D480:D511)</f>
        <v>3620</v>
      </c>
      <c r="E478" s="232">
        <f>SUM(E480:E511)</f>
        <v>1379</v>
      </c>
      <c r="F478" s="232"/>
      <c r="G478" s="232">
        <f>SUM(G480:G511)</f>
        <v>1193</v>
      </c>
      <c r="H478" s="232">
        <f>SUM(H480:H511)</f>
        <v>58</v>
      </c>
      <c r="I478" s="245"/>
      <c r="J478" s="232" t="s">
        <v>22</v>
      </c>
      <c r="K478" s="232">
        <f>SUM(K480:K511)</f>
        <v>36</v>
      </c>
      <c r="L478" s="232">
        <f>SUM(L480:L511)</f>
        <v>223</v>
      </c>
      <c r="M478" s="232">
        <f>SUM(M480:M511)</f>
        <v>15</v>
      </c>
    </row>
    <row r="479" spans="1:13" s="230" customFormat="1" ht="3.95" customHeight="1" x14ac:dyDescent="0.25">
      <c r="A479" s="231"/>
      <c r="B479" s="232"/>
      <c r="C479" s="232"/>
      <c r="D479" s="232"/>
      <c r="E479" s="232"/>
      <c r="F479" s="232"/>
      <c r="G479" s="232"/>
      <c r="H479" s="232"/>
      <c r="I479" s="232"/>
      <c r="J479" s="232"/>
      <c r="K479" s="232"/>
      <c r="L479" s="232"/>
      <c r="M479" s="232"/>
    </row>
    <row r="480" spans="1:13" s="230" customFormat="1" ht="9" customHeight="1" x14ac:dyDescent="0.25">
      <c r="A480" s="230" t="s">
        <v>23</v>
      </c>
      <c r="B480" s="234">
        <f t="shared" ref="B480:B511" si="13">SUM(C480:M480)</f>
        <v>124</v>
      </c>
      <c r="C480" s="234">
        <v>97</v>
      </c>
      <c r="D480" s="234">
        <v>0</v>
      </c>
      <c r="E480" s="234">
        <v>13</v>
      </c>
      <c r="F480" s="234"/>
      <c r="G480" s="234">
        <v>12</v>
      </c>
      <c r="H480" s="234">
        <v>0</v>
      </c>
      <c r="I480" s="234"/>
      <c r="J480" s="234" t="s">
        <v>22</v>
      </c>
      <c r="K480" s="234">
        <v>0</v>
      </c>
      <c r="L480" s="234">
        <v>1</v>
      </c>
      <c r="M480" s="234">
        <v>1</v>
      </c>
    </row>
    <row r="481" spans="1:13" s="230" customFormat="1" ht="9" customHeight="1" x14ac:dyDescent="0.25">
      <c r="A481" s="230" t="s">
        <v>24</v>
      </c>
      <c r="B481" s="234">
        <f t="shared" si="13"/>
        <v>263</v>
      </c>
      <c r="C481" s="234">
        <v>181</v>
      </c>
      <c r="D481" s="234">
        <v>12</v>
      </c>
      <c r="E481" s="234">
        <v>34</v>
      </c>
      <c r="F481" s="234"/>
      <c r="G481" s="234">
        <v>13</v>
      </c>
      <c r="H481" s="234">
        <v>0</v>
      </c>
      <c r="I481" s="234"/>
      <c r="J481" s="234" t="s">
        <v>22</v>
      </c>
      <c r="K481" s="234">
        <v>1</v>
      </c>
      <c r="L481" s="234">
        <v>22</v>
      </c>
      <c r="M481" s="234">
        <v>0</v>
      </c>
    </row>
    <row r="482" spans="1:13" s="230" customFormat="1" ht="9" customHeight="1" x14ac:dyDescent="0.25">
      <c r="A482" s="230" t="s">
        <v>25</v>
      </c>
      <c r="B482" s="234">
        <f t="shared" si="13"/>
        <v>137</v>
      </c>
      <c r="C482" s="234">
        <v>85</v>
      </c>
      <c r="D482" s="234">
        <v>0</v>
      </c>
      <c r="E482" s="234">
        <v>19</v>
      </c>
      <c r="F482" s="234"/>
      <c r="G482" s="234">
        <v>30</v>
      </c>
      <c r="H482" s="234">
        <v>0</v>
      </c>
      <c r="I482" s="234"/>
      <c r="J482" s="234" t="s">
        <v>22</v>
      </c>
      <c r="K482" s="234">
        <v>3</v>
      </c>
      <c r="L482" s="234">
        <v>0</v>
      </c>
      <c r="M482" s="234">
        <v>0</v>
      </c>
    </row>
    <row r="483" spans="1:13" s="230" customFormat="1" ht="9" customHeight="1" x14ac:dyDescent="0.25">
      <c r="A483" s="235" t="s">
        <v>26</v>
      </c>
      <c r="B483" s="236">
        <f t="shared" si="13"/>
        <v>227</v>
      </c>
      <c r="C483" s="236">
        <v>160</v>
      </c>
      <c r="D483" s="236">
        <v>41</v>
      </c>
      <c r="E483" s="236">
        <v>11</v>
      </c>
      <c r="F483" s="236"/>
      <c r="G483" s="236">
        <v>11</v>
      </c>
      <c r="H483" s="236">
        <v>1</v>
      </c>
      <c r="I483" s="236"/>
      <c r="J483" s="236" t="s">
        <v>22</v>
      </c>
      <c r="K483" s="236">
        <v>3</v>
      </c>
      <c r="L483" s="236">
        <v>0</v>
      </c>
      <c r="M483" s="236">
        <v>0</v>
      </c>
    </row>
    <row r="484" spans="1:13" s="230" customFormat="1" ht="9" customHeight="1" x14ac:dyDescent="0.25">
      <c r="A484" s="230" t="s">
        <v>27</v>
      </c>
      <c r="B484" s="234">
        <f t="shared" si="13"/>
        <v>379</v>
      </c>
      <c r="C484" s="234">
        <v>213</v>
      </c>
      <c r="D484" s="234">
        <v>82</v>
      </c>
      <c r="E484" s="234">
        <v>49</v>
      </c>
      <c r="F484" s="234"/>
      <c r="G484" s="234">
        <v>32</v>
      </c>
      <c r="H484" s="234">
        <v>0</v>
      </c>
      <c r="I484" s="234"/>
      <c r="J484" s="234" t="s">
        <v>22</v>
      </c>
      <c r="K484" s="234">
        <v>0</v>
      </c>
      <c r="L484" s="234">
        <v>0</v>
      </c>
      <c r="M484" s="234">
        <v>3</v>
      </c>
    </row>
    <row r="485" spans="1:13" s="230" customFormat="1" ht="9" customHeight="1" x14ac:dyDescent="0.25">
      <c r="A485" s="230" t="s">
        <v>28</v>
      </c>
      <c r="B485" s="234">
        <f t="shared" si="13"/>
        <v>171</v>
      </c>
      <c r="C485" s="234">
        <v>152</v>
      </c>
      <c r="D485" s="234">
        <v>0</v>
      </c>
      <c r="E485" s="234">
        <v>13</v>
      </c>
      <c r="F485" s="234"/>
      <c r="G485" s="234">
        <v>5</v>
      </c>
      <c r="H485" s="234">
        <v>0</v>
      </c>
      <c r="I485" s="234"/>
      <c r="J485" s="234" t="s">
        <v>22</v>
      </c>
      <c r="K485" s="234">
        <v>1</v>
      </c>
      <c r="L485" s="234">
        <v>0</v>
      </c>
      <c r="M485" s="234">
        <v>0</v>
      </c>
    </row>
    <row r="486" spans="1:13" s="230" customFormat="1" ht="9" customHeight="1" x14ac:dyDescent="0.25">
      <c r="A486" s="230" t="s">
        <v>29</v>
      </c>
      <c r="B486" s="234">
        <f t="shared" si="13"/>
        <v>1609</v>
      </c>
      <c r="C486" s="234">
        <v>951</v>
      </c>
      <c r="D486" s="234">
        <v>564</v>
      </c>
      <c r="E486" s="234">
        <v>31</v>
      </c>
      <c r="F486" s="234"/>
      <c r="G486" s="234">
        <v>48</v>
      </c>
      <c r="H486" s="234">
        <v>1</v>
      </c>
      <c r="I486" s="234"/>
      <c r="J486" s="234" t="s">
        <v>22</v>
      </c>
      <c r="K486" s="234">
        <v>2</v>
      </c>
      <c r="L486" s="234">
        <v>12</v>
      </c>
      <c r="M486" s="234">
        <v>0</v>
      </c>
    </row>
    <row r="487" spans="1:13" s="230" customFormat="1" ht="9" customHeight="1" x14ac:dyDescent="0.25">
      <c r="A487" s="235" t="s">
        <v>30</v>
      </c>
      <c r="B487" s="236">
        <f t="shared" si="13"/>
        <v>554</v>
      </c>
      <c r="C487" s="236">
        <v>296</v>
      </c>
      <c r="D487" s="236">
        <v>147</v>
      </c>
      <c r="E487" s="236">
        <v>58</v>
      </c>
      <c r="F487" s="236"/>
      <c r="G487" s="236">
        <v>52</v>
      </c>
      <c r="H487" s="236">
        <v>1</v>
      </c>
      <c r="I487" s="236"/>
      <c r="J487" s="236" t="s">
        <v>22</v>
      </c>
      <c r="K487" s="236">
        <v>0</v>
      </c>
      <c r="L487" s="236">
        <v>0</v>
      </c>
      <c r="M487" s="236">
        <v>0</v>
      </c>
    </row>
    <row r="488" spans="1:13" s="230" customFormat="1" ht="9" customHeight="1" x14ac:dyDescent="0.25">
      <c r="A488" s="405" t="s">
        <v>63</v>
      </c>
      <c r="B488" s="234">
        <f t="shared" si="13"/>
        <v>539</v>
      </c>
      <c r="C488" s="234">
        <v>334</v>
      </c>
      <c r="D488" s="234">
        <v>1</v>
      </c>
      <c r="E488" s="234">
        <v>80</v>
      </c>
      <c r="F488" s="234"/>
      <c r="G488" s="234">
        <v>104</v>
      </c>
      <c r="H488" s="234">
        <v>3</v>
      </c>
      <c r="I488" s="234"/>
      <c r="J488" s="234" t="s">
        <v>22</v>
      </c>
      <c r="K488" s="234">
        <v>3</v>
      </c>
      <c r="L488" s="234">
        <v>14</v>
      </c>
      <c r="M488" s="234">
        <v>0</v>
      </c>
    </row>
    <row r="489" spans="1:13" s="230" customFormat="1" ht="9" customHeight="1" x14ac:dyDescent="0.25">
      <c r="A489" s="230" t="s">
        <v>31</v>
      </c>
      <c r="B489" s="234">
        <f t="shared" si="13"/>
        <v>482</v>
      </c>
      <c r="C489" s="234">
        <v>241</v>
      </c>
      <c r="D489" s="234">
        <v>166</v>
      </c>
      <c r="E489" s="234">
        <v>33</v>
      </c>
      <c r="F489" s="234"/>
      <c r="G489" s="234">
        <v>42</v>
      </c>
      <c r="H489" s="234">
        <v>0</v>
      </c>
      <c r="I489" s="234"/>
      <c r="J489" s="234" t="s">
        <v>22</v>
      </c>
      <c r="K489" s="234">
        <v>0</v>
      </c>
      <c r="L489" s="234">
        <v>0</v>
      </c>
      <c r="M489" s="234">
        <v>0</v>
      </c>
    </row>
    <row r="490" spans="1:13" s="230" customFormat="1" ht="9" customHeight="1" x14ac:dyDescent="0.25">
      <c r="A490" s="230" t="s">
        <v>32</v>
      </c>
      <c r="B490" s="234">
        <f t="shared" si="13"/>
        <v>659</v>
      </c>
      <c r="C490" s="234">
        <v>570</v>
      </c>
      <c r="D490" s="234">
        <v>0</v>
      </c>
      <c r="E490" s="234">
        <v>47</v>
      </c>
      <c r="F490" s="234"/>
      <c r="G490" s="234">
        <v>41</v>
      </c>
      <c r="H490" s="234">
        <v>1</v>
      </c>
      <c r="I490" s="234"/>
      <c r="J490" s="234" t="s">
        <v>22</v>
      </c>
      <c r="K490" s="234">
        <v>0</v>
      </c>
      <c r="L490" s="234">
        <v>0</v>
      </c>
      <c r="M490" s="234">
        <v>0</v>
      </c>
    </row>
    <row r="491" spans="1:13" s="230" customFormat="1" ht="9" customHeight="1" x14ac:dyDescent="0.25">
      <c r="A491" s="235" t="s">
        <v>33</v>
      </c>
      <c r="B491" s="236">
        <f t="shared" si="13"/>
        <v>1082</v>
      </c>
      <c r="C491" s="236">
        <v>1009</v>
      </c>
      <c r="D491" s="236">
        <v>0</v>
      </c>
      <c r="E491" s="236">
        <v>21</v>
      </c>
      <c r="F491" s="236"/>
      <c r="G491" s="236">
        <v>50</v>
      </c>
      <c r="H491" s="236">
        <v>0</v>
      </c>
      <c r="I491" s="236"/>
      <c r="J491" s="236" t="s">
        <v>22</v>
      </c>
      <c r="K491" s="236">
        <v>2</v>
      </c>
      <c r="L491" s="236">
        <v>0</v>
      </c>
      <c r="M491" s="236">
        <v>0</v>
      </c>
    </row>
    <row r="492" spans="1:13" s="230" customFormat="1" ht="9" customHeight="1" x14ac:dyDescent="0.25">
      <c r="A492" s="230" t="s">
        <v>34</v>
      </c>
      <c r="B492" s="234">
        <f t="shared" si="13"/>
        <v>952</v>
      </c>
      <c r="C492" s="234">
        <v>676</v>
      </c>
      <c r="D492" s="234">
        <v>218</v>
      </c>
      <c r="E492" s="234">
        <v>20</v>
      </c>
      <c r="F492" s="234"/>
      <c r="G492" s="234">
        <v>36</v>
      </c>
      <c r="H492" s="234">
        <v>2</v>
      </c>
      <c r="I492" s="234"/>
      <c r="J492" s="234" t="s">
        <v>22</v>
      </c>
      <c r="K492" s="234">
        <v>0</v>
      </c>
      <c r="L492" s="234">
        <v>0</v>
      </c>
      <c r="M492" s="234">
        <v>0</v>
      </c>
    </row>
    <row r="493" spans="1:13" s="230" customFormat="1" ht="9" customHeight="1" x14ac:dyDescent="0.25">
      <c r="A493" s="230" t="s">
        <v>35</v>
      </c>
      <c r="B493" s="234">
        <f t="shared" si="13"/>
        <v>1022</v>
      </c>
      <c r="C493" s="234">
        <v>808</v>
      </c>
      <c r="D493" s="234">
        <v>0</v>
      </c>
      <c r="E493" s="234">
        <v>124</v>
      </c>
      <c r="F493" s="234"/>
      <c r="G493" s="234">
        <v>86</v>
      </c>
      <c r="H493" s="234">
        <v>1</v>
      </c>
      <c r="I493" s="234"/>
      <c r="J493" s="234" t="s">
        <v>22</v>
      </c>
      <c r="K493" s="234">
        <v>1</v>
      </c>
      <c r="L493" s="234">
        <v>0</v>
      </c>
      <c r="M493" s="234">
        <v>2</v>
      </c>
    </row>
    <row r="494" spans="1:13" s="230" customFormat="1" ht="9" customHeight="1" x14ac:dyDescent="0.25">
      <c r="A494" s="230" t="s">
        <v>36</v>
      </c>
      <c r="B494" s="234">
        <f t="shared" si="13"/>
        <v>1382</v>
      </c>
      <c r="C494" s="234">
        <v>1142</v>
      </c>
      <c r="D494" s="234">
        <v>0</v>
      </c>
      <c r="E494" s="234">
        <v>101</v>
      </c>
      <c r="F494" s="234"/>
      <c r="G494" s="234">
        <v>43</v>
      </c>
      <c r="H494" s="234">
        <v>2</v>
      </c>
      <c r="I494" s="234"/>
      <c r="J494" s="234" t="s">
        <v>22</v>
      </c>
      <c r="K494" s="234">
        <v>0</v>
      </c>
      <c r="L494" s="234">
        <v>94</v>
      </c>
      <c r="M494" s="234">
        <v>0</v>
      </c>
    </row>
    <row r="495" spans="1:13" s="230" customFormat="1" ht="9" customHeight="1" x14ac:dyDescent="0.25">
      <c r="A495" s="235" t="s">
        <v>37</v>
      </c>
      <c r="B495" s="236">
        <f t="shared" si="13"/>
        <v>986</v>
      </c>
      <c r="C495" s="236">
        <v>525</v>
      </c>
      <c r="D495" s="236">
        <v>341</v>
      </c>
      <c r="E495" s="236">
        <v>52</v>
      </c>
      <c r="F495" s="236"/>
      <c r="G495" s="236">
        <v>67</v>
      </c>
      <c r="H495" s="236">
        <v>0</v>
      </c>
      <c r="I495" s="236"/>
      <c r="J495" s="236" t="s">
        <v>22</v>
      </c>
      <c r="K495" s="236">
        <v>1</v>
      </c>
      <c r="L495" s="236">
        <v>0</v>
      </c>
      <c r="M495" s="236">
        <v>0</v>
      </c>
    </row>
    <row r="496" spans="1:13" s="230" customFormat="1" ht="9" customHeight="1" x14ac:dyDescent="0.25">
      <c r="A496" s="230" t="s">
        <v>38</v>
      </c>
      <c r="B496" s="234">
        <f t="shared" si="13"/>
        <v>279</v>
      </c>
      <c r="C496" s="234">
        <v>228</v>
      </c>
      <c r="D496" s="234">
        <v>0</v>
      </c>
      <c r="E496" s="234">
        <v>23</v>
      </c>
      <c r="F496" s="234"/>
      <c r="G496" s="234">
        <v>28</v>
      </c>
      <c r="H496" s="234">
        <v>0</v>
      </c>
      <c r="I496" s="234"/>
      <c r="J496" s="234" t="s">
        <v>22</v>
      </c>
      <c r="K496" s="234">
        <v>0</v>
      </c>
      <c r="L496" s="234">
        <v>0</v>
      </c>
      <c r="M496" s="234">
        <v>0</v>
      </c>
    </row>
    <row r="497" spans="1:13" s="230" customFormat="1" ht="9" customHeight="1" x14ac:dyDescent="0.25">
      <c r="A497" s="230" t="s">
        <v>39</v>
      </c>
      <c r="B497" s="234">
        <f t="shared" si="13"/>
        <v>384</v>
      </c>
      <c r="C497" s="234">
        <v>252</v>
      </c>
      <c r="D497" s="234">
        <v>80</v>
      </c>
      <c r="E497" s="234">
        <v>26</v>
      </c>
      <c r="F497" s="234"/>
      <c r="G497" s="234">
        <v>25</v>
      </c>
      <c r="H497" s="234">
        <v>0</v>
      </c>
      <c r="I497" s="234"/>
      <c r="J497" s="234" t="s">
        <v>22</v>
      </c>
      <c r="K497" s="234">
        <v>1</v>
      </c>
      <c r="L497" s="234">
        <v>0</v>
      </c>
      <c r="M497" s="234">
        <v>0</v>
      </c>
    </row>
    <row r="498" spans="1:13" s="230" customFormat="1" ht="9" customHeight="1" x14ac:dyDescent="0.25">
      <c r="A498" s="230" t="s">
        <v>40</v>
      </c>
      <c r="B498" s="234">
        <f t="shared" si="13"/>
        <v>597</v>
      </c>
      <c r="C498" s="234">
        <v>499</v>
      </c>
      <c r="D498" s="234">
        <v>0</v>
      </c>
      <c r="E498" s="234">
        <v>61</v>
      </c>
      <c r="F498" s="234"/>
      <c r="G498" s="234">
        <v>32</v>
      </c>
      <c r="H498" s="234">
        <v>2</v>
      </c>
      <c r="I498" s="234"/>
      <c r="J498" s="234" t="s">
        <v>22</v>
      </c>
      <c r="K498" s="234">
        <v>0</v>
      </c>
      <c r="L498" s="234">
        <v>0</v>
      </c>
      <c r="M498" s="234">
        <v>3</v>
      </c>
    </row>
    <row r="499" spans="1:13" s="230" customFormat="1" ht="9" customHeight="1" x14ac:dyDescent="0.25">
      <c r="A499" s="235" t="s">
        <v>41</v>
      </c>
      <c r="B499" s="236">
        <f t="shared" si="13"/>
        <v>1407</v>
      </c>
      <c r="C499" s="236">
        <v>830</v>
      </c>
      <c r="D499" s="236">
        <v>479</v>
      </c>
      <c r="E499" s="236">
        <v>32</v>
      </c>
      <c r="F499" s="236"/>
      <c r="G499" s="236">
        <v>61</v>
      </c>
      <c r="H499" s="236">
        <v>3</v>
      </c>
      <c r="I499" s="236"/>
      <c r="J499" s="236" t="s">
        <v>22</v>
      </c>
      <c r="K499" s="236">
        <v>2</v>
      </c>
      <c r="L499" s="236">
        <v>0</v>
      </c>
      <c r="M499" s="236">
        <v>0</v>
      </c>
    </row>
    <row r="500" spans="1:13" s="230" customFormat="1" ht="9" customHeight="1" x14ac:dyDescent="0.25">
      <c r="A500" s="230" t="s">
        <v>42</v>
      </c>
      <c r="B500" s="234">
        <f t="shared" si="13"/>
        <v>1096</v>
      </c>
      <c r="C500" s="234">
        <v>632</v>
      </c>
      <c r="D500" s="234">
        <v>312</v>
      </c>
      <c r="E500" s="234">
        <v>52</v>
      </c>
      <c r="F500" s="234"/>
      <c r="G500" s="234">
        <v>44</v>
      </c>
      <c r="H500" s="234">
        <v>3</v>
      </c>
      <c r="I500" s="234"/>
      <c r="J500" s="234" t="s">
        <v>22</v>
      </c>
      <c r="K500" s="234">
        <v>0</v>
      </c>
      <c r="L500" s="234">
        <v>51</v>
      </c>
      <c r="M500" s="234">
        <v>2</v>
      </c>
    </row>
    <row r="501" spans="1:13" s="230" customFormat="1" ht="9" customHeight="1" x14ac:dyDescent="0.25">
      <c r="A501" s="230" t="s">
        <v>43</v>
      </c>
      <c r="B501" s="234">
        <f t="shared" si="13"/>
        <v>273</v>
      </c>
      <c r="C501" s="234">
        <v>234</v>
      </c>
      <c r="D501" s="234">
        <v>0</v>
      </c>
      <c r="E501" s="234">
        <v>23</v>
      </c>
      <c r="F501" s="234"/>
      <c r="G501" s="234">
        <v>16</v>
      </c>
      <c r="H501" s="234">
        <v>0</v>
      </c>
      <c r="I501" s="234"/>
      <c r="J501" s="234" t="s">
        <v>22</v>
      </c>
      <c r="K501" s="234">
        <v>0</v>
      </c>
      <c r="L501" s="234">
        <v>0</v>
      </c>
      <c r="M501" s="234">
        <v>0</v>
      </c>
    </row>
    <row r="502" spans="1:13" s="230" customFormat="1" ht="9" customHeight="1" x14ac:dyDescent="0.25">
      <c r="A502" s="230" t="s">
        <v>44</v>
      </c>
      <c r="B502" s="234">
        <f t="shared" si="13"/>
        <v>224</v>
      </c>
      <c r="C502" s="234">
        <v>199</v>
      </c>
      <c r="D502" s="234">
        <v>0</v>
      </c>
      <c r="E502" s="234">
        <v>13</v>
      </c>
      <c r="F502" s="234"/>
      <c r="G502" s="234">
        <v>9</v>
      </c>
      <c r="H502" s="234">
        <v>0</v>
      </c>
      <c r="I502" s="234"/>
      <c r="J502" s="234" t="s">
        <v>22</v>
      </c>
      <c r="K502" s="234">
        <v>3</v>
      </c>
      <c r="L502" s="234">
        <v>0</v>
      </c>
      <c r="M502" s="234">
        <v>0</v>
      </c>
    </row>
    <row r="503" spans="1:13" s="230" customFormat="1" ht="9" customHeight="1" x14ac:dyDescent="0.25">
      <c r="A503" s="235" t="s">
        <v>45</v>
      </c>
      <c r="B503" s="236">
        <f t="shared" si="13"/>
        <v>581</v>
      </c>
      <c r="C503" s="236">
        <v>309</v>
      </c>
      <c r="D503" s="236">
        <v>206</v>
      </c>
      <c r="E503" s="236">
        <v>36</v>
      </c>
      <c r="F503" s="236"/>
      <c r="G503" s="236">
        <v>29</v>
      </c>
      <c r="H503" s="236">
        <v>1</v>
      </c>
      <c r="I503" s="236"/>
      <c r="J503" s="236" t="s">
        <v>22</v>
      </c>
      <c r="K503" s="236">
        <v>0</v>
      </c>
      <c r="L503" s="236">
        <v>0</v>
      </c>
      <c r="M503" s="236">
        <v>0</v>
      </c>
    </row>
    <row r="504" spans="1:13" s="230" customFormat="1" ht="9" customHeight="1" x14ac:dyDescent="0.25">
      <c r="A504" s="230" t="s">
        <v>46</v>
      </c>
      <c r="B504" s="234">
        <f t="shared" si="13"/>
        <v>471</v>
      </c>
      <c r="C504" s="234">
        <v>272</v>
      </c>
      <c r="D504" s="234">
        <v>107</v>
      </c>
      <c r="E504" s="234">
        <v>48</v>
      </c>
      <c r="F504" s="234"/>
      <c r="G504" s="234">
        <v>38</v>
      </c>
      <c r="H504" s="234">
        <v>1</v>
      </c>
      <c r="I504" s="234"/>
      <c r="J504" s="234" t="s">
        <v>22</v>
      </c>
      <c r="K504" s="234">
        <v>2</v>
      </c>
      <c r="L504" s="234">
        <v>0</v>
      </c>
      <c r="M504" s="234">
        <v>3</v>
      </c>
    </row>
    <row r="505" spans="1:13" s="230" customFormat="1" ht="9" customHeight="1" x14ac:dyDescent="0.25">
      <c r="A505" s="230" t="s">
        <v>47</v>
      </c>
      <c r="B505" s="234">
        <f t="shared" si="13"/>
        <v>410</v>
      </c>
      <c r="C505" s="234">
        <v>272</v>
      </c>
      <c r="D505" s="234">
        <v>0</v>
      </c>
      <c r="E505" s="234">
        <v>74</v>
      </c>
      <c r="F505" s="234"/>
      <c r="G505" s="234">
        <v>40</v>
      </c>
      <c r="H505" s="234">
        <v>0</v>
      </c>
      <c r="I505" s="234"/>
      <c r="J505" s="234" t="s">
        <v>22</v>
      </c>
      <c r="K505" s="234">
        <v>2</v>
      </c>
      <c r="L505" s="234">
        <v>22</v>
      </c>
      <c r="M505" s="234">
        <v>0</v>
      </c>
    </row>
    <row r="506" spans="1:13" s="230" customFormat="1" ht="9" customHeight="1" x14ac:dyDescent="0.25">
      <c r="A506" s="230" t="s">
        <v>48</v>
      </c>
      <c r="B506" s="234">
        <f t="shared" si="13"/>
        <v>655</v>
      </c>
      <c r="C506" s="234">
        <v>577</v>
      </c>
      <c r="D506" s="234">
        <v>0</v>
      </c>
      <c r="E506" s="234">
        <v>34</v>
      </c>
      <c r="F506" s="234"/>
      <c r="G506" s="234">
        <v>26</v>
      </c>
      <c r="H506" s="234">
        <v>10</v>
      </c>
      <c r="I506" s="234"/>
      <c r="J506" s="234" t="s">
        <v>22</v>
      </c>
      <c r="K506" s="234">
        <v>1</v>
      </c>
      <c r="L506" s="234">
        <v>7</v>
      </c>
      <c r="M506" s="234">
        <v>0</v>
      </c>
    </row>
    <row r="507" spans="1:13" s="230" customFormat="1" ht="9" customHeight="1" x14ac:dyDescent="0.25">
      <c r="A507" s="235" t="s">
        <v>49</v>
      </c>
      <c r="B507" s="236">
        <f t="shared" si="13"/>
        <v>523</v>
      </c>
      <c r="C507" s="236">
        <v>330</v>
      </c>
      <c r="D507" s="236">
        <v>107</v>
      </c>
      <c r="E507" s="236">
        <v>45</v>
      </c>
      <c r="F507" s="236"/>
      <c r="G507" s="236">
        <v>33</v>
      </c>
      <c r="H507" s="236">
        <v>6</v>
      </c>
      <c r="I507" s="236"/>
      <c r="J507" s="236" t="s">
        <v>22</v>
      </c>
      <c r="K507" s="236">
        <v>2</v>
      </c>
      <c r="L507" s="236">
        <v>0</v>
      </c>
      <c r="M507" s="236">
        <v>0</v>
      </c>
    </row>
    <row r="508" spans="1:13" s="230" customFormat="1" ht="9" customHeight="1" x14ac:dyDescent="0.25">
      <c r="A508" s="230" t="s">
        <v>50</v>
      </c>
      <c r="B508" s="234">
        <f t="shared" si="13"/>
        <v>205</v>
      </c>
      <c r="C508" s="234">
        <v>184</v>
      </c>
      <c r="D508" s="234">
        <v>0</v>
      </c>
      <c r="E508" s="234">
        <v>17</v>
      </c>
      <c r="F508" s="234"/>
      <c r="G508" s="234">
        <v>4</v>
      </c>
      <c r="H508" s="234">
        <v>0</v>
      </c>
      <c r="I508" s="234"/>
      <c r="J508" s="234" t="s">
        <v>22</v>
      </c>
      <c r="K508" s="234">
        <v>0</v>
      </c>
      <c r="L508" s="234">
        <v>0</v>
      </c>
      <c r="M508" s="234">
        <v>0</v>
      </c>
    </row>
    <row r="509" spans="1:13" s="230" customFormat="1" ht="9" customHeight="1" x14ac:dyDescent="0.25">
      <c r="A509" s="230" t="s">
        <v>51</v>
      </c>
      <c r="B509" s="234">
        <f t="shared" si="13"/>
        <v>1573</v>
      </c>
      <c r="C509" s="234">
        <v>816</v>
      </c>
      <c r="D509" s="234">
        <v>524</v>
      </c>
      <c r="E509" s="234">
        <v>122</v>
      </c>
      <c r="F509" s="234"/>
      <c r="G509" s="234">
        <v>85</v>
      </c>
      <c r="H509" s="234">
        <v>20</v>
      </c>
      <c r="I509" s="234"/>
      <c r="J509" s="234" t="s">
        <v>22</v>
      </c>
      <c r="K509" s="234">
        <v>5</v>
      </c>
      <c r="L509" s="234">
        <v>0</v>
      </c>
      <c r="M509" s="234">
        <v>1</v>
      </c>
    </row>
    <row r="510" spans="1:13" s="230" customFormat="1" ht="9" customHeight="1" x14ac:dyDescent="0.25">
      <c r="A510" s="230" t="s">
        <v>52</v>
      </c>
      <c r="B510" s="234">
        <f t="shared" si="13"/>
        <v>308</v>
      </c>
      <c r="C510" s="234">
        <v>173</v>
      </c>
      <c r="D510" s="234">
        <v>87</v>
      </c>
      <c r="E510" s="234">
        <v>31</v>
      </c>
      <c r="F510" s="234"/>
      <c r="G510" s="234">
        <v>16</v>
      </c>
      <c r="H510" s="234">
        <v>0</v>
      </c>
      <c r="I510" s="234"/>
      <c r="J510" s="234" t="s">
        <v>22</v>
      </c>
      <c r="K510" s="234">
        <v>1</v>
      </c>
      <c r="L510" s="234">
        <v>0</v>
      </c>
      <c r="M510" s="234">
        <v>0</v>
      </c>
    </row>
    <row r="511" spans="1:13" s="230" customFormat="1" ht="9" customHeight="1" x14ac:dyDescent="0.25">
      <c r="A511" s="235" t="s">
        <v>53</v>
      </c>
      <c r="B511" s="236">
        <f t="shared" si="13"/>
        <v>447</v>
      </c>
      <c r="C511" s="236">
        <v>230</v>
      </c>
      <c r="D511" s="236">
        <v>146</v>
      </c>
      <c r="E511" s="236">
        <v>36</v>
      </c>
      <c r="F511" s="236"/>
      <c r="G511" s="236">
        <v>35</v>
      </c>
      <c r="H511" s="236">
        <v>0</v>
      </c>
      <c r="I511" s="236"/>
      <c r="J511" s="236" t="s">
        <v>22</v>
      </c>
      <c r="K511" s="236">
        <v>0</v>
      </c>
      <c r="L511" s="236">
        <v>0</v>
      </c>
      <c r="M511" s="236">
        <v>0</v>
      </c>
    </row>
    <row r="512" spans="1:13" s="230" customFormat="1" ht="8.25" customHeight="1" x14ac:dyDescent="0.25">
      <c r="B512" s="234"/>
      <c r="C512" s="234"/>
      <c r="D512" s="234"/>
      <c r="E512" s="234"/>
      <c r="F512" s="234"/>
      <c r="G512" s="234"/>
      <c r="H512" s="234"/>
      <c r="I512" s="234"/>
      <c r="J512" s="234"/>
      <c r="K512" s="234"/>
      <c r="L512" s="234"/>
      <c r="M512" s="234"/>
    </row>
    <row r="513" spans="1:13" s="230" customFormat="1" ht="9" customHeight="1" x14ac:dyDescent="0.25">
      <c r="A513" s="228">
        <v>2009</v>
      </c>
      <c r="B513" s="244"/>
      <c r="C513" s="244"/>
      <c r="D513" s="244"/>
      <c r="E513" s="244"/>
      <c r="F513" s="244"/>
      <c r="G513" s="229"/>
      <c r="H513" s="229"/>
      <c r="I513" s="229"/>
      <c r="J513" s="229"/>
      <c r="K513" s="229"/>
      <c r="M513" s="244"/>
    </row>
    <row r="514" spans="1:13" s="230" customFormat="1" ht="9" customHeight="1" x14ac:dyDescent="0.25">
      <c r="A514" s="231" t="s">
        <v>21</v>
      </c>
      <c r="B514" s="232">
        <f>SUM(B516:B547)</f>
        <v>21064</v>
      </c>
      <c r="C514" s="232">
        <f>SUM(C516:C547)</f>
        <v>13996</v>
      </c>
      <c r="D514" s="232">
        <f>SUM(D516:D547)</f>
        <v>4124</v>
      </c>
      <c r="E514" s="232">
        <f>SUM(E516:E547)</f>
        <v>1396</v>
      </c>
      <c r="F514" s="232"/>
      <c r="G514" s="232">
        <f>SUM(G516:G547)</f>
        <v>1192</v>
      </c>
      <c r="H514" s="232">
        <f>SUM(H516:H547)</f>
        <v>58</v>
      </c>
      <c r="I514" s="245"/>
      <c r="J514" s="232" t="s">
        <v>22</v>
      </c>
      <c r="K514" s="232">
        <f>SUM(K516:K547)</f>
        <v>37</v>
      </c>
      <c r="L514" s="232">
        <f>SUM(L516:L547)</f>
        <v>246</v>
      </c>
      <c r="M514" s="232">
        <f>SUM(M516:M547)</f>
        <v>15</v>
      </c>
    </row>
    <row r="515" spans="1:13" s="230" customFormat="1" ht="3.95" customHeight="1" x14ac:dyDescent="0.25">
      <c r="A515" s="231"/>
      <c r="B515" s="232"/>
      <c r="C515" s="232"/>
      <c r="D515" s="232"/>
      <c r="E515" s="232"/>
      <c r="F515" s="232"/>
      <c r="G515" s="232"/>
      <c r="H515" s="232"/>
      <c r="I515" s="232"/>
      <c r="J515" s="232"/>
      <c r="K515" s="232"/>
      <c r="L515" s="232"/>
      <c r="M515" s="232"/>
    </row>
    <row r="516" spans="1:13" s="230" customFormat="1" ht="8.65" customHeight="1" x14ac:dyDescent="0.25">
      <c r="A516" s="230" t="s">
        <v>23</v>
      </c>
      <c r="B516" s="234">
        <f>SUM(C516:M516)</f>
        <v>129</v>
      </c>
      <c r="C516" s="234">
        <v>102</v>
      </c>
      <c r="D516" s="234">
        <v>0</v>
      </c>
      <c r="E516" s="234">
        <v>13</v>
      </c>
      <c r="F516" s="234"/>
      <c r="G516" s="234">
        <v>12</v>
      </c>
      <c r="H516" s="234">
        <v>0</v>
      </c>
      <c r="I516" s="234"/>
      <c r="J516" s="234" t="s">
        <v>22</v>
      </c>
      <c r="K516" s="234">
        <v>0</v>
      </c>
      <c r="L516" s="234">
        <v>1</v>
      </c>
      <c r="M516" s="234">
        <v>1</v>
      </c>
    </row>
    <row r="517" spans="1:13" s="230" customFormat="1" ht="8.65" customHeight="1" x14ac:dyDescent="0.25">
      <c r="A517" s="230" t="s">
        <v>24</v>
      </c>
      <c r="B517" s="234">
        <f t="shared" ref="B517:B547" si="14">SUM(C517:M517)</f>
        <v>290</v>
      </c>
      <c r="C517" s="234">
        <v>194</v>
      </c>
      <c r="D517" s="234">
        <v>24</v>
      </c>
      <c r="E517" s="234">
        <v>35</v>
      </c>
      <c r="F517" s="234"/>
      <c r="G517" s="234">
        <v>13</v>
      </c>
      <c r="H517" s="234">
        <v>0</v>
      </c>
      <c r="I517" s="234"/>
      <c r="J517" s="234" t="s">
        <v>22</v>
      </c>
      <c r="K517" s="234">
        <v>1</v>
      </c>
      <c r="L517" s="234">
        <v>23</v>
      </c>
      <c r="M517" s="234">
        <v>0</v>
      </c>
    </row>
    <row r="518" spans="1:13" s="230" customFormat="1" ht="8.65" customHeight="1" x14ac:dyDescent="0.25">
      <c r="A518" s="230" t="s">
        <v>25</v>
      </c>
      <c r="B518" s="234">
        <f t="shared" si="14"/>
        <v>147</v>
      </c>
      <c r="C518" s="234">
        <v>95</v>
      </c>
      <c r="D518" s="234">
        <v>0</v>
      </c>
      <c r="E518" s="234">
        <v>19</v>
      </c>
      <c r="F518" s="234"/>
      <c r="G518" s="234">
        <v>30</v>
      </c>
      <c r="H518" s="234">
        <v>0</v>
      </c>
      <c r="I518" s="234"/>
      <c r="J518" s="234" t="s">
        <v>22</v>
      </c>
      <c r="K518" s="234">
        <v>3</v>
      </c>
      <c r="L518" s="234">
        <v>0</v>
      </c>
      <c r="M518" s="234">
        <v>0</v>
      </c>
    </row>
    <row r="519" spans="1:13" s="230" customFormat="1" ht="8.65" customHeight="1" x14ac:dyDescent="0.25">
      <c r="A519" s="235" t="s">
        <v>26</v>
      </c>
      <c r="B519" s="236">
        <f t="shared" si="14"/>
        <v>247</v>
      </c>
      <c r="C519" s="236">
        <v>172</v>
      </c>
      <c r="D519" s="236">
        <v>49</v>
      </c>
      <c r="E519" s="236">
        <v>11</v>
      </c>
      <c r="F519" s="236"/>
      <c r="G519" s="236">
        <v>11</v>
      </c>
      <c r="H519" s="236">
        <v>1</v>
      </c>
      <c r="I519" s="236"/>
      <c r="J519" s="236" t="s">
        <v>22</v>
      </c>
      <c r="K519" s="236">
        <v>3</v>
      </c>
      <c r="L519" s="236">
        <v>0</v>
      </c>
      <c r="M519" s="236">
        <v>0</v>
      </c>
    </row>
    <row r="520" spans="1:13" s="230" customFormat="1" ht="8.65" customHeight="1" x14ac:dyDescent="0.25">
      <c r="A520" s="230" t="s">
        <v>27</v>
      </c>
      <c r="B520" s="234">
        <f t="shared" si="14"/>
        <v>407</v>
      </c>
      <c r="C520" s="234">
        <v>228</v>
      </c>
      <c r="D520" s="234">
        <v>93</v>
      </c>
      <c r="E520" s="234">
        <v>51</v>
      </c>
      <c r="F520" s="234"/>
      <c r="G520" s="234">
        <v>32</v>
      </c>
      <c r="H520" s="234">
        <v>0</v>
      </c>
      <c r="I520" s="234"/>
      <c r="J520" s="234" t="s">
        <v>22</v>
      </c>
      <c r="K520" s="234">
        <v>0</v>
      </c>
      <c r="L520" s="234">
        <v>0</v>
      </c>
      <c r="M520" s="234">
        <v>3</v>
      </c>
    </row>
    <row r="521" spans="1:13" s="230" customFormat="1" ht="8.65" customHeight="1" x14ac:dyDescent="0.25">
      <c r="A521" s="230" t="s">
        <v>28</v>
      </c>
      <c r="B521" s="234">
        <f t="shared" si="14"/>
        <v>187</v>
      </c>
      <c r="C521" s="234">
        <v>168</v>
      </c>
      <c r="D521" s="234">
        <v>0</v>
      </c>
      <c r="E521" s="234">
        <v>13</v>
      </c>
      <c r="F521" s="234"/>
      <c r="G521" s="234">
        <v>5</v>
      </c>
      <c r="H521" s="234">
        <v>0</v>
      </c>
      <c r="I521" s="234"/>
      <c r="J521" s="234" t="s">
        <v>22</v>
      </c>
      <c r="K521" s="234">
        <v>1</v>
      </c>
      <c r="L521" s="234">
        <v>0</v>
      </c>
      <c r="M521" s="234">
        <v>0</v>
      </c>
    </row>
    <row r="522" spans="1:13" s="230" customFormat="1" ht="8.65" customHeight="1" x14ac:dyDescent="0.25">
      <c r="A522" s="230" t="s">
        <v>29</v>
      </c>
      <c r="B522" s="234">
        <f t="shared" si="14"/>
        <v>1650</v>
      </c>
      <c r="C522" s="234">
        <v>956</v>
      </c>
      <c r="D522" s="234">
        <v>600</v>
      </c>
      <c r="E522" s="234">
        <v>31</v>
      </c>
      <c r="F522" s="234"/>
      <c r="G522" s="234">
        <v>48</v>
      </c>
      <c r="H522" s="234">
        <v>1</v>
      </c>
      <c r="I522" s="234"/>
      <c r="J522" s="234" t="s">
        <v>22</v>
      </c>
      <c r="K522" s="234">
        <v>2</v>
      </c>
      <c r="L522" s="234">
        <v>12</v>
      </c>
      <c r="M522" s="234">
        <v>0</v>
      </c>
    </row>
    <row r="523" spans="1:13" s="230" customFormat="1" ht="8.65" customHeight="1" x14ac:dyDescent="0.25">
      <c r="A523" s="235" t="s">
        <v>30</v>
      </c>
      <c r="B523" s="236">
        <f t="shared" si="14"/>
        <v>587</v>
      </c>
      <c r="C523" s="236">
        <v>311</v>
      </c>
      <c r="D523" s="236">
        <v>164</v>
      </c>
      <c r="E523" s="236">
        <v>59</v>
      </c>
      <c r="F523" s="236"/>
      <c r="G523" s="236">
        <v>52</v>
      </c>
      <c r="H523" s="236">
        <v>1</v>
      </c>
      <c r="I523" s="236"/>
      <c r="J523" s="236" t="s">
        <v>22</v>
      </c>
      <c r="K523" s="236">
        <v>0</v>
      </c>
      <c r="L523" s="236">
        <v>0</v>
      </c>
      <c r="M523" s="236">
        <v>0</v>
      </c>
    </row>
    <row r="524" spans="1:13" s="230" customFormat="1" ht="8.65" customHeight="1" x14ac:dyDescent="0.25">
      <c r="A524" s="405" t="s">
        <v>63</v>
      </c>
      <c r="B524" s="234">
        <f t="shared" si="14"/>
        <v>576</v>
      </c>
      <c r="C524" s="234">
        <v>353</v>
      </c>
      <c r="D524" s="234">
        <v>19</v>
      </c>
      <c r="E524" s="234">
        <v>81</v>
      </c>
      <c r="F524" s="234"/>
      <c r="G524" s="234">
        <v>102</v>
      </c>
      <c r="H524" s="234">
        <v>3</v>
      </c>
      <c r="I524" s="234"/>
      <c r="J524" s="234" t="s">
        <v>22</v>
      </c>
      <c r="K524" s="234">
        <v>4</v>
      </c>
      <c r="L524" s="234">
        <v>14</v>
      </c>
      <c r="M524" s="234">
        <v>0</v>
      </c>
    </row>
    <row r="525" spans="1:13" s="230" customFormat="1" ht="8.65" customHeight="1" x14ac:dyDescent="0.25">
      <c r="A525" s="230" t="s">
        <v>31</v>
      </c>
      <c r="B525" s="234">
        <f t="shared" si="14"/>
        <v>510</v>
      </c>
      <c r="C525" s="234">
        <v>263</v>
      </c>
      <c r="D525" s="234">
        <v>171</v>
      </c>
      <c r="E525" s="234">
        <v>34</v>
      </c>
      <c r="F525" s="234"/>
      <c r="G525" s="234">
        <v>42</v>
      </c>
      <c r="H525" s="234">
        <v>0</v>
      </c>
      <c r="I525" s="234"/>
      <c r="J525" s="234" t="s">
        <v>22</v>
      </c>
      <c r="K525" s="234">
        <v>0</v>
      </c>
      <c r="L525" s="234">
        <v>0</v>
      </c>
      <c r="M525" s="234">
        <v>0</v>
      </c>
    </row>
    <row r="526" spans="1:13" s="230" customFormat="1" ht="8.65" customHeight="1" x14ac:dyDescent="0.25">
      <c r="A526" s="230" t="s">
        <v>32</v>
      </c>
      <c r="B526" s="234">
        <f t="shared" si="14"/>
        <v>695</v>
      </c>
      <c r="C526" s="234">
        <v>594</v>
      </c>
      <c r="D526" s="234">
        <v>11</v>
      </c>
      <c r="E526" s="234">
        <v>48</v>
      </c>
      <c r="F526" s="234"/>
      <c r="G526" s="234">
        <v>41</v>
      </c>
      <c r="H526" s="234">
        <v>1</v>
      </c>
      <c r="I526" s="234"/>
      <c r="J526" s="234" t="s">
        <v>22</v>
      </c>
      <c r="K526" s="234">
        <v>0</v>
      </c>
      <c r="L526" s="234">
        <v>0</v>
      </c>
      <c r="M526" s="234">
        <v>0</v>
      </c>
    </row>
    <row r="527" spans="1:13" s="230" customFormat="1" ht="8.65" customHeight="1" x14ac:dyDescent="0.25">
      <c r="A527" s="235" t="s">
        <v>33</v>
      </c>
      <c r="B527" s="236">
        <f t="shared" si="14"/>
        <v>1131</v>
      </c>
      <c r="C527" s="236">
        <v>1042</v>
      </c>
      <c r="D527" s="236">
        <v>16</v>
      </c>
      <c r="E527" s="236">
        <v>21</v>
      </c>
      <c r="F527" s="236"/>
      <c r="G527" s="236">
        <v>50</v>
      </c>
      <c r="H527" s="236">
        <v>0</v>
      </c>
      <c r="I527" s="236"/>
      <c r="J527" s="236" t="s">
        <v>22</v>
      </c>
      <c r="K527" s="236">
        <v>2</v>
      </c>
      <c r="L527" s="236">
        <v>0</v>
      </c>
      <c r="M527" s="236">
        <v>0</v>
      </c>
    </row>
    <row r="528" spans="1:13" s="230" customFormat="1" ht="8.65" customHeight="1" x14ac:dyDescent="0.25">
      <c r="A528" s="230" t="s">
        <v>34</v>
      </c>
      <c r="B528" s="234">
        <f t="shared" si="14"/>
        <v>965</v>
      </c>
      <c r="C528" s="234">
        <v>667</v>
      </c>
      <c r="D528" s="234">
        <v>240</v>
      </c>
      <c r="E528" s="234">
        <v>20</v>
      </c>
      <c r="F528" s="234"/>
      <c r="G528" s="234">
        <v>36</v>
      </c>
      <c r="H528" s="234">
        <v>2</v>
      </c>
      <c r="I528" s="234"/>
      <c r="J528" s="234" t="s">
        <v>22</v>
      </c>
      <c r="K528" s="234">
        <v>0</v>
      </c>
      <c r="L528" s="234">
        <v>0</v>
      </c>
      <c r="M528" s="234">
        <v>0</v>
      </c>
    </row>
    <row r="529" spans="1:13" s="230" customFormat="1" ht="8.65" customHeight="1" x14ac:dyDescent="0.25">
      <c r="A529" s="230" t="s">
        <v>35</v>
      </c>
      <c r="B529" s="234">
        <f t="shared" si="14"/>
        <v>1051</v>
      </c>
      <c r="C529" s="234">
        <v>828</v>
      </c>
      <c r="D529" s="234">
        <v>9</v>
      </c>
      <c r="E529" s="234">
        <v>124</v>
      </c>
      <c r="F529" s="234"/>
      <c r="G529" s="234">
        <v>86</v>
      </c>
      <c r="H529" s="234">
        <v>1</v>
      </c>
      <c r="I529" s="234"/>
      <c r="J529" s="234" t="s">
        <v>22</v>
      </c>
      <c r="K529" s="234">
        <v>1</v>
      </c>
      <c r="L529" s="234">
        <v>0</v>
      </c>
      <c r="M529" s="234">
        <v>2</v>
      </c>
    </row>
    <row r="530" spans="1:13" s="230" customFormat="1" ht="8.65" customHeight="1" x14ac:dyDescent="0.25">
      <c r="A530" s="230" t="s">
        <v>36</v>
      </c>
      <c r="B530" s="234">
        <f t="shared" si="14"/>
        <v>1438</v>
      </c>
      <c r="C530" s="234">
        <v>1185</v>
      </c>
      <c r="D530" s="234">
        <v>8</v>
      </c>
      <c r="E530" s="234">
        <v>102</v>
      </c>
      <c r="F530" s="234"/>
      <c r="G530" s="234">
        <v>43</v>
      </c>
      <c r="H530" s="234">
        <v>2</v>
      </c>
      <c r="I530" s="234"/>
      <c r="J530" s="234" t="s">
        <v>22</v>
      </c>
      <c r="K530" s="234">
        <v>0</v>
      </c>
      <c r="L530" s="234">
        <v>98</v>
      </c>
      <c r="M530" s="234">
        <v>0</v>
      </c>
    </row>
    <row r="531" spans="1:13" s="230" customFormat="1" ht="8.65" customHeight="1" x14ac:dyDescent="0.25">
      <c r="A531" s="235" t="s">
        <v>37</v>
      </c>
      <c r="B531" s="236">
        <f t="shared" si="14"/>
        <v>1054</v>
      </c>
      <c r="C531" s="236">
        <v>544</v>
      </c>
      <c r="D531" s="236">
        <v>387</v>
      </c>
      <c r="E531" s="236">
        <v>55</v>
      </c>
      <c r="F531" s="236"/>
      <c r="G531" s="236">
        <v>67</v>
      </c>
      <c r="H531" s="236">
        <v>0</v>
      </c>
      <c r="I531" s="236"/>
      <c r="J531" s="236" t="s">
        <v>22</v>
      </c>
      <c r="K531" s="236">
        <v>1</v>
      </c>
      <c r="L531" s="236">
        <v>0</v>
      </c>
      <c r="M531" s="236">
        <v>0</v>
      </c>
    </row>
    <row r="532" spans="1:13" s="230" customFormat="1" ht="8.65" customHeight="1" x14ac:dyDescent="0.25">
      <c r="A532" s="230" t="s">
        <v>38</v>
      </c>
      <c r="B532" s="234">
        <f t="shared" si="14"/>
        <v>288</v>
      </c>
      <c r="C532" s="234">
        <v>233</v>
      </c>
      <c r="D532" s="234">
        <v>4</v>
      </c>
      <c r="E532" s="234">
        <v>24</v>
      </c>
      <c r="F532" s="234"/>
      <c r="G532" s="234">
        <v>27</v>
      </c>
      <c r="H532" s="234">
        <v>0</v>
      </c>
      <c r="I532" s="234"/>
      <c r="J532" s="234" t="s">
        <v>22</v>
      </c>
      <c r="K532" s="234">
        <v>0</v>
      </c>
      <c r="L532" s="234">
        <v>0</v>
      </c>
      <c r="M532" s="234">
        <v>0</v>
      </c>
    </row>
    <row r="533" spans="1:13" s="230" customFormat="1" ht="8.65" customHeight="1" x14ac:dyDescent="0.25">
      <c r="A533" s="230" t="s">
        <v>39</v>
      </c>
      <c r="B533" s="234">
        <f t="shared" si="14"/>
        <v>408</v>
      </c>
      <c r="C533" s="234">
        <v>270</v>
      </c>
      <c r="D533" s="234">
        <v>86</v>
      </c>
      <c r="E533" s="234">
        <v>26</v>
      </c>
      <c r="F533" s="234"/>
      <c r="G533" s="234">
        <v>25</v>
      </c>
      <c r="H533" s="234">
        <v>0</v>
      </c>
      <c r="I533" s="234"/>
      <c r="J533" s="234" t="s">
        <v>22</v>
      </c>
      <c r="K533" s="234">
        <v>1</v>
      </c>
      <c r="L533" s="234">
        <v>0</v>
      </c>
      <c r="M533" s="234">
        <v>0</v>
      </c>
    </row>
    <row r="534" spans="1:13" s="230" customFormat="1" ht="8.65" customHeight="1" x14ac:dyDescent="0.25">
      <c r="A534" s="230" t="s">
        <v>40</v>
      </c>
      <c r="B534" s="234">
        <f t="shared" si="14"/>
        <v>599</v>
      </c>
      <c r="C534" s="234">
        <v>498</v>
      </c>
      <c r="D534" s="234">
        <v>3</v>
      </c>
      <c r="E534" s="234">
        <v>61</v>
      </c>
      <c r="F534" s="234"/>
      <c r="G534" s="234">
        <v>32</v>
      </c>
      <c r="H534" s="234">
        <v>2</v>
      </c>
      <c r="I534" s="234"/>
      <c r="J534" s="234" t="s">
        <v>22</v>
      </c>
      <c r="K534" s="234">
        <v>0</v>
      </c>
      <c r="L534" s="234">
        <v>0</v>
      </c>
      <c r="M534" s="234">
        <v>3</v>
      </c>
    </row>
    <row r="535" spans="1:13" s="230" customFormat="1" ht="8.65" customHeight="1" x14ac:dyDescent="0.25">
      <c r="A535" s="235" t="s">
        <v>41</v>
      </c>
      <c r="B535" s="236">
        <f t="shared" si="14"/>
        <v>1465</v>
      </c>
      <c r="C535" s="236">
        <v>849</v>
      </c>
      <c r="D535" s="236">
        <v>518</v>
      </c>
      <c r="E535" s="236">
        <v>32</v>
      </c>
      <c r="F535" s="236"/>
      <c r="G535" s="236">
        <v>61</v>
      </c>
      <c r="H535" s="236">
        <v>3</v>
      </c>
      <c r="I535" s="236"/>
      <c r="J535" s="236" t="s">
        <v>22</v>
      </c>
      <c r="K535" s="236">
        <v>2</v>
      </c>
      <c r="L535" s="236">
        <v>0</v>
      </c>
      <c r="M535" s="236">
        <v>0</v>
      </c>
    </row>
    <row r="536" spans="1:13" s="230" customFormat="1" ht="8.65" customHeight="1" x14ac:dyDescent="0.25">
      <c r="A536" s="230" t="s">
        <v>42</v>
      </c>
      <c r="B536" s="234">
        <f t="shared" si="14"/>
        <v>1166</v>
      </c>
      <c r="C536" s="234">
        <v>668</v>
      </c>
      <c r="D536" s="234">
        <v>343</v>
      </c>
      <c r="E536" s="234">
        <v>54</v>
      </c>
      <c r="F536" s="234"/>
      <c r="G536" s="234">
        <v>44</v>
      </c>
      <c r="H536" s="234">
        <v>3</v>
      </c>
      <c r="I536" s="234"/>
      <c r="J536" s="234" t="s">
        <v>22</v>
      </c>
      <c r="K536" s="234">
        <v>0</v>
      </c>
      <c r="L536" s="234">
        <v>52</v>
      </c>
      <c r="M536" s="234">
        <v>2</v>
      </c>
    </row>
    <row r="537" spans="1:13" s="230" customFormat="1" ht="8.65" customHeight="1" x14ac:dyDescent="0.25">
      <c r="A537" s="230" t="s">
        <v>43</v>
      </c>
      <c r="B537" s="234">
        <f t="shared" si="14"/>
        <v>302</v>
      </c>
      <c r="C537" s="234">
        <v>259</v>
      </c>
      <c r="D537" s="234">
        <v>4</v>
      </c>
      <c r="E537" s="234">
        <v>23</v>
      </c>
      <c r="F537" s="234"/>
      <c r="G537" s="234">
        <v>16</v>
      </c>
      <c r="H537" s="234">
        <v>0</v>
      </c>
      <c r="I537" s="234"/>
      <c r="J537" s="234" t="s">
        <v>22</v>
      </c>
      <c r="K537" s="234">
        <v>0</v>
      </c>
      <c r="L537" s="234">
        <v>0</v>
      </c>
      <c r="M537" s="234">
        <v>0</v>
      </c>
    </row>
    <row r="538" spans="1:13" s="230" customFormat="1" ht="8.65" customHeight="1" x14ac:dyDescent="0.25">
      <c r="A538" s="230" t="s">
        <v>44</v>
      </c>
      <c r="B538" s="234">
        <f t="shared" si="14"/>
        <v>230</v>
      </c>
      <c r="C538" s="234">
        <v>204</v>
      </c>
      <c r="D538" s="234">
        <v>0</v>
      </c>
      <c r="E538" s="234">
        <v>13</v>
      </c>
      <c r="F538" s="234"/>
      <c r="G538" s="234">
        <v>10</v>
      </c>
      <c r="H538" s="234">
        <v>0</v>
      </c>
      <c r="I538" s="234"/>
      <c r="J538" s="234" t="s">
        <v>22</v>
      </c>
      <c r="K538" s="234">
        <v>3</v>
      </c>
      <c r="L538" s="234">
        <v>0</v>
      </c>
      <c r="M538" s="234">
        <v>0</v>
      </c>
    </row>
    <row r="539" spans="1:13" s="230" customFormat="1" ht="8.65" customHeight="1" x14ac:dyDescent="0.25">
      <c r="A539" s="235" t="s">
        <v>45</v>
      </c>
      <c r="B539" s="236">
        <f t="shared" si="14"/>
        <v>619</v>
      </c>
      <c r="C539" s="236">
        <v>313</v>
      </c>
      <c r="D539" s="236">
        <v>240</v>
      </c>
      <c r="E539" s="236">
        <v>36</v>
      </c>
      <c r="F539" s="236"/>
      <c r="G539" s="236">
        <v>29</v>
      </c>
      <c r="H539" s="236">
        <v>1</v>
      </c>
      <c r="I539" s="236"/>
      <c r="J539" s="236" t="s">
        <v>22</v>
      </c>
      <c r="K539" s="236">
        <v>0</v>
      </c>
      <c r="L539" s="236">
        <v>0</v>
      </c>
      <c r="M539" s="236">
        <v>0</v>
      </c>
    </row>
    <row r="540" spans="1:13" s="230" customFormat="1" ht="8.65" customHeight="1" x14ac:dyDescent="0.25">
      <c r="A540" s="230" t="s">
        <v>46</v>
      </c>
      <c r="B540" s="234">
        <f t="shared" si="14"/>
        <v>514</v>
      </c>
      <c r="C540" s="234">
        <v>289</v>
      </c>
      <c r="D540" s="234">
        <v>133</v>
      </c>
      <c r="E540" s="234">
        <v>48</v>
      </c>
      <c r="F540" s="234"/>
      <c r="G540" s="234">
        <v>38</v>
      </c>
      <c r="H540" s="234">
        <v>1</v>
      </c>
      <c r="I540" s="234"/>
      <c r="J540" s="234" t="s">
        <v>22</v>
      </c>
      <c r="K540" s="234">
        <v>2</v>
      </c>
      <c r="L540" s="234">
        <v>0</v>
      </c>
      <c r="M540" s="234">
        <v>3</v>
      </c>
    </row>
    <row r="541" spans="1:13" s="230" customFormat="1" ht="8.65" customHeight="1" x14ac:dyDescent="0.25">
      <c r="A541" s="230" t="s">
        <v>47</v>
      </c>
      <c r="B541" s="234">
        <f t="shared" si="14"/>
        <v>433</v>
      </c>
      <c r="C541" s="234">
        <v>290</v>
      </c>
      <c r="D541" s="234">
        <v>5</v>
      </c>
      <c r="E541" s="234">
        <v>74</v>
      </c>
      <c r="F541" s="234"/>
      <c r="G541" s="234">
        <v>40</v>
      </c>
      <c r="H541" s="234">
        <v>0</v>
      </c>
      <c r="I541" s="234"/>
      <c r="J541" s="234" t="s">
        <v>22</v>
      </c>
      <c r="K541" s="234">
        <v>2</v>
      </c>
      <c r="L541" s="234">
        <v>22</v>
      </c>
      <c r="M541" s="234">
        <v>0</v>
      </c>
    </row>
    <row r="542" spans="1:13" s="230" customFormat="1" ht="8.65" customHeight="1" x14ac:dyDescent="0.25">
      <c r="A542" s="230" t="s">
        <v>48</v>
      </c>
      <c r="B542" s="234">
        <f t="shared" si="14"/>
        <v>687</v>
      </c>
      <c r="C542" s="234">
        <v>592</v>
      </c>
      <c r="D542" s="234">
        <v>0</v>
      </c>
      <c r="E542" s="234">
        <v>34</v>
      </c>
      <c r="F542" s="234"/>
      <c r="G542" s="234">
        <v>26</v>
      </c>
      <c r="H542" s="234">
        <v>10</v>
      </c>
      <c r="I542" s="234"/>
      <c r="J542" s="234" t="s">
        <v>22</v>
      </c>
      <c r="K542" s="234">
        <v>1</v>
      </c>
      <c r="L542" s="234">
        <v>24</v>
      </c>
      <c r="M542" s="234">
        <v>0</v>
      </c>
    </row>
    <row r="543" spans="1:13" s="230" customFormat="1" ht="8.65" customHeight="1" x14ac:dyDescent="0.25">
      <c r="A543" s="235" t="s">
        <v>49</v>
      </c>
      <c r="B543" s="236">
        <f t="shared" si="14"/>
        <v>568</v>
      </c>
      <c r="C543" s="236">
        <v>361</v>
      </c>
      <c r="D543" s="236">
        <v>118</v>
      </c>
      <c r="E543" s="236">
        <v>48</v>
      </c>
      <c r="F543" s="236"/>
      <c r="G543" s="236">
        <v>33</v>
      </c>
      <c r="H543" s="236">
        <v>6</v>
      </c>
      <c r="I543" s="236"/>
      <c r="J543" s="236" t="s">
        <v>22</v>
      </c>
      <c r="K543" s="236">
        <v>2</v>
      </c>
      <c r="L543" s="236">
        <v>0</v>
      </c>
      <c r="M543" s="236">
        <v>0</v>
      </c>
    </row>
    <row r="544" spans="1:13" s="230" customFormat="1" ht="8.65" customHeight="1" x14ac:dyDescent="0.25">
      <c r="A544" s="230" t="s">
        <v>50</v>
      </c>
      <c r="B544" s="234">
        <f t="shared" si="14"/>
        <v>218</v>
      </c>
      <c r="C544" s="234">
        <v>193</v>
      </c>
      <c r="D544" s="234">
        <v>3</v>
      </c>
      <c r="E544" s="234">
        <v>17</v>
      </c>
      <c r="F544" s="234"/>
      <c r="G544" s="234">
        <v>5</v>
      </c>
      <c r="H544" s="234">
        <v>0</v>
      </c>
      <c r="I544" s="234"/>
      <c r="J544" s="234" t="s">
        <v>22</v>
      </c>
      <c r="K544" s="234">
        <v>0</v>
      </c>
      <c r="L544" s="234">
        <v>0</v>
      </c>
      <c r="M544" s="234">
        <v>0</v>
      </c>
    </row>
    <row r="545" spans="1:13" s="230" customFormat="1" ht="8.65" customHeight="1" x14ac:dyDescent="0.25">
      <c r="A545" s="230" t="s">
        <v>51</v>
      </c>
      <c r="B545" s="234">
        <f t="shared" si="14"/>
        <v>1700</v>
      </c>
      <c r="C545" s="234">
        <v>862</v>
      </c>
      <c r="D545" s="234">
        <v>605</v>
      </c>
      <c r="E545" s="234">
        <v>122</v>
      </c>
      <c r="F545" s="234"/>
      <c r="G545" s="234">
        <v>85</v>
      </c>
      <c r="H545" s="234">
        <v>20</v>
      </c>
      <c r="I545" s="234"/>
      <c r="J545" s="234" t="s">
        <v>22</v>
      </c>
      <c r="K545" s="234">
        <v>5</v>
      </c>
      <c r="L545" s="234">
        <v>0</v>
      </c>
      <c r="M545" s="234">
        <v>1</v>
      </c>
    </row>
    <row r="546" spans="1:13" s="230" customFormat="1" ht="8.65" customHeight="1" x14ac:dyDescent="0.25">
      <c r="A546" s="230" t="s">
        <v>52</v>
      </c>
      <c r="B546" s="234">
        <f t="shared" si="14"/>
        <v>330</v>
      </c>
      <c r="C546" s="234">
        <v>182</v>
      </c>
      <c r="D546" s="234">
        <v>100</v>
      </c>
      <c r="E546" s="234">
        <v>31</v>
      </c>
      <c r="F546" s="234"/>
      <c r="G546" s="234">
        <v>16</v>
      </c>
      <c r="H546" s="234">
        <v>0</v>
      </c>
      <c r="I546" s="234"/>
      <c r="J546" s="234" t="s">
        <v>22</v>
      </c>
      <c r="K546" s="234">
        <v>1</v>
      </c>
      <c r="L546" s="234">
        <v>0</v>
      </c>
      <c r="M546" s="234">
        <v>0</v>
      </c>
    </row>
    <row r="547" spans="1:13" s="230" customFormat="1" ht="8.65" customHeight="1" x14ac:dyDescent="0.25">
      <c r="A547" s="235" t="s">
        <v>53</v>
      </c>
      <c r="B547" s="236">
        <f t="shared" si="14"/>
        <v>473</v>
      </c>
      <c r="C547" s="236">
        <v>231</v>
      </c>
      <c r="D547" s="236">
        <v>171</v>
      </c>
      <c r="E547" s="236">
        <v>36</v>
      </c>
      <c r="F547" s="236"/>
      <c r="G547" s="236">
        <v>35</v>
      </c>
      <c r="H547" s="236">
        <v>0</v>
      </c>
      <c r="I547" s="236"/>
      <c r="J547" s="236" t="s">
        <v>22</v>
      </c>
      <c r="K547" s="236">
        <v>0</v>
      </c>
      <c r="L547" s="236">
        <v>0</v>
      </c>
      <c r="M547" s="236">
        <v>0</v>
      </c>
    </row>
    <row r="548" spans="1:13" s="230" customFormat="1" ht="9" customHeight="1" x14ac:dyDescent="0.25">
      <c r="B548" s="234"/>
      <c r="C548" s="234"/>
      <c r="D548" s="234"/>
      <c r="E548" s="234"/>
      <c r="F548" s="234"/>
      <c r="G548" s="234"/>
      <c r="H548" s="234"/>
      <c r="I548" s="234"/>
      <c r="J548" s="234"/>
      <c r="K548" s="234"/>
      <c r="L548" s="234"/>
      <c r="M548" s="234"/>
    </row>
    <row r="549" spans="1:13" s="230" customFormat="1" ht="9" customHeight="1" x14ac:dyDescent="0.25">
      <c r="A549" s="228">
        <v>2010</v>
      </c>
      <c r="B549" s="244"/>
      <c r="C549" s="244"/>
      <c r="D549" s="244"/>
      <c r="E549" s="244"/>
      <c r="F549" s="244"/>
      <c r="G549" s="229"/>
      <c r="H549" s="229"/>
      <c r="I549" s="229"/>
      <c r="J549" s="229"/>
      <c r="K549" s="229"/>
      <c r="M549" s="244"/>
    </row>
    <row r="550" spans="1:13" s="230" customFormat="1" ht="9" customHeight="1" x14ac:dyDescent="0.25">
      <c r="A550" s="231" t="s">
        <v>21</v>
      </c>
      <c r="B550" s="232">
        <f>SUM(B552:B583)</f>
        <v>21507</v>
      </c>
      <c r="C550" s="232">
        <f>SUM(C552:C583)</f>
        <v>14374</v>
      </c>
      <c r="D550" s="232">
        <f>SUM(D552:D583)</f>
        <v>4170</v>
      </c>
      <c r="E550" s="232">
        <f>SUM(E552:E583)</f>
        <v>1409</v>
      </c>
      <c r="F550" s="232"/>
      <c r="G550" s="232">
        <f>SUM(G552:G583)</f>
        <v>1172</v>
      </c>
      <c r="H550" s="232">
        <f>SUM(H552:H583)</f>
        <v>84</v>
      </c>
      <c r="I550" s="245"/>
      <c r="J550" s="232" t="s">
        <v>22</v>
      </c>
      <c r="K550" s="232">
        <f>SUM(K552:K583)</f>
        <v>37</v>
      </c>
      <c r="L550" s="232">
        <f>SUM(L552:L583)</f>
        <v>253</v>
      </c>
      <c r="M550" s="232">
        <f>SUM(M552:M583)</f>
        <v>8</v>
      </c>
    </row>
    <row r="551" spans="1:13" s="230" customFormat="1" ht="3.95" customHeight="1" x14ac:dyDescent="0.25">
      <c r="A551" s="231"/>
      <c r="B551" s="232"/>
      <c r="C551" s="232"/>
      <c r="D551" s="232"/>
      <c r="E551" s="232"/>
      <c r="F551" s="232"/>
      <c r="G551" s="232"/>
      <c r="H551" s="232"/>
      <c r="I551" s="232"/>
      <c r="J551" s="232"/>
      <c r="K551" s="232"/>
      <c r="L551" s="232"/>
      <c r="M551" s="232"/>
    </row>
    <row r="552" spans="1:13" s="230" customFormat="1" ht="8.65" customHeight="1" x14ac:dyDescent="0.25">
      <c r="A552" s="230" t="s">
        <v>23</v>
      </c>
      <c r="B552" s="234">
        <f>SUM(C552:M552)</f>
        <v>134</v>
      </c>
      <c r="C552" s="234">
        <v>108</v>
      </c>
      <c r="D552" s="234">
        <v>0</v>
      </c>
      <c r="E552" s="234">
        <v>13</v>
      </c>
      <c r="F552" s="234"/>
      <c r="G552" s="234">
        <v>10</v>
      </c>
      <c r="H552" s="234">
        <v>1</v>
      </c>
      <c r="I552" s="234"/>
      <c r="J552" s="234" t="s">
        <v>22</v>
      </c>
      <c r="K552" s="234">
        <v>0</v>
      </c>
      <c r="L552" s="234">
        <v>1</v>
      </c>
      <c r="M552" s="234">
        <v>1</v>
      </c>
    </row>
    <row r="553" spans="1:13" s="230" customFormat="1" ht="8.65" customHeight="1" x14ac:dyDescent="0.25">
      <c r="A553" s="230" t="s">
        <v>24</v>
      </c>
      <c r="B553" s="234">
        <f t="shared" ref="B553:B583" si="15">SUM(C553:M553)</f>
        <v>283</v>
      </c>
      <c r="C553" s="234">
        <v>194</v>
      </c>
      <c r="D553" s="234">
        <v>16</v>
      </c>
      <c r="E553" s="234">
        <v>35</v>
      </c>
      <c r="F553" s="234"/>
      <c r="G553" s="234">
        <v>13</v>
      </c>
      <c r="H553" s="234">
        <v>1</v>
      </c>
      <c r="I553" s="234"/>
      <c r="J553" s="234" t="s">
        <v>22</v>
      </c>
      <c r="K553" s="234">
        <v>1</v>
      </c>
      <c r="L553" s="234">
        <v>23</v>
      </c>
      <c r="M553" s="234">
        <v>0</v>
      </c>
    </row>
    <row r="554" spans="1:13" s="230" customFormat="1" ht="8.65" customHeight="1" x14ac:dyDescent="0.25">
      <c r="A554" s="230" t="s">
        <v>25</v>
      </c>
      <c r="B554" s="234">
        <f t="shared" si="15"/>
        <v>141</v>
      </c>
      <c r="C554" s="234">
        <v>89</v>
      </c>
      <c r="D554" s="234">
        <v>0</v>
      </c>
      <c r="E554" s="234">
        <v>19</v>
      </c>
      <c r="F554" s="234"/>
      <c r="G554" s="234">
        <v>30</v>
      </c>
      <c r="H554" s="234">
        <v>0</v>
      </c>
      <c r="I554" s="234"/>
      <c r="J554" s="234" t="s">
        <v>22</v>
      </c>
      <c r="K554" s="234">
        <v>3</v>
      </c>
      <c r="L554" s="234">
        <v>0</v>
      </c>
      <c r="M554" s="234">
        <v>0</v>
      </c>
    </row>
    <row r="555" spans="1:13" s="230" customFormat="1" ht="8.65" customHeight="1" x14ac:dyDescent="0.25">
      <c r="A555" s="235" t="s">
        <v>26</v>
      </c>
      <c r="B555" s="236">
        <f t="shared" si="15"/>
        <v>237</v>
      </c>
      <c r="C555" s="236">
        <v>161</v>
      </c>
      <c r="D555" s="236">
        <v>49</v>
      </c>
      <c r="E555" s="236">
        <v>12</v>
      </c>
      <c r="F555" s="236"/>
      <c r="G555" s="236">
        <v>11</v>
      </c>
      <c r="H555" s="236">
        <v>1</v>
      </c>
      <c r="I555" s="236"/>
      <c r="J555" s="236" t="s">
        <v>22</v>
      </c>
      <c r="K555" s="236">
        <v>3</v>
      </c>
      <c r="L555" s="236">
        <v>0</v>
      </c>
      <c r="M555" s="236">
        <v>0</v>
      </c>
    </row>
    <row r="556" spans="1:13" s="230" customFormat="1" ht="8.65" customHeight="1" x14ac:dyDescent="0.25">
      <c r="A556" s="230" t="s">
        <v>27</v>
      </c>
      <c r="B556" s="234">
        <f t="shared" si="15"/>
        <v>425</v>
      </c>
      <c r="C556" s="234">
        <v>248</v>
      </c>
      <c r="D556" s="234">
        <v>93</v>
      </c>
      <c r="E556" s="234">
        <v>51</v>
      </c>
      <c r="F556" s="234"/>
      <c r="G556" s="234">
        <v>29</v>
      </c>
      <c r="H556" s="234">
        <v>1</v>
      </c>
      <c r="I556" s="234"/>
      <c r="J556" s="234" t="s">
        <v>22</v>
      </c>
      <c r="K556" s="234">
        <v>0</v>
      </c>
      <c r="L556" s="234">
        <v>0</v>
      </c>
      <c r="M556" s="234">
        <v>3</v>
      </c>
    </row>
    <row r="557" spans="1:13" s="230" customFormat="1" ht="8.65" customHeight="1" x14ac:dyDescent="0.25">
      <c r="A557" s="230" t="s">
        <v>28</v>
      </c>
      <c r="B557" s="234">
        <f t="shared" si="15"/>
        <v>191</v>
      </c>
      <c r="C557" s="234">
        <v>172</v>
      </c>
      <c r="D557" s="234">
        <v>0</v>
      </c>
      <c r="E557" s="234">
        <v>13</v>
      </c>
      <c r="F557" s="234"/>
      <c r="G557" s="234">
        <v>5</v>
      </c>
      <c r="H557" s="234">
        <v>0</v>
      </c>
      <c r="I557" s="234"/>
      <c r="J557" s="234" t="s">
        <v>22</v>
      </c>
      <c r="K557" s="234">
        <v>1</v>
      </c>
      <c r="L557" s="234">
        <v>0</v>
      </c>
      <c r="M557" s="234">
        <v>0</v>
      </c>
    </row>
    <row r="558" spans="1:13" s="230" customFormat="1" ht="8.65" customHeight="1" x14ac:dyDescent="0.25">
      <c r="A558" s="230" t="s">
        <v>29</v>
      </c>
      <c r="B558" s="234">
        <f t="shared" si="15"/>
        <v>1707</v>
      </c>
      <c r="C558" s="234">
        <v>1017</v>
      </c>
      <c r="D558" s="234">
        <v>596</v>
      </c>
      <c r="E558" s="234">
        <v>31</v>
      </c>
      <c r="F558" s="234"/>
      <c r="G558" s="234">
        <v>48</v>
      </c>
      <c r="H558" s="234">
        <v>1</v>
      </c>
      <c r="I558" s="234"/>
      <c r="J558" s="234" t="s">
        <v>22</v>
      </c>
      <c r="K558" s="234">
        <v>2</v>
      </c>
      <c r="L558" s="234">
        <v>12</v>
      </c>
      <c r="M558" s="234">
        <v>0</v>
      </c>
    </row>
    <row r="559" spans="1:13" s="230" customFormat="1" ht="8.65" customHeight="1" x14ac:dyDescent="0.25">
      <c r="A559" s="235" t="s">
        <v>30</v>
      </c>
      <c r="B559" s="236">
        <f t="shared" si="15"/>
        <v>586</v>
      </c>
      <c r="C559" s="236">
        <v>315</v>
      </c>
      <c r="D559" s="236">
        <v>162</v>
      </c>
      <c r="E559" s="236">
        <v>59</v>
      </c>
      <c r="F559" s="236"/>
      <c r="G559" s="236">
        <v>49</v>
      </c>
      <c r="H559" s="236">
        <v>1</v>
      </c>
      <c r="I559" s="236"/>
      <c r="J559" s="236" t="s">
        <v>22</v>
      </c>
      <c r="K559" s="236">
        <v>0</v>
      </c>
      <c r="L559" s="236">
        <v>0</v>
      </c>
      <c r="M559" s="236">
        <v>0</v>
      </c>
    </row>
    <row r="560" spans="1:13" s="230" customFormat="1" ht="8.65" customHeight="1" x14ac:dyDescent="0.25">
      <c r="A560" s="405" t="s">
        <v>63</v>
      </c>
      <c r="B560" s="234">
        <f t="shared" si="15"/>
        <v>636</v>
      </c>
      <c r="C560" s="234">
        <v>408</v>
      </c>
      <c r="D560" s="234">
        <v>24</v>
      </c>
      <c r="E560" s="234">
        <v>84</v>
      </c>
      <c r="F560" s="234"/>
      <c r="G560" s="234">
        <v>99</v>
      </c>
      <c r="H560" s="234">
        <v>3</v>
      </c>
      <c r="I560" s="234"/>
      <c r="J560" s="234" t="s">
        <v>22</v>
      </c>
      <c r="K560" s="234">
        <v>4</v>
      </c>
      <c r="L560" s="234">
        <v>14</v>
      </c>
      <c r="M560" s="234">
        <v>0</v>
      </c>
    </row>
    <row r="561" spans="1:13" s="230" customFormat="1" ht="8.65" customHeight="1" x14ac:dyDescent="0.25">
      <c r="A561" s="230" t="s">
        <v>31</v>
      </c>
      <c r="B561" s="234">
        <f t="shared" si="15"/>
        <v>515</v>
      </c>
      <c r="C561" s="234">
        <v>269</v>
      </c>
      <c r="D561" s="234">
        <v>170</v>
      </c>
      <c r="E561" s="234">
        <v>35</v>
      </c>
      <c r="F561" s="234"/>
      <c r="G561" s="234">
        <v>40</v>
      </c>
      <c r="H561" s="234">
        <v>1</v>
      </c>
      <c r="I561" s="234"/>
      <c r="J561" s="234" t="s">
        <v>22</v>
      </c>
      <c r="K561" s="234">
        <v>0</v>
      </c>
      <c r="L561" s="234">
        <v>0</v>
      </c>
      <c r="M561" s="234">
        <v>0</v>
      </c>
    </row>
    <row r="562" spans="1:13" s="230" customFormat="1" ht="8.65" customHeight="1" x14ac:dyDescent="0.25">
      <c r="A562" s="230" t="s">
        <v>32</v>
      </c>
      <c r="B562" s="234">
        <f t="shared" si="15"/>
        <v>698</v>
      </c>
      <c r="C562" s="234">
        <v>597</v>
      </c>
      <c r="D562" s="234">
        <v>11</v>
      </c>
      <c r="E562" s="234">
        <v>48</v>
      </c>
      <c r="F562" s="234"/>
      <c r="G562" s="234">
        <v>41</v>
      </c>
      <c r="H562" s="234">
        <v>1</v>
      </c>
      <c r="I562" s="234"/>
      <c r="J562" s="234" t="s">
        <v>22</v>
      </c>
      <c r="K562" s="234">
        <v>0</v>
      </c>
      <c r="L562" s="234">
        <v>0</v>
      </c>
      <c r="M562" s="234">
        <v>0</v>
      </c>
    </row>
    <row r="563" spans="1:13" s="230" customFormat="1" ht="8.65" customHeight="1" x14ac:dyDescent="0.25">
      <c r="A563" s="235" t="s">
        <v>33</v>
      </c>
      <c r="B563" s="236">
        <f t="shared" si="15"/>
        <v>1152</v>
      </c>
      <c r="C563" s="236">
        <v>1041</v>
      </c>
      <c r="D563" s="236">
        <v>38</v>
      </c>
      <c r="E563" s="236">
        <v>21</v>
      </c>
      <c r="F563" s="236"/>
      <c r="G563" s="236">
        <v>50</v>
      </c>
      <c r="H563" s="236">
        <v>0</v>
      </c>
      <c r="I563" s="236"/>
      <c r="J563" s="236" t="s">
        <v>22</v>
      </c>
      <c r="K563" s="236">
        <v>2</v>
      </c>
      <c r="L563" s="236">
        <v>0</v>
      </c>
      <c r="M563" s="236">
        <v>0</v>
      </c>
    </row>
    <row r="564" spans="1:13" s="230" customFormat="1" ht="8.65" customHeight="1" x14ac:dyDescent="0.25">
      <c r="A564" s="230" t="s">
        <v>34</v>
      </c>
      <c r="B564" s="234">
        <f t="shared" si="15"/>
        <v>964</v>
      </c>
      <c r="C564" s="234">
        <v>668</v>
      </c>
      <c r="D564" s="234">
        <v>238</v>
      </c>
      <c r="E564" s="234">
        <v>20</v>
      </c>
      <c r="F564" s="234"/>
      <c r="G564" s="234">
        <v>36</v>
      </c>
      <c r="H564" s="234">
        <v>2</v>
      </c>
      <c r="I564" s="234"/>
      <c r="J564" s="234" t="s">
        <v>22</v>
      </c>
      <c r="K564" s="234">
        <v>0</v>
      </c>
      <c r="L564" s="234">
        <v>0</v>
      </c>
      <c r="M564" s="234">
        <v>0</v>
      </c>
    </row>
    <row r="565" spans="1:13" s="230" customFormat="1" ht="8.65" customHeight="1" x14ac:dyDescent="0.25">
      <c r="A565" s="230" t="s">
        <v>35</v>
      </c>
      <c r="B565" s="234">
        <f t="shared" si="15"/>
        <v>1057</v>
      </c>
      <c r="C565" s="234">
        <v>834</v>
      </c>
      <c r="D565" s="234">
        <v>9</v>
      </c>
      <c r="E565" s="234">
        <v>124</v>
      </c>
      <c r="F565" s="234"/>
      <c r="G565" s="234">
        <v>86</v>
      </c>
      <c r="H565" s="234">
        <v>2</v>
      </c>
      <c r="I565" s="234"/>
      <c r="J565" s="234" t="s">
        <v>22</v>
      </c>
      <c r="K565" s="234">
        <v>1</v>
      </c>
      <c r="L565" s="234">
        <v>0</v>
      </c>
      <c r="M565" s="234">
        <v>1</v>
      </c>
    </row>
    <row r="566" spans="1:13" s="230" customFormat="1" ht="8.65" customHeight="1" x14ac:dyDescent="0.25">
      <c r="A566" s="230" t="s">
        <v>36</v>
      </c>
      <c r="B566" s="234">
        <f t="shared" si="15"/>
        <v>1476</v>
      </c>
      <c r="C566" s="234">
        <v>1194</v>
      </c>
      <c r="D566" s="234">
        <v>37</v>
      </c>
      <c r="E566" s="234">
        <v>103</v>
      </c>
      <c r="F566" s="234"/>
      <c r="G566" s="234">
        <v>42</v>
      </c>
      <c r="H566" s="234">
        <v>2</v>
      </c>
      <c r="I566" s="234"/>
      <c r="J566" s="234" t="s">
        <v>22</v>
      </c>
      <c r="K566" s="234">
        <v>0</v>
      </c>
      <c r="L566" s="234">
        <v>98</v>
      </c>
      <c r="M566" s="234">
        <v>0</v>
      </c>
    </row>
    <row r="567" spans="1:13" s="230" customFormat="1" ht="8.65" customHeight="1" x14ac:dyDescent="0.25">
      <c r="A567" s="235" t="s">
        <v>37</v>
      </c>
      <c r="B567" s="236">
        <f t="shared" si="15"/>
        <v>1056</v>
      </c>
      <c r="C567" s="236">
        <v>546</v>
      </c>
      <c r="D567" s="236">
        <v>386</v>
      </c>
      <c r="E567" s="236">
        <v>55</v>
      </c>
      <c r="F567" s="236"/>
      <c r="G567" s="236">
        <v>67</v>
      </c>
      <c r="H567" s="236">
        <v>1</v>
      </c>
      <c r="I567" s="236"/>
      <c r="J567" s="236" t="s">
        <v>22</v>
      </c>
      <c r="K567" s="236">
        <v>1</v>
      </c>
      <c r="L567" s="236">
        <v>0</v>
      </c>
      <c r="M567" s="236">
        <v>0</v>
      </c>
    </row>
    <row r="568" spans="1:13" s="230" customFormat="1" ht="8.65" customHeight="1" x14ac:dyDescent="0.25">
      <c r="A568" s="230" t="s">
        <v>38</v>
      </c>
      <c r="B568" s="234">
        <f t="shared" si="15"/>
        <v>295</v>
      </c>
      <c r="C568" s="234">
        <v>239</v>
      </c>
      <c r="D568" s="234">
        <v>4</v>
      </c>
      <c r="E568" s="234">
        <v>24</v>
      </c>
      <c r="F568" s="234"/>
      <c r="G568" s="234">
        <v>27</v>
      </c>
      <c r="H568" s="234">
        <v>1</v>
      </c>
      <c r="I568" s="234"/>
      <c r="J568" s="234" t="s">
        <v>22</v>
      </c>
      <c r="K568" s="234">
        <v>0</v>
      </c>
      <c r="L568" s="234">
        <v>0</v>
      </c>
      <c r="M568" s="234">
        <v>0</v>
      </c>
    </row>
    <row r="569" spans="1:13" s="230" customFormat="1" ht="8.65" customHeight="1" x14ac:dyDescent="0.25">
      <c r="A569" s="230" t="s">
        <v>39</v>
      </c>
      <c r="B569" s="234">
        <f t="shared" si="15"/>
        <v>410</v>
      </c>
      <c r="C569" s="234">
        <v>270</v>
      </c>
      <c r="D569" s="234">
        <v>86</v>
      </c>
      <c r="E569" s="234">
        <v>27</v>
      </c>
      <c r="F569" s="234"/>
      <c r="G569" s="234">
        <v>25</v>
      </c>
      <c r="H569" s="234">
        <v>0</v>
      </c>
      <c r="I569" s="234"/>
      <c r="J569" s="234" t="s">
        <v>22</v>
      </c>
      <c r="K569" s="234">
        <v>1</v>
      </c>
      <c r="L569" s="234">
        <v>1</v>
      </c>
      <c r="M569" s="234">
        <v>0</v>
      </c>
    </row>
    <row r="570" spans="1:13" s="230" customFormat="1" ht="8.65" customHeight="1" x14ac:dyDescent="0.25">
      <c r="A570" s="230" t="s">
        <v>40</v>
      </c>
      <c r="B570" s="234">
        <f t="shared" si="15"/>
        <v>608</v>
      </c>
      <c r="C570" s="234">
        <v>505</v>
      </c>
      <c r="D570" s="234">
        <v>3</v>
      </c>
      <c r="E570" s="234">
        <v>62</v>
      </c>
      <c r="F570" s="234"/>
      <c r="G570" s="234">
        <v>31</v>
      </c>
      <c r="H570" s="234">
        <v>3</v>
      </c>
      <c r="I570" s="234"/>
      <c r="J570" s="234" t="s">
        <v>22</v>
      </c>
      <c r="K570" s="234">
        <v>0</v>
      </c>
      <c r="L570" s="234">
        <v>2</v>
      </c>
      <c r="M570" s="234">
        <v>2</v>
      </c>
    </row>
    <row r="571" spans="1:13" s="230" customFormat="1" ht="8.65" customHeight="1" x14ac:dyDescent="0.25">
      <c r="A571" s="235" t="s">
        <v>41</v>
      </c>
      <c r="B571" s="236">
        <f t="shared" si="15"/>
        <v>1541</v>
      </c>
      <c r="C571" s="236">
        <v>919</v>
      </c>
      <c r="D571" s="236">
        <v>527</v>
      </c>
      <c r="E571" s="236">
        <v>33</v>
      </c>
      <c r="F571" s="236"/>
      <c r="G571" s="236">
        <v>57</v>
      </c>
      <c r="H571" s="236">
        <v>3</v>
      </c>
      <c r="I571" s="236"/>
      <c r="J571" s="236" t="s">
        <v>22</v>
      </c>
      <c r="K571" s="236">
        <v>2</v>
      </c>
      <c r="L571" s="236">
        <v>0</v>
      </c>
      <c r="M571" s="236">
        <v>0</v>
      </c>
    </row>
    <row r="572" spans="1:13" s="230" customFormat="1" ht="8.65" customHeight="1" x14ac:dyDescent="0.25">
      <c r="A572" s="230" t="s">
        <v>42</v>
      </c>
      <c r="B572" s="234">
        <f t="shared" si="15"/>
        <v>1172</v>
      </c>
      <c r="C572" s="234">
        <v>675</v>
      </c>
      <c r="D572" s="234">
        <v>343</v>
      </c>
      <c r="E572" s="234">
        <v>54</v>
      </c>
      <c r="F572" s="234"/>
      <c r="G572" s="234">
        <v>44</v>
      </c>
      <c r="H572" s="234">
        <v>3</v>
      </c>
      <c r="I572" s="234"/>
      <c r="J572" s="234" t="s">
        <v>22</v>
      </c>
      <c r="K572" s="234">
        <v>0</v>
      </c>
      <c r="L572" s="234">
        <v>53</v>
      </c>
      <c r="M572" s="234">
        <v>0</v>
      </c>
    </row>
    <row r="573" spans="1:13" s="230" customFormat="1" ht="8.65" customHeight="1" x14ac:dyDescent="0.25">
      <c r="A573" s="230" t="s">
        <v>43</v>
      </c>
      <c r="B573" s="234">
        <f t="shared" si="15"/>
        <v>296</v>
      </c>
      <c r="C573" s="234">
        <v>253</v>
      </c>
      <c r="D573" s="234">
        <v>4</v>
      </c>
      <c r="E573" s="234">
        <v>23</v>
      </c>
      <c r="F573" s="234"/>
      <c r="G573" s="234">
        <v>15</v>
      </c>
      <c r="H573" s="234">
        <v>1</v>
      </c>
      <c r="I573" s="234"/>
      <c r="J573" s="234" t="s">
        <v>22</v>
      </c>
      <c r="K573" s="234">
        <v>0</v>
      </c>
      <c r="L573" s="234">
        <v>0</v>
      </c>
      <c r="M573" s="234">
        <v>0</v>
      </c>
    </row>
    <row r="574" spans="1:13" s="230" customFormat="1" ht="8.65" customHeight="1" x14ac:dyDescent="0.25">
      <c r="A574" s="230" t="s">
        <v>44</v>
      </c>
      <c r="B574" s="234">
        <f t="shared" si="15"/>
        <v>234</v>
      </c>
      <c r="C574" s="234">
        <v>207</v>
      </c>
      <c r="D574" s="234">
        <v>0</v>
      </c>
      <c r="E574" s="234">
        <v>14</v>
      </c>
      <c r="F574" s="234"/>
      <c r="G574" s="234">
        <v>10</v>
      </c>
      <c r="H574" s="234">
        <v>0</v>
      </c>
      <c r="I574" s="234"/>
      <c r="J574" s="234" t="s">
        <v>22</v>
      </c>
      <c r="K574" s="234">
        <v>3</v>
      </c>
      <c r="L574" s="234">
        <v>0</v>
      </c>
      <c r="M574" s="234">
        <v>0</v>
      </c>
    </row>
    <row r="575" spans="1:13" s="230" customFormat="1" ht="8.65" customHeight="1" x14ac:dyDescent="0.25">
      <c r="A575" s="235" t="s">
        <v>45</v>
      </c>
      <c r="B575" s="236">
        <f t="shared" si="15"/>
        <v>631</v>
      </c>
      <c r="C575" s="236">
        <v>325</v>
      </c>
      <c r="D575" s="236">
        <v>238</v>
      </c>
      <c r="E575" s="236">
        <v>36</v>
      </c>
      <c r="F575" s="236"/>
      <c r="G575" s="236">
        <v>29</v>
      </c>
      <c r="H575" s="236">
        <v>2</v>
      </c>
      <c r="I575" s="236"/>
      <c r="J575" s="236" t="s">
        <v>22</v>
      </c>
      <c r="K575" s="236">
        <v>0</v>
      </c>
      <c r="L575" s="236">
        <v>1</v>
      </c>
      <c r="M575" s="236">
        <v>0</v>
      </c>
    </row>
    <row r="576" spans="1:13" s="230" customFormat="1" ht="8.65" customHeight="1" x14ac:dyDescent="0.25">
      <c r="A576" s="230" t="s">
        <v>46</v>
      </c>
      <c r="B576" s="234">
        <f t="shared" si="15"/>
        <v>522</v>
      </c>
      <c r="C576" s="234">
        <v>300</v>
      </c>
      <c r="D576" s="234">
        <v>130</v>
      </c>
      <c r="E576" s="234">
        <v>48</v>
      </c>
      <c r="F576" s="234"/>
      <c r="G576" s="234">
        <v>38</v>
      </c>
      <c r="H576" s="234">
        <v>2</v>
      </c>
      <c r="I576" s="234"/>
      <c r="J576" s="234" t="s">
        <v>22</v>
      </c>
      <c r="K576" s="234">
        <v>2</v>
      </c>
      <c r="L576" s="234">
        <v>2</v>
      </c>
      <c r="M576" s="234">
        <v>0</v>
      </c>
    </row>
    <row r="577" spans="1:13" s="230" customFormat="1" ht="8.65" customHeight="1" x14ac:dyDescent="0.25">
      <c r="A577" s="230" t="s">
        <v>47</v>
      </c>
      <c r="B577" s="234">
        <f t="shared" si="15"/>
        <v>441</v>
      </c>
      <c r="C577" s="234">
        <v>296</v>
      </c>
      <c r="D577" s="234">
        <v>5</v>
      </c>
      <c r="E577" s="234">
        <v>74</v>
      </c>
      <c r="F577" s="234"/>
      <c r="G577" s="234">
        <v>40</v>
      </c>
      <c r="H577" s="234">
        <v>2</v>
      </c>
      <c r="I577" s="234"/>
      <c r="J577" s="234" t="s">
        <v>22</v>
      </c>
      <c r="K577" s="234">
        <v>2</v>
      </c>
      <c r="L577" s="234">
        <v>22</v>
      </c>
      <c r="M577" s="234">
        <v>0</v>
      </c>
    </row>
    <row r="578" spans="1:13" s="230" customFormat="1" ht="8.65" customHeight="1" x14ac:dyDescent="0.25">
      <c r="A578" s="230" t="s">
        <v>48</v>
      </c>
      <c r="B578" s="234">
        <f t="shared" si="15"/>
        <v>707</v>
      </c>
      <c r="C578" s="234">
        <v>610</v>
      </c>
      <c r="D578" s="234">
        <v>0</v>
      </c>
      <c r="E578" s="234">
        <v>34</v>
      </c>
      <c r="F578" s="234"/>
      <c r="G578" s="234">
        <v>26</v>
      </c>
      <c r="H578" s="234">
        <v>12</v>
      </c>
      <c r="I578" s="234"/>
      <c r="J578" s="234" t="s">
        <v>22</v>
      </c>
      <c r="K578" s="234">
        <v>1</v>
      </c>
      <c r="L578" s="234">
        <v>24</v>
      </c>
      <c r="M578" s="234">
        <v>0</v>
      </c>
    </row>
    <row r="579" spans="1:13" s="230" customFormat="1" ht="8.65" customHeight="1" x14ac:dyDescent="0.25">
      <c r="A579" s="235" t="s">
        <v>49</v>
      </c>
      <c r="B579" s="236">
        <f t="shared" si="15"/>
        <v>593</v>
      </c>
      <c r="C579" s="236">
        <v>385</v>
      </c>
      <c r="D579" s="236">
        <v>117</v>
      </c>
      <c r="E579" s="236">
        <v>48</v>
      </c>
      <c r="F579" s="236"/>
      <c r="G579" s="236">
        <v>33</v>
      </c>
      <c r="H579" s="236">
        <v>8</v>
      </c>
      <c r="I579" s="236"/>
      <c r="J579" s="236" t="s">
        <v>22</v>
      </c>
      <c r="K579" s="236">
        <v>2</v>
      </c>
      <c r="L579" s="236">
        <v>0</v>
      </c>
      <c r="M579" s="236">
        <v>0</v>
      </c>
    </row>
    <row r="580" spans="1:13" s="230" customFormat="1" ht="8.65" customHeight="1" x14ac:dyDescent="0.25">
      <c r="A580" s="230" t="s">
        <v>50</v>
      </c>
      <c r="B580" s="234">
        <f t="shared" si="15"/>
        <v>226</v>
      </c>
      <c r="C580" s="234">
        <v>201</v>
      </c>
      <c r="D580" s="234">
        <v>3</v>
      </c>
      <c r="E580" s="234">
        <v>17</v>
      </c>
      <c r="F580" s="234"/>
      <c r="G580" s="234">
        <v>5</v>
      </c>
      <c r="H580" s="234">
        <v>0</v>
      </c>
      <c r="I580" s="234"/>
      <c r="J580" s="234" t="s">
        <v>22</v>
      </c>
      <c r="K580" s="234">
        <v>0</v>
      </c>
      <c r="L580" s="234">
        <v>0</v>
      </c>
      <c r="M580" s="234">
        <v>0</v>
      </c>
    </row>
    <row r="581" spans="1:13" s="230" customFormat="1" ht="8.65" customHeight="1" x14ac:dyDescent="0.25">
      <c r="A581" s="230" t="s">
        <v>51</v>
      </c>
      <c r="B581" s="234">
        <f t="shared" si="15"/>
        <v>1742</v>
      </c>
      <c r="C581" s="234">
        <v>885</v>
      </c>
      <c r="D581" s="234">
        <v>613</v>
      </c>
      <c r="E581" s="234">
        <v>125</v>
      </c>
      <c r="F581" s="234"/>
      <c r="G581" s="234">
        <v>85</v>
      </c>
      <c r="H581" s="234">
        <v>28</v>
      </c>
      <c r="I581" s="234"/>
      <c r="J581" s="234" t="s">
        <v>22</v>
      </c>
      <c r="K581" s="234">
        <v>5</v>
      </c>
      <c r="L581" s="234">
        <v>0</v>
      </c>
      <c r="M581" s="234">
        <v>1</v>
      </c>
    </row>
    <row r="582" spans="1:13" s="230" customFormat="1" ht="8.65" customHeight="1" x14ac:dyDescent="0.25">
      <c r="A582" s="230" t="s">
        <v>52</v>
      </c>
      <c r="B582" s="234">
        <f t="shared" si="15"/>
        <v>340</v>
      </c>
      <c r="C582" s="234">
        <v>192</v>
      </c>
      <c r="D582" s="234">
        <v>99</v>
      </c>
      <c r="E582" s="234">
        <v>31</v>
      </c>
      <c r="F582" s="234"/>
      <c r="G582" s="234">
        <v>16</v>
      </c>
      <c r="H582" s="234">
        <v>1</v>
      </c>
      <c r="I582" s="234"/>
      <c r="J582" s="234" t="s">
        <v>22</v>
      </c>
      <c r="K582" s="234">
        <v>1</v>
      </c>
      <c r="L582" s="234">
        <v>0</v>
      </c>
      <c r="M582" s="234">
        <v>0</v>
      </c>
    </row>
    <row r="583" spans="1:13" s="230" customFormat="1" ht="8.65" customHeight="1" x14ac:dyDescent="0.25">
      <c r="A583" s="235" t="s">
        <v>53</v>
      </c>
      <c r="B583" s="236">
        <f t="shared" si="15"/>
        <v>491</v>
      </c>
      <c r="C583" s="236">
        <v>251</v>
      </c>
      <c r="D583" s="236">
        <v>169</v>
      </c>
      <c r="E583" s="236">
        <v>36</v>
      </c>
      <c r="F583" s="236"/>
      <c r="G583" s="236">
        <v>35</v>
      </c>
      <c r="H583" s="236">
        <v>0</v>
      </c>
      <c r="I583" s="236"/>
      <c r="J583" s="236" t="s">
        <v>22</v>
      </c>
      <c r="K583" s="236">
        <v>0</v>
      </c>
      <c r="L583" s="236">
        <v>0</v>
      </c>
      <c r="M583" s="236">
        <v>0</v>
      </c>
    </row>
    <row r="584" spans="1:13" s="230" customFormat="1" ht="8.65" customHeight="1" x14ac:dyDescent="0.25">
      <c r="A584" s="231"/>
      <c r="B584" s="232"/>
      <c r="C584" s="232"/>
      <c r="D584" s="232"/>
      <c r="E584" s="232"/>
      <c r="F584" s="232"/>
      <c r="G584" s="232"/>
      <c r="H584" s="232"/>
      <c r="I584" s="232"/>
      <c r="J584" s="232"/>
      <c r="K584" s="232"/>
      <c r="L584" s="232"/>
      <c r="M584" s="232"/>
    </row>
    <row r="585" spans="1:13" s="230" customFormat="1" ht="8.65" customHeight="1" x14ac:dyDescent="0.25">
      <c r="A585" s="228">
        <v>2011</v>
      </c>
      <c r="B585" s="244"/>
      <c r="C585" s="244"/>
      <c r="D585" s="244"/>
      <c r="E585" s="244"/>
      <c r="F585" s="244"/>
      <c r="G585" s="229"/>
      <c r="H585" s="229"/>
      <c r="I585" s="229"/>
      <c r="J585" s="229"/>
      <c r="K585" s="229"/>
      <c r="M585" s="244"/>
    </row>
    <row r="586" spans="1:13" s="230" customFormat="1" ht="8.65" customHeight="1" x14ac:dyDescent="0.25">
      <c r="A586" s="231" t="s">
        <v>21</v>
      </c>
      <c r="B586" s="232">
        <f>SUM(B588:B619)</f>
        <v>21738</v>
      </c>
      <c r="C586" s="232">
        <f>SUM(C588:C619)</f>
        <v>14546</v>
      </c>
      <c r="D586" s="232">
        <f>SUM(D588:D619)</f>
        <v>4167</v>
      </c>
      <c r="E586" s="232">
        <f>SUM(E588:E619)</f>
        <v>1416</v>
      </c>
      <c r="F586" s="232"/>
      <c r="G586" s="232">
        <f>SUM(G588:G619)</f>
        <v>1181</v>
      </c>
      <c r="H586" s="232">
        <f>SUM(H588:H619)</f>
        <v>84</v>
      </c>
      <c r="I586" s="232"/>
      <c r="J586" s="232">
        <f>SUM(J588:J619)</f>
        <v>44</v>
      </c>
      <c r="K586" s="232">
        <f>SUM(K588:K619)</f>
        <v>37</v>
      </c>
      <c r="L586" s="232">
        <f>SUM(L588:L619)</f>
        <v>255</v>
      </c>
      <c r="M586" s="232">
        <f>SUM(M588:M619)</f>
        <v>8</v>
      </c>
    </row>
    <row r="587" spans="1:13" s="230" customFormat="1" ht="3.95" customHeight="1" x14ac:dyDescent="0.25">
      <c r="A587" s="231"/>
      <c r="B587" s="232"/>
      <c r="C587" s="232"/>
      <c r="D587" s="232"/>
      <c r="E587" s="232"/>
      <c r="F587" s="232"/>
      <c r="G587" s="232"/>
      <c r="H587" s="232"/>
      <c r="I587" s="232"/>
      <c r="J587" s="232"/>
      <c r="K587" s="232"/>
      <c r="L587" s="232"/>
      <c r="M587" s="232"/>
    </row>
    <row r="588" spans="1:13" s="230" customFormat="1" ht="8.65" customHeight="1" x14ac:dyDescent="0.25">
      <c r="A588" s="230" t="s">
        <v>23</v>
      </c>
      <c r="B588" s="234">
        <f>SUM(C588:M588)</f>
        <v>133</v>
      </c>
      <c r="C588" s="234">
        <v>107</v>
      </c>
      <c r="D588" s="234">
        <v>0</v>
      </c>
      <c r="E588" s="234">
        <v>13</v>
      </c>
      <c r="F588" s="234"/>
      <c r="G588" s="234">
        <v>10</v>
      </c>
      <c r="H588" s="234">
        <v>1</v>
      </c>
      <c r="I588" s="234"/>
      <c r="J588" s="234">
        <v>0</v>
      </c>
      <c r="K588" s="234">
        <v>0</v>
      </c>
      <c r="L588" s="234">
        <v>1</v>
      </c>
      <c r="M588" s="234">
        <v>1</v>
      </c>
    </row>
    <row r="589" spans="1:13" s="230" customFormat="1" ht="8.65" customHeight="1" x14ac:dyDescent="0.25">
      <c r="A589" s="230" t="s">
        <v>24</v>
      </c>
      <c r="B589" s="234">
        <f t="shared" ref="B589:B619" si="16">SUM(C589:M589)</f>
        <v>306</v>
      </c>
      <c r="C589" s="234">
        <v>213</v>
      </c>
      <c r="D589" s="234">
        <v>16</v>
      </c>
      <c r="E589" s="234">
        <v>36</v>
      </c>
      <c r="F589" s="234"/>
      <c r="G589" s="234">
        <v>14</v>
      </c>
      <c r="H589" s="234">
        <v>1</v>
      </c>
      <c r="I589" s="234"/>
      <c r="J589" s="234">
        <v>2</v>
      </c>
      <c r="K589" s="234">
        <v>1</v>
      </c>
      <c r="L589" s="234">
        <v>23</v>
      </c>
      <c r="M589" s="234">
        <v>0</v>
      </c>
    </row>
    <row r="590" spans="1:13" s="230" customFormat="1" ht="8.65" customHeight="1" x14ac:dyDescent="0.25">
      <c r="A590" s="230" t="s">
        <v>25</v>
      </c>
      <c r="B590" s="234">
        <f t="shared" si="16"/>
        <v>143</v>
      </c>
      <c r="C590" s="234">
        <v>89</v>
      </c>
      <c r="D590" s="234">
        <v>0</v>
      </c>
      <c r="E590" s="234">
        <v>20</v>
      </c>
      <c r="F590" s="234"/>
      <c r="G590" s="234">
        <v>30</v>
      </c>
      <c r="H590" s="234">
        <v>0</v>
      </c>
      <c r="I590" s="234"/>
      <c r="J590" s="234">
        <v>1</v>
      </c>
      <c r="K590" s="234">
        <v>3</v>
      </c>
      <c r="L590" s="234">
        <v>0</v>
      </c>
      <c r="M590" s="234">
        <v>0</v>
      </c>
    </row>
    <row r="591" spans="1:13" s="230" customFormat="1" ht="8.65" customHeight="1" x14ac:dyDescent="0.25">
      <c r="A591" s="235" t="s">
        <v>26</v>
      </c>
      <c r="B591" s="236">
        <f t="shared" si="16"/>
        <v>235</v>
      </c>
      <c r="C591" s="236">
        <v>159</v>
      </c>
      <c r="D591" s="236">
        <v>49</v>
      </c>
      <c r="E591" s="236">
        <v>12</v>
      </c>
      <c r="F591" s="236"/>
      <c r="G591" s="236">
        <v>11</v>
      </c>
      <c r="H591" s="236">
        <v>1</v>
      </c>
      <c r="I591" s="236"/>
      <c r="J591" s="236">
        <v>0</v>
      </c>
      <c r="K591" s="236">
        <v>3</v>
      </c>
      <c r="L591" s="236">
        <v>0</v>
      </c>
      <c r="M591" s="236">
        <v>0</v>
      </c>
    </row>
    <row r="592" spans="1:13" s="230" customFormat="1" ht="8.65" customHeight="1" x14ac:dyDescent="0.25">
      <c r="A592" s="230" t="s">
        <v>27</v>
      </c>
      <c r="B592" s="234">
        <f t="shared" si="16"/>
        <v>435</v>
      </c>
      <c r="C592" s="234">
        <v>256</v>
      </c>
      <c r="D592" s="234">
        <v>93</v>
      </c>
      <c r="E592" s="234">
        <v>52</v>
      </c>
      <c r="F592" s="234"/>
      <c r="G592" s="234">
        <v>29</v>
      </c>
      <c r="H592" s="234">
        <v>1</v>
      </c>
      <c r="I592" s="234"/>
      <c r="J592" s="234">
        <v>1</v>
      </c>
      <c r="K592" s="234">
        <v>0</v>
      </c>
      <c r="L592" s="234">
        <v>0</v>
      </c>
      <c r="M592" s="234">
        <v>3</v>
      </c>
    </row>
    <row r="593" spans="1:13" s="230" customFormat="1" ht="8.65" customHeight="1" x14ac:dyDescent="0.25">
      <c r="A593" s="230" t="s">
        <v>28</v>
      </c>
      <c r="B593" s="234">
        <f t="shared" si="16"/>
        <v>175</v>
      </c>
      <c r="C593" s="234">
        <v>156</v>
      </c>
      <c r="D593" s="234">
        <v>0</v>
      </c>
      <c r="E593" s="234">
        <v>13</v>
      </c>
      <c r="F593" s="234"/>
      <c r="G593" s="234">
        <v>5</v>
      </c>
      <c r="H593" s="234">
        <v>0</v>
      </c>
      <c r="I593" s="234"/>
      <c r="J593" s="234">
        <v>0</v>
      </c>
      <c r="K593" s="234">
        <v>1</v>
      </c>
      <c r="L593" s="234">
        <v>0</v>
      </c>
      <c r="M593" s="234">
        <v>0</v>
      </c>
    </row>
    <row r="594" spans="1:13" s="230" customFormat="1" ht="8.65" customHeight="1" x14ac:dyDescent="0.25">
      <c r="A594" s="230" t="s">
        <v>29</v>
      </c>
      <c r="B594" s="234">
        <f t="shared" si="16"/>
        <v>1743</v>
      </c>
      <c r="C594" s="234">
        <v>1052</v>
      </c>
      <c r="D594" s="234">
        <v>596</v>
      </c>
      <c r="E594" s="234">
        <v>31</v>
      </c>
      <c r="F594" s="234"/>
      <c r="G594" s="234">
        <v>48</v>
      </c>
      <c r="H594" s="234">
        <v>1</v>
      </c>
      <c r="I594" s="234"/>
      <c r="J594" s="234">
        <v>1</v>
      </c>
      <c r="K594" s="234">
        <v>2</v>
      </c>
      <c r="L594" s="234">
        <v>12</v>
      </c>
      <c r="M594" s="234">
        <v>0</v>
      </c>
    </row>
    <row r="595" spans="1:13" s="230" customFormat="1" ht="8.65" customHeight="1" x14ac:dyDescent="0.25">
      <c r="A595" s="235" t="s">
        <v>30</v>
      </c>
      <c r="B595" s="236">
        <f t="shared" si="16"/>
        <v>572</v>
      </c>
      <c r="C595" s="236">
        <v>299</v>
      </c>
      <c r="D595" s="236">
        <v>162</v>
      </c>
      <c r="E595" s="236">
        <v>59</v>
      </c>
      <c r="F595" s="236"/>
      <c r="G595" s="236">
        <v>49</v>
      </c>
      <c r="H595" s="236">
        <v>1</v>
      </c>
      <c r="I595" s="236"/>
      <c r="J595" s="236">
        <v>2</v>
      </c>
      <c r="K595" s="236">
        <v>0</v>
      </c>
      <c r="L595" s="236">
        <v>0</v>
      </c>
      <c r="M595" s="236">
        <v>0</v>
      </c>
    </row>
    <row r="596" spans="1:13" s="230" customFormat="1" ht="8.65" customHeight="1" x14ac:dyDescent="0.25">
      <c r="A596" s="405" t="s">
        <v>63</v>
      </c>
      <c r="B596" s="234">
        <f t="shared" si="16"/>
        <v>653</v>
      </c>
      <c r="C596" s="234">
        <v>416</v>
      </c>
      <c r="D596" s="234">
        <v>21</v>
      </c>
      <c r="E596" s="234">
        <v>85</v>
      </c>
      <c r="F596" s="234"/>
      <c r="G596" s="234">
        <v>103</v>
      </c>
      <c r="H596" s="234">
        <v>3</v>
      </c>
      <c r="I596" s="234"/>
      <c r="J596" s="234">
        <v>7</v>
      </c>
      <c r="K596" s="234">
        <v>4</v>
      </c>
      <c r="L596" s="234">
        <v>14</v>
      </c>
      <c r="M596" s="234">
        <v>0</v>
      </c>
    </row>
    <row r="597" spans="1:13" s="230" customFormat="1" ht="8.65" customHeight="1" x14ac:dyDescent="0.25">
      <c r="A597" s="230" t="s">
        <v>31</v>
      </c>
      <c r="B597" s="234">
        <f t="shared" si="16"/>
        <v>519</v>
      </c>
      <c r="C597" s="234">
        <v>272</v>
      </c>
      <c r="D597" s="234">
        <v>170</v>
      </c>
      <c r="E597" s="234">
        <v>35</v>
      </c>
      <c r="F597" s="234"/>
      <c r="G597" s="234">
        <v>40</v>
      </c>
      <c r="H597" s="234">
        <v>1</v>
      </c>
      <c r="I597" s="234"/>
      <c r="J597" s="234">
        <v>1</v>
      </c>
      <c r="K597" s="234">
        <v>0</v>
      </c>
      <c r="L597" s="234">
        <v>0</v>
      </c>
      <c r="M597" s="234">
        <v>0</v>
      </c>
    </row>
    <row r="598" spans="1:13" s="230" customFormat="1" ht="8.65" customHeight="1" x14ac:dyDescent="0.25">
      <c r="A598" s="230" t="s">
        <v>32</v>
      </c>
      <c r="B598" s="234">
        <f t="shared" si="16"/>
        <v>705</v>
      </c>
      <c r="C598" s="234">
        <v>603</v>
      </c>
      <c r="D598" s="234">
        <v>11</v>
      </c>
      <c r="E598" s="234">
        <v>48</v>
      </c>
      <c r="F598" s="234"/>
      <c r="G598" s="234">
        <v>41</v>
      </c>
      <c r="H598" s="234">
        <v>1</v>
      </c>
      <c r="I598" s="234"/>
      <c r="J598" s="234">
        <v>1</v>
      </c>
      <c r="K598" s="234">
        <v>0</v>
      </c>
      <c r="L598" s="234">
        <v>0</v>
      </c>
      <c r="M598" s="234">
        <v>0</v>
      </c>
    </row>
    <row r="599" spans="1:13" s="230" customFormat="1" ht="8.65" customHeight="1" x14ac:dyDescent="0.25">
      <c r="A599" s="235" t="s">
        <v>33</v>
      </c>
      <c r="B599" s="236">
        <f t="shared" si="16"/>
        <v>1170</v>
      </c>
      <c r="C599" s="236">
        <v>1057</v>
      </c>
      <c r="D599" s="236">
        <v>38</v>
      </c>
      <c r="E599" s="236">
        <v>21</v>
      </c>
      <c r="F599" s="236"/>
      <c r="G599" s="236">
        <v>50</v>
      </c>
      <c r="H599" s="236">
        <v>0</v>
      </c>
      <c r="I599" s="236"/>
      <c r="J599" s="236">
        <v>2</v>
      </c>
      <c r="K599" s="236">
        <v>2</v>
      </c>
      <c r="L599" s="236">
        <v>0</v>
      </c>
      <c r="M599" s="236">
        <v>0</v>
      </c>
    </row>
    <row r="600" spans="1:13" s="230" customFormat="1" ht="8.65" customHeight="1" x14ac:dyDescent="0.25">
      <c r="A600" s="230" t="s">
        <v>34</v>
      </c>
      <c r="B600" s="234">
        <f t="shared" si="16"/>
        <v>962</v>
      </c>
      <c r="C600" s="234">
        <v>666</v>
      </c>
      <c r="D600" s="234">
        <v>238</v>
      </c>
      <c r="E600" s="234">
        <v>20</v>
      </c>
      <c r="F600" s="234"/>
      <c r="G600" s="234">
        <v>36</v>
      </c>
      <c r="H600" s="234">
        <v>2</v>
      </c>
      <c r="I600" s="234"/>
      <c r="J600" s="234">
        <v>0</v>
      </c>
      <c r="K600" s="234">
        <v>0</v>
      </c>
      <c r="L600" s="234">
        <v>0</v>
      </c>
      <c r="M600" s="234">
        <v>0</v>
      </c>
    </row>
    <row r="601" spans="1:13" s="230" customFormat="1" ht="8.65" customHeight="1" x14ac:dyDescent="0.25">
      <c r="A601" s="230" t="s">
        <v>35</v>
      </c>
      <c r="B601" s="234">
        <f t="shared" si="16"/>
        <v>1066</v>
      </c>
      <c r="C601" s="234">
        <v>835</v>
      </c>
      <c r="D601" s="234">
        <v>9</v>
      </c>
      <c r="E601" s="234">
        <v>126</v>
      </c>
      <c r="F601" s="234"/>
      <c r="G601" s="234">
        <v>89</v>
      </c>
      <c r="H601" s="234">
        <v>2</v>
      </c>
      <c r="I601" s="234"/>
      <c r="J601" s="234">
        <v>3</v>
      </c>
      <c r="K601" s="234">
        <v>1</v>
      </c>
      <c r="L601" s="234">
        <v>0</v>
      </c>
      <c r="M601" s="234">
        <v>1</v>
      </c>
    </row>
    <row r="602" spans="1:13" s="230" customFormat="1" ht="8.65" customHeight="1" x14ac:dyDescent="0.25">
      <c r="A602" s="230" t="s">
        <v>36</v>
      </c>
      <c r="B602" s="234">
        <f t="shared" si="16"/>
        <v>1498</v>
      </c>
      <c r="C602" s="234">
        <v>1207</v>
      </c>
      <c r="D602" s="234">
        <v>37</v>
      </c>
      <c r="E602" s="234">
        <v>104</v>
      </c>
      <c r="F602" s="234"/>
      <c r="G602" s="234">
        <v>42</v>
      </c>
      <c r="H602" s="234">
        <v>2</v>
      </c>
      <c r="I602" s="234"/>
      <c r="J602" s="234">
        <v>8</v>
      </c>
      <c r="K602" s="234">
        <v>0</v>
      </c>
      <c r="L602" s="234">
        <v>98</v>
      </c>
      <c r="M602" s="234">
        <v>0</v>
      </c>
    </row>
    <row r="603" spans="1:13" s="230" customFormat="1" ht="8.65" customHeight="1" x14ac:dyDescent="0.25">
      <c r="A603" s="235" t="s">
        <v>37</v>
      </c>
      <c r="B603" s="236">
        <f t="shared" si="16"/>
        <v>1053</v>
      </c>
      <c r="C603" s="236">
        <v>542</v>
      </c>
      <c r="D603" s="236">
        <v>386</v>
      </c>
      <c r="E603" s="236">
        <v>55</v>
      </c>
      <c r="F603" s="236"/>
      <c r="G603" s="236">
        <v>67</v>
      </c>
      <c r="H603" s="236">
        <v>1</v>
      </c>
      <c r="I603" s="236"/>
      <c r="J603" s="236">
        <v>1</v>
      </c>
      <c r="K603" s="236">
        <v>1</v>
      </c>
      <c r="L603" s="236">
        <v>0</v>
      </c>
      <c r="M603" s="236">
        <v>0</v>
      </c>
    </row>
    <row r="604" spans="1:13" s="230" customFormat="1" ht="8.65" customHeight="1" x14ac:dyDescent="0.25">
      <c r="A604" s="230" t="s">
        <v>38</v>
      </c>
      <c r="B604" s="234">
        <f t="shared" si="16"/>
        <v>302</v>
      </c>
      <c r="C604" s="234">
        <v>245</v>
      </c>
      <c r="D604" s="234">
        <v>4</v>
      </c>
      <c r="E604" s="234">
        <v>24</v>
      </c>
      <c r="F604" s="234"/>
      <c r="G604" s="234">
        <v>27</v>
      </c>
      <c r="H604" s="234">
        <v>1</v>
      </c>
      <c r="I604" s="234"/>
      <c r="J604" s="234">
        <v>1</v>
      </c>
      <c r="K604" s="234">
        <v>0</v>
      </c>
      <c r="L604" s="234">
        <v>0</v>
      </c>
      <c r="M604" s="234">
        <v>0</v>
      </c>
    </row>
    <row r="605" spans="1:13" s="230" customFormat="1" ht="8.65" customHeight="1" x14ac:dyDescent="0.25">
      <c r="A605" s="230" t="s">
        <v>39</v>
      </c>
      <c r="B605" s="234">
        <f t="shared" si="16"/>
        <v>409</v>
      </c>
      <c r="C605" s="234">
        <v>269</v>
      </c>
      <c r="D605" s="234">
        <v>86</v>
      </c>
      <c r="E605" s="234">
        <v>27</v>
      </c>
      <c r="F605" s="234"/>
      <c r="G605" s="234">
        <v>25</v>
      </c>
      <c r="H605" s="234">
        <v>0</v>
      </c>
      <c r="I605" s="234"/>
      <c r="J605" s="234">
        <v>0</v>
      </c>
      <c r="K605" s="234">
        <v>1</v>
      </c>
      <c r="L605" s="234">
        <v>1</v>
      </c>
      <c r="M605" s="234">
        <v>0</v>
      </c>
    </row>
    <row r="606" spans="1:13" s="230" customFormat="1" ht="8.65" customHeight="1" x14ac:dyDescent="0.25">
      <c r="A606" s="230" t="s">
        <v>40</v>
      </c>
      <c r="B606" s="234">
        <f t="shared" si="16"/>
        <v>615</v>
      </c>
      <c r="C606" s="234">
        <v>512</v>
      </c>
      <c r="D606" s="234">
        <v>3</v>
      </c>
      <c r="E606" s="234">
        <v>62</v>
      </c>
      <c r="F606" s="234"/>
      <c r="G606" s="234">
        <v>31</v>
      </c>
      <c r="H606" s="234">
        <v>3</v>
      </c>
      <c r="I606" s="234"/>
      <c r="J606" s="234">
        <v>0</v>
      </c>
      <c r="K606" s="234">
        <v>0</v>
      </c>
      <c r="L606" s="234">
        <v>2</v>
      </c>
      <c r="M606" s="234">
        <v>2</v>
      </c>
    </row>
    <row r="607" spans="1:13" s="230" customFormat="1" ht="8.65" customHeight="1" x14ac:dyDescent="0.25">
      <c r="A607" s="235" t="s">
        <v>41</v>
      </c>
      <c r="B607" s="236">
        <f t="shared" si="16"/>
        <v>1559</v>
      </c>
      <c r="C607" s="236">
        <v>935</v>
      </c>
      <c r="D607" s="236">
        <v>527</v>
      </c>
      <c r="E607" s="236">
        <v>33</v>
      </c>
      <c r="F607" s="236"/>
      <c r="G607" s="236">
        <v>57</v>
      </c>
      <c r="H607" s="236">
        <v>3</v>
      </c>
      <c r="I607" s="236"/>
      <c r="J607" s="236">
        <v>2</v>
      </c>
      <c r="K607" s="236">
        <v>2</v>
      </c>
      <c r="L607" s="236">
        <v>0</v>
      </c>
      <c r="M607" s="236">
        <v>0</v>
      </c>
    </row>
    <row r="608" spans="1:13" s="230" customFormat="1" ht="8.65" customHeight="1" x14ac:dyDescent="0.25">
      <c r="A608" s="230" t="s">
        <v>42</v>
      </c>
      <c r="B608" s="234">
        <f t="shared" si="16"/>
        <v>1194</v>
      </c>
      <c r="C608" s="234">
        <v>695</v>
      </c>
      <c r="D608" s="234">
        <v>343</v>
      </c>
      <c r="E608" s="234">
        <v>54</v>
      </c>
      <c r="F608" s="234"/>
      <c r="G608" s="234">
        <v>45</v>
      </c>
      <c r="H608" s="234">
        <v>3</v>
      </c>
      <c r="I608" s="234"/>
      <c r="J608" s="234">
        <v>1</v>
      </c>
      <c r="K608" s="234">
        <v>0</v>
      </c>
      <c r="L608" s="234">
        <v>53</v>
      </c>
      <c r="M608" s="234">
        <v>0</v>
      </c>
    </row>
    <row r="609" spans="1:13" s="230" customFormat="1" ht="8.65" customHeight="1" x14ac:dyDescent="0.25">
      <c r="A609" s="230" t="s">
        <v>43</v>
      </c>
      <c r="B609" s="234">
        <f t="shared" si="16"/>
        <v>307</v>
      </c>
      <c r="C609" s="234">
        <v>264</v>
      </c>
      <c r="D609" s="234">
        <v>4</v>
      </c>
      <c r="E609" s="234">
        <v>23</v>
      </c>
      <c r="F609" s="234"/>
      <c r="G609" s="234">
        <v>15</v>
      </c>
      <c r="H609" s="234">
        <v>1</v>
      </c>
      <c r="I609" s="234"/>
      <c r="J609" s="234">
        <v>0</v>
      </c>
      <c r="K609" s="234">
        <v>0</v>
      </c>
      <c r="L609" s="234">
        <v>0</v>
      </c>
      <c r="M609" s="234">
        <v>0</v>
      </c>
    </row>
    <row r="610" spans="1:13" s="230" customFormat="1" ht="8.65" customHeight="1" x14ac:dyDescent="0.25">
      <c r="A610" s="230" t="s">
        <v>44</v>
      </c>
      <c r="B610" s="234">
        <f t="shared" si="16"/>
        <v>239</v>
      </c>
      <c r="C610" s="234">
        <v>211</v>
      </c>
      <c r="D610" s="234">
        <v>0</v>
      </c>
      <c r="E610" s="234">
        <v>14</v>
      </c>
      <c r="F610" s="234"/>
      <c r="G610" s="234">
        <v>10</v>
      </c>
      <c r="H610" s="234">
        <v>0</v>
      </c>
      <c r="I610" s="234"/>
      <c r="J610" s="234">
        <v>1</v>
      </c>
      <c r="K610" s="234">
        <v>3</v>
      </c>
      <c r="L610" s="234">
        <v>0</v>
      </c>
      <c r="M610" s="234">
        <v>0</v>
      </c>
    </row>
    <row r="611" spans="1:13" s="230" customFormat="1" ht="8.65" customHeight="1" x14ac:dyDescent="0.25">
      <c r="A611" s="235" t="s">
        <v>45</v>
      </c>
      <c r="B611" s="236">
        <f t="shared" si="16"/>
        <v>634</v>
      </c>
      <c r="C611" s="236">
        <v>327</v>
      </c>
      <c r="D611" s="236">
        <v>238</v>
      </c>
      <c r="E611" s="236">
        <v>36</v>
      </c>
      <c r="F611" s="236"/>
      <c r="G611" s="236">
        <v>29</v>
      </c>
      <c r="H611" s="236">
        <v>2</v>
      </c>
      <c r="I611" s="236"/>
      <c r="J611" s="236">
        <v>1</v>
      </c>
      <c r="K611" s="236">
        <v>0</v>
      </c>
      <c r="L611" s="236">
        <v>1</v>
      </c>
      <c r="M611" s="236">
        <v>0</v>
      </c>
    </row>
    <row r="612" spans="1:13" s="230" customFormat="1" ht="8.65" customHeight="1" x14ac:dyDescent="0.25">
      <c r="A612" s="230" t="s">
        <v>46</v>
      </c>
      <c r="B612" s="234">
        <f t="shared" si="16"/>
        <v>531</v>
      </c>
      <c r="C612" s="234">
        <v>308</v>
      </c>
      <c r="D612" s="234">
        <v>130</v>
      </c>
      <c r="E612" s="234">
        <v>48</v>
      </c>
      <c r="F612" s="234"/>
      <c r="G612" s="234">
        <v>38</v>
      </c>
      <c r="H612" s="234">
        <v>2</v>
      </c>
      <c r="I612" s="234"/>
      <c r="J612" s="234">
        <v>1</v>
      </c>
      <c r="K612" s="234">
        <v>2</v>
      </c>
      <c r="L612" s="234">
        <v>2</v>
      </c>
      <c r="M612" s="234">
        <v>0</v>
      </c>
    </row>
    <row r="613" spans="1:13" s="230" customFormat="1" ht="8.65" customHeight="1" x14ac:dyDescent="0.25">
      <c r="A613" s="230" t="s">
        <v>47</v>
      </c>
      <c r="B613" s="234">
        <f t="shared" si="16"/>
        <v>440</v>
      </c>
      <c r="C613" s="234">
        <v>294</v>
      </c>
      <c r="D613" s="234">
        <v>5</v>
      </c>
      <c r="E613" s="234">
        <v>74</v>
      </c>
      <c r="F613" s="234"/>
      <c r="G613" s="234">
        <v>40</v>
      </c>
      <c r="H613" s="234">
        <v>2</v>
      </c>
      <c r="I613" s="234"/>
      <c r="J613" s="234">
        <v>1</v>
      </c>
      <c r="K613" s="234">
        <v>2</v>
      </c>
      <c r="L613" s="234">
        <v>22</v>
      </c>
      <c r="M613" s="234">
        <v>0</v>
      </c>
    </row>
    <row r="614" spans="1:13" s="230" customFormat="1" ht="8.65" customHeight="1" x14ac:dyDescent="0.25">
      <c r="A614" s="230" t="s">
        <v>48</v>
      </c>
      <c r="B614" s="234">
        <f t="shared" si="16"/>
        <v>722</v>
      </c>
      <c r="C614" s="234">
        <v>622</v>
      </c>
      <c r="D614" s="234">
        <v>0</v>
      </c>
      <c r="E614" s="234">
        <v>34</v>
      </c>
      <c r="F614" s="234"/>
      <c r="G614" s="234">
        <v>26</v>
      </c>
      <c r="H614" s="234">
        <v>12</v>
      </c>
      <c r="I614" s="234"/>
      <c r="J614" s="234">
        <v>1</v>
      </c>
      <c r="K614" s="234">
        <v>1</v>
      </c>
      <c r="L614" s="234">
        <v>26</v>
      </c>
      <c r="M614" s="234">
        <v>0</v>
      </c>
    </row>
    <row r="615" spans="1:13" s="230" customFormat="1" ht="8.65" customHeight="1" x14ac:dyDescent="0.25">
      <c r="A615" s="235" t="s">
        <v>49</v>
      </c>
      <c r="B615" s="236">
        <f t="shared" si="16"/>
        <v>609</v>
      </c>
      <c r="C615" s="236">
        <v>400</v>
      </c>
      <c r="D615" s="236">
        <v>117</v>
      </c>
      <c r="E615" s="236">
        <v>48</v>
      </c>
      <c r="F615" s="236"/>
      <c r="G615" s="236">
        <v>33</v>
      </c>
      <c r="H615" s="236">
        <v>8</v>
      </c>
      <c r="I615" s="236"/>
      <c r="J615" s="236">
        <v>1</v>
      </c>
      <c r="K615" s="236">
        <v>2</v>
      </c>
      <c r="L615" s="236">
        <v>0</v>
      </c>
      <c r="M615" s="236">
        <v>0</v>
      </c>
    </row>
    <row r="616" spans="1:13" s="230" customFormat="1" ht="8.65" customHeight="1" x14ac:dyDescent="0.25">
      <c r="A616" s="230" t="s">
        <v>50</v>
      </c>
      <c r="B616" s="234">
        <f t="shared" si="16"/>
        <v>227</v>
      </c>
      <c r="C616" s="234">
        <v>202</v>
      </c>
      <c r="D616" s="234">
        <v>3</v>
      </c>
      <c r="E616" s="234">
        <v>17</v>
      </c>
      <c r="F616" s="234"/>
      <c r="G616" s="234">
        <v>5</v>
      </c>
      <c r="H616" s="234">
        <v>0</v>
      </c>
      <c r="I616" s="234"/>
      <c r="J616" s="234">
        <v>0</v>
      </c>
      <c r="K616" s="234">
        <v>0</v>
      </c>
      <c r="L616" s="234">
        <v>0</v>
      </c>
      <c r="M616" s="234">
        <v>0</v>
      </c>
    </row>
    <row r="617" spans="1:13" s="230" customFormat="1" ht="8.65" customHeight="1" x14ac:dyDescent="0.25">
      <c r="A617" s="230" t="s">
        <v>51</v>
      </c>
      <c r="B617" s="234">
        <f t="shared" si="16"/>
        <v>1746</v>
      </c>
      <c r="C617" s="234">
        <v>887</v>
      </c>
      <c r="D617" s="234">
        <v>613</v>
      </c>
      <c r="E617" s="234">
        <v>125</v>
      </c>
      <c r="F617" s="234"/>
      <c r="G617" s="234">
        <v>85</v>
      </c>
      <c r="H617" s="234">
        <v>28</v>
      </c>
      <c r="I617" s="234"/>
      <c r="J617" s="234">
        <v>2</v>
      </c>
      <c r="K617" s="234">
        <v>5</v>
      </c>
      <c r="L617" s="234">
        <v>0</v>
      </c>
      <c r="M617" s="234">
        <v>1</v>
      </c>
    </row>
    <row r="618" spans="1:13" s="230" customFormat="1" ht="8.65" customHeight="1" x14ac:dyDescent="0.25">
      <c r="A618" s="230" t="s">
        <v>52</v>
      </c>
      <c r="B618" s="234">
        <f t="shared" si="16"/>
        <v>342</v>
      </c>
      <c r="C618" s="234">
        <v>193</v>
      </c>
      <c r="D618" s="234">
        <v>99</v>
      </c>
      <c r="E618" s="234">
        <v>31</v>
      </c>
      <c r="F618" s="234"/>
      <c r="G618" s="234">
        <v>16</v>
      </c>
      <c r="H618" s="234">
        <v>1</v>
      </c>
      <c r="I618" s="234"/>
      <c r="J618" s="234">
        <v>1</v>
      </c>
      <c r="K618" s="234">
        <v>1</v>
      </c>
      <c r="L618" s="234">
        <v>0</v>
      </c>
      <c r="M618" s="234">
        <v>0</v>
      </c>
    </row>
    <row r="619" spans="1:13" s="230" customFormat="1" ht="8.65" customHeight="1" x14ac:dyDescent="0.25">
      <c r="A619" s="235" t="s">
        <v>53</v>
      </c>
      <c r="B619" s="236">
        <f t="shared" si="16"/>
        <v>494</v>
      </c>
      <c r="C619" s="236">
        <v>253</v>
      </c>
      <c r="D619" s="236">
        <v>169</v>
      </c>
      <c r="E619" s="236">
        <v>36</v>
      </c>
      <c r="F619" s="236"/>
      <c r="G619" s="236">
        <v>35</v>
      </c>
      <c r="H619" s="236">
        <v>0</v>
      </c>
      <c r="I619" s="236"/>
      <c r="J619" s="236">
        <v>1</v>
      </c>
      <c r="K619" s="236">
        <v>0</v>
      </c>
      <c r="L619" s="236">
        <v>0</v>
      </c>
      <c r="M619" s="236">
        <v>0</v>
      </c>
    </row>
    <row r="620" spans="1:13" s="230" customFormat="1" ht="9" customHeight="1" x14ac:dyDescent="0.25">
      <c r="B620" s="234"/>
      <c r="C620" s="234"/>
      <c r="D620" s="234"/>
      <c r="E620" s="234"/>
      <c r="F620" s="234"/>
      <c r="G620" s="234"/>
      <c r="H620" s="234"/>
      <c r="I620" s="234"/>
      <c r="J620" s="234"/>
      <c r="K620" s="234"/>
      <c r="L620" s="234"/>
      <c r="M620" s="234"/>
    </row>
    <row r="621" spans="1:13" s="230" customFormat="1" ht="9" customHeight="1" x14ac:dyDescent="0.25">
      <c r="A621" s="228">
        <v>2012</v>
      </c>
      <c r="B621" s="244"/>
      <c r="C621" s="244"/>
      <c r="D621" s="244"/>
      <c r="E621" s="244"/>
      <c r="F621" s="244"/>
      <c r="G621" s="229"/>
      <c r="H621" s="229"/>
      <c r="I621" s="229"/>
      <c r="J621" s="229"/>
      <c r="K621" s="229"/>
      <c r="M621" s="244"/>
    </row>
    <row r="622" spans="1:13" s="230" customFormat="1" ht="9" customHeight="1" x14ac:dyDescent="0.25">
      <c r="A622" s="231" t="s">
        <v>21</v>
      </c>
      <c r="B622" s="232">
        <f>SUM(B624:B655)</f>
        <v>22031</v>
      </c>
      <c r="C622" s="232">
        <f>SUM(C624:C655)</f>
        <v>14905</v>
      </c>
      <c r="D622" s="232">
        <f>SUM(D624:D655)</f>
        <v>4153</v>
      </c>
      <c r="E622" s="232">
        <f>SUM(E624:E655)</f>
        <v>1400</v>
      </c>
      <c r="F622" s="232"/>
      <c r="G622" s="232">
        <f>SUM(G624:G655)</f>
        <v>1175</v>
      </c>
      <c r="H622" s="232">
        <f>SUM(H624:H655)</f>
        <v>58</v>
      </c>
      <c r="I622" s="232"/>
      <c r="J622" s="232">
        <f>SUM(J624:J655)</f>
        <v>46</v>
      </c>
      <c r="K622" s="232">
        <f>SUM(K624:K655)</f>
        <v>36</v>
      </c>
      <c r="L622" s="232">
        <f>SUM(L624:L655)</f>
        <v>237</v>
      </c>
      <c r="M622" s="232">
        <f>SUM(M624:M655)</f>
        <v>21</v>
      </c>
    </row>
    <row r="623" spans="1:13" s="230" customFormat="1" ht="3.95" customHeight="1" x14ac:dyDescent="0.25">
      <c r="A623" s="231"/>
      <c r="B623" s="232"/>
      <c r="C623" s="232"/>
      <c r="D623" s="232"/>
      <c r="E623" s="232"/>
      <c r="F623" s="232"/>
      <c r="G623" s="232"/>
      <c r="H623" s="232"/>
      <c r="I623" s="232"/>
      <c r="J623" s="232"/>
      <c r="K623" s="232"/>
      <c r="L623" s="232"/>
      <c r="M623" s="232"/>
    </row>
    <row r="624" spans="1:13" s="230" customFormat="1" ht="8.65" customHeight="1" x14ac:dyDescent="0.25">
      <c r="A624" s="230" t="s">
        <v>23</v>
      </c>
      <c r="B624" s="234">
        <f>SUM(C624:M624)</f>
        <v>135</v>
      </c>
      <c r="C624" s="234">
        <v>110</v>
      </c>
      <c r="D624" s="234">
        <v>0</v>
      </c>
      <c r="E624" s="234">
        <v>13</v>
      </c>
      <c r="F624" s="234"/>
      <c r="G624" s="234">
        <v>10</v>
      </c>
      <c r="H624" s="234">
        <v>0</v>
      </c>
      <c r="I624" s="234"/>
      <c r="J624" s="234">
        <v>0</v>
      </c>
      <c r="K624" s="234">
        <v>0</v>
      </c>
      <c r="L624" s="234">
        <v>0</v>
      </c>
      <c r="M624" s="234">
        <v>2</v>
      </c>
    </row>
    <row r="625" spans="1:13" s="230" customFormat="1" ht="8.65" customHeight="1" x14ac:dyDescent="0.25">
      <c r="A625" s="230" t="s">
        <v>24</v>
      </c>
      <c r="B625" s="234">
        <f t="shared" ref="B625:B655" si="17">SUM(C625:M625)</f>
        <v>302</v>
      </c>
      <c r="C625" s="234">
        <v>212</v>
      </c>
      <c r="D625" s="234">
        <v>16</v>
      </c>
      <c r="E625" s="234">
        <v>37</v>
      </c>
      <c r="F625" s="234"/>
      <c r="G625" s="234">
        <v>14</v>
      </c>
      <c r="H625" s="234">
        <v>0</v>
      </c>
      <c r="I625" s="234"/>
      <c r="J625" s="234">
        <v>2</v>
      </c>
      <c r="K625" s="234">
        <v>2</v>
      </c>
      <c r="L625" s="234">
        <v>19</v>
      </c>
      <c r="M625" s="234">
        <v>0</v>
      </c>
    </row>
    <row r="626" spans="1:13" s="230" customFormat="1" ht="8.65" customHeight="1" x14ac:dyDescent="0.25">
      <c r="A626" s="230" t="s">
        <v>25</v>
      </c>
      <c r="B626" s="234">
        <f t="shared" si="17"/>
        <v>142</v>
      </c>
      <c r="C626" s="234">
        <v>89</v>
      </c>
      <c r="D626" s="234">
        <v>0</v>
      </c>
      <c r="E626" s="234">
        <v>20</v>
      </c>
      <c r="F626" s="234"/>
      <c r="G626" s="234">
        <v>30</v>
      </c>
      <c r="H626" s="234">
        <v>0</v>
      </c>
      <c r="I626" s="234"/>
      <c r="J626" s="234">
        <v>1</v>
      </c>
      <c r="K626" s="234">
        <v>2</v>
      </c>
      <c r="L626" s="234">
        <v>0</v>
      </c>
      <c r="M626" s="234">
        <v>0</v>
      </c>
    </row>
    <row r="627" spans="1:13" s="230" customFormat="1" ht="8.65" customHeight="1" x14ac:dyDescent="0.25">
      <c r="A627" s="235" t="s">
        <v>26</v>
      </c>
      <c r="B627" s="236">
        <f t="shared" si="17"/>
        <v>236</v>
      </c>
      <c r="C627" s="236">
        <v>161</v>
      </c>
      <c r="D627" s="236">
        <v>48</v>
      </c>
      <c r="E627" s="236">
        <v>12</v>
      </c>
      <c r="F627" s="236"/>
      <c r="G627" s="236">
        <v>11</v>
      </c>
      <c r="H627" s="236">
        <v>1</v>
      </c>
      <c r="I627" s="236"/>
      <c r="J627" s="236">
        <v>0</v>
      </c>
      <c r="K627" s="236">
        <v>3</v>
      </c>
      <c r="L627" s="236">
        <v>0</v>
      </c>
      <c r="M627" s="236">
        <v>0</v>
      </c>
    </row>
    <row r="628" spans="1:13" s="230" customFormat="1" ht="8.65" customHeight="1" x14ac:dyDescent="0.25">
      <c r="A628" s="230" t="s">
        <v>27</v>
      </c>
      <c r="B628" s="234">
        <f t="shared" si="17"/>
        <v>417</v>
      </c>
      <c r="C628" s="234">
        <v>242</v>
      </c>
      <c r="D628" s="234">
        <v>92</v>
      </c>
      <c r="E628" s="234">
        <v>51</v>
      </c>
      <c r="F628" s="234"/>
      <c r="G628" s="234">
        <v>28</v>
      </c>
      <c r="H628" s="234">
        <v>0</v>
      </c>
      <c r="I628" s="234"/>
      <c r="J628" s="234">
        <v>1</v>
      </c>
      <c r="K628" s="234">
        <v>0</v>
      </c>
      <c r="L628" s="234">
        <v>0</v>
      </c>
      <c r="M628" s="234">
        <v>3</v>
      </c>
    </row>
    <row r="629" spans="1:13" s="230" customFormat="1" ht="8.65" customHeight="1" x14ac:dyDescent="0.25">
      <c r="A629" s="230" t="s">
        <v>28</v>
      </c>
      <c r="B629" s="234">
        <f t="shared" si="17"/>
        <v>175</v>
      </c>
      <c r="C629" s="234">
        <v>156</v>
      </c>
      <c r="D629" s="234">
        <v>0</v>
      </c>
      <c r="E629" s="234">
        <v>13</v>
      </c>
      <c r="F629" s="234"/>
      <c r="G629" s="234">
        <v>5</v>
      </c>
      <c r="H629" s="234">
        <v>0</v>
      </c>
      <c r="I629" s="234"/>
      <c r="J629" s="234">
        <v>0</v>
      </c>
      <c r="K629" s="234">
        <v>1</v>
      </c>
      <c r="L629" s="234">
        <v>0</v>
      </c>
      <c r="M629" s="234">
        <v>0</v>
      </c>
    </row>
    <row r="630" spans="1:13" s="230" customFormat="1" ht="8.65" customHeight="1" x14ac:dyDescent="0.25">
      <c r="A630" s="230" t="s">
        <v>29</v>
      </c>
      <c r="B630" s="234">
        <f t="shared" si="17"/>
        <v>1771</v>
      </c>
      <c r="C630" s="234">
        <v>1080</v>
      </c>
      <c r="D630" s="234">
        <v>596</v>
      </c>
      <c r="E630" s="234">
        <v>31</v>
      </c>
      <c r="F630" s="234"/>
      <c r="G630" s="234">
        <v>48</v>
      </c>
      <c r="H630" s="234">
        <v>1</v>
      </c>
      <c r="I630" s="234"/>
      <c r="J630" s="234">
        <v>1</v>
      </c>
      <c r="K630" s="234">
        <v>2</v>
      </c>
      <c r="L630" s="234">
        <v>12</v>
      </c>
      <c r="M630" s="234">
        <v>0</v>
      </c>
    </row>
    <row r="631" spans="1:13" s="230" customFormat="1" ht="8.65" customHeight="1" x14ac:dyDescent="0.25">
      <c r="A631" s="235" t="s">
        <v>30</v>
      </c>
      <c r="B631" s="236">
        <f t="shared" si="17"/>
        <v>572</v>
      </c>
      <c r="C631" s="236">
        <v>300</v>
      </c>
      <c r="D631" s="236">
        <v>162</v>
      </c>
      <c r="E631" s="236">
        <v>57</v>
      </c>
      <c r="F631" s="236"/>
      <c r="G631" s="236">
        <v>49</v>
      </c>
      <c r="H631" s="236">
        <v>1</v>
      </c>
      <c r="I631" s="236"/>
      <c r="J631" s="236">
        <v>2</v>
      </c>
      <c r="K631" s="236">
        <v>0</v>
      </c>
      <c r="L631" s="236">
        <v>1</v>
      </c>
      <c r="M631" s="236">
        <v>0</v>
      </c>
    </row>
    <row r="632" spans="1:13" s="230" customFormat="1" ht="8.65" customHeight="1" x14ac:dyDescent="0.25">
      <c r="A632" s="405" t="s">
        <v>63</v>
      </c>
      <c r="B632" s="234">
        <f t="shared" si="17"/>
        <v>683</v>
      </c>
      <c r="C632" s="234">
        <v>439</v>
      </c>
      <c r="D632" s="234">
        <v>21</v>
      </c>
      <c r="E632" s="234">
        <v>79</v>
      </c>
      <c r="F632" s="234"/>
      <c r="G632" s="234">
        <v>100</v>
      </c>
      <c r="H632" s="234">
        <v>3</v>
      </c>
      <c r="I632" s="234"/>
      <c r="J632" s="234">
        <v>8</v>
      </c>
      <c r="K632" s="234">
        <v>3</v>
      </c>
      <c r="L632" s="234">
        <v>17</v>
      </c>
      <c r="M632" s="234">
        <v>13</v>
      </c>
    </row>
    <row r="633" spans="1:13" s="230" customFormat="1" ht="8.65" customHeight="1" x14ac:dyDescent="0.25">
      <c r="A633" s="230" t="s">
        <v>31</v>
      </c>
      <c r="B633" s="234">
        <f t="shared" si="17"/>
        <v>521</v>
      </c>
      <c r="C633" s="234">
        <v>272</v>
      </c>
      <c r="D633" s="234">
        <v>173</v>
      </c>
      <c r="E633" s="234">
        <v>34</v>
      </c>
      <c r="F633" s="234"/>
      <c r="G633" s="234">
        <v>40</v>
      </c>
      <c r="H633" s="234">
        <v>0</v>
      </c>
      <c r="I633" s="234"/>
      <c r="J633" s="234">
        <v>1</v>
      </c>
      <c r="K633" s="234">
        <v>0</v>
      </c>
      <c r="L633" s="234">
        <v>1</v>
      </c>
      <c r="M633" s="234">
        <v>0</v>
      </c>
    </row>
    <row r="634" spans="1:13" s="230" customFormat="1" ht="8.65" customHeight="1" x14ac:dyDescent="0.25">
      <c r="A634" s="230" t="s">
        <v>32</v>
      </c>
      <c r="B634" s="234">
        <f t="shared" si="17"/>
        <v>711</v>
      </c>
      <c r="C634" s="234">
        <v>609</v>
      </c>
      <c r="D634" s="234">
        <v>11</v>
      </c>
      <c r="E634" s="234">
        <v>48</v>
      </c>
      <c r="F634" s="234"/>
      <c r="G634" s="234">
        <v>41</v>
      </c>
      <c r="H634" s="234">
        <v>1</v>
      </c>
      <c r="I634" s="234"/>
      <c r="J634" s="234">
        <v>1</v>
      </c>
      <c r="K634" s="234">
        <v>0</v>
      </c>
      <c r="L634" s="234">
        <v>0</v>
      </c>
      <c r="M634" s="234">
        <v>0</v>
      </c>
    </row>
    <row r="635" spans="1:13" s="230" customFormat="1" ht="8.65" customHeight="1" x14ac:dyDescent="0.25">
      <c r="A635" s="235" t="s">
        <v>33</v>
      </c>
      <c r="B635" s="236">
        <f t="shared" si="17"/>
        <v>1171</v>
      </c>
      <c r="C635" s="236">
        <v>1059</v>
      </c>
      <c r="D635" s="236">
        <v>38</v>
      </c>
      <c r="E635" s="236">
        <v>20</v>
      </c>
      <c r="F635" s="236"/>
      <c r="G635" s="236">
        <v>50</v>
      </c>
      <c r="H635" s="236">
        <v>0</v>
      </c>
      <c r="I635" s="236"/>
      <c r="J635" s="236">
        <v>2</v>
      </c>
      <c r="K635" s="236">
        <v>2</v>
      </c>
      <c r="L635" s="236">
        <v>0</v>
      </c>
      <c r="M635" s="236">
        <v>0</v>
      </c>
    </row>
    <row r="636" spans="1:13" s="230" customFormat="1" ht="8.65" customHeight="1" x14ac:dyDescent="0.25">
      <c r="A636" s="230" t="s">
        <v>34</v>
      </c>
      <c r="B636" s="234">
        <f t="shared" si="17"/>
        <v>969</v>
      </c>
      <c r="C636" s="234">
        <v>675</v>
      </c>
      <c r="D636" s="234">
        <v>236</v>
      </c>
      <c r="E636" s="234">
        <v>20</v>
      </c>
      <c r="F636" s="234"/>
      <c r="G636" s="234">
        <v>36</v>
      </c>
      <c r="H636" s="234">
        <v>2</v>
      </c>
      <c r="I636" s="234"/>
      <c r="J636" s="234">
        <v>0</v>
      </c>
      <c r="K636" s="234">
        <v>0</v>
      </c>
      <c r="L636" s="234">
        <v>0</v>
      </c>
      <c r="M636" s="234">
        <v>0</v>
      </c>
    </row>
    <row r="637" spans="1:13" s="230" customFormat="1" ht="8.65" customHeight="1" x14ac:dyDescent="0.25">
      <c r="A637" s="230" t="s">
        <v>35</v>
      </c>
      <c r="B637" s="234">
        <f t="shared" si="17"/>
        <v>1066</v>
      </c>
      <c r="C637" s="234">
        <v>837</v>
      </c>
      <c r="D637" s="234">
        <v>9</v>
      </c>
      <c r="E637" s="234">
        <v>125</v>
      </c>
      <c r="F637" s="234"/>
      <c r="G637" s="234">
        <v>90</v>
      </c>
      <c r="H637" s="234">
        <v>1</v>
      </c>
      <c r="I637" s="234"/>
      <c r="J637" s="234">
        <v>3</v>
      </c>
      <c r="K637" s="234">
        <v>1</v>
      </c>
      <c r="L637" s="234">
        <v>0</v>
      </c>
      <c r="M637" s="234">
        <v>0</v>
      </c>
    </row>
    <row r="638" spans="1:13" s="230" customFormat="1" ht="8.65" customHeight="1" x14ac:dyDescent="0.25">
      <c r="A638" s="230" t="s">
        <v>36</v>
      </c>
      <c r="B638" s="234">
        <f t="shared" si="17"/>
        <v>1507</v>
      </c>
      <c r="C638" s="234">
        <v>1210</v>
      </c>
      <c r="D638" s="234">
        <v>37</v>
      </c>
      <c r="E638" s="234">
        <v>102</v>
      </c>
      <c r="F638" s="234"/>
      <c r="G638" s="234">
        <v>40</v>
      </c>
      <c r="H638" s="234">
        <v>2</v>
      </c>
      <c r="I638" s="234"/>
      <c r="J638" s="234">
        <v>8</v>
      </c>
      <c r="K638" s="234">
        <v>0</v>
      </c>
      <c r="L638" s="234">
        <v>106</v>
      </c>
      <c r="M638" s="234">
        <v>2</v>
      </c>
    </row>
    <row r="639" spans="1:13" s="230" customFormat="1" ht="8.65" customHeight="1" x14ac:dyDescent="0.25">
      <c r="A639" s="235" t="s">
        <v>37</v>
      </c>
      <c r="B639" s="236">
        <f t="shared" si="17"/>
        <v>1072</v>
      </c>
      <c r="C639" s="236">
        <v>543</v>
      </c>
      <c r="D639" s="236">
        <v>385</v>
      </c>
      <c r="E639" s="236">
        <v>55</v>
      </c>
      <c r="F639" s="236"/>
      <c r="G639" s="236">
        <v>67</v>
      </c>
      <c r="H639" s="236">
        <v>0</v>
      </c>
      <c r="I639" s="236"/>
      <c r="J639" s="236">
        <v>1</v>
      </c>
      <c r="K639" s="236">
        <v>1</v>
      </c>
      <c r="L639" s="236">
        <v>20</v>
      </c>
      <c r="M639" s="236">
        <v>0</v>
      </c>
    </row>
    <row r="640" spans="1:13" s="230" customFormat="1" ht="8.65" customHeight="1" x14ac:dyDescent="0.25">
      <c r="A640" s="230" t="s">
        <v>38</v>
      </c>
      <c r="B640" s="234">
        <f t="shared" si="17"/>
        <v>302</v>
      </c>
      <c r="C640" s="234">
        <v>245</v>
      </c>
      <c r="D640" s="234">
        <v>4</v>
      </c>
      <c r="E640" s="234">
        <v>24</v>
      </c>
      <c r="F640" s="234"/>
      <c r="G640" s="234">
        <v>27</v>
      </c>
      <c r="H640" s="234">
        <v>0</v>
      </c>
      <c r="I640" s="234"/>
      <c r="J640" s="234">
        <v>1</v>
      </c>
      <c r="K640" s="234">
        <v>0</v>
      </c>
      <c r="L640" s="234">
        <v>1</v>
      </c>
      <c r="M640" s="234">
        <v>0</v>
      </c>
    </row>
    <row r="641" spans="1:13" s="230" customFormat="1" ht="8.65" customHeight="1" x14ac:dyDescent="0.25">
      <c r="A641" s="230" t="s">
        <v>39</v>
      </c>
      <c r="B641" s="234">
        <f t="shared" si="17"/>
        <v>419</v>
      </c>
      <c r="C641" s="234">
        <v>271</v>
      </c>
      <c r="D641" s="234">
        <v>90</v>
      </c>
      <c r="E641" s="234">
        <v>27</v>
      </c>
      <c r="F641" s="234"/>
      <c r="G641" s="234">
        <v>25</v>
      </c>
      <c r="H641" s="234">
        <v>0</v>
      </c>
      <c r="I641" s="234"/>
      <c r="J641" s="234">
        <v>0</v>
      </c>
      <c r="K641" s="234">
        <v>1</v>
      </c>
      <c r="L641" s="234">
        <v>5</v>
      </c>
      <c r="M641" s="234">
        <v>0</v>
      </c>
    </row>
    <row r="642" spans="1:13" s="230" customFormat="1" ht="8.65" customHeight="1" x14ac:dyDescent="0.25">
      <c r="A642" s="230" t="s">
        <v>40</v>
      </c>
      <c r="B642" s="234">
        <f t="shared" si="17"/>
        <v>618</v>
      </c>
      <c r="C642" s="234">
        <v>520</v>
      </c>
      <c r="D642" s="234">
        <v>3</v>
      </c>
      <c r="E642" s="234">
        <v>61</v>
      </c>
      <c r="F642" s="234"/>
      <c r="G642" s="234">
        <v>31</v>
      </c>
      <c r="H642" s="234">
        <v>2</v>
      </c>
      <c r="I642" s="234"/>
      <c r="J642" s="234">
        <v>1</v>
      </c>
      <c r="K642" s="234">
        <v>0</v>
      </c>
      <c r="L642" s="234">
        <v>0</v>
      </c>
      <c r="M642" s="234">
        <v>0</v>
      </c>
    </row>
    <row r="643" spans="1:13" s="230" customFormat="1" ht="8.65" customHeight="1" x14ac:dyDescent="0.25">
      <c r="A643" s="235" t="s">
        <v>41</v>
      </c>
      <c r="B643" s="236">
        <f t="shared" si="17"/>
        <v>1565</v>
      </c>
      <c r="C643" s="236">
        <v>943</v>
      </c>
      <c r="D643" s="236">
        <v>526</v>
      </c>
      <c r="E643" s="236">
        <v>32</v>
      </c>
      <c r="F643" s="236"/>
      <c r="G643" s="236">
        <v>57</v>
      </c>
      <c r="H643" s="236">
        <v>3</v>
      </c>
      <c r="I643" s="236"/>
      <c r="J643" s="236">
        <v>2</v>
      </c>
      <c r="K643" s="236">
        <v>2</v>
      </c>
      <c r="L643" s="236">
        <v>0</v>
      </c>
      <c r="M643" s="236">
        <v>0</v>
      </c>
    </row>
    <row r="644" spans="1:13" s="230" customFormat="1" ht="8.65" customHeight="1" x14ac:dyDescent="0.25">
      <c r="A644" s="230" t="s">
        <v>42</v>
      </c>
      <c r="B644" s="234">
        <f t="shared" si="17"/>
        <v>1200</v>
      </c>
      <c r="C644" s="234">
        <v>707</v>
      </c>
      <c r="D644" s="234">
        <v>338</v>
      </c>
      <c r="E644" s="234">
        <v>52</v>
      </c>
      <c r="F644" s="234"/>
      <c r="G644" s="234">
        <v>45</v>
      </c>
      <c r="H644" s="234">
        <v>3</v>
      </c>
      <c r="I644" s="234"/>
      <c r="J644" s="234">
        <v>1</v>
      </c>
      <c r="K644" s="234">
        <v>0</v>
      </c>
      <c r="L644" s="234">
        <v>54</v>
      </c>
      <c r="M644" s="234">
        <v>0</v>
      </c>
    </row>
    <row r="645" spans="1:13" s="230" customFormat="1" ht="8.65" customHeight="1" x14ac:dyDescent="0.25">
      <c r="A645" s="230" t="s">
        <v>43</v>
      </c>
      <c r="B645" s="234">
        <f t="shared" si="17"/>
        <v>308</v>
      </c>
      <c r="C645" s="234">
        <v>266</v>
      </c>
      <c r="D645" s="234">
        <v>4</v>
      </c>
      <c r="E645" s="234">
        <v>24</v>
      </c>
      <c r="F645" s="234"/>
      <c r="G645" s="234">
        <v>14</v>
      </c>
      <c r="H645" s="234">
        <v>0</v>
      </c>
      <c r="I645" s="234"/>
      <c r="J645" s="234">
        <v>0</v>
      </c>
      <c r="K645" s="234">
        <v>0</v>
      </c>
      <c r="L645" s="234">
        <v>0</v>
      </c>
      <c r="M645" s="234">
        <v>0</v>
      </c>
    </row>
    <row r="646" spans="1:13" s="230" customFormat="1" ht="8.65" customHeight="1" x14ac:dyDescent="0.25">
      <c r="A646" s="230" t="s">
        <v>44</v>
      </c>
      <c r="B646" s="234">
        <f t="shared" si="17"/>
        <v>239</v>
      </c>
      <c r="C646" s="234">
        <v>211</v>
      </c>
      <c r="D646" s="234">
        <v>0</v>
      </c>
      <c r="E646" s="234">
        <v>14</v>
      </c>
      <c r="F646" s="234"/>
      <c r="G646" s="234">
        <v>10</v>
      </c>
      <c r="H646" s="234">
        <v>0</v>
      </c>
      <c r="I646" s="234"/>
      <c r="J646" s="234">
        <v>1</v>
      </c>
      <c r="K646" s="234">
        <v>3</v>
      </c>
      <c r="L646" s="234">
        <v>0</v>
      </c>
      <c r="M646" s="234">
        <v>0</v>
      </c>
    </row>
    <row r="647" spans="1:13" s="230" customFormat="1" ht="8.65" customHeight="1" x14ac:dyDescent="0.25">
      <c r="A647" s="235" t="s">
        <v>45</v>
      </c>
      <c r="B647" s="236">
        <f t="shared" si="17"/>
        <v>632</v>
      </c>
      <c r="C647" s="236">
        <v>327</v>
      </c>
      <c r="D647" s="236">
        <v>238</v>
      </c>
      <c r="E647" s="236">
        <v>36</v>
      </c>
      <c r="F647" s="236"/>
      <c r="G647" s="236">
        <v>29</v>
      </c>
      <c r="H647" s="236">
        <v>1</v>
      </c>
      <c r="I647" s="236"/>
      <c r="J647" s="236">
        <v>1</v>
      </c>
      <c r="K647" s="236">
        <v>0</v>
      </c>
      <c r="L647" s="236">
        <v>0</v>
      </c>
      <c r="M647" s="236">
        <v>0</v>
      </c>
    </row>
    <row r="648" spans="1:13" s="230" customFormat="1" ht="8.65" customHeight="1" x14ac:dyDescent="0.25">
      <c r="A648" s="230" t="s">
        <v>46</v>
      </c>
      <c r="B648" s="234">
        <f t="shared" si="17"/>
        <v>532</v>
      </c>
      <c r="C648" s="234">
        <v>318</v>
      </c>
      <c r="D648" s="234">
        <v>123</v>
      </c>
      <c r="E648" s="234">
        <v>49</v>
      </c>
      <c r="F648" s="234"/>
      <c r="G648" s="234">
        <v>38</v>
      </c>
      <c r="H648" s="234">
        <v>1</v>
      </c>
      <c r="I648" s="234"/>
      <c r="J648" s="234">
        <v>1</v>
      </c>
      <c r="K648" s="234">
        <v>2</v>
      </c>
      <c r="L648" s="234">
        <v>0</v>
      </c>
      <c r="M648" s="234">
        <v>0</v>
      </c>
    </row>
    <row r="649" spans="1:13" s="230" customFormat="1" ht="8.65" customHeight="1" x14ac:dyDescent="0.25">
      <c r="A649" s="230" t="s">
        <v>47</v>
      </c>
      <c r="B649" s="234">
        <f t="shared" si="17"/>
        <v>668</v>
      </c>
      <c r="C649" s="234">
        <v>545</v>
      </c>
      <c r="D649" s="234">
        <v>5</v>
      </c>
      <c r="E649" s="234">
        <v>75</v>
      </c>
      <c r="F649" s="234"/>
      <c r="G649" s="234">
        <v>40</v>
      </c>
      <c r="H649" s="234">
        <v>0</v>
      </c>
      <c r="I649" s="234"/>
      <c r="J649" s="234">
        <v>1</v>
      </c>
      <c r="K649" s="234">
        <v>2</v>
      </c>
      <c r="L649" s="234">
        <v>0</v>
      </c>
      <c r="M649" s="234">
        <v>0</v>
      </c>
    </row>
    <row r="650" spans="1:13" s="230" customFormat="1" ht="8.65" customHeight="1" x14ac:dyDescent="0.25">
      <c r="A650" s="230" t="s">
        <v>48</v>
      </c>
      <c r="B650" s="234">
        <f t="shared" si="17"/>
        <v>699</v>
      </c>
      <c r="C650" s="234">
        <v>628</v>
      </c>
      <c r="D650" s="234">
        <v>0</v>
      </c>
      <c r="E650" s="234">
        <v>33</v>
      </c>
      <c r="F650" s="234"/>
      <c r="G650" s="234">
        <v>26</v>
      </c>
      <c r="H650" s="234">
        <v>10</v>
      </c>
      <c r="I650" s="234"/>
      <c r="J650" s="234">
        <v>1</v>
      </c>
      <c r="K650" s="234">
        <v>1</v>
      </c>
      <c r="L650" s="234">
        <v>0</v>
      </c>
      <c r="M650" s="234">
        <v>0</v>
      </c>
    </row>
    <row r="651" spans="1:13" s="230" customFormat="1" ht="8.65" customHeight="1" x14ac:dyDescent="0.25">
      <c r="A651" s="235" t="s">
        <v>49</v>
      </c>
      <c r="B651" s="236">
        <f t="shared" si="17"/>
        <v>601</v>
      </c>
      <c r="C651" s="236">
        <v>394</v>
      </c>
      <c r="D651" s="236">
        <v>117</v>
      </c>
      <c r="E651" s="236">
        <v>48</v>
      </c>
      <c r="F651" s="236"/>
      <c r="G651" s="236">
        <v>33</v>
      </c>
      <c r="H651" s="236">
        <v>6</v>
      </c>
      <c r="I651" s="236"/>
      <c r="J651" s="236">
        <v>1</v>
      </c>
      <c r="K651" s="236">
        <v>2</v>
      </c>
      <c r="L651" s="236">
        <v>0</v>
      </c>
      <c r="M651" s="236">
        <v>0</v>
      </c>
    </row>
    <row r="652" spans="1:13" s="230" customFormat="1" ht="8.65" customHeight="1" x14ac:dyDescent="0.25">
      <c r="A652" s="230" t="s">
        <v>50</v>
      </c>
      <c r="B652" s="234">
        <f t="shared" si="17"/>
        <v>227</v>
      </c>
      <c r="C652" s="234">
        <v>202</v>
      </c>
      <c r="D652" s="234">
        <v>3</v>
      </c>
      <c r="E652" s="234">
        <v>17</v>
      </c>
      <c r="F652" s="234"/>
      <c r="G652" s="234">
        <v>5</v>
      </c>
      <c r="H652" s="234">
        <v>0</v>
      </c>
      <c r="I652" s="234"/>
      <c r="J652" s="234">
        <v>0</v>
      </c>
      <c r="K652" s="234">
        <v>0</v>
      </c>
      <c r="L652" s="234">
        <v>0</v>
      </c>
      <c r="M652" s="234">
        <v>0</v>
      </c>
    </row>
    <row r="653" spans="1:13" s="230" customFormat="1" ht="8.65" customHeight="1" x14ac:dyDescent="0.25">
      <c r="A653" s="230" t="s">
        <v>51</v>
      </c>
      <c r="B653" s="234">
        <f t="shared" si="17"/>
        <v>1733</v>
      </c>
      <c r="C653" s="234">
        <v>884</v>
      </c>
      <c r="D653" s="234">
        <v>612</v>
      </c>
      <c r="E653" s="234">
        <v>124</v>
      </c>
      <c r="F653" s="234"/>
      <c r="G653" s="234">
        <v>85</v>
      </c>
      <c r="H653" s="234">
        <v>20</v>
      </c>
      <c r="I653" s="234"/>
      <c r="J653" s="234">
        <v>2</v>
      </c>
      <c r="K653" s="234">
        <v>5</v>
      </c>
      <c r="L653" s="234">
        <v>0</v>
      </c>
      <c r="M653" s="234">
        <v>1</v>
      </c>
    </row>
    <row r="654" spans="1:13" s="230" customFormat="1" ht="8.65" customHeight="1" x14ac:dyDescent="0.25">
      <c r="A654" s="230" t="s">
        <v>52</v>
      </c>
      <c r="B654" s="234">
        <f t="shared" si="17"/>
        <v>344</v>
      </c>
      <c r="C654" s="234">
        <v>195</v>
      </c>
      <c r="D654" s="234">
        <v>99</v>
      </c>
      <c r="E654" s="234">
        <v>31</v>
      </c>
      <c r="F654" s="234"/>
      <c r="G654" s="234">
        <v>16</v>
      </c>
      <c r="H654" s="234">
        <v>0</v>
      </c>
      <c r="I654" s="234"/>
      <c r="J654" s="234">
        <v>1</v>
      </c>
      <c r="K654" s="234">
        <v>1</v>
      </c>
      <c r="L654" s="234">
        <v>1</v>
      </c>
      <c r="M654" s="234">
        <v>0</v>
      </c>
    </row>
    <row r="655" spans="1:13" s="230" customFormat="1" ht="8.65" customHeight="1" x14ac:dyDescent="0.25">
      <c r="A655" s="235" t="s">
        <v>53</v>
      </c>
      <c r="B655" s="236">
        <f t="shared" si="17"/>
        <v>494</v>
      </c>
      <c r="C655" s="236">
        <v>255</v>
      </c>
      <c r="D655" s="236">
        <v>167</v>
      </c>
      <c r="E655" s="236">
        <v>36</v>
      </c>
      <c r="F655" s="236"/>
      <c r="G655" s="236">
        <v>35</v>
      </c>
      <c r="H655" s="236">
        <v>0</v>
      </c>
      <c r="I655" s="236"/>
      <c r="J655" s="236">
        <v>1</v>
      </c>
      <c r="K655" s="236">
        <v>0</v>
      </c>
      <c r="L655" s="236">
        <v>0</v>
      </c>
      <c r="M655" s="236">
        <v>0</v>
      </c>
    </row>
    <row r="656" spans="1:13" s="230" customFormat="1" ht="9" customHeight="1" x14ac:dyDescent="0.25">
      <c r="B656" s="234"/>
      <c r="C656" s="234"/>
      <c r="D656" s="234"/>
      <c r="E656" s="234"/>
      <c r="F656" s="234"/>
      <c r="G656" s="234"/>
      <c r="H656" s="234"/>
      <c r="I656" s="234"/>
      <c r="J656" s="234"/>
      <c r="K656" s="234"/>
      <c r="L656" s="234"/>
      <c r="M656" s="234"/>
    </row>
    <row r="657" spans="1:16" s="230" customFormat="1" ht="8.85" customHeight="1" x14ac:dyDescent="0.25">
      <c r="A657" s="228">
        <v>2013</v>
      </c>
      <c r="B657" s="244"/>
      <c r="C657" s="244"/>
      <c r="D657" s="244"/>
      <c r="E657" s="244"/>
      <c r="F657" s="244"/>
      <c r="G657" s="229"/>
      <c r="H657" s="229"/>
      <c r="I657" s="229"/>
      <c r="J657" s="229"/>
      <c r="K657" s="229"/>
      <c r="M657" s="244"/>
    </row>
    <row r="658" spans="1:16" s="230" customFormat="1" ht="8.85" customHeight="1" x14ac:dyDescent="0.25">
      <c r="A658" s="231" t="s">
        <v>21</v>
      </c>
      <c r="B658" s="232">
        <f>SUM(B660:B691)</f>
        <v>22157</v>
      </c>
      <c r="C658" s="232">
        <f>SUM(C660:C691)</f>
        <v>14981</v>
      </c>
      <c r="D658" s="232">
        <f>SUM(D660:D691)</f>
        <v>4160</v>
      </c>
      <c r="E658" s="232">
        <f>SUM(E660:E691)</f>
        <v>1405</v>
      </c>
      <c r="F658" s="232"/>
      <c r="G658" s="232">
        <f>SUM(G660:G691)</f>
        <v>1188</v>
      </c>
      <c r="H658" s="232">
        <f>SUM(H660:H691)</f>
        <v>58</v>
      </c>
      <c r="I658" s="232"/>
      <c r="J658" s="232">
        <f>SUM(J660:J691)</f>
        <v>46</v>
      </c>
      <c r="K658" s="232">
        <f>SUM(K660:K691)</f>
        <v>39</v>
      </c>
      <c r="L658" s="232">
        <f>SUM(L660:L691)</f>
        <v>271</v>
      </c>
      <c r="M658" s="232">
        <f>SUM(M660:M691)</f>
        <v>9</v>
      </c>
      <c r="O658" s="246"/>
      <c r="P658" s="246"/>
    </row>
    <row r="659" spans="1:16" s="230" customFormat="1" ht="3.95" customHeight="1" x14ac:dyDescent="0.25">
      <c r="A659" s="231"/>
      <c r="B659" s="232"/>
      <c r="C659" s="232"/>
      <c r="D659" s="232"/>
      <c r="E659" s="232"/>
      <c r="F659" s="232"/>
      <c r="G659" s="232"/>
      <c r="H659" s="232"/>
      <c r="I659" s="232"/>
      <c r="J659" s="232"/>
      <c r="K659" s="232"/>
      <c r="L659" s="232"/>
      <c r="M659" s="232"/>
      <c r="P659" s="246"/>
    </row>
    <row r="660" spans="1:16" s="230" customFormat="1" ht="8.85" customHeight="1" x14ac:dyDescent="0.25">
      <c r="A660" s="230" t="s">
        <v>23</v>
      </c>
      <c r="B660" s="234">
        <f>SUM(C660:M660)</f>
        <v>138</v>
      </c>
      <c r="C660" s="234">
        <v>113</v>
      </c>
      <c r="D660" s="234">
        <v>0</v>
      </c>
      <c r="E660" s="234">
        <v>13</v>
      </c>
      <c r="F660" s="234"/>
      <c r="G660" s="234">
        <v>11</v>
      </c>
      <c r="H660" s="234">
        <v>0</v>
      </c>
      <c r="I660" s="234"/>
      <c r="J660" s="234">
        <v>0</v>
      </c>
      <c r="K660" s="234">
        <v>0</v>
      </c>
      <c r="L660" s="234">
        <v>0</v>
      </c>
      <c r="M660" s="234">
        <v>1</v>
      </c>
      <c r="O660" s="246"/>
      <c r="P660" s="246"/>
    </row>
    <row r="661" spans="1:16" s="230" customFormat="1" ht="8.85" customHeight="1" x14ac:dyDescent="0.25">
      <c r="A661" s="230" t="s">
        <v>24</v>
      </c>
      <c r="B661" s="234">
        <f t="shared" ref="B661:B691" si="18">SUM(C661:M661)</f>
        <v>304</v>
      </c>
      <c r="C661" s="234">
        <v>214</v>
      </c>
      <c r="D661" s="234">
        <v>16</v>
      </c>
      <c r="E661" s="234">
        <v>37</v>
      </c>
      <c r="F661" s="234"/>
      <c r="G661" s="234">
        <v>14</v>
      </c>
      <c r="H661" s="234">
        <v>0</v>
      </c>
      <c r="I661" s="234"/>
      <c r="J661" s="234">
        <v>2</v>
      </c>
      <c r="K661" s="234">
        <v>2</v>
      </c>
      <c r="L661" s="234">
        <v>19</v>
      </c>
      <c r="M661" s="234">
        <v>0</v>
      </c>
      <c r="O661" s="246"/>
      <c r="P661" s="246"/>
    </row>
    <row r="662" spans="1:16" s="230" customFormat="1" ht="8.85" customHeight="1" x14ac:dyDescent="0.25">
      <c r="A662" s="230" t="s">
        <v>25</v>
      </c>
      <c r="B662" s="234">
        <f t="shared" si="18"/>
        <v>144</v>
      </c>
      <c r="C662" s="234">
        <v>90</v>
      </c>
      <c r="D662" s="234">
        <v>0</v>
      </c>
      <c r="E662" s="234">
        <v>20</v>
      </c>
      <c r="F662" s="234"/>
      <c r="G662" s="234">
        <v>30</v>
      </c>
      <c r="H662" s="234">
        <v>0</v>
      </c>
      <c r="I662" s="234"/>
      <c r="J662" s="234">
        <v>1</v>
      </c>
      <c r="K662" s="234">
        <v>3</v>
      </c>
      <c r="L662" s="234">
        <v>0</v>
      </c>
      <c r="M662" s="234">
        <v>0</v>
      </c>
      <c r="O662" s="246"/>
      <c r="P662" s="246"/>
    </row>
    <row r="663" spans="1:16" s="230" customFormat="1" ht="8.85" customHeight="1" x14ac:dyDescent="0.25">
      <c r="A663" s="235" t="s">
        <v>26</v>
      </c>
      <c r="B663" s="236">
        <f t="shared" si="18"/>
        <v>236</v>
      </c>
      <c r="C663" s="236">
        <v>161</v>
      </c>
      <c r="D663" s="236">
        <v>48</v>
      </c>
      <c r="E663" s="236">
        <v>12</v>
      </c>
      <c r="F663" s="236"/>
      <c r="G663" s="236">
        <v>11</v>
      </c>
      <c r="H663" s="236">
        <v>1</v>
      </c>
      <c r="I663" s="236"/>
      <c r="J663" s="236">
        <v>0</v>
      </c>
      <c r="K663" s="236">
        <v>3</v>
      </c>
      <c r="L663" s="236">
        <v>0</v>
      </c>
      <c r="M663" s="236">
        <v>0</v>
      </c>
      <c r="O663" s="246"/>
      <c r="P663" s="246"/>
    </row>
    <row r="664" spans="1:16" s="230" customFormat="1" ht="8.85" customHeight="1" x14ac:dyDescent="0.25">
      <c r="A664" s="230" t="s">
        <v>27</v>
      </c>
      <c r="B664" s="234">
        <f t="shared" si="18"/>
        <v>439</v>
      </c>
      <c r="C664" s="234">
        <v>240</v>
      </c>
      <c r="D664" s="234">
        <v>92</v>
      </c>
      <c r="E664" s="234">
        <v>51</v>
      </c>
      <c r="F664" s="234"/>
      <c r="G664" s="234">
        <v>28</v>
      </c>
      <c r="H664" s="234">
        <v>0</v>
      </c>
      <c r="I664" s="234"/>
      <c r="J664" s="234">
        <v>1</v>
      </c>
      <c r="K664" s="234">
        <v>0</v>
      </c>
      <c r="L664" s="234">
        <v>24</v>
      </c>
      <c r="M664" s="234">
        <v>3</v>
      </c>
      <c r="O664" s="246"/>
      <c r="P664" s="246"/>
    </row>
    <row r="665" spans="1:16" s="230" customFormat="1" ht="8.85" customHeight="1" x14ac:dyDescent="0.25">
      <c r="A665" s="230" t="s">
        <v>28</v>
      </c>
      <c r="B665" s="234">
        <f t="shared" si="18"/>
        <v>175</v>
      </c>
      <c r="C665" s="234">
        <v>156</v>
      </c>
      <c r="D665" s="234">
        <v>0</v>
      </c>
      <c r="E665" s="234">
        <v>13</v>
      </c>
      <c r="F665" s="234"/>
      <c r="G665" s="234">
        <v>5</v>
      </c>
      <c r="H665" s="234">
        <v>0</v>
      </c>
      <c r="I665" s="234"/>
      <c r="J665" s="234">
        <v>0</v>
      </c>
      <c r="K665" s="234">
        <v>1</v>
      </c>
      <c r="L665" s="234">
        <v>0</v>
      </c>
      <c r="M665" s="234">
        <v>0</v>
      </c>
      <c r="O665" s="246"/>
      <c r="P665" s="246"/>
    </row>
    <row r="666" spans="1:16" s="230" customFormat="1" ht="8.85" customHeight="1" x14ac:dyDescent="0.25">
      <c r="A666" s="230" t="s">
        <v>29</v>
      </c>
      <c r="B666" s="234">
        <f t="shared" si="18"/>
        <v>1825</v>
      </c>
      <c r="C666" s="234">
        <v>1131</v>
      </c>
      <c r="D666" s="234">
        <v>597</v>
      </c>
      <c r="E666" s="234">
        <v>32</v>
      </c>
      <c r="F666" s="234"/>
      <c r="G666" s="234">
        <v>48</v>
      </c>
      <c r="H666" s="234">
        <v>1</v>
      </c>
      <c r="I666" s="234"/>
      <c r="J666" s="234">
        <v>1</v>
      </c>
      <c r="K666" s="234">
        <v>2</v>
      </c>
      <c r="L666" s="234">
        <v>13</v>
      </c>
      <c r="M666" s="234">
        <v>0</v>
      </c>
      <c r="O666" s="246"/>
      <c r="P666" s="246"/>
    </row>
    <row r="667" spans="1:16" s="230" customFormat="1" ht="8.85" customHeight="1" x14ac:dyDescent="0.25">
      <c r="A667" s="235" t="s">
        <v>30</v>
      </c>
      <c r="B667" s="236">
        <f t="shared" si="18"/>
        <v>579</v>
      </c>
      <c r="C667" s="236">
        <v>307</v>
      </c>
      <c r="D667" s="236">
        <v>162</v>
      </c>
      <c r="E667" s="236">
        <v>57</v>
      </c>
      <c r="F667" s="236"/>
      <c r="G667" s="236">
        <v>49</v>
      </c>
      <c r="H667" s="236">
        <v>1</v>
      </c>
      <c r="I667" s="236"/>
      <c r="J667" s="236">
        <v>2</v>
      </c>
      <c r="K667" s="236">
        <v>0</v>
      </c>
      <c r="L667" s="236">
        <v>1</v>
      </c>
      <c r="M667" s="236">
        <v>0</v>
      </c>
      <c r="O667" s="246"/>
      <c r="P667" s="246"/>
    </row>
    <row r="668" spans="1:16" s="230" customFormat="1" ht="8.85" customHeight="1" x14ac:dyDescent="0.25">
      <c r="A668" s="405" t="s">
        <v>63</v>
      </c>
      <c r="B668" s="234">
        <f t="shared" si="18"/>
        <v>695</v>
      </c>
      <c r="C668" s="234">
        <v>454</v>
      </c>
      <c r="D668" s="234">
        <v>21</v>
      </c>
      <c r="E668" s="234">
        <v>79</v>
      </c>
      <c r="F668" s="234"/>
      <c r="G668" s="234">
        <v>107</v>
      </c>
      <c r="H668" s="234">
        <v>3</v>
      </c>
      <c r="I668" s="234"/>
      <c r="J668" s="234">
        <v>8</v>
      </c>
      <c r="K668" s="234">
        <v>4</v>
      </c>
      <c r="L668" s="234">
        <v>19</v>
      </c>
      <c r="M668" s="234">
        <v>0</v>
      </c>
      <c r="O668" s="246"/>
      <c r="P668" s="246"/>
    </row>
    <row r="669" spans="1:16" s="230" customFormat="1" ht="8.85" customHeight="1" x14ac:dyDescent="0.25">
      <c r="A669" s="230" t="s">
        <v>31</v>
      </c>
      <c r="B669" s="234">
        <f t="shared" si="18"/>
        <v>523</v>
      </c>
      <c r="C669" s="234">
        <v>274</v>
      </c>
      <c r="D669" s="234">
        <v>173</v>
      </c>
      <c r="E669" s="234">
        <v>34</v>
      </c>
      <c r="F669" s="234"/>
      <c r="G669" s="234">
        <v>40</v>
      </c>
      <c r="H669" s="234">
        <v>0</v>
      </c>
      <c r="I669" s="234"/>
      <c r="J669" s="234">
        <v>1</v>
      </c>
      <c r="K669" s="234">
        <v>0</v>
      </c>
      <c r="L669" s="234">
        <v>1</v>
      </c>
      <c r="M669" s="234">
        <v>0</v>
      </c>
      <c r="O669" s="246"/>
      <c r="P669" s="246"/>
    </row>
    <row r="670" spans="1:16" s="230" customFormat="1" ht="8.85" customHeight="1" x14ac:dyDescent="0.25">
      <c r="A670" s="230" t="s">
        <v>32</v>
      </c>
      <c r="B670" s="234">
        <f t="shared" si="18"/>
        <v>714</v>
      </c>
      <c r="C670" s="234">
        <v>611</v>
      </c>
      <c r="D670" s="234">
        <v>11</v>
      </c>
      <c r="E670" s="234">
        <v>48</v>
      </c>
      <c r="F670" s="234"/>
      <c r="G670" s="234">
        <v>42</v>
      </c>
      <c r="H670" s="234">
        <v>1</v>
      </c>
      <c r="I670" s="234"/>
      <c r="J670" s="234">
        <v>1</v>
      </c>
      <c r="K670" s="234">
        <v>0</v>
      </c>
      <c r="L670" s="234">
        <v>0</v>
      </c>
      <c r="M670" s="234">
        <v>0</v>
      </c>
      <c r="O670" s="246"/>
      <c r="P670" s="246"/>
    </row>
    <row r="671" spans="1:16" s="230" customFormat="1" ht="8.85" customHeight="1" x14ac:dyDescent="0.25">
      <c r="A671" s="235" t="s">
        <v>33</v>
      </c>
      <c r="B671" s="236">
        <f t="shared" si="18"/>
        <v>1173</v>
      </c>
      <c r="C671" s="236">
        <v>1061</v>
      </c>
      <c r="D671" s="236">
        <v>38</v>
      </c>
      <c r="E671" s="236">
        <v>20</v>
      </c>
      <c r="F671" s="236"/>
      <c r="G671" s="236">
        <v>50</v>
      </c>
      <c r="H671" s="236">
        <v>0</v>
      </c>
      <c r="I671" s="236"/>
      <c r="J671" s="236">
        <v>2</v>
      </c>
      <c r="K671" s="236">
        <v>2</v>
      </c>
      <c r="L671" s="236">
        <v>0</v>
      </c>
      <c r="M671" s="236">
        <v>0</v>
      </c>
      <c r="O671" s="246"/>
      <c r="P671" s="246"/>
    </row>
    <row r="672" spans="1:16" s="230" customFormat="1" ht="8.85" customHeight="1" x14ac:dyDescent="0.25">
      <c r="A672" s="230" t="s">
        <v>34</v>
      </c>
      <c r="B672" s="234">
        <f t="shared" si="18"/>
        <v>930</v>
      </c>
      <c r="C672" s="234">
        <v>636</v>
      </c>
      <c r="D672" s="234">
        <v>236</v>
      </c>
      <c r="E672" s="234">
        <v>20</v>
      </c>
      <c r="F672" s="234"/>
      <c r="G672" s="234">
        <v>36</v>
      </c>
      <c r="H672" s="234">
        <v>2</v>
      </c>
      <c r="I672" s="234"/>
      <c r="J672" s="234">
        <v>0</v>
      </c>
      <c r="K672" s="234">
        <v>0</v>
      </c>
      <c r="L672" s="234">
        <v>0</v>
      </c>
      <c r="M672" s="234">
        <v>0</v>
      </c>
      <c r="O672" s="246"/>
      <c r="P672" s="246"/>
    </row>
    <row r="673" spans="1:16" s="230" customFormat="1" ht="8.85" customHeight="1" x14ac:dyDescent="0.25">
      <c r="A673" s="230" t="s">
        <v>35</v>
      </c>
      <c r="B673" s="234">
        <f t="shared" si="18"/>
        <v>1072</v>
      </c>
      <c r="C673" s="234">
        <v>841</v>
      </c>
      <c r="D673" s="234">
        <v>9</v>
      </c>
      <c r="E673" s="234">
        <v>125</v>
      </c>
      <c r="F673" s="234"/>
      <c r="G673" s="234">
        <v>91</v>
      </c>
      <c r="H673" s="234">
        <v>1</v>
      </c>
      <c r="I673" s="234"/>
      <c r="J673" s="234">
        <v>3</v>
      </c>
      <c r="K673" s="234">
        <v>1</v>
      </c>
      <c r="L673" s="234">
        <v>0</v>
      </c>
      <c r="M673" s="234">
        <v>1</v>
      </c>
      <c r="O673" s="246"/>
      <c r="P673" s="246"/>
    </row>
    <row r="674" spans="1:16" s="230" customFormat="1" ht="8.85" customHeight="1" x14ac:dyDescent="0.25">
      <c r="A674" s="230" t="s">
        <v>36</v>
      </c>
      <c r="B674" s="234">
        <f t="shared" si="18"/>
        <v>1518</v>
      </c>
      <c r="C674" s="234">
        <v>1220</v>
      </c>
      <c r="D674" s="234">
        <v>37</v>
      </c>
      <c r="E674" s="234">
        <v>103</v>
      </c>
      <c r="F674" s="234"/>
      <c r="G674" s="234">
        <v>40</v>
      </c>
      <c r="H674" s="234">
        <v>2</v>
      </c>
      <c r="I674" s="234"/>
      <c r="J674" s="234">
        <v>8</v>
      </c>
      <c r="K674" s="234">
        <v>0</v>
      </c>
      <c r="L674" s="234">
        <v>108</v>
      </c>
      <c r="M674" s="234">
        <v>0</v>
      </c>
      <c r="O674" s="246"/>
      <c r="P674" s="246"/>
    </row>
    <row r="675" spans="1:16" s="230" customFormat="1" ht="8.85" customHeight="1" x14ac:dyDescent="0.25">
      <c r="A675" s="235" t="s">
        <v>37</v>
      </c>
      <c r="B675" s="236">
        <f t="shared" si="18"/>
        <v>1072</v>
      </c>
      <c r="C675" s="236">
        <v>543</v>
      </c>
      <c r="D675" s="236">
        <v>385</v>
      </c>
      <c r="E675" s="236">
        <v>55</v>
      </c>
      <c r="F675" s="236"/>
      <c r="G675" s="236">
        <v>67</v>
      </c>
      <c r="H675" s="236">
        <v>0</v>
      </c>
      <c r="I675" s="236"/>
      <c r="J675" s="236">
        <v>1</v>
      </c>
      <c r="K675" s="236">
        <v>1</v>
      </c>
      <c r="L675" s="236">
        <v>20</v>
      </c>
      <c r="M675" s="236">
        <v>0</v>
      </c>
      <c r="O675" s="246"/>
      <c r="P675" s="246"/>
    </row>
    <row r="676" spans="1:16" s="230" customFormat="1" ht="8.85" customHeight="1" x14ac:dyDescent="0.25">
      <c r="A676" s="230" t="s">
        <v>38</v>
      </c>
      <c r="B676" s="234">
        <f t="shared" si="18"/>
        <v>303</v>
      </c>
      <c r="C676" s="234">
        <v>245</v>
      </c>
      <c r="D676" s="234">
        <v>4</v>
      </c>
      <c r="E676" s="234">
        <v>24</v>
      </c>
      <c r="F676" s="234"/>
      <c r="G676" s="234">
        <v>28</v>
      </c>
      <c r="H676" s="234">
        <v>0</v>
      </c>
      <c r="I676" s="234"/>
      <c r="J676" s="234">
        <v>1</v>
      </c>
      <c r="K676" s="234">
        <v>0</v>
      </c>
      <c r="L676" s="234">
        <v>1</v>
      </c>
      <c r="M676" s="234">
        <v>0</v>
      </c>
      <c r="O676" s="246"/>
      <c r="P676" s="246"/>
    </row>
    <row r="677" spans="1:16" s="230" customFormat="1" ht="8.85" customHeight="1" x14ac:dyDescent="0.25">
      <c r="A677" s="230" t="s">
        <v>39</v>
      </c>
      <c r="B677" s="234">
        <f t="shared" si="18"/>
        <v>420</v>
      </c>
      <c r="C677" s="234">
        <v>271</v>
      </c>
      <c r="D677" s="234">
        <v>90</v>
      </c>
      <c r="E677" s="234">
        <v>27</v>
      </c>
      <c r="F677" s="234"/>
      <c r="G677" s="234">
        <v>25</v>
      </c>
      <c r="H677" s="234">
        <v>0</v>
      </c>
      <c r="I677" s="234"/>
      <c r="J677" s="234">
        <v>0</v>
      </c>
      <c r="K677" s="234">
        <v>1</v>
      </c>
      <c r="L677" s="234">
        <v>6</v>
      </c>
      <c r="M677" s="234">
        <v>0</v>
      </c>
      <c r="O677" s="246"/>
      <c r="P677" s="246"/>
    </row>
    <row r="678" spans="1:16" s="230" customFormat="1" ht="8.85" customHeight="1" x14ac:dyDescent="0.25">
      <c r="A678" s="230" t="s">
        <v>40</v>
      </c>
      <c r="B678" s="234">
        <f t="shared" si="18"/>
        <v>623</v>
      </c>
      <c r="C678" s="234">
        <v>520</v>
      </c>
      <c r="D678" s="234">
        <v>3</v>
      </c>
      <c r="E678" s="234">
        <v>63</v>
      </c>
      <c r="F678" s="234"/>
      <c r="G678" s="234">
        <v>31</v>
      </c>
      <c r="H678" s="234">
        <v>2</v>
      </c>
      <c r="I678" s="234"/>
      <c r="J678" s="234">
        <v>1</v>
      </c>
      <c r="K678" s="234">
        <v>0</v>
      </c>
      <c r="L678" s="234">
        <v>2</v>
      </c>
      <c r="M678" s="234">
        <v>1</v>
      </c>
      <c r="O678" s="246"/>
      <c r="P678" s="246"/>
    </row>
    <row r="679" spans="1:16" s="230" customFormat="1" ht="8.85" customHeight="1" x14ac:dyDescent="0.25">
      <c r="A679" s="235" t="s">
        <v>41</v>
      </c>
      <c r="B679" s="236">
        <f t="shared" si="18"/>
        <v>1571</v>
      </c>
      <c r="C679" s="236">
        <v>949</v>
      </c>
      <c r="D679" s="236">
        <v>526</v>
      </c>
      <c r="E679" s="236">
        <v>32</v>
      </c>
      <c r="F679" s="236"/>
      <c r="G679" s="236">
        <v>57</v>
      </c>
      <c r="H679" s="236">
        <v>3</v>
      </c>
      <c r="I679" s="236"/>
      <c r="J679" s="236">
        <v>2</v>
      </c>
      <c r="K679" s="236">
        <v>2</v>
      </c>
      <c r="L679" s="236">
        <v>0</v>
      </c>
      <c r="M679" s="236">
        <v>0</v>
      </c>
      <c r="O679" s="246"/>
      <c r="P679" s="246"/>
    </row>
    <row r="680" spans="1:16" s="230" customFormat="1" ht="8.85" customHeight="1" x14ac:dyDescent="0.25">
      <c r="A680" s="230" t="s">
        <v>42</v>
      </c>
      <c r="B680" s="234">
        <f t="shared" si="18"/>
        <v>1198</v>
      </c>
      <c r="C680" s="234">
        <v>703</v>
      </c>
      <c r="D680" s="234">
        <v>342</v>
      </c>
      <c r="E680" s="234">
        <v>52</v>
      </c>
      <c r="F680" s="234"/>
      <c r="G680" s="234">
        <v>45</v>
      </c>
      <c r="H680" s="234">
        <v>3</v>
      </c>
      <c r="I680" s="234"/>
      <c r="J680" s="234">
        <v>1</v>
      </c>
      <c r="K680" s="234">
        <v>0</v>
      </c>
      <c r="L680" s="234">
        <v>50</v>
      </c>
      <c r="M680" s="234">
        <v>2</v>
      </c>
      <c r="O680" s="246"/>
      <c r="P680" s="246"/>
    </row>
    <row r="681" spans="1:16" s="230" customFormat="1" ht="8.85" customHeight="1" x14ac:dyDescent="0.25">
      <c r="A681" s="230" t="s">
        <v>43</v>
      </c>
      <c r="B681" s="234">
        <f t="shared" si="18"/>
        <v>309</v>
      </c>
      <c r="C681" s="234">
        <v>267</v>
      </c>
      <c r="D681" s="234">
        <v>4</v>
      </c>
      <c r="E681" s="234">
        <v>24</v>
      </c>
      <c r="F681" s="234"/>
      <c r="G681" s="234">
        <v>14</v>
      </c>
      <c r="H681" s="234">
        <v>0</v>
      </c>
      <c r="I681" s="234"/>
      <c r="J681" s="234">
        <v>0</v>
      </c>
      <c r="K681" s="234">
        <v>0</v>
      </c>
      <c r="L681" s="234">
        <v>0</v>
      </c>
      <c r="M681" s="234">
        <v>0</v>
      </c>
      <c r="O681" s="246"/>
      <c r="P681" s="246"/>
    </row>
    <row r="682" spans="1:16" s="230" customFormat="1" ht="8.85" customHeight="1" x14ac:dyDescent="0.25">
      <c r="A682" s="230" t="s">
        <v>44</v>
      </c>
      <c r="B682" s="234">
        <f t="shared" si="18"/>
        <v>241</v>
      </c>
      <c r="C682" s="234">
        <v>213</v>
      </c>
      <c r="D682" s="234">
        <v>0</v>
      </c>
      <c r="E682" s="234">
        <v>14</v>
      </c>
      <c r="F682" s="234"/>
      <c r="G682" s="234">
        <v>10</v>
      </c>
      <c r="H682" s="234">
        <v>0</v>
      </c>
      <c r="I682" s="234"/>
      <c r="J682" s="234">
        <v>1</v>
      </c>
      <c r="K682" s="234">
        <v>3</v>
      </c>
      <c r="L682" s="234">
        <v>0</v>
      </c>
      <c r="M682" s="234">
        <v>0</v>
      </c>
      <c r="O682" s="246"/>
      <c r="P682" s="246"/>
    </row>
    <row r="683" spans="1:16" s="230" customFormat="1" ht="8.85" customHeight="1" x14ac:dyDescent="0.25">
      <c r="A683" s="235" t="s">
        <v>45</v>
      </c>
      <c r="B683" s="236">
        <f t="shared" si="18"/>
        <v>629</v>
      </c>
      <c r="C683" s="236">
        <v>324</v>
      </c>
      <c r="D683" s="236">
        <v>238</v>
      </c>
      <c r="E683" s="236">
        <v>36</v>
      </c>
      <c r="F683" s="236"/>
      <c r="G683" s="236">
        <v>29</v>
      </c>
      <c r="H683" s="236">
        <v>1</v>
      </c>
      <c r="I683" s="236"/>
      <c r="J683" s="236">
        <v>1</v>
      </c>
      <c r="K683" s="236">
        <v>0</v>
      </c>
      <c r="L683" s="236">
        <v>0</v>
      </c>
      <c r="M683" s="236">
        <v>0</v>
      </c>
      <c r="O683" s="246"/>
      <c r="P683" s="246"/>
    </row>
    <row r="684" spans="1:16" s="230" customFormat="1" ht="8.85" customHeight="1" x14ac:dyDescent="0.25">
      <c r="A684" s="230" t="s">
        <v>46</v>
      </c>
      <c r="B684" s="234">
        <f t="shared" si="18"/>
        <v>534</v>
      </c>
      <c r="C684" s="234">
        <v>320</v>
      </c>
      <c r="D684" s="234">
        <v>123</v>
      </c>
      <c r="E684" s="234">
        <v>49</v>
      </c>
      <c r="F684" s="234"/>
      <c r="G684" s="234">
        <v>38</v>
      </c>
      <c r="H684" s="234">
        <v>1</v>
      </c>
      <c r="I684" s="234"/>
      <c r="J684" s="234">
        <v>1</v>
      </c>
      <c r="K684" s="234">
        <v>2</v>
      </c>
      <c r="L684" s="234">
        <v>0</v>
      </c>
      <c r="M684" s="234">
        <v>0</v>
      </c>
      <c r="O684" s="246"/>
      <c r="P684" s="246"/>
    </row>
    <row r="685" spans="1:16" s="230" customFormat="1" ht="8.85" customHeight="1" x14ac:dyDescent="0.25">
      <c r="A685" s="230" t="s">
        <v>47</v>
      </c>
      <c r="B685" s="234">
        <f t="shared" si="18"/>
        <v>672</v>
      </c>
      <c r="C685" s="234">
        <v>548</v>
      </c>
      <c r="D685" s="234">
        <v>5</v>
      </c>
      <c r="E685" s="234">
        <v>76</v>
      </c>
      <c r="F685" s="234"/>
      <c r="G685" s="234">
        <v>40</v>
      </c>
      <c r="H685" s="234">
        <v>0</v>
      </c>
      <c r="I685" s="234"/>
      <c r="J685" s="234">
        <v>1</v>
      </c>
      <c r="K685" s="234">
        <v>2</v>
      </c>
      <c r="L685" s="234">
        <v>0</v>
      </c>
      <c r="M685" s="234">
        <v>0</v>
      </c>
      <c r="O685" s="246"/>
      <c r="P685" s="246"/>
    </row>
    <row r="686" spans="1:16" s="230" customFormat="1" ht="8.85" customHeight="1" x14ac:dyDescent="0.25">
      <c r="A686" s="230" t="s">
        <v>48</v>
      </c>
      <c r="B686" s="234">
        <f t="shared" si="18"/>
        <v>700</v>
      </c>
      <c r="C686" s="234">
        <v>629</v>
      </c>
      <c r="D686" s="234">
        <v>0</v>
      </c>
      <c r="E686" s="234">
        <v>33</v>
      </c>
      <c r="F686" s="234"/>
      <c r="G686" s="234">
        <v>26</v>
      </c>
      <c r="H686" s="234">
        <v>10</v>
      </c>
      <c r="I686" s="234"/>
      <c r="J686" s="234">
        <v>1</v>
      </c>
      <c r="K686" s="234">
        <v>1</v>
      </c>
      <c r="L686" s="234">
        <v>0</v>
      </c>
      <c r="M686" s="234">
        <v>0</v>
      </c>
      <c r="O686" s="246"/>
      <c r="P686" s="246"/>
    </row>
    <row r="687" spans="1:16" s="230" customFormat="1" ht="8.85" customHeight="1" x14ac:dyDescent="0.25">
      <c r="A687" s="235" t="s">
        <v>49</v>
      </c>
      <c r="B687" s="236">
        <f t="shared" si="18"/>
        <v>606</v>
      </c>
      <c r="C687" s="236">
        <v>397</v>
      </c>
      <c r="D687" s="236">
        <v>117</v>
      </c>
      <c r="E687" s="236">
        <v>48</v>
      </c>
      <c r="F687" s="236"/>
      <c r="G687" s="236">
        <v>34</v>
      </c>
      <c r="H687" s="236">
        <v>6</v>
      </c>
      <c r="I687" s="236"/>
      <c r="J687" s="236">
        <v>1</v>
      </c>
      <c r="K687" s="236">
        <v>3</v>
      </c>
      <c r="L687" s="236">
        <v>0</v>
      </c>
      <c r="M687" s="236">
        <v>0</v>
      </c>
      <c r="O687" s="246"/>
      <c r="P687" s="246"/>
    </row>
    <row r="688" spans="1:16" s="230" customFormat="1" ht="8.85" customHeight="1" x14ac:dyDescent="0.25">
      <c r="A688" s="230" t="s">
        <v>50</v>
      </c>
      <c r="B688" s="234">
        <f t="shared" si="18"/>
        <v>234</v>
      </c>
      <c r="C688" s="234">
        <v>202</v>
      </c>
      <c r="D688" s="234">
        <v>3</v>
      </c>
      <c r="E688" s="234">
        <v>17</v>
      </c>
      <c r="F688" s="234"/>
      <c r="G688" s="234">
        <v>6</v>
      </c>
      <c r="H688" s="234">
        <v>0</v>
      </c>
      <c r="I688" s="234"/>
      <c r="J688" s="234">
        <v>0</v>
      </c>
      <c r="K688" s="234">
        <v>0</v>
      </c>
      <c r="L688" s="234">
        <v>6</v>
      </c>
      <c r="M688" s="234">
        <v>0</v>
      </c>
      <c r="O688" s="246"/>
      <c r="P688" s="246"/>
    </row>
    <row r="689" spans="1:16" s="230" customFormat="1" ht="8.85" customHeight="1" x14ac:dyDescent="0.25">
      <c r="A689" s="230" t="s">
        <v>51</v>
      </c>
      <c r="B689" s="234">
        <f t="shared" si="18"/>
        <v>1742</v>
      </c>
      <c r="C689" s="234">
        <v>891</v>
      </c>
      <c r="D689" s="234">
        <v>614</v>
      </c>
      <c r="E689" s="234">
        <v>124</v>
      </c>
      <c r="F689" s="234"/>
      <c r="G689" s="234">
        <v>85</v>
      </c>
      <c r="H689" s="234">
        <v>20</v>
      </c>
      <c r="I689" s="234"/>
      <c r="J689" s="234">
        <v>2</v>
      </c>
      <c r="K689" s="234">
        <v>5</v>
      </c>
      <c r="L689" s="234">
        <v>0</v>
      </c>
      <c r="M689" s="234">
        <v>1</v>
      </c>
      <c r="O689" s="246"/>
      <c r="P689" s="246"/>
    </row>
    <row r="690" spans="1:16" s="230" customFormat="1" ht="8.85" customHeight="1" x14ac:dyDescent="0.25">
      <c r="A690" s="230" t="s">
        <v>52</v>
      </c>
      <c r="B690" s="234">
        <f t="shared" si="18"/>
        <v>344</v>
      </c>
      <c r="C690" s="234">
        <v>195</v>
      </c>
      <c r="D690" s="234">
        <v>99</v>
      </c>
      <c r="E690" s="234">
        <v>31</v>
      </c>
      <c r="F690" s="234"/>
      <c r="G690" s="234">
        <v>16</v>
      </c>
      <c r="H690" s="234">
        <v>0</v>
      </c>
      <c r="I690" s="234"/>
      <c r="J690" s="234">
        <v>1</v>
      </c>
      <c r="K690" s="234">
        <v>1</v>
      </c>
      <c r="L690" s="234">
        <v>1</v>
      </c>
      <c r="M690" s="234">
        <v>0</v>
      </c>
      <c r="O690" s="246"/>
      <c r="P690" s="246"/>
    </row>
    <row r="691" spans="1:16" s="230" customFormat="1" ht="8.85" customHeight="1" x14ac:dyDescent="0.25">
      <c r="A691" s="235" t="s">
        <v>53</v>
      </c>
      <c r="B691" s="236">
        <f t="shared" si="18"/>
        <v>494</v>
      </c>
      <c r="C691" s="236">
        <v>255</v>
      </c>
      <c r="D691" s="236">
        <v>167</v>
      </c>
      <c r="E691" s="236">
        <v>36</v>
      </c>
      <c r="F691" s="236"/>
      <c r="G691" s="236">
        <v>35</v>
      </c>
      <c r="H691" s="236">
        <v>0</v>
      </c>
      <c r="I691" s="236"/>
      <c r="J691" s="236">
        <v>1</v>
      </c>
      <c r="K691" s="236">
        <v>0</v>
      </c>
      <c r="L691" s="236">
        <v>0</v>
      </c>
      <c r="M691" s="236">
        <v>0</v>
      </c>
      <c r="O691" s="246"/>
      <c r="P691" s="246"/>
    </row>
    <row r="692" spans="1:16" s="230" customFormat="1" ht="9" customHeight="1" x14ac:dyDescent="0.25">
      <c r="B692" s="234"/>
      <c r="C692" s="234"/>
      <c r="D692" s="234"/>
      <c r="E692" s="234"/>
      <c r="F692" s="234"/>
      <c r="G692" s="234"/>
      <c r="H692" s="234"/>
      <c r="I692" s="234"/>
      <c r="J692" s="234"/>
      <c r="K692" s="234"/>
      <c r="L692" s="234"/>
      <c r="M692" s="234"/>
    </row>
    <row r="693" spans="1:16" s="230" customFormat="1" ht="8.85" customHeight="1" x14ac:dyDescent="0.25">
      <c r="A693" s="228" t="s">
        <v>195</v>
      </c>
      <c r="B693" s="244"/>
      <c r="C693" s="244"/>
      <c r="D693" s="244"/>
      <c r="E693" s="244"/>
      <c r="F693" s="244"/>
      <c r="G693" s="229"/>
      <c r="H693" s="229"/>
      <c r="I693" s="229"/>
      <c r="J693" s="229"/>
      <c r="K693" s="229"/>
      <c r="M693" s="244"/>
    </row>
    <row r="694" spans="1:16" s="230" customFormat="1" ht="8.85" customHeight="1" x14ac:dyDescent="0.25">
      <c r="A694" s="231" t="s">
        <v>21</v>
      </c>
      <c r="B694" s="232">
        <f>SUM(B696:B727)</f>
        <v>22327</v>
      </c>
      <c r="C694" s="232">
        <f>SUM(C696:C727)</f>
        <v>15036</v>
      </c>
      <c r="D694" s="232">
        <f>SUM(D696:D727)</f>
        <v>4154</v>
      </c>
      <c r="E694" s="232">
        <f>SUM(E696:E727)</f>
        <v>1405</v>
      </c>
      <c r="F694" s="232"/>
      <c r="G694" s="232">
        <f>SUM(G696:G727)</f>
        <v>1185</v>
      </c>
      <c r="H694" s="232">
        <f>SUM(H696:H727)</f>
        <v>58</v>
      </c>
      <c r="I694" s="232"/>
      <c r="J694" s="232">
        <f>SUM(J696:J727)</f>
        <v>46</v>
      </c>
      <c r="K694" s="232">
        <f>SUM(K696:K727)</f>
        <v>40</v>
      </c>
      <c r="L694" s="232">
        <f>SUM(L696:L727)</f>
        <v>282</v>
      </c>
      <c r="M694" s="232">
        <f>SUM(M696:M727)</f>
        <v>121</v>
      </c>
      <c r="O694" s="246"/>
      <c r="P694" s="246"/>
    </row>
    <row r="695" spans="1:16" s="230" customFormat="1" ht="3.95" customHeight="1" x14ac:dyDescent="0.25">
      <c r="A695" s="231"/>
      <c r="B695" s="232"/>
      <c r="C695" s="232"/>
      <c r="D695" s="232"/>
      <c r="E695" s="232"/>
      <c r="F695" s="232"/>
      <c r="G695" s="232"/>
      <c r="H695" s="232"/>
      <c r="I695" s="232"/>
      <c r="J695" s="232"/>
      <c r="K695" s="232"/>
      <c r="L695" s="232"/>
      <c r="M695" s="232"/>
      <c r="P695" s="246"/>
    </row>
    <row r="696" spans="1:16" s="230" customFormat="1" ht="8.85" customHeight="1" x14ac:dyDescent="0.25">
      <c r="A696" s="230" t="s">
        <v>23</v>
      </c>
      <c r="B696" s="234">
        <f>SUM(C696:M696)</f>
        <v>147</v>
      </c>
      <c r="C696" s="234">
        <v>113</v>
      </c>
      <c r="D696" s="234">
        <v>0</v>
      </c>
      <c r="E696" s="234">
        <v>13</v>
      </c>
      <c r="F696" s="234"/>
      <c r="G696" s="234">
        <v>11</v>
      </c>
      <c r="H696" s="234">
        <v>0</v>
      </c>
      <c r="I696" s="234"/>
      <c r="J696" s="234">
        <v>0</v>
      </c>
      <c r="K696" s="234">
        <v>0</v>
      </c>
      <c r="L696" s="234">
        <v>0</v>
      </c>
      <c r="M696" s="234">
        <v>10</v>
      </c>
      <c r="O696" s="246"/>
      <c r="P696" s="246"/>
    </row>
    <row r="697" spans="1:16" s="230" customFormat="1" ht="8.85" customHeight="1" x14ac:dyDescent="0.25">
      <c r="A697" s="230" t="s">
        <v>24</v>
      </c>
      <c r="B697" s="234">
        <f t="shared" ref="B697:B727" si="19">SUM(C697:M697)</f>
        <v>298</v>
      </c>
      <c r="C697" s="234">
        <v>211</v>
      </c>
      <c r="D697" s="234">
        <v>16</v>
      </c>
      <c r="E697" s="234">
        <v>37</v>
      </c>
      <c r="F697" s="234"/>
      <c r="G697" s="234">
        <v>14</v>
      </c>
      <c r="H697" s="234">
        <v>0</v>
      </c>
      <c r="I697" s="234"/>
      <c r="J697" s="234">
        <v>2</v>
      </c>
      <c r="K697" s="234">
        <v>2</v>
      </c>
      <c r="L697" s="234">
        <v>15</v>
      </c>
      <c r="M697" s="234">
        <v>1</v>
      </c>
      <c r="O697" s="246"/>
      <c r="P697" s="246"/>
    </row>
    <row r="698" spans="1:16" s="230" customFormat="1" ht="8.85" customHeight="1" x14ac:dyDescent="0.25">
      <c r="A698" s="230" t="s">
        <v>25</v>
      </c>
      <c r="B698" s="234">
        <f t="shared" si="19"/>
        <v>138</v>
      </c>
      <c r="C698" s="234">
        <v>83</v>
      </c>
      <c r="D698" s="234">
        <v>0</v>
      </c>
      <c r="E698" s="234">
        <v>20</v>
      </c>
      <c r="F698" s="234"/>
      <c r="G698" s="234">
        <v>30</v>
      </c>
      <c r="H698" s="234">
        <v>0</v>
      </c>
      <c r="I698" s="234"/>
      <c r="J698" s="234">
        <v>1</v>
      </c>
      <c r="K698" s="234">
        <v>3</v>
      </c>
      <c r="L698" s="234">
        <v>0</v>
      </c>
      <c r="M698" s="234">
        <v>1</v>
      </c>
      <c r="O698" s="246"/>
      <c r="P698" s="246"/>
    </row>
    <row r="699" spans="1:16" s="230" customFormat="1" ht="8.85" customHeight="1" x14ac:dyDescent="0.25">
      <c r="A699" s="235" t="s">
        <v>26</v>
      </c>
      <c r="B699" s="236">
        <f t="shared" si="19"/>
        <v>236</v>
      </c>
      <c r="C699" s="236">
        <v>160</v>
      </c>
      <c r="D699" s="236">
        <v>48</v>
      </c>
      <c r="E699" s="236">
        <v>12</v>
      </c>
      <c r="F699" s="236"/>
      <c r="G699" s="236">
        <v>11</v>
      </c>
      <c r="H699" s="236">
        <v>1</v>
      </c>
      <c r="I699" s="236"/>
      <c r="J699" s="236">
        <v>0</v>
      </c>
      <c r="K699" s="236">
        <v>3</v>
      </c>
      <c r="L699" s="236">
        <v>0</v>
      </c>
      <c r="M699" s="236">
        <v>1</v>
      </c>
      <c r="O699" s="246"/>
      <c r="P699" s="246"/>
    </row>
    <row r="700" spans="1:16" s="230" customFormat="1" ht="8.85" customHeight="1" x14ac:dyDescent="0.25">
      <c r="A700" s="230" t="s">
        <v>27</v>
      </c>
      <c r="B700" s="234">
        <f t="shared" si="19"/>
        <v>440</v>
      </c>
      <c r="C700" s="234">
        <v>240</v>
      </c>
      <c r="D700" s="234">
        <v>92</v>
      </c>
      <c r="E700" s="234">
        <v>51</v>
      </c>
      <c r="F700" s="234"/>
      <c r="G700" s="234">
        <v>28</v>
      </c>
      <c r="H700" s="234">
        <v>0</v>
      </c>
      <c r="I700" s="234"/>
      <c r="J700" s="234">
        <v>1</v>
      </c>
      <c r="K700" s="234">
        <v>0</v>
      </c>
      <c r="L700" s="234">
        <v>22</v>
      </c>
      <c r="M700" s="234">
        <v>6</v>
      </c>
      <c r="O700" s="246"/>
      <c r="P700" s="246"/>
    </row>
    <row r="701" spans="1:16" s="230" customFormat="1" ht="8.85" customHeight="1" x14ac:dyDescent="0.25">
      <c r="A701" s="230" t="s">
        <v>28</v>
      </c>
      <c r="B701" s="234">
        <f t="shared" si="19"/>
        <v>193</v>
      </c>
      <c r="C701" s="234">
        <v>156</v>
      </c>
      <c r="D701" s="234">
        <v>0</v>
      </c>
      <c r="E701" s="234">
        <v>13</v>
      </c>
      <c r="F701" s="234"/>
      <c r="G701" s="234">
        <v>5</v>
      </c>
      <c r="H701" s="234">
        <v>0</v>
      </c>
      <c r="I701" s="234"/>
      <c r="J701" s="234">
        <v>0</v>
      </c>
      <c r="K701" s="234">
        <v>1</v>
      </c>
      <c r="L701" s="234">
        <v>0</v>
      </c>
      <c r="M701" s="234">
        <v>18</v>
      </c>
      <c r="O701" s="246"/>
      <c r="P701" s="246"/>
    </row>
    <row r="702" spans="1:16" s="230" customFormat="1" ht="8.85" customHeight="1" x14ac:dyDescent="0.25">
      <c r="A702" s="230" t="s">
        <v>29</v>
      </c>
      <c r="B702" s="234">
        <f t="shared" si="19"/>
        <v>1796</v>
      </c>
      <c r="C702" s="234">
        <v>1103</v>
      </c>
      <c r="D702" s="234">
        <v>596</v>
      </c>
      <c r="E702" s="234">
        <v>32</v>
      </c>
      <c r="F702" s="234"/>
      <c r="G702" s="234">
        <v>48</v>
      </c>
      <c r="H702" s="234">
        <v>1</v>
      </c>
      <c r="I702" s="234"/>
      <c r="J702" s="234">
        <v>1</v>
      </c>
      <c r="K702" s="234">
        <v>2</v>
      </c>
      <c r="L702" s="234">
        <v>12</v>
      </c>
      <c r="M702" s="234">
        <v>1</v>
      </c>
      <c r="O702" s="246"/>
      <c r="P702" s="246"/>
    </row>
    <row r="703" spans="1:16" s="230" customFormat="1" ht="8.85" customHeight="1" x14ac:dyDescent="0.25">
      <c r="A703" s="235" t="s">
        <v>30</v>
      </c>
      <c r="B703" s="236">
        <f t="shared" si="19"/>
        <v>579</v>
      </c>
      <c r="C703" s="236">
        <v>306</v>
      </c>
      <c r="D703" s="236">
        <v>162</v>
      </c>
      <c r="E703" s="236">
        <v>57</v>
      </c>
      <c r="F703" s="236"/>
      <c r="G703" s="236">
        <v>49</v>
      </c>
      <c r="H703" s="236">
        <v>1</v>
      </c>
      <c r="I703" s="236"/>
      <c r="J703" s="236">
        <v>2</v>
      </c>
      <c r="K703" s="236">
        <v>0</v>
      </c>
      <c r="L703" s="236">
        <v>1</v>
      </c>
      <c r="M703" s="236">
        <v>1</v>
      </c>
      <c r="O703" s="246"/>
      <c r="P703" s="246"/>
    </row>
    <row r="704" spans="1:16" s="230" customFormat="1" ht="8.85" customHeight="1" x14ac:dyDescent="0.25">
      <c r="A704" s="405" t="s">
        <v>63</v>
      </c>
      <c r="B704" s="234">
        <f t="shared" si="19"/>
        <v>715</v>
      </c>
      <c r="C704" s="234">
        <v>452</v>
      </c>
      <c r="D704" s="234">
        <v>21</v>
      </c>
      <c r="E704" s="234">
        <v>79</v>
      </c>
      <c r="F704" s="234"/>
      <c r="G704" s="234">
        <v>106</v>
      </c>
      <c r="H704" s="234">
        <v>3</v>
      </c>
      <c r="I704" s="234"/>
      <c r="J704" s="234">
        <v>8</v>
      </c>
      <c r="K704" s="234">
        <v>4</v>
      </c>
      <c r="L704" s="234">
        <v>22</v>
      </c>
      <c r="M704" s="234">
        <v>20</v>
      </c>
      <c r="O704" s="246"/>
      <c r="P704" s="246"/>
    </row>
    <row r="705" spans="1:16" s="230" customFormat="1" ht="8.85" customHeight="1" x14ac:dyDescent="0.25">
      <c r="A705" s="230" t="s">
        <v>31</v>
      </c>
      <c r="B705" s="234">
        <f t="shared" si="19"/>
        <v>520</v>
      </c>
      <c r="C705" s="234">
        <v>271</v>
      </c>
      <c r="D705" s="234">
        <v>173</v>
      </c>
      <c r="E705" s="234">
        <v>34</v>
      </c>
      <c r="F705" s="234"/>
      <c r="G705" s="234">
        <v>40</v>
      </c>
      <c r="H705" s="234">
        <v>0</v>
      </c>
      <c r="I705" s="234"/>
      <c r="J705" s="234">
        <v>1</v>
      </c>
      <c r="K705" s="234">
        <v>0</v>
      </c>
      <c r="L705" s="234">
        <v>0</v>
      </c>
      <c r="M705" s="234">
        <v>1</v>
      </c>
      <c r="O705" s="246"/>
      <c r="P705" s="246"/>
    </row>
    <row r="706" spans="1:16" s="230" customFormat="1" ht="8.85" customHeight="1" x14ac:dyDescent="0.25">
      <c r="A706" s="230" t="s">
        <v>32</v>
      </c>
      <c r="B706" s="234">
        <f t="shared" si="19"/>
        <v>714</v>
      </c>
      <c r="C706" s="234">
        <v>611</v>
      </c>
      <c r="D706" s="234">
        <v>11</v>
      </c>
      <c r="E706" s="234">
        <v>48</v>
      </c>
      <c r="F706" s="234"/>
      <c r="G706" s="234">
        <v>42</v>
      </c>
      <c r="H706" s="234">
        <v>1</v>
      </c>
      <c r="I706" s="234"/>
      <c r="J706" s="234">
        <v>1</v>
      </c>
      <c r="K706" s="234">
        <v>0</v>
      </c>
      <c r="L706" s="234">
        <v>0</v>
      </c>
      <c r="M706" s="234">
        <v>0</v>
      </c>
      <c r="O706" s="246"/>
      <c r="P706" s="246"/>
    </row>
    <row r="707" spans="1:16" s="230" customFormat="1" ht="8.85" customHeight="1" x14ac:dyDescent="0.25">
      <c r="A707" s="235" t="s">
        <v>33</v>
      </c>
      <c r="B707" s="236">
        <f t="shared" si="19"/>
        <v>1185</v>
      </c>
      <c r="C707" s="236">
        <v>1073</v>
      </c>
      <c r="D707" s="236">
        <v>38</v>
      </c>
      <c r="E707" s="236">
        <v>20</v>
      </c>
      <c r="F707" s="236"/>
      <c r="G707" s="236">
        <v>50</v>
      </c>
      <c r="H707" s="236">
        <v>0</v>
      </c>
      <c r="I707" s="236"/>
      <c r="J707" s="236">
        <v>2</v>
      </c>
      <c r="K707" s="236">
        <v>2</v>
      </c>
      <c r="L707" s="236">
        <v>0</v>
      </c>
      <c r="M707" s="236">
        <v>0</v>
      </c>
      <c r="O707" s="246"/>
      <c r="P707" s="246"/>
    </row>
    <row r="708" spans="1:16" s="230" customFormat="1" ht="8.85" customHeight="1" x14ac:dyDescent="0.25">
      <c r="A708" s="230" t="s">
        <v>34</v>
      </c>
      <c r="B708" s="234">
        <f t="shared" si="19"/>
        <v>931</v>
      </c>
      <c r="C708" s="234">
        <v>637</v>
      </c>
      <c r="D708" s="234">
        <v>236</v>
      </c>
      <c r="E708" s="234">
        <v>20</v>
      </c>
      <c r="F708" s="234"/>
      <c r="G708" s="234">
        <v>36</v>
      </c>
      <c r="H708" s="234">
        <v>2</v>
      </c>
      <c r="I708" s="234"/>
      <c r="J708" s="234">
        <v>0</v>
      </c>
      <c r="K708" s="234">
        <v>0</v>
      </c>
      <c r="L708" s="234">
        <v>0</v>
      </c>
      <c r="M708" s="234">
        <v>0</v>
      </c>
      <c r="O708" s="246"/>
      <c r="P708" s="246"/>
    </row>
    <row r="709" spans="1:16" s="230" customFormat="1" ht="8.85" customHeight="1" x14ac:dyDescent="0.25">
      <c r="A709" s="230" t="s">
        <v>35</v>
      </c>
      <c r="B709" s="234">
        <f t="shared" si="19"/>
        <v>1072</v>
      </c>
      <c r="C709" s="234">
        <v>841</v>
      </c>
      <c r="D709" s="234">
        <v>9</v>
      </c>
      <c r="E709" s="234">
        <v>125</v>
      </c>
      <c r="F709" s="234"/>
      <c r="G709" s="234">
        <v>90</v>
      </c>
      <c r="H709" s="234">
        <v>1</v>
      </c>
      <c r="I709" s="234"/>
      <c r="J709" s="234">
        <v>3</v>
      </c>
      <c r="K709" s="234">
        <v>1</v>
      </c>
      <c r="L709" s="234">
        <v>0</v>
      </c>
      <c r="M709" s="234">
        <v>2</v>
      </c>
      <c r="O709" s="246"/>
      <c r="P709" s="246"/>
    </row>
    <row r="710" spans="1:16" s="230" customFormat="1" ht="8.85" customHeight="1" x14ac:dyDescent="0.25">
      <c r="A710" s="230" t="s">
        <v>36</v>
      </c>
      <c r="B710" s="234">
        <f t="shared" si="19"/>
        <v>1508</v>
      </c>
      <c r="C710" s="234">
        <v>1212</v>
      </c>
      <c r="D710" s="234">
        <v>37</v>
      </c>
      <c r="E710" s="234">
        <v>103</v>
      </c>
      <c r="F710" s="234"/>
      <c r="G710" s="234">
        <v>40</v>
      </c>
      <c r="H710" s="234">
        <v>2</v>
      </c>
      <c r="I710" s="234"/>
      <c r="J710" s="234">
        <v>8</v>
      </c>
      <c r="K710" s="234">
        <v>0</v>
      </c>
      <c r="L710" s="234">
        <v>105</v>
      </c>
      <c r="M710" s="234">
        <v>1</v>
      </c>
      <c r="O710" s="246"/>
      <c r="P710" s="246"/>
    </row>
    <row r="711" spans="1:16" s="230" customFormat="1" ht="8.85" customHeight="1" x14ac:dyDescent="0.25">
      <c r="A711" s="235" t="s">
        <v>37</v>
      </c>
      <c r="B711" s="236">
        <f t="shared" si="19"/>
        <v>1074</v>
      </c>
      <c r="C711" s="236">
        <v>544</v>
      </c>
      <c r="D711" s="236">
        <v>385</v>
      </c>
      <c r="E711" s="236">
        <v>55</v>
      </c>
      <c r="F711" s="236"/>
      <c r="G711" s="236">
        <v>67</v>
      </c>
      <c r="H711" s="236">
        <v>0</v>
      </c>
      <c r="I711" s="236"/>
      <c r="J711" s="236">
        <v>1</v>
      </c>
      <c r="K711" s="236">
        <v>1</v>
      </c>
      <c r="L711" s="236">
        <v>0</v>
      </c>
      <c r="M711" s="236">
        <v>21</v>
      </c>
      <c r="O711" s="246"/>
      <c r="P711" s="246"/>
    </row>
    <row r="712" spans="1:16" s="230" customFormat="1" ht="8.85" customHeight="1" x14ac:dyDescent="0.25">
      <c r="A712" s="230" t="s">
        <v>38</v>
      </c>
      <c r="B712" s="234">
        <f t="shared" si="19"/>
        <v>305</v>
      </c>
      <c r="C712" s="234">
        <v>245</v>
      </c>
      <c r="D712" s="234">
        <v>4</v>
      </c>
      <c r="E712" s="234">
        <v>24</v>
      </c>
      <c r="F712" s="234"/>
      <c r="G712" s="234">
        <v>28</v>
      </c>
      <c r="H712" s="234">
        <v>0</v>
      </c>
      <c r="I712" s="234"/>
      <c r="J712" s="234">
        <v>1</v>
      </c>
      <c r="K712" s="234">
        <v>0</v>
      </c>
      <c r="L712" s="234">
        <v>0</v>
      </c>
      <c r="M712" s="234">
        <v>3</v>
      </c>
      <c r="O712" s="246"/>
      <c r="P712" s="246"/>
    </row>
    <row r="713" spans="1:16" s="230" customFormat="1" ht="8.85" customHeight="1" x14ac:dyDescent="0.25">
      <c r="A713" s="230" t="s">
        <v>39</v>
      </c>
      <c r="B713" s="234">
        <f t="shared" si="19"/>
        <v>427</v>
      </c>
      <c r="C713" s="234">
        <v>277</v>
      </c>
      <c r="D713" s="234">
        <v>90</v>
      </c>
      <c r="E713" s="234">
        <v>27</v>
      </c>
      <c r="F713" s="234"/>
      <c r="G713" s="234">
        <v>25</v>
      </c>
      <c r="H713" s="234">
        <v>0</v>
      </c>
      <c r="I713" s="234"/>
      <c r="J713" s="234">
        <v>0</v>
      </c>
      <c r="K713" s="234">
        <v>1</v>
      </c>
      <c r="L713" s="234">
        <v>3</v>
      </c>
      <c r="M713" s="234">
        <v>4</v>
      </c>
      <c r="O713" s="246"/>
      <c r="P713" s="246"/>
    </row>
    <row r="714" spans="1:16" s="230" customFormat="1" ht="8.85" customHeight="1" x14ac:dyDescent="0.25">
      <c r="A714" s="230" t="s">
        <v>40</v>
      </c>
      <c r="B714" s="234">
        <f t="shared" si="19"/>
        <v>624</v>
      </c>
      <c r="C714" s="234">
        <v>519</v>
      </c>
      <c r="D714" s="234">
        <v>3</v>
      </c>
      <c r="E714" s="234">
        <v>63</v>
      </c>
      <c r="F714" s="234"/>
      <c r="G714" s="234">
        <v>31</v>
      </c>
      <c r="H714" s="234">
        <v>2</v>
      </c>
      <c r="I714" s="234"/>
      <c r="J714" s="234">
        <v>1</v>
      </c>
      <c r="K714" s="234">
        <v>0</v>
      </c>
      <c r="L714" s="234">
        <v>2</v>
      </c>
      <c r="M714" s="234">
        <v>3</v>
      </c>
      <c r="O714" s="246"/>
      <c r="P714" s="246"/>
    </row>
    <row r="715" spans="1:16" s="230" customFormat="1" ht="8.85" customHeight="1" x14ac:dyDescent="0.25">
      <c r="A715" s="235" t="s">
        <v>41</v>
      </c>
      <c r="B715" s="236">
        <f t="shared" si="19"/>
        <v>1599</v>
      </c>
      <c r="C715" s="236">
        <v>964</v>
      </c>
      <c r="D715" s="236">
        <v>526</v>
      </c>
      <c r="E715" s="236">
        <v>32</v>
      </c>
      <c r="F715" s="236"/>
      <c r="G715" s="236">
        <v>57</v>
      </c>
      <c r="H715" s="236">
        <v>3</v>
      </c>
      <c r="I715" s="236"/>
      <c r="J715" s="236">
        <v>2</v>
      </c>
      <c r="K715" s="236">
        <v>2</v>
      </c>
      <c r="L715" s="236">
        <v>0</v>
      </c>
      <c r="M715" s="236">
        <v>13</v>
      </c>
      <c r="O715" s="246"/>
      <c r="P715" s="246"/>
    </row>
    <row r="716" spans="1:16" s="230" customFormat="1" ht="8.85" customHeight="1" x14ac:dyDescent="0.25">
      <c r="A716" s="230" t="s">
        <v>42</v>
      </c>
      <c r="B716" s="234">
        <f t="shared" si="19"/>
        <v>1237</v>
      </c>
      <c r="C716" s="234">
        <v>739</v>
      </c>
      <c r="D716" s="234">
        <v>338</v>
      </c>
      <c r="E716" s="234">
        <v>52</v>
      </c>
      <c r="F716" s="234"/>
      <c r="G716" s="234">
        <v>45</v>
      </c>
      <c r="H716" s="234">
        <v>3</v>
      </c>
      <c r="I716" s="234"/>
      <c r="J716" s="234">
        <v>1</v>
      </c>
      <c r="K716" s="234">
        <v>0</v>
      </c>
      <c r="L716" s="234">
        <v>56</v>
      </c>
      <c r="M716" s="234">
        <v>3</v>
      </c>
      <c r="O716" s="246"/>
      <c r="P716" s="246"/>
    </row>
    <row r="717" spans="1:16" s="230" customFormat="1" ht="8.85" customHeight="1" x14ac:dyDescent="0.25">
      <c r="A717" s="230" t="s">
        <v>43</v>
      </c>
      <c r="B717" s="234">
        <f t="shared" si="19"/>
        <v>322</v>
      </c>
      <c r="C717" s="234">
        <v>280</v>
      </c>
      <c r="D717" s="234">
        <v>4</v>
      </c>
      <c r="E717" s="234">
        <v>24</v>
      </c>
      <c r="F717" s="234"/>
      <c r="G717" s="234">
        <v>14</v>
      </c>
      <c r="H717" s="234">
        <v>0</v>
      </c>
      <c r="I717" s="234"/>
      <c r="J717" s="234">
        <v>0</v>
      </c>
      <c r="K717" s="234">
        <v>0</v>
      </c>
      <c r="L717" s="234">
        <v>0</v>
      </c>
      <c r="M717" s="234">
        <v>0</v>
      </c>
      <c r="O717" s="246"/>
      <c r="P717" s="246"/>
    </row>
    <row r="718" spans="1:16" s="230" customFormat="1" ht="8.85" customHeight="1" x14ac:dyDescent="0.25">
      <c r="A718" s="230" t="s">
        <v>44</v>
      </c>
      <c r="B718" s="234">
        <f t="shared" si="19"/>
        <v>242</v>
      </c>
      <c r="C718" s="234">
        <v>213</v>
      </c>
      <c r="D718" s="234">
        <v>0</v>
      </c>
      <c r="E718" s="234">
        <v>14</v>
      </c>
      <c r="F718" s="234"/>
      <c r="G718" s="234">
        <v>10</v>
      </c>
      <c r="H718" s="234">
        <v>0</v>
      </c>
      <c r="I718" s="234"/>
      <c r="J718" s="234">
        <v>1</v>
      </c>
      <c r="K718" s="234">
        <v>3</v>
      </c>
      <c r="L718" s="234">
        <v>0</v>
      </c>
      <c r="M718" s="234">
        <v>1</v>
      </c>
      <c r="O718" s="246"/>
      <c r="P718" s="246"/>
    </row>
    <row r="719" spans="1:16" s="230" customFormat="1" ht="8.85" customHeight="1" x14ac:dyDescent="0.25">
      <c r="A719" s="235" t="s">
        <v>45</v>
      </c>
      <c r="B719" s="236">
        <f t="shared" si="19"/>
        <v>626</v>
      </c>
      <c r="C719" s="236">
        <v>319</v>
      </c>
      <c r="D719" s="236">
        <v>238</v>
      </c>
      <c r="E719" s="236">
        <v>36</v>
      </c>
      <c r="F719" s="236"/>
      <c r="G719" s="236">
        <v>29</v>
      </c>
      <c r="H719" s="236">
        <v>1</v>
      </c>
      <c r="I719" s="236"/>
      <c r="J719" s="236">
        <v>1</v>
      </c>
      <c r="K719" s="236">
        <v>0</v>
      </c>
      <c r="L719" s="236">
        <v>1</v>
      </c>
      <c r="M719" s="236">
        <v>1</v>
      </c>
      <c r="O719" s="246"/>
      <c r="P719" s="246"/>
    </row>
    <row r="720" spans="1:16" s="230" customFormat="1" ht="8.85" customHeight="1" x14ac:dyDescent="0.25">
      <c r="A720" s="230" t="s">
        <v>46</v>
      </c>
      <c r="B720" s="234">
        <f t="shared" si="19"/>
        <v>539</v>
      </c>
      <c r="C720" s="234">
        <v>323</v>
      </c>
      <c r="D720" s="234">
        <v>123</v>
      </c>
      <c r="E720" s="234">
        <v>49</v>
      </c>
      <c r="F720" s="234"/>
      <c r="G720" s="234">
        <v>38</v>
      </c>
      <c r="H720" s="234">
        <v>1</v>
      </c>
      <c r="I720" s="234"/>
      <c r="J720" s="234">
        <v>1</v>
      </c>
      <c r="K720" s="234">
        <v>2</v>
      </c>
      <c r="L720" s="234">
        <v>2</v>
      </c>
      <c r="M720" s="234">
        <v>0</v>
      </c>
      <c r="O720" s="246"/>
      <c r="P720" s="246"/>
    </row>
    <row r="721" spans="1:16" s="230" customFormat="1" ht="8.85" customHeight="1" x14ac:dyDescent="0.25">
      <c r="A721" s="230" t="s">
        <v>47</v>
      </c>
      <c r="B721" s="234">
        <f t="shared" si="19"/>
        <v>697</v>
      </c>
      <c r="C721" s="234">
        <v>551</v>
      </c>
      <c r="D721" s="234">
        <v>5</v>
      </c>
      <c r="E721" s="234">
        <v>76</v>
      </c>
      <c r="F721" s="234"/>
      <c r="G721" s="234">
        <v>40</v>
      </c>
      <c r="H721" s="234">
        <v>0</v>
      </c>
      <c r="I721" s="234"/>
      <c r="J721" s="234">
        <v>1</v>
      </c>
      <c r="K721" s="234">
        <v>2</v>
      </c>
      <c r="L721" s="234">
        <v>22</v>
      </c>
      <c r="M721" s="234">
        <v>0</v>
      </c>
      <c r="O721" s="246"/>
      <c r="P721" s="246"/>
    </row>
    <row r="722" spans="1:16" s="230" customFormat="1" ht="8.85" customHeight="1" x14ac:dyDescent="0.25">
      <c r="A722" s="230" t="s">
        <v>48</v>
      </c>
      <c r="B722" s="234">
        <f t="shared" si="19"/>
        <v>718</v>
      </c>
      <c r="C722" s="234">
        <v>629</v>
      </c>
      <c r="D722" s="234">
        <v>0</v>
      </c>
      <c r="E722" s="234">
        <v>33</v>
      </c>
      <c r="F722" s="234"/>
      <c r="G722" s="234">
        <v>26</v>
      </c>
      <c r="H722" s="234">
        <v>10</v>
      </c>
      <c r="I722" s="234"/>
      <c r="J722" s="234">
        <v>1</v>
      </c>
      <c r="K722" s="234">
        <v>1</v>
      </c>
      <c r="L722" s="234">
        <v>18</v>
      </c>
      <c r="M722" s="234">
        <v>0</v>
      </c>
      <c r="O722" s="246"/>
      <c r="P722" s="246"/>
    </row>
    <row r="723" spans="1:16" s="230" customFormat="1" ht="8.85" customHeight="1" x14ac:dyDescent="0.25">
      <c r="A723" s="235" t="s">
        <v>49</v>
      </c>
      <c r="B723" s="236">
        <f t="shared" si="19"/>
        <v>615</v>
      </c>
      <c r="C723" s="236">
        <v>404</v>
      </c>
      <c r="D723" s="236">
        <v>117</v>
      </c>
      <c r="E723" s="236">
        <v>48</v>
      </c>
      <c r="F723" s="236"/>
      <c r="G723" s="236">
        <v>34</v>
      </c>
      <c r="H723" s="236">
        <v>6</v>
      </c>
      <c r="I723" s="236"/>
      <c r="J723" s="236">
        <v>1</v>
      </c>
      <c r="K723" s="236">
        <v>4</v>
      </c>
      <c r="L723" s="236">
        <v>0</v>
      </c>
      <c r="M723" s="236">
        <v>1</v>
      </c>
      <c r="O723" s="246"/>
      <c r="P723" s="246"/>
    </row>
    <row r="724" spans="1:16" s="230" customFormat="1" ht="8.85" customHeight="1" x14ac:dyDescent="0.25">
      <c r="A724" s="230" t="s">
        <v>50</v>
      </c>
      <c r="B724" s="234">
        <f t="shared" si="19"/>
        <v>234</v>
      </c>
      <c r="C724" s="234">
        <v>205</v>
      </c>
      <c r="D724" s="234">
        <v>3</v>
      </c>
      <c r="E724" s="234">
        <v>17</v>
      </c>
      <c r="F724" s="234"/>
      <c r="G724" s="234">
        <v>5</v>
      </c>
      <c r="H724" s="234">
        <v>0</v>
      </c>
      <c r="I724" s="234"/>
      <c r="J724" s="234">
        <v>0</v>
      </c>
      <c r="K724" s="234">
        <v>0</v>
      </c>
      <c r="L724" s="234">
        <v>0</v>
      </c>
      <c r="M724" s="234">
        <v>4</v>
      </c>
      <c r="O724" s="246"/>
      <c r="P724" s="246"/>
    </row>
    <row r="725" spans="1:16" s="230" customFormat="1" ht="8.85" customHeight="1" x14ac:dyDescent="0.25">
      <c r="A725" s="230" t="s">
        <v>51</v>
      </c>
      <c r="B725" s="234">
        <f t="shared" si="19"/>
        <v>1753</v>
      </c>
      <c r="C725" s="234">
        <v>902</v>
      </c>
      <c r="D725" s="234">
        <v>613</v>
      </c>
      <c r="E725" s="234">
        <v>124</v>
      </c>
      <c r="F725" s="234"/>
      <c r="G725" s="234">
        <v>85</v>
      </c>
      <c r="H725" s="234">
        <v>20</v>
      </c>
      <c r="I725" s="234"/>
      <c r="J725" s="234">
        <v>2</v>
      </c>
      <c r="K725" s="234">
        <v>5</v>
      </c>
      <c r="L725" s="234">
        <v>0</v>
      </c>
      <c r="M725" s="234">
        <v>2</v>
      </c>
      <c r="O725" s="246"/>
      <c r="P725" s="246"/>
    </row>
    <row r="726" spans="1:16" s="230" customFormat="1" ht="8.85" customHeight="1" x14ac:dyDescent="0.25">
      <c r="A726" s="230" t="s">
        <v>52</v>
      </c>
      <c r="B726" s="234">
        <f t="shared" si="19"/>
        <v>346</v>
      </c>
      <c r="C726" s="234">
        <v>196</v>
      </c>
      <c r="D726" s="234">
        <v>99</v>
      </c>
      <c r="E726" s="234">
        <v>31</v>
      </c>
      <c r="F726" s="234"/>
      <c r="G726" s="234">
        <v>16</v>
      </c>
      <c r="H726" s="234">
        <v>0</v>
      </c>
      <c r="I726" s="234"/>
      <c r="J726" s="234">
        <v>1</v>
      </c>
      <c r="K726" s="234">
        <v>1</v>
      </c>
      <c r="L726" s="234">
        <v>1</v>
      </c>
      <c r="M726" s="234">
        <v>1</v>
      </c>
      <c r="O726" s="246"/>
      <c r="P726" s="246"/>
    </row>
    <row r="727" spans="1:16" s="230" customFormat="1" ht="8.85" customHeight="1" x14ac:dyDescent="0.25">
      <c r="A727" s="235" t="s">
        <v>53</v>
      </c>
      <c r="B727" s="236">
        <f t="shared" si="19"/>
        <v>497</v>
      </c>
      <c r="C727" s="236">
        <v>257</v>
      </c>
      <c r="D727" s="236">
        <v>167</v>
      </c>
      <c r="E727" s="236">
        <v>36</v>
      </c>
      <c r="F727" s="236"/>
      <c r="G727" s="236">
        <v>35</v>
      </c>
      <c r="H727" s="236">
        <v>0</v>
      </c>
      <c r="I727" s="236"/>
      <c r="J727" s="236">
        <v>1</v>
      </c>
      <c r="K727" s="236">
        <v>0</v>
      </c>
      <c r="L727" s="236">
        <v>0</v>
      </c>
      <c r="M727" s="236">
        <v>1</v>
      </c>
      <c r="O727" s="246"/>
      <c r="P727" s="246"/>
    </row>
    <row r="728" spans="1:16" s="230" customFormat="1" ht="9" customHeight="1" x14ac:dyDescent="0.25">
      <c r="B728" s="234"/>
      <c r="C728" s="234"/>
      <c r="D728" s="234"/>
      <c r="E728" s="234"/>
      <c r="F728" s="234"/>
      <c r="G728" s="234"/>
      <c r="H728" s="234"/>
      <c r="I728" s="234"/>
      <c r="J728" s="234"/>
      <c r="K728" s="234"/>
      <c r="L728" s="234"/>
      <c r="M728" s="234"/>
    </row>
    <row r="729" spans="1:16" s="230" customFormat="1" ht="8.85" customHeight="1" x14ac:dyDescent="0.25">
      <c r="A729" s="228">
        <v>2015</v>
      </c>
      <c r="B729" s="244"/>
      <c r="C729" s="244"/>
      <c r="D729" s="244"/>
      <c r="E729" s="244"/>
      <c r="F729" s="244"/>
      <c r="G729" s="229"/>
      <c r="H729" s="229"/>
      <c r="I729" s="229"/>
      <c r="J729" s="229"/>
      <c r="K729" s="229"/>
      <c r="M729" s="244"/>
    </row>
    <row r="730" spans="1:16" s="230" customFormat="1" ht="8.85" customHeight="1" x14ac:dyDescent="0.25">
      <c r="A730" s="231" t="s">
        <v>21</v>
      </c>
      <c r="B730" s="232">
        <f>SUM(B732:B763)</f>
        <v>22458</v>
      </c>
      <c r="C730" s="232">
        <f>SUM(C732:C763)</f>
        <v>15124</v>
      </c>
      <c r="D730" s="232">
        <f>SUM(D732:D763)</f>
        <v>4278</v>
      </c>
      <c r="E730" s="232">
        <f>SUM(E732:E763)</f>
        <v>1408</v>
      </c>
      <c r="F730" s="232"/>
      <c r="G730" s="232">
        <f>SUM(G732:G763)</f>
        <v>1185</v>
      </c>
      <c r="H730" s="232">
        <f>SUM(H732:H763)</f>
        <v>62</v>
      </c>
      <c r="I730" s="232"/>
      <c r="J730" s="232">
        <f>SUM(J732:J763)</f>
        <v>46</v>
      </c>
      <c r="K730" s="232">
        <f>SUM(K732:K763)</f>
        <v>40</v>
      </c>
      <c r="L730" s="232">
        <f>SUM(L732:L763)</f>
        <v>299</v>
      </c>
      <c r="M730" s="232">
        <f>SUM(M732:M763)</f>
        <v>16</v>
      </c>
      <c r="O730" s="246"/>
      <c r="P730" s="246"/>
    </row>
    <row r="731" spans="1:16" s="230" customFormat="1" ht="3.95" customHeight="1" x14ac:dyDescent="0.25">
      <c r="A731" s="231"/>
      <c r="B731" s="232"/>
      <c r="C731" s="232"/>
      <c r="D731" s="232"/>
      <c r="E731" s="232"/>
      <c r="F731" s="232"/>
      <c r="G731" s="232"/>
      <c r="H731" s="232"/>
      <c r="I731" s="232"/>
      <c r="J731" s="232"/>
      <c r="K731" s="232"/>
      <c r="L731" s="232"/>
      <c r="M731" s="232"/>
      <c r="P731" s="246"/>
    </row>
    <row r="732" spans="1:16" s="230" customFormat="1" ht="8.85" customHeight="1" x14ac:dyDescent="0.25">
      <c r="A732" s="230" t="s">
        <v>23</v>
      </c>
      <c r="B732" s="234">
        <f>SUM(C732:M732)</f>
        <v>141</v>
      </c>
      <c r="C732" s="234">
        <v>113</v>
      </c>
      <c r="D732" s="234">
        <v>0</v>
      </c>
      <c r="E732" s="234">
        <v>14</v>
      </c>
      <c r="F732" s="234"/>
      <c r="G732" s="234">
        <v>11</v>
      </c>
      <c r="H732" s="234">
        <v>0</v>
      </c>
      <c r="I732" s="234"/>
      <c r="J732" s="234">
        <v>0</v>
      </c>
      <c r="K732" s="234">
        <v>0</v>
      </c>
      <c r="L732" s="234">
        <v>0</v>
      </c>
      <c r="M732" s="234">
        <v>3</v>
      </c>
      <c r="O732" s="246"/>
      <c r="P732" s="246"/>
    </row>
    <row r="733" spans="1:16" s="230" customFormat="1" ht="8.85" customHeight="1" x14ac:dyDescent="0.25">
      <c r="A733" s="230" t="s">
        <v>24</v>
      </c>
      <c r="B733" s="234">
        <f t="shared" ref="B733:B763" si="20">SUM(C733:M733)</f>
        <v>301</v>
      </c>
      <c r="C733" s="234">
        <v>211</v>
      </c>
      <c r="D733" s="234">
        <v>17</v>
      </c>
      <c r="E733" s="234">
        <v>37</v>
      </c>
      <c r="F733" s="234"/>
      <c r="G733" s="234">
        <v>14</v>
      </c>
      <c r="H733" s="234">
        <v>0</v>
      </c>
      <c r="I733" s="234"/>
      <c r="J733" s="234">
        <v>2</v>
      </c>
      <c r="K733" s="234">
        <v>2</v>
      </c>
      <c r="L733" s="234">
        <v>18</v>
      </c>
      <c r="M733" s="234">
        <v>0</v>
      </c>
      <c r="O733" s="246"/>
      <c r="P733" s="246"/>
    </row>
    <row r="734" spans="1:16" s="230" customFormat="1" ht="8.85" customHeight="1" x14ac:dyDescent="0.25">
      <c r="A734" s="230" t="s">
        <v>25</v>
      </c>
      <c r="B734" s="234">
        <f t="shared" si="20"/>
        <v>150</v>
      </c>
      <c r="C734" s="234">
        <v>92</v>
      </c>
      <c r="D734" s="234">
        <v>3</v>
      </c>
      <c r="E734" s="234">
        <v>20</v>
      </c>
      <c r="F734" s="234"/>
      <c r="G734" s="234">
        <v>31</v>
      </c>
      <c r="H734" s="234">
        <v>0</v>
      </c>
      <c r="I734" s="234"/>
      <c r="J734" s="234">
        <v>1</v>
      </c>
      <c r="K734" s="234">
        <v>3</v>
      </c>
      <c r="L734" s="234">
        <v>0</v>
      </c>
      <c r="M734" s="234">
        <v>0</v>
      </c>
      <c r="O734" s="246"/>
      <c r="P734" s="246"/>
    </row>
    <row r="735" spans="1:16" s="230" customFormat="1" ht="8.85" customHeight="1" x14ac:dyDescent="0.25">
      <c r="A735" s="235" t="s">
        <v>26</v>
      </c>
      <c r="B735" s="236">
        <f t="shared" si="20"/>
        <v>236</v>
      </c>
      <c r="C735" s="236">
        <v>160</v>
      </c>
      <c r="D735" s="236">
        <v>48</v>
      </c>
      <c r="E735" s="236">
        <v>12</v>
      </c>
      <c r="F735" s="236"/>
      <c r="G735" s="236">
        <v>11</v>
      </c>
      <c r="H735" s="236">
        <v>2</v>
      </c>
      <c r="I735" s="236"/>
      <c r="J735" s="236">
        <v>0</v>
      </c>
      <c r="K735" s="236">
        <v>3</v>
      </c>
      <c r="L735" s="236">
        <v>0</v>
      </c>
      <c r="M735" s="236">
        <v>0</v>
      </c>
      <c r="O735" s="246"/>
      <c r="P735" s="246"/>
    </row>
    <row r="736" spans="1:16" s="230" customFormat="1" ht="8.85" customHeight="1" x14ac:dyDescent="0.25">
      <c r="A736" s="230" t="s">
        <v>27</v>
      </c>
      <c r="B736" s="234">
        <f t="shared" si="20"/>
        <v>424</v>
      </c>
      <c r="C736" s="234">
        <v>232</v>
      </c>
      <c r="D736" s="234">
        <v>92</v>
      </c>
      <c r="E736" s="234">
        <v>51</v>
      </c>
      <c r="F736" s="234"/>
      <c r="G736" s="234">
        <v>28</v>
      </c>
      <c r="H736" s="234">
        <v>0</v>
      </c>
      <c r="I736" s="234"/>
      <c r="J736" s="234">
        <v>1</v>
      </c>
      <c r="K736" s="234">
        <v>0</v>
      </c>
      <c r="L736" s="234">
        <v>17</v>
      </c>
      <c r="M736" s="234">
        <v>3</v>
      </c>
      <c r="O736" s="246"/>
      <c r="P736" s="246"/>
    </row>
    <row r="737" spans="1:16" s="230" customFormat="1" ht="8.85" customHeight="1" x14ac:dyDescent="0.25">
      <c r="A737" s="230" t="s">
        <v>28</v>
      </c>
      <c r="B737" s="234">
        <f t="shared" si="20"/>
        <v>174</v>
      </c>
      <c r="C737" s="234">
        <v>155</v>
      </c>
      <c r="D737" s="234">
        <v>0</v>
      </c>
      <c r="E737" s="234">
        <v>13</v>
      </c>
      <c r="F737" s="234"/>
      <c r="G737" s="234">
        <v>5</v>
      </c>
      <c r="H737" s="234">
        <v>0</v>
      </c>
      <c r="I737" s="234"/>
      <c r="J737" s="234">
        <v>0</v>
      </c>
      <c r="K737" s="234">
        <v>1</v>
      </c>
      <c r="L737" s="234">
        <v>0</v>
      </c>
      <c r="M737" s="234">
        <v>0</v>
      </c>
      <c r="O737" s="246"/>
      <c r="P737" s="246"/>
    </row>
    <row r="738" spans="1:16" s="230" customFormat="1" ht="8.85" customHeight="1" x14ac:dyDescent="0.25">
      <c r="A738" s="230" t="s">
        <v>29</v>
      </c>
      <c r="B738" s="234">
        <f t="shared" si="20"/>
        <v>1796</v>
      </c>
      <c r="C738" s="234">
        <v>1093</v>
      </c>
      <c r="D738" s="234">
        <v>606</v>
      </c>
      <c r="E738" s="234">
        <v>32</v>
      </c>
      <c r="F738" s="234"/>
      <c r="G738" s="234">
        <v>48</v>
      </c>
      <c r="H738" s="234">
        <v>1</v>
      </c>
      <c r="I738" s="234"/>
      <c r="J738" s="234">
        <v>1</v>
      </c>
      <c r="K738" s="234">
        <v>2</v>
      </c>
      <c r="L738" s="234">
        <v>13</v>
      </c>
      <c r="M738" s="234">
        <v>0</v>
      </c>
      <c r="O738" s="246"/>
      <c r="P738" s="246"/>
    </row>
    <row r="739" spans="1:16" s="230" customFormat="1" ht="8.85" customHeight="1" x14ac:dyDescent="0.25">
      <c r="A739" s="235" t="s">
        <v>30</v>
      </c>
      <c r="B739" s="236">
        <f t="shared" si="20"/>
        <v>583</v>
      </c>
      <c r="C739" s="236">
        <v>309</v>
      </c>
      <c r="D739" s="236">
        <v>164</v>
      </c>
      <c r="E739" s="236">
        <v>57</v>
      </c>
      <c r="F739" s="236"/>
      <c r="G739" s="236">
        <v>49</v>
      </c>
      <c r="H739" s="236">
        <v>1</v>
      </c>
      <c r="I739" s="236"/>
      <c r="J739" s="236">
        <v>2</v>
      </c>
      <c r="K739" s="236">
        <v>0</v>
      </c>
      <c r="L739" s="236">
        <v>1</v>
      </c>
      <c r="M739" s="236">
        <v>0</v>
      </c>
      <c r="O739" s="246"/>
      <c r="P739" s="246"/>
    </row>
    <row r="740" spans="1:16" s="230" customFormat="1" ht="8.85" customHeight="1" x14ac:dyDescent="0.25">
      <c r="A740" s="405" t="s">
        <v>63</v>
      </c>
      <c r="B740" s="234">
        <f t="shared" si="20"/>
        <v>707</v>
      </c>
      <c r="C740" s="234">
        <v>456</v>
      </c>
      <c r="D740" s="234">
        <v>21</v>
      </c>
      <c r="E740" s="234">
        <v>79</v>
      </c>
      <c r="F740" s="234"/>
      <c r="G740" s="234">
        <v>105</v>
      </c>
      <c r="H740" s="234">
        <v>3</v>
      </c>
      <c r="I740" s="234"/>
      <c r="J740" s="234">
        <v>8</v>
      </c>
      <c r="K740" s="234">
        <v>4</v>
      </c>
      <c r="L740" s="234">
        <v>29</v>
      </c>
      <c r="M740" s="234">
        <v>2</v>
      </c>
      <c r="O740" s="246"/>
      <c r="P740" s="246"/>
    </row>
    <row r="741" spans="1:16" s="230" customFormat="1" ht="8.85" customHeight="1" x14ac:dyDescent="0.25">
      <c r="A741" s="230" t="s">
        <v>31</v>
      </c>
      <c r="B741" s="234">
        <f t="shared" si="20"/>
        <v>522</v>
      </c>
      <c r="C741" s="234">
        <v>273</v>
      </c>
      <c r="D741" s="234">
        <v>173</v>
      </c>
      <c r="E741" s="234">
        <v>34</v>
      </c>
      <c r="F741" s="234"/>
      <c r="G741" s="234">
        <v>40</v>
      </c>
      <c r="H741" s="234">
        <v>0</v>
      </c>
      <c r="I741" s="234"/>
      <c r="J741" s="234">
        <v>1</v>
      </c>
      <c r="K741" s="234">
        <v>0</v>
      </c>
      <c r="L741" s="234">
        <v>1</v>
      </c>
      <c r="M741" s="234">
        <v>0</v>
      </c>
      <c r="O741" s="246"/>
      <c r="P741" s="246"/>
    </row>
    <row r="742" spans="1:16" s="230" customFormat="1" ht="8.85" customHeight="1" x14ac:dyDescent="0.25">
      <c r="A742" s="230" t="s">
        <v>32</v>
      </c>
      <c r="B742" s="234">
        <f t="shared" si="20"/>
        <v>718</v>
      </c>
      <c r="C742" s="234">
        <v>614</v>
      </c>
      <c r="D742" s="234">
        <v>11</v>
      </c>
      <c r="E742" s="234">
        <v>49</v>
      </c>
      <c r="F742" s="234"/>
      <c r="G742" s="234">
        <v>42</v>
      </c>
      <c r="H742" s="234">
        <v>1</v>
      </c>
      <c r="I742" s="234"/>
      <c r="J742" s="234">
        <v>1</v>
      </c>
      <c r="K742" s="234">
        <v>0</v>
      </c>
      <c r="L742" s="234">
        <v>0</v>
      </c>
      <c r="M742" s="234">
        <v>0</v>
      </c>
      <c r="O742" s="246"/>
      <c r="P742" s="246"/>
    </row>
    <row r="743" spans="1:16" s="230" customFormat="1" ht="8.85" customHeight="1" x14ac:dyDescent="0.25">
      <c r="A743" s="235" t="s">
        <v>33</v>
      </c>
      <c r="B743" s="236">
        <f t="shared" si="20"/>
        <v>1210</v>
      </c>
      <c r="C743" s="236">
        <v>1078</v>
      </c>
      <c r="D743" s="236">
        <v>58</v>
      </c>
      <c r="E743" s="236">
        <v>20</v>
      </c>
      <c r="F743" s="236"/>
      <c r="G743" s="236">
        <v>50</v>
      </c>
      <c r="H743" s="236">
        <v>0</v>
      </c>
      <c r="I743" s="236"/>
      <c r="J743" s="236">
        <v>2</v>
      </c>
      <c r="K743" s="236">
        <v>2</v>
      </c>
      <c r="L743" s="236">
        <v>0</v>
      </c>
      <c r="M743" s="236">
        <v>0</v>
      </c>
      <c r="O743" s="246"/>
      <c r="P743" s="246"/>
    </row>
    <row r="744" spans="1:16" s="230" customFormat="1" ht="8.85" customHeight="1" x14ac:dyDescent="0.25">
      <c r="A744" s="230" t="s">
        <v>34</v>
      </c>
      <c r="B744" s="234">
        <f t="shared" si="20"/>
        <v>938</v>
      </c>
      <c r="C744" s="234">
        <v>638</v>
      </c>
      <c r="D744" s="234">
        <v>242</v>
      </c>
      <c r="E744" s="234">
        <v>20</v>
      </c>
      <c r="F744" s="234"/>
      <c r="G744" s="234">
        <v>36</v>
      </c>
      <c r="H744" s="234">
        <v>2</v>
      </c>
      <c r="I744" s="234"/>
      <c r="J744" s="234">
        <v>0</v>
      </c>
      <c r="K744" s="234">
        <v>0</v>
      </c>
      <c r="L744" s="234">
        <v>0</v>
      </c>
      <c r="M744" s="234">
        <v>0</v>
      </c>
      <c r="O744" s="246"/>
      <c r="P744" s="246"/>
    </row>
    <row r="745" spans="1:16" s="230" customFormat="1" ht="8.85" customHeight="1" x14ac:dyDescent="0.25">
      <c r="A745" s="230" t="s">
        <v>35</v>
      </c>
      <c r="B745" s="234">
        <f t="shared" si="20"/>
        <v>1077</v>
      </c>
      <c r="C745" s="234">
        <v>847</v>
      </c>
      <c r="D745" s="234">
        <v>9</v>
      </c>
      <c r="E745" s="234">
        <v>125</v>
      </c>
      <c r="F745" s="234"/>
      <c r="G745" s="234">
        <v>90</v>
      </c>
      <c r="H745" s="234">
        <v>1</v>
      </c>
      <c r="I745" s="234"/>
      <c r="J745" s="234">
        <v>3</v>
      </c>
      <c r="K745" s="234">
        <v>1</v>
      </c>
      <c r="L745" s="234">
        <v>0</v>
      </c>
      <c r="M745" s="234">
        <v>1</v>
      </c>
      <c r="O745" s="246"/>
      <c r="P745" s="246"/>
    </row>
    <row r="746" spans="1:16" s="230" customFormat="1" ht="8.85" customHeight="1" x14ac:dyDescent="0.25">
      <c r="A746" s="230" t="s">
        <v>36</v>
      </c>
      <c r="B746" s="234">
        <f t="shared" si="20"/>
        <v>1568</v>
      </c>
      <c r="C746" s="234">
        <v>1254</v>
      </c>
      <c r="D746" s="234">
        <v>60</v>
      </c>
      <c r="E746" s="234">
        <v>103</v>
      </c>
      <c r="F746" s="234"/>
      <c r="G746" s="234">
        <v>40</v>
      </c>
      <c r="H746" s="234">
        <v>2</v>
      </c>
      <c r="I746" s="234"/>
      <c r="J746" s="234">
        <v>8</v>
      </c>
      <c r="K746" s="234">
        <v>0</v>
      </c>
      <c r="L746" s="234">
        <v>99</v>
      </c>
      <c r="M746" s="234">
        <v>2</v>
      </c>
      <c r="O746" s="246"/>
      <c r="P746" s="246"/>
    </row>
    <row r="747" spans="1:16" s="230" customFormat="1" ht="8.85" customHeight="1" x14ac:dyDescent="0.25">
      <c r="A747" s="235" t="s">
        <v>37</v>
      </c>
      <c r="B747" s="236">
        <f t="shared" si="20"/>
        <v>1094</v>
      </c>
      <c r="C747" s="236">
        <v>551</v>
      </c>
      <c r="D747" s="236">
        <v>400</v>
      </c>
      <c r="E747" s="236">
        <v>55</v>
      </c>
      <c r="F747" s="236"/>
      <c r="G747" s="236">
        <v>67</v>
      </c>
      <c r="H747" s="236">
        <v>0</v>
      </c>
      <c r="I747" s="236"/>
      <c r="J747" s="236">
        <v>1</v>
      </c>
      <c r="K747" s="236">
        <v>1</v>
      </c>
      <c r="L747" s="236">
        <v>19</v>
      </c>
      <c r="M747" s="236">
        <v>0</v>
      </c>
      <c r="O747" s="246"/>
      <c r="P747" s="246"/>
    </row>
    <row r="748" spans="1:16" s="230" customFormat="1" ht="8.85" customHeight="1" x14ac:dyDescent="0.25">
      <c r="A748" s="230" t="s">
        <v>38</v>
      </c>
      <c r="B748" s="234">
        <f t="shared" si="20"/>
        <v>304</v>
      </c>
      <c r="C748" s="234">
        <v>247</v>
      </c>
      <c r="D748" s="234">
        <v>4</v>
      </c>
      <c r="E748" s="234">
        <v>24</v>
      </c>
      <c r="F748" s="234"/>
      <c r="G748" s="234">
        <v>28</v>
      </c>
      <c r="H748" s="234">
        <v>0</v>
      </c>
      <c r="I748" s="234"/>
      <c r="J748" s="234">
        <v>1</v>
      </c>
      <c r="K748" s="234">
        <v>0</v>
      </c>
      <c r="L748" s="234">
        <v>0</v>
      </c>
      <c r="M748" s="234">
        <v>0</v>
      </c>
      <c r="O748" s="246"/>
      <c r="P748" s="246"/>
    </row>
    <row r="749" spans="1:16" s="230" customFormat="1" ht="8.85" customHeight="1" x14ac:dyDescent="0.25">
      <c r="A749" s="230" t="s">
        <v>39</v>
      </c>
      <c r="B749" s="234">
        <f t="shared" si="20"/>
        <v>430</v>
      </c>
      <c r="C749" s="234">
        <v>278</v>
      </c>
      <c r="D749" s="234">
        <v>93</v>
      </c>
      <c r="E749" s="234">
        <v>27</v>
      </c>
      <c r="F749" s="234"/>
      <c r="G749" s="234">
        <v>25</v>
      </c>
      <c r="H749" s="234">
        <v>0</v>
      </c>
      <c r="I749" s="234"/>
      <c r="J749" s="234">
        <v>0</v>
      </c>
      <c r="K749" s="234">
        <v>1</v>
      </c>
      <c r="L749" s="234">
        <v>6</v>
      </c>
      <c r="M749" s="234">
        <v>0</v>
      </c>
      <c r="O749" s="246"/>
      <c r="P749" s="246"/>
    </row>
    <row r="750" spans="1:16" s="230" customFormat="1" ht="8.85" customHeight="1" x14ac:dyDescent="0.25">
      <c r="A750" s="230" t="s">
        <v>40</v>
      </c>
      <c r="B750" s="234">
        <f t="shared" si="20"/>
        <v>625</v>
      </c>
      <c r="C750" s="234">
        <v>520</v>
      </c>
      <c r="D750" s="234">
        <v>3</v>
      </c>
      <c r="E750" s="234">
        <v>63</v>
      </c>
      <c r="F750" s="234"/>
      <c r="G750" s="234">
        <v>31</v>
      </c>
      <c r="H750" s="234">
        <v>2</v>
      </c>
      <c r="I750" s="234"/>
      <c r="J750" s="234">
        <v>1</v>
      </c>
      <c r="K750" s="234">
        <v>0</v>
      </c>
      <c r="L750" s="234">
        <v>3</v>
      </c>
      <c r="M750" s="234">
        <v>2</v>
      </c>
      <c r="O750" s="246"/>
      <c r="P750" s="246"/>
    </row>
    <row r="751" spans="1:16" s="230" customFormat="1" ht="8.85" customHeight="1" x14ac:dyDescent="0.25">
      <c r="A751" s="235" t="s">
        <v>41</v>
      </c>
      <c r="B751" s="236">
        <f t="shared" si="20"/>
        <v>1598</v>
      </c>
      <c r="C751" s="236">
        <v>965</v>
      </c>
      <c r="D751" s="236">
        <v>537</v>
      </c>
      <c r="E751" s="236">
        <v>32</v>
      </c>
      <c r="F751" s="236"/>
      <c r="G751" s="236">
        <v>57</v>
      </c>
      <c r="H751" s="236">
        <v>3</v>
      </c>
      <c r="I751" s="236"/>
      <c r="J751" s="236">
        <v>2</v>
      </c>
      <c r="K751" s="236">
        <v>2</v>
      </c>
      <c r="L751" s="236">
        <v>0</v>
      </c>
      <c r="M751" s="236">
        <v>0</v>
      </c>
      <c r="O751" s="246"/>
      <c r="P751" s="246"/>
    </row>
    <row r="752" spans="1:16" s="230" customFormat="1" ht="8.85" customHeight="1" x14ac:dyDescent="0.25">
      <c r="A752" s="230" t="s">
        <v>42</v>
      </c>
      <c r="B752" s="234">
        <f t="shared" si="20"/>
        <v>1253</v>
      </c>
      <c r="C752" s="234">
        <v>755</v>
      </c>
      <c r="D752" s="234">
        <v>346</v>
      </c>
      <c r="E752" s="234">
        <v>52</v>
      </c>
      <c r="F752" s="234"/>
      <c r="G752" s="234">
        <v>45</v>
      </c>
      <c r="H752" s="234">
        <v>3</v>
      </c>
      <c r="I752" s="234"/>
      <c r="J752" s="234">
        <v>1</v>
      </c>
      <c r="K752" s="234">
        <v>0</v>
      </c>
      <c r="L752" s="234">
        <v>49</v>
      </c>
      <c r="M752" s="234">
        <v>2</v>
      </c>
      <c r="O752" s="246"/>
      <c r="P752" s="246"/>
    </row>
    <row r="753" spans="1:16" s="230" customFormat="1" ht="8.85" customHeight="1" x14ac:dyDescent="0.25">
      <c r="A753" s="230" t="s">
        <v>43</v>
      </c>
      <c r="B753" s="234">
        <f t="shared" si="20"/>
        <v>324</v>
      </c>
      <c r="C753" s="234">
        <v>281</v>
      </c>
      <c r="D753" s="234">
        <v>5</v>
      </c>
      <c r="E753" s="234">
        <v>24</v>
      </c>
      <c r="F753" s="234"/>
      <c r="G753" s="234">
        <v>14</v>
      </c>
      <c r="H753" s="234">
        <v>0</v>
      </c>
      <c r="I753" s="234"/>
      <c r="J753" s="234">
        <v>0</v>
      </c>
      <c r="K753" s="234">
        <v>0</v>
      </c>
      <c r="L753" s="234">
        <v>0</v>
      </c>
      <c r="M753" s="234">
        <v>0</v>
      </c>
      <c r="O753" s="246"/>
      <c r="P753" s="246"/>
    </row>
    <row r="754" spans="1:16" s="230" customFormat="1" ht="8.85" customHeight="1" x14ac:dyDescent="0.25">
      <c r="A754" s="230" t="s">
        <v>44</v>
      </c>
      <c r="B754" s="234">
        <f t="shared" si="20"/>
        <v>243</v>
      </c>
      <c r="C754" s="234">
        <v>215</v>
      </c>
      <c r="D754" s="234">
        <v>0</v>
      </c>
      <c r="E754" s="234">
        <v>14</v>
      </c>
      <c r="F754" s="234"/>
      <c r="G754" s="234">
        <v>10</v>
      </c>
      <c r="H754" s="234">
        <v>0</v>
      </c>
      <c r="I754" s="234"/>
      <c r="J754" s="234">
        <v>1</v>
      </c>
      <c r="K754" s="234">
        <v>3</v>
      </c>
      <c r="L754" s="234">
        <v>0</v>
      </c>
      <c r="M754" s="234">
        <v>0</v>
      </c>
      <c r="O754" s="246"/>
      <c r="P754" s="246"/>
    </row>
    <row r="755" spans="1:16" s="230" customFormat="1" ht="8.85" customHeight="1" x14ac:dyDescent="0.25">
      <c r="A755" s="235" t="s">
        <v>45</v>
      </c>
      <c r="B755" s="236">
        <f t="shared" si="20"/>
        <v>645</v>
      </c>
      <c r="C755" s="236">
        <v>328</v>
      </c>
      <c r="D755" s="236">
        <v>249</v>
      </c>
      <c r="E755" s="236">
        <v>36</v>
      </c>
      <c r="F755" s="236"/>
      <c r="G755" s="236">
        <v>29</v>
      </c>
      <c r="H755" s="236">
        <v>1</v>
      </c>
      <c r="I755" s="236"/>
      <c r="J755" s="236">
        <v>1</v>
      </c>
      <c r="K755" s="236">
        <v>0</v>
      </c>
      <c r="L755" s="236">
        <v>1</v>
      </c>
      <c r="M755" s="236">
        <v>0</v>
      </c>
      <c r="O755" s="246"/>
      <c r="P755" s="246"/>
    </row>
    <row r="756" spans="1:16" s="230" customFormat="1" ht="8.85" customHeight="1" x14ac:dyDescent="0.25">
      <c r="A756" s="230" t="s">
        <v>46</v>
      </c>
      <c r="B756" s="234">
        <f t="shared" si="20"/>
        <v>544</v>
      </c>
      <c r="C756" s="234">
        <v>328</v>
      </c>
      <c r="D756" s="234">
        <v>123</v>
      </c>
      <c r="E756" s="234">
        <v>49</v>
      </c>
      <c r="F756" s="234"/>
      <c r="G756" s="234">
        <v>38</v>
      </c>
      <c r="H756" s="234">
        <v>1</v>
      </c>
      <c r="I756" s="234"/>
      <c r="J756" s="234">
        <v>1</v>
      </c>
      <c r="K756" s="234">
        <v>2</v>
      </c>
      <c r="L756" s="234">
        <v>2</v>
      </c>
      <c r="M756" s="234">
        <v>0</v>
      </c>
      <c r="O756" s="246"/>
      <c r="P756" s="246"/>
    </row>
    <row r="757" spans="1:16" s="230" customFormat="1" ht="8.85" customHeight="1" x14ac:dyDescent="0.25">
      <c r="A757" s="230" t="s">
        <v>47</v>
      </c>
      <c r="B757" s="234">
        <f t="shared" si="20"/>
        <v>685</v>
      </c>
      <c r="C757" s="234">
        <v>539</v>
      </c>
      <c r="D757" s="234">
        <v>5</v>
      </c>
      <c r="E757" s="234">
        <v>76</v>
      </c>
      <c r="F757" s="234"/>
      <c r="G757" s="234">
        <v>40</v>
      </c>
      <c r="H757" s="234">
        <v>0</v>
      </c>
      <c r="I757" s="234"/>
      <c r="J757" s="234">
        <v>1</v>
      </c>
      <c r="K757" s="234">
        <v>2</v>
      </c>
      <c r="L757" s="234">
        <v>22</v>
      </c>
      <c r="M757" s="234">
        <v>0</v>
      </c>
      <c r="O757" s="246"/>
      <c r="P757" s="246"/>
    </row>
    <row r="758" spans="1:16" s="230" customFormat="1" ht="8.85" customHeight="1" x14ac:dyDescent="0.25">
      <c r="A758" s="230" t="s">
        <v>48</v>
      </c>
      <c r="B758" s="234">
        <f t="shared" si="20"/>
        <v>710</v>
      </c>
      <c r="C758" s="234">
        <v>620</v>
      </c>
      <c r="D758" s="234">
        <v>0</v>
      </c>
      <c r="E758" s="234">
        <v>33</v>
      </c>
      <c r="F758" s="234"/>
      <c r="G758" s="234">
        <v>26</v>
      </c>
      <c r="H758" s="234">
        <v>11</v>
      </c>
      <c r="I758" s="234"/>
      <c r="J758" s="234">
        <v>1</v>
      </c>
      <c r="K758" s="234">
        <v>1</v>
      </c>
      <c r="L758" s="234">
        <v>18</v>
      </c>
      <c r="M758" s="234">
        <v>0</v>
      </c>
      <c r="O758" s="246"/>
      <c r="P758" s="246"/>
    </row>
    <row r="759" spans="1:16" s="230" customFormat="1" ht="8.85" customHeight="1" x14ac:dyDescent="0.25">
      <c r="A759" s="235" t="s">
        <v>49</v>
      </c>
      <c r="B759" s="236">
        <f t="shared" si="20"/>
        <v>617</v>
      </c>
      <c r="C759" s="236">
        <v>406</v>
      </c>
      <c r="D759" s="236">
        <v>117</v>
      </c>
      <c r="E759" s="236">
        <v>49</v>
      </c>
      <c r="F759" s="236"/>
      <c r="G759" s="236">
        <v>34</v>
      </c>
      <c r="H759" s="236">
        <v>6</v>
      </c>
      <c r="I759" s="236"/>
      <c r="J759" s="236">
        <v>1</v>
      </c>
      <c r="K759" s="236">
        <v>4</v>
      </c>
      <c r="L759" s="236">
        <v>0</v>
      </c>
      <c r="M759" s="236">
        <v>0</v>
      </c>
      <c r="O759" s="246"/>
      <c r="P759" s="246"/>
    </row>
    <row r="760" spans="1:16" s="230" customFormat="1" ht="8.85" customHeight="1" x14ac:dyDescent="0.25">
      <c r="A760" s="230" t="s">
        <v>50</v>
      </c>
      <c r="B760" s="234">
        <f t="shared" si="20"/>
        <v>235</v>
      </c>
      <c r="C760" s="234">
        <v>210</v>
      </c>
      <c r="D760" s="234">
        <v>3</v>
      </c>
      <c r="E760" s="234">
        <v>17</v>
      </c>
      <c r="F760" s="234"/>
      <c r="G760" s="234">
        <v>5</v>
      </c>
      <c r="H760" s="234">
        <v>0</v>
      </c>
      <c r="I760" s="234"/>
      <c r="J760" s="234">
        <v>0</v>
      </c>
      <c r="K760" s="234">
        <v>0</v>
      </c>
      <c r="L760" s="234">
        <v>0</v>
      </c>
      <c r="M760" s="234">
        <v>0</v>
      </c>
      <c r="O760" s="246"/>
      <c r="P760" s="246"/>
    </row>
    <row r="761" spans="1:16" s="230" customFormat="1" ht="8.85" customHeight="1" x14ac:dyDescent="0.25">
      <c r="A761" s="230" t="s">
        <v>51</v>
      </c>
      <c r="B761" s="234">
        <f t="shared" si="20"/>
        <v>1765</v>
      </c>
      <c r="C761" s="234">
        <v>903</v>
      </c>
      <c r="D761" s="234">
        <v>623</v>
      </c>
      <c r="E761" s="234">
        <v>124</v>
      </c>
      <c r="F761" s="234"/>
      <c r="G761" s="234">
        <v>85</v>
      </c>
      <c r="H761" s="234">
        <v>22</v>
      </c>
      <c r="I761" s="234"/>
      <c r="J761" s="234">
        <v>2</v>
      </c>
      <c r="K761" s="234">
        <v>5</v>
      </c>
      <c r="L761" s="234">
        <v>0</v>
      </c>
      <c r="M761" s="234">
        <v>1</v>
      </c>
      <c r="O761" s="246"/>
      <c r="P761" s="246"/>
    </row>
    <row r="762" spans="1:16" s="230" customFormat="1" ht="8.85" customHeight="1" x14ac:dyDescent="0.25">
      <c r="A762" s="230" t="s">
        <v>52</v>
      </c>
      <c r="B762" s="234">
        <f t="shared" si="20"/>
        <v>342</v>
      </c>
      <c r="C762" s="234">
        <v>193</v>
      </c>
      <c r="D762" s="234">
        <v>99</v>
      </c>
      <c r="E762" s="234">
        <v>31</v>
      </c>
      <c r="F762" s="234"/>
      <c r="G762" s="234">
        <v>16</v>
      </c>
      <c r="H762" s="234">
        <v>0</v>
      </c>
      <c r="I762" s="234"/>
      <c r="J762" s="234">
        <v>1</v>
      </c>
      <c r="K762" s="234">
        <v>1</v>
      </c>
      <c r="L762" s="234">
        <v>1</v>
      </c>
      <c r="M762" s="234">
        <v>0</v>
      </c>
      <c r="O762" s="246"/>
      <c r="P762" s="246"/>
    </row>
    <row r="763" spans="1:16" s="230" customFormat="1" ht="8.85" customHeight="1" x14ac:dyDescent="0.25">
      <c r="A763" s="235" t="s">
        <v>53</v>
      </c>
      <c r="B763" s="236">
        <f t="shared" si="20"/>
        <v>499</v>
      </c>
      <c r="C763" s="236">
        <v>260</v>
      </c>
      <c r="D763" s="236">
        <v>167</v>
      </c>
      <c r="E763" s="236">
        <v>36</v>
      </c>
      <c r="F763" s="236"/>
      <c r="G763" s="236">
        <v>35</v>
      </c>
      <c r="H763" s="236">
        <v>0</v>
      </c>
      <c r="I763" s="236"/>
      <c r="J763" s="236">
        <v>1</v>
      </c>
      <c r="K763" s="236">
        <v>0</v>
      </c>
      <c r="L763" s="236">
        <v>0</v>
      </c>
      <c r="M763" s="236">
        <v>0</v>
      </c>
      <c r="O763" s="246"/>
      <c r="P763" s="246"/>
    </row>
    <row r="764" spans="1:16" s="230" customFormat="1" ht="9" customHeight="1" x14ac:dyDescent="0.25">
      <c r="B764" s="234"/>
      <c r="C764" s="234"/>
      <c r="D764" s="234"/>
      <c r="E764" s="234"/>
      <c r="F764" s="234"/>
      <c r="G764" s="234"/>
      <c r="H764" s="234"/>
      <c r="I764" s="234"/>
      <c r="J764" s="234"/>
      <c r="K764" s="234"/>
      <c r="L764" s="234"/>
      <c r="M764" s="234"/>
    </row>
    <row r="765" spans="1:16" s="230" customFormat="1" ht="8.85" customHeight="1" x14ac:dyDescent="0.25">
      <c r="A765" s="228">
        <v>2016</v>
      </c>
      <c r="B765" s="244"/>
      <c r="C765" s="244"/>
      <c r="D765" s="244"/>
      <c r="E765" s="244"/>
      <c r="F765" s="244"/>
      <c r="G765" s="229"/>
      <c r="H765" s="229"/>
      <c r="I765" s="229"/>
      <c r="J765" s="229"/>
      <c r="K765" s="229"/>
      <c r="M765" s="244"/>
    </row>
    <row r="766" spans="1:16" s="230" customFormat="1" ht="8.85" customHeight="1" x14ac:dyDescent="0.25">
      <c r="A766" s="231" t="s">
        <v>21</v>
      </c>
      <c r="B766" s="232">
        <f>SUM(B768:B799)</f>
        <v>22410</v>
      </c>
      <c r="C766" s="232">
        <f>SUM(C768:C799)</f>
        <v>15116</v>
      </c>
      <c r="D766" s="232">
        <f>SUM(D768:D799)</f>
        <v>4267</v>
      </c>
      <c r="E766" s="232">
        <f>SUM(E768:E799)</f>
        <v>1410</v>
      </c>
      <c r="F766" s="232"/>
      <c r="G766" s="232">
        <f>SUM(G768:G799)</f>
        <v>1166</v>
      </c>
      <c r="H766" s="232">
        <f>SUM(H768:H799)</f>
        <v>62</v>
      </c>
      <c r="I766" s="232"/>
      <c r="J766" s="232">
        <f>SUM(J768:J799)</f>
        <v>46</v>
      </c>
      <c r="K766" s="232">
        <f>SUM(K768:K799)</f>
        <v>37</v>
      </c>
      <c r="L766" s="232">
        <f>SUM(L768:L799)</f>
        <v>285</v>
      </c>
      <c r="M766" s="232">
        <f>SUM(M768:M799)</f>
        <v>21</v>
      </c>
      <c r="O766" s="246"/>
      <c r="P766" s="246"/>
    </row>
    <row r="767" spans="1:16" s="230" customFormat="1" ht="3.95" customHeight="1" x14ac:dyDescent="0.25">
      <c r="A767" s="231"/>
      <c r="B767" s="232"/>
      <c r="C767" s="232"/>
      <c r="D767" s="232"/>
      <c r="E767" s="232"/>
      <c r="F767" s="232"/>
      <c r="G767" s="232"/>
      <c r="H767" s="232"/>
      <c r="I767" s="232"/>
      <c r="J767" s="232"/>
      <c r="K767" s="232"/>
      <c r="L767" s="232"/>
      <c r="M767" s="232"/>
      <c r="P767" s="246"/>
    </row>
    <row r="768" spans="1:16" s="230" customFormat="1" ht="8.85" customHeight="1" x14ac:dyDescent="0.25">
      <c r="A768" s="230" t="s">
        <v>23</v>
      </c>
      <c r="B768" s="234">
        <f>SUM(C768:M768)</f>
        <v>140</v>
      </c>
      <c r="C768" s="234">
        <v>113</v>
      </c>
      <c r="D768" s="234">
        <v>0</v>
      </c>
      <c r="E768" s="234">
        <v>14</v>
      </c>
      <c r="F768" s="234"/>
      <c r="G768" s="234">
        <v>11</v>
      </c>
      <c r="H768" s="234">
        <v>0</v>
      </c>
      <c r="I768" s="234"/>
      <c r="J768" s="234">
        <v>0</v>
      </c>
      <c r="K768" s="234">
        <v>0</v>
      </c>
      <c r="L768" s="234">
        <v>0</v>
      </c>
      <c r="M768" s="234">
        <v>2</v>
      </c>
      <c r="O768" s="246"/>
      <c r="P768" s="246"/>
    </row>
    <row r="769" spans="1:16" s="230" customFormat="1" ht="8.85" customHeight="1" x14ac:dyDescent="0.25">
      <c r="A769" s="230" t="s">
        <v>24</v>
      </c>
      <c r="B769" s="234">
        <f t="shared" ref="B769:B799" si="21">SUM(C769:M769)</f>
        <v>296</v>
      </c>
      <c r="C769" s="234">
        <v>206</v>
      </c>
      <c r="D769" s="234">
        <v>17</v>
      </c>
      <c r="E769" s="234">
        <v>36</v>
      </c>
      <c r="F769" s="234"/>
      <c r="G769" s="234">
        <v>14</v>
      </c>
      <c r="H769" s="234">
        <v>0</v>
      </c>
      <c r="I769" s="234"/>
      <c r="J769" s="234">
        <v>2</v>
      </c>
      <c r="K769" s="234">
        <v>2</v>
      </c>
      <c r="L769" s="234">
        <v>19</v>
      </c>
      <c r="M769" s="234">
        <v>0</v>
      </c>
      <c r="O769" s="246"/>
      <c r="P769" s="246"/>
    </row>
    <row r="770" spans="1:16" s="230" customFormat="1" ht="8.85" customHeight="1" x14ac:dyDescent="0.25">
      <c r="A770" s="230" t="s">
        <v>25</v>
      </c>
      <c r="B770" s="234">
        <f t="shared" si="21"/>
        <v>148</v>
      </c>
      <c r="C770" s="234">
        <v>92</v>
      </c>
      <c r="D770" s="234">
        <v>3</v>
      </c>
      <c r="E770" s="234">
        <v>20</v>
      </c>
      <c r="F770" s="234"/>
      <c r="G770" s="234">
        <v>30</v>
      </c>
      <c r="H770" s="234">
        <v>0</v>
      </c>
      <c r="I770" s="234"/>
      <c r="J770" s="234">
        <v>1</v>
      </c>
      <c r="K770" s="234">
        <v>2</v>
      </c>
      <c r="L770" s="234">
        <v>0</v>
      </c>
      <c r="M770" s="234">
        <v>0</v>
      </c>
      <c r="O770" s="246"/>
      <c r="P770" s="246"/>
    </row>
    <row r="771" spans="1:16" s="230" customFormat="1" ht="8.85" customHeight="1" x14ac:dyDescent="0.25">
      <c r="A771" s="235" t="s">
        <v>26</v>
      </c>
      <c r="B771" s="236">
        <f t="shared" si="21"/>
        <v>236</v>
      </c>
      <c r="C771" s="236">
        <v>160</v>
      </c>
      <c r="D771" s="236">
        <v>48</v>
      </c>
      <c r="E771" s="236">
        <v>12</v>
      </c>
      <c r="F771" s="236"/>
      <c r="G771" s="236">
        <v>11</v>
      </c>
      <c r="H771" s="236">
        <v>2</v>
      </c>
      <c r="I771" s="236"/>
      <c r="J771" s="236">
        <v>0</v>
      </c>
      <c r="K771" s="236">
        <v>3</v>
      </c>
      <c r="L771" s="236">
        <v>0</v>
      </c>
      <c r="M771" s="236">
        <v>0</v>
      </c>
      <c r="O771" s="246"/>
      <c r="P771" s="246"/>
    </row>
    <row r="772" spans="1:16" s="230" customFormat="1" ht="8.85" customHeight="1" x14ac:dyDescent="0.25">
      <c r="A772" s="230" t="s">
        <v>27</v>
      </c>
      <c r="B772" s="234">
        <f t="shared" si="21"/>
        <v>425</v>
      </c>
      <c r="C772" s="234">
        <v>233</v>
      </c>
      <c r="D772" s="234">
        <v>92</v>
      </c>
      <c r="E772" s="234">
        <v>51</v>
      </c>
      <c r="F772" s="234"/>
      <c r="G772" s="234">
        <v>28</v>
      </c>
      <c r="H772" s="234">
        <v>0</v>
      </c>
      <c r="I772" s="234"/>
      <c r="J772" s="234">
        <v>1</v>
      </c>
      <c r="K772" s="234">
        <v>0</v>
      </c>
      <c r="L772" s="234">
        <v>17</v>
      </c>
      <c r="M772" s="234">
        <v>3</v>
      </c>
      <c r="O772" s="246"/>
      <c r="P772" s="246"/>
    </row>
    <row r="773" spans="1:16" s="230" customFormat="1" ht="8.85" customHeight="1" x14ac:dyDescent="0.25">
      <c r="A773" s="230" t="s">
        <v>28</v>
      </c>
      <c r="B773" s="234">
        <f t="shared" si="21"/>
        <v>174</v>
      </c>
      <c r="C773" s="234">
        <v>155</v>
      </c>
      <c r="D773" s="234">
        <v>0</v>
      </c>
      <c r="E773" s="234">
        <v>13</v>
      </c>
      <c r="F773" s="234"/>
      <c r="G773" s="234">
        <v>5</v>
      </c>
      <c r="H773" s="234">
        <v>0</v>
      </c>
      <c r="I773" s="234"/>
      <c r="J773" s="234">
        <v>0</v>
      </c>
      <c r="K773" s="234">
        <v>1</v>
      </c>
      <c r="L773" s="234">
        <v>0</v>
      </c>
      <c r="M773" s="234">
        <v>0</v>
      </c>
      <c r="O773" s="246"/>
      <c r="P773" s="246"/>
    </row>
    <row r="774" spans="1:16" s="230" customFormat="1" ht="8.85" customHeight="1" x14ac:dyDescent="0.25">
      <c r="A774" s="230" t="s">
        <v>29</v>
      </c>
      <c r="B774" s="234">
        <f t="shared" si="21"/>
        <v>1789</v>
      </c>
      <c r="C774" s="234">
        <v>1095</v>
      </c>
      <c r="D774" s="234">
        <v>598</v>
      </c>
      <c r="E774" s="234">
        <v>32</v>
      </c>
      <c r="F774" s="234"/>
      <c r="G774" s="234">
        <v>48</v>
      </c>
      <c r="H774" s="234">
        <v>1</v>
      </c>
      <c r="I774" s="234"/>
      <c r="J774" s="234">
        <v>1</v>
      </c>
      <c r="K774" s="234">
        <v>2</v>
      </c>
      <c r="L774" s="234">
        <v>12</v>
      </c>
      <c r="M774" s="234">
        <v>0</v>
      </c>
      <c r="O774" s="246"/>
      <c r="P774" s="246"/>
    </row>
    <row r="775" spans="1:16" s="230" customFormat="1" ht="8.85" customHeight="1" x14ac:dyDescent="0.25">
      <c r="A775" s="235" t="s">
        <v>30</v>
      </c>
      <c r="B775" s="236">
        <f t="shared" si="21"/>
        <v>571</v>
      </c>
      <c r="C775" s="236">
        <v>302</v>
      </c>
      <c r="D775" s="236">
        <v>162</v>
      </c>
      <c r="E775" s="236">
        <v>57</v>
      </c>
      <c r="F775" s="236"/>
      <c r="G775" s="236">
        <v>46</v>
      </c>
      <c r="H775" s="236">
        <v>1</v>
      </c>
      <c r="I775" s="236"/>
      <c r="J775" s="236">
        <v>2</v>
      </c>
      <c r="K775" s="236">
        <v>0</v>
      </c>
      <c r="L775" s="236">
        <v>1</v>
      </c>
      <c r="M775" s="236">
        <v>0</v>
      </c>
      <c r="O775" s="246"/>
      <c r="P775" s="246"/>
    </row>
    <row r="776" spans="1:16" s="230" customFormat="1" ht="8.85" customHeight="1" x14ac:dyDescent="0.25">
      <c r="A776" s="405" t="s">
        <v>63</v>
      </c>
      <c r="B776" s="234">
        <f t="shared" si="21"/>
        <v>709</v>
      </c>
      <c r="C776" s="234">
        <v>465</v>
      </c>
      <c r="D776" s="234">
        <v>23</v>
      </c>
      <c r="E776" s="234">
        <v>79</v>
      </c>
      <c r="F776" s="234"/>
      <c r="G776" s="234">
        <v>105</v>
      </c>
      <c r="H776" s="234">
        <v>3</v>
      </c>
      <c r="I776" s="234"/>
      <c r="J776" s="234">
        <v>8</v>
      </c>
      <c r="K776" s="234">
        <v>3</v>
      </c>
      <c r="L776" s="234">
        <v>21</v>
      </c>
      <c r="M776" s="234">
        <v>2</v>
      </c>
      <c r="O776" s="246"/>
      <c r="P776" s="246"/>
    </row>
    <row r="777" spans="1:16" s="230" customFormat="1" ht="8.85" customHeight="1" x14ac:dyDescent="0.25">
      <c r="A777" s="230" t="s">
        <v>31</v>
      </c>
      <c r="B777" s="234">
        <f t="shared" si="21"/>
        <v>519</v>
      </c>
      <c r="C777" s="234">
        <v>271</v>
      </c>
      <c r="D777" s="234">
        <v>173</v>
      </c>
      <c r="E777" s="234">
        <v>34</v>
      </c>
      <c r="F777" s="234"/>
      <c r="G777" s="234">
        <v>40</v>
      </c>
      <c r="H777" s="234">
        <v>0</v>
      </c>
      <c r="I777" s="234"/>
      <c r="J777" s="234">
        <v>1</v>
      </c>
      <c r="K777" s="234">
        <v>0</v>
      </c>
      <c r="L777" s="234">
        <v>0</v>
      </c>
      <c r="M777" s="234">
        <v>0</v>
      </c>
      <c r="O777" s="246"/>
      <c r="P777" s="246"/>
    </row>
    <row r="778" spans="1:16" s="230" customFormat="1" ht="8.85" customHeight="1" x14ac:dyDescent="0.25">
      <c r="A778" s="230" t="s">
        <v>32</v>
      </c>
      <c r="B778" s="234">
        <f t="shared" si="21"/>
        <v>719</v>
      </c>
      <c r="C778" s="234">
        <v>615</v>
      </c>
      <c r="D778" s="234">
        <v>11</v>
      </c>
      <c r="E778" s="234">
        <v>49</v>
      </c>
      <c r="F778" s="234"/>
      <c r="G778" s="234">
        <v>42</v>
      </c>
      <c r="H778" s="234">
        <v>1</v>
      </c>
      <c r="I778" s="234"/>
      <c r="J778" s="234">
        <v>1</v>
      </c>
      <c r="K778" s="234">
        <v>0</v>
      </c>
      <c r="L778" s="234">
        <v>0</v>
      </c>
      <c r="M778" s="234">
        <v>0</v>
      </c>
      <c r="O778" s="246"/>
      <c r="P778" s="246"/>
    </row>
    <row r="779" spans="1:16" s="230" customFormat="1" ht="8.85" customHeight="1" x14ac:dyDescent="0.25">
      <c r="A779" s="235" t="s">
        <v>33</v>
      </c>
      <c r="B779" s="236">
        <f t="shared" si="21"/>
        <v>1213</v>
      </c>
      <c r="C779" s="236">
        <v>1080</v>
      </c>
      <c r="D779" s="236">
        <v>63</v>
      </c>
      <c r="E779" s="236">
        <v>20</v>
      </c>
      <c r="F779" s="236"/>
      <c r="G779" s="236">
        <v>46</v>
      </c>
      <c r="H779" s="236">
        <v>0</v>
      </c>
      <c r="I779" s="236"/>
      <c r="J779" s="236">
        <v>2</v>
      </c>
      <c r="K779" s="236">
        <v>2</v>
      </c>
      <c r="L779" s="236">
        <v>0</v>
      </c>
      <c r="M779" s="236">
        <v>0</v>
      </c>
      <c r="O779" s="246"/>
      <c r="P779" s="246"/>
    </row>
    <row r="780" spans="1:16" s="230" customFormat="1" ht="8.85" customHeight="1" x14ac:dyDescent="0.25">
      <c r="A780" s="230" t="s">
        <v>34</v>
      </c>
      <c r="B780" s="234">
        <f t="shared" si="21"/>
        <v>938</v>
      </c>
      <c r="C780" s="234">
        <v>638</v>
      </c>
      <c r="D780" s="234">
        <v>242</v>
      </c>
      <c r="E780" s="234">
        <v>20</v>
      </c>
      <c r="F780" s="234"/>
      <c r="G780" s="234">
        <v>36</v>
      </c>
      <c r="H780" s="234">
        <v>2</v>
      </c>
      <c r="I780" s="234"/>
      <c r="J780" s="234">
        <v>0</v>
      </c>
      <c r="K780" s="234">
        <v>0</v>
      </c>
      <c r="L780" s="234">
        <v>0</v>
      </c>
      <c r="M780" s="234">
        <v>0</v>
      </c>
      <c r="O780" s="246"/>
      <c r="P780" s="246"/>
    </row>
    <row r="781" spans="1:16" s="230" customFormat="1" ht="8.85" customHeight="1" x14ac:dyDescent="0.25">
      <c r="A781" s="230" t="s">
        <v>35</v>
      </c>
      <c r="B781" s="234">
        <f t="shared" si="21"/>
        <v>1078</v>
      </c>
      <c r="C781" s="234">
        <v>848</v>
      </c>
      <c r="D781" s="234">
        <v>9</v>
      </c>
      <c r="E781" s="234">
        <v>125</v>
      </c>
      <c r="F781" s="234"/>
      <c r="G781" s="234">
        <v>90</v>
      </c>
      <c r="H781" s="234">
        <v>1</v>
      </c>
      <c r="I781" s="234"/>
      <c r="J781" s="234">
        <v>3</v>
      </c>
      <c r="K781" s="234">
        <v>1</v>
      </c>
      <c r="L781" s="234">
        <v>0</v>
      </c>
      <c r="M781" s="234">
        <v>1</v>
      </c>
      <c r="O781" s="246"/>
      <c r="P781" s="246"/>
    </row>
    <row r="782" spans="1:16" s="230" customFormat="1" ht="8.85" customHeight="1" x14ac:dyDescent="0.25">
      <c r="A782" s="230" t="s">
        <v>36</v>
      </c>
      <c r="B782" s="234">
        <f t="shared" si="21"/>
        <v>1600</v>
      </c>
      <c r="C782" s="234">
        <v>1263</v>
      </c>
      <c r="D782" s="234">
        <v>64</v>
      </c>
      <c r="E782" s="234">
        <v>103</v>
      </c>
      <c r="F782" s="234"/>
      <c r="G782" s="234">
        <v>38</v>
      </c>
      <c r="H782" s="234">
        <v>2</v>
      </c>
      <c r="I782" s="234"/>
      <c r="J782" s="234">
        <v>8</v>
      </c>
      <c r="K782" s="234">
        <v>0</v>
      </c>
      <c r="L782" s="234">
        <v>115</v>
      </c>
      <c r="M782" s="234">
        <v>7</v>
      </c>
      <c r="O782" s="246"/>
      <c r="P782" s="246"/>
    </row>
    <row r="783" spans="1:16" s="230" customFormat="1" ht="8.85" customHeight="1" x14ac:dyDescent="0.25">
      <c r="A783" s="235" t="s">
        <v>37</v>
      </c>
      <c r="B783" s="236">
        <f t="shared" si="21"/>
        <v>1074</v>
      </c>
      <c r="C783" s="236">
        <v>552</v>
      </c>
      <c r="D783" s="236">
        <v>400</v>
      </c>
      <c r="E783" s="236">
        <v>55</v>
      </c>
      <c r="F783" s="236"/>
      <c r="G783" s="236">
        <v>65</v>
      </c>
      <c r="H783" s="236">
        <v>0</v>
      </c>
      <c r="I783" s="236"/>
      <c r="J783" s="236">
        <v>1</v>
      </c>
      <c r="K783" s="236">
        <v>1</v>
      </c>
      <c r="L783" s="236">
        <v>0</v>
      </c>
      <c r="M783" s="236">
        <v>0</v>
      </c>
      <c r="O783" s="246"/>
      <c r="P783" s="246"/>
    </row>
    <row r="784" spans="1:16" s="230" customFormat="1" ht="8.85" customHeight="1" x14ac:dyDescent="0.25">
      <c r="A784" s="230" t="s">
        <v>38</v>
      </c>
      <c r="B784" s="234">
        <f t="shared" si="21"/>
        <v>306</v>
      </c>
      <c r="C784" s="234">
        <v>249</v>
      </c>
      <c r="D784" s="234">
        <v>4</v>
      </c>
      <c r="E784" s="234">
        <v>24</v>
      </c>
      <c r="F784" s="234"/>
      <c r="G784" s="234">
        <v>28</v>
      </c>
      <c r="H784" s="234">
        <v>0</v>
      </c>
      <c r="I784" s="234"/>
      <c r="J784" s="234">
        <v>1</v>
      </c>
      <c r="K784" s="234">
        <v>0</v>
      </c>
      <c r="L784" s="234">
        <v>0</v>
      </c>
      <c r="M784" s="234">
        <v>0</v>
      </c>
      <c r="O784" s="246"/>
      <c r="P784" s="246"/>
    </row>
    <row r="785" spans="1:16" s="230" customFormat="1" ht="8.85" customHeight="1" x14ac:dyDescent="0.25">
      <c r="A785" s="230" t="s">
        <v>39</v>
      </c>
      <c r="B785" s="234">
        <f t="shared" si="21"/>
        <v>428</v>
      </c>
      <c r="C785" s="234">
        <v>278</v>
      </c>
      <c r="D785" s="234">
        <v>93</v>
      </c>
      <c r="E785" s="234">
        <v>27</v>
      </c>
      <c r="F785" s="234"/>
      <c r="G785" s="234">
        <v>25</v>
      </c>
      <c r="H785" s="234">
        <v>0</v>
      </c>
      <c r="I785" s="234"/>
      <c r="J785" s="234">
        <v>0</v>
      </c>
      <c r="K785" s="234">
        <v>1</v>
      </c>
      <c r="L785" s="234">
        <v>4</v>
      </c>
      <c r="M785" s="234">
        <v>0</v>
      </c>
      <c r="O785" s="246"/>
      <c r="P785" s="246"/>
    </row>
    <row r="786" spans="1:16" s="230" customFormat="1" ht="8.85" customHeight="1" x14ac:dyDescent="0.25">
      <c r="A786" s="230" t="s">
        <v>40</v>
      </c>
      <c r="B786" s="234">
        <f t="shared" si="21"/>
        <v>599</v>
      </c>
      <c r="C786" s="234">
        <v>495</v>
      </c>
      <c r="D786" s="234">
        <v>3</v>
      </c>
      <c r="E786" s="234">
        <v>63</v>
      </c>
      <c r="F786" s="234"/>
      <c r="G786" s="234">
        <v>31</v>
      </c>
      <c r="H786" s="234">
        <v>2</v>
      </c>
      <c r="I786" s="234"/>
      <c r="J786" s="234">
        <v>1</v>
      </c>
      <c r="K786" s="234">
        <v>0</v>
      </c>
      <c r="L786" s="234">
        <v>2</v>
      </c>
      <c r="M786" s="234">
        <v>2</v>
      </c>
      <c r="O786" s="246"/>
      <c r="P786" s="246"/>
    </row>
    <row r="787" spans="1:16" s="230" customFormat="1" ht="8.85" customHeight="1" x14ac:dyDescent="0.25">
      <c r="A787" s="235" t="s">
        <v>41</v>
      </c>
      <c r="B787" s="236">
        <f t="shared" si="21"/>
        <v>1595</v>
      </c>
      <c r="C787" s="236">
        <v>968</v>
      </c>
      <c r="D787" s="236">
        <v>536</v>
      </c>
      <c r="E787" s="236">
        <v>32</v>
      </c>
      <c r="F787" s="236"/>
      <c r="G787" s="236">
        <v>52</v>
      </c>
      <c r="H787" s="236">
        <v>3</v>
      </c>
      <c r="I787" s="236"/>
      <c r="J787" s="236">
        <v>2</v>
      </c>
      <c r="K787" s="236">
        <v>2</v>
      </c>
      <c r="L787" s="236">
        <v>0</v>
      </c>
      <c r="M787" s="236">
        <v>0</v>
      </c>
      <c r="O787" s="246"/>
      <c r="P787" s="246"/>
    </row>
    <row r="788" spans="1:16" s="230" customFormat="1" ht="8.85" customHeight="1" x14ac:dyDescent="0.25">
      <c r="A788" s="230" t="s">
        <v>42</v>
      </c>
      <c r="B788" s="234">
        <f t="shared" si="21"/>
        <v>1245</v>
      </c>
      <c r="C788" s="234">
        <v>754</v>
      </c>
      <c r="D788" s="234">
        <v>341</v>
      </c>
      <c r="E788" s="234">
        <v>52</v>
      </c>
      <c r="F788" s="234"/>
      <c r="G788" s="234">
        <v>43</v>
      </c>
      <c r="H788" s="234">
        <v>3</v>
      </c>
      <c r="I788" s="234"/>
      <c r="J788" s="234">
        <v>1</v>
      </c>
      <c r="K788" s="234">
        <v>0</v>
      </c>
      <c r="L788" s="234">
        <v>49</v>
      </c>
      <c r="M788" s="234">
        <v>2</v>
      </c>
      <c r="O788" s="246"/>
      <c r="P788" s="246"/>
    </row>
    <row r="789" spans="1:16" s="230" customFormat="1" ht="8.85" customHeight="1" x14ac:dyDescent="0.25">
      <c r="A789" s="230" t="s">
        <v>43</v>
      </c>
      <c r="B789" s="234">
        <f t="shared" si="21"/>
        <v>323</v>
      </c>
      <c r="C789" s="234">
        <v>280</v>
      </c>
      <c r="D789" s="234">
        <v>5</v>
      </c>
      <c r="E789" s="234">
        <v>24</v>
      </c>
      <c r="F789" s="234"/>
      <c r="G789" s="234">
        <v>14</v>
      </c>
      <c r="H789" s="234">
        <v>0</v>
      </c>
      <c r="I789" s="234"/>
      <c r="J789" s="234">
        <v>0</v>
      </c>
      <c r="K789" s="234">
        <v>0</v>
      </c>
      <c r="L789" s="234">
        <v>0</v>
      </c>
      <c r="M789" s="234">
        <v>0</v>
      </c>
      <c r="O789" s="246"/>
      <c r="P789" s="246"/>
    </row>
    <row r="790" spans="1:16" s="230" customFormat="1" ht="8.85" customHeight="1" x14ac:dyDescent="0.25">
      <c r="A790" s="230" t="s">
        <v>44</v>
      </c>
      <c r="B790" s="234">
        <f t="shared" si="21"/>
        <v>243</v>
      </c>
      <c r="C790" s="234">
        <v>215</v>
      </c>
      <c r="D790" s="234">
        <v>0</v>
      </c>
      <c r="E790" s="234">
        <v>14</v>
      </c>
      <c r="F790" s="234"/>
      <c r="G790" s="234">
        <v>10</v>
      </c>
      <c r="H790" s="234">
        <v>0</v>
      </c>
      <c r="I790" s="234"/>
      <c r="J790" s="234">
        <v>1</v>
      </c>
      <c r="K790" s="234">
        <v>3</v>
      </c>
      <c r="L790" s="234">
        <v>0</v>
      </c>
      <c r="M790" s="234">
        <v>0</v>
      </c>
      <c r="O790" s="246"/>
      <c r="P790" s="246"/>
    </row>
    <row r="791" spans="1:16" s="230" customFormat="1" ht="8.85" customHeight="1" x14ac:dyDescent="0.25">
      <c r="A791" s="235" t="s">
        <v>45</v>
      </c>
      <c r="B791" s="236">
        <f t="shared" si="21"/>
        <v>646</v>
      </c>
      <c r="C791" s="236">
        <v>329</v>
      </c>
      <c r="D791" s="236">
        <v>248</v>
      </c>
      <c r="E791" s="236">
        <v>36</v>
      </c>
      <c r="F791" s="236"/>
      <c r="G791" s="236">
        <v>29</v>
      </c>
      <c r="H791" s="236">
        <v>1</v>
      </c>
      <c r="I791" s="236"/>
      <c r="J791" s="236">
        <v>1</v>
      </c>
      <c r="K791" s="236">
        <v>0</v>
      </c>
      <c r="L791" s="236">
        <v>1</v>
      </c>
      <c r="M791" s="236">
        <v>1</v>
      </c>
      <c r="O791" s="246"/>
      <c r="P791" s="246"/>
    </row>
    <row r="792" spans="1:16" s="230" customFormat="1" ht="8.85" customHeight="1" x14ac:dyDescent="0.25">
      <c r="A792" s="230" t="s">
        <v>46</v>
      </c>
      <c r="B792" s="234">
        <f t="shared" si="21"/>
        <v>549</v>
      </c>
      <c r="C792" s="234">
        <v>334</v>
      </c>
      <c r="D792" s="234">
        <v>121</v>
      </c>
      <c r="E792" s="234">
        <v>49</v>
      </c>
      <c r="F792" s="234"/>
      <c r="G792" s="234">
        <v>38</v>
      </c>
      <c r="H792" s="234">
        <v>1</v>
      </c>
      <c r="I792" s="234"/>
      <c r="J792" s="234">
        <v>1</v>
      </c>
      <c r="K792" s="234">
        <v>2</v>
      </c>
      <c r="L792" s="234">
        <v>3</v>
      </c>
      <c r="M792" s="234">
        <v>0</v>
      </c>
      <c r="O792" s="246"/>
      <c r="P792" s="246"/>
    </row>
    <row r="793" spans="1:16" s="230" customFormat="1" ht="8.85" customHeight="1" x14ac:dyDescent="0.25">
      <c r="A793" s="230" t="s">
        <v>47</v>
      </c>
      <c r="B793" s="234">
        <f t="shared" si="21"/>
        <v>686</v>
      </c>
      <c r="C793" s="234">
        <v>539</v>
      </c>
      <c r="D793" s="234">
        <v>5</v>
      </c>
      <c r="E793" s="234">
        <v>77</v>
      </c>
      <c r="F793" s="234"/>
      <c r="G793" s="234">
        <v>40</v>
      </c>
      <c r="H793" s="234">
        <v>0</v>
      </c>
      <c r="I793" s="234"/>
      <c r="J793" s="234">
        <v>1</v>
      </c>
      <c r="K793" s="234">
        <v>2</v>
      </c>
      <c r="L793" s="234">
        <v>22</v>
      </c>
      <c r="M793" s="234">
        <v>0</v>
      </c>
      <c r="O793" s="246"/>
      <c r="P793" s="246"/>
    </row>
    <row r="794" spans="1:16" s="230" customFormat="1" ht="8.85" customHeight="1" x14ac:dyDescent="0.25">
      <c r="A794" s="230" t="s">
        <v>48</v>
      </c>
      <c r="B794" s="234">
        <f t="shared" si="21"/>
        <v>711</v>
      </c>
      <c r="C794" s="234">
        <v>620</v>
      </c>
      <c r="D794" s="234">
        <v>0</v>
      </c>
      <c r="E794" s="234">
        <v>34</v>
      </c>
      <c r="F794" s="234"/>
      <c r="G794" s="234">
        <v>26</v>
      </c>
      <c r="H794" s="234">
        <v>11</v>
      </c>
      <c r="I794" s="234"/>
      <c r="J794" s="234">
        <v>1</v>
      </c>
      <c r="K794" s="234">
        <v>1</v>
      </c>
      <c r="L794" s="234">
        <v>18</v>
      </c>
      <c r="M794" s="234">
        <v>0</v>
      </c>
      <c r="O794" s="246"/>
      <c r="P794" s="246"/>
    </row>
    <row r="795" spans="1:16" s="230" customFormat="1" ht="8.85" customHeight="1" x14ac:dyDescent="0.25">
      <c r="A795" s="235" t="s">
        <v>49</v>
      </c>
      <c r="B795" s="236">
        <f t="shared" si="21"/>
        <v>611</v>
      </c>
      <c r="C795" s="236">
        <v>401</v>
      </c>
      <c r="D795" s="236">
        <v>117</v>
      </c>
      <c r="E795" s="236">
        <v>49</v>
      </c>
      <c r="F795" s="236"/>
      <c r="G795" s="236">
        <v>34</v>
      </c>
      <c r="H795" s="236">
        <v>6</v>
      </c>
      <c r="I795" s="236"/>
      <c r="J795" s="236">
        <v>1</v>
      </c>
      <c r="K795" s="236">
        <v>3</v>
      </c>
      <c r="L795" s="236">
        <v>0</v>
      </c>
      <c r="M795" s="236">
        <v>0</v>
      </c>
      <c r="O795" s="246"/>
      <c r="P795" s="246"/>
    </row>
    <row r="796" spans="1:16" s="230" customFormat="1" ht="8.85" customHeight="1" x14ac:dyDescent="0.25">
      <c r="A796" s="230" t="s">
        <v>50</v>
      </c>
      <c r="B796" s="234">
        <f t="shared" si="21"/>
        <v>234</v>
      </c>
      <c r="C796" s="234">
        <v>209</v>
      </c>
      <c r="D796" s="234">
        <v>3</v>
      </c>
      <c r="E796" s="234">
        <v>17</v>
      </c>
      <c r="F796" s="234"/>
      <c r="G796" s="234">
        <v>5</v>
      </c>
      <c r="H796" s="234">
        <v>0</v>
      </c>
      <c r="I796" s="234"/>
      <c r="J796" s="234">
        <v>0</v>
      </c>
      <c r="K796" s="234">
        <v>0</v>
      </c>
      <c r="L796" s="234">
        <v>0</v>
      </c>
      <c r="M796" s="234">
        <v>0</v>
      </c>
      <c r="O796" s="246"/>
      <c r="P796" s="246"/>
    </row>
    <row r="797" spans="1:16" s="230" customFormat="1" ht="8.85" customHeight="1" x14ac:dyDescent="0.25">
      <c r="A797" s="230" t="s">
        <v>51</v>
      </c>
      <c r="B797" s="234">
        <f t="shared" si="21"/>
        <v>1762</v>
      </c>
      <c r="C797" s="234">
        <v>903</v>
      </c>
      <c r="D797" s="234">
        <v>620</v>
      </c>
      <c r="E797" s="234">
        <v>124</v>
      </c>
      <c r="F797" s="234"/>
      <c r="G797" s="234">
        <v>85</v>
      </c>
      <c r="H797" s="234">
        <v>22</v>
      </c>
      <c r="I797" s="234"/>
      <c r="J797" s="234">
        <v>2</v>
      </c>
      <c r="K797" s="234">
        <v>5</v>
      </c>
      <c r="L797" s="234">
        <v>0</v>
      </c>
      <c r="M797" s="234">
        <v>1</v>
      </c>
      <c r="O797" s="246"/>
      <c r="P797" s="246"/>
    </row>
    <row r="798" spans="1:16" s="230" customFormat="1" ht="8.85" customHeight="1" x14ac:dyDescent="0.25">
      <c r="A798" s="230" t="s">
        <v>52</v>
      </c>
      <c r="B798" s="234">
        <f t="shared" si="21"/>
        <v>343</v>
      </c>
      <c r="C798" s="234">
        <v>194</v>
      </c>
      <c r="D798" s="234">
        <v>99</v>
      </c>
      <c r="E798" s="234">
        <v>31</v>
      </c>
      <c r="F798" s="234"/>
      <c r="G798" s="234">
        <v>16</v>
      </c>
      <c r="H798" s="234">
        <v>0</v>
      </c>
      <c r="I798" s="234"/>
      <c r="J798" s="234">
        <v>1</v>
      </c>
      <c r="K798" s="234">
        <v>1</v>
      </c>
      <c r="L798" s="234">
        <v>1</v>
      </c>
      <c r="M798" s="234">
        <v>0</v>
      </c>
      <c r="O798" s="246"/>
      <c r="P798" s="246"/>
    </row>
    <row r="799" spans="1:16" s="230" customFormat="1" ht="8.85" customHeight="1" x14ac:dyDescent="0.25">
      <c r="A799" s="235" t="s">
        <v>53</v>
      </c>
      <c r="B799" s="236">
        <f t="shared" si="21"/>
        <v>500</v>
      </c>
      <c r="C799" s="236">
        <v>260</v>
      </c>
      <c r="D799" s="236">
        <v>167</v>
      </c>
      <c r="E799" s="236">
        <v>37</v>
      </c>
      <c r="F799" s="236"/>
      <c r="G799" s="236">
        <v>35</v>
      </c>
      <c r="H799" s="236">
        <v>0</v>
      </c>
      <c r="I799" s="236"/>
      <c r="J799" s="236">
        <v>1</v>
      </c>
      <c r="K799" s="236">
        <v>0</v>
      </c>
      <c r="L799" s="236">
        <v>0</v>
      </c>
      <c r="M799" s="236">
        <v>0</v>
      </c>
      <c r="O799" s="246"/>
      <c r="P799" s="246"/>
    </row>
    <row r="800" spans="1:16" s="230" customFormat="1" ht="9" customHeight="1" x14ac:dyDescent="0.25">
      <c r="B800" s="234"/>
      <c r="C800" s="234"/>
      <c r="D800" s="234"/>
      <c r="E800" s="234"/>
      <c r="F800" s="234"/>
      <c r="G800" s="234"/>
      <c r="H800" s="234"/>
      <c r="I800" s="234"/>
      <c r="J800" s="234"/>
      <c r="K800" s="234"/>
      <c r="L800" s="234"/>
      <c r="M800" s="234"/>
    </row>
    <row r="801" spans="1:16" s="230" customFormat="1" ht="8.85" customHeight="1" x14ac:dyDescent="0.25">
      <c r="A801" s="228" t="s">
        <v>56</v>
      </c>
      <c r="B801" s="244"/>
      <c r="C801" s="244"/>
      <c r="D801" s="244"/>
      <c r="E801" s="244"/>
      <c r="F801" s="244"/>
      <c r="G801" s="229"/>
      <c r="H801" s="229"/>
      <c r="I801" s="229"/>
      <c r="J801" s="229"/>
      <c r="K801" s="229"/>
      <c r="M801" s="244"/>
    </row>
    <row r="802" spans="1:16" s="230" customFormat="1" ht="8.85" customHeight="1" x14ac:dyDescent="0.25">
      <c r="A802" s="231" t="s">
        <v>21</v>
      </c>
      <c r="B802" s="232">
        <f>SUM(B804:B835)</f>
        <v>22534</v>
      </c>
      <c r="C802" s="232">
        <f>SUM(C804:C835)</f>
        <v>15143</v>
      </c>
      <c r="D802" s="232">
        <f>SUM(D804:D835)</f>
        <v>4314</v>
      </c>
      <c r="E802" s="232">
        <f>SUM(E804:E835)</f>
        <v>1441</v>
      </c>
      <c r="F802" s="232"/>
      <c r="G802" s="232">
        <f>SUM(G804:G835)</f>
        <v>1161</v>
      </c>
      <c r="H802" s="232">
        <f>SUM(H804:H835)</f>
        <v>63</v>
      </c>
      <c r="I802" s="232"/>
      <c r="J802" s="232">
        <f>SUM(J804:J835)</f>
        <v>46</v>
      </c>
      <c r="K802" s="232">
        <f>SUM(K804:K835)</f>
        <v>37</v>
      </c>
      <c r="L802" s="232">
        <f>SUM(L804:L835)</f>
        <v>307</v>
      </c>
      <c r="M802" s="232">
        <f>SUM(M804:M835)</f>
        <v>22</v>
      </c>
      <c r="O802" s="246"/>
      <c r="P802" s="246"/>
    </row>
    <row r="803" spans="1:16" s="230" customFormat="1" ht="3.95" customHeight="1" x14ac:dyDescent="0.25">
      <c r="A803" s="231"/>
      <c r="B803" s="232"/>
      <c r="C803" s="232"/>
      <c r="D803" s="232"/>
      <c r="E803" s="232"/>
      <c r="F803" s="232"/>
      <c r="G803" s="232"/>
      <c r="H803" s="232"/>
      <c r="I803" s="232"/>
      <c r="J803" s="232"/>
      <c r="K803" s="232"/>
      <c r="L803" s="232"/>
      <c r="M803" s="232"/>
      <c r="P803" s="246"/>
    </row>
    <row r="804" spans="1:16" s="230" customFormat="1" ht="8.85" customHeight="1" x14ac:dyDescent="0.25">
      <c r="A804" s="230" t="s">
        <v>23</v>
      </c>
      <c r="B804" s="234">
        <f>SUM(C804:M804)</f>
        <v>145</v>
      </c>
      <c r="C804" s="234">
        <v>115</v>
      </c>
      <c r="D804" s="234">
        <v>0</v>
      </c>
      <c r="E804" s="234">
        <v>16</v>
      </c>
      <c r="F804" s="234"/>
      <c r="G804" s="234">
        <v>11</v>
      </c>
      <c r="H804" s="234">
        <v>0</v>
      </c>
      <c r="I804" s="234"/>
      <c r="J804" s="234">
        <v>0</v>
      </c>
      <c r="K804" s="234">
        <v>0</v>
      </c>
      <c r="L804" s="234">
        <v>1</v>
      </c>
      <c r="M804" s="234">
        <v>2</v>
      </c>
      <c r="O804" s="246"/>
      <c r="P804" s="246"/>
    </row>
    <row r="805" spans="1:16" s="230" customFormat="1" ht="8.85" customHeight="1" x14ac:dyDescent="0.25">
      <c r="A805" s="230" t="s">
        <v>24</v>
      </c>
      <c r="B805" s="234">
        <f t="shared" ref="B805:B835" si="22">SUM(C805:M805)</f>
        <v>298</v>
      </c>
      <c r="C805" s="234">
        <v>207</v>
      </c>
      <c r="D805" s="234">
        <v>21</v>
      </c>
      <c r="E805" s="234">
        <v>35</v>
      </c>
      <c r="F805" s="234"/>
      <c r="G805" s="234">
        <v>14</v>
      </c>
      <c r="H805" s="234">
        <v>0</v>
      </c>
      <c r="I805" s="234"/>
      <c r="J805" s="234">
        <v>2</v>
      </c>
      <c r="K805" s="234">
        <v>1</v>
      </c>
      <c r="L805" s="234">
        <v>18</v>
      </c>
      <c r="M805" s="234">
        <v>0</v>
      </c>
      <c r="O805" s="246"/>
      <c r="P805" s="246"/>
    </row>
    <row r="806" spans="1:16" s="230" customFormat="1" ht="8.85" customHeight="1" x14ac:dyDescent="0.25">
      <c r="A806" s="230" t="s">
        <v>25</v>
      </c>
      <c r="B806" s="234">
        <f t="shared" si="22"/>
        <v>151</v>
      </c>
      <c r="C806" s="234">
        <v>92</v>
      </c>
      <c r="D806" s="234">
        <v>4</v>
      </c>
      <c r="E806" s="234">
        <v>21</v>
      </c>
      <c r="F806" s="234"/>
      <c r="G806" s="234">
        <v>30</v>
      </c>
      <c r="H806" s="234">
        <v>0</v>
      </c>
      <c r="I806" s="234"/>
      <c r="J806" s="234">
        <v>1</v>
      </c>
      <c r="K806" s="234">
        <v>3</v>
      </c>
      <c r="L806" s="234">
        <v>0</v>
      </c>
      <c r="M806" s="234">
        <v>0</v>
      </c>
      <c r="O806" s="246"/>
      <c r="P806" s="246"/>
    </row>
    <row r="807" spans="1:16" s="230" customFormat="1" ht="8.85" customHeight="1" x14ac:dyDescent="0.25">
      <c r="A807" s="235" t="s">
        <v>26</v>
      </c>
      <c r="B807" s="236">
        <f t="shared" si="22"/>
        <v>238</v>
      </c>
      <c r="C807" s="236">
        <v>161</v>
      </c>
      <c r="D807" s="236">
        <v>49</v>
      </c>
      <c r="E807" s="236">
        <v>12</v>
      </c>
      <c r="F807" s="236"/>
      <c r="G807" s="236">
        <v>11</v>
      </c>
      <c r="H807" s="236">
        <v>2</v>
      </c>
      <c r="I807" s="236"/>
      <c r="J807" s="236">
        <v>0</v>
      </c>
      <c r="K807" s="236">
        <v>3</v>
      </c>
      <c r="L807" s="236">
        <v>0</v>
      </c>
      <c r="M807" s="236">
        <v>0</v>
      </c>
      <c r="O807" s="246"/>
      <c r="P807" s="246"/>
    </row>
    <row r="808" spans="1:16" s="230" customFormat="1" ht="8.85" customHeight="1" x14ac:dyDescent="0.25">
      <c r="A808" s="230" t="s">
        <v>27</v>
      </c>
      <c r="B808" s="234">
        <f t="shared" si="22"/>
        <v>421</v>
      </c>
      <c r="C808" s="234">
        <v>228</v>
      </c>
      <c r="D808" s="234">
        <v>92</v>
      </c>
      <c r="E808" s="234">
        <v>52</v>
      </c>
      <c r="F808" s="234"/>
      <c r="G808" s="234">
        <v>28</v>
      </c>
      <c r="H808" s="234">
        <v>0</v>
      </c>
      <c r="I808" s="234"/>
      <c r="J808" s="234">
        <v>1</v>
      </c>
      <c r="K808" s="234">
        <v>0</v>
      </c>
      <c r="L808" s="234">
        <v>17</v>
      </c>
      <c r="M808" s="234">
        <v>3</v>
      </c>
      <c r="O808" s="246"/>
      <c r="P808" s="246"/>
    </row>
    <row r="809" spans="1:16" s="230" customFormat="1" ht="8.85" customHeight="1" x14ac:dyDescent="0.25">
      <c r="A809" s="230" t="s">
        <v>28</v>
      </c>
      <c r="B809" s="234">
        <f t="shared" si="22"/>
        <v>179</v>
      </c>
      <c r="C809" s="234">
        <v>158</v>
      </c>
      <c r="D809" s="234">
        <v>0</v>
      </c>
      <c r="E809" s="234">
        <v>15</v>
      </c>
      <c r="F809" s="234"/>
      <c r="G809" s="234">
        <v>5</v>
      </c>
      <c r="H809" s="234">
        <v>0</v>
      </c>
      <c r="I809" s="234"/>
      <c r="J809" s="234">
        <v>0</v>
      </c>
      <c r="K809" s="234">
        <v>1</v>
      </c>
      <c r="L809" s="234">
        <v>0</v>
      </c>
      <c r="M809" s="234">
        <v>0</v>
      </c>
      <c r="O809" s="246"/>
      <c r="P809" s="246"/>
    </row>
    <row r="810" spans="1:16" s="230" customFormat="1" ht="8.85" customHeight="1" x14ac:dyDescent="0.25">
      <c r="A810" s="230" t="s">
        <v>29</v>
      </c>
      <c r="B810" s="234">
        <f t="shared" si="22"/>
        <v>1793</v>
      </c>
      <c r="C810" s="234">
        <v>1085</v>
      </c>
      <c r="D810" s="234">
        <v>611</v>
      </c>
      <c r="E810" s="234">
        <v>33</v>
      </c>
      <c r="F810" s="234"/>
      <c r="G810" s="234">
        <v>48</v>
      </c>
      <c r="H810" s="234">
        <v>1</v>
      </c>
      <c r="I810" s="234"/>
      <c r="J810" s="234">
        <v>1</v>
      </c>
      <c r="K810" s="234">
        <v>2</v>
      </c>
      <c r="L810" s="234">
        <v>12</v>
      </c>
      <c r="M810" s="234">
        <v>0</v>
      </c>
      <c r="O810" s="246"/>
      <c r="P810" s="246"/>
    </row>
    <row r="811" spans="1:16" s="230" customFormat="1" ht="8.85" customHeight="1" x14ac:dyDescent="0.25">
      <c r="A811" s="235" t="s">
        <v>30</v>
      </c>
      <c r="B811" s="236">
        <f t="shared" si="22"/>
        <v>575</v>
      </c>
      <c r="C811" s="236">
        <v>302</v>
      </c>
      <c r="D811" s="236">
        <v>165</v>
      </c>
      <c r="E811" s="236">
        <v>58</v>
      </c>
      <c r="F811" s="236"/>
      <c r="G811" s="236">
        <v>46</v>
      </c>
      <c r="H811" s="236">
        <v>1</v>
      </c>
      <c r="I811" s="236"/>
      <c r="J811" s="236">
        <v>2</v>
      </c>
      <c r="K811" s="236">
        <v>0</v>
      </c>
      <c r="L811" s="236">
        <v>1</v>
      </c>
      <c r="M811" s="236">
        <v>0</v>
      </c>
      <c r="O811" s="246"/>
      <c r="P811" s="246"/>
    </row>
    <row r="812" spans="1:16" s="230" customFormat="1" ht="8.85" customHeight="1" x14ac:dyDescent="0.25">
      <c r="A812" s="405" t="s">
        <v>63</v>
      </c>
      <c r="B812" s="234">
        <f t="shared" si="22"/>
        <v>718</v>
      </c>
      <c r="C812" s="234">
        <v>468</v>
      </c>
      <c r="D812" s="234">
        <v>23</v>
      </c>
      <c r="E812" s="234">
        <v>83</v>
      </c>
      <c r="F812" s="234"/>
      <c r="G812" s="234">
        <v>105</v>
      </c>
      <c r="H812" s="234">
        <v>3</v>
      </c>
      <c r="I812" s="234"/>
      <c r="J812" s="234">
        <v>8</v>
      </c>
      <c r="K812" s="234">
        <v>4</v>
      </c>
      <c r="L812" s="234">
        <v>22</v>
      </c>
      <c r="M812" s="234">
        <v>2</v>
      </c>
      <c r="O812" s="246"/>
      <c r="P812" s="246"/>
    </row>
    <row r="813" spans="1:16" s="230" customFormat="1" ht="8.85" customHeight="1" x14ac:dyDescent="0.25">
      <c r="A813" s="230" t="s">
        <v>31</v>
      </c>
      <c r="B813" s="234">
        <f t="shared" si="22"/>
        <v>521</v>
      </c>
      <c r="C813" s="234">
        <v>271</v>
      </c>
      <c r="D813" s="234">
        <v>175</v>
      </c>
      <c r="E813" s="234">
        <v>34</v>
      </c>
      <c r="F813" s="234"/>
      <c r="G813" s="234">
        <v>40</v>
      </c>
      <c r="H813" s="234">
        <v>0</v>
      </c>
      <c r="I813" s="234"/>
      <c r="J813" s="234">
        <v>1</v>
      </c>
      <c r="K813" s="234">
        <v>0</v>
      </c>
      <c r="L813" s="234">
        <v>0</v>
      </c>
      <c r="M813" s="234">
        <v>0</v>
      </c>
      <c r="O813" s="246"/>
      <c r="P813" s="246"/>
    </row>
    <row r="814" spans="1:16" s="230" customFormat="1" ht="8.85" customHeight="1" x14ac:dyDescent="0.25">
      <c r="A814" s="230" t="s">
        <v>32</v>
      </c>
      <c r="B814" s="234">
        <f t="shared" si="22"/>
        <v>719</v>
      </c>
      <c r="C814" s="234">
        <v>613</v>
      </c>
      <c r="D814" s="234">
        <v>11</v>
      </c>
      <c r="E814" s="234">
        <v>51</v>
      </c>
      <c r="F814" s="234"/>
      <c r="G814" s="234">
        <v>42</v>
      </c>
      <c r="H814" s="234">
        <v>1</v>
      </c>
      <c r="I814" s="234"/>
      <c r="J814" s="234">
        <v>1</v>
      </c>
      <c r="K814" s="234">
        <v>0</v>
      </c>
      <c r="L814" s="234">
        <v>0</v>
      </c>
      <c r="M814" s="234">
        <v>0</v>
      </c>
      <c r="O814" s="246"/>
      <c r="P814" s="246"/>
    </row>
    <row r="815" spans="1:16" s="230" customFormat="1" ht="8.85" customHeight="1" x14ac:dyDescent="0.25">
      <c r="A815" s="235" t="s">
        <v>33</v>
      </c>
      <c r="B815" s="236">
        <f t="shared" si="22"/>
        <v>1206</v>
      </c>
      <c r="C815" s="236">
        <v>1073</v>
      </c>
      <c r="D815" s="236">
        <v>63</v>
      </c>
      <c r="E815" s="236">
        <v>20</v>
      </c>
      <c r="F815" s="236"/>
      <c r="G815" s="236">
        <v>46</v>
      </c>
      <c r="H815" s="236">
        <v>0</v>
      </c>
      <c r="I815" s="236"/>
      <c r="J815" s="236">
        <v>2</v>
      </c>
      <c r="K815" s="236">
        <v>2</v>
      </c>
      <c r="L815" s="236">
        <v>0</v>
      </c>
      <c r="M815" s="236">
        <v>0</v>
      </c>
      <c r="O815" s="246"/>
      <c r="P815" s="246"/>
    </row>
    <row r="816" spans="1:16" s="230" customFormat="1" ht="8.85" customHeight="1" x14ac:dyDescent="0.25">
      <c r="A816" s="230" t="s">
        <v>34</v>
      </c>
      <c r="B816" s="234">
        <f t="shared" si="22"/>
        <v>947</v>
      </c>
      <c r="C816" s="234">
        <v>639</v>
      </c>
      <c r="D816" s="234">
        <v>248</v>
      </c>
      <c r="E816" s="234">
        <v>22</v>
      </c>
      <c r="F816" s="234"/>
      <c r="G816" s="234">
        <v>35</v>
      </c>
      <c r="H816" s="234">
        <v>3</v>
      </c>
      <c r="I816" s="234"/>
      <c r="J816" s="234">
        <v>0</v>
      </c>
      <c r="K816" s="234">
        <v>0</v>
      </c>
      <c r="L816" s="234">
        <v>0</v>
      </c>
      <c r="M816" s="234">
        <v>0</v>
      </c>
      <c r="O816" s="246"/>
      <c r="P816" s="246"/>
    </row>
    <row r="817" spans="1:16" s="230" customFormat="1" ht="8.85" customHeight="1" x14ac:dyDescent="0.25">
      <c r="A817" s="230" t="s">
        <v>35</v>
      </c>
      <c r="B817" s="234">
        <f t="shared" si="22"/>
        <v>1083</v>
      </c>
      <c r="C817" s="234">
        <v>849</v>
      </c>
      <c r="D817" s="234">
        <v>9</v>
      </c>
      <c r="E817" s="234">
        <v>129</v>
      </c>
      <c r="F817" s="234"/>
      <c r="G817" s="234">
        <v>90</v>
      </c>
      <c r="H817" s="234">
        <v>1</v>
      </c>
      <c r="I817" s="234"/>
      <c r="J817" s="234">
        <v>3</v>
      </c>
      <c r="K817" s="234">
        <v>1</v>
      </c>
      <c r="L817" s="234">
        <v>0</v>
      </c>
      <c r="M817" s="234">
        <v>1</v>
      </c>
      <c r="O817" s="246"/>
      <c r="P817" s="246"/>
    </row>
    <row r="818" spans="1:16" s="230" customFormat="1" ht="8.85" customHeight="1" x14ac:dyDescent="0.25">
      <c r="A818" s="230" t="s">
        <v>36</v>
      </c>
      <c r="B818" s="234">
        <f t="shared" si="22"/>
        <v>1603</v>
      </c>
      <c r="C818" s="234">
        <v>1267</v>
      </c>
      <c r="D818" s="234">
        <v>64</v>
      </c>
      <c r="E818" s="234">
        <v>104</v>
      </c>
      <c r="F818" s="234"/>
      <c r="G818" s="234">
        <v>38</v>
      </c>
      <c r="H818" s="234">
        <v>2</v>
      </c>
      <c r="I818" s="234"/>
      <c r="J818" s="234">
        <v>8</v>
      </c>
      <c r="K818" s="234">
        <v>0</v>
      </c>
      <c r="L818" s="234">
        <v>113</v>
      </c>
      <c r="M818" s="234">
        <v>7</v>
      </c>
      <c r="O818" s="246"/>
      <c r="P818" s="246"/>
    </row>
    <row r="819" spans="1:16" s="230" customFormat="1" ht="8.85" customHeight="1" x14ac:dyDescent="0.25">
      <c r="A819" s="235" t="s">
        <v>37</v>
      </c>
      <c r="B819" s="236">
        <f t="shared" si="22"/>
        <v>1075</v>
      </c>
      <c r="C819" s="236">
        <v>553</v>
      </c>
      <c r="D819" s="236">
        <v>400</v>
      </c>
      <c r="E819" s="236">
        <v>56</v>
      </c>
      <c r="F819" s="236"/>
      <c r="G819" s="236">
        <v>64</v>
      </c>
      <c r="H819" s="236">
        <v>0</v>
      </c>
      <c r="I819" s="236"/>
      <c r="J819" s="236">
        <v>1</v>
      </c>
      <c r="K819" s="236">
        <v>1</v>
      </c>
      <c r="L819" s="236">
        <v>0</v>
      </c>
      <c r="M819" s="236">
        <v>0</v>
      </c>
      <c r="O819" s="246"/>
      <c r="P819" s="246"/>
    </row>
    <row r="820" spans="1:16" s="230" customFormat="1" ht="8.85" customHeight="1" x14ac:dyDescent="0.25">
      <c r="A820" s="230" t="s">
        <v>38</v>
      </c>
      <c r="B820" s="234">
        <f t="shared" si="22"/>
        <v>305</v>
      </c>
      <c r="C820" s="234">
        <v>247</v>
      </c>
      <c r="D820" s="234">
        <v>4</v>
      </c>
      <c r="E820" s="234">
        <v>25</v>
      </c>
      <c r="F820" s="234"/>
      <c r="G820" s="234">
        <v>28</v>
      </c>
      <c r="H820" s="234">
        <v>0</v>
      </c>
      <c r="I820" s="234"/>
      <c r="J820" s="234">
        <v>1</v>
      </c>
      <c r="K820" s="234">
        <v>0</v>
      </c>
      <c r="L820" s="234">
        <v>0</v>
      </c>
      <c r="M820" s="234">
        <v>0</v>
      </c>
      <c r="O820" s="246"/>
      <c r="P820" s="246"/>
    </row>
    <row r="821" spans="1:16" s="230" customFormat="1" ht="8.85" customHeight="1" x14ac:dyDescent="0.25">
      <c r="A821" s="230" t="s">
        <v>39</v>
      </c>
      <c r="B821" s="234">
        <f t="shared" si="22"/>
        <v>429</v>
      </c>
      <c r="C821" s="234">
        <v>277</v>
      </c>
      <c r="D821" s="234">
        <v>96</v>
      </c>
      <c r="E821" s="234">
        <v>28</v>
      </c>
      <c r="F821" s="234"/>
      <c r="G821" s="234">
        <v>23</v>
      </c>
      <c r="H821" s="234">
        <v>0</v>
      </c>
      <c r="I821" s="234"/>
      <c r="J821" s="234">
        <v>0</v>
      </c>
      <c r="K821" s="234">
        <v>1</v>
      </c>
      <c r="L821" s="234">
        <v>4</v>
      </c>
      <c r="M821" s="234">
        <v>0</v>
      </c>
      <c r="O821" s="246"/>
      <c r="P821" s="246"/>
    </row>
    <row r="822" spans="1:16" s="230" customFormat="1" ht="8.85" customHeight="1" x14ac:dyDescent="0.25">
      <c r="A822" s="230" t="s">
        <v>40</v>
      </c>
      <c r="B822" s="234">
        <f t="shared" si="22"/>
        <v>605</v>
      </c>
      <c r="C822" s="234">
        <v>498</v>
      </c>
      <c r="D822" s="234">
        <v>3</v>
      </c>
      <c r="E822" s="234">
        <v>66</v>
      </c>
      <c r="F822" s="234"/>
      <c r="G822" s="234">
        <v>31</v>
      </c>
      <c r="H822" s="234">
        <v>2</v>
      </c>
      <c r="I822" s="234"/>
      <c r="J822" s="234">
        <v>1</v>
      </c>
      <c r="K822" s="234">
        <v>0</v>
      </c>
      <c r="L822" s="234">
        <v>2</v>
      </c>
      <c r="M822" s="234">
        <v>2</v>
      </c>
      <c r="O822" s="246"/>
      <c r="P822" s="246"/>
    </row>
    <row r="823" spans="1:16" s="230" customFormat="1" ht="8.85" customHeight="1" x14ac:dyDescent="0.25">
      <c r="A823" s="235" t="s">
        <v>41</v>
      </c>
      <c r="B823" s="236">
        <f t="shared" si="22"/>
        <v>1601</v>
      </c>
      <c r="C823" s="236">
        <v>956</v>
      </c>
      <c r="D823" s="236">
        <v>536</v>
      </c>
      <c r="E823" s="236">
        <v>33</v>
      </c>
      <c r="F823" s="236"/>
      <c r="G823" s="236">
        <v>52</v>
      </c>
      <c r="H823" s="236">
        <v>3</v>
      </c>
      <c r="I823" s="236"/>
      <c r="J823" s="236">
        <v>2</v>
      </c>
      <c r="K823" s="236">
        <v>2</v>
      </c>
      <c r="L823" s="236">
        <v>17</v>
      </c>
      <c r="M823" s="236">
        <v>0</v>
      </c>
      <c r="O823" s="246"/>
      <c r="P823" s="246"/>
    </row>
    <row r="824" spans="1:16" s="230" customFormat="1" ht="8.85" customHeight="1" x14ac:dyDescent="0.25">
      <c r="A824" s="230" t="s">
        <v>42</v>
      </c>
      <c r="B824" s="234">
        <f t="shared" si="22"/>
        <v>1268</v>
      </c>
      <c r="C824" s="234">
        <v>772</v>
      </c>
      <c r="D824" s="234">
        <v>346</v>
      </c>
      <c r="E824" s="234">
        <v>52</v>
      </c>
      <c r="F824" s="234"/>
      <c r="G824" s="234">
        <v>43</v>
      </c>
      <c r="H824" s="234">
        <v>3</v>
      </c>
      <c r="I824" s="234"/>
      <c r="J824" s="234">
        <v>1</v>
      </c>
      <c r="K824" s="234">
        <v>0</v>
      </c>
      <c r="L824" s="234">
        <v>49</v>
      </c>
      <c r="M824" s="234">
        <v>2</v>
      </c>
      <c r="O824" s="246"/>
      <c r="P824" s="246"/>
    </row>
    <row r="825" spans="1:16" s="230" customFormat="1" ht="8.85" customHeight="1" x14ac:dyDescent="0.25">
      <c r="A825" s="230" t="s">
        <v>43</v>
      </c>
      <c r="B825" s="234">
        <f t="shared" si="22"/>
        <v>325</v>
      </c>
      <c r="C825" s="234">
        <v>282</v>
      </c>
      <c r="D825" s="234">
        <v>5</v>
      </c>
      <c r="E825" s="234">
        <v>25</v>
      </c>
      <c r="F825" s="234"/>
      <c r="G825" s="234">
        <v>13</v>
      </c>
      <c r="H825" s="234">
        <v>0</v>
      </c>
      <c r="I825" s="234"/>
      <c r="J825" s="234">
        <v>0</v>
      </c>
      <c r="K825" s="234">
        <v>0</v>
      </c>
      <c r="L825" s="234">
        <v>0</v>
      </c>
      <c r="M825" s="234">
        <v>0</v>
      </c>
      <c r="O825" s="246"/>
      <c r="P825" s="246"/>
    </row>
    <row r="826" spans="1:16" s="230" customFormat="1" ht="8.85" customHeight="1" x14ac:dyDescent="0.25">
      <c r="A826" s="230" t="s">
        <v>44</v>
      </c>
      <c r="B826" s="234">
        <f t="shared" si="22"/>
        <v>246</v>
      </c>
      <c r="C826" s="234">
        <v>217</v>
      </c>
      <c r="D826" s="234">
        <v>0</v>
      </c>
      <c r="E826" s="234">
        <v>15</v>
      </c>
      <c r="F826" s="234"/>
      <c r="G826" s="234">
        <v>10</v>
      </c>
      <c r="H826" s="234">
        <v>0</v>
      </c>
      <c r="I826" s="234"/>
      <c r="J826" s="234">
        <v>1</v>
      </c>
      <c r="K826" s="234">
        <v>3</v>
      </c>
      <c r="L826" s="234">
        <v>0</v>
      </c>
      <c r="M826" s="234">
        <v>0</v>
      </c>
      <c r="O826" s="246"/>
      <c r="P826" s="246"/>
    </row>
    <row r="827" spans="1:16" s="230" customFormat="1" ht="8.85" customHeight="1" x14ac:dyDescent="0.25">
      <c r="A827" s="235" t="s">
        <v>45</v>
      </c>
      <c r="B827" s="236">
        <f t="shared" si="22"/>
        <v>649</v>
      </c>
      <c r="C827" s="236">
        <v>328</v>
      </c>
      <c r="D827" s="236">
        <v>251</v>
      </c>
      <c r="E827" s="236">
        <v>37</v>
      </c>
      <c r="F827" s="236"/>
      <c r="G827" s="236">
        <v>29</v>
      </c>
      <c r="H827" s="236">
        <v>1</v>
      </c>
      <c r="I827" s="236"/>
      <c r="J827" s="236">
        <v>1</v>
      </c>
      <c r="K827" s="236">
        <v>0</v>
      </c>
      <c r="L827" s="236">
        <v>1</v>
      </c>
      <c r="M827" s="236">
        <v>1</v>
      </c>
      <c r="O827" s="246"/>
      <c r="P827" s="246"/>
    </row>
    <row r="828" spans="1:16" s="230" customFormat="1" ht="8.85" customHeight="1" x14ac:dyDescent="0.25">
      <c r="A828" s="230" t="s">
        <v>46</v>
      </c>
      <c r="B828" s="234">
        <f t="shared" si="22"/>
        <v>555</v>
      </c>
      <c r="C828" s="234">
        <v>337</v>
      </c>
      <c r="D828" s="234">
        <v>123</v>
      </c>
      <c r="E828" s="234">
        <v>50</v>
      </c>
      <c r="F828" s="234"/>
      <c r="G828" s="234">
        <v>38</v>
      </c>
      <c r="H828" s="234">
        <v>1</v>
      </c>
      <c r="I828" s="234"/>
      <c r="J828" s="234">
        <v>1</v>
      </c>
      <c r="K828" s="234">
        <v>2</v>
      </c>
      <c r="L828" s="234">
        <v>3</v>
      </c>
      <c r="M828" s="234">
        <v>0</v>
      </c>
      <c r="O828" s="246"/>
      <c r="P828" s="246"/>
    </row>
    <row r="829" spans="1:16" s="230" customFormat="1" ht="8.85" customHeight="1" x14ac:dyDescent="0.25">
      <c r="A829" s="230" t="s">
        <v>47</v>
      </c>
      <c r="B829" s="234">
        <f t="shared" si="22"/>
        <v>690</v>
      </c>
      <c r="C829" s="234">
        <v>538</v>
      </c>
      <c r="D829" s="234">
        <v>5</v>
      </c>
      <c r="E829" s="234">
        <v>77</v>
      </c>
      <c r="F829" s="234"/>
      <c r="G829" s="234">
        <v>40</v>
      </c>
      <c r="H829" s="234">
        <v>0</v>
      </c>
      <c r="I829" s="234"/>
      <c r="J829" s="234">
        <v>1</v>
      </c>
      <c r="K829" s="234">
        <v>2</v>
      </c>
      <c r="L829" s="234">
        <v>27</v>
      </c>
      <c r="M829" s="234">
        <v>0</v>
      </c>
      <c r="O829" s="246"/>
      <c r="P829" s="246"/>
    </row>
    <row r="830" spans="1:16" s="230" customFormat="1" ht="8.85" customHeight="1" x14ac:dyDescent="0.25">
      <c r="A830" s="230" t="s">
        <v>48</v>
      </c>
      <c r="B830" s="234">
        <f t="shared" si="22"/>
        <v>712</v>
      </c>
      <c r="C830" s="234">
        <v>620</v>
      </c>
      <c r="D830" s="234">
        <v>0</v>
      </c>
      <c r="E830" s="234">
        <v>35</v>
      </c>
      <c r="F830" s="234"/>
      <c r="G830" s="234">
        <v>26</v>
      </c>
      <c r="H830" s="234">
        <v>11</v>
      </c>
      <c r="I830" s="234"/>
      <c r="J830" s="234">
        <v>1</v>
      </c>
      <c r="K830" s="234">
        <v>1</v>
      </c>
      <c r="L830" s="234">
        <v>18</v>
      </c>
      <c r="M830" s="234">
        <v>0</v>
      </c>
      <c r="O830" s="246"/>
      <c r="P830" s="246"/>
    </row>
    <row r="831" spans="1:16" s="230" customFormat="1" ht="8.85" customHeight="1" x14ac:dyDescent="0.25">
      <c r="A831" s="235" t="s">
        <v>49</v>
      </c>
      <c r="B831" s="236">
        <f t="shared" si="22"/>
        <v>619</v>
      </c>
      <c r="C831" s="236">
        <v>410</v>
      </c>
      <c r="D831" s="236">
        <v>117</v>
      </c>
      <c r="E831" s="236">
        <v>49</v>
      </c>
      <c r="F831" s="236"/>
      <c r="G831" s="236">
        <v>34</v>
      </c>
      <c r="H831" s="236">
        <v>6</v>
      </c>
      <c r="I831" s="236"/>
      <c r="J831" s="236">
        <v>1</v>
      </c>
      <c r="K831" s="236">
        <v>2</v>
      </c>
      <c r="L831" s="236">
        <v>0</v>
      </c>
      <c r="M831" s="236">
        <v>0</v>
      </c>
      <c r="O831" s="246"/>
      <c r="P831" s="246"/>
    </row>
    <row r="832" spans="1:16" s="230" customFormat="1" ht="8.85" customHeight="1" x14ac:dyDescent="0.25">
      <c r="A832" s="230" t="s">
        <v>50</v>
      </c>
      <c r="B832" s="234">
        <f t="shared" si="22"/>
        <v>241</v>
      </c>
      <c r="C832" s="234">
        <v>216</v>
      </c>
      <c r="D832" s="234">
        <v>3</v>
      </c>
      <c r="E832" s="234">
        <v>17</v>
      </c>
      <c r="F832" s="234"/>
      <c r="G832" s="234">
        <v>5</v>
      </c>
      <c r="H832" s="234">
        <v>0</v>
      </c>
      <c r="I832" s="234"/>
      <c r="J832" s="234">
        <v>0</v>
      </c>
      <c r="K832" s="234">
        <v>0</v>
      </c>
      <c r="L832" s="234">
        <v>0</v>
      </c>
      <c r="M832" s="234">
        <v>0</v>
      </c>
      <c r="O832" s="246"/>
      <c r="P832" s="246"/>
    </row>
    <row r="833" spans="1:16" s="230" customFormat="1" ht="8.85" customHeight="1" x14ac:dyDescent="0.25">
      <c r="A833" s="230" t="s">
        <v>51</v>
      </c>
      <c r="B833" s="234">
        <f t="shared" si="22"/>
        <v>1766</v>
      </c>
      <c r="C833" s="234">
        <v>903</v>
      </c>
      <c r="D833" s="234">
        <v>622</v>
      </c>
      <c r="E833" s="234">
        <v>124</v>
      </c>
      <c r="F833" s="234"/>
      <c r="G833" s="234">
        <v>85</v>
      </c>
      <c r="H833" s="234">
        <v>22</v>
      </c>
      <c r="I833" s="234"/>
      <c r="J833" s="234">
        <v>2</v>
      </c>
      <c r="K833" s="234">
        <v>5</v>
      </c>
      <c r="L833" s="234">
        <v>1</v>
      </c>
      <c r="M833" s="234">
        <v>2</v>
      </c>
      <c r="O833" s="246"/>
      <c r="P833" s="246"/>
    </row>
    <row r="834" spans="1:16" s="230" customFormat="1" ht="8.85" customHeight="1" x14ac:dyDescent="0.25">
      <c r="A834" s="230" t="s">
        <v>52</v>
      </c>
      <c r="B834" s="234">
        <f t="shared" si="22"/>
        <v>346</v>
      </c>
      <c r="C834" s="234">
        <v>195</v>
      </c>
      <c r="D834" s="234">
        <v>101</v>
      </c>
      <c r="E834" s="234">
        <v>31</v>
      </c>
      <c r="F834" s="234"/>
      <c r="G834" s="234">
        <v>16</v>
      </c>
      <c r="H834" s="234">
        <v>0</v>
      </c>
      <c r="I834" s="234"/>
      <c r="J834" s="234">
        <v>1</v>
      </c>
      <c r="K834" s="234">
        <v>1</v>
      </c>
      <c r="L834" s="234">
        <v>1</v>
      </c>
      <c r="M834" s="234">
        <v>0</v>
      </c>
      <c r="O834" s="246"/>
      <c r="P834" s="246"/>
    </row>
    <row r="835" spans="1:16" s="230" customFormat="1" ht="8.85" customHeight="1" x14ac:dyDescent="0.25">
      <c r="A835" s="235" t="s">
        <v>53</v>
      </c>
      <c r="B835" s="236">
        <f t="shared" si="22"/>
        <v>505</v>
      </c>
      <c r="C835" s="236">
        <v>266</v>
      </c>
      <c r="D835" s="236">
        <v>167</v>
      </c>
      <c r="E835" s="236">
        <v>36</v>
      </c>
      <c r="F835" s="236"/>
      <c r="G835" s="236">
        <v>35</v>
      </c>
      <c r="H835" s="236">
        <v>0</v>
      </c>
      <c r="I835" s="236"/>
      <c r="J835" s="236">
        <v>1</v>
      </c>
      <c r="K835" s="236">
        <v>0</v>
      </c>
      <c r="L835" s="236">
        <v>0</v>
      </c>
      <c r="M835" s="236">
        <v>0</v>
      </c>
      <c r="O835" s="246"/>
      <c r="P835" s="246"/>
    </row>
    <row r="836" spans="1:16" ht="3" customHeight="1" x14ac:dyDescent="0.25">
      <c r="A836" s="222"/>
      <c r="B836" s="222"/>
      <c r="C836" s="222"/>
      <c r="D836" s="222"/>
      <c r="E836" s="222"/>
      <c r="F836" s="222"/>
      <c r="G836" s="222"/>
      <c r="H836" s="222"/>
      <c r="I836" s="222"/>
      <c r="J836" s="222"/>
      <c r="K836" s="222"/>
      <c r="L836" s="222"/>
      <c r="M836" s="222"/>
      <c r="P836" s="246"/>
    </row>
    <row r="837" spans="1:16" ht="3" customHeight="1" x14ac:dyDescent="0.25"/>
    <row r="838" spans="1:16" ht="9" customHeight="1" x14ac:dyDescent="0.25">
      <c r="A838" s="247" t="s">
        <v>196</v>
      </c>
    </row>
    <row r="839" spans="1:16" ht="9" customHeight="1" x14ac:dyDescent="0.25">
      <c r="A839" s="247" t="s">
        <v>197</v>
      </c>
    </row>
    <row r="840" spans="1:16" ht="9" customHeight="1" x14ac:dyDescent="0.25">
      <c r="A840" s="247" t="s">
        <v>198</v>
      </c>
    </row>
    <row r="841" spans="1:16" ht="9" customHeight="1" x14ac:dyDescent="0.25">
      <c r="A841" s="247" t="s">
        <v>199</v>
      </c>
    </row>
    <row r="842" spans="1:16" s="225" customFormat="1" ht="9" customHeight="1" x14ac:dyDescent="0.25">
      <c r="A842" s="248" t="s">
        <v>200</v>
      </c>
    </row>
    <row r="843" spans="1:16" s="225" customFormat="1" ht="9" customHeight="1" x14ac:dyDescent="0.25">
      <c r="A843" s="249" t="s">
        <v>201</v>
      </c>
    </row>
    <row r="844" spans="1:16" s="225" customFormat="1" ht="9" customHeight="1" x14ac:dyDescent="0.25">
      <c r="A844" s="225" t="s">
        <v>202</v>
      </c>
    </row>
    <row r="845" spans="1:16" ht="9" customHeight="1" x14ac:dyDescent="0.25">
      <c r="A845" s="225" t="s">
        <v>512</v>
      </c>
      <c r="B845" s="250"/>
      <c r="C845" s="250"/>
      <c r="D845" s="250"/>
      <c r="E845" s="250"/>
      <c r="F845" s="250"/>
      <c r="G845" s="250"/>
      <c r="H845" s="250"/>
      <c r="I845" s="250"/>
    </row>
    <row r="846" spans="1:16" ht="9" customHeight="1" x14ac:dyDescent="0.25">
      <c r="A846" s="247" t="s">
        <v>203</v>
      </c>
      <c r="B846" s="250"/>
      <c r="C846" s="250"/>
      <c r="D846" s="250"/>
      <c r="E846" s="250"/>
      <c r="F846" s="250"/>
      <c r="G846" s="250"/>
      <c r="H846" s="250"/>
      <c r="I846" s="250"/>
    </row>
    <row r="847" spans="1:16" ht="11.25" hidden="1" customHeight="1" x14ac:dyDescent="0.25">
      <c r="B847" s="251"/>
      <c r="C847" s="251"/>
      <c r="D847" s="251"/>
    </row>
    <row r="848" spans="1:16" ht="11.25" hidden="1" customHeight="1" x14ac:dyDescent="0.25"/>
    <row r="849" spans="1:1" ht="11.25" hidden="1" customHeight="1" x14ac:dyDescent="0.25"/>
    <row r="850" spans="1:1" ht="11.25" hidden="1" customHeight="1" x14ac:dyDescent="0.25"/>
    <row r="851" spans="1:1" ht="11.25" hidden="1" customHeight="1" x14ac:dyDescent="0.25"/>
    <row r="852" spans="1:1" ht="11.25" hidden="1" customHeight="1" x14ac:dyDescent="0.25">
      <c r="A852" s="252"/>
    </row>
    <row r="853" spans="1:1" ht="11.25" hidden="1" customHeight="1" x14ac:dyDescent="0.15">
      <c r="A853" s="253"/>
    </row>
    <row r="854" spans="1:1" ht="11.25" hidden="1" customHeight="1" x14ac:dyDescent="0.15">
      <c r="A854" s="253"/>
    </row>
  </sheetData>
  <sheetProtection sheet="1" objects="1" scenarios="1"/>
  <mergeCells count="6">
    <mergeCell ref="L1:M1"/>
    <mergeCell ref="A5:A6"/>
    <mergeCell ref="C5:C6"/>
    <mergeCell ref="D5:D6"/>
    <mergeCell ref="L5:L6"/>
    <mergeCell ref="M5:M6"/>
  </mergeCells>
  <hyperlinks>
    <hyperlink ref="L1" location="Índice!A1" display="Índice!A1"/>
    <hyperlink ref="L1:M1" location="Índice!A1" tooltip="Ir a Índice" display="Índice!A1"/>
  </hyperlinks>
  <printOptions horizontalCentered="1" verticalCentered="1"/>
  <pageMargins left="0.39370078740157483" right="0.39370078740157483" top="0.39370078740157483" bottom="0.39370078740157483" header="0.39370078740157483" footer="0.39370078740157483"/>
  <pageSetup orientation="portrait" r:id="rId1"/>
  <headerFooter>
    <oddHeader>&amp;L&amp;"Arial,Normal"&amp;10&amp;K000080INEGI. Anuario estadístico y geográfico por entidad federativa 2019.</oddHeader>
  </headerFooter>
  <rowBreaks count="11" manualBreakCount="11">
    <brk id="80" max="16383" man="1"/>
    <brk id="152" max="16383" man="1"/>
    <brk id="224" max="16383" man="1"/>
    <brk id="296" max="16383" man="1"/>
    <brk id="368" max="16383" man="1"/>
    <brk id="440" max="12" man="1"/>
    <brk id="512" max="12" man="1"/>
    <brk id="584" max="12" man="1"/>
    <brk id="656" max="12" man="1"/>
    <brk id="728" max="12" man="1"/>
    <brk id="800" max="12" man="1"/>
  </rowBreak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49"/>
  <sheetViews>
    <sheetView showGridLines="0" showRowColHeaders="0" zoomScale="130" zoomScaleNormal="130" workbookViewId="0">
      <pane xSplit="1" ySplit="8" topLeftCell="B9" activePane="bottomRight" state="frozen"/>
      <selection activeCell="B5" sqref="B5"/>
      <selection pane="topRight" activeCell="B5" sqref="B5"/>
      <selection pane="bottomLeft" activeCell="B5" sqref="B5"/>
      <selection pane="bottomRight"/>
    </sheetView>
  </sheetViews>
  <sheetFormatPr baseColWidth="10" defaultColWidth="0" defaultRowHeight="11.25" customHeight="1" zeroHeight="1" x14ac:dyDescent="0.25"/>
  <cols>
    <col min="1" max="1" width="17.7109375" style="258" customWidth="1"/>
    <col min="2" max="2" width="11.28515625" style="258" customWidth="1"/>
    <col min="3" max="8" width="10.5703125" style="258" customWidth="1"/>
    <col min="9" max="9" width="0.85546875" style="258" customWidth="1"/>
    <col min="10" max="16384" width="11.5703125" style="258" hidden="1"/>
  </cols>
  <sheetData>
    <row r="1" spans="1:8" s="256" customFormat="1" ht="12" customHeight="1" x14ac:dyDescent="0.2">
      <c r="A1" s="254" t="s">
        <v>204</v>
      </c>
      <c r="B1" s="255"/>
      <c r="C1" s="255"/>
      <c r="D1" s="255"/>
      <c r="E1" s="255"/>
      <c r="F1" s="255"/>
      <c r="G1" s="255"/>
      <c r="H1" s="754" t="s">
        <v>205</v>
      </c>
    </row>
    <row r="2" spans="1:8" s="256" customFormat="1" ht="12" customHeight="1" x14ac:dyDescent="0.25">
      <c r="A2" s="56" t="s">
        <v>185</v>
      </c>
      <c r="B2" s="255"/>
      <c r="C2" s="255"/>
      <c r="D2" s="255"/>
      <c r="E2" s="255"/>
      <c r="F2" s="255"/>
      <c r="G2" s="255"/>
      <c r="H2" s="255"/>
    </row>
    <row r="3" spans="1:8" ht="3" customHeight="1" x14ac:dyDescent="0.25">
      <c r="A3" s="257"/>
      <c r="B3" s="257"/>
      <c r="C3" s="257"/>
      <c r="D3" s="257"/>
      <c r="E3" s="257"/>
      <c r="F3" s="257"/>
      <c r="G3" s="257"/>
      <c r="H3" s="257"/>
    </row>
    <row r="4" spans="1:8" ht="3" customHeight="1" x14ac:dyDescent="0.25">
      <c r="A4" s="259"/>
      <c r="B4" s="259"/>
      <c r="C4" s="259"/>
      <c r="D4" s="259"/>
      <c r="E4" s="259"/>
      <c r="F4" s="259"/>
      <c r="G4" s="259"/>
      <c r="H4" s="259"/>
    </row>
    <row r="5" spans="1:8" s="260" customFormat="1" ht="9" customHeight="1" x14ac:dyDescent="0.25">
      <c r="A5" s="812" t="s">
        <v>4</v>
      </c>
      <c r="B5" s="810" t="s">
        <v>206</v>
      </c>
      <c r="C5" s="810" t="s">
        <v>207</v>
      </c>
      <c r="D5" s="810" t="s">
        <v>208</v>
      </c>
      <c r="E5" s="810" t="s">
        <v>209</v>
      </c>
      <c r="F5" s="810" t="s">
        <v>210</v>
      </c>
      <c r="G5" s="810" t="s">
        <v>211</v>
      </c>
      <c r="H5" s="810" t="s">
        <v>212</v>
      </c>
    </row>
    <row r="6" spans="1:8" s="260" customFormat="1" ht="9" customHeight="1" x14ac:dyDescent="0.25">
      <c r="A6" s="813"/>
      <c r="B6" s="811"/>
      <c r="C6" s="811"/>
      <c r="D6" s="811"/>
      <c r="E6" s="811"/>
      <c r="F6" s="811"/>
      <c r="G6" s="811"/>
      <c r="H6" s="811"/>
    </row>
    <row r="7" spans="1:8" s="260" customFormat="1" ht="8.65" customHeight="1" x14ac:dyDescent="0.15">
      <c r="A7" s="813"/>
      <c r="B7" s="756"/>
      <c r="C7" s="756"/>
      <c r="D7" s="756"/>
      <c r="E7" s="811"/>
      <c r="F7" s="756"/>
      <c r="G7" s="756"/>
      <c r="H7" s="756"/>
    </row>
    <row r="8" spans="1:8" ht="3" customHeight="1" x14ac:dyDescent="0.25">
      <c r="A8" s="257"/>
      <c r="B8" s="257"/>
      <c r="C8" s="257"/>
      <c r="D8" s="257"/>
      <c r="E8" s="257"/>
      <c r="F8" s="257"/>
      <c r="G8" s="257"/>
      <c r="H8" s="257"/>
    </row>
    <row r="9" spans="1:8" ht="3" customHeight="1" x14ac:dyDescent="0.25">
      <c r="A9" s="259"/>
      <c r="B9" s="259"/>
      <c r="C9" s="259"/>
      <c r="D9" s="259"/>
      <c r="E9" s="259"/>
      <c r="F9" s="259"/>
      <c r="G9" s="259"/>
      <c r="H9" s="259"/>
    </row>
    <row r="10" spans="1:8" s="263" customFormat="1" ht="9" customHeight="1" x14ac:dyDescent="0.25">
      <c r="A10" s="261">
        <v>1995</v>
      </c>
      <c r="B10" s="262"/>
      <c r="C10" s="262"/>
      <c r="D10" s="262"/>
      <c r="E10" s="262"/>
      <c r="F10" s="262"/>
      <c r="G10" s="262"/>
      <c r="H10" s="262"/>
    </row>
    <row r="11" spans="1:8" s="265" customFormat="1" ht="9" customHeight="1" x14ac:dyDescent="0.25">
      <c r="A11" s="264" t="s">
        <v>21</v>
      </c>
      <c r="B11" s="262">
        <f t="shared" ref="B11:H11" si="0">SUM(B13:B44)</f>
        <v>76626</v>
      </c>
      <c r="C11" s="262">
        <f t="shared" si="0"/>
        <v>58506</v>
      </c>
      <c r="D11" s="262">
        <f t="shared" si="0"/>
        <v>43670</v>
      </c>
      <c r="E11" s="262">
        <f t="shared" si="0"/>
        <v>1608</v>
      </c>
      <c r="F11" s="262">
        <f t="shared" si="0"/>
        <v>2424</v>
      </c>
      <c r="G11" s="262">
        <f t="shared" si="0"/>
        <v>2590</v>
      </c>
      <c r="H11" s="262">
        <f t="shared" si="0"/>
        <v>5781</v>
      </c>
    </row>
    <row r="12" spans="1:8" s="265" customFormat="1" ht="3.95" customHeight="1" x14ac:dyDescent="0.25">
      <c r="A12" s="264"/>
      <c r="B12" s="262"/>
      <c r="C12" s="262"/>
      <c r="D12" s="262"/>
      <c r="E12" s="262"/>
      <c r="F12" s="262"/>
      <c r="G12" s="262"/>
      <c r="H12" s="262"/>
    </row>
    <row r="13" spans="1:8" s="263" customFormat="1" ht="8.65" customHeight="1" x14ac:dyDescent="0.25">
      <c r="A13" s="263" t="s">
        <v>23</v>
      </c>
      <c r="B13" s="266">
        <v>850</v>
      </c>
      <c r="C13" s="266">
        <v>522</v>
      </c>
      <c r="D13" s="266">
        <v>377</v>
      </c>
      <c r="E13" s="266">
        <v>11</v>
      </c>
      <c r="F13" s="266">
        <v>23</v>
      </c>
      <c r="G13" s="266">
        <v>28</v>
      </c>
      <c r="H13" s="266">
        <v>57</v>
      </c>
    </row>
    <row r="14" spans="1:8" s="263" customFormat="1" ht="8.65" customHeight="1" x14ac:dyDescent="0.25">
      <c r="A14" s="263" t="s">
        <v>24</v>
      </c>
      <c r="B14" s="266">
        <v>1469</v>
      </c>
      <c r="C14" s="266">
        <v>807</v>
      </c>
      <c r="D14" s="266">
        <v>784</v>
      </c>
      <c r="E14" s="266">
        <v>29</v>
      </c>
      <c r="F14" s="266">
        <v>49</v>
      </c>
      <c r="G14" s="266">
        <v>59</v>
      </c>
      <c r="H14" s="266">
        <v>73</v>
      </c>
    </row>
    <row r="15" spans="1:8" s="263" customFormat="1" ht="8.65" customHeight="1" x14ac:dyDescent="0.25">
      <c r="A15" s="263" t="s">
        <v>25</v>
      </c>
      <c r="B15" s="266">
        <v>523</v>
      </c>
      <c r="C15" s="266">
        <v>415</v>
      </c>
      <c r="D15" s="266">
        <v>351</v>
      </c>
      <c r="E15" s="266">
        <v>21</v>
      </c>
      <c r="F15" s="266">
        <v>27</v>
      </c>
      <c r="G15" s="266">
        <v>23</v>
      </c>
      <c r="H15" s="266">
        <v>51</v>
      </c>
    </row>
    <row r="16" spans="1:8" s="263" customFormat="1" ht="8.65" customHeight="1" x14ac:dyDescent="0.25">
      <c r="A16" s="267" t="s">
        <v>26</v>
      </c>
      <c r="B16" s="268">
        <v>465</v>
      </c>
      <c r="C16" s="268">
        <v>468</v>
      </c>
      <c r="D16" s="268">
        <v>375</v>
      </c>
      <c r="E16" s="268">
        <v>18</v>
      </c>
      <c r="F16" s="268">
        <v>22</v>
      </c>
      <c r="G16" s="268">
        <v>20</v>
      </c>
      <c r="H16" s="268">
        <v>56</v>
      </c>
    </row>
    <row r="17" spans="1:8" s="263" customFormat="1" ht="8.65" customHeight="1" x14ac:dyDescent="0.25">
      <c r="A17" s="263" t="s">
        <v>27</v>
      </c>
      <c r="B17" s="266">
        <v>2495</v>
      </c>
      <c r="C17" s="266">
        <v>1414</v>
      </c>
      <c r="D17" s="266">
        <v>1246</v>
      </c>
      <c r="E17" s="266">
        <v>49</v>
      </c>
      <c r="F17" s="266">
        <v>74</v>
      </c>
      <c r="G17" s="266">
        <v>90</v>
      </c>
      <c r="H17" s="266">
        <v>92</v>
      </c>
    </row>
    <row r="18" spans="1:8" s="263" customFormat="1" ht="8.65" customHeight="1" x14ac:dyDescent="0.25">
      <c r="A18" s="263" t="s">
        <v>28</v>
      </c>
      <c r="B18" s="266">
        <v>448</v>
      </c>
      <c r="C18" s="266">
        <v>586</v>
      </c>
      <c r="D18" s="266">
        <v>352</v>
      </c>
      <c r="E18" s="266">
        <v>12</v>
      </c>
      <c r="F18" s="266">
        <v>21</v>
      </c>
      <c r="G18" s="266">
        <v>13</v>
      </c>
      <c r="H18" s="266">
        <v>78</v>
      </c>
    </row>
    <row r="19" spans="1:8" s="263" customFormat="1" ht="8.65" customHeight="1" x14ac:dyDescent="0.25">
      <c r="A19" s="263" t="s">
        <v>29</v>
      </c>
      <c r="B19" s="266">
        <v>1514</v>
      </c>
      <c r="C19" s="266">
        <v>2258</v>
      </c>
      <c r="D19" s="266">
        <v>1588</v>
      </c>
      <c r="E19" s="266">
        <v>51</v>
      </c>
      <c r="F19" s="266">
        <v>72</v>
      </c>
      <c r="G19" s="266">
        <v>61</v>
      </c>
      <c r="H19" s="266">
        <v>141</v>
      </c>
    </row>
    <row r="20" spans="1:8" s="263" customFormat="1" ht="8.65" customHeight="1" x14ac:dyDescent="0.25">
      <c r="A20" s="267" t="s">
        <v>30</v>
      </c>
      <c r="B20" s="268">
        <v>2183</v>
      </c>
      <c r="C20" s="268">
        <v>1626</v>
      </c>
      <c r="D20" s="268">
        <v>1154</v>
      </c>
      <c r="E20" s="268">
        <v>60</v>
      </c>
      <c r="F20" s="268">
        <v>70</v>
      </c>
      <c r="G20" s="268">
        <v>72</v>
      </c>
      <c r="H20" s="268">
        <v>143</v>
      </c>
    </row>
    <row r="21" spans="1:8" s="263" customFormat="1" ht="8.65" customHeight="1" x14ac:dyDescent="0.25">
      <c r="A21" s="263" t="s">
        <v>63</v>
      </c>
      <c r="B21" s="266">
        <v>18207</v>
      </c>
      <c r="C21" s="266">
        <v>6569</v>
      </c>
      <c r="D21" s="266">
        <v>7018</v>
      </c>
      <c r="E21" s="266">
        <v>286</v>
      </c>
      <c r="F21" s="266">
        <v>637</v>
      </c>
      <c r="G21" s="266">
        <v>611</v>
      </c>
      <c r="H21" s="266">
        <v>113</v>
      </c>
    </row>
    <row r="22" spans="1:8" s="263" customFormat="1" ht="8.65" customHeight="1" x14ac:dyDescent="0.25">
      <c r="A22" s="263" t="s">
        <v>31</v>
      </c>
      <c r="B22" s="266">
        <v>1245</v>
      </c>
      <c r="C22" s="266">
        <v>1442</v>
      </c>
      <c r="D22" s="266">
        <v>810</v>
      </c>
      <c r="E22" s="266">
        <v>27</v>
      </c>
      <c r="F22" s="266">
        <v>32</v>
      </c>
      <c r="G22" s="266">
        <v>34</v>
      </c>
      <c r="H22" s="266">
        <v>115</v>
      </c>
    </row>
    <row r="23" spans="1:8" s="263" customFormat="1" ht="8.65" customHeight="1" x14ac:dyDescent="0.25">
      <c r="A23" s="263" t="s">
        <v>32</v>
      </c>
      <c r="B23" s="266">
        <v>2544</v>
      </c>
      <c r="C23" s="266">
        <v>2510</v>
      </c>
      <c r="D23" s="266">
        <v>1392</v>
      </c>
      <c r="E23" s="266">
        <v>44</v>
      </c>
      <c r="F23" s="266">
        <v>75</v>
      </c>
      <c r="G23" s="266">
        <v>78</v>
      </c>
      <c r="H23" s="266">
        <v>366</v>
      </c>
    </row>
    <row r="24" spans="1:8" s="263" customFormat="1" ht="8.65" customHeight="1" x14ac:dyDescent="0.25">
      <c r="A24" s="267" t="s">
        <v>33</v>
      </c>
      <c r="B24" s="268">
        <v>1314</v>
      </c>
      <c r="C24" s="268">
        <v>2486</v>
      </c>
      <c r="D24" s="268">
        <v>1383</v>
      </c>
      <c r="E24" s="268">
        <v>57</v>
      </c>
      <c r="F24" s="268">
        <v>55</v>
      </c>
      <c r="G24" s="268">
        <v>45</v>
      </c>
      <c r="H24" s="268">
        <v>494</v>
      </c>
    </row>
    <row r="25" spans="1:8" s="263" customFormat="1" ht="8.65" customHeight="1" x14ac:dyDescent="0.25">
      <c r="A25" s="263" t="s">
        <v>34</v>
      </c>
      <c r="B25" s="266">
        <v>1169</v>
      </c>
      <c r="C25" s="266">
        <v>1904</v>
      </c>
      <c r="D25" s="266">
        <v>1076</v>
      </c>
      <c r="E25" s="266">
        <v>34</v>
      </c>
      <c r="F25" s="266">
        <v>35</v>
      </c>
      <c r="G25" s="266">
        <v>30</v>
      </c>
      <c r="H25" s="266">
        <v>298</v>
      </c>
    </row>
    <row r="26" spans="1:8" s="263" customFormat="1" ht="8.65" customHeight="1" x14ac:dyDescent="0.25">
      <c r="A26" s="263" t="s">
        <v>35</v>
      </c>
      <c r="B26" s="266">
        <v>6008</v>
      </c>
      <c r="C26" s="266">
        <v>4363</v>
      </c>
      <c r="D26" s="266">
        <v>2749</v>
      </c>
      <c r="E26" s="266">
        <v>93</v>
      </c>
      <c r="F26" s="266">
        <v>134</v>
      </c>
      <c r="G26" s="266">
        <v>209</v>
      </c>
      <c r="H26" s="266">
        <v>466</v>
      </c>
    </row>
    <row r="27" spans="1:8" s="263" customFormat="1" ht="8.65" customHeight="1" x14ac:dyDescent="0.25">
      <c r="A27" s="263" t="s">
        <v>36</v>
      </c>
      <c r="B27" s="266">
        <v>6723</v>
      </c>
      <c r="C27" s="266">
        <v>4102</v>
      </c>
      <c r="D27" s="266">
        <v>3849</v>
      </c>
      <c r="E27" s="266">
        <v>116</v>
      </c>
      <c r="F27" s="266">
        <v>171</v>
      </c>
      <c r="G27" s="266">
        <v>160</v>
      </c>
      <c r="H27" s="266">
        <v>392</v>
      </c>
    </row>
    <row r="28" spans="1:8" s="263" customFormat="1" ht="8.65" customHeight="1" x14ac:dyDescent="0.25">
      <c r="A28" s="267" t="s">
        <v>37</v>
      </c>
      <c r="B28" s="268">
        <v>1975</v>
      </c>
      <c r="C28" s="268">
        <v>2763</v>
      </c>
      <c r="D28" s="268">
        <v>1528</v>
      </c>
      <c r="E28" s="268">
        <v>55</v>
      </c>
      <c r="F28" s="268">
        <v>72</v>
      </c>
      <c r="G28" s="268">
        <v>86</v>
      </c>
      <c r="H28" s="268">
        <v>228</v>
      </c>
    </row>
    <row r="29" spans="1:8" s="263" customFormat="1" ht="8.65" customHeight="1" x14ac:dyDescent="0.25">
      <c r="A29" s="263" t="s">
        <v>38</v>
      </c>
      <c r="B29" s="266">
        <v>803</v>
      </c>
      <c r="C29" s="266">
        <v>971</v>
      </c>
      <c r="D29" s="266">
        <v>597</v>
      </c>
      <c r="E29" s="266">
        <v>21</v>
      </c>
      <c r="F29" s="266">
        <v>27</v>
      </c>
      <c r="G29" s="266">
        <v>32</v>
      </c>
      <c r="H29" s="266">
        <v>118</v>
      </c>
    </row>
    <row r="30" spans="1:8" s="263" customFormat="1" ht="8.65" customHeight="1" x14ac:dyDescent="0.25">
      <c r="A30" s="263" t="s">
        <v>39</v>
      </c>
      <c r="B30" s="266">
        <v>677</v>
      </c>
      <c r="C30" s="266">
        <v>839</v>
      </c>
      <c r="D30" s="266">
        <v>529</v>
      </c>
      <c r="E30" s="266">
        <v>20</v>
      </c>
      <c r="F30" s="266">
        <v>22</v>
      </c>
      <c r="G30" s="266">
        <v>28</v>
      </c>
      <c r="H30" s="266">
        <v>101</v>
      </c>
    </row>
    <row r="31" spans="1:8" s="263" customFormat="1" ht="8.65" customHeight="1" x14ac:dyDescent="0.25">
      <c r="A31" s="263" t="s">
        <v>40</v>
      </c>
      <c r="B31" s="266">
        <v>3738</v>
      </c>
      <c r="C31" s="266">
        <v>1884</v>
      </c>
      <c r="D31" s="266">
        <v>1952</v>
      </c>
      <c r="E31" s="266">
        <v>67</v>
      </c>
      <c r="F31" s="266">
        <v>117</v>
      </c>
      <c r="G31" s="266">
        <v>98</v>
      </c>
      <c r="H31" s="266">
        <v>78</v>
      </c>
    </row>
    <row r="32" spans="1:8" s="263" customFormat="1" ht="8.65" customHeight="1" x14ac:dyDescent="0.25">
      <c r="A32" s="267" t="s">
        <v>41</v>
      </c>
      <c r="B32" s="268">
        <v>1500</v>
      </c>
      <c r="C32" s="268">
        <v>2462</v>
      </c>
      <c r="D32" s="268">
        <v>1520</v>
      </c>
      <c r="E32" s="268">
        <v>40</v>
      </c>
      <c r="F32" s="268">
        <v>46</v>
      </c>
      <c r="G32" s="268">
        <v>53</v>
      </c>
      <c r="H32" s="268">
        <v>298</v>
      </c>
    </row>
    <row r="33" spans="1:8" s="263" customFormat="1" ht="8.65" customHeight="1" x14ac:dyDescent="0.25">
      <c r="A33" s="263" t="s">
        <v>42</v>
      </c>
      <c r="B33" s="266">
        <v>3072</v>
      </c>
      <c r="C33" s="266">
        <v>2615</v>
      </c>
      <c r="D33" s="266">
        <v>1677</v>
      </c>
      <c r="E33" s="266">
        <v>57</v>
      </c>
      <c r="F33" s="266">
        <v>90</v>
      </c>
      <c r="G33" s="266">
        <v>104</v>
      </c>
      <c r="H33" s="266">
        <v>270</v>
      </c>
    </row>
    <row r="34" spans="1:8" s="263" customFormat="1" ht="8.65" customHeight="1" x14ac:dyDescent="0.25">
      <c r="A34" s="263" t="s">
        <v>43</v>
      </c>
      <c r="B34" s="266">
        <v>712</v>
      </c>
      <c r="C34" s="266">
        <v>973</v>
      </c>
      <c r="D34" s="266">
        <v>602</v>
      </c>
      <c r="E34" s="266">
        <v>16</v>
      </c>
      <c r="F34" s="266">
        <v>32</v>
      </c>
      <c r="G34" s="266">
        <v>26</v>
      </c>
      <c r="H34" s="266">
        <v>165</v>
      </c>
    </row>
    <row r="35" spans="1:8" s="263" customFormat="1" ht="8.65" customHeight="1" x14ac:dyDescent="0.25">
      <c r="A35" s="263" t="s">
        <v>44</v>
      </c>
      <c r="B35" s="266">
        <v>406</v>
      </c>
      <c r="C35" s="266">
        <v>423</v>
      </c>
      <c r="D35" s="266">
        <v>342</v>
      </c>
      <c r="E35" s="266">
        <v>24</v>
      </c>
      <c r="F35" s="266">
        <v>17</v>
      </c>
      <c r="G35" s="266">
        <v>26</v>
      </c>
      <c r="H35" s="266">
        <v>70</v>
      </c>
    </row>
    <row r="36" spans="1:8" s="263" customFormat="1" ht="8.65" customHeight="1" x14ac:dyDescent="0.25">
      <c r="A36" s="267" t="s">
        <v>45</v>
      </c>
      <c r="B36" s="268">
        <v>1480</v>
      </c>
      <c r="C36" s="268">
        <v>1235</v>
      </c>
      <c r="D36" s="268">
        <v>937</v>
      </c>
      <c r="E36" s="268">
        <v>30</v>
      </c>
      <c r="F36" s="268">
        <v>38</v>
      </c>
      <c r="G36" s="268">
        <v>39</v>
      </c>
      <c r="H36" s="268">
        <v>120</v>
      </c>
    </row>
    <row r="37" spans="1:8" s="263" customFormat="1" ht="8.65" customHeight="1" x14ac:dyDescent="0.25">
      <c r="A37" s="263" t="s">
        <v>46</v>
      </c>
      <c r="B37" s="266">
        <v>1924</v>
      </c>
      <c r="C37" s="266">
        <v>1618</v>
      </c>
      <c r="D37" s="266">
        <v>1185</v>
      </c>
      <c r="E37" s="266">
        <v>40</v>
      </c>
      <c r="F37" s="266">
        <v>66</v>
      </c>
      <c r="G37" s="266">
        <v>77</v>
      </c>
      <c r="H37" s="266">
        <v>169</v>
      </c>
    </row>
    <row r="38" spans="1:8" s="263" customFormat="1" ht="8.65" customHeight="1" x14ac:dyDescent="0.25">
      <c r="A38" s="263" t="s">
        <v>47</v>
      </c>
      <c r="B38" s="266">
        <v>2339</v>
      </c>
      <c r="C38" s="266">
        <v>1621</v>
      </c>
      <c r="D38" s="266">
        <v>1156</v>
      </c>
      <c r="E38" s="266">
        <v>60</v>
      </c>
      <c r="F38" s="266">
        <v>79</v>
      </c>
      <c r="G38" s="266">
        <v>92</v>
      </c>
      <c r="H38" s="266">
        <v>203</v>
      </c>
    </row>
    <row r="39" spans="1:8" s="263" customFormat="1" ht="8.65" customHeight="1" x14ac:dyDescent="0.25">
      <c r="A39" s="263" t="s">
        <v>48</v>
      </c>
      <c r="B39" s="266">
        <v>1298</v>
      </c>
      <c r="C39" s="266">
        <v>1624</v>
      </c>
      <c r="D39" s="266">
        <v>1110</v>
      </c>
      <c r="E39" s="266">
        <v>50</v>
      </c>
      <c r="F39" s="266">
        <v>43</v>
      </c>
      <c r="G39" s="266">
        <v>55</v>
      </c>
      <c r="H39" s="266">
        <v>227</v>
      </c>
    </row>
    <row r="40" spans="1:8" s="263" customFormat="1" ht="8.65" customHeight="1" x14ac:dyDescent="0.25">
      <c r="A40" s="267" t="s">
        <v>49</v>
      </c>
      <c r="B40" s="268">
        <v>2624</v>
      </c>
      <c r="C40" s="268">
        <v>1626</v>
      </c>
      <c r="D40" s="268">
        <v>1363</v>
      </c>
      <c r="E40" s="268">
        <v>54</v>
      </c>
      <c r="F40" s="268">
        <v>80</v>
      </c>
      <c r="G40" s="268">
        <v>89</v>
      </c>
      <c r="H40" s="268">
        <v>126</v>
      </c>
    </row>
    <row r="41" spans="1:8" s="263" customFormat="1" ht="8.65" customHeight="1" x14ac:dyDescent="0.25">
      <c r="A41" s="263" t="s">
        <v>50</v>
      </c>
      <c r="B41" s="266">
        <v>412</v>
      </c>
      <c r="C41" s="266">
        <v>680</v>
      </c>
      <c r="D41" s="266">
        <v>344</v>
      </c>
      <c r="E41" s="266">
        <v>11</v>
      </c>
      <c r="F41" s="266">
        <v>16</v>
      </c>
      <c r="G41" s="266">
        <v>11</v>
      </c>
      <c r="H41" s="266">
        <v>127</v>
      </c>
    </row>
    <row r="42" spans="1:8" s="263" customFormat="1" ht="8.65" customHeight="1" x14ac:dyDescent="0.25">
      <c r="A42" s="263" t="s">
        <v>51</v>
      </c>
      <c r="B42" s="266">
        <v>4327</v>
      </c>
      <c r="C42" s="266">
        <v>3693</v>
      </c>
      <c r="D42" s="266">
        <v>3014</v>
      </c>
      <c r="E42" s="266">
        <v>92</v>
      </c>
      <c r="F42" s="266">
        <v>114</v>
      </c>
      <c r="G42" s="266">
        <v>172</v>
      </c>
      <c r="H42" s="266">
        <v>332</v>
      </c>
    </row>
    <row r="43" spans="1:8" s="263" customFormat="1" ht="8.65" customHeight="1" x14ac:dyDescent="0.25">
      <c r="A43" s="263" t="s">
        <v>52</v>
      </c>
      <c r="B43" s="266">
        <v>1562</v>
      </c>
      <c r="C43" s="266">
        <v>923</v>
      </c>
      <c r="D43" s="266">
        <v>661</v>
      </c>
      <c r="E43" s="266">
        <v>36</v>
      </c>
      <c r="F43" s="266">
        <v>43</v>
      </c>
      <c r="G43" s="266">
        <v>43</v>
      </c>
      <c r="H43" s="266">
        <v>89</v>
      </c>
    </row>
    <row r="44" spans="1:8" s="263" customFormat="1" ht="8.65" customHeight="1" x14ac:dyDescent="0.25">
      <c r="A44" s="267" t="s">
        <v>53</v>
      </c>
      <c r="B44" s="268">
        <v>620</v>
      </c>
      <c r="C44" s="268">
        <v>1084</v>
      </c>
      <c r="D44" s="268">
        <v>649</v>
      </c>
      <c r="E44" s="268">
        <v>27</v>
      </c>
      <c r="F44" s="268">
        <v>25</v>
      </c>
      <c r="G44" s="268">
        <v>26</v>
      </c>
      <c r="H44" s="268">
        <v>125</v>
      </c>
    </row>
    <row r="45" spans="1:8" s="263" customFormat="1" ht="9" customHeight="1" x14ac:dyDescent="0.25">
      <c r="A45" s="269"/>
      <c r="B45" s="270"/>
      <c r="C45" s="270"/>
      <c r="D45" s="270"/>
      <c r="E45" s="270"/>
      <c r="F45" s="270"/>
      <c r="G45" s="270"/>
      <c r="H45" s="270"/>
    </row>
    <row r="46" spans="1:8" s="263" customFormat="1" ht="9" customHeight="1" x14ac:dyDescent="0.25">
      <c r="A46" s="261">
        <v>1996</v>
      </c>
      <c r="B46" s="262"/>
      <c r="C46" s="262"/>
      <c r="D46" s="262"/>
      <c r="E46" s="262"/>
      <c r="F46" s="262"/>
      <c r="G46" s="262"/>
      <c r="H46" s="262"/>
    </row>
    <row r="47" spans="1:8" s="263" customFormat="1" ht="9" customHeight="1" x14ac:dyDescent="0.25">
      <c r="A47" s="264" t="s">
        <v>21</v>
      </c>
      <c r="B47" s="262">
        <f t="shared" ref="B47:H47" si="1">SUM(B49:B80)</f>
        <v>75856</v>
      </c>
      <c r="C47" s="262">
        <f t="shared" si="1"/>
        <v>57855</v>
      </c>
      <c r="D47" s="262">
        <f t="shared" si="1"/>
        <v>45163</v>
      </c>
      <c r="E47" s="262">
        <f t="shared" si="1"/>
        <v>1590</v>
      </c>
      <c r="F47" s="262">
        <f t="shared" si="1"/>
        <v>1857</v>
      </c>
      <c r="G47" s="262">
        <f t="shared" si="1"/>
        <v>2568</v>
      </c>
      <c r="H47" s="262">
        <f t="shared" si="1"/>
        <v>5911</v>
      </c>
    </row>
    <row r="48" spans="1:8" s="263" customFormat="1" ht="3.95" customHeight="1" x14ac:dyDescent="0.25">
      <c r="A48" s="265"/>
      <c r="B48" s="262"/>
      <c r="C48" s="262"/>
      <c r="D48" s="262"/>
      <c r="E48" s="262"/>
      <c r="F48" s="262"/>
      <c r="G48" s="262"/>
      <c r="H48" s="262"/>
    </row>
    <row r="49" spans="1:8" s="263" customFormat="1" ht="8.65" customHeight="1" x14ac:dyDescent="0.25">
      <c r="A49" s="263" t="s">
        <v>23</v>
      </c>
      <c r="B49" s="266">
        <v>787</v>
      </c>
      <c r="C49" s="266">
        <v>491</v>
      </c>
      <c r="D49" s="266">
        <v>402</v>
      </c>
      <c r="E49" s="266">
        <v>11</v>
      </c>
      <c r="F49" s="266">
        <v>18</v>
      </c>
      <c r="G49" s="266">
        <v>29</v>
      </c>
      <c r="H49" s="266">
        <v>59</v>
      </c>
    </row>
    <row r="50" spans="1:8" s="263" customFormat="1" ht="8.65" customHeight="1" x14ac:dyDescent="0.25">
      <c r="A50" s="263" t="s">
        <v>24</v>
      </c>
      <c r="B50" s="266">
        <v>1483</v>
      </c>
      <c r="C50" s="266">
        <v>759</v>
      </c>
      <c r="D50" s="266">
        <v>818</v>
      </c>
      <c r="E50" s="266">
        <v>32</v>
      </c>
      <c r="F50" s="266">
        <v>36</v>
      </c>
      <c r="G50" s="266">
        <v>60</v>
      </c>
      <c r="H50" s="266">
        <v>67</v>
      </c>
    </row>
    <row r="51" spans="1:8" s="263" customFormat="1" ht="8.65" customHeight="1" x14ac:dyDescent="0.25">
      <c r="A51" s="263" t="s">
        <v>25</v>
      </c>
      <c r="B51" s="266">
        <v>530</v>
      </c>
      <c r="C51" s="266">
        <v>365</v>
      </c>
      <c r="D51" s="266">
        <v>347</v>
      </c>
      <c r="E51" s="266">
        <v>19</v>
      </c>
      <c r="F51" s="266">
        <v>19</v>
      </c>
      <c r="G51" s="266">
        <v>23</v>
      </c>
      <c r="H51" s="266">
        <v>54</v>
      </c>
    </row>
    <row r="52" spans="1:8" s="263" customFormat="1" ht="8.65" customHeight="1" x14ac:dyDescent="0.25">
      <c r="A52" s="267" t="s">
        <v>26</v>
      </c>
      <c r="B52" s="268">
        <v>476</v>
      </c>
      <c r="C52" s="268">
        <v>513</v>
      </c>
      <c r="D52" s="268">
        <v>408</v>
      </c>
      <c r="E52" s="268">
        <v>18</v>
      </c>
      <c r="F52" s="268">
        <v>17</v>
      </c>
      <c r="G52" s="268">
        <v>22</v>
      </c>
      <c r="H52" s="268">
        <v>52</v>
      </c>
    </row>
    <row r="53" spans="1:8" s="263" customFormat="1" ht="8.65" customHeight="1" x14ac:dyDescent="0.25">
      <c r="A53" s="263" t="s">
        <v>27</v>
      </c>
      <c r="B53" s="266">
        <v>2493</v>
      </c>
      <c r="C53" s="266">
        <v>1348</v>
      </c>
      <c r="D53" s="266">
        <v>1300</v>
      </c>
      <c r="E53" s="266">
        <v>53</v>
      </c>
      <c r="F53" s="266">
        <v>62</v>
      </c>
      <c r="G53" s="266">
        <v>91</v>
      </c>
      <c r="H53" s="266">
        <v>100</v>
      </c>
    </row>
    <row r="54" spans="1:8" s="263" customFormat="1" ht="8.65" customHeight="1" x14ac:dyDescent="0.25">
      <c r="A54" s="263" t="s">
        <v>28</v>
      </c>
      <c r="B54" s="266">
        <v>443</v>
      </c>
      <c r="C54" s="266">
        <v>571</v>
      </c>
      <c r="D54" s="266">
        <v>356</v>
      </c>
      <c r="E54" s="266">
        <v>13</v>
      </c>
      <c r="F54" s="266">
        <v>18</v>
      </c>
      <c r="G54" s="266">
        <v>14</v>
      </c>
      <c r="H54" s="266">
        <v>77</v>
      </c>
    </row>
    <row r="55" spans="1:8" s="263" customFormat="1" ht="8.65" customHeight="1" x14ac:dyDescent="0.25">
      <c r="A55" s="263" t="s">
        <v>29</v>
      </c>
      <c r="B55" s="266">
        <v>1555</v>
      </c>
      <c r="C55" s="266">
        <v>2295</v>
      </c>
      <c r="D55" s="266">
        <v>1717</v>
      </c>
      <c r="E55" s="266">
        <v>49</v>
      </c>
      <c r="F55" s="266">
        <v>50</v>
      </c>
      <c r="G55" s="266">
        <v>55</v>
      </c>
      <c r="H55" s="266">
        <v>163</v>
      </c>
    </row>
    <row r="56" spans="1:8" s="263" customFormat="1" ht="8.65" customHeight="1" x14ac:dyDescent="0.25">
      <c r="A56" s="267" t="s">
        <v>30</v>
      </c>
      <c r="B56" s="268">
        <v>2236</v>
      </c>
      <c r="C56" s="268">
        <v>1639</v>
      </c>
      <c r="D56" s="268">
        <v>1241</v>
      </c>
      <c r="E56" s="268">
        <v>50</v>
      </c>
      <c r="F56" s="268">
        <v>60</v>
      </c>
      <c r="G56" s="268">
        <v>72</v>
      </c>
      <c r="H56" s="268">
        <v>145</v>
      </c>
    </row>
    <row r="57" spans="1:8" s="263" customFormat="1" ht="8.65" customHeight="1" x14ac:dyDescent="0.25">
      <c r="A57" s="263" t="s">
        <v>63</v>
      </c>
      <c r="B57" s="266">
        <v>17288</v>
      </c>
      <c r="C57" s="266">
        <v>6276</v>
      </c>
      <c r="D57" s="266">
        <v>6986</v>
      </c>
      <c r="E57" s="266">
        <v>248</v>
      </c>
      <c r="F57" s="266">
        <v>430</v>
      </c>
      <c r="G57" s="266">
        <v>562</v>
      </c>
      <c r="H57" s="266">
        <v>108</v>
      </c>
    </row>
    <row r="58" spans="1:8" s="263" customFormat="1" ht="8.65" customHeight="1" x14ac:dyDescent="0.25">
      <c r="A58" s="263" t="s">
        <v>31</v>
      </c>
      <c r="B58" s="266">
        <v>1184</v>
      </c>
      <c r="C58" s="266">
        <v>1470</v>
      </c>
      <c r="D58" s="266">
        <v>815</v>
      </c>
      <c r="E58" s="266">
        <v>29</v>
      </c>
      <c r="F58" s="266">
        <v>28</v>
      </c>
      <c r="G58" s="266">
        <v>35</v>
      </c>
      <c r="H58" s="266">
        <v>114</v>
      </c>
    </row>
    <row r="59" spans="1:8" s="263" customFormat="1" ht="8.65" customHeight="1" x14ac:dyDescent="0.25">
      <c r="A59" s="263" t="s">
        <v>32</v>
      </c>
      <c r="B59" s="266">
        <v>2545</v>
      </c>
      <c r="C59" s="266">
        <v>2397</v>
      </c>
      <c r="D59" s="266">
        <v>1378</v>
      </c>
      <c r="E59" s="266">
        <v>45</v>
      </c>
      <c r="F59" s="266">
        <v>60</v>
      </c>
      <c r="G59" s="266">
        <v>78</v>
      </c>
      <c r="H59" s="266">
        <v>335</v>
      </c>
    </row>
    <row r="60" spans="1:8" s="263" customFormat="1" ht="8.65" customHeight="1" x14ac:dyDescent="0.25">
      <c r="A60" s="267" t="s">
        <v>33</v>
      </c>
      <c r="B60" s="268">
        <v>1322</v>
      </c>
      <c r="C60" s="268">
        <v>2414</v>
      </c>
      <c r="D60" s="268">
        <v>1429</v>
      </c>
      <c r="E60" s="268">
        <v>63</v>
      </c>
      <c r="F60" s="268">
        <v>42</v>
      </c>
      <c r="G60" s="268">
        <v>45</v>
      </c>
      <c r="H60" s="268">
        <v>552</v>
      </c>
    </row>
    <row r="61" spans="1:8" s="263" customFormat="1" ht="8.65" customHeight="1" x14ac:dyDescent="0.25">
      <c r="A61" s="263" t="s">
        <v>34</v>
      </c>
      <c r="B61" s="266">
        <v>1222</v>
      </c>
      <c r="C61" s="266">
        <v>1796</v>
      </c>
      <c r="D61" s="266">
        <v>1083</v>
      </c>
      <c r="E61" s="266">
        <v>36</v>
      </c>
      <c r="F61" s="266">
        <v>23</v>
      </c>
      <c r="G61" s="266">
        <v>31</v>
      </c>
      <c r="H61" s="266">
        <v>313</v>
      </c>
    </row>
    <row r="62" spans="1:8" s="263" customFormat="1" ht="8.65" customHeight="1" x14ac:dyDescent="0.25">
      <c r="A62" s="263" t="s">
        <v>35</v>
      </c>
      <c r="B62" s="266">
        <v>5911</v>
      </c>
      <c r="C62" s="266">
        <v>3955</v>
      </c>
      <c r="D62" s="266">
        <v>2792</v>
      </c>
      <c r="E62" s="266">
        <v>92</v>
      </c>
      <c r="F62" s="266">
        <v>107</v>
      </c>
      <c r="G62" s="266">
        <v>213</v>
      </c>
      <c r="H62" s="266">
        <v>471</v>
      </c>
    </row>
    <row r="63" spans="1:8" s="263" customFormat="1" ht="8.65" customHeight="1" x14ac:dyDescent="0.25">
      <c r="A63" s="263" t="s">
        <v>36</v>
      </c>
      <c r="B63" s="266">
        <v>6875</v>
      </c>
      <c r="C63" s="266">
        <v>4455</v>
      </c>
      <c r="D63" s="266">
        <v>4180</v>
      </c>
      <c r="E63" s="266">
        <v>125</v>
      </c>
      <c r="F63" s="266">
        <v>138</v>
      </c>
      <c r="G63" s="266">
        <v>165</v>
      </c>
      <c r="H63" s="266">
        <v>392</v>
      </c>
    </row>
    <row r="64" spans="1:8" s="263" customFormat="1" ht="8.65" customHeight="1" x14ac:dyDescent="0.25">
      <c r="A64" s="267" t="s">
        <v>37</v>
      </c>
      <c r="B64" s="268">
        <v>1872</v>
      </c>
      <c r="C64" s="268">
        <v>2660</v>
      </c>
      <c r="D64" s="268">
        <v>1561</v>
      </c>
      <c r="E64" s="268">
        <v>53</v>
      </c>
      <c r="F64" s="268">
        <v>51</v>
      </c>
      <c r="G64" s="268">
        <v>74</v>
      </c>
      <c r="H64" s="268">
        <v>226</v>
      </c>
    </row>
    <row r="65" spans="1:8" s="263" customFormat="1" ht="8.65" customHeight="1" x14ac:dyDescent="0.25">
      <c r="A65" s="263" t="s">
        <v>38</v>
      </c>
      <c r="B65" s="266">
        <v>813</v>
      </c>
      <c r="C65" s="266">
        <v>943</v>
      </c>
      <c r="D65" s="266">
        <v>609</v>
      </c>
      <c r="E65" s="266">
        <v>21</v>
      </c>
      <c r="F65" s="266">
        <v>19</v>
      </c>
      <c r="G65" s="266">
        <v>31</v>
      </c>
      <c r="H65" s="266">
        <v>118</v>
      </c>
    </row>
    <row r="66" spans="1:8" s="263" customFormat="1" ht="8.65" customHeight="1" x14ac:dyDescent="0.25">
      <c r="A66" s="263" t="s">
        <v>39</v>
      </c>
      <c r="B66" s="266">
        <v>683</v>
      </c>
      <c r="C66" s="266">
        <v>844</v>
      </c>
      <c r="D66" s="266">
        <v>577</v>
      </c>
      <c r="E66" s="266">
        <v>21</v>
      </c>
      <c r="F66" s="266">
        <v>17</v>
      </c>
      <c r="G66" s="266">
        <v>28</v>
      </c>
      <c r="H66" s="266">
        <v>115</v>
      </c>
    </row>
    <row r="67" spans="1:8" s="263" customFormat="1" ht="8.65" customHeight="1" x14ac:dyDescent="0.25">
      <c r="A67" s="263" t="s">
        <v>40</v>
      </c>
      <c r="B67" s="266">
        <v>3697</v>
      </c>
      <c r="C67" s="266">
        <v>1964</v>
      </c>
      <c r="D67" s="266">
        <v>1985</v>
      </c>
      <c r="E67" s="266">
        <v>66</v>
      </c>
      <c r="F67" s="266">
        <v>89</v>
      </c>
      <c r="G67" s="266">
        <v>110</v>
      </c>
      <c r="H67" s="266">
        <v>81</v>
      </c>
    </row>
    <row r="68" spans="1:8" s="263" customFormat="1" ht="8.65" customHeight="1" x14ac:dyDescent="0.25">
      <c r="A68" s="267" t="s">
        <v>41</v>
      </c>
      <c r="B68" s="268">
        <v>1527</v>
      </c>
      <c r="C68" s="268">
        <v>2582</v>
      </c>
      <c r="D68" s="268">
        <v>1629</v>
      </c>
      <c r="E68" s="268">
        <v>42</v>
      </c>
      <c r="F68" s="268">
        <v>35</v>
      </c>
      <c r="G68" s="268">
        <v>52</v>
      </c>
      <c r="H68" s="268">
        <v>325</v>
      </c>
    </row>
    <row r="69" spans="1:8" s="263" customFormat="1" ht="8.65" customHeight="1" x14ac:dyDescent="0.25">
      <c r="A69" s="263" t="s">
        <v>42</v>
      </c>
      <c r="B69" s="266">
        <v>3173</v>
      </c>
      <c r="C69" s="266">
        <v>2695</v>
      </c>
      <c r="D69" s="266">
        <v>1789</v>
      </c>
      <c r="E69" s="266">
        <v>58</v>
      </c>
      <c r="F69" s="266">
        <v>77</v>
      </c>
      <c r="G69" s="266">
        <v>109</v>
      </c>
      <c r="H69" s="266">
        <v>278</v>
      </c>
    </row>
    <row r="70" spans="1:8" s="263" customFormat="1" ht="8.65" customHeight="1" x14ac:dyDescent="0.25">
      <c r="A70" s="263" t="s">
        <v>43</v>
      </c>
      <c r="B70" s="266">
        <v>737</v>
      </c>
      <c r="C70" s="266">
        <v>990</v>
      </c>
      <c r="D70" s="266">
        <v>615</v>
      </c>
      <c r="E70" s="266">
        <v>16</v>
      </c>
      <c r="F70" s="266">
        <v>20</v>
      </c>
      <c r="G70" s="266">
        <v>30</v>
      </c>
      <c r="H70" s="266">
        <v>159</v>
      </c>
    </row>
    <row r="71" spans="1:8" s="263" customFormat="1" ht="8.65" customHeight="1" x14ac:dyDescent="0.25">
      <c r="A71" s="263" t="s">
        <v>44</v>
      </c>
      <c r="B71" s="266">
        <v>413</v>
      </c>
      <c r="C71" s="266">
        <v>409</v>
      </c>
      <c r="D71" s="266">
        <v>360</v>
      </c>
      <c r="E71" s="266">
        <v>24</v>
      </c>
      <c r="F71" s="266">
        <v>15</v>
      </c>
      <c r="G71" s="266">
        <v>27</v>
      </c>
      <c r="H71" s="266">
        <v>61</v>
      </c>
    </row>
    <row r="72" spans="1:8" s="263" customFormat="1" ht="8.65" customHeight="1" x14ac:dyDescent="0.25">
      <c r="A72" s="267" t="s">
        <v>45</v>
      </c>
      <c r="B72" s="268">
        <v>1511</v>
      </c>
      <c r="C72" s="268">
        <v>1271</v>
      </c>
      <c r="D72" s="268">
        <v>978</v>
      </c>
      <c r="E72" s="268">
        <v>32</v>
      </c>
      <c r="F72" s="268">
        <v>33</v>
      </c>
      <c r="G72" s="268">
        <v>42</v>
      </c>
      <c r="H72" s="268">
        <v>124</v>
      </c>
    </row>
    <row r="73" spans="1:8" s="263" customFormat="1" ht="8.65" customHeight="1" x14ac:dyDescent="0.25">
      <c r="A73" s="263" t="s">
        <v>46</v>
      </c>
      <c r="B73" s="266">
        <v>1945</v>
      </c>
      <c r="C73" s="266">
        <v>1674</v>
      </c>
      <c r="D73" s="266">
        <v>1222</v>
      </c>
      <c r="E73" s="266">
        <v>42</v>
      </c>
      <c r="F73" s="266">
        <v>55</v>
      </c>
      <c r="G73" s="266">
        <v>80</v>
      </c>
      <c r="H73" s="266">
        <v>188</v>
      </c>
    </row>
    <row r="74" spans="1:8" s="263" customFormat="1" ht="8.65" customHeight="1" x14ac:dyDescent="0.25">
      <c r="A74" s="263" t="s">
        <v>47</v>
      </c>
      <c r="B74" s="266">
        <v>2405</v>
      </c>
      <c r="C74" s="266">
        <v>1617</v>
      </c>
      <c r="D74" s="266">
        <v>1190</v>
      </c>
      <c r="E74" s="266">
        <v>55</v>
      </c>
      <c r="F74" s="266">
        <v>67</v>
      </c>
      <c r="G74" s="266">
        <v>90</v>
      </c>
      <c r="H74" s="266">
        <v>204</v>
      </c>
    </row>
    <row r="75" spans="1:8" s="263" customFormat="1" ht="8.65" customHeight="1" x14ac:dyDescent="0.25">
      <c r="A75" s="263" t="s">
        <v>48</v>
      </c>
      <c r="B75" s="266">
        <v>1324</v>
      </c>
      <c r="C75" s="266">
        <v>1442</v>
      </c>
      <c r="D75" s="266">
        <v>1164</v>
      </c>
      <c r="E75" s="266">
        <v>52</v>
      </c>
      <c r="F75" s="266">
        <v>37</v>
      </c>
      <c r="G75" s="266">
        <v>55</v>
      </c>
      <c r="H75" s="266">
        <v>226</v>
      </c>
    </row>
    <row r="76" spans="1:8" s="263" customFormat="1" ht="8.65" customHeight="1" x14ac:dyDescent="0.25">
      <c r="A76" s="267" t="s">
        <v>49</v>
      </c>
      <c r="B76" s="268">
        <v>2604</v>
      </c>
      <c r="C76" s="268">
        <v>1659</v>
      </c>
      <c r="D76" s="268">
        <v>1389</v>
      </c>
      <c r="E76" s="268">
        <v>54</v>
      </c>
      <c r="F76" s="268">
        <v>59</v>
      </c>
      <c r="G76" s="268">
        <v>86</v>
      </c>
      <c r="H76" s="268">
        <v>124</v>
      </c>
    </row>
    <row r="77" spans="1:8" s="263" customFormat="1" ht="8.65" customHeight="1" x14ac:dyDescent="0.25">
      <c r="A77" s="263" t="s">
        <v>50</v>
      </c>
      <c r="B77" s="266">
        <v>447</v>
      </c>
      <c r="C77" s="266">
        <v>649</v>
      </c>
      <c r="D77" s="266">
        <v>366</v>
      </c>
      <c r="E77" s="266">
        <v>12</v>
      </c>
      <c r="F77" s="266">
        <v>11</v>
      </c>
      <c r="G77" s="266">
        <v>14</v>
      </c>
      <c r="H77" s="266">
        <v>135</v>
      </c>
    </row>
    <row r="78" spans="1:8" s="263" customFormat="1" ht="8.65" customHeight="1" x14ac:dyDescent="0.25">
      <c r="A78" s="263" t="s">
        <v>51</v>
      </c>
      <c r="B78" s="266">
        <v>4204</v>
      </c>
      <c r="C78" s="266">
        <v>3711</v>
      </c>
      <c r="D78" s="266">
        <v>3066</v>
      </c>
      <c r="E78" s="266">
        <v>96</v>
      </c>
      <c r="F78" s="266">
        <v>103</v>
      </c>
      <c r="G78" s="266">
        <v>173</v>
      </c>
      <c r="H78" s="266">
        <v>344</v>
      </c>
    </row>
    <row r="79" spans="1:8" s="263" customFormat="1" ht="8.65" customHeight="1" x14ac:dyDescent="0.25">
      <c r="A79" s="263" t="s">
        <v>52</v>
      </c>
      <c r="B79" s="266">
        <v>1545</v>
      </c>
      <c r="C79" s="266">
        <v>845</v>
      </c>
      <c r="D79" s="266">
        <v>723</v>
      </c>
      <c r="E79" s="266">
        <v>35</v>
      </c>
      <c r="F79" s="266">
        <v>40</v>
      </c>
      <c r="G79" s="266">
        <v>46</v>
      </c>
      <c r="H79" s="266">
        <v>76</v>
      </c>
    </row>
    <row r="80" spans="1:8" s="263" customFormat="1" ht="8.65" customHeight="1" x14ac:dyDescent="0.25">
      <c r="A80" s="267" t="s">
        <v>53</v>
      </c>
      <c r="B80" s="268">
        <v>606</v>
      </c>
      <c r="C80" s="268">
        <v>1156</v>
      </c>
      <c r="D80" s="268">
        <v>688</v>
      </c>
      <c r="E80" s="268">
        <v>28</v>
      </c>
      <c r="F80" s="268">
        <v>21</v>
      </c>
      <c r="G80" s="268">
        <v>26</v>
      </c>
      <c r="H80" s="268">
        <v>125</v>
      </c>
    </row>
    <row r="81" spans="1:8" s="263" customFormat="1" ht="9" customHeight="1" x14ac:dyDescent="0.25">
      <c r="B81" s="266"/>
      <c r="C81" s="266"/>
      <c r="D81" s="266"/>
      <c r="E81" s="266"/>
      <c r="F81" s="266"/>
      <c r="G81" s="266"/>
      <c r="H81" s="266"/>
    </row>
    <row r="82" spans="1:8" s="263" customFormat="1" ht="9" customHeight="1" x14ac:dyDescent="0.25">
      <c r="A82" s="261">
        <v>1997</v>
      </c>
      <c r="B82" s="262"/>
      <c r="C82" s="262"/>
      <c r="D82" s="262"/>
      <c r="E82" s="262"/>
      <c r="F82" s="262"/>
      <c r="G82" s="262"/>
      <c r="H82" s="262"/>
    </row>
    <row r="83" spans="1:8" s="263" customFormat="1" ht="9" customHeight="1" x14ac:dyDescent="0.25">
      <c r="A83" s="264" t="s">
        <v>21</v>
      </c>
      <c r="B83" s="262">
        <f t="shared" ref="B83:H83" si="2">SUM(B85:B116)</f>
        <v>76214</v>
      </c>
      <c r="C83" s="262">
        <f t="shared" si="2"/>
        <v>59068</v>
      </c>
      <c r="D83" s="262">
        <f t="shared" si="2"/>
        <v>47523</v>
      </c>
      <c r="E83" s="262">
        <f t="shared" si="2"/>
        <v>1675</v>
      </c>
      <c r="F83" s="262">
        <f t="shared" si="2"/>
        <v>1886</v>
      </c>
      <c r="G83" s="262">
        <f t="shared" si="2"/>
        <v>2599</v>
      </c>
      <c r="H83" s="262">
        <f t="shared" si="2"/>
        <v>6118</v>
      </c>
    </row>
    <row r="84" spans="1:8" s="263" customFormat="1" ht="3.95" customHeight="1" x14ac:dyDescent="0.25">
      <c r="A84" s="265"/>
      <c r="B84" s="262"/>
      <c r="C84" s="262"/>
      <c r="D84" s="262"/>
      <c r="E84" s="262"/>
      <c r="F84" s="262"/>
      <c r="G84" s="262"/>
      <c r="H84" s="262"/>
    </row>
    <row r="85" spans="1:8" s="263" customFormat="1" ht="9" customHeight="1" x14ac:dyDescent="0.25">
      <c r="A85" s="263" t="s">
        <v>23</v>
      </c>
      <c r="B85" s="266">
        <v>811</v>
      </c>
      <c r="C85" s="266">
        <v>496</v>
      </c>
      <c r="D85" s="266">
        <v>421</v>
      </c>
      <c r="E85" s="266">
        <v>12</v>
      </c>
      <c r="F85" s="266">
        <v>18</v>
      </c>
      <c r="G85" s="266">
        <v>28</v>
      </c>
      <c r="H85" s="266">
        <v>56</v>
      </c>
    </row>
    <row r="86" spans="1:8" s="263" customFormat="1" ht="9" customHeight="1" x14ac:dyDescent="0.25">
      <c r="A86" s="263" t="s">
        <v>24</v>
      </c>
      <c r="B86" s="266">
        <v>1505</v>
      </c>
      <c r="C86" s="266">
        <v>756</v>
      </c>
      <c r="D86" s="266">
        <v>829</v>
      </c>
      <c r="E86" s="266">
        <v>27</v>
      </c>
      <c r="F86" s="266">
        <v>37</v>
      </c>
      <c r="G86" s="266">
        <v>59</v>
      </c>
      <c r="H86" s="266">
        <v>66</v>
      </c>
    </row>
    <row r="87" spans="1:8" s="263" customFormat="1" ht="9" customHeight="1" x14ac:dyDescent="0.25">
      <c r="A87" s="263" t="s">
        <v>25</v>
      </c>
      <c r="B87" s="266">
        <v>585</v>
      </c>
      <c r="C87" s="266">
        <v>421</v>
      </c>
      <c r="D87" s="266">
        <v>342</v>
      </c>
      <c r="E87" s="266">
        <v>24</v>
      </c>
      <c r="F87" s="266">
        <v>23</v>
      </c>
      <c r="G87" s="266">
        <v>27</v>
      </c>
      <c r="H87" s="266">
        <v>48</v>
      </c>
    </row>
    <row r="88" spans="1:8" s="263" customFormat="1" ht="9" customHeight="1" x14ac:dyDescent="0.25">
      <c r="A88" s="267" t="s">
        <v>26</v>
      </c>
      <c r="B88" s="268">
        <v>594</v>
      </c>
      <c r="C88" s="268">
        <v>558</v>
      </c>
      <c r="D88" s="268">
        <v>454</v>
      </c>
      <c r="E88" s="268">
        <v>22</v>
      </c>
      <c r="F88" s="268">
        <v>22</v>
      </c>
      <c r="G88" s="268">
        <v>27</v>
      </c>
      <c r="H88" s="268">
        <v>56</v>
      </c>
    </row>
    <row r="89" spans="1:8" s="263" customFormat="1" ht="9" customHeight="1" x14ac:dyDescent="0.25">
      <c r="A89" s="263" t="s">
        <v>27</v>
      </c>
      <c r="B89" s="266">
        <v>2479</v>
      </c>
      <c r="C89" s="266">
        <v>1400</v>
      </c>
      <c r="D89" s="266">
        <v>1330</v>
      </c>
      <c r="E89" s="266">
        <v>55</v>
      </c>
      <c r="F89" s="266">
        <v>61</v>
      </c>
      <c r="G89" s="266">
        <v>90</v>
      </c>
      <c r="H89" s="266">
        <v>98</v>
      </c>
    </row>
    <row r="90" spans="1:8" s="263" customFormat="1" ht="9" customHeight="1" x14ac:dyDescent="0.25">
      <c r="A90" s="263" t="s">
        <v>28</v>
      </c>
      <c r="B90" s="266">
        <v>466</v>
      </c>
      <c r="C90" s="266">
        <v>568</v>
      </c>
      <c r="D90" s="266">
        <v>364</v>
      </c>
      <c r="E90" s="266">
        <v>14</v>
      </c>
      <c r="F90" s="266">
        <v>16</v>
      </c>
      <c r="G90" s="266">
        <v>15</v>
      </c>
      <c r="H90" s="266">
        <v>69</v>
      </c>
    </row>
    <row r="91" spans="1:8" s="263" customFormat="1" ht="9" customHeight="1" x14ac:dyDescent="0.25">
      <c r="A91" s="263" t="s">
        <v>29</v>
      </c>
      <c r="B91" s="266">
        <v>1621</v>
      </c>
      <c r="C91" s="266">
        <v>2307</v>
      </c>
      <c r="D91" s="266">
        <v>1961</v>
      </c>
      <c r="E91" s="266">
        <v>56</v>
      </c>
      <c r="F91" s="266">
        <v>54</v>
      </c>
      <c r="G91" s="266">
        <v>70</v>
      </c>
      <c r="H91" s="266">
        <v>169</v>
      </c>
    </row>
    <row r="92" spans="1:8" s="263" customFormat="1" ht="9" customHeight="1" x14ac:dyDescent="0.25">
      <c r="A92" s="267" t="s">
        <v>30</v>
      </c>
      <c r="B92" s="268">
        <v>2187</v>
      </c>
      <c r="C92" s="268">
        <v>1578</v>
      </c>
      <c r="D92" s="268">
        <v>1291</v>
      </c>
      <c r="E92" s="268">
        <v>53</v>
      </c>
      <c r="F92" s="268">
        <v>52</v>
      </c>
      <c r="G92" s="268">
        <v>70</v>
      </c>
      <c r="H92" s="268">
        <v>144</v>
      </c>
    </row>
    <row r="93" spans="1:8" s="263" customFormat="1" ht="9" customHeight="1" x14ac:dyDescent="0.25">
      <c r="A93" s="263" t="s">
        <v>63</v>
      </c>
      <c r="B93" s="266">
        <v>16825</v>
      </c>
      <c r="C93" s="266">
        <v>6223</v>
      </c>
      <c r="D93" s="266">
        <v>7458</v>
      </c>
      <c r="E93" s="266">
        <v>265</v>
      </c>
      <c r="F93" s="266">
        <v>452</v>
      </c>
      <c r="G93" s="266">
        <v>542</v>
      </c>
      <c r="H93" s="266">
        <v>113</v>
      </c>
    </row>
    <row r="94" spans="1:8" s="263" customFormat="1" ht="9" customHeight="1" x14ac:dyDescent="0.25">
      <c r="A94" s="263" t="s">
        <v>31</v>
      </c>
      <c r="B94" s="266">
        <v>1176</v>
      </c>
      <c r="C94" s="266">
        <v>1409</v>
      </c>
      <c r="D94" s="266">
        <v>855</v>
      </c>
      <c r="E94" s="266">
        <v>32</v>
      </c>
      <c r="F94" s="266">
        <v>27</v>
      </c>
      <c r="G94" s="266">
        <v>36</v>
      </c>
      <c r="H94" s="266">
        <v>114</v>
      </c>
    </row>
    <row r="95" spans="1:8" s="263" customFormat="1" ht="9" customHeight="1" x14ac:dyDescent="0.25">
      <c r="A95" s="263" t="s">
        <v>32</v>
      </c>
      <c r="B95" s="266">
        <v>2635</v>
      </c>
      <c r="C95" s="266">
        <v>2583</v>
      </c>
      <c r="D95" s="266">
        <v>1456</v>
      </c>
      <c r="E95" s="266">
        <v>44</v>
      </c>
      <c r="F95" s="266">
        <v>60</v>
      </c>
      <c r="G95" s="266">
        <v>82</v>
      </c>
      <c r="H95" s="266">
        <v>354</v>
      </c>
    </row>
    <row r="96" spans="1:8" s="263" customFormat="1" ht="9" customHeight="1" x14ac:dyDescent="0.25">
      <c r="A96" s="267" t="s">
        <v>33</v>
      </c>
      <c r="B96" s="268">
        <v>1433</v>
      </c>
      <c r="C96" s="268">
        <v>2404</v>
      </c>
      <c r="D96" s="268">
        <v>1563</v>
      </c>
      <c r="E96" s="268">
        <v>66</v>
      </c>
      <c r="F96" s="268">
        <v>47</v>
      </c>
      <c r="G96" s="268">
        <v>58</v>
      </c>
      <c r="H96" s="268">
        <v>560</v>
      </c>
    </row>
    <row r="97" spans="1:8" s="263" customFormat="1" ht="9" customHeight="1" x14ac:dyDescent="0.25">
      <c r="A97" s="263" t="s">
        <v>34</v>
      </c>
      <c r="B97" s="266">
        <v>1304</v>
      </c>
      <c r="C97" s="266">
        <v>1827</v>
      </c>
      <c r="D97" s="266">
        <v>1121</v>
      </c>
      <c r="E97" s="266">
        <v>38</v>
      </c>
      <c r="F97" s="266">
        <v>21</v>
      </c>
      <c r="G97" s="266">
        <v>32</v>
      </c>
      <c r="H97" s="266">
        <v>337</v>
      </c>
    </row>
    <row r="98" spans="1:8" s="263" customFormat="1" ht="9" customHeight="1" x14ac:dyDescent="0.25">
      <c r="A98" s="263" t="s">
        <v>35</v>
      </c>
      <c r="B98" s="266">
        <v>5928</v>
      </c>
      <c r="C98" s="266">
        <v>4047</v>
      </c>
      <c r="D98" s="266">
        <v>2839</v>
      </c>
      <c r="E98" s="266">
        <v>94</v>
      </c>
      <c r="F98" s="266">
        <v>113</v>
      </c>
      <c r="G98" s="266">
        <v>197</v>
      </c>
      <c r="H98" s="266">
        <v>497</v>
      </c>
    </row>
    <row r="99" spans="1:8" s="263" customFormat="1" ht="9" customHeight="1" x14ac:dyDescent="0.25">
      <c r="A99" s="263" t="s">
        <v>36</v>
      </c>
      <c r="B99" s="266">
        <v>6886</v>
      </c>
      <c r="C99" s="266">
        <v>4600</v>
      </c>
      <c r="D99" s="266">
        <v>4260</v>
      </c>
      <c r="E99" s="266">
        <v>126</v>
      </c>
      <c r="F99" s="266">
        <v>133</v>
      </c>
      <c r="G99" s="266">
        <v>165</v>
      </c>
      <c r="H99" s="266">
        <v>400</v>
      </c>
    </row>
    <row r="100" spans="1:8" s="263" customFormat="1" ht="9" customHeight="1" x14ac:dyDescent="0.25">
      <c r="A100" s="267" t="s">
        <v>37</v>
      </c>
      <c r="B100" s="268">
        <v>1981</v>
      </c>
      <c r="C100" s="268">
        <v>2802</v>
      </c>
      <c r="D100" s="268">
        <v>1620</v>
      </c>
      <c r="E100" s="268">
        <v>56</v>
      </c>
      <c r="F100" s="268">
        <v>51</v>
      </c>
      <c r="G100" s="268">
        <v>78</v>
      </c>
      <c r="H100" s="268">
        <v>224</v>
      </c>
    </row>
    <row r="101" spans="1:8" s="263" customFormat="1" ht="9" customHeight="1" x14ac:dyDescent="0.25">
      <c r="A101" s="263" t="s">
        <v>38</v>
      </c>
      <c r="B101" s="266">
        <v>798</v>
      </c>
      <c r="C101" s="266">
        <v>952</v>
      </c>
      <c r="D101" s="266">
        <v>633</v>
      </c>
      <c r="E101" s="266">
        <v>21</v>
      </c>
      <c r="F101" s="266">
        <v>19</v>
      </c>
      <c r="G101" s="266">
        <v>31</v>
      </c>
      <c r="H101" s="266">
        <v>125</v>
      </c>
    </row>
    <row r="102" spans="1:8" s="263" customFormat="1" ht="9" customHeight="1" x14ac:dyDescent="0.25">
      <c r="A102" s="263" t="s">
        <v>39</v>
      </c>
      <c r="B102" s="266">
        <v>672</v>
      </c>
      <c r="C102" s="266">
        <v>880</v>
      </c>
      <c r="D102" s="266">
        <v>596</v>
      </c>
      <c r="E102" s="266">
        <v>24</v>
      </c>
      <c r="F102" s="266">
        <v>17</v>
      </c>
      <c r="G102" s="266">
        <v>30</v>
      </c>
      <c r="H102" s="266">
        <v>111</v>
      </c>
    </row>
    <row r="103" spans="1:8" s="263" customFormat="1" ht="9" customHeight="1" x14ac:dyDescent="0.25">
      <c r="A103" s="263" t="s">
        <v>40</v>
      </c>
      <c r="B103" s="266">
        <v>3693</v>
      </c>
      <c r="C103" s="266">
        <v>1945</v>
      </c>
      <c r="D103" s="266">
        <v>2037</v>
      </c>
      <c r="E103" s="266">
        <v>66</v>
      </c>
      <c r="F103" s="266">
        <v>88</v>
      </c>
      <c r="G103" s="266">
        <v>111</v>
      </c>
      <c r="H103" s="266">
        <v>68</v>
      </c>
    </row>
    <row r="104" spans="1:8" s="263" customFormat="1" ht="9" customHeight="1" x14ac:dyDescent="0.25">
      <c r="A104" s="267" t="s">
        <v>41</v>
      </c>
      <c r="B104" s="268">
        <v>1564</v>
      </c>
      <c r="C104" s="268">
        <v>2612</v>
      </c>
      <c r="D104" s="268">
        <v>1670</v>
      </c>
      <c r="E104" s="268">
        <v>48</v>
      </c>
      <c r="F104" s="268">
        <v>38</v>
      </c>
      <c r="G104" s="268">
        <v>54</v>
      </c>
      <c r="H104" s="268">
        <v>354</v>
      </c>
    </row>
    <row r="105" spans="1:8" s="263" customFormat="1" ht="9" customHeight="1" x14ac:dyDescent="0.25">
      <c r="A105" s="263" t="s">
        <v>42</v>
      </c>
      <c r="B105" s="266">
        <v>2826</v>
      </c>
      <c r="C105" s="266">
        <v>2728</v>
      </c>
      <c r="D105" s="266">
        <v>1996</v>
      </c>
      <c r="E105" s="266">
        <v>67</v>
      </c>
      <c r="F105" s="266">
        <v>75</v>
      </c>
      <c r="G105" s="266">
        <v>104</v>
      </c>
      <c r="H105" s="266">
        <v>313</v>
      </c>
    </row>
    <row r="106" spans="1:8" s="263" customFormat="1" ht="9" customHeight="1" x14ac:dyDescent="0.25">
      <c r="A106" s="263" t="s">
        <v>43</v>
      </c>
      <c r="B106" s="266">
        <v>743</v>
      </c>
      <c r="C106" s="266">
        <v>990</v>
      </c>
      <c r="D106" s="266">
        <v>602</v>
      </c>
      <c r="E106" s="266">
        <v>17</v>
      </c>
      <c r="F106" s="266">
        <v>21</v>
      </c>
      <c r="G106" s="266">
        <v>30</v>
      </c>
      <c r="H106" s="266">
        <v>160</v>
      </c>
    </row>
    <row r="107" spans="1:8" s="263" customFormat="1" ht="9" customHeight="1" x14ac:dyDescent="0.25">
      <c r="A107" s="263" t="s">
        <v>44</v>
      </c>
      <c r="B107" s="266">
        <v>413</v>
      </c>
      <c r="C107" s="266">
        <v>454</v>
      </c>
      <c r="D107" s="266">
        <v>377</v>
      </c>
      <c r="E107" s="266">
        <v>24</v>
      </c>
      <c r="F107" s="266">
        <v>14</v>
      </c>
      <c r="G107" s="266">
        <v>28</v>
      </c>
      <c r="H107" s="266">
        <v>76</v>
      </c>
    </row>
    <row r="108" spans="1:8" s="263" customFormat="1" ht="9" customHeight="1" x14ac:dyDescent="0.25">
      <c r="A108" s="267" t="s">
        <v>45</v>
      </c>
      <c r="B108" s="268">
        <v>1446</v>
      </c>
      <c r="C108" s="268">
        <v>1280</v>
      </c>
      <c r="D108" s="268">
        <v>1006</v>
      </c>
      <c r="E108" s="268">
        <v>32</v>
      </c>
      <c r="F108" s="268">
        <v>33</v>
      </c>
      <c r="G108" s="268">
        <v>44</v>
      </c>
      <c r="H108" s="268">
        <v>124</v>
      </c>
    </row>
    <row r="109" spans="1:8" s="263" customFormat="1" ht="9" customHeight="1" x14ac:dyDescent="0.25">
      <c r="A109" s="263" t="s">
        <v>46</v>
      </c>
      <c r="B109" s="266">
        <v>2038</v>
      </c>
      <c r="C109" s="266">
        <v>1787</v>
      </c>
      <c r="D109" s="266">
        <v>1328</v>
      </c>
      <c r="E109" s="266">
        <v>43</v>
      </c>
      <c r="F109" s="266">
        <v>54</v>
      </c>
      <c r="G109" s="266">
        <v>87</v>
      </c>
      <c r="H109" s="266">
        <v>187</v>
      </c>
    </row>
    <row r="110" spans="1:8" s="263" customFormat="1" ht="9" customHeight="1" x14ac:dyDescent="0.25">
      <c r="A110" s="263" t="s">
        <v>47</v>
      </c>
      <c r="B110" s="266">
        <v>2446</v>
      </c>
      <c r="C110" s="266">
        <v>1725</v>
      </c>
      <c r="D110" s="266">
        <v>1257</v>
      </c>
      <c r="E110" s="266">
        <v>57</v>
      </c>
      <c r="F110" s="266">
        <v>66</v>
      </c>
      <c r="G110" s="266">
        <v>94</v>
      </c>
      <c r="H110" s="266">
        <v>205</v>
      </c>
    </row>
    <row r="111" spans="1:8" s="263" customFormat="1" ht="9" customHeight="1" x14ac:dyDescent="0.25">
      <c r="A111" s="263" t="s">
        <v>48</v>
      </c>
      <c r="B111" s="266">
        <v>1315</v>
      </c>
      <c r="C111" s="266">
        <v>1484</v>
      </c>
      <c r="D111" s="266">
        <v>1174</v>
      </c>
      <c r="E111" s="266">
        <v>51</v>
      </c>
      <c r="F111" s="266">
        <v>33</v>
      </c>
      <c r="G111" s="266">
        <v>57</v>
      </c>
      <c r="H111" s="266">
        <v>251</v>
      </c>
    </row>
    <row r="112" spans="1:8" s="263" customFormat="1" ht="9" customHeight="1" x14ac:dyDescent="0.25">
      <c r="A112" s="267" t="s">
        <v>49</v>
      </c>
      <c r="B112" s="268">
        <v>2682</v>
      </c>
      <c r="C112" s="268">
        <v>1661</v>
      </c>
      <c r="D112" s="268">
        <v>1428</v>
      </c>
      <c r="E112" s="268">
        <v>67</v>
      </c>
      <c r="F112" s="268">
        <v>66</v>
      </c>
      <c r="G112" s="268">
        <v>89</v>
      </c>
      <c r="H112" s="268">
        <v>123</v>
      </c>
    </row>
    <row r="113" spans="1:8" s="263" customFormat="1" ht="9" customHeight="1" x14ac:dyDescent="0.25">
      <c r="A113" s="263" t="s">
        <v>50</v>
      </c>
      <c r="B113" s="266">
        <v>512</v>
      </c>
      <c r="C113" s="266">
        <v>676</v>
      </c>
      <c r="D113" s="266">
        <v>406</v>
      </c>
      <c r="E113" s="266">
        <v>12</v>
      </c>
      <c r="F113" s="266">
        <v>10</v>
      </c>
      <c r="G113" s="266">
        <v>15</v>
      </c>
      <c r="H113" s="266">
        <v>139</v>
      </c>
    </row>
    <row r="114" spans="1:8" s="263" customFormat="1" ht="9" customHeight="1" x14ac:dyDescent="0.25">
      <c r="A114" s="263" t="s">
        <v>51</v>
      </c>
      <c r="B114" s="266">
        <v>4439</v>
      </c>
      <c r="C114" s="266">
        <v>3881</v>
      </c>
      <c r="D114" s="266">
        <v>3351</v>
      </c>
      <c r="E114" s="266">
        <v>98</v>
      </c>
      <c r="F114" s="266">
        <v>108</v>
      </c>
      <c r="G114" s="266">
        <v>176</v>
      </c>
      <c r="H114" s="266">
        <v>362</v>
      </c>
    </row>
    <row r="115" spans="1:8" s="263" customFormat="1" ht="9" customHeight="1" x14ac:dyDescent="0.25">
      <c r="A115" s="263" t="s">
        <v>52</v>
      </c>
      <c r="B115" s="266">
        <v>1592</v>
      </c>
      <c r="C115" s="266">
        <v>888</v>
      </c>
      <c r="D115" s="266">
        <v>789</v>
      </c>
      <c r="E115" s="266">
        <v>34</v>
      </c>
      <c r="F115" s="266">
        <v>37</v>
      </c>
      <c r="G115" s="266">
        <v>47</v>
      </c>
      <c r="H115" s="266">
        <v>87</v>
      </c>
    </row>
    <row r="116" spans="1:8" s="263" customFormat="1" ht="9" customHeight="1" x14ac:dyDescent="0.25">
      <c r="A116" s="267" t="s">
        <v>53</v>
      </c>
      <c r="B116" s="268">
        <v>619</v>
      </c>
      <c r="C116" s="268">
        <v>1146</v>
      </c>
      <c r="D116" s="268">
        <v>709</v>
      </c>
      <c r="E116" s="268">
        <v>30</v>
      </c>
      <c r="F116" s="268">
        <v>20</v>
      </c>
      <c r="G116" s="268">
        <v>26</v>
      </c>
      <c r="H116" s="268">
        <v>128</v>
      </c>
    </row>
    <row r="117" spans="1:8" s="263" customFormat="1" ht="9" customHeight="1" x14ac:dyDescent="0.25">
      <c r="B117" s="266"/>
      <c r="C117" s="266"/>
      <c r="D117" s="266"/>
      <c r="E117" s="266"/>
      <c r="F117" s="266"/>
      <c r="G117" s="266"/>
      <c r="H117" s="266"/>
    </row>
    <row r="118" spans="1:8" s="263" customFormat="1" ht="9" customHeight="1" x14ac:dyDescent="0.25">
      <c r="A118" s="261">
        <v>1998</v>
      </c>
      <c r="B118" s="262"/>
      <c r="C118" s="262"/>
      <c r="D118" s="262"/>
      <c r="E118" s="262"/>
      <c r="F118" s="262"/>
      <c r="G118" s="262"/>
      <c r="H118" s="262"/>
    </row>
    <row r="119" spans="1:8" s="263" customFormat="1" ht="9" customHeight="1" x14ac:dyDescent="0.25">
      <c r="A119" s="264" t="s">
        <v>21</v>
      </c>
      <c r="B119" s="262">
        <f t="shared" ref="B119:H119" si="3">SUM(B121:B152)</f>
        <v>76216</v>
      </c>
      <c r="C119" s="262">
        <f t="shared" si="3"/>
        <v>59829</v>
      </c>
      <c r="D119" s="262">
        <f t="shared" si="3"/>
        <v>48732</v>
      </c>
      <c r="E119" s="262">
        <f t="shared" si="3"/>
        <v>1757</v>
      </c>
      <c r="F119" s="262">
        <f t="shared" si="3"/>
        <v>1931</v>
      </c>
      <c r="G119" s="262">
        <f t="shared" si="3"/>
        <v>2676</v>
      </c>
      <c r="H119" s="262">
        <f t="shared" si="3"/>
        <v>6340</v>
      </c>
    </row>
    <row r="120" spans="1:8" s="263" customFormat="1" ht="3.95" customHeight="1" x14ac:dyDescent="0.25">
      <c r="A120" s="264"/>
      <c r="B120" s="262"/>
      <c r="C120" s="262"/>
      <c r="D120" s="262"/>
      <c r="E120" s="262"/>
      <c r="F120" s="262"/>
      <c r="G120" s="262"/>
      <c r="H120" s="262"/>
    </row>
    <row r="121" spans="1:8" s="263" customFormat="1" ht="9" customHeight="1" x14ac:dyDescent="0.25">
      <c r="A121" s="263" t="s">
        <v>23</v>
      </c>
      <c r="B121" s="266">
        <v>811</v>
      </c>
      <c r="C121" s="266">
        <v>484</v>
      </c>
      <c r="D121" s="266">
        <v>432</v>
      </c>
      <c r="E121" s="266">
        <v>13</v>
      </c>
      <c r="F121" s="266">
        <v>19</v>
      </c>
      <c r="G121" s="266">
        <v>28</v>
      </c>
      <c r="H121" s="266">
        <v>57</v>
      </c>
    </row>
    <row r="122" spans="1:8" s="263" customFormat="1" ht="9" customHeight="1" x14ac:dyDescent="0.25">
      <c r="A122" s="263" t="s">
        <v>24</v>
      </c>
      <c r="B122" s="266">
        <v>1529</v>
      </c>
      <c r="C122" s="266">
        <v>793</v>
      </c>
      <c r="D122" s="266">
        <v>870</v>
      </c>
      <c r="E122" s="266">
        <v>34</v>
      </c>
      <c r="F122" s="266">
        <v>38</v>
      </c>
      <c r="G122" s="266">
        <v>60</v>
      </c>
      <c r="H122" s="266">
        <v>72</v>
      </c>
    </row>
    <row r="123" spans="1:8" s="263" customFormat="1" ht="9" customHeight="1" x14ac:dyDescent="0.25">
      <c r="A123" s="263" t="s">
        <v>25</v>
      </c>
      <c r="B123" s="266">
        <v>588</v>
      </c>
      <c r="C123" s="266">
        <v>401</v>
      </c>
      <c r="D123" s="266">
        <v>359</v>
      </c>
      <c r="E123" s="266">
        <v>22</v>
      </c>
      <c r="F123" s="266">
        <v>22</v>
      </c>
      <c r="G123" s="266">
        <v>29</v>
      </c>
      <c r="H123" s="266">
        <v>51</v>
      </c>
    </row>
    <row r="124" spans="1:8" s="263" customFormat="1" ht="9" customHeight="1" x14ac:dyDescent="0.25">
      <c r="A124" s="267" t="s">
        <v>26</v>
      </c>
      <c r="B124" s="268">
        <v>654</v>
      </c>
      <c r="C124" s="268">
        <v>572</v>
      </c>
      <c r="D124" s="268">
        <v>494</v>
      </c>
      <c r="E124" s="268">
        <v>22</v>
      </c>
      <c r="F124" s="268">
        <v>21</v>
      </c>
      <c r="G124" s="268">
        <v>30</v>
      </c>
      <c r="H124" s="268">
        <v>53</v>
      </c>
    </row>
    <row r="125" spans="1:8" s="263" customFormat="1" ht="9" customHeight="1" x14ac:dyDescent="0.25">
      <c r="A125" s="263" t="s">
        <v>27</v>
      </c>
      <c r="B125" s="266">
        <v>2476</v>
      </c>
      <c r="C125" s="266">
        <v>1418</v>
      </c>
      <c r="D125" s="266">
        <v>1329</v>
      </c>
      <c r="E125" s="266">
        <v>55</v>
      </c>
      <c r="F125" s="266">
        <v>58</v>
      </c>
      <c r="G125" s="266">
        <v>93</v>
      </c>
      <c r="H125" s="266">
        <v>95</v>
      </c>
    </row>
    <row r="126" spans="1:8" s="263" customFormat="1" ht="9" customHeight="1" x14ac:dyDescent="0.25">
      <c r="A126" s="263" t="s">
        <v>28</v>
      </c>
      <c r="B126" s="266">
        <v>452</v>
      </c>
      <c r="C126" s="266">
        <v>577</v>
      </c>
      <c r="D126" s="266">
        <v>384</v>
      </c>
      <c r="E126" s="266">
        <v>14</v>
      </c>
      <c r="F126" s="266">
        <v>18</v>
      </c>
      <c r="G126" s="266">
        <v>14</v>
      </c>
      <c r="H126" s="266">
        <v>68</v>
      </c>
    </row>
    <row r="127" spans="1:8" s="263" customFormat="1" ht="9" customHeight="1" x14ac:dyDescent="0.25">
      <c r="A127" s="263" t="s">
        <v>29</v>
      </c>
      <c r="B127" s="266">
        <v>1703</v>
      </c>
      <c r="C127" s="266">
        <v>2333</v>
      </c>
      <c r="D127" s="266">
        <v>1958</v>
      </c>
      <c r="E127" s="266">
        <v>68</v>
      </c>
      <c r="F127" s="266">
        <v>62</v>
      </c>
      <c r="G127" s="266">
        <v>77</v>
      </c>
      <c r="H127" s="266">
        <v>189</v>
      </c>
    </row>
    <row r="128" spans="1:8" s="263" customFormat="1" ht="9" customHeight="1" x14ac:dyDescent="0.25">
      <c r="A128" s="267" t="s">
        <v>30</v>
      </c>
      <c r="B128" s="268">
        <v>2191</v>
      </c>
      <c r="C128" s="268">
        <v>1691</v>
      </c>
      <c r="D128" s="268">
        <v>1315</v>
      </c>
      <c r="E128" s="268">
        <v>56</v>
      </c>
      <c r="F128" s="268">
        <v>55</v>
      </c>
      <c r="G128" s="268">
        <v>73</v>
      </c>
      <c r="H128" s="268">
        <v>154</v>
      </c>
    </row>
    <row r="129" spans="1:8" s="263" customFormat="1" ht="9" customHeight="1" x14ac:dyDescent="0.25">
      <c r="A129" s="263" t="s">
        <v>63</v>
      </c>
      <c r="B129" s="266">
        <v>16653</v>
      </c>
      <c r="C129" s="266">
        <v>6267</v>
      </c>
      <c r="D129" s="266">
        <v>7609</v>
      </c>
      <c r="E129" s="266">
        <v>291</v>
      </c>
      <c r="F129" s="266">
        <v>458</v>
      </c>
      <c r="G129" s="266">
        <v>559</v>
      </c>
      <c r="H129" s="266">
        <v>118</v>
      </c>
    </row>
    <row r="130" spans="1:8" s="263" customFormat="1" ht="9" customHeight="1" x14ac:dyDescent="0.25">
      <c r="A130" s="263" t="s">
        <v>31</v>
      </c>
      <c r="B130" s="266">
        <v>1204</v>
      </c>
      <c r="C130" s="266">
        <v>1433</v>
      </c>
      <c r="D130" s="266">
        <v>862</v>
      </c>
      <c r="E130" s="266">
        <v>34</v>
      </c>
      <c r="F130" s="266">
        <v>26</v>
      </c>
      <c r="G130" s="266">
        <v>37</v>
      </c>
      <c r="H130" s="266">
        <v>120</v>
      </c>
    </row>
    <row r="131" spans="1:8" s="263" customFormat="1" ht="9" customHeight="1" x14ac:dyDescent="0.25">
      <c r="A131" s="263" t="s">
        <v>32</v>
      </c>
      <c r="B131" s="266">
        <v>2546</v>
      </c>
      <c r="C131" s="266">
        <v>2569</v>
      </c>
      <c r="D131" s="266">
        <v>1499</v>
      </c>
      <c r="E131" s="266">
        <v>46</v>
      </c>
      <c r="F131" s="266">
        <v>69</v>
      </c>
      <c r="G131" s="266">
        <v>82</v>
      </c>
      <c r="H131" s="266">
        <v>361</v>
      </c>
    </row>
    <row r="132" spans="1:8" s="263" customFormat="1" ht="9" customHeight="1" x14ac:dyDescent="0.25">
      <c r="A132" s="267" t="s">
        <v>33</v>
      </c>
      <c r="B132" s="268">
        <v>1618</v>
      </c>
      <c r="C132" s="268">
        <v>2410</v>
      </c>
      <c r="D132" s="268">
        <v>1679</v>
      </c>
      <c r="E132" s="268">
        <v>71</v>
      </c>
      <c r="F132" s="268">
        <v>59</v>
      </c>
      <c r="G132" s="268">
        <v>69</v>
      </c>
      <c r="H132" s="268">
        <v>577</v>
      </c>
    </row>
    <row r="133" spans="1:8" s="263" customFormat="1" ht="9" customHeight="1" x14ac:dyDescent="0.25">
      <c r="A133" s="263" t="s">
        <v>34</v>
      </c>
      <c r="B133" s="266">
        <v>1349</v>
      </c>
      <c r="C133" s="266">
        <v>1960</v>
      </c>
      <c r="D133" s="266">
        <v>1145</v>
      </c>
      <c r="E133" s="266">
        <v>40</v>
      </c>
      <c r="F133" s="266">
        <v>24</v>
      </c>
      <c r="G133" s="266">
        <v>36</v>
      </c>
      <c r="H133" s="266">
        <v>377</v>
      </c>
    </row>
    <row r="134" spans="1:8" s="263" customFormat="1" ht="9" customHeight="1" x14ac:dyDescent="0.25">
      <c r="A134" s="263" t="s">
        <v>35</v>
      </c>
      <c r="B134" s="266">
        <v>5952</v>
      </c>
      <c r="C134" s="266">
        <v>4219</v>
      </c>
      <c r="D134" s="266">
        <v>3042</v>
      </c>
      <c r="E134" s="266">
        <v>100</v>
      </c>
      <c r="F134" s="266">
        <v>115</v>
      </c>
      <c r="G134" s="266">
        <v>226</v>
      </c>
      <c r="H134" s="266">
        <v>512</v>
      </c>
    </row>
    <row r="135" spans="1:8" s="263" customFormat="1" ht="9" customHeight="1" x14ac:dyDescent="0.25">
      <c r="A135" s="263" t="s">
        <v>36</v>
      </c>
      <c r="B135" s="266">
        <v>7092</v>
      </c>
      <c r="C135" s="266">
        <v>4613</v>
      </c>
      <c r="D135" s="266">
        <v>4429</v>
      </c>
      <c r="E135" s="266">
        <v>132</v>
      </c>
      <c r="F135" s="266">
        <v>132</v>
      </c>
      <c r="G135" s="266">
        <v>170</v>
      </c>
      <c r="H135" s="266">
        <v>383</v>
      </c>
    </row>
    <row r="136" spans="1:8" s="263" customFormat="1" ht="9" customHeight="1" x14ac:dyDescent="0.25">
      <c r="A136" s="267" t="s">
        <v>37</v>
      </c>
      <c r="B136" s="268">
        <v>2080</v>
      </c>
      <c r="C136" s="268">
        <v>2858</v>
      </c>
      <c r="D136" s="268">
        <v>1725</v>
      </c>
      <c r="E136" s="268">
        <v>62</v>
      </c>
      <c r="F136" s="268">
        <v>52</v>
      </c>
      <c r="G136" s="268">
        <v>83</v>
      </c>
      <c r="H136" s="268">
        <v>237</v>
      </c>
    </row>
    <row r="137" spans="1:8" s="263" customFormat="1" ht="9" customHeight="1" x14ac:dyDescent="0.25">
      <c r="A137" s="263" t="s">
        <v>38</v>
      </c>
      <c r="B137" s="266">
        <v>805</v>
      </c>
      <c r="C137" s="266">
        <v>992</v>
      </c>
      <c r="D137" s="266">
        <v>668</v>
      </c>
      <c r="E137" s="266">
        <v>20</v>
      </c>
      <c r="F137" s="266">
        <v>20</v>
      </c>
      <c r="G137" s="266">
        <v>32</v>
      </c>
      <c r="H137" s="266">
        <v>126</v>
      </c>
    </row>
    <row r="138" spans="1:8" s="263" customFormat="1" ht="9" customHeight="1" x14ac:dyDescent="0.25">
      <c r="A138" s="263" t="s">
        <v>39</v>
      </c>
      <c r="B138" s="266">
        <v>683</v>
      </c>
      <c r="C138" s="266">
        <v>882</v>
      </c>
      <c r="D138" s="266">
        <v>590</v>
      </c>
      <c r="E138" s="266">
        <v>23</v>
      </c>
      <c r="F138" s="266">
        <v>20</v>
      </c>
      <c r="G138" s="266">
        <v>30</v>
      </c>
      <c r="H138" s="266">
        <v>105</v>
      </c>
    </row>
    <row r="139" spans="1:8" s="263" customFormat="1" ht="9" customHeight="1" x14ac:dyDescent="0.25">
      <c r="A139" s="263" t="s">
        <v>40</v>
      </c>
      <c r="B139" s="266">
        <v>3673</v>
      </c>
      <c r="C139" s="266">
        <v>1913</v>
      </c>
      <c r="D139" s="266">
        <v>2160</v>
      </c>
      <c r="E139" s="266">
        <v>73</v>
      </c>
      <c r="F139" s="266">
        <v>89</v>
      </c>
      <c r="G139" s="266">
        <v>113</v>
      </c>
      <c r="H139" s="266">
        <v>72</v>
      </c>
    </row>
    <row r="140" spans="1:8" s="263" customFormat="1" ht="9" customHeight="1" x14ac:dyDescent="0.25">
      <c r="A140" s="267" t="s">
        <v>41</v>
      </c>
      <c r="B140" s="268">
        <v>1691</v>
      </c>
      <c r="C140" s="268">
        <v>2745</v>
      </c>
      <c r="D140" s="268">
        <v>1691</v>
      </c>
      <c r="E140" s="268">
        <v>48</v>
      </c>
      <c r="F140" s="268">
        <v>42</v>
      </c>
      <c r="G140" s="268">
        <v>57</v>
      </c>
      <c r="H140" s="268">
        <v>402</v>
      </c>
    </row>
    <row r="141" spans="1:8" s="263" customFormat="1" ht="9" customHeight="1" x14ac:dyDescent="0.25">
      <c r="A141" s="263" t="s">
        <v>42</v>
      </c>
      <c r="B141" s="266">
        <v>2824</v>
      </c>
      <c r="C141" s="266">
        <v>2846</v>
      </c>
      <c r="D141" s="266">
        <v>2028</v>
      </c>
      <c r="E141" s="266">
        <v>71</v>
      </c>
      <c r="F141" s="266">
        <v>75</v>
      </c>
      <c r="G141" s="266">
        <v>103</v>
      </c>
      <c r="H141" s="266">
        <v>348</v>
      </c>
    </row>
    <row r="142" spans="1:8" s="263" customFormat="1" ht="9" customHeight="1" x14ac:dyDescent="0.25">
      <c r="A142" s="263" t="s">
        <v>43</v>
      </c>
      <c r="B142" s="266">
        <v>780</v>
      </c>
      <c r="C142" s="266">
        <v>1006</v>
      </c>
      <c r="D142" s="266">
        <v>599</v>
      </c>
      <c r="E142" s="266">
        <v>17</v>
      </c>
      <c r="F142" s="266">
        <v>20</v>
      </c>
      <c r="G142" s="266">
        <v>28</v>
      </c>
      <c r="H142" s="266">
        <v>156</v>
      </c>
    </row>
    <row r="143" spans="1:8" s="263" customFormat="1" ht="9" customHeight="1" x14ac:dyDescent="0.25">
      <c r="A143" s="263" t="s">
        <v>44</v>
      </c>
      <c r="B143" s="266">
        <v>419</v>
      </c>
      <c r="C143" s="266">
        <v>448</v>
      </c>
      <c r="D143" s="266">
        <v>435</v>
      </c>
      <c r="E143" s="266">
        <v>26</v>
      </c>
      <c r="F143" s="266">
        <v>16</v>
      </c>
      <c r="G143" s="266">
        <v>29</v>
      </c>
      <c r="H143" s="266">
        <v>80</v>
      </c>
    </row>
    <row r="144" spans="1:8" s="263" customFormat="1" ht="9" customHeight="1" x14ac:dyDescent="0.25">
      <c r="A144" s="267" t="s">
        <v>45</v>
      </c>
      <c r="B144" s="268">
        <v>1055</v>
      </c>
      <c r="C144" s="268">
        <v>1207</v>
      </c>
      <c r="D144" s="268">
        <v>953</v>
      </c>
      <c r="E144" s="268">
        <v>31</v>
      </c>
      <c r="F144" s="268">
        <v>29</v>
      </c>
      <c r="G144" s="268">
        <v>35</v>
      </c>
      <c r="H144" s="268">
        <v>120</v>
      </c>
    </row>
    <row r="145" spans="1:8" s="263" customFormat="1" ht="9" customHeight="1" x14ac:dyDescent="0.25">
      <c r="A145" s="263" t="s">
        <v>46</v>
      </c>
      <c r="B145" s="266">
        <v>1902</v>
      </c>
      <c r="C145" s="266">
        <v>1740</v>
      </c>
      <c r="D145" s="266">
        <v>1255</v>
      </c>
      <c r="E145" s="266">
        <v>39</v>
      </c>
      <c r="F145" s="266">
        <v>48</v>
      </c>
      <c r="G145" s="266">
        <v>77</v>
      </c>
      <c r="H145" s="266">
        <v>189</v>
      </c>
    </row>
    <row r="146" spans="1:8" s="263" customFormat="1" ht="9" customHeight="1" x14ac:dyDescent="0.25">
      <c r="A146" s="263" t="s">
        <v>47</v>
      </c>
      <c r="B146" s="266">
        <v>2366</v>
      </c>
      <c r="C146" s="266">
        <v>1785</v>
      </c>
      <c r="D146" s="266">
        <v>1275</v>
      </c>
      <c r="E146" s="266">
        <v>57</v>
      </c>
      <c r="F146" s="266">
        <v>66</v>
      </c>
      <c r="G146" s="266">
        <v>90</v>
      </c>
      <c r="H146" s="266">
        <v>201</v>
      </c>
    </row>
    <row r="147" spans="1:8" s="263" customFormat="1" ht="9" customHeight="1" x14ac:dyDescent="0.25">
      <c r="A147" s="263" t="s">
        <v>48</v>
      </c>
      <c r="B147" s="266">
        <v>1381</v>
      </c>
      <c r="C147" s="266">
        <v>1553</v>
      </c>
      <c r="D147" s="266">
        <v>1201</v>
      </c>
      <c r="E147" s="266">
        <v>57</v>
      </c>
      <c r="F147" s="266">
        <v>36</v>
      </c>
      <c r="G147" s="266">
        <v>58</v>
      </c>
      <c r="H147" s="266">
        <v>273</v>
      </c>
    </row>
    <row r="148" spans="1:8" s="263" customFormat="1" ht="9" customHeight="1" x14ac:dyDescent="0.25">
      <c r="A148" s="267" t="s">
        <v>49</v>
      </c>
      <c r="B148" s="268">
        <v>2675</v>
      </c>
      <c r="C148" s="268">
        <v>1599</v>
      </c>
      <c r="D148" s="268">
        <v>1437</v>
      </c>
      <c r="E148" s="268">
        <v>58</v>
      </c>
      <c r="F148" s="268">
        <v>67</v>
      </c>
      <c r="G148" s="268">
        <v>93</v>
      </c>
      <c r="H148" s="268">
        <v>127</v>
      </c>
    </row>
    <row r="149" spans="1:8" s="263" customFormat="1" ht="9" customHeight="1" x14ac:dyDescent="0.25">
      <c r="A149" s="263" t="s">
        <v>50</v>
      </c>
      <c r="B149" s="266">
        <v>496</v>
      </c>
      <c r="C149" s="266">
        <v>707</v>
      </c>
      <c r="D149" s="266">
        <v>419</v>
      </c>
      <c r="E149" s="266">
        <v>12</v>
      </c>
      <c r="F149" s="266">
        <v>10</v>
      </c>
      <c r="G149" s="266">
        <v>15</v>
      </c>
      <c r="H149" s="266">
        <v>151</v>
      </c>
    </row>
    <row r="150" spans="1:8" s="263" customFormat="1" ht="9" customHeight="1" x14ac:dyDescent="0.25">
      <c r="A150" s="263" t="s">
        <v>51</v>
      </c>
      <c r="B150" s="266">
        <v>4446</v>
      </c>
      <c r="C150" s="266">
        <v>3873</v>
      </c>
      <c r="D150" s="266">
        <v>3443</v>
      </c>
      <c r="E150" s="266">
        <v>103</v>
      </c>
      <c r="F150" s="266">
        <v>106</v>
      </c>
      <c r="G150" s="266">
        <v>174</v>
      </c>
      <c r="H150" s="266">
        <v>344</v>
      </c>
    </row>
    <row r="151" spans="1:8" s="263" customFormat="1" ht="9" customHeight="1" x14ac:dyDescent="0.25">
      <c r="A151" s="263" t="s">
        <v>52</v>
      </c>
      <c r="B151" s="266">
        <v>1479</v>
      </c>
      <c r="C151" s="266">
        <v>932</v>
      </c>
      <c r="D151" s="266">
        <v>762</v>
      </c>
      <c r="E151" s="266">
        <v>32</v>
      </c>
      <c r="F151" s="266">
        <v>39</v>
      </c>
      <c r="G151" s="266">
        <v>44</v>
      </c>
      <c r="H151" s="266">
        <v>92</v>
      </c>
    </row>
    <row r="152" spans="1:8" s="263" customFormat="1" ht="9" customHeight="1" x14ac:dyDescent="0.25">
      <c r="A152" s="267" t="s">
        <v>53</v>
      </c>
      <c r="B152" s="268">
        <v>643</v>
      </c>
      <c r="C152" s="268">
        <v>1003</v>
      </c>
      <c r="D152" s="268">
        <v>685</v>
      </c>
      <c r="E152" s="268">
        <v>30</v>
      </c>
      <c r="F152" s="268">
        <v>20</v>
      </c>
      <c r="G152" s="268">
        <v>32</v>
      </c>
      <c r="H152" s="268">
        <v>130</v>
      </c>
    </row>
    <row r="153" spans="1:8" s="263" customFormat="1" ht="8.25" customHeight="1" x14ac:dyDescent="0.25">
      <c r="B153" s="266"/>
      <c r="C153" s="266"/>
      <c r="D153" s="266"/>
      <c r="E153" s="266"/>
      <c r="F153" s="266"/>
      <c r="G153" s="266"/>
      <c r="H153" s="266"/>
    </row>
    <row r="154" spans="1:8" s="263" customFormat="1" ht="8.25" customHeight="1" x14ac:dyDescent="0.25">
      <c r="A154" s="261">
        <v>1999</v>
      </c>
      <c r="B154" s="262"/>
      <c r="C154" s="262"/>
      <c r="D154" s="262"/>
      <c r="E154" s="262"/>
      <c r="F154" s="262"/>
      <c r="G154" s="262"/>
      <c r="H154" s="262"/>
    </row>
    <row r="155" spans="1:8" s="263" customFormat="1" ht="8.25" customHeight="1" x14ac:dyDescent="0.25">
      <c r="A155" s="264" t="s">
        <v>21</v>
      </c>
      <c r="B155" s="262">
        <f t="shared" ref="B155:H155" si="4">SUM(B157:B188)</f>
        <v>77314</v>
      </c>
      <c r="C155" s="262">
        <f t="shared" si="4"/>
        <v>60281</v>
      </c>
      <c r="D155" s="262">
        <f t="shared" si="4"/>
        <v>49913</v>
      </c>
      <c r="E155" s="262">
        <f t="shared" si="4"/>
        <v>1790</v>
      </c>
      <c r="F155" s="262">
        <f t="shared" si="4"/>
        <v>1969</v>
      </c>
      <c r="G155" s="262">
        <f t="shared" si="4"/>
        <v>2723</v>
      </c>
      <c r="H155" s="262">
        <f t="shared" si="4"/>
        <v>6607</v>
      </c>
    </row>
    <row r="156" spans="1:8" s="263" customFormat="1" ht="3.95" customHeight="1" x14ac:dyDescent="0.25">
      <c r="A156" s="264"/>
      <c r="B156" s="262"/>
      <c r="C156" s="262"/>
      <c r="D156" s="262"/>
      <c r="E156" s="262"/>
      <c r="F156" s="262"/>
      <c r="G156" s="262"/>
      <c r="H156" s="262"/>
    </row>
    <row r="157" spans="1:8" s="263" customFormat="1" ht="9" customHeight="1" x14ac:dyDescent="0.25">
      <c r="A157" s="263" t="s">
        <v>23</v>
      </c>
      <c r="B157" s="266">
        <v>799</v>
      </c>
      <c r="C157" s="266">
        <v>491</v>
      </c>
      <c r="D157" s="266">
        <v>438</v>
      </c>
      <c r="E157" s="266">
        <v>13</v>
      </c>
      <c r="F157" s="266">
        <v>19</v>
      </c>
      <c r="G157" s="266">
        <v>30</v>
      </c>
      <c r="H157" s="266">
        <v>58</v>
      </c>
    </row>
    <row r="158" spans="1:8" s="263" customFormat="1" ht="9" customHeight="1" x14ac:dyDescent="0.25">
      <c r="A158" s="263" t="s">
        <v>24</v>
      </c>
      <c r="B158" s="266">
        <v>1549</v>
      </c>
      <c r="C158" s="266">
        <v>674</v>
      </c>
      <c r="D158" s="266">
        <v>909</v>
      </c>
      <c r="E158" s="266">
        <v>28</v>
      </c>
      <c r="F158" s="266">
        <v>39</v>
      </c>
      <c r="G158" s="266">
        <v>59</v>
      </c>
      <c r="H158" s="266">
        <v>71</v>
      </c>
    </row>
    <row r="159" spans="1:8" s="263" customFormat="1" ht="9" customHeight="1" x14ac:dyDescent="0.25">
      <c r="A159" s="263" t="s">
        <v>25</v>
      </c>
      <c r="B159" s="266">
        <v>611</v>
      </c>
      <c r="C159" s="266">
        <v>421</v>
      </c>
      <c r="D159" s="266">
        <v>381</v>
      </c>
      <c r="E159" s="266">
        <v>20</v>
      </c>
      <c r="F159" s="266">
        <v>20</v>
      </c>
      <c r="G159" s="266">
        <v>32</v>
      </c>
      <c r="H159" s="266">
        <v>55</v>
      </c>
    </row>
    <row r="160" spans="1:8" s="263" customFormat="1" ht="9" customHeight="1" x14ac:dyDescent="0.25">
      <c r="A160" s="267" t="s">
        <v>26</v>
      </c>
      <c r="B160" s="268">
        <v>671</v>
      </c>
      <c r="C160" s="268">
        <v>606</v>
      </c>
      <c r="D160" s="268">
        <v>554</v>
      </c>
      <c r="E160" s="268">
        <v>21</v>
      </c>
      <c r="F160" s="268">
        <v>22</v>
      </c>
      <c r="G160" s="268">
        <v>29</v>
      </c>
      <c r="H160" s="268">
        <v>57</v>
      </c>
    </row>
    <row r="161" spans="1:8" s="263" customFormat="1" ht="9" customHeight="1" x14ac:dyDescent="0.25">
      <c r="A161" s="263" t="s">
        <v>27</v>
      </c>
      <c r="B161" s="266">
        <v>2445</v>
      </c>
      <c r="C161" s="266">
        <v>1395</v>
      </c>
      <c r="D161" s="266">
        <v>1312</v>
      </c>
      <c r="E161" s="266">
        <v>56</v>
      </c>
      <c r="F161" s="266">
        <v>60</v>
      </c>
      <c r="G161" s="266">
        <v>93</v>
      </c>
      <c r="H161" s="266">
        <v>98</v>
      </c>
    </row>
    <row r="162" spans="1:8" s="263" customFormat="1" ht="9" customHeight="1" x14ac:dyDescent="0.25">
      <c r="A162" s="263" t="s">
        <v>28</v>
      </c>
      <c r="B162" s="266">
        <v>457</v>
      </c>
      <c r="C162" s="266">
        <v>562</v>
      </c>
      <c r="D162" s="266">
        <v>383</v>
      </c>
      <c r="E162" s="266">
        <v>14</v>
      </c>
      <c r="F162" s="266">
        <v>20</v>
      </c>
      <c r="G162" s="266">
        <v>15</v>
      </c>
      <c r="H162" s="266">
        <v>66</v>
      </c>
    </row>
    <row r="163" spans="1:8" s="263" customFormat="1" ht="9" customHeight="1" x14ac:dyDescent="0.25">
      <c r="A163" s="263" t="s">
        <v>29</v>
      </c>
      <c r="B163" s="266">
        <v>1752</v>
      </c>
      <c r="C163" s="266">
        <v>2331</v>
      </c>
      <c r="D163" s="266">
        <v>1931</v>
      </c>
      <c r="E163" s="266">
        <v>72</v>
      </c>
      <c r="F163" s="266">
        <v>66</v>
      </c>
      <c r="G163" s="266">
        <v>80</v>
      </c>
      <c r="H163" s="266">
        <v>187</v>
      </c>
    </row>
    <row r="164" spans="1:8" s="263" customFormat="1" ht="9" customHeight="1" x14ac:dyDescent="0.25">
      <c r="A164" s="267" t="s">
        <v>30</v>
      </c>
      <c r="B164" s="268">
        <v>2319</v>
      </c>
      <c r="C164" s="268">
        <v>1710</v>
      </c>
      <c r="D164" s="268">
        <v>1432</v>
      </c>
      <c r="E164" s="268">
        <v>61</v>
      </c>
      <c r="F164" s="268">
        <v>61</v>
      </c>
      <c r="G164" s="268">
        <v>76</v>
      </c>
      <c r="H164" s="268">
        <v>159</v>
      </c>
    </row>
    <row r="165" spans="1:8" s="263" customFormat="1" ht="9" customHeight="1" x14ac:dyDescent="0.25">
      <c r="A165" s="263" t="s">
        <v>63</v>
      </c>
      <c r="B165" s="266">
        <v>16581</v>
      </c>
      <c r="C165" s="266">
        <v>6132</v>
      </c>
      <c r="D165" s="266">
        <v>7796</v>
      </c>
      <c r="E165" s="266">
        <v>307</v>
      </c>
      <c r="F165" s="266">
        <v>445</v>
      </c>
      <c r="G165" s="266">
        <v>559</v>
      </c>
      <c r="H165" s="266">
        <v>117</v>
      </c>
    </row>
    <row r="166" spans="1:8" s="263" customFormat="1" ht="9" customHeight="1" x14ac:dyDescent="0.25">
      <c r="A166" s="263" t="s">
        <v>31</v>
      </c>
      <c r="B166" s="266">
        <v>1234</v>
      </c>
      <c r="C166" s="266">
        <v>1498</v>
      </c>
      <c r="D166" s="266">
        <v>905</v>
      </c>
      <c r="E166" s="266">
        <v>39</v>
      </c>
      <c r="F166" s="266">
        <v>35</v>
      </c>
      <c r="G166" s="266">
        <v>41</v>
      </c>
      <c r="H166" s="266">
        <v>128</v>
      </c>
    </row>
    <row r="167" spans="1:8" s="263" customFormat="1" ht="9" customHeight="1" x14ac:dyDescent="0.25">
      <c r="A167" s="263" t="s">
        <v>32</v>
      </c>
      <c r="B167" s="266">
        <v>2500</v>
      </c>
      <c r="C167" s="266">
        <v>2622</v>
      </c>
      <c r="D167" s="266">
        <v>1587</v>
      </c>
      <c r="E167" s="266">
        <v>51</v>
      </c>
      <c r="F167" s="266">
        <v>61</v>
      </c>
      <c r="G167" s="266">
        <v>80</v>
      </c>
      <c r="H167" s="266">
        <v>403</v>
      </c>
    </row>
    <row r="168" spans="1:8" s="263" customFormat="1" ht="9" customHeight="1" x14ac:dyDescent="0.25">
      <c r="A168" s="267" t="s">
        <v>33</v>
      </c>
      <c r="B168" s="268">
        <v>1574</v>
      </c>
      <c r="C168" s="268">
        <v>2634</v>
      </c>
      <c r="D168" s="268">
        <v>1742</v>
      </c>
      <c r="E168" s="268">
        <v>70</v>
      </c>
      <c r="F168" s="268">
        <v>59</v>
      </c>
      <c r="G168" s="268">
        <v>70</v>
      </c>
      <c r="H168" s="268">
        <v>633</v>
      </c>
    </row>
    <row r="169" spans="1:8" s="263" customFormat="1" ht="9" customHeight="1" x14ac:dyDescent="0.25">
      <c r="A169" s="263" t="s">
        <v>34</v>
      </c>
      <c r="B169" s="266">
        <v>1361</v>
      </c>
      <c r="C169" s="266">
        <v>2030</v>
      </c>
      <c r="D169" s="266">
        <v>1194</v>
      </c>
      <c r="E169" s="266">
        <v>41</v>
      </c>
      <c r="F169" s="266">
        <v>24</v>
      </c>
      <c r="G169" s="266">
        <v>39</v>
      </c>
      <c r="H169" s="266">
        <v>380</v>
      </c>
    </row>
    <row r="170" spans="1:8" s="263" customFormat="1" ht="9" customHeight="1" x14ac:dyDescent="0.25">
      <c r="A170" s="263" t="s">
        <v>35</v>
      </c>
      <c r="B170" s="266">
        <v>5946</v>
      </c>
      <c r="C170" s="266">
        <v>4327</v>
      </c>
      <c r="D170" s="266">
        <v>3089</v>
      </c>
      <c r="E170" s="266">
        <v>91</v>
      </c>
      <c r="F170" s="266">
        <v>117</v>
      </c>
      <c r="G170" s="266">
        <v>218</v>
      </c>
      <c r="H170" s="266">
        <v>534</v>
      </c>
    </row>
    <row r="171" spans="1:8" s="263" customFormat="1" ht="9" customHeight="1" x14ac:dyDescent="0.25">
      <c r="A171" s="263" t="s">
        <v>36</v>
      </c>
      <c r="B171" s="266">
        <v>7140</v>
      </c>
      <c r="C171" s="266">
        <v>4739</v>
      </c>
      <c r="D171" s="266">
        <v>4490</v>
      </c>
      <c r="E171" s="266">
        <v>135</v>
      </c>
      <c r="F171" s="266">
        <v>135</v>
      </c>
      <c r="G171" s="266">
        <v>180</v>
      </c>
      <c r="H171" s="266">
        <v>417</v>
      </c>
    </row>
    <row r="172" spans="1:8" s="263" customFormat="1" ht="9" customHeight="1" x14ac:dyDescent="0.25">
      <c r="A172" s="267" t="s">
        <v>37</v>
      </c>
      <c r="B172" s="268">
        <v>2068</v>
      </c>
      <c r="C172" s="268">
        <v>2841</v>
      </c>
      <c r="D172" s="268">
        <v>1715</v>
      </c>
      <c r="E172" s="268">
        <v>59</v>
      </c>
      <c r="F172" s="268">
        <v>54</v>
      </c>
      <c r="G172" s="268">
        <v>83</v>
      </c>
      <c r="H172" s="268">
        <v>252</v>
      </c>
    </row>
    <row r="173" spans="1:8" s="263" customFormat="1" ht="9" customHeight="1" x14ac:dyDescent="0.25">
      <c r="A173" s="263" t="s">
        <v>38</v>
      </c>
      <c r="B173" s="266">
        <v>834</v>
      </c>
      <c r="C173" s="266">
        <v>999</v>
      </c>
      <c r="D173" s="266">
        <v>681</v>
      </c>
      <c r="E173" s="266">
        <v>20</v>
      </c>
      <c r="F173" s="266">
        <v>20</v>
      </c>
      <c r="G173" s="266">
        <v>32</v>
      </c>
      <c r="H173" s="266">
        <v>125</v>
      </c>
    </row>
    <row r="174" spans="1:8" s="263" customFormat="1" ht="9" customHeight="1" x14ac:dyDescent="0.25">
      <c r="A174" s="263" t="s">
        <v>39</v>
      </c>
      <c r="B174" s="266">
        <v>723</v>
      </c>
      <c r="C174" s="266">
        <v>854</v>
      </c>
      <c r="D174" s="266">
        <v>607</v>
      </c>
      <c r="E174" s="266">
        <v>22</v>
      </c>
      <c r="F174" s="266">
        <v>19</v>
      </c>
      <c r="G174" s="266">
        <v>31</v>
      </c>
      <c r="H174" s="266">
        <v>114</v>
      </c>
    </row>
    <row r="175" spans="1:8" s="263" customFormat="1" ht="9" customHeight="1" x14ac:dyDescent="0.25">
      <c r="A175" s="263" t="s">
        <v>40</v>
      </c>
      <c r="B175" s="266">
        <v>3791</v>
      </c>
      <c r="C175" s="266">
        <v>1918</v>
      </c>
      <c r="D175" s="266">
        <v>2172</v>
      </c>
      <c r="E175" s="266">
        <v>74</v>
      </c>
      <c r="F175" s="266">
        <v>93</v>
      </c>
      <c r="G175" s="266">
        <v>117</v>
      </c>
      <c r="H175" s="266">
        <v>72</v>
      </c>
    </row>
    <row r="176" spans="1:8" s="263" customFormat="1" ht="9" customHeight="1" x14ac:dyDescent="0.25">
      <c r="A176" s="267" t="s">
        <v>41</v>
      </c>
      <c r="B176" s="268">
        <v>1724</v>
      </c>
      <c r="C176" s="268">
        <v>2361</v>
      </c>
      <c r="D176" s="268">
        <v>1721</v>
      </c>
      <c r="E176" s="268">
        <v>53</v>
      </c>
      <c r="F176" s="268">
        <v>47</v>
      </c>
      <c r="G176" s="268">
        <v>61</v>
      </c>
      <c r="H176" s="268">
        <v>431</v>
      </c>
    </row>
    <row r="177" spans="1:8" s="263" customFormat="1" ht="9" customHeight="1" x14ac:dyDescent="0.25">
      <c r="A177" s="263" t="s">
        <v>42</v>
      </c>
      <c r="B177" s="266">
        <v>3204</v>
      </c>
      <c r="C177" s="266">
        <v>2967</v>
      </c>
      <c r="D177" s="266">
        <v>2098</v>
      </c>
      <c r="E177" s="266">
        <v>72</v>
      </c>
      <c r="F177" s="266">
        <v>81</v>
      </c>
      <c r="G177" s="266">
        <v>108</v>
      </c>
      <c r="H177" s="266">
        <v>381</v>
      </c>
    </row>
    <row r="178" spans="1:8" s="263" customFormat="1" ht="9" customHeight="1" x14ac:dyDescent="0.25">
      <c r="A178" s="263" t="s">
        <v>43</v>
      </c>
      <c r="B178" s="266">
        <v>768</v>
      </c>
      <c r="C178" s="266">
        <v>975</v>
      </c>
      <c r="D178" s="266">
        <v>606</v>
      </c>
      <c r="E178" s="266">
        <v>18</v>
      </c>
      <c r="F178" s="266">
        <v>20</v>
      </c>
      <c r="G178" s="266">
        <v>27</v>
      </c>
      <c r="H178" s="266">
        <v>151</v>
      </c>
    </row>
    <row r="179" spans="1:8" s="263" customFormat="1" ht="9" customHeight="1" x14ac:dyDescent="0.25">
      <c r="A179" s="263" t="s">
        <v>44</v>
      </c>
      <c r="B179" s="266">
        <v>517</v>
      </c>
      <c r="C179" s="266">
        <v>539</v>
      </c>
      <c r="D179" s="266">
        <v>463</v>
      </c>
      <c r="E179" s="266">
        <v>31</v>
      </c>
      <c r="F179" s="266">
        <v>20</v>
      </c>
      <c r="G179" s="266">
        <v>26</v>
      </c>
      <c r="H179" s="266">
        <v>95</v>
      </c>
    </row>
    <row r="180" spans="1:8" s="263" customFormat="1" ht="9" customHeight="1" x14ac:dyDescent="0.25">
      <c r="A180" s="267" t="s">
        <v>45</v>
      </c>
      <c r="B180" s="268">
        <v>1402</v>
      </c>
      <c r="C180" s="268">
        <v>1337</v>
      </c>
      <c r="D180" s="268">
        <v>1037</v>
      </c>
      <c r="E180" s="268">
        <v>33</v>
      </c>
      <c r="F180" s="268">
        <v>36</v>
      </c>
      <c r="G180" s="268">
        <v>44</v>
      </c>
      <c r="H180" s="268">
        <v>132</v>
      </c>
    </row>
    <row r="181" spans="1:8" s="263" customFormat="1" ht="9" customHeight="1" x14ac:dyDescent="0.25">
      <c r="A181" s="263" t="s">
        <v>46</v>
      </c>
      <c r="B181" s="266">
        <v>1950</v>
      </c>
      <c r="C181" s="266">
        <v>1771</v>
      </c>
      <c r="D181" s="266">
        <v>1273</v>
      </c>
      <c r="E181" s="266">
        <v>39</v>
      </c>
      <c r="F181" s="266">
        <v>52</v>
      </c>
      <c r="G181" s="266">
        <v>82</v>
      </c>
      <c r="H181" s="266">
        <v>191</v>
      </c>
    </row>
    <row r="182" spans="1:8" s="263" customFormat="1" ht="9" customHeight="1" x14ac:dyDescent="0.25">
      <c r="A182" s="263" t="s">
        <v>47</v>
      </c>
      <c r="B182" s="266">
        <v>2385</v>
      </c>
      <c r="C182" s="266">
        <v>1757</v>
      </c>
      <c r="D182" s="266">
        <v>1307</v>
      </c>
      <c r="E182" s="266">
        <v>59</v>
      </c>
      <c r="F182" s="266">
        <v>63</v>
      </c>
      <c r="G182" s="266">
        <v>89</v>
      </c>
      <c r="H182" s="266">
        <v>210</v>
      </c>
    </row>
    <row r="183" spans="1:8" s="263" customFormat="1" ht="9" customHeight="1" x14ac:dyDescent="0.25">
      <c r="A183" s="263" t="s">
        <v>48</v>
      </c>
      <c r="B183" s="266">
        <v>1359</v>
      </c>
      <c r="C183" s="266">
        <v>1618</v>
      </c>
      <c r="D183" s="266">
        <v>1243</v>
      </c>
      <c r="E183" s="266">
        <v>56</v>
      </c>
      <c r="F183" s="266">
        <v>39</v>
      </c>
      <c r="G183" s="266">
        <v>61</v>
      </c>
      <c r="H183" s="266">
        <v>287</v>
      </c>
    </row>
    <row r="184" spans="1:8" s="263" customFormat="1" ht="9" customHeight="1" x14ac:dyDescent="0.25">
      <c r="A184" s="267" t="s">
        <v>49</v>
      </c>
      <c r="B184" s="268">
        <v>2701</v>
      </c>
      <c r="C184" s="268">
        <v>1676</v>
      </c>
      <c r="D184" s="268">
        <v>1486</v>
      </c>
      <c r="E184" s="268">
        <v>59</v>
      </c>
      <c r="F184" s="268">
        <v>67</v>
      </c>
      <c r="G184" s="268">
        <v>96</v>
      </c>
      <c r="H184" s="268">
        <v>125</v>
      </c>
    </row>
    <row r="185" spans="1:8" s="263" customFormat="1" ht="9" customHeight="1" x14ac:dyDescent="0.25">
      <c r="A185" s="263" t="s">
        <v>50</v>
      </c>
      <c r="B185" s="266">
        <v>458</v>
      </c>
      <c r="C185" s="266">
        <v>697</v>
      </c>
      <c r="D185" s="266">
        <v>412</v>
      </c>
      <c r="E185" s="266">
        <v>12</v>
      </c>
      <c r="F185" s="266">
        <v>10</v>
      </c>
      <c r="G185" s="266">
        <v>15</v>
      </c>
      <c r="H185" s="266">
        <v>148</v>
      </c>
    </row>
    <row r="186" spans="1:8" s="263" customFormat="1" ht="9" customHeight="1" x14ac:dyDescent="0.25">
      <c r="A186" s="263" t="s">
        <v>51</v>
      </c>
      <c r="B186" s="266">
        <v>4320</v>
      </c>
      <c r="C186" s="266">
        <v>3795</v>
      </c>
      <c r="D186" s="266">
        <v>3430</v>
      </c>
      <c r="E186" s="266">
        <v>100</v>
      </c>
      <c r="F186" s="266">
        <v>103</v>
      </c>
      <c r="G186" s="266">
        <v>173</v>
      </c>
      <c r="H186" s="266">
        <v>299</v>
      </c>
    </row>
    <row r="187" spans="1:8" s="263" customFormat="1" ht="9" customHeight="1" x14ac:dyDescent="0.25">
      <c r="A187" s="263" t="s">
        <v>52</v>
      </c>
      <c r="B187" s="266">
        <v>1463</v>
      </c>
      <c r="C187" s="266">
        <v>950</v>
      </c>
      <c r="D187" s="266">
        <v>815</v>
      </c>
      <c r="E187" s="266">
        <v>32</v>
      </c>
      <c r="F187" s="266">
        <v>37</v>
      </c>
      <c r="G187" s="266">
        <v>44</v>
      </c>
      <c r="H187" s="266">
        <v>92</v>
      </c>
    </row>
    <row r="188" spans="1:8" s="263" customFormat="1" ht="9" customHeight="1" x14ac:dyDescent="0.25">
      <c r="A188" s="267" t="s">
        <v>53</v>
      </c>
      <c r="B188" s="268">
        <v>708</v>
      </c>
      <c r="C188" s="268">
        <v>1054</v>
      </c>
      <c r="D188" s="268">
        <v>704</v>
      </c>
      <c r="E188" s="268">
        <v>32</v>
      </c>
      <c r="F188" s="268">
        <v>25</v>
      </c>
      <c r="G188" s="268">
        <v>33</v>
      </c>
      <c r="H188" s="268">
        <v>139</v>
      </c>
    </row>
    <row r="189" spans="1:8" s="263" customFormat="1" ht="9" customHeight="1" x14ac:dyDescent="0.25">
      <c r="A189" s="261"/>
      <c r="B189" s="262"/>
      <c r="C189" s="262"/>
      <c r="D189" s="262"/>
      <c r="E189" s="262"/>
      <c r="F189" s="262"/>
      <c r="G189" s="262"/>
      <c r="H189" s="262"/>
    </row>
    <row r="190" spans="1:8" s="263" customFormat="1" ht="9" customHeight="1" x14ac:dyDescent="0.25">
      <c r="A190" s="261">
        <v>2000</v>
      </c>
      <c r="B190" s="262"/>
      <c r="C190" s="262"/>
      <c r="D190" s="262"/>
      <c r="E190" s="262"/>
      <c r="F190" s="262"/>
      <c r="G190" s="262"/>
      <c r="H190" s="262"/>
    </row>
    <row r="191" spans="1:8" s="263" customFormat="1" ht="9" customHeight="1" x14ac:dyDescent="0.25">
      <c r="A191" s="264" t="s">
        <v>21</v>
      </c>
      <c r="B191" s="597">
        <f t="shared" ref="B191:H191" si="5">SUM(B193:B224)</f>
        <v>77144</v>
      </c>
      <c r="C191" s="597">
        <f t="shared" si="5"/>
        <v>60045</v>
      </c>
      <c r="D191" s="597">
        <f t="shared" si="5"/>
        <v>51492</v>
      </c>
      <c r="E191" s="597">
        <f t="shared" si="5"/>
        <v>1818</v>
      </c>
      <c r="F191" s="597">
        <f t="shared" si="5"/>
        <v>2020</v>
      </c>
      <c r="G191" s="597">
        <f t="shared" si="5"/>
        <v>2760</v>
      </c>
      <c r="H191" s="597">
        <f t="shared" si="5"/>
        <v>6945</v>
      </c>
    </row>
    <row r="192" spans="1:8" s="263" customFormat="1" ht="3.95" customHeight="1" x14ac:dyDescent="0.25">
      <c r="A192" s="264"/>
      <c r="B192" s="597"/>
      <c r="C192" s="597"/>
      <c r="D192" s="597"/>
      <c r="E192" s="597"/>
      <c r="F192" s="597"/>
      <c r="G192" s="597"/>
      <c r="H192" s="597"/>
    </row>
    <row r="193" spans="1:8" s="263" customFormat="1" ht="9" customHeight="1" x14ac:dyDescent="0.25">
      <c r="A193" s="263" t="s">
        <v>23</v>
      </c>
      <c r="B193" s="598">
        <v>799</v>
      </c>
      <c r="C193" s="598">
        <v>448</v>
      </c>
      <c r="D193" s="598">
        <v>564</v>
      </c>
      <c r="E193" s="598">
        <v>13</v>
      </c>
      <c r="F193" s="598">
        <v>19</v>
      </c>
      <c r="G193" s="598">
        <v>29</v>
      </c>
      <c r="H193" s="598">
        <v>50</v>
      </c>
    </row>
    <row r="194" spans="1:8" s="263" customFormat="1" ht="9" customHeight="1" x14ac:dyDescent="0.25">
      <c r="A194" s="263" t="s">
        <v>24</v>
      </c>
      <c r="B194" s="598">
        <v>1535</v>
      </c>
      <c r="C194" s="598">
        <v>735</v>
      </c>
      <c r="D194" s="598">
        <v>978</v>
      </c>
      <c r="E194" s="598">
        <v>29</v>
      </c>
      <c r="F194" s="598">
        <v>40</v>
      </c>
      <c r="G194" s="598">
        <v>62</v>
      </c>
      <c r="H194" s="598">
        <v>69</v>
      </c>
    </row>
    <row r="195" spans="1:8" s="263" customFormat="1" ht="9" customHeight="1" x14ac:dyDescent="0.25">
      <c r="A195" s="263" t="s">
        <v>25</v>
      </c>
      <c r="B195" s="598">
        <v>575</v>
      </c>
      <c r="C195" s="598">
        <v>416</v>
      </c>
      <c r="D195" s="598">
        <v>378</v>
      </c>
      <c r="E195" s="598">
        <v>21</v>
      </c>
      <c r="F195" s="598">
        <v>22</v>
      </c>
      <c r="G195" s="598">
        <v>28</v>
      </c>
      <c r="H195" s="598">
        <v>55</v>
      </c>
    </row>
    <row r="196" spans="1:8" s="263" customFormat="1" ht="9" customHeight="1" x14ac:dyDescent="0.25">
      <c r="A196" s="267" t="s">
        <v>26</v>
      </c>
      <c r="B196" s="599">
        <v>665</v>
      </c>
      <c r="C196" s="599">
        <v>594</v>
      </c>
      <c r="D196" s="599">
        <v>656</v>
      </c>
      <c r="E196" s="599">
        <v>22</v>
      </c>
      <c r="F196" s="599">
        <v>22</v>
      </c>
      <c r="G196" s="599">
        <v>27</v>
      </c>
      <c r="H196" s="599">
        <v>53</v>
      </c>
    </row>
    <row r="197" spans="1:8" s="263" customFormat="1" ht="9" customHeight="1" x14ac:dyDescent="0.25">
      <c r="A197" s="263" t="s">
        <v>27</v>
      </c>
      <c r="B197" s="598">
        <v>2434</v>
      </c>
      <c r="C197" s="598">
        <v>1340</v>
      </c>
      <c r="D197" s="598">
        <v>1385</v>
      </c>
      <c r="E197" s="598">
        <v>61</v>
      </c>
      <c r="F197" s="598">
        <v>66</v>
      </c>
      <c r="G197" s="598">
        <v>89</v>
      </c>
      <c r="H197" s="598">
        <v>78</v>
      </c>
    </row>
    <row r="198" spans="1:8" s="263" customFormat="1" ht="9" customHeight="1" x14ac:dyDescent="0.25">
      <c r="A198" s="263" t="s">
        <v>28</v>
      </c>
      <c r="B198" s="598">
        <v>536</v>
      </c>
      <c r="C198" s="598">
        <v>593</v>
      </c>
      <c r="D198" s="598">
        <v>415</v>
      </c>
      <c r="E198" s="598">
        <v>15</v>
      </c>
      <c r="F198" s="598">
        <v>21</v>
      </c>
      <c r="G198" s="598">
        <v>19</v>
      </c>
      <c r="H198" s="598">
        <v>72</v>
      </c>
    </row>
    <row r="199" spans="1:8" s="263" customFormat="1" ht="9" customHeight="1" x14ac:dyDescent="0.25">
      <c r="A199" s="263" t="s">
        <v>29</v>
      </c>
      <c r="B199" s="598">
        <v>1830</v>
      </c>
      <c r="C199" s="598">
        <v>2389</v>
      </c>
      <c r="D199" s="598">
        <v>2011</v>
      </c>
      <c r="E199" s="598">
        <v>78</v>
      </c>
      <c r="F199" s="598">
        <v>71</v>
      </c>
      <c r="G199" s="598">
        <v>86</v>
      </c>
      <c r="H199" s="598">
        <v>187</v>
      </c>
    </row>
    <row r="200" spans="1:8" s="263" customFormat="1" ht="9" customHeight="1" x14ac:dyDescent="0.25">
      <c r="A200" s="267" t="s">
        <v>30</v>
      </c>
      <c r="B200" s="599">
        <v>2351</v>
      </c>
      <c r="C200" s="599">
        <v>1749</v>
      </c>
      <c r="D200" s="599">
        <v>1443</v>
      </c>
      <c r="E200" s="599">
        <v>63</v>
      </c>
      <c r="F200" s="599">
        <v>62</v>
      </c>
      <c r="G200" s="599">
        <v>80</v>
      </c>
      <c r="H200" s="599">
        <v>168</v>
      </c>
    </row>
    <row r="201" spans="1:8" s="263" customFormat="1" ht="9" customHeight="1" x14ac:dyDescent="0.25">
      <c r="A201" s="263" t="s">
        <v>63</v>
      </c>
      <c r="B201" s="598">
        <v>16640</v>
      </c>
      <c r="C201" s="598">
        <v>6133</v>
      </c>
      <c r="D201" s="598">
        <v>8004</v>
      </c>
      <c r="E201" s="598">
        <v>308</v>
      </c>
      <c r="F201" s="598">
        <v>452</v>
      </c>
      <c r="G201" s="598">
        <v>578</v>
      </c>
      <c r="H201" s="598">
        <v>123</v>
      </c>
    </row>
    <row r="202" spans="1:8" s="263" customFormat="1" ht="9" customHeight="1" x14ac:dyDescent="0.25">
      <c r="A202" s="263" t="s">
        <v>31</v>
      </c>
      <c r="B202" s="598">
        <v>1231</v>
      </c>
      <c r="C202" s="598">
        <v>1417</v>
      </c>
      <c r="D202" s="598">
        <v>934</v>
      </c>
      <c r="E202" s="598">
        <v>46</v>
      </c>
      <c r="F202" s="598">
        <v>39</v>
      </c>
      <c r="G202" s="598">
        <v>40</v>
      </c>
      <c r="H202" s="598">
        <v>135</v>
      </c>
    </row>
    <row r="203" spans="1:8" s="263" customFormat="1" ht="9" customHeight="1" x14ac:dyDescent="0.25">
      <c r="A203" s="263" t="s">
        <v>32</v>
      </c>
      <c r="B203" s="598">
        <v>2486</v>
      </c>
      <c r="C203" s="598">
        <v>2285</v>
      </c>
      <c r="D203" s="598">
        <v>1652</v>
      </c>
      <c r="E203" s="598">
        <v>52</v>
      </c>
      <c r="F203" s="598">
        <v>71</v>
      </c>
      <c r="G203" s="598">
        <v>86</v>
      </c>
      <c r="H203" s="598">
        <v>396</v>
      </c>
    </row>
    <row r="204" spans="1:8" s="263" customFormat="1" ht="9" customHeight="1" x14ac:dyDescent="0.25">
      <c r="A204" s="267" t="s">
        <v>33</v>
      </c>
      <c r="B204" s="599">
        <v>1607</v>
      </c>
      <c r="C204" s="599">
        <v>2734</v>
      </c>
      <c r="D204" s="599">
        <v>1802</v>
      </c>
      <c r="E204" s="599">
        <v>72</v>
      </c>
      <c r="F204" s="599">
        <v>59</v>
      </c>
      <c r="G204" s="599">
        <v>72</v>
      </c>
      <c r="H204" s="599">
        <v>662</v>
      </c>
    </row>
    <row r="205" spans="1:8" s="263" customFormat="1" ht="9" customHeight="1" x14ac:dyDescent="0.25">
      <c r="A205" s="263" t="s">
        <v>34</v>
      </c>
      <c r="B205" s="598">
        <v>1261</v>
      </c>
      <c r="C205" s="598">
        <v>2102</v>
      </c>
      <c r="D205" s="598">
        <v>1277</v>
      </c>
      <c r="E205" s="598">
        <v>43</v>
      </c>
      <c r="F205" s="598">
        <v>29</v>
      </c>
      <c r="G205" s="598">
        <v>38</v>
      </c>
      <c r="H205" s="598">
        <v>397</v>
      </c>
    </row>
    <row r="206" spans="1:8" s="263" customFormat="1" ht="9" customHeight="1" x14ac:dyDescent="0.25">
      <c r="A206" s="263" t="s">
        <v>35</v>
      </c>
      <c r="B206" s="598">
        <v>6103</v>
      </c>
      <c r="C206" s="598">
        <v>4425</v>
      </c>
      <c r="D206" s="598">
        <v>3201</v>
      </c>
      <c r="E206" s="598">
        <v>97</v>
      </c>
      <c r="F206" s="598">
        <v>124</v>
      </c>
      <c r="G206" s="598">
        <v>225</v>
      </c>
      <c r="H206" s="598">
        <v>553</v>
      </c>
    </row>
    <row r="207" spans="1:8" s="263" customFormat="1" ht="9" customHeight="1" x14ac:dyDescent="0.25">
      <c r="A207" s="263" t="s">
        <v>36</v>
      </c>
      <c r="B207" s="598">
        <v>6962</v>
      </c>
      <c r="C207" s="598">
        <v>4634</v>
      </c>
      <c r="D207" s="598">
        <v>4345</v>
      </c>
      <c r="E207" s="598">
        <v>137</v>
      </c>
      <c r="F207" s="598">
        <v>139</v>
      </c>
      <c r="G207" s="598">
        <v>180</v>
      </c>
      <c r="H207" s="598">
        <v>412</v>
      </c>
    </row>
    <row r="208" spans="1:8" s="263" customFormat="1" ht="9" customHeight="1" x14ac:dyDescent="0.25">
      <c r="A208" s="267" t="s">
        <v>37</v>
      </c>
      <c r="B208" s="599">
        <v>1977</v>
      </c>
      <c r="C208" s="599">
        <v>2727</v>
      </c>
      <c r="D208" s="599">
        <v>1723</v>
      </c>
      <c r="E208" s="599">
        <v>63</v>
      </c>
      <c r="F208" s="599">
        <v>50</v>
      </c>
      <c r="G208" s="599">
        <v>78</v>
      </c>
      <c r="H208" s="599">
        <v>246</v>
      </c>
    </row>
    <row r="209" spans="1:8" s="263" customFormat="1" ht="9" customHeight="1" x14ac:dyDescent="0.25">
      <c r="A209" s="263" t="s">
        <v>38</v>
      </c>
      <c r="B209" s="598">
        <v>845</v>
      </c>
      <c r="C209" s="598">
        <v>933</v>
      </c>
      <c r="D209" s="598">
        <v>741</v>
      </c>
      <c r="E209" s="598">
        <v>19</v>
      </c>
      <c r="F209" s="598">
        <v>22</v>
      </c>
      <c r="G209" s="598">
        <v>34</v>
      </c>
      <c r="H209" s="598">
        <v>139</v>
      </c>
    </row>
    <row r="210" spans="1:8" s="263" customFormat="1" ht="9" customHeight="1" x14ac:dyDescent="0.25">
      <c r="A210" s="263" t="s">
        <v>39</v>
      </c>
      <c r="B210" s="598">
        <v>693</v>
      </c>
      <c r="C210" s="598">
        <v>824</v>
      </c>
      <c r="D210" s="598">
        <v>615</v>
      </c>
      <c r="E210" s="598">
        <v>22</v>
      </c>
      <c r="F210" s="598">
        <v>18</v>
      </c>
      <c r="G210" s="598">
        <v>29</v>
      </c>
      <c r="H210" s="598">
        <v>114</v>
      </c>
    </row>
    <row r="211" spans="1:8" s="263" customFormat="1" ht="9" customHeight="1" x14ac:dyDescent="0.25">
      <c r="A211" s="263" t="s">
        <v>40</v>
      </c>
      <c r="B211" s="598">
        <v>3667</v>
      </c>
      <c r="C211" s="598">
        <v>2026</v>
      </c>
      <c r="D211" s="598">
        <v>2235</v>
      </c>
      <c r="E211" s="598">
        <v>73</v>
      </c>
      <c r="F211" s="598">
        <v>99</v>
      </c>
      <c r="G211" s="598">
        <v>119</v>
      </c>
      <c r="H211" s="598">
        <v>81</v>
      </c>
    </row>
    <row r="212" spans="1:8" s="263" customFormat="1" ht="9" customHeight="1" x14ac:dyDescent="0.25">
      <c r="A212" s="267" t="s">
        <v>41</v>
      </c>
      <c r="B212" s="599">
        <v>1688</v>
      </c>
      <c r="C212" s="599">
        <v>2395</v>
      </c>
      <c r="D212" s="599">
        <v>1787</v>
      </c>
      <c r="E212" s="599">
        <v>53</v>
      </c>
      <c r="F212" s="599">
        <v>45</v>
      </c>
      <c r="G212" s="599">
        <v>60</v>
      </c>
      <c r="H212" s="599">
        <v>443</v>
      </c>
    </row>
    <row r="213" spans="1:8" s="263" customFormat="1" ht="9" customHeight="1" x14ac:dyDescent="0.25">
      <c r="A213" s="263" t="s">
        <v>42</v>
      </c>
      <c r="B213" s="598">
        <v>3371</v>
      </c>
      <c r="C213" s="598">
        <v>3137</v>
      </c>
      <c r="D213" s="598">
        <v>2184</v>
      </c>
      <c r="E213" s="598">
        <v>64</v>
      </c>
      <c r="F213" s="598">
        <v>78</v>
      </c>
      <c r="G213" s="598">
        <v>114</v>
      </c>
      <c r="H213" s="598">
        <v>407</v>
      </c>
    </row>
    <row r="214" spans="1:8" s="263" customFormat="1" ht="9" customHeight="1" x14ac:dyDescent="0.25">
      <c r="A214" s="263" t="s">
        <v>43</v>
      </c>
      <c r="B214" s="598">
        <v>765</v>
      </c>
      <c r="C214" s="598">
        <v>994</v>
      </c>
      <c r="D214" s="598">
        <v>649</v>
      </c>
      <c r="E214" s="598">
        <v>20</v>
      </c>
      <c r="F214" s="598">
        <v>22</v>
      </c>
      <c r="G214" s="598">
        <v>27</v>
      </c>
      <c r="H214" s="598">
        <v>159</v>
      </c>
    </row>
    <row r="215" spans="1:8" s="263" customFormat="1" ht="9" customHeight="1" x14ac:dyDescent="0.25">
      <c r="A215" s="263" t="s">
        <v>44</v>
      </c>
      <c r="B215" s="598">
        <v>526</v>
      </c>
      <c r="C215" s="598">
        <v>499</v>
      </c>
      <c r="D215" s="598">
        <v>497</v>
      </c>
      <c r="E215" s="598">
        <v>30</v>
      </c>
      <c r="F215" s="598">
        <v>20</v>
      </c>
      <c r="G215" s="598">
        <v>25</v>
      </c>
      <c r="H215" s="598">
        <v>121</v>
      </c>
    </row>
    <row r="216" spans="1:8" s="263" customFormat="1" ht="9" customHeight="1" x14ac:dyDescent="0.25">
      <c r="A216" s="267" t="s">
        <v>45</v>
      </c>
      <c r="B216" s="599">
        <v>1371</v>
      </c>
      <c r="C216" s="599">
        <v>1356</v>
      </c>
      <c r="D216" s="599">
        <v>1060</v>
      </c>
      <c r="E216" s="599">
        <v>32</v>
      </c>
      <c r="F216" s="599">
        <v>30</v>
      </c>
      <c r="G216" s="599">
        <v>42</v>
      </c>
      <c r="H216" s="599">
        <v>144</v>
      </c>
    </row>
    <row r="217" spans="1:8" s="263" customFormat="1" ht="9" customHeight="1" x14ac:dyDescent="0.25">
      <c r="A217" s="263" t="s">
        <v>46</v>
      </c>
      <c r="B217" s="598">
        <v>1899</v>
      </c>
      <c r="C217" s="598">
        <v>1627</v>
      </c>
      <c r="D217" s="598">
        <v>1223</v>
      </c>
      <c r="E217" s="598">
        <v>41</v>
      </c>
      <c r="F217" s="598">
        <v>52</v>
      </c>
      <c r="G217" s="598">
        <v>83</v>
      </c>
      <c r="H217" s="598">
        <v>200</v>
      </c>
    </row>
    <row r="218" spans="1:8" s="263" customFormat="1" ht="9" customHeight="1" x14ac:dyDescent="0.25">
      <c r="A218" s="263" t="s">
        <v>47</v>
      </c>
      <c r="B218" s="598">
        <v>2354</v>
      </c>
      <c r="C218" s="598">
        <v>1669</v>
      </c>
      <c r="D218" s="598">
        <v>1274</v>
      </c>
      <c r="E218" s="598">
        <v>57</v>
      </c>
      <c r="F218" s="598">
        <v>66</v>
      </c>
      <c r="G218" s="598">
        <v>89</v>
      </c>
      <c r="H218" s="598">
        <v>211</v>
      </c>
    </row>
    <row r="219" spans="1:8" s="263" customFormat="1" ht="9" customHeight="1" x14ac:dyDescent="0.25">
      <c r="A219" s="263" t="s">
        <v>48</v>
      </c>
      <c r="B219" s="598">
        <v>1397</v>
      </c>
      <c r="C219" s="598">
        <v>1640</v>
      </c>
      <c r="D219" s="598">
        <v>1301</v>
      </c>
      <c r="E219" s="598">
        <v>57</v>
      </c>
      <c r="F219" s="598">
        <v>39</v>
      </c>
      <c r="G219" s="598">
        <v>62</v>
      </c>
      <c r="H219" s="598">
        <v>290</v>
      </c>
    </row>
    <row r="220" spans="1:8" s="263" customFormat="1" ht="9" customHeight="1" x14ac:dyDescent="0.25">
      <c r="A220" s="267" t="s">
        <v>49</v>
      </c>
      <c r="B220" s="599">
        <v>2650</v>
      </c>
      <c r="C220" s="599">
        <v>1666</v>
      </c>
      <c r="D220" s="599">
        <v>1493</v>
      </c>
      <c r="E220" s="599">
        <v>55</v>
      </c>
      <c r="F220" s="599">
        <v>66</v>
      </c>
      <c r="G220" s="599">
        <v>91</v>
      </c>
      <c r="H220" s="599">
        <v>133</v>
      </c>
    </row>
    <row r="221" spans="1:8" s="263" customFormat="1" ht="9" customHeight="1" x14ac:dyDescent="0.25">
      <c r="A221" s="263" t="s">
        <v>50</v>
      </c>
      <c r="B221" s="598">
        <v>496</v>
      </c>
      <c r="C221" s="598">
        <v>741</v>
      </c>
      <c r="D221" s="598">
        <v>454</v>
      </c>
      <c r="E221" s="598">
        <v>13</v>
      </c>
      <c r="F221" s="598">
        <v>11</v>
      </c>
      <c r="G221" s="598">
        <v>18</v>
      </c>
      <c r="H221" s="598">
        <v>153</v>
      </c>
    </row>
    <row r="222" spans="1:8" s="263" customFormat="1" ht="9" customHeight="1" x14ac:dyDescent="0.25">
      <c r="A222" s="263" t="s">
        <v>51</v>
      </c>
      <c r="B222" s="598">
        <v>4222</v>
      </c>
      <c r="C222" s="598">
        <v>3756</v>
      </c>
      <c r="D222" s="598">
        <v>3684</v>
      </c>
      <c r="E222" s="598">
        <v>99</v>
      </c>
      <c r="F222" s="598">
        <v>104</v>
      </c>
      <c r="G222" s="598">
        <v>172</v>
      </c>
      <c r="H222" s="598">
        <v>453</v>
      </c>
    </row>
    <row r="223" spans="1:8" s="263" customFormat="1" ht="9" customHeight="1" x14ac:dyDescent="0.25">
      <c r="A223" s="263" t="s">
        <v>52</v>
      </c>
      <c r="B223" s="598">
        <v>1496</v>
      </c>
      <c r="C223" s="598">
        <v>980</v>
      </c>
      <c r="D223" s="598">
        <v>824</v>
      </c>
      <c r="E223" s="598">
        <v>31</v>
      </c>
      <c r="F223" s="598">
        <v>36</v>
      </c>
      <c r="G223" s="598">
        <v>44</v>
      </c>
      <c r="H223" s="598">
        <v>100</v>
      </c>
    </row>
    <row r="224" spans="1:8" s="263" customFormat="1" ht="9" customHeight="1" x14ac:dyDescent="0.25">
      <c r="A224" s="267" t="s">
        <v>53</v>
      </c>
      <c r="B224" s="599">
        <v>712</v>
      </c>
      <c r="C224" s="599">
        <v>1081</v>
      </c>
      <c r="D224" s="599">
        <v>703</v>
      </c>
      <c r="E224" s="599">
        <v>32</v>
      </c>
      <c r="F224" s="599">
        <v>26</v>
      </c>
      <c r="G224" s="599">
        <v>34</v>
      </c>
      <c r="H224" s="599">
        <v>141</v>
      </c>
    </row>
    <row r="225" spans="1:8" s="263" customFormat="1" ht="9" customHeight="1" x14ac:dyDescent="0.25">
      <c r="B225" s="266"/>
      <c r="C225" s="266"/>
      <c r="D225" s="266"/>
      <c r="E225" s="266"/>
      <c r="F225" s="266"/>
      <c r="G225" s="266"/>
      <c r="H225" s="266"/>
    </row>
    <row r="226" spans="1:8" s="263" customFormat="1" ht="9" customHeight="1" x14ac:dyDescent="0.25">
      <c r="A226" s="261" t="s">
        <v>213</v>
      </c>
      <c r="B226" s="262"/>
      <c r="C226" s="262"/>
      <c r="D226" s="262"/>
      <c r="E226" s="262"/>
      <c r="F226" s="262"/>
      <c r="G226" s="262"/>
      <c r="H226" s="262"/>
    </row>
    <row r="227" spans="1:8" s="263" customFormat="1" ht="9" customHeight="1" x14ac:dyDescent="0.25">
      <c r="A227" s="264" t="s">
        <v>21</v>
      </c>
      <c r="B227" s="262">
        <f>SUM(B229:B260)</f>
        <v>78051</v>
      </c>
      <c r="C227" s="262">
        <f t="shared" ref="C227:H227" si="6">SUM(C229:C260)</f>
        <v>60322</v>
      </c>
      <c r="D227" s="262">
        <f t="shared" si="6"/>
        <v>51598</v>
      </c>
      <c r="E227" s="262">
        <f t="shared" si="6"/>
        <v>1855</v>
      </c>
      <c r="F227" s="262">
        <f t="shared" si="6"/>
        <v>2132</v>
      </c>
      <c r="G227" s="262">
        <f>SUM(G229:G260)</f>
        <v>2819</v>
      </c>
      <c r="H227" s="262">
        <f t="shared" si="6"/>
        <v>7072</v>
      </c>
    </row>
    <row r="228" spans="1:8" s="263" customFormat="1" ht="3.95" customHeight="1" x14ac:dyDescent="0.25">
      <c r="A228" s="264"/>
      <c r="B228" s="262"/>
      <c r="C228" s="262"/>
      <c r="D228" s="262"/>
      <c r="E228" s="262"/>
      <c r="F228" s="262"/>
      <c r="G228" s="262"/>
      <c r="H228" s="262"/>
    </row>
    <row r="229" spans="1:8" s="263" customFormat="1" ht="9" customHeight="1" x14ac:dyDescent="0.25">
      <c r="A229" s="263" t="s">
        <v>23</v>
      </c>
      <c r="B229" s="266">
        <v>766</v>
      </c>
      <c r="C229" s="266">
        <v>433</v>
      </c>
      <c r="D229" s="266">
        <v>530</v>
      </c>
      <c r="E229" s="266">
        <v>14</v>
      </c>
      <c r="F229" s="266">
        <v>22</v>
      </c>
      <c r="G229" s="266">
        <v>28</v>
      </c>
      <c r="H229" s="266">
        <v>45</v>
      </c>
    </row>
    <row r="230" spans="1:8" s="263" customFormat="1" ht="9" customHeight="1" x14ac:dyDescent="0.25">
      <c r="A230" s="263" t="s">
        <v>24</v>
      </c>
      <c r="B230" s="266">
        <v>1646</v>
      </c>
      <c r="C230" s="266">
        <v>788</v>
      </c>
      <c r="D230" s="266">
        <v>1010</v>
      </c>
      <c r="E230" s="266">
        <v>32</v>
      </c>
      <c r="F230" s="266">
        <v>43</v>
      </c>
      <c r="G230" s="266">
        <v>67</v>
      </c>
      <c r="H230" s="266">
        <v>66</v>
      </c>
    </row>
    <row r="231" spans="1:8" s="263" customFormat="1" ht="9" customHeight="1" x14ac:dyDescent="0.25">
      <c r="A231" s="263" t="s">
        <v>25</v>
      </c>
      <c r="B231" s="266">
        <v>576</v>
      </c>
      <c r="C231" s="266">
        <v>403</v>
      </c>
      <c r="D231" s="266">
        <v>383</v>
      </c>
      <c r="E231" s="266">
        <v>23</v>
      </c>
      <c r="F231" s="266">
        <v>22</v>
      </c>
      <c r="G231" s="266">
        <v>28</v>
      </c>
      <c r="H231" s="266">
        <v>51</v>
      </c>
    </row>
    <row r="232" spans="1:8" s="263" customFormat="1" ht="9" customHeight="1" x14ac:dyDescent="0.25">
      <c r="A232" s="267" t="s">
        <v>26</v>
      </c>
      <c r="B232" s="268">
        <v>677</v>
      </c>
      <c r="C232" s="268">
        <v>612</v>
      </c>
      <c r="D232" s="268">
        <v>673</v>
      </c>
      <c r="E232" s="268">
        <v>23</v>
      </c>
      <c r="F232" s="268">
        <v>22</v>
      </c>
      <c r="G232" s="268">
        <v>28</v>
      </c>
      <c r="H232" s="268">
        <v>55</v>
      </c>
    </row>
    <row r="233" spans="1:8" s="263" customFormat="1" ht="9" customHeight="1" x14ac:dyDescent="0.25">
      <c r="A233" s="263" t="s">
        <v>27</v>
      </c>
      <c r="B233" s="266">
        <v>2460</v>
      </c>
      <c r="C233" s="266">
        <v>1417</v>
      </c>
      <c r="D233" s="266">
        <v>1327</v>
      </c>
      <c r="E233" s="266">
        <v>60</v>
      </c>
      <c r="F233" s="266">
        <v>69</v>
      </c>
      <c r="G233" s="266">
        <v>93</v>
      </c>
      <c r="H233" s="266">
        <v>78</v>
      </c>
    </row>
    <row r="234" spans="1:8" s="263" customFormat="1" ht="9" customHeight="1" x14ac:dyDescent="0.25">
      <c r="A234" s="263" t="s">
        <v>28</v>
      </c>
      <c r="B234" s="266">
        <v>484</v>
      </c>
      <c r="C234" s="266">
        <v>535</v>
      </c>
      <c r="D234" s="266">
        <v>396</v>
      </c>
      <c r="E234" s="266">
        <v>14</v>
      </c>
      <c r="F234" s="266">
        <v>15</v>
      </c>
      <c r="G234" s="266">
        <v>16</v>
      </c>
      <c r="H234" s="266">
        <v>13</v>
      </c>
    </row>
    <row r="235" spans="1:8" s="263" customFormat="1" ht="9" customHeight="1" x14ac:dyDescent="0.25">
      <c r="A235" s="263" t="s">
        <v>29</v>
      </c>
      <c r="B235" s="266">
        <v>1814</v>
      </c>
      <c r="C235" s="266">
        <v>2366</v>
      </c>
      <c r="D235" s="266">
        <v>2029</v>
      </c>
      <c r="E235" s="266">
        <v>76</v>
      </c>
      <c r="F235" s="266">
        <v>73</v>
      </c>
      <c r="G235" s="266">
        <v>83</v>
      </c>
      <c r="H235" s="266">
        <v>164</v>
      </c>
    </row>
    <row r="236" spans="1:8" s="263" customFormat="1" ht="9" customHeight="1" x14ac:dyDescent="0.25">
      <c r="A236" s="267" t="s">
        <v>30</v>
      </c>
      <c r="B236" s="268">
        <v>2424</v>
      </c>
      <c r="C236" s="268">
        <v>1830</v>
      </c>
      <c r="D236" s="268">
        <v>1443</v>
      </c>
      <c r="E236" s="268">
        <v>69</v>
      </c>
      <c r="F236" s="268">
        <v>66</v>
      </c>
      <c r="G236" s="268">
        <v>86</v>
      </c>
      <c r="H236" s="268">
        <v>170</v>
      </c>
    </row>
    <row r="237" spans="1:8" s="263" customFormat="1" ht="9" customHeight="1" x14ac:dyDescent="0.25">
      <c r="A237" s="263" t="s">
        <v>63</v>
      </c>
      <c r="B237" s="266">
        <v>16669</v>
      </c>
      <c r="C237" s="266">
        <v>6074</v>
      </c>
      <c r="D237" s="266">
        <v>7885</v>
      </c>
      <c r="E237" s="266">
        <v>297</v>
      </c>
      <c r="F237" s="266">
        <v>463</v>
      </c>
      <c r="G237" s="266">
        <v>589</v>
      </c>
      <c r="H237" s="266">
        <v>129</v>
      </c>
    </row>
    <row r="238" spans="1:8" s="263" customFormat="1" ht="9" customHeight="1" x14ac:dyDescent="0.25">
      <c r="A238" s="263" t="s">
        <v>31</v>
      </c>
      <c r="B238" s="266">
        <v>1233</v>
      </c>
      <c r="C238" s="266">
        <v>1526</v>
      </c>
      <c r="D238" s="266">
        <v>955</v>
      </c>
      <c r="E238" s="266">
        <v>47</v>
      </c>
      <c r="F238" s="266">
        <v>41</v>
      </c>
      <c r="G238" s="266">
        <v>38</v>
      </c>
      <c r="H238" s="266">
        <v>140</v>
      </c>
    </row>
    <row r="239" spans="1:8" s="263" customFormat="1" ht="9" customHeight="1" x14ac:dyDescent="0.25">
      <c r="A239" s="263" t="s">
        <v>32</v>
      </c>
      <c r="B239" s="266">
        <v>2528</v>
      </c>
      <c r="C239" s="266">
        <v>2203</v>
      </c>
      <c r="D239" s="266">
        <v>1676</v>
      </c>
      <c r="E239" s="266">
        <v>48</v>
      </c>
      <c r="F239" s="266">
        <v>76</v>
      </c>
      <c r="G239" s="266">
        <v>87</v>
      </c>
      <c r="H239" s="266">
        <v>399</v>
      </c>
    </row>
    <row r="240" spans="1:8" s="263" customFormat="1" ht="9" customHeight="1" x14ac:dyDescent="0.25">
      <c r="A240" s="267" t="s">
        <v>33</v>
      </c>
      <c r="B240" s="268">
        <v>1594</v>
      </c>
      <c r="C240" s="268">
        <v>2580</v>
      </c>
      <c r="D240" s="268">
        <v>1803</v>
      </c>
      <c r="E240" s="268">
        <v>73</v>
      </c>
      <c r="F240" s="268">
        <v>61</v>
      </c>
      <c r="G240" s="268">
        <v>71</v>
      </c>
      <c r="H240" s="268">
        <v>689</v>
      </c>
    </row>
    <row r="241" spans="1:8" s="263" customFormat="1" ht="9" customHeight="1" x14ac:dyDescent="0.25">
      <c r="A241" s="263" t="s">
        <v>34</v>
      </c>
      <c r="B241" s="266">
        <v>1227</v>
      </c>
      <c r="C241" s="266">
        <v>2184</v>
      </c>
      <c r="D241" s="266">
        <v>1299</v>
      </c>
      <c r="E241" s="266">
        <v>44</v>
      </c>
      <c r="F241" s="266">
        <v>31</v>
      </c>
      <c r="G241" s="266">
        <v>37</v>
      </c>
      <c r="H241" s="266">
        <v>414</v>
      </c>
    </row>
    <row r="242" spans="1:8" s="263" customFormat="1" ht="9" customHeight="1" x14ac:dyDescent="0.25">
      <c r="A242" s="263" t="s">
        <v>35</v>
      </c>
      <c r="B242" s="266">
        <v>6155</v>
      </c>
      <c r="C242" s="266">
        <v>4237</v>
      </c>
      <c r="D242" s="266">
        <v>3077</v>
      </c>
      <c r="E242" s="266">
        <v>97</v>
      </c>
      <c r="F242" s="266">
        <v>118</v>
      </c>
      <c r="G242" s="266">
        <v>219</v>
      </c>
      <c r="H242" s="266">
        <v>555</v>
      </c>
    </row>
    <row r="243" spans="1:8" s="263" customFormat="1" ht="9" customHeight="1" x14ac:dyDescent="0.25">
      <c r="A243" s="263" t="s">
        <v>36</v>
      </c>
      <c r="B243" s="266">
        <v>6970</v>
      </c>
      <c r="C243" s="266">
        <v>4638</v>
      </c>
      <c r="D243" s="266">
        <v>4301</v>
      </c>
      <c r="E243" s="266">
        <v>138</v>
      </c>
      <c r="F243" s="266">
        <v>170</v>
      </c>
      <c r="G243" s="266">
        <v>183</v>
      </c>
      <c r="H243" s="266">
        <v>410</v>
      </c>
    </row>
    <row r="244" spans="1:8" s="263" customFormat="1" ht="9" customHeight="1" x14ac:dyDescent="0.25">
      <c r="A244" s="267" t="s">
        <v>37</v>
      </c>
      <c r="B244" s="268">
        <v>2148</v>
      </c>
      <c r="C244" s="268">
        <v>2890</v>
      </c>
      <c r="D244" s="268">
        <v>1757</v>
      </c>
      <c r="E244" s="268">
        <v>68</v>
      </c>
      <c r="F244" s="268">
        <v>59</v>
      </c>
      <c r="G244" s="268">
        <v>89</v>
      </c>
      <c r="H244" s="268">
        <v>260</v>
      </c>
    </row>
    <row r="245" spans="1:8" s="263" customFormat="1" ht="9" customHeight="1" x14ac:dyDescent="0.25">
      <c r="A245" s="263" t="s">
        <v>38</v>
      </c>
      <c r="B245" s="266">
        <v>844</v>
      </c>
      <c r="C245" s="266">
        <v>915</v>
      </c>
      <c r="D245" s="266">
        <v>748</v>
      </c>
      <c r="E245" s="266">
        <v>19</v>
      </c>
      <c r="F245" s="266">
        <v>21</v>
      </c>
      <c r="G245" s="266">
        <v>33</v>
      </c>
      <c r="H245" s="266">
        <v>141</v>
      </c>
    </row>
    <row r="246" spans="1:8" s="263" customFormat="1" ht="9" customHeight="1" x14ac:dyDescent="0.25">
      <c r="A246" s="263" t="s">
        <v>39</v>
      </c>
      <c r="B246" s="266">
        <v>652</v>
      </c>
      <c r="C246" s="266">
        <v>843</v>
      </c>
      <c r="D246" s="266">
        <v>633</v>
      </c>
      <c r="E246" s="266">
        <v>24</v>
      </c>
      <c r="F246" s="266">
        <v>20</v>
      </c>
      <c r="G246" s="266">
        <v>29</v>
      </c>
      <c r="H246" s="266">
        <v>104</v>
      </c>
    </row>
    <row r="247" spans="1:8" s="263" customFormat="1" ht="9" customHeight="1" x14ac:dyDescent="0.25">
      <c r="A247" s="263" t="s">
        <v>40</v>
      </c>
      <c r="B247" s="266">
        <v>3719</v>
      </c>
      <c r="C247" s="266">
        <v>1912</v>
      </c>
      <c r="D247" s="266">
        <v>2179</v>
      </c>
      <c r="E247" s="266">
        <v>76</v>
      </c>
      <c r="F247" s="266">
        <v>101</v>
      </c>
      <c r="G247" s="266">
        <v>121</v>
      </c>
      <c r="H247" s="266">
        <v>77</v>
      </c>
    </row>
    <row r="248" spans="1:8" s="263" customFormat="1" ht="9" customHeight="1" x14ac:dyDescent="0.25">
      <c r="A248" s="267" t="s">
        <v>41</v>
      </c>
      <c r="B248" s="268">
        <v>1822</v>
      </c>
      <c r="C248" s="268">
        <v>2555</v>
      </c>
      <c r="D248" s="268">
        <v>1943</v>
      </c>
      <c r="E248" s="268">
        <v>54</v>
      </c>
      <c r="F248" s="268">
        <v>49</v>
      </c>
      <c r="G248" s="268">
        <v>65</v>
      </c>
      <c r="H248" s="268">
        <v>497</v>
      </c>
    </row>
    <row r="249" spans="1:8" s="263" customFormat="1" ht="9" customHeight="1" x14ac:dyDescent="0.25">
      <c r="A249" s="263" t="s">
        <v>42</v>
      </c>
      <c r="B249" s="266">
        <v>3355</v>
      </c>
      <c r="C249" s="266">
        <v>3163</v>
      </c>
      <c r="D249" s="266">
        <v>2184</v>
      </c>
      <c r="E249" s="266">
        <v>66</v>
      </c>
      <c r="F249" s="266">
        <v>82</v>
      </c>
      <c r="G249" s="266">
        <v>120</v>
      </c>
      <c r="H249" s="266">
        <v>427</v>
      </c>
    </row>
    <row r="250" spans="1:8" s="263" customFormat="1" ht="9" customHeight="1" x14ac:dyDescent="0.25">
      <c r="A250" s="263" t="s">
        <v>43</v>
      </c>
      <c r="B250" s="266">
        <v>757</v>
      </c>
      <c r="C250" s="266">
        <v>965</v>
      </c>
      <c r="D250" s="266">
        <v>649</v>
      </c>
      <c r="E250" s="266">
        <v>19</v>
      </c>
      <c r="F250" s="266">
        <v>23</v>
      </c>
      <c r="G250" s="266">
        <v>27</v>
      </c>
      <c r="H250" s="266">
        <v>155</v>
      </c>
    </row>
    <row r="251" spans="1:8" s="263" customFormat="1" ht="9" customHeight="1" x14ac:dyDescent="0.25">
      <c r="A251" s="263" t="s">
        <v>44</v>
      </c>
      <c r="B251" s="266">
        <v>556</v>
      </c>
      <c r="C251" s="266">
        <v>489</v>
      </c>
      <c r="D251" s="266">
        <v>543</v>
      </c>
      <c r="E251" s="266">
        <v>33</v>
      </c>
      <c r="F251" s="266">
        <v>21</v>
      </c>
      <c r="G251" s="266">
        <v>28</v>
      </c>
      <c r="H251" s="266">
        <v>112</v>
      </c>
    </row>
    <row r="252" spans="1:8" s="263" customFormat="1" ht="9" customHeight="1" x14ac:dyDescent="0.25">
      <c r="A252" s="267" t="s">
        <v>45</v>
      </c>
      <c r="B252" s="268">
        <v>1400</v>
      </c>
      <c r="C252" s="268">
        <v>1331</v>
      </c>
      <c r="D252" s="268">
        <v>1057</v>
      </c>
      <c r="E252" s="268">
        <v>34</v>
      </c>
      <c r="F252" s="268">
        <v>33</v>
      </c>
      <c r="G252" s="268">
        <v>46</v>
      </c>
      <c r="H252" s="268">
        <v>145</v>
      </c>
    </row>
    <row r="253" spans="1:8" s="263" customFormat="1" ht="9" customHeight="1" x14ac:dyDescent="0.25">
      <c r="A253" s="263" t="s">
        <v>46</v>
      </c>
      <c r="B253" s="266">
        <v>1939</v>
      </c>
      <c r="C253" s="266">
        <v>1682</v>
      </c>
      <c r="D253" s="266">
        <v>1220</v>
      </c>
      <c r="E253" s="266">
        <v>46</v>
      </c>
      <c r="F253" s="266">
        <v>56</v>
      </c>
      <c r="G253" s="266">
        <v>86</v>
      </c>
      <c r="H253" s="266">
        <v>207</v>
      </c>
    </row>
    <row r="254" spans="1:8" s="263" customFormat="1" ht="9" customHeight="1" x14ac:dyDescent="0.25">
      <c r="A254" s="263" t="s">
        <v>47</v>
      </c>
      <c r="B254" s="266">
        <v>2379</v>
      </c>
      <c r="C254" s="266">
        <v>1683</v>
      </c>
      <c r="D254" s="266">
        <v>1288</v>
      </c>
      <c r="E254" s="266">
        <v>56</v>
      </c>
      <c r="F254" s="266">
        <v>66</v>
      </c>
      <c r="G254" s="266">
        <v>90</v>
      </c>
      <c r="H254" s="266">
        <v>212</v>
      </c>
    </row>
    <row r="255" spans="1:8" s="263" customFormat="1" ht="9" customHeight="1" x14ac:dyDescent="0.25">
      <c r="A255" s="263" t="s">
        <v>48</v>
      </c>
      <c r="B255" s="266">
        <v>1427</v>
      </c>
      <c r="C255" s="266">
        <v>1617</v>
      </c>
      <c r="D255" s="266">
        <v>1354</v>
      </c>
      <c r="E255" s="266">
        <v>60</v>
      </c>
      <c r="F255" s="266">
        <v>41</v>
      </c>
      <c r="G255" s="266">
        <v>61</v>
      </c>
      <c r="H255" s="266">
        <v>310</v>
      </c>
    </row>
    <row r="256" spans="1:8" s="263" customFormat="1" ht="9" customHeight="1" x14ac:dyDescent="0.25">
      <c r="A256" s="267" t="s">
        <v>49</v>
      </c>
      <c r="B256" s="268">
        <v>2647</v>
      </c>
      <c r="C256" s="268">
        <v>1692</v>
      </c>
      <c r="D256" s="268">
        <v>1495</v>
      </c>
      <c r="E256" s="268">
        <v>56</v>
      </c>
      <c r="F256" s="268">
        <v>65</v>
      </c>
      <c r="G256" s="268">
        <v>90</v>
      </c>
      <c r="H256" s="268">
        <v>138</v>
      </c>
    </row>
    <row r="257" spans="1:8" s="263" customFormat="1" ht="9" customHeight="1" x14ac:dyDescent="0.25">
      <c r="A257" s="263" t="s">
        <v>50</v>
      </c>
      <c r="B257" s="266">
        <v>553</v>
      </c>
      <c r="C257" s="266">
        <v>754</v>
      </c>
      <c r="D257" s="266">
        <v>474</v>
      </c>
      <c r="E257" s="266">
        <v>16</v>
      </c>
      <c r="F257" s="266">
        <v>13</v>
      </c>
      <c r="G257" s="266">
        <v>21</v>
      </c>
      <c r="H257" s="266">
        <v>154</v>
      </c>
    </row>
    <row r="258" spans="1:8" s="263" customFormat="1" ht="9" customHeight="1" x14ac:dyDescent="0.25">
      <c r="A258" s="263" t="s">
        <v>51</v>
      </c>
      <c r="B258" s="266">
        <v>4360</v>
      </c>
      <c r="C258" s="266">
        <v>3919</v>
      </c>
      <c r="D258" s="266">
        <v>3727</v>
      </c>
      <c r="E258" s="266">
        <v>108</v>
      </c>
      <c r="F258" s="266">
        <v>126</v>
      </c>
      <c r="G258" s="266">
        <v>182</v>
      </c>
      <c r="H258" s="266">
        <v>512</v>
      </c>
    </row>
    <row r="259" spans="1:8" s="263" customFormat="1" ht="9" customHeight="1" x14ac:dyDescent="0.25">
      <c r="A259" s="263" t="s">
        <v>52</v>
      </c>
      <c r="B259" s="266">
        <v>1497</v>
      </c>
      <c r="C259" s="266">
        <v>974</v>
      </c>
      <c r="D259" s="266">
        <v>842</v>
      </c>
      <c r="E259" s="266">
        <v>32</v>
      </c>
      <c r="F259" s="266">
        <v>37</v>
      </c>
      <c r="G259" s="266">
        <v>44</v>
      </c>
      <c r="H259" s="266">
        <v>101</v>
      </c>
    </row>
    <row r="260" spans="1:8" s="263" customFormat="1" ht="9" customHeight="1" x14ac:dyDescent="0.25">
      <c r="A260" s="267" t="s">
        <v>53</v>
      </c>
      <c r="B260" s="268">
        <v>773</v>
      </c>
      <c r="C260" s="268">
        <v>1112</v>
      </c>
      <c r="D260" s="268">
        <v>718</v>
      </c>
      <c r="E260" s="268">
        <v>33</v>
      </c>
      <c r="F260" s="268">
        <v>27</v>
      </c>
      <c r="G260" s="268">
        <v>34</v>
      </c>
      <c r="H260" s="268">
        <v>142</v>
      </c>
    </row>
    <row r="261" spans="1:8" s="263" customFormat="1" ht="9" customHeight="1" x14ac:dyDescent="0.25">
      <c r="B261" s="266"/>
      <c r="C261" s="266"/>
      <c r="D261" s="266"/>
      <c r="E261" s="266"/>
      <c r="F261" s="266"/>
      <c r="G261" s="266"/>
      <c r="H261" s="266"/>
    </row>
    <row r="262" spans="1:8" s="263" customFormat="1" ht="9" customHeight="1" x14ac:dyDescent="0.25">
      <c r="A262" s="261">
        <v>2002</v>
      </c>
      <c r="B262" s="262"/>
      <c r="C262" s="262"/>
      <c r="D262" s="262"/>
      <c r="E262" s="262"/>
      <c r="F262" s="262"/>
      <c r="G262" s="262"/>
      <c r="H262" s="262"/>
    </row>
    <row r="263" spans="1:8" s="263" customFormat="1" ht="9" customHeight="1" x14ac:dyDescent="0.25">
      <c r="A263" s="264" t="s">
        <v>21</v>
      </c>
      <c r="B263" s="262">
        <f t="shared" ref="B263:H263" si="7">SUM(B265:B296)</f>
        <v>77875</v>
      </c>
      <c r="C263" s="262">
        <f t="shared" si="7"/>
        <v>60214</v>
      </c>
      <c r="D263" s="262">
        <f t="shared" si="7"/>
        <v>52552</v>
      </c>
      <c r="E263" s="262">
        <f t="shared" si="7"/>
        <v>1823</v>
      </c>
      <c r="F263" s="262">
        <f t="shared" si="7"/>
        <v>2070</v>
      </c>
      <c r="G263" s="262">
        <f t="shared" si="7"/>
        <v>2804</v>
      </c>
      <c r="H263" s="262">
        <f t="shared" si="7"/>
        <v>7138</v>
      </c>
    </row>
    <row r="264" spans="1:8" s="263" customFormat="1" ht="3.95" customHeight="1" x14ac:dyDescent="0.25">
      <c r="A264" s="264"/>
      <c r="B264" s="262"/>
      <c r="C264" s="262"/>
      <c r="D264" s="262"/>
      <c r="E264" s="262"/>
      <c r="F264" s="262"/>
      <c r="G264" s="262"/>
      <c r="H264" s="262"/>
    </row>
    <row r="265" spans="1:8" s="263" customFormat="1" ht="9" customHeight="1" x14ac:dyDescent="0.25">
      <c r="A265" s="263" t="s">
        <v>23</v>
      </c>
      <c r="B265" s="266">
        <v>788</v>
      </c>
      <c r="C265" s="266">
        <v>518</v>
      </c>
      <c r="D265" s="266">
        <v>562</v>
      </c>
      <c r="E265" s="266">
        <v>15</v>
      </c>
      <c r="F265" s="266">
        <v>27</v>
      </c>
      <c r="G265" s="266">
        <v>33</v>
      </c>
      <c r="H265" s="266">
        <v>51</v>
      </c>
    </row>
    <row r="266" spans="1:8" s="263" customFormat="1" ht="9" customHeight="1" x14ac:dyDescent="0.25">
      <c r="A266" s="263" t="s">
        <v>24</v>
      </c>
      <c r="B266" s="266">
        <v>1752</v>
      </c>
      <c r="C266" s="266">
        <v>869</v>
      </c>
      <c r="D266" s="266">
        <v>1043</v>
      </c>
      <c r="E266" s="266">
        <v>35</v>
      </c>
      <c r="F266" s="266">
        <v>48</v>
      </c>
      <c r="G266" s="266">
        <v>78</v>
      </c>
      <c r="H266" s="266">
        <v>72</v>
      </c>
    </row>
    <row r="267" spans="1:8" s="263" customFormat="1" ht="9" customHeight="1" x14ac:dyDescent="0.25">
      <c r="A267" s="263" t="s">
        <v>25</v>
      </c>
      <c r="B267" s="266">
        <v>572</v>
      </c>
      <c r="C267" s="266">
        <v>364</v>
      </c>
      <c r="D267" s="266">
        <v>398</v>
      </c>
      <c r="E267" s="266">
        <v>26</v>
      </c>
      <c r="F267" s="266">
        <v>21</v>
      </c>
      <c r="G267" s="266">
        <v>27</v>
      </c>
      <c r="H267" s="266">
        <v>55</v>
      </c>
    </row>
    <row r="268" spans="1:8" s="263" customFormat="1" ht="9" customHeight="1" x14ac:dyDescent="0.25">
      <c r="A268" s="267" t="s">
        <v>26</v>
      </c>
      <c r="B268" s="268">
        <v>681</v>
      </c>
      <c r="C268" s="268">
        <v>612</v>
      </c>
      <c r="D268" s="268">
        <v>567</v>
      </c>
      <c r="E268" s="268">
        <v>24</v>
      </c>
      <c r="F268" s="268">
        <v>22</v>
      </c>
      <c r="G268" s="268">
        <v>28</v>
      </c>
      <c r="H268" s="268">
        <v>55</v>
      </c>
    </row>
    <row r="269" spans="1:8" s="263" customFormat="1" ht="9" customHeight="1" x14ac:dyDescent="0.25">
      <c r="A269" s="263" t="s">
        <v>27</v>
      </c>
      <c r="B269" s="266">
        <v>2265</v>
      </c>
      <c r="C269" s="266">
        <v>1308</v>
      </c>
      <c r="D269" s="266">
        <v>1290</v>
      </c>
      <c r="E269" s="266">
        <v>61</v>
      </c>
      <c r="F269" s="266">
        <v>66</v>
      </c>
      <c r="G269" s="266">
        <v>80</v>
      </c>
      <c r="H269" s="266">
        <v>69</v>
      </c>
    </row>
    <row r="270" spans="1:8" s="263" customFormat="1" ht="9" customHeight="1" x14ac:dyDescent="0.25">
      <c r="A270" s="263" t="s">
        <v>28</v>
      </c>
      <c r="B270" s="266">
        <v>507</v>
      </c>
      <c r="C270" s="266">
        <v>537</v>
      </c>
      <c r="D270" s="266">
        <v>400</v>
      </c>
      <c r="E270" s="266">
        <v>14</v>
      </c>
      <c r="F270" s="266">
        <v>14</v>
      </c>
      <c r="G270" s="266">
        <v>16</v>
      </c>
      <c r="H270" s="266">
        <v>16</v>
      </c>
    </row>
    <row r="271" spans="1:8" s="263" customFormat="1" ht="9" customHeight="1" x14ac:dyDescent="0.25">
      <c r="A271" s="263" t="s">
        <v>29</v>
      </c>
      <c r="B271" s="266">
        <v>1830</v>
      </c>
      <c r="C271" s="266">
        <v>2309</v>
      </c>
      <c r="D271" s="266">
        <v>2206</v>
      </c>
      <c r="E271" s="266">
        <v>78</v>
      </c>
      <c r="F271" s="266">
        <v>70</v>
      </c>
      <c r="G271" s="266">
        <v>82</v>
      </c>
      <c r="H271" s="266">
        <v>154</v>
      </c>
    </row>
    <row r="272" spans="1:8" s="263" customFormat="1" ht="9" customHeight="1" x14ac:dyDescent="0.25">
      <c r="A272" s="267" t="s">
        <v>30</v>
      </c>
      <c r="B272" s="268">
        <v>2455</v>
      </c>
      <c r="C272" s="268">
        <v>1795</v>
      </c>
      <c r="D272" s="268">
        <v>1416</v>
      </c>
      <c r="E272" s="268">
        <v>65</v>
      </c>
      <c r="F272" s="268">
        <v>67</v>
      </c>
      <c r="G272" s="268">
        <v>82</v>
      </c>
      <c r="H272" s="268">
        <v>165</v>
      </c>
    </row>
    <row r="273" spans="1:8" s="263" customFormat="1" ht="9" customHeight="1" x14ac:dyDescent="0.25">
      <c r="A273" s="263" t="s">
        <v>63</v>
      </c>
      <c r="B273" s="266">
        <v>16856</v>
      </c>
      <c r="C273" s="266">
        <v>6036</v>
      </c>
      <c r="D273" s="266">
        <v>7831</v>
      </c>
      <c r="E273" s="266">
        <v>261</v>
      </c>
      <c r="F273" s="266">
        <v>428</v>
      </c>
      <c r="G273" s="266">
        <v>597</v>
      </c>
      <c r="H273" s="266">
        <v>129</v>
      </c>
    </row>
    <row r="274" spans="1:8" s="263" customFormat="1" ht="9" customHeight="1" x14ac:dyDescent="0.25">
      <c r="A274" s="263" t="s">
        <v>31</v>
      </c>
      <c r="B274" s="266">
        <v>1278</v>
      </c>
      <c r="C274" s="266">
        <v>1495</v>
      </c>
      <c r="D274" s="266">
        <v>962</v>
      </c>
      <c r="E274" s="266">
        <v>47</v>
      </c>
      <c r="F274" s="266">
        <v>38</v>
      </c>
      <c r="G274" s="266">
        <v>39</v>
      </c>
      <c r="H274" s="266">
        <v>137</v>
      </c>
    </row>
    <row r="275" spans="1:8" s="263" customFormat="1" ht="9" customHeight="1" x14ac:dyDescent="0.25">
      <c r="A275" s="263" t="s">
        <v>32</v>
      </c>
      <c r="B275" s="266">
        <v>2573</v>
      </c>
      <c r="C275" s="266">
        <v>2231</v>
      </c>
      <c r="D275" s="266">
        <v>1751</v>
      </c>
      <c r="E275" s="266">
        <v>49</v>
      </c>
      <c r="F275" s="266">
        <v>71</v>
      </c>
      <c r="G275" s="266">
        <v>93</v>
      </c>
      <c r="H275" s="266">
        <v>410</v>
      </c>
    </row>
    <row r="276" spans="1:8" s="263" customFormat="1" ht="9" customHeight="1" x14ac:dyDescent="0.25">
      <c r="A276" s="267" t="s">
        <v>33</v>
      </c>
      <c r="B276" s="268">
        <v>1591</v>
      </c>
      <c r="C276" s="268">
        <v>2594</v>
      </c>
      <c r="D276" s="268">
        <v>1820</v>
      </c>
      <c r="E276" s="268">
        <v>72</v>
      </c>
      <c r="F276" s="268">
        <v>63</v>
      </c>
      <c r="G276" s="268">
        <v>71</v>
      </c>
      <c r="H276" s="268">
        <v>692</v>
      </c>
    </row>
    <row r="277" spans="1:8" s="263" customFormat="1" ht="9" customHeight="1" x14ac:dyDescent="0.25">
      <c r="A277" s="263" t="s">
        <v>34</v>
      </c>
      <c r="B277" s="266">
        <v>1245</v>
      </c>
      <c r="C277" s="266">
        <v>2201</v>
      </c>
      <c r="D277" s="266">
        <v>1338</v>
      </c>
      <c r="E277" s="266">
        <v>46</v>
      </c>
      <c r="F277" s="266">
        <v>32</v>
      </c>
      <c r="G277" s="266">
        <v>38</v>
      </c>
      <c r="H277" s="266">
        <v>424</v>
      </c>
    </row>
    <row r="278" spans="1:8" s="263" customFormat="1" ht="9" customHeight="1" x14ac:dyDescent="0.25">
      <c r="A278" s="263" t="s">
        <v>35</v>
      </c>
      <c r="B278" s="266">
        <v>6204</v>
      </c>
      <c r="C278" s="266">
        <v>4230</v>
      </c>
      <c r="D278" s="266">
        <v>3120</v>
      </c>
      <c r="E278" s="266">
        <v>101</v>
      </c>
      <c r="F278" s="266">
        <v>118</v>
      </c>
      <c r="G278" s="266">
        <v>216</v>
      </c>
      <c r="H278" s="266">
        <v>555</v>
      </c>
    </row>
    <row r="279" spans="1:8" s="263" customFormat="1" ht="9" customHeight="1" x14ac:dyDescent="0.25">
      <c r="A279" s="263" t="s">
        <v>36</v>
      </c>
      <c r="B279" s="266">
        <v>6926</v>
      </c>
      <c r="C279" s="266">
        <v>4646</v>
      </c>
      <c r="D279" s="266">
        <v>4426</v>
      </c>
      <c r="E279" s="266">
        <v>141</v>
      </c>
      <c r="F279" s="266">
        <v>149</v>
      </c>
      <c r="G279" s="266">
        <v>190</v>
      </c>
      <c r="H279" s="266">
        <v>420</v>
      </c>
    </row>
    <row r="280" spans="1:8" s="263" customFormat="1" ht="9" customHeight="1" x14ac:dyDescent="0.25">
      <c r="A280" s="267" t="s">
        <v>37</v>
      </c>
      <c r="B280" s="268">
        <v>2142</v>
      </c>
      <c r="C280" s="268">
        <v>2815</v>
      </c>
      <c r="D280" s="268">
        <v>1787</v>
      </c>
      <c r="E280" s="268">
        <v>67</v>
      </c>
      <c r="F280" s="268">
        <v>59</v>
      </c>
      <c r="G280" s="268">
        <v>88</v>
      </c>
      <c r="H280" s="268">
        <v>259</v>
      </c>
    </row>
    <row r="281" spans="1:8" s="263" customFormat="1" ht="9" customHeight="1" x14ac:dyDescent="0.25">
      <c r="A281" s="263" t="s">
        <v>38</v>
      </c>
      <c r="B281" s="266">
        <v>849</v>
      </c>
      <c r="C281" s="266">
        <v>905</v>
      </c>
      <c r="D281" s="266">
        <v>777</v>
      </c>
      <c r="E281" s="266">
        <v>16</v>
      </c>
      <c r="F281" s="266">
        <v>21</v>
      </c>
      <c r="G281" s="266">
        <v>33</v>
      </c>
      <c r="H281" s="266">
        <v>134</v>
      </c>
    </row>
    <row r="282" spans="1:8" s="263" customFormat="1" ht="9" customHeight="1" x14ac:dyDescent="0.25">
      <c r="A282" s="263" t="s">
        <v>39</v>
      </c>
      <c r="B282" s="266">
        <v>639</v>
      </c>
      <c r="C282" s="266">
        <v>862</v>
      </c>
      <c r="D282" s="266">
        <v>665</v>
      </c>
      <c r="E282" s="266">
        <v>26</v>
      </c>
      <c r="F282" s="266">
        <v>19</v>
      </c>
      <c r="G282" s="266">
        <v>29</v>
      </c>
      <c r="H282" s="266">
        <v>118</v>
      </c>
    </row>
    <row r="283" spans="1:8" s="263" customFormat="1" ht="9" customHeight="1" x14ac:dyDescent="0.25">
      <c r="A283" s="263" t="s">
        <v>40</v>
      </c>
      <c r="B283" s="266">
        <v>3162</v>
      </c>
      <c r="C283" s="266">
        <v>1708</v>
      </c>
      <c r="D283" s="266">
        <v>1968</v>
      </c>
      <c r="E283" s="266">
        <v>77</v>
      </c>
      <c r="F283" s="266">
        <v>95</v>
      </c>
      <c r="G283" s="266">
        <v>99</v>
      </c>
      <c r="H283" s="266">
        <v>71</v>
      </c>
    </row>
    <row r="284" spans="1:8" s="263" customFormat="1" ht="9" customHeight="1" x14ac:dyDescent="0.25">
      <c r="A284" s="267" t="s">
        <v>41</v>
      </c>
      <c r="B284" s="268">
        <v>1837</v>
      </c>
      <c r="C284" s="268">
        <v>2537</v>
      </c>
      <c r="D284" s="268">
        <v>2004</v>
      </c>
      <c r="E284" s="268">
        <v>51</v>
      </c>
      <c r="F284" s="268">
        <v>49</v>
      </c>
      <c r="G284" s="268">
        <v>65</v>
      </c>
      <c r="H284" s="268">
        <v>491</v>
      </c>
    </row>
    <row r="285" spans="1:8" s="263" customFormat="1" ht="9" customHeight="1" x14ac:dyDescent="0.25">
      <c r="A285" s="263" t="s">
        <v>42</v>
      </c>
      <c r="B285" s="266">
        <v>3316</v>
      </c>
      <c r="C285" s="266">
        <v>3232</v>
      </c>
      <c r="D285" s="266">
        <v>2299</v>
      </c>
      <c r="E285" s="266">
        <v>69</v>
      </c>
      <c r="F285" s="266">
        <v>80</v>
      </c>
      <c r="G285" s="266">
        <v>111</v>
      </c>
      <c r="H285" s="266">
        <v>452</v>
      </c>
    </row>
    <row r="286" spans="1:8" s="263" customFormat="1" ht="9" customHeight="1" x14ac:dyDescent="0.25">
      <c r="A286" s="263" t="s">
        <v>43</v>
      </c>
      <c r="B286" s="266">
        <v>783</v>
      </c>
      <c r="C286" s="266">
        <v>938</v>
      </c>
      <c r="D286" s="266">
        <v>679</v>
      </c>
      <c r="E286" s="266">
        <v>22</v>
      </c>
      <c r="F286" s="266">
        <v>23</v>
      </c>
      <c r="G286" s="266">
        <v>28</v>
      </c>
      <c r="H286" s="266">
        <v>153</v>
      </c>
    </row>
    <row r="287" spans="1:8" s="263" customFormat="1" ht="9" customHeight="1" x14ac:dyDescent="0.25">
      <c r="A287" s="263" t="s">
        <v>44</v>
      </c>
      <c r="B287" s="266">
        <v>545</v>
      </c>
      <c r="C287" s="266">
        <v>491</v>
      </c>
      <c r="D287" s="266">
        <v>548</v>
      </c>
      <c r="E287" s="266">
        <v>33</v>
      </c>
      <c r="F287" s="266">
        <v>21</v>
      </c>
      <c r="G287" s="266">
        <v>27</v>
      </c>
      <c r="H287" s="266">
        <v>99</v>
      </c>
    </row>
    <row r="288" spans="1:8" s="263" customFormat="1" ht="9" customHeight="1" x14ac:dyDescent="0.25">
      <c r="A288" s="267" t="s">
        <v>45</v>
      </c>
      <c r="B288" s="268">
        <v>1405</v>
      </c>
      <c r="C288" s="268">
        <v>1396</v>
      </c>
      <c r="D288" s="268">
        <v>1092</v>
      </c>
      <c r="E288" s="268">
        <v>35</v>
      </c>
      <c r="F288" s="268">
        <v>32</v>
      </c>
      <c r="G288" s="268">
        <v>42</v>
      </c>
      <c r="H288" s="268">
        <v>152</v>
      </c>
    </row>
    <row r="289" spans="1:8" s="263" customFormat="1" ht="9" customHeight="1" x14ac:dyDescent="0.25">
      <c r="A289" s="263" t="s">
        <v>46</v>
      </c>
      <c r="B289" s="266">
        <v>1934</v>
      </c>
      <c r="C289" s="266">
        <v>1688</v>
      </c>
      <c r="D289" s="266">
        <v>1253</v>
      </c>
      <c r="E289" s="266">
        <v>45</v>
      </c>
      <c r="F289" s="266">
        <v>57</v>
      </c>
      <c r="G289" s="266">
        <v>87</v>
      </c>
      <c r="H289" s="266">
        <v>204</v>
      </c>
    </row>
    <row r="290" spans="1:8" s="263" customFormat="1" ht="9" customHeight="1" x14ac:dyDescent="0.25">
      <c r="A290" s="263" t="s">
        <v>47</v>
      </c>
      <c r="B290" s="266">
        <v>2397</v>
      </c>
      <c r="C290" s="266">
        <v>1726</v>
      </c>
      <c r="D290" s="266">
        <v>1381</v>
      </c>
      <c r="E290" s="266">
        <v>55</v>
      </c>
      <c r="F290" s="266">
        <v>64</v>
      </c>
      <c r="G290" s="266">
        <v>88</v>
      </c>
      <c r="H290" s="266">
        <v>216</v>
      </c>
    </row>
    <row r="291" spans="1:8" s="263" customFormat="1" ht="9" customHeight="1" x14ac:dyDescent="0.25">
      <c r="A291" s="263" t="s">
        <v>48</v>
      </c>
      <c r="B291" s="266">
        <v>1446</v>
      </c>
      <c r="C291" s="266">
        <v>1632</v>
      </c>
      <c r="D291" s="266">
        <v>1472</v>
      </c>
      <c r="E291" s="266">
        <v>50</v>
      </c>
      <c r="F291" s="266">
        <v>42</v>
      </c>
      <c r="G291" s="266">
        <v>59</v>
      </c>
      <c r="H291" s="266">
        <v>330</v>
      </c>
    </row>
    <row r="292" spans="1:8" s="263" customFormat="1" ht="9" customHeight="1" x14ac:dyDescent="0.25">
      <c r="A292" s="267" t="s">
        <v>49</v>
      </c>
      <c r="B292" s="268">
        <v>2637</v>
      </c>
      <c r="C292" s="268">
        <v>1729</v>
      </c>
      <c r="D292" s="268">
        <v>1635</v>
      </c>
      <c r="E292" s="268">
        <v>57</v>
      </c>
      <c r="F292" s="268">
        <v>66</v>
      </c>
      <c r="G292" s="268">
        <v>91</v>
      </c>
      <c r="H292" s="268">
        <v>153</v>
      </c>
    </row>
    <row r="293" spans="1:8" s="263" customFormat="1" ht="9" customHeight="1" x14ac:dyDescent="0.25">
      <c r="A293" s="263" t="s">
        <v>50</v>
      </c>
      <c r="B293" s="266">
        <v>552</v>
      </c>
      <c r="C293" s="266">
        <v>746</v>
      </c>
      <c r="D293" s="266">
        <v>468</v>
      </c>
      <c r="E293" s="266">
        <v>17</v>
      </c>
      <c r="F293" s="266">
        <v>13</v>
      </c>
      <c r="G293" s="266">
        <v>22</v>
      </c>
      <c r="H293" s="266">
        <v>152</v>
      </c>
    </row>
    <row r="294" spans="1:8" s="263" customFormat="1" ht="9" customHeight="1" x14ac:dyDescent="0.25">
      <c r="A294" s="263" t="s">
        <v>51</v>
      </c>
      <c r="B294" s="266">
        <v>4438</v>
      </c>
      <c r="C294" s="266">
        <v>3996</v>
      </c>
      <c r="D294" s="266">
        <v>3819</v>
      </c>
      <c r="E294" s="266">
        <v>103</v>
      </c>
      <c r="F294" s="266">
        <v>129</v>
      </c>
      <c r="G294" s="266">
        <v>184</v>
      </c>
      <c r="H294" s="266">
        <v>503</v>
      </c>
    </row>
    <row r="295" spans="1:8" s="263" customFormat="1" ht="9" customHeight="1" x14ac:dyDescent="0.25">
      <c r="A295" s="263" t="s">
        <v>52</v>
      </c>
      <c r="B295" s="266">
        <v>1497</v>
      </c>
      <c r="C295" s="266">
        <v>970</v>
      </c>
      <c r="D295" s="266">
        <v>840</v>
      </c>
      <c r="E295" s="266">
        <v>32</v>
      </c>
      <c r="F295" s="266">
        <v>38</v>
      </c>
      <c r="G295" s="266">
        <v>44</v>
      </c>
      <c r="H295" s="266">
        <v>101</v>
      </c>
    </row>
    <row r="296" spans="1:8" s="263" customFormat="1" ht="9" customHeight="1" x14ac:dyDescent="0.25">
      <c r="A296" s="267" t="s">
        <v>53</v>
      </c>
      <c r="B296" s="268">
        <v>773</v>
      </c>
      <c r="C296" s="268">
        <v>1098</v>
      </c>
      <c r="D296" s="268">
        <v>735</v>
      </c>
      <c r="E296" s="268">
        <v>33</v>
      </c>
      <c r="F296" s="268">
        <v>28</v>
      </c>
      <c r="G296" s="268">
        <v>37</v>
      </c>
      <c r="H296" s="268">
        <v>146</v>
      </c>
    </row>
    <row r="297" spans="1:8" s="263" customFormat="1" ht="9" customHeight="1" x14ac:dyDescent="0.25">
      <c r="B297" s="266"/>
      <c r="C297" s="266"/>
      <c r="D297" s="266"/>
      <c r="E297" s="266"/>
      <c r="F297" s="266"/>
      <c r="G297" s="266"/>
      <c r="H297" s="266"/>
    </row>
    <row r="298" spans="1:8" s="263" customFormat="1" ht="9" customHeight="1" x14ac:dyDescent="0.25">
      <c r="A298" s="261">
        <v>2003</v>
      </c>
      <c r="B298" s="271"/>
      <c r="C298" s="271"/>
      <c r="D298" s="271"/>
      <c r="E298" s="271"/>
      <c r="F298" s="271"/>
      <c r="G298" s="271"/>
      <c r="H298" s="271"/>
    </row>
    <row r="299" spans="1:8" s="263" customFormat="1" ht="9" customHeight="1" x14ac:dyDescent="0.25">
      <c r="A299" s="264" t="s">
        <v>21</v>
      </c>
      <c r="B299" s="262">
        <f t="shared" ref="B299:H299" si="8">SUM(B301:B332)</f>
        <v>73446</v>
      </c>
      <c r="C299" s="262">
        <f t="shared" si="8"/>
        <v>54354</v>
      </c>
      <c r="D299" s="262">
        <f t="shared" si="8"/>
        <v>47719</v>
      </c>
      <c r="E299" s="262">
        <f t="shared" si="8"/>
        <v>1795</v>
      </c>
      <c r="F299" s="262">
        <f t="shared" si="8"/>
        <v>2024</v>
      </c>
      <c r="G299" s="262">
        <f t="shared" si="8"/>
        <v>2723</v>
      </c>
      <c r="H299" s="262">
        <f t="shared" si="8"/>
        <v>7161</v>
      </c>
    </row>
    <row r="300" spans="1:8" s="263" customFormat="1" ht="3.95" customHeight="1" x14ac:dyDescent="0.25">
      <c r="A300" s="264"/>
      <c r="B300" s="262"/>
      <c r="C300" s="262"/>
      <c r="D300" s="262"/>
      <c r="E300" s="262"/>
      <c r="F300" s="262"/>
      <c r="G300" s="262"/>
      <c r="H300" s="262"/>
    </row>
    <row r="301" spans="1:8" s="263" customFormat="1" ht="9" customHeight="1" x14ac:dyDescent="0.25">
      <c r="A301" s="263" t="s">
        <v>23</v>
      </c>
      <c r="B301" s="266">
        <v>778</v>
      </c>
      <c r="C301" s="266">
        <v>528</v>
      </c>
      <c r="D301" s="266">
        <v>559</v>
      </c>
      <c r="E301" s="266">
        <v>16</v>
      </c>
      <c r="F301" s="266">
        <v>29</v>
      </c>
      <c r="G301" s="266">
        <v>33</v>
      </c>
      <c r="H301" s="266">
        <v>47</v>
      </c>
    </row>
    <row r="302" spans="1:8" s="263" customFormat="1" ht="9" customHeight="1" x14ac:dyDescent="0.25">
      <c r="A302" s="263" t="s">
        <v>24</v>
      </c>
      <c r="B302" s="266">
        <v>1708</v>
      </c>
      <c r="C302" s="266">
        <v>916</v>
      </c>
      <c r="D302" s="266">
        <v>956</v>
      </c>
      <c r="E302" s="266">
        <v>34</v>
      </c>
      <c r="F302" s="266">
        <v>48</v>
      </c>
      <c r="G302" s="266">
        <v>77</v>
      </c>
      <c r="H302" s="266">
        <v>73</v>
      </c>
    </row>
    <row r="303" spans="1:8" s="263" customFormat="1" ht="9" customHeight="1" x14ac:dyDescent="0.25">
      <c r="A303" s="263" t="s">
        <v>25</v>
      </c>
      <c r="B303" s="266">
        <v>535</v>
      </c>
      <c r="C303" s="266">
        <v>391</v>
      </c>
      <c r="D303" s="266">
        <v>395</v>
      </c>
      <c r="E303" s="266">
        <v>26</v>
      </c>
      <c r="F303" s="266">
        <v>22</v>
      </c>
      <c r="G303" s="266">
        <v>28</v>
      </c>
      <c r="H303" s="266">
        <v>55</v>
      </c>
    </row>
    <row r="304" spans="1:8" s="263" customFormat="1" ht="9" customHeight="1" x14ac:dyDescent="0.25">
      <c r="A304" s="267" t="s">
        <v>26</v>
      </c>
      <c r="B304" s="268">
        <v>642</v>
      </c>
      <c r="C304" s="268">
        <v>517</v>
      </c>
      <c r="D304" s="268">
        <v>454</v>
      </c>
      <c r="E304" s="268">
        <v>22</v>
      </c>
      <c r="F304" s="268">
        <v>22</v>
      </c>
      <c r="G304" s="268">
        <v>27</v>
      </c>
      <c r="H304" s="268">
        <v>51</v>
      </c>
    </row>
    <row r="305" spans="1:8" s="263" customFormat="1" ht="9" customHeight="1" x14ac:dyDescent="0.25">
      <c r="A305" s="263" t="s">
        <v>27</v>
      </c>
      <c r="B305" s="266">
        <v>2153</v>
      </c>
      <c r="C305" s="266">
        <v>1155</v>
      </c>
      <c r="D305" s="266">
        <v>1225</v>
      </c>
      <c r="E305" s="266">
        <v>59</v>
      </c>
      <c r="F305" s="266">
        <v>63</v>
      </c>
      <c r="G305" s="266">
        <v>78</v>
      </c>
      <c r="H305" s="266">
        <v>66</v>
      </c>
    </row>
    <row r="306" spans="1:8" s="263" customFormat="1" ht="9" customHeight="1" x14ac:dyDescent="0.25">
      <c r="A306" s="263" t="s">
        <v>28</v>
      </c>
      <c r="B306" s="266">
        <v>484</v>
      </c>
      <c r="C306" s="266">
        <v>580</v>
      </c>
      <c r="D306" s="266">
        <v>398</v>
      </c>
      <c r="E306" s="266">
        <v>13</v>
      </c>
      <c r="F306" s="266">
        <v>14</v>
      </c>
      <c r="G306" s="266">
        <v>17</v>
      </c>
      <c r="H306" s="266">
        <v>15</v>
      </c>
    </row>
    <row r="307" spans="1:8" s="263" customFormat="1" ht="9" customHeight="1" x14ac:dyDescent="0.25">
      <c r="A307" s="263" t="s">
        <v>29</v>
      </c>
      <c r="B307" s="266">
        <v>1413</v>
      </c>
      <c r="C307" s="266">
        <v>1349</v>
      </c>
      <c r="D307" s="266">
        <v>1384</v>
      </c>
      <c r="E307" s="266">
        <v>70</v>
      </c>
      <c r="F307" s="266">
        <v>58</v>
      </c>
      <c r="G307" s="266">
        <v>73</v>
      </c>
      <c r="H307" s="266">
        <v>147</v>
      </c>
    </row>
    <row r="308" spans="1:8" s="263" customFormat="1" ht="9" customHeight="1" x14ac:dyDescent="0.25">
      <c r="A308" s="267" t="s">
        <v>30</v>
      </c>
      <c r="B308" s="268">
        <v>2297</v>
      </c>
      <c r="C308" s="268">
        <v>1534</v>
      </c>
      <c r="D308" s="268">
        <v>1219</v>
      </c>
      <c r="E308" s="268">
        <v>63</v>
      </c>
      <c r="F308" s="268">
        <v>67</v>
      </c>
      <c r="G308" s="268">
        <v>83</v>
      </c>
      <c r="H308" s="268">
        <v>162</v>
      </c>
    </row>
    <row r="309" spans="1:8" s="263" customFormat="1" ht="9" customHeight="1" x14ac:dyDescent="0.25">
      <c r="A309" s="263" t="s">
        <v>63</v>
      </c>
      <c r="B309" s="266">
        <v>16250</v>
      </c>
      <c r="C309" s="266">
        <v>6424</v>
      </c>
      <c r="D309" s="266">
        <v>7714</v>
      </c>
      <c r="E309" s="266">
        <v>263</v>
      </c>
      <c r="F309" s="266">
        <v>423</v>
      </c>
      <c r="G309" s="266">
        <v>571</v>
      </c>
      <c r="H309" s="266">
        <v>126</v>
      </c>
    </row>
    <row r="310" spans="1:8" s="263" customFormat="1" ht="9" customHeight="1" x14ac:dyDescent="0.25">
      <c r="A310" s="263" t="s">
        <v>31</v>
      </c>
      <c r="B310" s="266">
        <v>1168</v>
      </c>
      <c r="C310" s="266">
        <v>1137</v>
      </c>
      <c r="D310" s="266">
        <v>759</v>
      </c>
      <c r="E310" s="266">
        <v>47</v>
      </c>
      <c r="F310" s="266">
        <v>34</v>
      </c>
      <c r="G310" s="266">
        <v>36</v>
      </c>
      <c r="H310" s="266">
        <v>133</v>
      </c>
    </row>
    <row r="311" spans="1:8" s="263" customFormat="1" ht="9" customHeight="1" x14ac:dyDescent="0.25">
      <c r="A311" s="263" t="s">
        <v>32</v>
      </c>
      <c r="B311" s="266">
        <v>2549</v>
      </c>
      <c r="C311" s="266">
        <v>2320</v>
      </c>
      <c r="D311" s="266">
        <v>1794</v>
      </c>
      <c r="E311" s="266">
        <v>47</v>
      </c>
      <c r="F311" s="266">
        <v>74</v>
      </c>
      <c r="G311" s="266">
        <v>94</v>
      </c>
      <c r="H311" s="266">
        <v>414</v>
      </c>
    </row>
    <row r="312" spans="1:8" s="263" customFormat="1" ht="9" customHeight="1" x14ac:dyDescent="0.25">
      <c r="A312" s="267" t="s">
        <v>33</v>
      </c>
      <c r="B312" s="268">
        <v>1469</v>
      </c>
      <c r="C312" s="268">
        <v>2651</v>
      </c>
      <c r="D312" s="268">
        <v>1795</v>
      </c>
      <c r="E312" s="268">
        <v>74</v>
      </c>
      <c r="F312" s="268">
        <v>62</v>
      </c>
      <c r="G312" s="268">
        <v>71</v>
      </c>
      <c r="H312" s="268">
        <v>695</v>
      </c>
    </row>
    <row r="313" spans="1:8" s="263" customFormat="1" ht="9" customHeight="1" x14ac:dyDescent="0.25">
      <c r="A313" s="263" t="s">
        <v>34</v>
      </c>
      <c r="B313" s="266">
        <v>1019</v>
      </c>
      <c r="C313" s="266">
        <v>1740</v>
      </c>
      <c r="D313" s="266">
        <v>1065</v>
      </c>
      <c r="E313" s="266">
        <v>42</v>
      </c>
      <c r="F313" s="266">
        <v>27</v>
      </c>
      <c r="G313" s="266">
        <v>35</v>
      </c>
      <c r="H313" s="266">
        <v>420</v>
      </c>
    </row>
    <row r="314" spans="1:8" s="263" customFormat="1" ht="9" customHeight="1" x14ac:dyDescent="0.25">
      <c r="A314" s="263" t="s">
        <v>35</v>
      </c>
      <c r="B314" s="266">
        <v>6026</v>
      </c>
      <c r="C314" s="266">
        <v>4376</v>
      </c>
      <c r="D314" s="266">
        <v>3109</v>
      </c>
      <c r="E314" s="266">
        <v>104</v>
      </c>
      <c r="F314" s="266">
        <v>113</v>
      </c>
      <c r="G314" s="266">
        <v>206</v>
      </c>
      <c r="H314" s="266">
        <v>552</v>
      </c>
    </row>
    <row r="315" spans="1:8" s="263" customFormat="1" ht="9" customHeight="1" x14ac:dyDescent="0.25">
      <c r="A315" s="263" t="s">
        <v>36</v>
      </c>
      <c r="B315" s="266">
        <v>6341</v>
      </c>
      <c r="C315" s="266">
        <v>4732</v>
      </c>
      <c r="D315" s="266">
        <v>4379</v>
      </c>
      <c r="E315" s="266">
        <v>144</v>
      </c>
      <c r="F315" s="266">
        <v>175</v>
      </c>
      <c r="G315" s="266">
        <v>192</v>
      </c>
      <c r="H315" s="266">
        <v>424</v>
      </c>
    </row>
    <row r="316" spans="1:8" s="263" customFormat="1" ht="9" customHeight="1" x14ac:dyDescent="0.25">
      <c r="A316" s="267" t="s">
        <v>37</v>
      </c>
      <c r="B316" s="268">
        <v>1960</v>
      </c>
      <c r="C316" s="268">
        <v>2160</v>
      </c>
      <c r="D316" s="268">
        <v>1441</v>
      </c>
      <c r="E316" s="268">
        <v>61</v>
      </c>
      <c r="F316" s="268">
        <v>54</v>
      </c>
      <c r="G316" s="268">
        <v>81</v>
      </c>
      <c r="H316" s="268">
        <v>268</v>
      </c>
    </row>
    <row r="317" spans="1:8" s="263" customFormat="1" ht="9" customHeight="1" x14ac:dyDescent="0.25">
      <c r="A317" s="263" t="s">
        <v>38</v>
      </c>
      <c r="B317" s="266">
        <v>823</v>
      </c>
      <c r="C317" s="266">
        <v>592</v>
      </c>
      <c r="D317" s="266">
        <v>859</v>
      </c>
      <c r="E317" s="266">
        <v>20</v>
      </c>
      <c r="F317" s="266">
        <v>22</v>
      </c>
      <c r="G317" s="266">
        <v>33</v>
      </c>
      <c r="H317" s="266">
        <v>133</v>
      </c>
    </row>
    <row r="318" spans="1:8" s="263" customFormat="1" ht="9" customHeight="1" x14ac:dyDescent="0.25">
      <c r="A318" s="263" t="s">
        <v>39</v>
      </c>
      <c r="B318" s="266">
        <v>595</v>
      </c>
      <c r="C318" s="266">
        <v>709</v>
      </c>
      <c r="D318" s="266">
        <v>570</v>
      </c>
      <c r="E318" s="266">
        <v>24</v>
      </c>
      <c r="F318" s="266">
        <v>18</v>
      </c>
      <c r="G318" s="266">
        <v>28</v>
      </c>
      <c r="H318" s="266">
        <v>116</v>
      </c>
    </row>
    <row r="319" spans="1:8" s="263" customFormat="1" ht="9" customHeight="1" x14ac:dyDescent="0.25">
      <c r="A319" s="263" t="s">
        <v>40</v>
      </c>
      <c r="B319" s="266">
        <v>3149</v>
      </c>
      <c r="C319" s="266">
        <v>1709</v>
      </c>
      <c r="D319" s="266">
        <v>1921</v>
      </c>
      <c r="E319" s="266">
        <v>78</v>
      </c>
      <c r="F319" s="266">
        <v>97</v>
      </c>
      <c r="G319" s="266">
        <v>100</v>
      </c>
      <c r="H319" s="266">
        <v>67</v>
      </c>
    </row>
    <row r="320" spans="1:8" s="263" customFormat="1" ht="9" customHeight="1" x14ac:dyDescent="0.25">
      <c r="A320" s="267" t="s">
        <v>41</v>
      </c>
      <c r="B320" s="268">
        <v>1526</v>
      </c>
      <c r="C320" s="268">
        <v>1698</v>
      </c>
      <c r="D320" s="268">
        <v>1598</v>
      </c>
      <c r="E320" s="268">
        <v>46</v>
      </c>
      <c r="F320" s="268">
        <v>41</v>
      </c>
      <c r="G320" s="268">
        <v>55</v>
      </c>
      <c r="H320" s="268">
        <v>537</v>
      </c>
    </row>
    <row r="321" spans="1:8" s="263" customFormat="1" ht="9" customHeight="1" x14ac:dyDescent="0.25">
      <c r="A321" s="263" t="s">
        <v>42</v>
      </c>
      <c r="B321" s="266">
        <v>3068</v>
      </c>
      <c r="C321" s="266">
        <v>2655</v>
      </c>
      <c r="D321" s="266">
        <v>2022</v>
      </c>
      <c r="E321" s="266">
        <v>64</v>
      </c>
      <c r="F321" s="266">
        <v>75</v>
      </c>
      <c r="G321" s="266">
        <v>116</v>
      </c>
      <c r="H321" s="266">
        <v>455</v>
      </c>
    </row>
    <row r="322" spans="1:8" s="263" customFormat="1" ht="9" customHeight="1" x14ac:dyDescent="0.25">
      <c r="A322" s="263" t="s">
        <v>43</v>
      </c>
      <c r="B322" s="266">
        <v>753</v>
      </c>
      <c r="C322" s="266">
        <v>960</v>
      </c>
      <c r="D322" s="266">
        <v>704</v>
      </c>
      <c r="E322" s="266">
        <v>23</v>
      </c>
      <c r="F322" s="266">
        <v>23</v>
      </c>
      <c r="G322" s="266">
        <v>28</v>
      </c>
      <c r="H322" s="266">
        <v>153</v>
      </c>
    </row>
    <row r="323" spans="1:8" s="263" customFormat="1" ht="9" customHeight="1" x14ac:dyDescent="0.25">
      <c r="A323" s="263" t="s">
        <v>44</v>
      </c>
      <c r="B323" s="266">
        <v>539</v>
      </c>
      <c r="C323" s="266">
        <v>535</v>
      </c>
      <c r="D323" s="266">
        <v>572</v>
      </c>
      <c r="E323" s="266">
        <v>40</v>
      </c>
      <c r="F323" s="266">
        <v>27</v>
      </c>
      <c r="G323" s="266">
        <v>29</v>
      </c>
      <c r="H323" s="266">
        <v>106</v>
      </c>
    </row>
    <row r="324" spans="1:8" s="263" customFormat="1" ht="9" customHeight="1" x14ac:dyDescent="0.25">
      <c r="A324" s="267" t="s">
        <v>45</v>
      </c>
      <c r="B324" s="268">
        <v>1365</v>
      </c>
      <c r="C324" s="268">
        <v>1046</v>
      </c>
      <c r="D324" s="268">
        <v>894</v>
      </c>
      <c r="E324" s="268">
        <v>35</v>
      </c>
      <c r="F324" s="268">
        <v>32</v>
      </c>
      <c r="G324" s="268">
        <v>45</v>
      </c>
      <c r="H324" s="268">
        <v>155</v>
      </c>
    </row>
    <row r="325" spans="1:8" s="263" customFormat="1" ht="9" customHeight="1" x14ac:dyDescent="0.25">
      <c r="A325" s="263" t="s">
        <v>46</v>
      </c>
      <c r="B325" s="266">
        <v>1868</v>
      </c>
      <c r="C325" s="266">
        <v>1483</v>
      </c>
      <c r="D325" s="266">
        <v>1109</v>
      </c>
      <c r="E325" s="266">
        <v>42</v>
      </c>
      <c r="F325" s="266">
        <v>54</v>
      </c>
      <c r="G325" s="266">
        <v>83</v>
      </c>
      <c r="H325" s="266">
        <v>203</v>
      </c>
    </row>
    <row r="326" spans="1:8" s="263" customFormat="1" ht="9" customHeight="1" x14ac:dyDescent="0.25">
      <c r="A326" s="263" t="s">
        <v>47</v>
      </c>
      <c r="B326" s="266">
        <v>2198</v>
      </c>
      <c r="C326" s="266">
        <v>1689</v>
      </c>
      <c r="D326" s="266">
        <v>1222</v>
      </c>
      <c r="E326" s="266">
        <v>53</v>
      </c>
      <c r="F326" s="266">
        <v>62</v>
      </c>
      <c r="G326" s="266">
        <v>82</v>
      </c>
      <c r="H326" s="266">
        <v>216</v>
      </c>
    </row>
    <row r="327" spans="1:8" s="263" customFormat="1" ht="9" customHeight="1" x14ac:dyDescent="0.25">
      <c r="A327" s="263" t="s">
        <v>48</v>
      </c>
      <c r="B327" s="266">
        <v>1396</v>
      </c>
      <c r="C327" s="266">
        <v>1683</v>
      </c>
      <c r="D327" s="266">
        <v>1371</v>
      </c>
      <c r="E327" s="266">
        <v>48</v>
      </c>
      <c r="F327" s="266">
        <v>37</v>
      </c>
      <c r="G327" s="266">
        <v>58</v>
      </c>
      <c r="H327" s="266">
        <v>332</v>
      </c>
    </row>
    <row r="328" spans="1:8" s="263" customFormat="1" ht="9" customHeight="1" x14ac:dyDescent="0.25">
      <c r="A328" s="267" t="s">
        <v>49</v>
      </c>
      <c r="B328" s="268">
        <v>2566</v>
      </c>
      <c r="C328" s="268">
        <v>1614</v>
      </c>
      <c r="D328" s="268">
        <v>1398</v>
      </c>
      <c r="E328" s="268">
        <v>57</v>
      </c>
      <c r="F328" s="268">
        <v>66</v>
      </c>
      <c r="G328" s="268">
        <v>87</v>
      </c>
      <c r="H328" s="268">
        <v>151</v>
      </c>
    </row>
    <row r="329" spans="1:8" s="263" customFormat="1" ht="9" customHeight="1" x14ac:dyDescent="0.25">
      <c r="A329" s="263" t="s">
        <v>50</v>
      </c>
      <c r="B329" s="266">
        <v>522</v>
      </c>
      <c r="C329" s="266">
        <v>771</v>
      </c>
      <c r="D329" s="266">
        <v>478</v>
      </c>
      <c r="E329" s="266">
        <v>17</v>
      </c>
      <c r="F329" s="266">
        <v>14</v>
      </c>
      <c r="G329" s="266">
        <v>22</v>
      </c>
      <c r="H329" s="266">
        <v>154</v>
      </c>
    </row>
    <row r="330" spans="1:8" s="263" customFormat="1" ht="9" customHeight="1" x14ac:dyDescent="0.25">
      <c r="A330" s="263" t="s">
        <v>51</v>
      </c>
      <c r="B330" s="266">
        <v>4279</v>
      </c>
      <c r="C330" s="266">
        <v>3055</v>
      </c>
      <c r="D330" s="266">
        <v>3090</v>
      </c>
      <c r="E330" s="266">
        <v>105</v>
      </c>
      <c r="F330" s="266">
        <v>114</v>
      </c>
      <c r="G330" s="266">
        <v>182</v>
      </c>
      <c r="H330" s="266">
        <v>498</v>
      </c>
    </row>
    <row r="331" spans="1:8" s="263" customFormat="1" ht="9" customHeight="1" x14ac:dyDescent="0.25">
      <c r="A331" s="263" t="s">
        <v>52</v>
      </c>
      <c r="B331" s="266">
        <v>1386</v>
      </c>
      <c r="C331" s="266">
        <v>873</v>
      </c>
      <c r="D331" s="266">
        <v>723</v>
      </c>
      <c r="E331" s="266">
        <v>30</v>
      </c>
      <c r="F331" s="266">
        <v>34</v>
      </c>
      <c r="G331" s="266">
        <v>41</v>
      </c>
      <c r="H331" s="266">
        <v>96</v>
      </c>
    </row>
    <row r="332" spans="1:8" s="263" customFormat="1" ht="9" customHeight="1" x14ac:dyDescent="0.25">
      <c r="A332" s="267" t="s">
        <v>53</v>
      </c>
      <c r="B332" s="268">
        <v>621</v>
      </c>
      <c r="C332" s="268">
        <v>772</v>
      </c>
      <c r="D332" s="268">
        <v>542</v>
      </c>
      <c r="E332" s="268">
        <v>28</v>
      </c>
      <c r="F332" s="268">
        <v>23</v>
      </c>
      <c r="G332" s="268">
        <v>32</v>
      </c>
      <c r="H332" s="268">
        <v>141</v>
      </c>
    </row>
    <row r="333" spans="1:8" s="263" customFormat="1" ht="9" customHeight="1" x14ac:dyDescent="0.25">
      <c r="B333" s="266"/>
      <c r="C333" s="266"/>
      <c r="D333" s="266"/>
      <c r="E333" s="266"/>
      <c r="F333" s="266"/>
      <c r="G333" s="266"/>
      <c r="H333" s="266"/>
    </row>
    <row r="334" spans="1:8" s="263" customFormat="1" ht="9" customHeight="1" x14ac:dyDescent="0.25">
      <c r="A334" s="261">
        <v>2004</v>
      </c>
      <c r="B334" s="271"/>
      <c r="C334" s="271"/>
      <c r="D334" s="271"/>
      <c r="E334" s="271"/>
      <c r="F334" s="271"/>
      <c r="G334" s="271"/>
      <c r="H334" s="271"/>
    </row>
    <row r="335" spans="1:8" s="263" customFormat="1" ht="9" customHeight="1" x14ac:dyDescent="0.25">
      <c r="A335" s="264" t="s">
        <v>21</v>
      </c>
      <c r="B335" s="262">
        <f t="shared" ref="B335:H335" si="9">SUM(B337:B368)</f>
        <v>77705</v>
      </c>
      <c r="C335" s="262">
        <f t="shared" si="9"/>
        <v>62356</v>
      </c>
      <c r="D335" s="262">
        <f t="shared" si="9"/>
        <v>54113</v>
      </c>
      <c r="E335" s="262">
        <f t="shared" si="9"/>
        <v>1888</v>
      </c>
      <c r="F335" s="262">
        <f t="shared" si="9"/>
        <v>2085</v>
      </c>
      <c r="G335" s="262">
        <f t="shared" si="9"/>
        <v>2626</v>
      </c>
      <c r="H335" s="262">
        <f t="shared" si="9"/>
        <v>5592</v>
      </c>
    </row>
    <row r="336" spans="1:8" s="263" customFormat="1" ht="3.95" customHeight="1" x14ac:dyDescent="0.25">
      <c r="A336" s="264"/>
      <c r="B336" s="262"/>
      <c r="C336" s="262"/>
      <c r="D336" s="262"/>
      <c r="E336" s="262"/>
      <c r="F336" s="262"/>
      <c r="G336" s="262"/>
      <c r="H336" s="262"/>
    </row>
    <row r="337" spans="1:8" s="263" customFormat="1" ht="9" customHeight="1" x14ac:dyDescent="0.25">
      <c r="A337" s="263" t="s">
        <v>23</v>
      </c>
      <c r="B337" s="266">
        <v>817</v>
      </c>
      <c r="C337" s="266">
        <v>494</v>
      </c>
      <c r="D337" s="266">
        <v>609</v>
      </c>
      <c r="E337" s="266">
        <v>15</v>
      </c>
      <c r="F337" s="266">
        <v>27</v>
      </c>
      <c r="G337" s="266">
        <v>33</v>
      </c>
      <c r="H337" s="266">
        <v>33</v>
      </c>
    </row>
    <row r="338" spans="1:8" s="263" customFormat="1" ht="9" customHeight="1" x14ac:dyDescent="0.25">
      <c r="A338" s="263" t="s">
        <v>24</v>
      </c>
      <c r="B338" s="266">
        <v>1753</v>
      </c>
      <c r="C338" s="266">
        <v>987</v>
      </c>
      <c r="D338" s="266">
        <v>1021</v>
      </c>
      <c r="E338" s="266">
        <v>35</v>
      </c>
      <c r="F338" s="266">
        <v>49</v>
      </c>
      <c r="G338" s="266">
        <v>60</v>
      </c>
      <c r="H338" s="266">
        <v>72</v>
      </c>
    </row>
    <row r="339" spans="1:8" s="263" customFormat="1" ht="9" customHeight="1" x14ac:dyDescent="0.25">
      <c r="A339" s="263" t="s">
        <v>25</v>
      </c>
      <c r="B339" s="266">
        <v>535</v>
      </c>
      <c r="C339" s="266">
        <v>395</v>
      </c>
      <c r="D339" s="266">
        <v>429</v>
      </c>
      <c r="E339" s="266">
        <v>24</v>
      </c>
      <c r="F339" s="266">
        <v>23</v>
      </c>
      <c r="G339" s="266">
        <v>15</v>
      </c>
      <c r="H339" s="266">
        <v>16</v>
      </c>
    </row>
    <row r="340" spans="1:8" s="263" customFormat="1" ht="9" customHeight="1" x14ac:dyDescent="0.25">
      <c r="A340" s="267" t="s">
        <v>26</v>
      </c>
      <c r="B340" s="268">
        <v>679</v>
      </c>
      <c r="C340" s="268">
        <v>594</v>
      </c>
      <c r="D340" s="268">
        <v>515</v>
      </c>
      <c r="E340" s="268">
        <v>23</v>
      </c>
      <c r="F340" s="268">
        <v>23</v>
      </c>
      <c r="G340" s="268">
        <v>25</v>
      </c>
      <c r="H340" s="268">
        <v>51</v>
      </c>
    </row>
    <row r="341" spans="1:8" s="263" customFormat="1" ht="9" customHeight="1" x14ac:dyDescent="0.25">
      <c r="A341" s="263" t="s">
        <v>27</v>
      </c>
      <c r="B341" s="266">
        <v>2365</v>
      </c>
      <c r="C341" s="266">
        <v>1402</v>
      </c>
      <c r="D341" s="266">
        <v>1428</v>
      </c>
      <c r="E341" s="266">
        <v>63</v>
      </c>
      <c r="F341" s="266">
        <v>67</v>
      </c>
      <c r="G341" s="266">
        <v>70</v>
      </c>
      <c r="H341" s="266">
        <v>49</v>
      </c>
    </row>
    <row r="342" spans="1:8" s="263" customFormat="1" ht="9" customHeight="1" x14ac:dyDescent="0.25">
      <c r="A342" s="263" t="s">
        <v>28</v>
      </c>
      <c r="B342" s="266">
        <v>472</v>
      </c>
      <c r="C342" s="266">
        <v>571</v>
      </c>
      <c r="D342" s="266">
        <v>432</v>
      </c>
      <c r="E342" s="266">
        <v>13</v>
      </c>
      <c r="F342" s="266">
        <v>14</v>
      </c>
      <c r="G342" s="266">
        <v>16</v>
      </c>
      <c r="H342" s="266">
        <v>16</v>
      </c>
    </row>
    <row r="343" spans="1:8" s="263" customFormat="1" ht="9" customHeight="1" x14ac:dyDescent="0.25">
      <c r="A343" s="263" t="s">
        <v>29</v>
      </c>
      <c r="B343" s="266">
        <v>1706</v>
      </c>
      <c r="C343" s="266">
        <v>2472</v>
      </c>
      <c r="D343" s="266">
        <v>2003</v>
      </c>
      <c r="E343" s="266">
        <v>79</v>
      </c>
      <c r="F343" s="266">
        <v>73</v>
      </c>
      <c r="G343" s="266">
        <v>78</v>
      </c>
      <c r="H343" s="266">
        <v>157</v>
      </c>
    </row>
    <row r="344" spans="1:8" s="263" customFormat="1" ht="9" customHeight="1" x14ac:dyDescent="0.25">
      <c r="A344" s="267" t="s">
        <v>30</v>
      </c>
      <c r="B344" s="268">
        <v>2402</v>
      </c>
      <c r="C344" s="268">
        <v>1878</v>
      </c>
      <c r="D344" s="268">
        <v>1453</v>
      </c>
      <c r="E344" s="268">
        <v>67</v>
      </c>
      <c r="F344" s="268">
        <v>70</v>
      </c>
      <c r="G344" s="268">
        <v>66</v>
      </c>
      <c r="H344" s="268">
        <v>41</v>
      </c>
    </row>
    <row r="345" spans="1:8" s="263" customFormat="1" ht="9" customHeight="1" x14ac:dyDescent="0.25">
      <c r="A345" s="263" t="s">
        <v>63</v>
      </c>
      <c r="B345" s="266">
        <v>16432</v>
      </c>
      <c r="C345" s="266">
        <v>7286</v>
      </c>
      <c r="D345" s="266">
        <v>7462</v>
      </c>
      <c r="E345" s="266">
        <v>268</v>
      </c>
      <c r="F345" s="266">
        <v>409</v>
      </c>
      <c r="G345" s="266">
        <v>514</v>
      </c>
      <c r="H345" s="266">
        <v>132</v>
      </c>
    </row>
    <row r="346" spans="1:8" s="263" customFormat="1" ht="9" customHeight="1" x14ac:dyDescent="0.25">
      <c r="A346" s="263" t="s">
        <v>31</v>
      </c>
      <c r="B346" s="266">
        <v>1398</v>
      </c>
      <c r="C346" s="266">
        <v>1516</v>
      </c>
      <c r="D346" s="266">
        <v>1038</v>
      </c>
      <c r="E346" s="266">
        <v>50</v>
      </c>
      <c r="F346" s="266">
        <v>39</v>
      </c>
      <c r="G346" s="266">
        <v>30</v>
      </c>
      <c r="H346" s="266">
        <v>128</v>
      </c>
    </row>
    <row r="347" spans="1:8" s="263" customFormat="1" ht="9" customHeight="1" x14ac:dyDescent="0.25">
      <c r="A347" s="263" t="s">
        <v>32</v>
      </c>
      <c r="B347" s="266">
        <v>2618</v>
      </c>
      <c r="C347" s="266">
        <v>2251</v>
      </c>
      <c r="D347" s="266">
        <v>1839</v>
      </c>
      <c r="E347" s="266">
        <v>48</v>
      </c>
      <c r="F347" s="266">
        <v>71</v>
      </c>
      <c r="G347" s="266">
        <v>91</v>
      </c>
      <c r="H347" s="266">
        <v>398</v>
      </c>
    </row>
    <row r="348" spans="1:8" s="263" customFormat="1" ht="9" customHeight="1" x14ac:dyDescent="0.25">
      <c r="A348" s="267" t="s">
        <v>33</v>
      </c>
      <c r="B348" s="268">
        <v>1474</v>
      </c>
      <c r="C348" s="268">
        <v>2727</v>
      </c>
      <c r="D348" s="268">
        <v>1918</v>
      </c>
      <c r="E348" s="268">
        <v>74</v>
      </c>
      <c r="F348" s="268">
        <v>61</v>
      </c>
      <c r="G348" s="268">
        <v>68</v>
      </c>
      <c r="H348" s="268">
        <v>666</v>
      </c>
    </row>
    <row r="349" spans="1:8" s="263" customFormat="1" ht="9" customHeight="1" x14ac:dyDescent="0.25">
      <c r="A349" s="263" t="s">
        <v>34</v>
      </c>
      <c r="B349" s="266">
        <v>1186</v>
      </c>
      <c r="C349" s="266">
        <v>2101</v>
      </c>
      <c r="D349" s="266">
        <v>1464</v>
      </c>
      <c r="E349" s="266">
        <v>46</v>
      </c>
      <c r="F349" s="266">
        <v>31</v>
      </c>
      <c r="G349" s="266">
        <v>37</v>
      </c>
      <c r="H349" s="266">
        <v>428</v>
      </c>
    </row>
    <row r="350" spans="1:8" s="263" customFormat="1" ht="9" customHeight="1" x14ac:dyDescent="0.25">
      <c r="A350" s="263" t="s">
        <v>35</v>
      </c>
      <c r="B350" s="266">
        <v>6150</v>
      </c>
      <c r="C350" s="266">
        <v>3361</v>
      </c>
      <c r="D350" s="266">
        <v>3428</v>
      </c>
      <c r="E350" s="266">
        <v>102</v>
      </c>
      <c r="F350" s="266">
        <v>116</v>
      </c>
      <c r="G350" s="266">
        <v>198</v>
      </c>
      <c r="H350" s="266">
        <v>408</v>
      </c>
    </row>
    <row r="351" spans="1:8" s="263" customFormat="1" ht="9" customHeight="1" x14ac:dyDescent="0.25">
      <c r="A351" s="263" t="s">
        <v>36</v>
      </c>
      <c r="B351" s="266">
        <v>6393</v>
      </c>
      <c r="C351" s="266">
        <v>4775</v>
      </c>
      <c r="D351" s="266">
        <v>4704</v>
      </c>
      <c r="E351" s="266">
        <v>150</v>
      </c>
      <c r="F351" s="266">
        <v>170</v>
      </c>
      <c r="G351" s="266">
        <v>177</v>
      </c>
      <c r="H351" s="266">
        <v>426</v>
      </c>
    </row>
    <row r="352" spans="1:8" s="263" customFormat="1" ht="9" customHeight="1" x14ac:dyDescent="0.25">
      <c r="A352" s="267" t="s">
        <v>37</v>
      </c>
      <c r="B352" s="268">
        <v>2146</v>
      </c>
      <c r="C352" s="268">
        <v>2243</v>
      </c>
      <c r="D352" s="268">
        <v>1975</v>
      </c>
      <c r="E352" s="268">
        <v>66</v>
      </c>
      <c r="F352" s="268">
        <v>59</v>
      </c>
      <c r="G352" s="268">
        <v>90</v>
      </c>
      <c r="H352" s="268">
        <v>199</v>
      </c>
    </row>
    <row r="353" spans="1:8" s="263" customFormat="1" ht="9" customHeight="1" x14ac:dyDescent="0.25">
      <c r="A353" s="263" t="s">
        <v>38</v>
      </c>
      <c r="B353" s="266">
        <v>992</v>
      </c>
      <c r="C353" s="266">
        <v>839</v>
      </c>
      <c r="D353" s="266">
        <v>868</v>
      </c>
      <c r="E353" s="266">
        <v>22</v>
      </c>
      <c r="F353" s="266">
        <v>21</v>
      </c>
      <c r="G353" s="266">
        <v>32</v>
      </c>
      <c r="H353" s="266">
        <v>36</v>
      </c>
    </row>
    <row r="354" spans="1:8" s="263" customFormat="1" ht="9" customHeight="1" x14ac:dyDescent="0.25">
      <c r="A354" s="263" t="s">
        <v>39</v>
      </c>
      <c r="B354" s="266">
        <v>690</v>
      </c>
      <c r="C354" s="266">
        <v>892</v>
      </c>
      <c r="D354" s="266">
        <v>651</v>
      </c>
      <c r="E354" s="266">
        <v>25</v>
      </c>
      <c r="F354" s="266">
        <v>19</v>
      </c>
      <c r="G354" s="266">
        <v>50</v>
      </c>
      <c r="H354" s="266">
        <v>36</v>
      </c>
    </row>
    <row r="355" spans="1:8" s="263" customFormat="1" ht="9" customHeight="1" x14ac:dyDescent="0.25">
      <c r="A355" s="263" t="s">
        <v>40</v>
      </c>
      <c r="B355" s="266">
        <v>3095</v>
      </c>
      <c r="C355" s="266">
        <v>1745</v>
      </c>
      <c r="D355" s="266">
        <v>1986</v>
      </c>
      <c r="E355" s="266">
        <v>79</v>
      </c>
      <c r="F355" s="266">
        <v>97</v>
      </c>
      <c r="G355" s="266">
        <v>84</v>
      </c>
      <c r="H355" s="266">
        <v>62</v>
      </c>
    </row>
    <row r="356" spans="1:8" s="263" customFormat="1" ht="9" customHeight="1" x14ac:dyDescent="0.25">
      <c r="A356" s="267" t="s">
        <v>41</v>
      </c>
      <c r="B356" s="268">
        <v>1807</v>
      </c>
      <c r="C356" s="268">
        <v>2856</v>
      </c>
      <c r="D356" s="268">
        <v>2104</v>
      </c>
      <c r="E356" s="268">
        <v>55</v>
      </c>
      <c r="F356" s="268">
        <v>50</v>
      </c>
      <c r="G356" s="268">
        <v>57</v>
      </c>
      <c r="H356" s="268">
        <v>551</v>
      </c>
    </row>
    <row r="357" spans="1:8" s="263" customFormat="1" ht="9" customHeight="1" x14ac:dyDescent="0.25">
      <c r="A357" s="263" t="s">
        <v>42</v>
      </c>
      <c r="B357" s="266">
        <v>3582</v>
      </c>
      <c r="C357" s="266">
        <v>3460</v>
      </c>
      <c r="D357" s="266">
        <v>2524</v>
      </c>
      <c r="E357" s="266">
        <v>72</v>
      </c>
      <c r="F357" s="266">
        <v>84</v>
      </c>
      <c r="G357" s="266">
        <v>121</v>
      </c>
      <c r="H357" s="266">
        <v>72</v>
      </c>
    </row>
    <row r="358" spans="1:8" s="263" customFormat="1" ht="9" customHeight="1" x14ac:dyDescent="0.25">
      <c r="A358" s="263" t="s">
        <v>43</v>
      </c>
      <c r="B358" s="266">
        <v>753</v>
      </c>
      <c r="C358" s="266">
        <v>961</v>
      </c>
      <c r="D358" s="266">
        <v>718</v>
      </c>
      <c r="E358" s="266">
        <v>21</v>
      </c>
      <c r="F358" s="266">
        <v>23</v>
      </c>
      <c r="G358" s="266">
        <v>26</v>
      </c>
      <c r="H358" s="266">
        <v>153</v>
      </c>
    </row>
    <row r="359" spans="1:8" s="263" customFormat="1" ht="9" customHeight="1" x14ac:dyDescent="0.25">
      <c r="A359" s="263" t="s">
        <v>44</v>
      </c>
      <c r="B359" s="266">
        <v>536</v>
      </c>
      <c r="C359" s="266">
        <v>508</v>
      </c>
      <c r="D359" s="266">
        <v>537</v>
      </c>
      <c r="E359" s="266">
        <v>41</v>
      </c>
      <c r="F359" s="266">
        <v>27</v>
      </c>
      <c r="G359" s="266">
        <v>13</v>
      </c>
      <c r="H359" s="266">
        <v>10</v>
      </c>
    </row>
    <row r="360" spans="1:8" s="263" customFormat="1" ht="9" customHeight="1" x14ac:dyDescent="0.25">
      <c r="A360" s="267" t="s">
        <v>45</v>
      </c>
      <c r="B360" s="268">
        <v>1424</v>
      </c>
      <c r="C360" s="268">
        <v>1424</v>
      </c>
      <c r="D360" s="268">
        <v>1143</v>
      </c>
      <c r="E360" s="268">
        <v>42</v>
      </c>
      <c r="F360" s="268">
        <v>36</v>
      </c>
      <c r="G360" s="268">
        <v>37</v>
      </c>
      <c r="H360" s="268">
        <v>161</v>
      </c>
    </row>
    <row r="361" spans="1:8" s="263" customFormat="1" ht="9" customHeight="1" x14ac:dyDescent="0.25">
      <c r="A361" s="263" t="s">
        <v>46</v>
      </c>
      <c r="B361" s="266">
        <v>2197</v>
      </c>
      <c r="C361" s="266">
        <v>1810</v>
      </c>
      <c r="D361" s="266">
        <v>1466</v>
      </c>
      <c r="E361" s="266">
        <v>48</v>
      </c>
      <c r="F361" s="266">
        <v>59</v>
      </c>
      <c r="G361" s="266">
        <v>84</v>
      </c>
      <c r="H361" s="266">
        <v>83</v>
      </c>
    </row>
    <row r="362" spans="1:8" s="263" customFormat="1" ht="9" customHeight="1" x14ac:dyDescent="0.25">
      <c r="A362" s="263" t="s">
        <v>47</v>
      </c>
      <c r="B362" s="266">
        <v>2400</v>
      </c>
      <c r="C362" s="266">
        <v>1781</v>
      </c>
      <c r="D362" s="266">
        <v>1324</v>
      </c>
      <c r="E362" s="266">
        <v>58</v>
      </c>
      <c r="F362" s="266">
        <v>67</v>
      </c>
      <c r="G362" s="266">
        <v>86</v>
      </c>
      <c r="H362" s="266">
        <v>216</v>
      </c>
    </row>
    <row r="363" spans="1:8" s="263" customFormat="1" ht="9" customHeight="1" x14ac:dyDescent="0.25">
      <c r="A363" s="263" t="s">
        <v>48</v>
      </c>
      <c r="B363" s="266">
        <v>1411</v>
      </c>
      <c r="C363" s="266">
        <v>1649</v>
      </c>
      <c r="D363" s="266">
        <v>1467</v>
      </c>
      <c r="E363" s="266">
        <v>49</v>
      </c>
      <c r="F363" s="266">
        <v>38</v>
      </c>
      <c r="G363" s="266">
        <v>79</v>
      </c>
      <c r="H363" s="266">
        <v>28</v>
      </c>
    </row>
    <row r="364" spans="1:8" s="263" customFormat="1" ht="9" customHeight="1" x14ac:dyDescent="0.25">
      <c r="A364" s="267" t="s">
        <v>49</v>
      </c>
      <c r="B364" s="268">
        <v>2669</v>
      </c>
      <c r="C364" s="268">
        <v>1961</v>
      </c>
      <c r="D364" s="268">
        <v>1591</v>
      </c>
      <c r="E364" s="268">
        <v>59</v>
      </c>
      <c r="F364" s="268">
        <v>67</v>
      </c>
      <c r="G364" s="268">
        <v>84</v>
      </c>
      <c r="H364" s="268">
        <v>155</v>
      </c>
    </row>
    <row r="365" spans="1:8" s="263" customFormat="1" ht="9" customHeight="1" x14ac:dyDescent="0.25">
      <c r="A365" s="263" t="s">
        <v>50</v>
      </c>
      <c r="B365" s="266">
        <v>558</v>
      </c>
      <c r="C365" s="266">
        <v>838</v>
      </c>
      <c r="D365" s="266">
        <v>490</v>
      </c>
      <c r="E365" s="266">
        <v>17</v>
      </c>
      <c r="F365" s="266">
        <v>14</v>
      </c>
      <c r="G365" s="266">
        <v>22</v>
      </c>
      <c r="H365" s="266">
        <v>167</v>
      </c>
    </row>
    <row r="366" spans="1:8" s="263" customFormat="1" ht="9" customHeight="1" x14ac:dyDescent="0.25">
      <c r="A366" s="263" t="s">
        <v>51</v>
      </c>
      <c r="B366" s="266">
        <v>4842</v>
      </c>
      <c r="C366" s="266">
        <v>4392</v>
      </c>
      <c r="D366" s="266">
        <v>3842</v>
      </c>
      <c r="E366" s="266">
        <v>110</v>
      </c>
      <c r="F366" s="266">
        <v>114</v>
      </c>
      <c r="G366" s="266">
        <v>180</v>
      </c>
      <c r="H366" s="266">
        <v>533</v>
      </c>
    </row>
    <row r="367" spans="1:8" s="263" customFormat="1" ht="9" customHeight="1" x14ac:dyDescent="0.25">
      <c r="A367" s="263" t="s">
        <v>52</v>
      </c>
      <c r="B367" s="266">
        <v>1475</v>
      </c>
      <c r="C367" s="266">
        <v>1037</v>
      </c>
      <c r="D367" s="266">
        <v>944</v>
      </c>
      <c r="E367" s="266">
        <v>34</v>
      </c>
      <c r="F367" s="266">
        <v>39</v>
      </c>
      <c r="G367" s="266">
        <v>33</v>
      </c>
      <c r="H367" s="266">
        <v>83</v>
      </c>
    </row>
    <row r="368" spans="1:8" s="263" customFormat="1" ht="9" customHeight="1" x14ac:dyDescent="0.25">
      <c r="A368" s="267" t="s">
        <v>53</v>
      </c>
      <c r="B368" s="268">
        <v>748</v>
      </c>
      <c r="C368" s="268">
        <v>1150</v>
      </c>
      <c r="D368" s="268">
        <v>740</v>
      </c>
      <c r="E368" s="268">
        <v>33</v>
      </c>
      <c r="F368" s="268">
        <v>28</v>
      </c>
      <c r="G368" s="268">
        <v>70</v>
      </c>
      <c r="H368" s="268">
        <v>26</v>
      </c>
    </row>
    <row r="369" spans="1:8" s="263" customFormat="1" ht="9" customHeight="1" x14ac:dyDescent="0.25">
      <c r="B369" s="266"/>
      <c r="C369" s="266"/>
      <c r="D369" s="266"/>
      <c r="E369" s="266"/>
      <c r="F369" s="266"/>
      <c r="G369" s="266"/>
      <c r="H369" s="266"/>
    </row>
    <row r="370" spans="1:8" s="263" customFormat="1" ht="9" customHeight="1" x14ac:dyDescent="0.25">
      <c r="A370" s="261" t="s">
        <v>214</v>
      </c>
      <c r="B370" s="271"/>
      <c r="C370" s="271"/>
      <c r="D370" s="271"/>
      <c r="E370" s="271"/>
      <c r="F370" s="271"/>
      <c r="G370" s="271"/>
      <c r="H370" s="271"/>
    </row>
    <row r="371" spans="1:8" s="263" customFormat="1" ht="9" customHeight="1" x14ac:dyDescent="0.25">
      <c r="A371" s="264" t="s">
        <v>21</v>
      </c>
      <c r="B371" s="262">
        <f t="shared" ref="B371:H371" si="10">SUM(B373:B404)</f>
        <v>75992</v>
      </c>
      <c r="C371" s="262">
        <f t="shared" si="10"/>
        <v>60530</v>
      </c>
      <c r="D371" s="262">
        <f t="shared" si="10"/>
        <v>53365</v>
      </c>
      <c r="E371" s="262">
        <f t="shared" si="10"/>
        <v>1315</v>
      </c>
      <c r="F371" s="262">
        <f t="shared" si="10"/>
        <v>1137</v>
      </c>
      <c r="G371" s="262">
        <f t="shared" si="10"/>
        <v>2892</v>
      </c>
      <c r="H371" s="262">
        <f t="shared" si="10"/>
        <v>5055</v>
      </c>
    </row>
    <row r="372" spans="1:8" s="263" customFormat="1" ht="3.95" customHeight="1" x14ac:dyDescent="0.25">
      <c r="A372" s="264"/>
      <c r="B372" s="262"/>
      <c r="C372" s="262"/>
      <c r="D372" s="262"/>
      <c r="E372" s="262"/>
      <c r="F372" s="262"/>
      <c r="G372" s="262"/>
      <c r="H372" s="262"/>
    </row>
    <row r="373" spans="1:8" s="263" customFormat="1" ht="9" customHeight="1" x14ac:dyDescent="0.25">
      <c r="A373" s="263" t="s">
        <v>23</v>
      </c>
      <c r="B373" s="266">
        <v>820</v>
      </c>
      <c r="C373" s="266">
        <v>460</v>
      </c>
      <c r="D373" s="266">
        <v>631</v>
      </c>
      <c r="E373" s="266">
        <v>9</v>
      </c>
      <c r="F373" s="266">
        <v>16</v>
      </c>
      <c r="G373" s="266">
        <v>33</v>
      </c>
      <c r="H373" s="266">
        <v>33</v>
      </c>
    </row>
    <row r="374" spans="1:8" s="263" customFormat="1" ht="9" customHeight="1" x14ac:dyDescent="0.25">
      <c r="A374" s="263" t="s">
        <v>24</v>
      </c>
      <c r="B374" s="266">
        <v>1655</v>
      </c>
      <c r="C374" s="266">
        <v>899</v>
      </c>
      <c r="D374" s="266">
        <v>980</v>
      </c>
      <c r="E374" s="266">
        <v>16</v>
      </c>
      <c r="F374" s="266">
        <v>16</v>
      </c>
      <c r="G374" s="266">
        <v>74</v>
      </c>
      <c r="H374" s="266">
        <v>67</v>
      </c>
    </row>
    <row r="375" spans="1:8" s="263" customFormat="1" ht="9" customHeight="1" x14ac:dyDescent="0.25">
      <c r="A375" s="263" t="s">
        <v>25</v>
      </c>
      <c r="B375" s="266">
        <v>482</v>
      </c>
      <c r="C375" s="266">
        <v>351</v>
      </c>
      <c r="D375" s="266">
        <v>381</v>
      </c>
      <c r="E375" s="266">
        <v>16</v>
      </c>
      <c r="F375" s="266">
        <v>13</v>
      </c>
      <c r="G375" s="266">
        <v>26</v>
      </c>
      <c r="H375" s="266">
        <v>47</v>
      </c>
    </row>
    <row r="376" spans="1:8" s="263" customFormat="1" ht="9" customHeight="1" x14ac:dyDescent="0.25">
      <c r="A376" s="267" t="s">
        <v>26</v>
      </c>
      <c r="B376" s="268">
        <v>686</v>
      </c>
      <c r="C376" s="268">
        <v>536</v>
      </c>
      <c r="D376" s="268">
        <v>505</v>
      </c>
      <c r="E376" s="268">
        <v>20</v>
      </c>
      <c r="F376" s="268">
        <v>17</v>
      </c>
      <c r="G376" s="268">
        <v>27</v>
      </c>
      <c r="H376" s="268">
        <v>52</v>
      </c>
    </row>
    <row r="377" spans="1:8" s="263" customFormat="1" ht="9" customHeight="1" x14ac:dyDescent="0.25">
      <c r="A377" s="263" t="s">
        <v>27</v>
      </c>
      <c r="B377" s="266">
        <v>2317</v>
      </c>
      <c r="C377" s="266">
        <v>1302</v>
      </c>
      <c r="D377" s="266">
        <v>1324</v>
      </c>
      <c r="E377" s="266">
        <v>34</v>
      </c>
      <c r="F377" s="266">
        <v>27</v>
      </c>
      <c r="G377" s="266">
        <v>84</v>
      </c>
      <c r="H377" s="266">
        <v>50</v>
      </c>
    </row>
    <row r="378" spans="1:8" s="263" customFormat="1" ht="9" customHeight="1" x14ac:dyDescent="0.25">
      <c r="A378" s="263" t="s">
        <v>28</v>
      </c>
      <c r="B378" s="266">
        <v>522</v>
      </c>
      <c r="C378" s="266">
        <v>536</v>
      </c>
      <c r="D378" s="266">
        <v>413</v>
      </c>
      <c r="E378" s="266">
        <v>9</v>
      </c>
      <c r="F378" s="266">
        <v>7</v>
      </c>
      <c r="G378" s="266">
        <v>17</v>
      </c>
      <c r="H378" s="266">
        <v>13</v>
      </c>
    </row>
    <row r="379" spans="1:8" s="263" customFormat="1" ht="9" customHeight="1" x14ac:dyDescent="0.25">
      <c r="A379" s="263" t="s">
        <v>29</v>
      </c>
      <c r="B379" s="266">
        <v>1978</v>
      </c>
      <c r="C379" s="266">
        <v>2539</v>
      </c>
      <c r="D379" s="266">
        <v>2007</v>
      </c>
      <c r="E379" s="266">
        <v>68</v>
      </c>
      <c r="F379" s="266">
        <v>58</v>
      </c>
      <c r="G379" s="266">
        <v>91</v>
      </c>
      <c r="H379" s="266">
        <v>49</v>
      </c>
    </row>
    <row r="380" spans="1:8" s="263" customFormat="1" ht="9" customHeight="1" x14ac:dyDescent="0.25">
      <c r="A380" s="267" t="s">
        <v>30</v>
      </c>
      <c r="B380" s="268">
        <v>2337</v>
      </c>
      <c r="C380" s="268">
        <v>1801</v>
      </c>
      <c r="D380" s="268">
        <v>1400</v>
      </c>
      <c r="E380" s="268">
        <v>39</v>
      </c>
      <c r="F380" s="268">
        <v>31</v>
      </c>
      <c r="G380" s="268">
        <v>88</v>
      </c>
      <c r="H380" s="268">
        <v>42</v>
      </c>
    </row>
    <row r="381" spans="1:8" s="263" customFormat="1" ht="9" customHeight="1" x14ac:dyDescent="0.25">
      <c r="A381" s="263" t="s">
        <v>63</v>
      </c>
      <c r="B381" s="266">
        <v>15282</v>
      </c>
      <c r="C381" s="266">
        <v>6274</v>
      </c>
      <c r="D381" s="266">
        <v>7281</v>
      </c>
      <c r="E381" s="266">
        <v>191</v>
      </c>
      <c r="F381" s="266">
        <v>205</v>
      </c>
      <c r="G381" s="266">
        <v>522</v>
      </c>
      <c r="H381" s="266">
        <v>106</v>
      </c>
    </row>
    <row r="382" spans="1:8" s="263" customFormat="1" ht="9" customHeight="1" x14ac:dyDescent="0.25">
      <c r="A382" s="263" t="s">
        <v>31</v>
      </c>
      <c r="B382" s="266">
        <v>1462</v>
      </c>
      <c r="C382" s="266">
        <v>1519</v>
      </c>
      <c r="D382" s="266">
        <v>1016</v>
      </c>
      <c r="E382" s="266">
        <v>40</v>
      </c>
      <c r="F382" s="266">
        <v>21</v>
      </c>
      <c r="G382" s="266">
        <v>41</v>
      </c>
      <c r="H382" s="266">
        <v>131</v>
      </c>
    </row>
    <row r="383" spans="1:8" s="263" customFormat="1" ht="9" customHeight="1" x14ac:dyDescent="0.25">
      <c r="A383" s="263" t="s">
        <v>32</v>
      </c>
      <c r="B383" s="266">
        <v>2531</v>
      </c>
      <c r="C383" s="266">
        <v>2149</v>
      </c>
      <c r="D383" s="266">
        <v>1790</v>
      </c>
      <c r="E383" s="266">
        <v>32</v>
      </c>
      <c r="F383" s="266">
        <v>38</v>
      </c>
      <c r="G383" s="266">
        <v>97</v>
      </c>
      <c r="H383" s="266">
        <v>396</v>
      </c>
    </row>
    <row r="384" spans="1:8" s="263" customFormat="1" ht="9" customHeight="1" x14ac:dyDescent="0.25">
      <c r="A384" s="267" t="s">
        <v>33</v>
      </c>
      <c r="B384" s="268">
        <v>1494</v>
      </c>
      <c r="C384" s="268">
        <v>2642</v>
      </c>
      <c r="D384" s="268">
        <v>1880</v>
      </c>
      <c r="E384" s="268">
        <v>64</v>
      </c>
      <c r="F384" s="268">
        <v>41</v>
      </c>
      <c r="G384" s="268">
        <v>69</v>
      </c>
      <c r="H384" s="268">
        <v>664</v>
      </c>
    </row>
    <row r="385" spans="1:8" s="263" customFormat="1" ht="9" customHeight="1" x14ac:dyDescent="0.25">
      <c r="A385" s="263" t="s">
        <v>34</v>
      </c>
      <c r="B385" s="266">
        <v>1222</v>
      </c>
      <c r="C385" s="266">
        <v>2099</v>
      </c>
      <c r="D385" s="266">
        <v>1455</v>
      </c>
      <c r="E385" s="266">
        <v>40</v>
      </c>
      <c r="F385" s="266">
        <v>32</v>
      </c>
      <c r="G385" s="266">
        <v>65</v>
      </c>
      <c r="H385" s="266">
        <v>303</v>
      </c>
    </row>
    <row r="386" spans="1:8" s="263" customFormat="1" ht="9" customHeight="1" x14ac:dyDescent="0.25">
      <c r="A386" s="263" t="s">
        <v>35</v>
      </c>
      <c r="B386" s="266">
        <v>5932</v>
      </c>
      <c r="C386" s="266">
        <v>3695</v>
      </c>
      <c r="D386" s="266">
        <v>3199</v>
      </c>
      <c r="E386" s="266">
        <v>56</v>
      </c>
      <c r="F386" s="266">
        <v>46</v>
      </c>
      <c r="G386" s="266">
        <v>207</v>
      </c>
      <c r="H386" s="266">
        <v>139</v>
      </c>
    </row>
    <row r="387" spans="1:8" s="263" customFormat="1" ht="9" customHeight="1" x14ac:dyDescent="0.25">
      <c r="A387" s="263" t="s">
        <v>36</v>
      </c>
      <c r="B387" s="266">
        <v>6513</v>
      </c>
      <c r="C387" s="266">
        <v>4777</v>
      </c>
      <c r="D387" s="266">
        <v>4783</v>
      </c>
      <c r="E387" s="266">
        <v>92</v>
      </c>
      <c r="F387" s="266">
        <v>93</v>
      </c>
      <c r="G387" s="266">
        <v>220</v>
      </c>
      <c r="H387" s="266">
        <v>437</v>
      </c>
    </row>
    <row r="388" spans="1:8" s="263" customFormat="1" ht="9" customHeight="1" x14ac:dyDescent="0.25">
      <c r="A388" s="267" t="s">
        <v>37</v>
      </c>
      <c r="B388" s="268">
        <v>2120</v>
      </c>
      <c r="C388" s="268">
        <v>2239</v>
      </c>
      <c r="D388" s="268">
        <v>1985</v>
      </c>
      <c r="E388" s="268">
        <v>52</v>
      </c>
      <c r="F388" s="268">
        <v>41</v>
      </c>
      <c r="G388" s="268">
        <v>95</v>
      </c>
      <c r="H388" s="268">
        <v>202</v>
      </c>
    </row>
    <row r="389" spans="1:8" s="263" customFormat="1" ht="9" customHeight="1" x14ac:dyDescent="0.25">
      <c r="A389" s="263" t="s">
        <v>38</v>
      </c>
      <c r="B389" s="266">
        <v>952</v>
      </c>
      <c r="C389" s="266">
        <v>957</v>
      </c>
      <c r="D389" s="266">
        <v>868</v>
      </c>
      <c r="E389" s="266">
        <v>15</v>
      </c>
      <c r="F389" s="266">
        <v>10</v>
      </c>
      <c r="G389" s="266">
        <v>34</v>
      </c>
      <c r="H389" s="266">
        <v>38</v>
      </c>
    </row>
    <row r="390" spans="1:8" s="263" customFormat="1" ht="9" customHeight="1" x14ac:dyDescent="0.25">
      <c r="A390" s="263" t="s">
        <v>39</v>
      </c>
      <c r="B390" s="266">
        <v>640</v>
      </c>
      <c r="C390" s="266">
        <v>854</v>
      </c>
      <c r="D390" s="266">
        <v>657</v>
      </c>
      <c r="E390" s="266">
        <v>19</v>
      </c>
      <c r="F390" s="266">
        <v>12</v>
      </c>
      <c r="G390" s="266">
        <v>28</v>
      </c>
      <c r="H390" s="266">
        <v>46</v>
      </c>
    </row>
    <row r="391" spans="1:8" s="263" customFormat="1" ht="9" customHeight="1" x14ac:dyDescent="0.25">
      <c r="A391" s="263" t="s">
        <v>40</v>
      </c>
      <c r="B391" s="266">
        <v>3052</v>
      </c>
      <c r="C391" s="266">
        <v>1858</v>
      </c>
      <c r="D391" s="266">
        <v>2306</v>
      </c>
      <c r="E391" s="266">
        <v>43</v>
      </c>
      <c r="F391" s="266">
        <v>26</v>
      </c>
      <c r="G391" s="266">
        <v>119</v>
      </c>
      <c r="H391" s="266">
        <v>66</v>
      </c>
    </row>
    <row r="392" spans="1:8" s="263" customFormat="1" ht="9" customHeight="1" x14ac:dyDescent="0.25">
      <c r="A392" s="267" t="s">
        <v>41</v>
      </c>
      <c r="B392" s="268">
        <v>1808</v>
      </c>
      <c r="C392" s="268">
        <v>2720</v>
      </c>
      <c r="D392" s="268">
        <v>2025</v>
      </c>
      <c r="E392" s="268">
        <v>46</v>
      </c>
      <c r="F392" s="268">
        <v>41</v>
      </c>
      <c r="G392" s="268">
        <v>63</v>
      </c>
      <c r="H392" s="268">
        <v>549</v>
      </c>
    </row>
    <row r="393" spans="1:8" s="263" customFormat="1" ht="9" customHeight="1" x14ac:dyDescent="0.25">
      <c r="A393" s="263" t="s">
        <v>42</v>
      </c>
      <c r="B393" s="266">
        <v>3572</v>
      </c>
      <c r="C393" s="266">
        <v>3268</v>
      </c>
      <c r="D393" s="266">
        <v>2464</v>
      </c>
      <c r="E393" s="266">
        <v>53</v>
      </c>
      <c r="F393" s="266">
        <v>57</v>
      </c>
      <c r="G393" s="266">
        <v>132</v>
      </c>
      <c r="H393" s="266">
        <v>134</v>
      </c>
    </row>
    <row r="394" spans="1:8" s="263" customFormat="1" ht="9" customHeight="1" x14ac:dyDescent="0.25">
      <c r="A394" s="263" t="s">
        <v>43</v>
      </c>
      <c r="B394" s="266">
        <v>756</v>
      </c>
      <c r="C394" s="266">
        <v>863</v>
      </c>
      <c r="D394" s="266">
        <v>705</v>
      </c>
      <c r="E394" s="266">
        <v>13</v>
      </c>
      <c r="F394" s="266">
        <v>12</v>
      </c>
      <c r="G394" s="266">
        <v>29</v>
      </c>
      <c r="H394" s="266">
        <v>36</v>
      </c>
    </row>
    <row r="395" spans="1:8" s="263" customFormat="1" ht="9" customHeight="1" x14ac:dyDescent="0.25">
      <c r="A395" s="263" t="s">
        <v>44</v>
      </c>
      <c r="B395" s="266">
        <v>506</v>
      </c>
      <c r="C395" s="266">
        <v>415</v>
      </c>
      <c r="D395" s="266">
        <v>514</v>
      </c>
      <c r="E395" s="266">
        <v>32</v>
      </c>
      <c r="F395" s="266">
        <v>17</v>
      </c>
      <c r="G395" s="266">
        <v>31</v>
      </c>
      <c r="H395" s="266">
        <v>9</v>
      </c>
    </row>
    <row r="396" spans="1:8" s="263" customFormat="1" ht="9" customHeight="1" x14ac:dyDescent="0.25">
      <c r="A396" s="267" t="s">
        <v>45</v>
      </c>
      <c r="B396" s="268">
        <v>1375</v>
      </c>
      <c r="C396" s="268">
        <v>1276</v>
      </c>
      <c r="D396" s="268">
        <v>1122</v>
      </c>
      <c r="E396" s="268">
        <v>27</v>
      </c>
      <c r="F396" s="268">
        <v>19</v>
      </c>
      <c r="G396" s="268">
        <v>46</v>
      </c>
      <c r="H396" s="268">
        <v>159</v>
      </c>
    </row>
    <row r="397" spans="1:8" s="263" customFormat="1" ht="9" customHeight="1" x14ac:dyDescent="0.25">
      <c r="A397" s="263" t="s">
        <v>46</v>
      </c>
      <c r="B397" s="266">
        <v>2087</v>
      </c>
      <c r="C397" s="266">
        <v>1715</v>
      </c>
      <c r="D397" s="266">
        <v>1425</v>
      </c>
      <c r="E397" s="266">
        <v>33</v>
      </c>
      <c r="F397" s="266">
        <v>27</v>
      </c>
      <c r="G397" s="266">
        <v>92</v>
      </c>
      <c r="H397" s="266">
        <v>87</v>
      </c>
    </row>
    <row r="398" spans="1:8" s="263" customFormat="1" ht="9" customHeight="1" x14ac:dyDescent="0.25">
      <c r="A398" s="263" t="s">
        <v>47</v>
      </c>
      <c r="B398" s="266">
        <v>2412</v>
      </c>
      <c r="C398" s="266">
        <v>1730</v>
      </c>
      <c r="D398" s="266">
        <v>1310</v>
      </c>
      <c r="E398" s="266">
        <v>36</v>
      </c>
      <c r="F398" s="266">
        <v>41</v>
      </c>
      <c r="G398" s="266">
        <v>103</v>
      </c>
      <c r="H398" s="266">
        <v>219</v>
      </c>
    </row>
    <row r="399" spans="1:8" s="263" customFormat="1" ht="9" customHeight="1" x14ac:dyDescent="0.25">
      <c r="A399" s="263" t="s">
        <v>48</v>
      </c>
      <c r="B399" s="266">
        <v>1343</v>
      </c>
      <c r="C399" s="266">
        <v>1543</v>
      </c>
      <c r="D399" s="266">
        <v>1386</v>
      </c>
      <c r="E399" s="266">
        <v>41</v>
      </c>
      <c r="F399" s="266">
        <v>30</v>
      </c>
      <c r="G399" s="266">
        <v>60</v>
      </c>
      <c r="H399" s="266">
        <v>33</v>
      </c>
    </row>
    <row r="400" spans="1:8" s="263" customFormat="1" ht="9" customHeight="1" x14ac:dyDescent="0.25">
      <c r="A400" s="267" t="s">
        <v>49</v>
      </c>
      <c r="B400" s="268">
        <v>2621</v>
      </c>
      <c r="C400" s="268">
        <v>2222</v>
      </c>
      <c r="D400" s="268">
        <v>1587</v>
      </c>
      <c r="E400" s="268">
        <v>39</v>
      </c>
      <c r="F400" s="268">
        <v>36</v>
      </c>
      <c r="G400" s="268">
        <v>95</v>
      </c>
      <c r="H400" s="268">
        <v>135</v>
      </c>
    </row>
    <row r="401" spans="1:8" s="263" customFormat="1" ht="9" customHeight="1" x14ac:dyDescent="0.25">
      <c r="A401" s="263" t="s">
        <v>50</v>
      </c>
      <c r="B401" s="266">
        <v>562</v>
      </c>
      <c r="C401" s="266">
        <v>795</v>
      </c>
      <c r="D401" s="266">
        <v>476</v>
      </c>
      <c r="E401" s="266">
        <v>12</v>
      </c>
      <c r="F401" s="266">
        <v>10</v>
      </c>
      <c r="G401" s="266">
        <v>23</v>
      </c>
      <c r="H401" s="266">
        <v>167</v>
      </c>
    </row>
    <row r="402" spans="1:8" s="263" customFormat="1" ht="9" customHeight="1" x14ac:dyDescent="0.25">
      <c r="A402" s="263" t="s">
        <v>51</v>
      </c>
      <c r="B402" s="266">
        <v>4776</v>
      </c>
      <c r="C402" s="266">
        <v>4315</v>
      </c>
      <c r="D402" s="266">
        <v>3809</v>
      </c>
      <c r="E402" s="266">
        <v>83</v>
      </c>
      <c r="F402" s="266">
        <v>67</v>
      </c>
      <c r="G402" s="266">
        <v>190</v>
      </c>
      <c r="H402" s="266">
        <v>530</v>
      </c>
    </row>
    <row r="403" spans="1:8" s="263" customFormat="1" ht="9" customHeight="1" x14ac:dyDescent="0.25">
      <c r="A403" s="263" t="s">
        <v>52</v>
      </c>
      <c r="B403" s="266">
        <v>1421</v>
      </c>
      <c r="C403" s="266">
        <v>1087</v>
      </c>
      <c r="D403" s="266">
        <v>921</v>
      </c>
      <c r="E403" s="266">
        <v>18</v>
      </c>
      <c r="F403" s="266">
        <v>9</v>
      </c>
      <c r="G403" s="266">
        <v>44</v>
      </c>
      <c r="H403" s="266">
        <v>85</v>
      </c>
    </row>
    <row r="404" spans="1:8" s="263" customFormat="1" ht="9" customHeight="1" x14ac:dyDescent="0.25">
      <c r="A404" s="267" t="s">
        <v>53</v>
      </c>
      <c r="B404" s="268">
        <v>756</v>
      </c>
      <c r="C404" s="268">
        <v>1094</v>
      </c>
      <c r="D404" s="268">
        <v>760</v>
      </c>
      <c r="E404" s="268">
        <v>27</v>
      </c>
      <c r="F404" s="268">
        <v>21</v>
      </c>
      <c r="G404" s="268">
        <v>47</v>
      </c>
      <c r="H404" s="268">
        <v>31</v>
      </c>
    </row>
    <row r="405" spans="1:8" s="263" customFormat="1" ht="9" customHeight="1" x14ac:dyDescent="0.25">
      <c r="B405" s="266"/>
      <c r="C405" s="266"/>
      <c r="D405" s="266"/>
      <c r="E405" s="266"/>
      <c r="F405" s="266"/>
      <c r="G405" s="266"/>
      <c r="H405" s="266"/>
    </row>
    <row r="406" spans="1:8" s="263" customFormat="1" ht="9" customHeight="1" x14ac:dyDescent="0.25">
      <c r="A406" s="261">
        <v>2006</v>
      </c>
      <c r="B406" s="271"/>
      <c r="C406" s="271"/>
      <c r="D406" s="271"/>
      <c r="E406" s="271"/>
      <c r="F406" s="271"/>
      <c r="G406" s="271"/>
      <c r="H406" s="271"/>
    </row>
    <row r="407" spans="1:8" s="263" customFormat="1" ht="9" customHeight="1" x14ac:dyDescent="0.25">
      <c r="A407" s="264" t="s">
        <v>21</v>
      </c>
      <c r="B407" s="262">
        <f t="shared" ref="B407:H407" si="11">SUM(B409:B440)</f>
        <v>75364</v>
      </c>
      <c r="C407" s="262">
        <f t="shared" si="11"/>
        <v>56071</v>
      </c>
      <c r="D407" s="262">
        <f t="shared" si="11"/>
        <v>54765</v>
      </c>
      <c r="E407" s="262">
        <f t="shared" si="11"/>
        <v>1281</v>
      </c>
      <c r="F407" s="262">
        <f t="shared" si="11"/>
        <v>1136</v>
      </c>
      <c r="G407" s="262">
        <f t="shared" si="11"/>
        <v>3435</v>
      </c>
      <c r="H407" s="262">
        <f t="shared" si="11"/>
        <v>4998</v>
      </c>
    </row>
    <row r="408" spans="1:8" s="263" customFormat="1" ht="3.95" customHeight="1" x14ac:dyDescent="0.25">
      <c r="A408" s="264"/>
      <c r="B408" s="262"/>
      <c r="C408" s="262"/>
      <c r="D408" s="262"/>
      <c r="E408" s="262"/>
      <c r="F408" s="262"/>
      <c r="G408" s="262"/>
      <c r="H408" s="262"/>
    </row>
    <row r="409" spans="1:8" s="263" customFormat="1" ht="9" customHeight="1" x14ac:dyDescent="0.25">
      <c r="A409" s="263" t="s">
        <v>23</v>
      </c>
      <c r="B409" s="266">
        <v>794</v>
      </c>
      <c r="C409" s="266">
        <v>371</v>
      </c>
      <c r="D409" s="266">
        <v>595</v>
      </c>
      <c r="E409" s="266">
        <v>8</v>
      </c>
      <c r="F409" s="266">
        <v>15</v>
      </c>
      <c r="G409" s="266">
        <v>39</v>
      </c>
      <c r="H409" s="266">
        <v>33</v>
      </c>
    </row>
    <row r="410" spans="1:8" s="263" customFormat="1" ht="9" customHeight="1" x14ac:dyDescent="0.25">
      <c r="A410" s="263" t="s">
        <v>24</v>
      </c>
      <c r="B410" s="266">
        <v>1655</v>
      </c>
      <c r="C410" s="266">
        <v>858</v>
      </c>
      <c r="D410" s="266">
        <v>1066</v>
      </c>
      <c r="E410" s="266">
        <v>15</v>
      </c>
      <c r="F410" s="266">
        <v>16</v>
      </c>
      <c r="G410" s="266">
        <v>96</v>
      </c>
      <c r="H410" s="266">
        <v>68</v>
      </c>
    </row>
    <row r="411" spans="1:8" s="263" customFormat="1" ht="9" customHeight="1" x14ac:dyDescent="0.25">
      <c r="A411" s="263" t="s">
        <v>25</v>
      </c>
      <c r="B411" s="266">
        <v>475</v>
      </c>
      <c r="C411" s="266">
        <v>379</v>
      </c>
      <c r="D411" s="266">
        <v>414</v>
      </c>
      <c r="E411" s="266">
        <v>22</v>
      </c>
      <c r="F411" s="266">
        <v>13</v>
      </c>
      <c r="G411" s="266">
        <v>33</v>
      </c>
      <c r="H411" s="266">
        <v>43</v>
      </c>
    </row>
    <row r="412" spans="1:8" s="263" customFormat="1" ht="9" customHeight="1" x14ac:dyDescent="0.25">
      <c r="A412" s="267" t="s">
        <v>26</v>
      </c>
      <c r="B412" s="268">
        <v>696</v>
      </c>
      <c r="C412" s="268">
        <v>411</v>
      </c>
      <c r="D412" s="268">
        <v>508</v>
      </c>
      <c r="E412" s="268">
        <v>19</v>
      </c>
      <c r="F412" s="268">
        <v>17</v>
      </c>
      <c r="G412" s="268">
        <v>31</v>
      </c>
      <c r="H412" s="268">
        <v>51</v>
      </c>
    </row>
    <row r="413" spans="1:8" s="263" customFormat="1" ht="9" customHeight="1" x14ac:dyDescent="0.25">
      <c r="A413" s="263" t="s">
        <v>27</v>
      </c>
      <c r="B413" s="266">
        <v>2334</v>
      </c>
      <c r="C413" s="266">
        <v>1426</v>
      </c>
      <c r="D413" s="266">
        <v>1439</v>
      </c>
      <c r="E413" s="266">
        <v>26</v>
      </c>
      <c r="F413" s="266">
        <v>29</v>
      </c>
      <c r="G413" s="266">
        <v>113</v>
      </c>
      <c r="H413" s="266">
        <v>54</v>
      </c>
    </row>
    <row r="414" spans="1:8" s="263" customFormat="1" ht="9" customHeight="1" x14ac:dyDescent="0.25">
      <c r="A414" s="263" t="s">
        <v>28</v>
      </c>
      <c r="B414" s="266">
        <v>499</v>
      </c>
      <c r="C414" s="266">
        <v>438</v>
      </c>
      <c r="D414" s="266">
        <v>426</v>
      </c>
      <c r="E414" s="266">
        <v>10</v>
      </c>
      <c r="F414" s="266">
        <v>7</v>
      </c>
      <c r="G414" s="266">
        <v>24</v>
      </c>
      <c r="H414" s="266">
        <v>13</v>
      </c>
    </row>
    <row r="415" spans="1:8" s="263" customFormat="1" ht="9" customHeight="1" x14ac:dyDescent="0.25">
      <c r="A415" s="263" t="s">
        <v>29</v>
      </c>
      <c r="B415" s="266">
        <v>1924</v>
      </c>
      <c r="C415" s="266">
        <v>2404</v>
      </c>
      <c r="D415" s="266">
        <v>2028</v>
      </c>
      <c r="E415" s="266">
        <v>57</v>
      </c>
      <c r="F415" s="266">
        <v>58</v>
      </c>
      <c r="G415" s="266">
        <v>100</v>
      </c>
      <c r="H415" s="266">
        <v>49</v>
      </c>
    </row>
    <row r="416" spans="1:8" s="263" customFormat="1" ht="9" customHeight="1" x14ac:dyDescent="0.25">
      <c r="A416" s="267" t="s">
        <v>30</v>
      </c>
      <c r="B416" s="268">
        <v>2191</v>
      </c>
      <c r="C416" s="268">
        <v>1767</v>
      </c>
      <c r="D416" s="268">
        <v>1429</v>
      </c>
      <c r="E416" s="268">
        <v>24</v>
      </c>
      <c r="F416" s="268">
        <v>29</v>
      </c>
      <c r="G416" s="268">
        <v>105</v>
      </c>
      <c r="H416" s="268">
        <v>42</v>
      </c>
    </row>
    <row r="417" spans="1:8" s="263" customFormat="1" ht="9" customHeight="1" x14ac:dyDescent="0.25">
      <c r="A417" s="263" t="s">
        <v>63</v>
      </c>
      <c r="B417" s="266">
        <v>15059</v>
      </c>
      <c r="C417" s="266">
        <v>6865</v>
      </c>
      <c r="D417" s="266">
        <v>7412</v>
      </c>
      <c r="E417" s="266">
        <v>242</v>
      </c>
      <c r="F417" s="266">
        <v>203</v>
      </c>
      <c r="G417" s="266">
        <v>616</v>
      </c>
      <c r="H417" s="266">
        <v>111</v>
      </c>
    </row>
    <row r="418" spans="1:8" s="263" customFormat="1" ht="9" customHeight="1" x14ac:dyDescent="0.25">
      <c r="A418" s="263" t="s">
        <v>31</v>
      </c>
      <c r="B418" s="266">
        <v>1307</v>
      </c>
      <c r="C418" s="266">
        <v>1487</v>
      </c>
      <c r="D418" s="266">
        <v>1026</v>
      </c>
      <c r="E418" s="266">
        <v>23</v>
      </c>
      <c r="F418" s="266">
        <v>21</v>
      </c>
      <c r="G418" s="266">
        <v>58</v>
      </c>
      <c r="H418" s="266">
        <v>147</v>
      </c>
    </row>
    <row r="419" spans="1:8" s="263" customFormat="1" ht="9" customHeight="1" x14ac:dyDescent="0.25">
      <c r="A419" s="263" t="s">
        <v>32</v>
      </c>
      <c r="B419" s="266">
        <v>2567</v>
      </c>
      <c r="C419" s="266">
        <v>2293</v>
      </c>
      <c r="D419" s="266">
        <v>1932</v>
      </c>
      <c r="E419" s="266">
        <v>32</v>
      </c>
      <c r="F419" s="266">
        <v>39</v>
      </c>
      <c r="G419" s="266">
        <v>125</v>
      </c>
      <c r="H419" s="266">
        <v>408</v>
      </c>
    </row>
    <row r="420" spans="1:8" s="263" customFormat="1" ht="9" customHeight="1" x14ac:dyDescent="0.25">
      <c r="A420" s="267" t="s">
        <v>33</v>
      </c>
      <c r="B420" s="268">
        <v>1496</v>
      </c>
      <c r="C420" s="268">
        <v>1970</v>
      </c>
      <c r="D420" s="268">
        <v>1880</v>
      </c>
      <c r="E420" s="268">
        <v>29</v>
      </c>
      <c r="F420" s="268">
        <v>41</v>
      </c>
      <c r="G420" s="268">
        <v>84</v>
      </c>
      <c r="H420" s="268">
        <v>665</v>
      </c>
    </row>
    <row r="421" spans="1:8" s="263" customFormat="1" ht="9" customHeight="1" x14ac:dyDescent="0.25">
      <c r="A421" s="263" t="s">
        <v>34</v>
      </c>
      <c r="B421" s="266">
        <v>1253</v>
      </c>
      <c r="C421" s="266">
        <v>1732</v>
      </c>
      <c r="D421" s="266">
        <v>1443</v>
      </c>
      <c r="E421" s="266">
        <v>40</v>
      </c>
      <c r="F421" s="266">
        <v>32</v>
      </c>
      <c r="G421" s="266">
        <v>51</v>
      </c>
      <c r="H421" s="266">
        <v>378</v>
      </c>
    </row>
    <row r="422" spans="1:8" s="263" customFormat="1" ht="9" customHeight="1" x14ac:dyDescent="0.25">
      <c r="A422" s="263" t="s">
        <v>35</v>
      </c>
      <c r="B422" s="266">
        <v>5788</v>
      </c>
      <c r="C422" s="266">
        <v>3654</v>
      </c>
      <c r="D422" s="266">
        <v>3259</v>
      </c>
      <c r="E422" s="266">
        <v>39</v>
      </c>
      <c r="F422" s="266">
        <v>43</v>
      </c>
      <c r="G422" s="266">
        <v>249</v>
      </c>
      <c r="H422" s="266">
        <v>258</v>
      </c>
    </row>
    <row r="423" spans="1:8" s="263" customFormat="1" ht="9" customHeight="1" x14ac:dyDescent="0.25">
      <c r="A423" s="263" t="s">
        <v>36</v>
      </c>
      <c r="B423" s="266">
        <v>6645</v>
      </c>
      <c r="C423" s="266">
        <v>5069</v>
      </c>
      <c r="D423" s="266">
        <v>4779</v>
      </c>
      <c r="E423" s="266">
        <v>99</v>
      </c>
      <c r="F423" s="266">
        <v>94</v>
      </c>
      <c r="G423" s="266">
        <v>245</v>
      </c>
      <c r="H423" s="266">
        <v>445</v>
      </c>
    </row>
    <row r="424" spans="1:8" s="263" customFormat="1" ht="9" customHeight="1" x14ac:dyDescent="0.25">
      <c r="A424" s="267" t="s">
        <v>37</v>
      </c>
      <c r="B424" s="268">
        <v>2059</v>
      </c>
      <c r="C424" s="268">
        <v>2301</v>
      </c>
      <c r="D424" s="268">
        <v>2040</v>
      </c>
      <c r="E424" s="268">
        <v>28</v>
      </c>
      <c r="F424" s="268">
        <v>41</v>
      </c>
      <c r="G424" s="268">
        <v>115</v>
      </c>
      <c r="H424" s="268">
        <v>215</v>
      </c>
    </row>
    <row r="425" spans="1:8" s="263" customFormat="1" ht="9" customHeight="1" x14ac:dyDescent="0.25">
      <c r="A425" s="263" t="s">
        <v>38</v>
      </c>
      <c r="B425" s="266">
        <v>941</v>
      </c>
      <c r="C425" s="266">
        <v>787</v>
      </c>
      <c r="D425" s="266">
        <v>881</v>
      </c>
      <c r="E425" s="266">
        <v>15</v>
      </c>
      <c r="F425" s="266">
        <v>10</v>
      </c>
      <c r="G425" s="266">
        <v>40</v>
      </c>
      <c r="H425" s="266">
        <v>51</v>
      </c>
    </row>
    <row r="426" spans="1:8" s="263" customFormat="1" ht="9" customHeight="1" x14ac:dyDescent="0.25">
      <c r="A426" s="263" t="s">
        <v>39</v>
      </c>
      <c r="B426" s="266">
        <v>631</v>
      </c>
      <c r="C426" s="266">
        <v>588</v>
      </c>
      <c r="D426" s="266">
        <v>694</v>
      </c>
      <c r="E426" s="266">
        <v>23</v>
      </c>
      <c r="F426" s="266">
        <v>12</v>
      </c>
      <c r="G426" s="266">
        <v>36</v>
      </c>
      <c r="H426" s="266">
        <v>44</v>
      </c>
    </row>
    <row r="427" spans="1:8" s="263" customFormat="1" ht="9" customHeight="1" x14ac:dyDescent="0.25">
      <c r="A427" s="263" t="s">
        <v>40</v>
      </c>
      <c r="B427" s="266">
        <v>3583</v>
      </c>
      <c r="C427" s="266">
        <v>1599</v>
      </c>
      <c r="D427" s="266">
        <v>2352</v>
      </c>
      <c r="E427" s="266">
        <v>47</v>
      </c>
      <c r="F427" s="266">
        <v>32</v>
      </c>
      <c r="G427" s="266">
        <v>142</v>
      </c>
      <c r="H427" s="266">
        <v>59</v>
      </c>
    </row>
    <row r="428" spans="1:8" s="263" customFormat="1" ht="9" customHeight="1" x14ac:dyDescent="0.25">
      <c r="A428" s="267" t="s">
        <v>41</v>
      </c>
      <c r="B428" s="268">
        <v>1804</v>
      </c>
      <c r="C428" s="268">
        <v>2980</v>
      </c>
      <c r="D428" s="268">
        <v>2055</v>
      </c>
      <c r="E428" s="268">
        <v>53</v>
      </c>
      <c r="F428" s="268">
        <v>42</v>
      </c>
      <c r="G428" s="268">
        <v>77</v>
      </c>
      <c r="H428" s="268">
        <v>551</v>
      </c>
    </row>
    <row r="429" spans="1:8" s="263" customFormat="1" ht="9" customHeight="1" x14ac:dyDescent="0.25">
      <c r="A429" s="263" t="s">
        <v>42</v>
      </c>
      <c r="B429" s="266">
        <v>3439</v>
      </c>
      <c r="C429" s="266">
        <v>2093</v>
      </c>
      <c r="D429" s="266">
        <v>2574</v>
      </c>
      <c r="E429" s="266">
        <v>60</v>
      </c>
      <c r="F429" s="266">
        <v>54</v>
      </c>
      <c r="G429" s="266">
        <v>152</v>
      </c>
      <c r="H429" s="266">
        <v>134</v>
      </c>
    </row>
    <row r="430" spans="1:8" s="263" customFormat="1" ht="9" customHeight="1" x14ac:dyDescent="0.25">
      <c r="A430" s="263" t="s">
        <v>43</v>
      </c>
      <c r="B430" s="266">
        <v>724</v>
      </c>
      <c r="C430" s="266">
        <v>452</v>
      </c>
      <c r="D430" s="266">
        <v>762</v>
      </c>
      <c r="E430" s="266">
        <v>14</v>
      </c>
      <c r="F430" s="266">
        <v>12</v>
      </c>
      <c r="G430" s="266">
        <v>34</v>
      </c>
      <c r="H430" s="266">
        <v>35</v>
      </c>
    </row>
    <row r="431" spans="1:8" s="263" customFormat="1" ht="9" customHeight="1" x14ac:dyDescent="0.25">
      <c r="A431" s="263" t="s">
        <v>44</v>
      </c>
      <c r="B431" s="266">
        <v>498</v>
      </c>
      <c r="C431" s="266">
        <v>409</v>
      </c>
      <c r="D431" s="266">
        <v>511</v>
      </c>
      <c r="E431" s="266">
        <v>27</v>
      </c>
      <c r="F431" s="266">
        <v>17</v>
      </c>
      <c r="G431" s="266">
        <v>37</v>
      </c>
      <c r="H431" s="266">
        <v>9</v>
      </c>
    </row>
    <row r="432" spans="1:8" s="263" customFormat="1" ht="9" customHeight="1" x14ac:dyDescent="0.25">
      <c r="A432" s="267" t="s">
        <v>45</v>
      </c>
      <c r="B432" s="268">
        <v>1356</v>
      </c>
      <c r="C432" s="268">
        <v>1287</v>
      </c>
      <c r="D432" s="268">
        <v>1184</v>
      </c>
      <c r="E432" s="268">
        <v>41</v>
      </c>
      <c r="F432" s="268">
        <v>19</v>
      </c>
      <c r="G432" s="268">
        <v>62</v>
      </c>
      <c r="H432" s="268">
        <v>166</v>
      </c>
    </row>
    <row r="433" spans="1:8" s="263" customFormat="1" ht="9" customHeight="1" x14ac:dyDescent="0.25">
      <c r="A433" s="263" t="s">
        <v>46</v>
      </c>
      <c r="B433" s="266">
        <v>2075</v>
      </c>
      <c r="C433" s="266">
        <v>1330</v>
      </c>
      <c r="D433" s="266">
        <v>1441</v>
      </c>
      <c r="E433" s="266">
        <v>34</v>
      </c>
      <c r="F433" s="266">
        <v>28</v>
      </c>
      <c r="G433" s="266">
        <v>118</v>
      </c>
      <c r="H433" s="266">
        <v>89</v>
      </c>
    </row>
    <row r="434" spans="1:8" s="263" customFormat="1" ht="9" customHeight="1" x14ac:dyDescent="0.25">
      <c r="A434" s="263" t="s">
        <v>47</v>
      </c>
      <c r="B434" s="266">
        <v>2281</v>
      </c>
      <c r="C434" s="266">
        <v>1515</v>
      </c>
      <c r="D434" s="266">
        <v>1302</v>
      </c>
      <c r="E434" s="266">
        <v>34</v>
      </c>
      <c r="F434" s="266">
        <v>41</v>
      </c>
      <c r="G434" s="266">
        <v>110</v>
      </c>
      <c r="H434" s="266">
        <v>211</v>
      </c>
    </row>
    <row r="435" spans="1:8" s="263" customFormat="1" ht="9" customHeight="1" x14ac:dyDescent="0.25">
      <c r="A435" s="263" t="s">
        <v>48</v>
      </c>
      <c r="B435" s="266">
        <v>1321</v>
      </c>
      <c r="C435" s="266">
        <v>1521</v>
      </c>
      <c r="D435" s="266">
        <v>1501</v>
      </c>
      <c r="E435" s="266">
        <v>35</v>
      </c>
      <c r="F435" s="266">
        <v>28</v>
      </c>
      <c r="G435" s="266">
        <v>64</v>
      </c>
      <c r="H435" s="266">
        <v>50</v>
      </c>
    </row>
    <row r="436" spans="1:8" s="263" customFormat="1" ht="9" customHeight="1" x14ac:dyDescent="0.25">
      <c r="A436" s="267" t="s">
        <v>49</v>
      </c>
      <c r="B436" s="268">
        <v>2584</v>
      </c>
      <c r="C436" s="268">
        <v>1858</v>
      </c>
      <c r="D436" s="268">
        <v>1620</v>
      </c>
      <c r="E436" s="268">
        <v>56</v>
      </c>
      <c r="F436" s="268">
        <v>36</v>
      </c>
      <c r="G436" s="268">
        <v>108</v>
      </c>
      <c r="H436" s="268">
        <v>131</v>
      </c>
    </row>
    <row r="437" spans="1:8" s="263" customFormat="1" ht="9" customHeight="1" x14ac:dyDescent="0.25">
      <c r="A437" s="263" t="s">
        <v>50</v>
      </c>
      <c r="B437" s="266">
        <v>547</v>
      </c>
      <c r="C437" s="266">
        <v>786</v>
      </c>
      <c r="D437" s="266">
        <v>499</v>
      </c>
      <c r="E437" s="266">
        <v>8</v>
      </c>
      <c r="F437" s="266">
        <v>10</v>
      </c>
      <c r="G437" s="266">
        <v>28</v>
      </c>
      <c r="H437" s="266">
        <v>167</v>
      </c>
    </row>
    <row r="438" spans="1:8" s="263" customFormat="1" ht="9" customHeight="1" x14ac:dyDescent="0.25">
      <c r="A438" s="263" t="s">
        <v>51</v>
      </c>
      <c r="B438" s="266">
        <v>4728</v>
      </c>
      <c r="C438" s="266">
        <v>3386</v>
      </c>
      <c r="D438" s="266">
        <v>3986</v>
      </c>
      <c r="E438" s="266">
        <v>72</v>
      </c>
      <c r="F438" s="266">
        <v>67</v>
      </c>
      <c r="G438" s="266">
        <v>235</v>
      </c>
      <c r="H438" s="266">
        <v>249</v>
      </c>
    </row>
    <row r="439" spans="1:8" s="263" customFormat="1" ht="9" customHeight="1" x14ac:dyDescent="0.25">
      <c r="A439" s="263" t="s">
        <v>52</v>
      </c>
      <c r="B439" s="266">
        <v>1394</v>
      </c>
      <c r="C439" s="266">
        <v>920</v>
      </c>
      <c r="D439" s="266">
        <v>916</v>
      </c>
      <c r="E439" s="266">
        <v>24</v>
      </c>
      <c r="F439" s="266">
        <v>9</v>
      </c>
      <c r="G439" s="266">
        <v>58</v>
      </c>
      <c r="H439" s="266">
        <v>41</v>
      </c>
    </row>
    <row r="440" spans="1:8" s="263" customFormat="1" ht="9" customHeight="1" x14ac:dyDescent="0.25">
      <c r="A440" s="267" t="s">
        <v>53</v>
      </c>
      <c r="B440" s="268">
        <v>716</v>
      </c>
      <c r="C440" s="268">
        <v>1135</v>
      </c>
      <c r="D440" s="268">
        <v>811</v>
      </c>
      <c r="E440" s="268">
        <v>25</v>
      </c>
      <c r="F440" s="268">
        <v>21</v>
      </c>
      <c r="G440" s="268">
        <v>50</v>
      </c>
      <c r="H440" s="268">
        <v>31</v>
      </c>
    </row>
    <row r="441" spans="1:8" s="263" customFormat="1" ht="9" customHeight="1" x14ac:dyDescent="0.25">
      <c r="B441" s="266"/>
      <c r="C441" s="266"/>
      <c r="D441" s="266"/>
      <c r="E441" s="266"/>
      <c r="F441" s="266"/>
      <c r="G441" s="266"/>
      <c r="H441" s="266"/>
    </row>
    <row r="442" spans="1:8" s="263" customFormat="1" ht="9" customHeight="1" x14ac:dyDescent="0.25">
      <c r="A442" s="261">
        <v>2007</v>
      </c>
      <c r="B442" s="271"/>
      <c r="C442" s="271"/>
      <c r="D442" s="271"/>
      <c r="E442" s="271"/>
      <c r="F442" s="271"/>
      <c r="G442" s="271"/>
      <c r="H442" s="271"/>
    </row>
    <row r="443" spans="1:8" s="263" customFormat="1" ht="9" customHeight="1" x14ac:dyDescent="0.25">
      <c r="A443" s="264" t="s">
        <v>21</v>
      </c>
      <c r="B443" s="262">
        <f>SUM(B445:B476)</f>
        <v>79926</v>
      </c>
      <c r="C443" s="262">
        <f>SUM(C445:C476)</f>
        <v>54841</v>
      </c>
      <c r="D443" s="262">
        <f>SUM(D445:D476)</f>
        <v>57716</v>
      </c>
      <c r="E443" s="262">
        <f>SUM(E445:E476)</f>
        <v>2146</v>
      </c>
      <c r="F443" s="262">
        <f>SUM(F445:F476)+36+29</f>
        <v>3216</v>
      </c>
      <c r="G443" s="262">
        <f>SUM(G445:G476)</f>
        <v>3037</v>
      </c>
      <c r="H443" s="262">
        <f>SUM(H445:H476)</f>
        <v>5369</v>
      </c>
    </row>
    <row r="444" spans="1:8" s="263" customFormat="1" ht="3.95" customHeight="1" x14ac:dyDescent="0.25">
      <c r="A444" s="264"/>
      <c r="B444" s="262"/>
      <c r="C444" s="262"/>
      <c r="D444" s="262"/>
      <c r="E444" s="262"/>
      <c r="F444" s="262"/>
      <c r="G444" s="262"/>
      <c r="H444" s="262"/>
    </row>
    <row r="445" spans="1:8" s="263" customFormat="1" ht="9" customHeight="1" x14ac:dyDescent="0.25">
      <c r="A445" s="263" t="s">
        <v>23</v>
      </c>
      <c r="B445" s="266">
        <v>877</v>
      </c>
      <c r="C445" s="266">
        <v>459</v>
      </c>
      <c r="D445" s="266">
        <v>639</v>
      </c>
      <c r="E445" s="266">
        <v>20</v>
      </c>
      <c r="F445" s="266">
        <v>35</v>
      </c>
      <c r="G445" s="266">
        <v>37</v>
      </c>
      <c r="H445" s="266">
        <v>33</v>
      </c>
    </row>
    <row r="446" spans="1:8" s="263" customFormat="1" ht="9" customHeight="1" x14ac:dyDescent="0.25">
      <c r="A446" s="263" t="s">
        <v>24</v>
      </c>
      <c r="B446" s="266">
        <v>1976</v>
      </c>
      <c r="C446" s="266">
        <v>951</v>
      </c>
      <c r="D446" s="266">
        <v>1076</v>
      </c>
      <c r="E446" s="266">
        <v>33</v>
      </c>
      <c r="F446" s="266">
        <v>67</v>
      </c>
      <c r="G446" s="266">
        <v>61</v>
      </c>
      <c r="H446" s="266">
        <v>71</v>
      </c>
    </row>
    <row r="447" spans="1:8" s="263" customFormat="1" ht="9" customHeight="1" x14ac:dyDescent="0.25">
      <c r="A447" s="263" t="s">
        <v>25</v>
      </c>
      <c r="B447" s="266">
        <v>473</v>
      </c>
      <c r="C447" s="266">
        <v>378</v>
      </c>
      <c r="D447" s="266">
        <v>451</v>
      </c>
      <c r="E447" s="266">
        <v>33</v>
      </c>
      <c r="F447" s="266">
        <v>42</v>
      </c>
      <c r="G447" s="266">
        <v>27</v>
      </c>
      <c r="H447" s="266">
        <v>44</v>
      </c>
    </row>
    <row r="448" spans="1:8" s="263" customFormat="1" ht="9" customHeight="1" x14ac:dyDescent="0.25">
      <c r="A448" s="267" t="s">
        <v>26</v>
      </c>
      <c r="B448" s="268">
        <v>686</v>
      </c>
      <c r="C448" s="268">
        <v>570</v>
      </c>
      <c r="D448" s="268">
        <v>543</v>
      </c>
      <c r="E448" s="268">
        <v>25</v>
      </c>
      <c r="F448" s="268">
        <v>37</v>
      </c>
      <c r="G448" s="268">
        <v>28</v>
      </c>
      <c r="H448" s="268">
        <v>58</v>
      </c>
    </row>
    <row r="449" spans="1:8" s="263" customFormat="1" ht="9" customHeight="1" x14ac:dyDescent="0.25">
      <c r="A449" s="263" t="s">
        <v>27</v>
      </c>
      <c r="B449" s="266">
        <v>2530</v>
      </c>
      <c r="C449" s="266">
        <v>1251</v>
      </c>
      <c r="D449" s="266">
        <v>1509</v>
      </c>
      <c r="E449" s="266">
        <v>83</v>
      </c>
      <c r="F449" s="266">
        <v>106</v>
      </c>
      <c r="G449" s="266">
        <v>91</v>
      </c>
      <c r="H449" s="266">
        <v>49</v>
      </c>
    </row>
    <row r="450" spans="1:8" s="263" customFormat="1" ht="9" customHeight="1" x14ac:dyDescent="0.25">
      <c r="A450" s="263" t="s">
        <v>28</v>
      </c>
      <c r="B450" s="266">
        <v>543</v>
      </c>
      <c r="C450" s="266">
        <v>327</v>
      </c>
      <c r="D450" s="266">
        <v>446</v>
      </c>
      <c r="E450" s="266">
        <v>13</v>
      </c>
      <c r="F450" s="266">
        <v>30</v>
      </c>
      <c r="G450" s="266">
        <v>21</v>
      </c>
      <c r="H450" s="266">
        <v>13</v>
      </c>
    </row>
    <row r="451" spans="1:8" s="263" customFormat="1" ht="9" customHeight="1" x14ac:dyDescent="0.25">
      <c r="A451" s="263" t="s">
        <v>29</v>
      </c>
      <c r="B451" s="266">
        <v>2032</v>
      </c>
      <c r="C451" s="266">
        <v>2657</v>
      </c>
      <c r="D451" s="266">
        <v>2236</v>
      </c>
      <c r="E451" s="266">
        <v>84</v>
      </c>
      <c r="F451" s="266">
        <v>110</v>
      </c>
      <c r="G451" s="266">
        <v>123</v>
      </c>
      <c r="H451" s="266">
        <v>54</v>
      </c>
    </row>
    <row r="452" spans="1:8" s="263" customFormat="1" ht="9" customHeight="1" x14ac:dyDescent="0.25">
      <c r="A452" s="267" t="s">
        <v>30</v>
      </c>
      <c r="B452" s="268">
        <v>2481</v>
      </c>
      <c r="C452" s="268">
        <v>1420</v>
      </c>
      <c r="D452" s="268">
        <v>1433</v>
      </c>
      <c r="E452" s="268">
        <v>76</v>
      </c>
      <c r="F452" s="268">
        <v>91</v>
      </c>
      <c r="G452" s="268">
        <v>75</v>
      </c>
      <c r="H452" s="268">
        <v>61</v>
      </c>
    </row>
    <row r="453" spans="1:8" s="263" customFormat="1" ht="9" customHeight="1" x14ac:dyDescent="0.25">
      <c r="A453" s="263" t="s">
        <v>63</v>
      </c>
      <c r="B453" s="266">
        <v>15415</v>
      </c>
      <c r="C453" s="266">
        <v>7117</v>
      </c>
      <c r="D453" s="266">
        <v>7447</v>
      </c>
      <c r="E453" s="266">
        <v>328</v>
      </c>
      <c r="F453" s="266">
        <v>555</v>
      </c>
      <c r="G453" s="266">
        <v>583</v>
      </c>
      <c r="H453" s="266">
        <v>111</v>
      </c>
    </row>
    <row r="454" spans="1:8" s="263" customFormat="1" ht="9" customHeight="1" x14ac:dyDescent="0.25">
      <c r="A454" s="263" t="s">
        <v>31</v>
      </c>
      <c r="B454" s="266">
        <v>1391</v>
      </c>
      <c r="C454" s="266">
        <v>1391</v>
      </c>
      <c r="D454" s="266">
        <v>1058</v>
      </c>
      <c r="E454" s="266">
        <v>41</v>
      </c>
      <c r="F454" s="266">
        <v>69</v>
      </c>
      <c r="G454" s="266">
        <v>51</v>
      </c>
      <c r="H454" s="266">
        <v>118</v>
      </c>
    </row>
    <row r="455" spans="1:8" s="263" customFormat="1" ht="9" customHeight="1" x14ac:dyDescent="0.25">
      <c r="A455" s="263" t="s">
        <v>32</v>
      </c>
      <c r="B455" s="266">
        <v>2982</v>
      </c>
      <c r="C455" s="266">
        <v>2171</v>
      </c>
      <c r="D455" s="266">
        <v>2056</v>
      </c>
      <c r="E455" s="266">
        <v>51</v>
      </c>
      <c r="F455" s="266">
        <v>108</v>
      </c>
      <c r="G455" s="266">
        <v>116</v>
      </c>
      <c r="H455" s="266">
        <v>436</v>
      </c>
    </row>
    <row r="456" spans="1:8" s="263" customFormat="1" ht="9" customHeight="1" x14ac:dyDescent="0.25">
      <c r="A456" s="267" t="s">
        <v>33</v>
      </c>
      <c r="B456" s="268">
        <v>1667</v>
      </c>
      <c r="C456" s="268">
        <v>1283</v>
      </c>
      <c r="D456" s="268">
        <v>1976</v>
      </c>
      <c r="E456" s="268">
        <v>22</v>
      </c>
      <c r="F456" s="268">
        <v>69</v>
      </c>
      <c r="G456" s="268">
        <v>119</v>
      </c>
      <c r="H456" s="268">
        <v>653</v>
      </c>
    </row>
    <row r="457" spans="1:8" s="263" customFormat="1" ht="9" customHeight="1" x14ac:dyDescent="0.25">
      <c r="A457" s="263" t="s">
        <v>34</v>
      </c>
      <c r="B457" s="266">
        <v>1314</v>
      </c>
      <c r="C457" s="266">
        <v>2088</v>
      </c>
      <c r="D457" s="266">
        <v>1550</v>
      </c>
      <c r="E457" s="266">
        <v>67</v>
      </c>
      <c r="F457" s="266">
        <v>55</v>
      </c>
      <c r="G457" s="266">
        <v>42</v>
      </c>
      <c r="H457" s="266">
        <v>375</v>
      </c>
    </row>
    <row r="458" spans="1:8" s="263" customFormat="1" ht="9" customHeight="1" x14ac:dyDescent="0.25">
      <c r="A458" s="263" t="s">
        <v>35</v>
      </c>
      <c r="B458" s="266">
        <v>6359</v>
      </c>
      <c r="C458" s="266">
        <v>2973</v>
      </c>
      <c r="D458" s="266">
        <v>3253</v>
      </c>
      <c r="E458" s="266">
        <v>104</v>
      </c>
      <c r="F458" s="266">
        <v>170</v>
      </c>
      <c r="G458" s="266">
        <v>196</v>
      </c>
      <c r="H458" s="266">
        <v>450</v>
      </c>
    </row>
    <row r="459" spans="1:8" s="263" customFormat="1" ht="9" customHeight="1" x14ac:dyDescent="0.25">
      <c r="A459" s="263" t="s">
        <v>36</v>
      </c>
      <c r="B459" s="266">
        <v>6730</v>
      </c>
      <c r="C459" s="266">
        <v>4523</v>
      </c>
      <c r="D459" s="266">
        <v>5128</v>
      </c>
      <c r="E459" s="266">
        <v>174</v>
      </c>
      <c r="F459" s="266">
        <v>228</v>
      </c>
      <c r="G459" s="266">
        <v>209</v>
      </c>
      <c r="H459" s="266">
        <v>389</v>
      </c>
    </row>
    <row r="460" spans="1:8" s="263" customFormat="1" ht="9" customHeight="1" x14ac:dyDescent="0.25">
      <c r="A460" s="267" t="s">
        <v>37</v>
      </c>
      <c r="B460" s="268">
        <v>2249</v>
      </c>
      <c r="C460" s="268">
        <v>2326</v>
      </c>
      <c r="D460" s="268">
        <v>2189</v>
      </c>
      <c r="E460" s="268">
        <v>64</v>
      </c>
      <c r="F460" s="268">
        <v>82</v>
      </c>
      <c r="G460" s="268">
        <v>97</v>
      </c>
      <c r="H460" s="268">
        <v>215</v>
      </c>
    </row>
    <row r="461" spans="1:8" s="263" customFormat="1" ht="9" customHeight="1" x14ac:dyDescent="0.25">
      <c r="A461" s="263" t="s">
        <v>38</v>
      </c>
      <c r="B461" s="266">
        <v>776</v>
      </c>
      <c r="C461" s="266">
        <v>943</v>
      </c>
      <c r="D461" s="266">
        <v>931</v>
      </c>
      <c r="E461" s="266">
        <v>20</v>
      </c>
      <c r="F461" s="266">
        <v>41</v>
      </c>
      <c r="G461" s="266">
        <v>35</v>
      </c>
      <c r="H461" s="266">
        <v>70</v>
      </c>
    </row>
    <row r="462" spans="1:8" s="263" customFormat="1" ht="9" customHeight="1" x14ac:dyDescent="0.25">
      <c r="A462" s="263" t="s">
        <v>39</v>
      </c>
      <c r="B462" s="266">
        <v>667</v>
      </c>
      <c r="C462" s="266">
        <v>606</v>
      </c>
      <c r="D462" s="266">
        <v>727</v>
      </c>
      <c r="E462" s="266">
        <v>33</v>
      </c>
      <c r="F462" s="266">
        <v>34</v>
      </c>
      <c r="G462" s="266">
        <v>29</v>
      </c>
      <c r="H462" s="266">
        <v>42</v>
      </c>
    </row>
    <row r="463" spans="1:8" s="263" customFormat="1" ht="9" customHeight="1" x14ac:dyDescent="0.25">
      <c r="A463" s="263" t="s">
        <v>40</v>
      </c>
      <c r="B463" s="266">
        <v>3771</v>
      </c>
      <c r="C463" s="266">
        <v>1873</v>
      </c>
      <c r="D463" s="266">
        <v>2472</v>
      </c>
      <c r="E463" s="266">
        <v>66</v>
      </c>
      <c r="F463" s="266">
        <v>167</v>
      </c>
      <c r="G463" s="266">
        <v>132</v>
      </c>
      <c r="H463" s="266">
        <v>62</v>
      </c>
    </row>
    <row r="464" spans="1:8" s="263" customFormat="1" ht="9" customHeight="1" x14ac:dyDescent="0.25">
      <c r="A464" s="267" t="s">
        <v>41</v>
      </c>
      <c r="B464" s="268">
        <v>1782</v>
      </c>
      <c r="C464" s="268">
        <v>1742</v>
      </c>
      <c r="D464" s="268">
        <v>2261</v>
      </c>
      <c r="E464" s="268">
        <v>62</v>
      </c>
      <c r="F464" s="268">
        <v>74</v>
      </c>
      <c r="G464" s="268">
        <v>66</v>
      </c>
      <c r="H464" s="268">
        <v>689</v>
      </c>
    </row>
    <row r="465" spans="1:8" s="263" customFormat="1" ht="9" customHeight="1" x14ac:dyDescent="0.25">
      <c r="A465" s="263" t="s">
        <v>42</v>
      </c>
      <c r="B465" s="266">
        <v>3518</v>
      </c>
      <c r="C465" s="266">
        <v>2105</v>
      </c>
      <c r="D465" s="266">
        <v>2689</v>
      </c>
      <c r="E465" s="266">
        <v>65</v>
      </c>
      <c r="F465" s="266">
        <v>140</v>
      </c>
      <c r="G465" s="266">
        <v>135</v>
      </c>
      <c r="H465" s="266">
        <v>215</v>
      </c>
    </row>
    <row r="466" spans="1:8" s="263" customFormat="1" ht="9" customHeight="1" x14ac:dyDescent="0.25">
      <c r="A466" s="263" t="s">
        <v>43</v>
      </c>
      <c r="B466" s="266">
        <v>767</v>
      </c>
      <c r="C466" s="266">
        <v>619</v>
      </c>
      <c r="D466" s="266">
        <v>811</v>
      </c>
      <c r="E466" s="266">
        <v>21</v>
      </c>
      <c r="F466" s="266">
        <v>36</v>
      </c>
      <c r="G466" s="266">
        <v>28</v>
      </c>
      <c r="H466" s="266">
        <v>20</v>
      </c>
    </row>
    <row r="467" spans="1:8" s="263" customFormat="1" ht="9" customHeight="1" x14ac:dyDescent="0.25">
      <c r="A467" s="263" t="s">
        <v>44</v>
      </c>
      <c r="B467" s="266">
        <v>525</v>
      </c>
      <c r="C467" s="266">
        <v>396</v>
      </c>
      <c r="D467" s="266">
        <v>614</v>
      </c>
      <c r="E467" s="266">
        <v>48</v>
      </c>
      <c r="F467" s="266">
        <v>23</v>
      </c>
      <c r="G467" s="266">
        <v>31</v>
      </c>
      <c r="H467" s="266">
        <v>18</v>
      </c>
    </row>
    <row r="468" spans="1:8" s="263" customFormat="1" ht="9" customHeight="1" x14ac:dyDescent="0.25">
      <c r="A468" s="267" t="s">
        <v>45</v>
      </c>
      <c r="B468" s="268">
        <v>1596</v>
      </c>
      <c r="C468" s="268">
        <v>1464</v>
      </c>
      <c r="D468" s="268">
        <v>1263</v>
      </c>
      <c r="E468" s="268">
        <v>58</v>
      </c>
      <c r="F468" s="268">
        <v>79</v>
      </c>
      <c r="G468" s="268">
        <v>52</v>
      </c>
      <c r="H468" s="268">
        <v>34</v>
      </c>
    </row>
    <row r="469" spans="1:8" s="263" customFormat="1" ht="9" customHeight="1" x14ac:dyDescent="0.25">
      <c r="A469" s="263" t="s">
        <v>46</v>
      </c>
      <c r="B469" s="266">
        <v>2225</v>
      </c>
      <c r="C469" s="266">
        <v>1470</v>
      </c>
      <c r="D469" s="266">
        <v>1502</v>
      </c>
      <c r="E469" s="266">
        <v>57</v>
      </c>
      <c r="F469" s="266">
        <v>82</v>
      </c>
      <c r="G469" s="266">
        <v>86</v>
      </c>
      <c r="H469" s="266">
        <v>70</v>
      </c>
    </row>
    <row r="470" spans="1:8" s="263" customFormat="1" ht="9" customHeight="1" x14ac:dyDescent="0.25">
      <c r="A470" s="263" t="s">
        <v>47</v>
      </c>
      <c r="B470" s="266">
        <v>2393</v>
      </c>
      <c r="C470" s="266">
        <v>1269</v>
      </c>
      <c r="D470" s="266">
        <v>1406</v>
      </c>
      <c r="E470" s="266">
        <v>92</v>
      </c>
      <c r="F470" s="266">
        <v>92</v>
      </c>
      <c r="G470" s="266">
        <v>102</v>
      </c>
      <c r="H470" s="266">
        <v>180</v>
      </c>
    </row>
    <row r="471" spans="1:8" s="263" customFormat="1" ht="9" customHeight="1" x14ac:dyDescent="0.25">
      <c r="A471" s="263" t="s">
        <v>48</v>
      </c>
      <c r="B471" s="266">
        <v>1625</v>
      </c>
      <c r="C471" s="266">
        <v>1145</v>
      </c>
      <c r="D471" s="266">
        <v>1707</v>
      </c>
      <c r="E471" s="266">
        <v>76</v>
      </c>
      <c r="F471" s="266">
        <v>81</v>
      </c>
      <c r="G471" s="266">
        <v>71</v>
      </c>
      <c r="H471" s="266">
        <v>83</v>
      </c>
    </row>
    <row r="472" spans="1:8" s="263" customFormat="1" ht="9" customHeight="1" x14ac:dyDescent="0.25">
      <c r="A472" s="267" t="s">
        <v>49</v>
      </c>
      <c r="B472" s="268">
        <v>2718</v>
      </c>
      <c r="C472" s="268">
        <v>1874</v>
      </c>
      <c r="D472" s="268">
        <v>1696</v>
      </c>
      <c r="E472" s="268">
        <v>76</v>
      </c>
      <c r="F472" s="268">
        <v>111</v>
      </c>
      <c r="G472" s="268">
        <v>88</v>
      </c>
      <c r="H472" s="268">
        <v>131</v>
      </c>
    </row>
    <row r="473" spans="1:8" s="263" customFormat="1" ht="9" customHeight="1" x14ac:dyDescent="0.25">
      <c r="A473" s="263" t="s">
        <v>50</v>
      </c>
      <c r="B473" s="266">
        <v>609</v>
      </c>
      <c r="C473" s="266">
        <v>738</v>
      </c>
      <c r="D473" s="266">
        <v>533</v>
      </c>
      <c r="E473" s="266">
        <v>17</v>
      </c>
      <c r="F473" s="266">
        <v>29</v>
      </c>
      <c r="G473" s="266">
        <v>24</v>
      </c>
      <c r="H473" s="266">
        <v>168</v>
      </c>
    </row>
    <row r="474" spans="1:8" s="263" customFormat="1" ht="9" customHeight="1" x14ac:dyDescent="0.25">
      <c r="A474" s="263" t="s">
        <v>51</v>
      </c>
      <c r="B474" s="266">
        <v>4825</v>
      </c>
      <c r="C474" s="266">
        <v>4575</v>
      </c>
      <c r="D474" s="266">
        <v>4155</v>
      </c>
      <c r="E474" s="266">
        <v>151</v>
      </c>
      <c r="F474" s="266">
        <v>205</v>
      </c>
      <c r="G474" s="266">
        <v>192</v>
      </c>
      <c r="H474" s="266">
        <v>268</v>
      </c>
    </row>
    <row r="475" spans="1:8" s="263" customFormat="1" ht="9" customHeight="1" x14ac:dyDescent="0.25">
      <c r="A475" s="263" t="s">
        <v>52</v>
      </c>
      <c r="B475" s="266">
        <v>1548</v>
      </c>
      <c r="C475" s="266">
        <v>1180</v>
      </c>
      <c r="D475" s="266">
        <v>1040</v>
      </c>
      <c r="E475" s="266">
        <v>40</v>
      </c>
      <c r="F475" s="266">
        <v>56</v>
      </c>
      <c r="G475" s="266">
        <v>48</v>
      </c>
      <c r="H475" s="266">
        <v>31</v>
      </c>
    </row>
    <row r="476" spans="1:8" s="263" customFormat="1" ht="9" customHeight="1" x14ac:dyDescent="0.25">
      <c r="A476" s="267" t="s">
        <v>53</v>
      </c>
      <c r="B476" s="268">
        <v>876</v>
      </c>
      <c r="C476" s="268">
        <v>957</v>
      </c>
      <c r="D476" s="268">
        <v>919</v>
      </c>
      <c r="E476" s="268">
        <v>46</v>
      </c>
      <c r="F476" s="268">
        <v>47</v>
      </c>
      <c r="G476" s="268">
        <v>42</v>
      </c>
      <c r="H476" s="268">
        <v>158</v>
      </c>
    </row>
    <row r="477" spans="1:8" s="263" customFormat="1" ht="9" customHeight="1" x14ac:dyDescent="0.25">
      <c r="B477" s="266"/>
      <c r="C477" s="266"/>
      <c r="D477" s="266"/>
      <c r="E477" s="266"/>
      <c r="F477" s="266"/>
      <c r="G477" s="266"/>
      <c r="H477" s="266"/>
    </row>
    <row r="478" spans="1:8" s="263" customFormat="1" ht="9" customHeight="1" x14ac:dyDescent="0.25">
      <c r="A478" s="261">
        <v>2008</v>
      </c>
      <c r="B478" s="271"/>
      <c r="C478" s="271"/>
      <c r="D478" s="271"/>
      <c r="E478" s="271"/>
      <c r="F478" s="271"/>
      <c r="G478" s="271"/>
      <c r="H478" s="271"/>
    </row>
    <row r="479" spans="1:8" s="263" customFormat="1" ht="9" customHeight="1" x14ac:dyDescent="0.25">
      <c r="A479" s="264" t="s">
        <v>21</v>
      </c>
      <c r="B479" s="262">
        <f>SUM(B481:B512)</f>
        <v>78920</v>
      </c>
      <c r="C479" s="262">
        <f>SUM(C481:C512)</f>
        <v>56033</v>
      </c>
      <c r="D479" s="262">
        <f>SUM(D481:D512)</f>
        <v>58278</v>
      </c>
      <c r="E479" s="262">
        <f>SUM(E481:E512)</f>
        <v>2300</v>
      </c>
      <c r="F479" s="262">
        <f>SUM(F481:F512)+32+30</f>
        <v>3254</v>
      </c>
      <c r="G479" s="262">
        <f>SUM(G481:G512)</f>
        <v>3121</v>
      </c>
      <c r="H479" s="262">
        <f>SUM(H481:H512)</f>
        <v>5090</v>
      </c>
    </row>
    <row r="480" spans="1:8" s="263" customFormat="1" ht="3.95" customHeight="1" x14ac:dyDescent="0.25">
      <c r="A480" s="264"/>
      <c r="B480" s="262"/>
      <c r="C480" s="262"/>
      <c r="D480" s="262"/>
      <c r="E480" s="262"/>
      <c r="F480" s="262"/>
      <c r="G480" s="262"/>
      <c r="H480" s="262"/>
    </row>
    <row r="481" spans="1:8" s="263" customFormat="1" ht="9" customHeight="1" x14ac:dyDescent="0.25">
      <c r="A481" s="263" t="s">
        <v>23</v>
      </c>
      <c r="B481" s="266">
        <v>855</v>
      </c>
      <c r="C481" s="266">
        <v>468</v>
      </c>
      <c r="D481" s="266">
        <v>660</v>
      </c>
      <c r="E481" s="266">
        <v>20</v>
      </c>
      <c r="F481" s="266">
        <v>34</v>
      </c>
      <c r="G481" s="266">
        <v>39</v>
      </c>
      <c r="H481" s="266">
        <v>31</v>
      </c>
    </row>
    <row r="482" spans="1:8" s="263" customFormat="1" ht="9" customHeight="1" x14ac:dyDescent="0.25">
      <c r="A482" s="263" t="s">
        <v>24</v>
      </c>
      <c r="B482" s="266">
        <v>1830</v>
      </c>
      <c r="C482" s="266">
        <v>923</v>
      </c>
      <c r="D482" s="266">
        <v>1054</v>
      </c>
      <c r="E482" s="266">
        <v>31</v>
      </c>
      <c r="F482" s="266">
        <v>66</v>
      </c>
      <c r="G482" s="266">
        <v>60</v>
      </c>
      <c r="H482" s="266">
        <v>68</v>
      </c>
    </row>
    <row r="483" spans="1:8" s="263" customFormat="1" ht="9" customHeight="1" x14ac:dyDescent="0.25">
      <c r="A483" s="263" t="s">
        <v>25</v>
      </c>
      <c r="B483" s="266">
        <v>479</v>
      </c>
      <c r="C483" s="266">
        <v>411</v>
      </c>
      <c r="D483" s="266">
        <v>449</v>
      </c>
      <c r="E483" s="266">
        <v>41</v>
      </c>
      <c r="F483" s="266">
        <v>43</v>
      </c>
      <c r="G483" s="266">
        <v>25</v>
      </c>
      <c r="H483" s="266">
        <v>46</v>
      </c>
    </row>
    <row r="484" spans="1:8" s="263" customFormat="1" ht="9" customHeight="1" x14ac:dyDescent="0.25">
      <c r="A484" s="267" t="s">
        <v>26</v>
      </c>
      <c r="B484" s="268">
        <v>680</v>
      </c>
      <c r="C484" s="268">
        <v>558</v>
      </c>
      <c r="D484" s="268">
        <v>545</v>
      </c>
      <c r="E484" s="268">
        <v>26</v>
      </c>
      <c r="F484" s="268">
        <v>37</v>
      </c>
      <c r="G484" s="268">
        <v>27</v>
      </c>
      <c r="H484" s="268">
        <v>54</v>
      </c>
    </row>
    <row r="485" spans="1:8" s="263" customFormat="1" ht="9" customHeight="1" x14ac:dyDescent="0.25">
      <c r="A485" s="263" t="s">
        <v>27</v>
      </c>
      <c r="B485" s="266">
        <v>2592</v>
      </c>
      <c r="C485" s="266">
        <v>1256</v>
      </c>
      <c r="D485" s="266">
        <v>1444</v>
      </c>
      <c r="E485" s="266">
        <v>86</v>
      </c>
      <c r="F485" s="266">
        <v>103</v>
      </c>
      <c r="G485" s="266">
        <v>91</v>
      </c>
      <c r="H485" s="266">
        <v>48</v>
      </c>
    </row>
    <row r="486" spans="1:8" s="263" customFormat="1" ht="9" customHeight="1" x14ac:dyDescent="0.25">
      <c r="A486" s="263" t="s">
        <v>28</v>
      </c>
      <c r="B486" s="266">
        <v>524</v>
      </c>
      <c r="C486" s="266">
        <v>495</v>
      </c>
      <c r="D486" s="266">
        <v>458</v>
      </c>
      <c r="E486" s="266">
        <v>13</v>
      </c>
      <c r="F486" s="266">
        <v>27</v>
      </c>
      <c r="G486" s="266">
        <v>22</v>
      </c>
      <c r="H486" s="266">
        <v>13</v>
      </c>
    </row>
    <row r="487" spans="1:8" s="263" customFormat="1" ht="9" customHeight="1" x14ac:dyDescent="0.25">
      <c r="A487" s="263" t="s">
        <v>29</v>
      </c>
      <c r="B487" s="266">
        <v>1882</v>
      </c>
      <c r="C487" s="266">
        <v>2152</v>
      </c>
      <c r="D487" s="266">
        <v>2226</v>
      </c>
      <c r="E487" s="266">
        <v>95</v>
      </c>
      <c r="F487" s="266">
        <v>106</v>
      </c>
      <c r="G487" s="266">
        <v>101</v>
      </c>
      <c r="H487" s="266">
        <v>74</v>
      </c>
    </row>
    <row r="488" spans="1:8" s="263" customFormat="1" ht="9" customHeight="1" x14ac:dyDescent="0.25">
      <c r="A488" s="267" t="s">
        <v>30</v>
      </c>
      <c r="B488" s="268">
        <v>2655</v>
      </c>
      <c r="C488" s="268">
        <v>1572</v>
      </c>
      <c r="D488" s="268">
        <v>1533</v>
      </c>
      <c r="E488" s="268">
        <v>79</v>
      </c>
      <c r="F488" s="268">
        <v>108</v>
      </c>
      <c r="G488" s="268">
        <v>74</v>
      </c>
      <c r="H488" s="268">
        <v>70</v>
      </c>
    </row>
    <row r="489" spans="1:8" s="263" customFormat="1" ht="9" customHeight="1" x14ac:dyDescent="0.25">
      <c r="A489" s="263" t="s">
        <v>63</v>
      </c>
      <c r="B489" s="266">
        <v>15039</v>
      </c>
      <c r="C489" s="266">
        <v>7136</v>
      </c>
      <c r="D489" s="266">
        <v>7304</v>
      </c>
      <c r="E489" s="266">
        <v>323</v>
      </c>
      <c r="F489" s="266">
        <v>538</v>
      </c>
      <c r="G489" s="266">
        <v>576</v>
      </c>
      <c r="H489" s="266">
        <v>113</v>
      </c>
    </row>
    <row r="490" spans="1:8" s="263" customFormat="1" ht="9" customHeight="1" x14ac:dyDescent="0.25">
      <c r="A490" s="263" t="s">
        <v>31</v>
      </c>
      <c r="B490" s="266">
        <v>1346</v>
      </c>
      <c r="C490" s="266">
        <v>1358</v>
      </c>
      <c r="D490" s="266">
        <v>1072</v>
      </c>
      <c r="E490" s="266">
        <v>47</v>
      </c>
      <c r="F490" s="266">
        <v>68</v>
      </c>
      <c r="G490" s="266">
        <v>58</v>
      </c>
      <c r="H490" s="266">
        <v>100</v>
      </c>
    </row>
    <row r="491" spans="1:8" s="263" customFormat="1" ht="9" customHeight="1" x14ac:dyDescent="0.25">
      <c r="A491" s="263" t="s">
        <v>32</v>
      </c>
      <c r="B491" s="266">
        <v>3012</v>
      </c>
      <c r="C491" s="266">
        <v>2354</v>
      </c>
      <c r="D491" s="266">
        <v>2160</v>
      </c>
      <c r="E491" s="266">
        <v>60</v>
      </c>
      <c r="F491" s="266">
        <v>137</v>
      </c>
      <c r="G491" s="266">
        <v>125</v>
      </c>
      <c r="H491" s="266">
        <v>319</v>
      </c>
    </row>
    <row r="492" spans="1:8" s="263" customFormat="1" ht="9" customHeight="1" x14ac:dyDescent="0.25">
      <c r="A492" s="267" t="s">
        <v>33</v>
      </c>
      <c r="B492" s="268">
        <v>1622</v>
      </c>
      <c r="C492" s="268">
        <v>1283</v>
      </c>
      <c r="D492" s="268">
        <v>2011</v>
      </c>
      <c r="E492" s="268">
        <v>41</v>
      </c>
      <c r="F492" s="268">
        <v>73</v>
      </c>
      <c r="G492" s="268">
        <v>121</v>
      </c>
      <c r="H492" s="268">
        <v>652</v>
      </c>
    </row>
    <row r="493" spans="1:8" s="263" customFormat="1" ht="9" customHeight="1" x14ac:dyDescent="0.25">
      <c r="A493" s="263" t="s">
        <v>34</v>
      </c>
      <c r="B493" s="266">
        <v>1338</v>
      </c>
      <c r="C493" s="266">
        <v>2200</v>
      </c>
      <c r="D493" s="266">
        <v>1646</v>
      </c>
      <c r="E493" s="266">
        <v>79</v>
      </c>
      <c r="F493" s="266">
        <v>63</v>
      </c>
      <c r="G493" s="266">
        <v>47</v>
      </c>
      <c r="H493" s="266">
        <v>293</v>
      </c>
    </row>
    <row r="494" spans="1:8" s="263" customFormat="1" ht="9" customHeight="1" x14ac:dyDescent="0.25">
      <c r="A494" s="263" t="s">
        <v>35</v>
      </c>
      <c r="B494" s="266">
        <v>6049</v>
      </c>
      <c r="C494" s="266">
        <v>2764</v>
      </c>
      <c r="D494" s="266">
        <v>3317</v>
      </c>
      <c r="E494" s="266">
        <v>112</v>
      </c>
      <c r="F494" s="266">
        <v>167</v>
      </c>
      <c r="G494" s="266">
        <v>191</v>
      </c>
      <c r="H494" s="266">
        <v>447</v>
      </c>
    </row>
    <row r="495" spans="1:8" s="263" customFormat="1" ht="9" customHeight="1" x14ac:dyDescent="0.25">
      <c r="A495" s="263" t="s">
        <v>36</v>
      </c>
      <c r="B495" s="266">
        <v>6668</v>
      </c>
      <c r="C495" s="266">
        <v>4367</v>
      </c>
      <c r="D495" s="266">
        <v>5315</v>
      </c>
      <c r="E495" s="266">
        <v>212</v>
      </c>
      <c r="F495" s="266">
        <v>235</v>
      </c>
      <c r="G495" s="266">
        <v>223</v>
      </c>
      <c r="H495" s="266">
        <v>299</v>
      </c>
    </row>
    <row r="496" spans="1:8" s="263" customFormat="1" ht="9" customHeight="1" x14ac:dyDescent="0.25">
      <c r="A496" s="267" t="s">
        <v>37</v>
      </c>
      <c r="B496" s="268">
        <v>2227</v>
      </c>
      <c r="C496" s="268">
        <v>2208</v>
      </c>
      <c r="D496" s="268">
        <v>2125</v>
      </c>
      <c r="E496" s="268">
        <v>63</v>
      </c>
      <c r="F496" s="268">
        <v>80</v>
      </c>
      <c r="G496" s="268">
        <v>100</v>
      </c>
      <c r="H496" s="268">
        <v>191</v>
      </c>
    </row>
    <row r="497" spans="1:8" s="263" customFormat="1" ht="9" customHeight="1" x14ac:dyDescent="0.25">
      <c r="A497" s="263" t="s">
        <v>38</v>
      </c>
      <c r="B497" s="266">
        <v>821</v>
      </c>
      <c r="C497" s="266">
        <v>995</v>
      </c>
      <c r="D497" s="266">
        <v>954</v>
      </c>
      <c r="E497" s="266">
        <v>21</v>
      </c>
      <c r="F497" s="266">
        <v>47</v>
      </c>
      <c r="G497" s="266">
        <v>40</v>
      </c>
      <c r="H497" s="266">
        <v>74</v>
      </c>
    </row>
    <row r="498" spans="1:8" s="263" customFormat="1" ht="9" customHeight="1" x14ac:dyDescent="0.25">
      <c r="A498" s="263" t="s">
        <v>39</v>
      </c>
      <c r="B498" s="266">
        <v>656</v>
      </c>
      <c r="C498" s="266">
        <v>576</v>
      </c>
      <c r="D498" s="266">
        <v>729</v>
      </c>
      <c r="E498" s="266">
        <v>34</v>
      </c>
      <c r="F498" s="266">
        <v>35</v>
      </c>
      <c r="G498" s="266">
        <v>30</v>
      </c>
      <c r="H498" s="266">
        <v>42</v>
      </c>
    </row>
    <row r="499" spans="1:8" s="263" customFormat="1" ht="9" customHeight="1" x14ac:dyDescent="0.25">
      <c r="A499" s="263" t="s">
        <v>40</v>
      </c>
      <c r="B499" s="266">
        <v>3708</v>
      </c>
      <c r="C499" s="266">
        <v>1946</v>
      </c>
      <c r="D499" s="266">
        <v>2499</v>
      </c>
      <c r="E499" s="266">
        <v>68</v>
      </c>
      <c r="F499" s="266">
        <v>179</v>
      </c>
      <c r="G499" s="266">
        <v>143</v>
      </c>
      <c r="H499" s="266">
        <v>62</v>
      </c>
    </row>
    <row r="500" spans="1:8" s="263" customFormat="1" ht="9" customHeight="1" x14ac:dyDescent="0.25">
      <c r="A500" s="267" t="s">
        <v>41</v>
      </c>
      <c r="B500" s="268">
        <v>1810</v>
      </c>
      <c r="C500" s="268">
        <v>3100</v>
      </c>
      <c r="D500" s="268">
        <v>2305</v>
      </c>
      <c r="E500" s="268">
        <v>79</v>
      </c>
      <c r="F500" s="268">
        <v>75</v>
      </c>
      <c r="G500" s="268">
        <v>76</v>
      </c>
      <c r="H500" s="268">
        <v>711</v>
      </c>
    </row>
    <row r="501" spans="1:8" s="263" customFormat="1" ht="9" customHeight="1" x14ac:dyDescent="0.25">
      <c r="A501" s="263" t="s">
        <v>42</v>
      </c>
      <c r="B501" s="266">
        <v>3418</v>
      </c>
      <c r="C501" s="266">
        <v>2313</v>
      </c>
      <c r="D501" s="266">
        <v>2697</v>
      </c>
      <c r="E501" s="266">
        <v>69</v>
      </c>
      <c r="F501" s="266">
        <v>139</v>
      </c>
      <c r="G501" s="266">
        <v>147</v>
      </c>
      <c r="H501" s="266">
        <v>228</v>
      </c>
    </row>
    <row r="502" spans="1:8" s="263" customFormat="1" ht="9" customHeight="1" x14ac:dyDescent="0.25">
      <c r="A502" s="263" t="s">
        <v>43</v>
      </c>
      <c r="B502" s="266">
        <v>773</v>
      </c>
      <c r="C502" s="266">
        <v>728</v>
      </c>
      <c r="D502" s="266">
        <v>821</v>
      </c>
      <c r="E502" s="266">
        <v>20</v>
      </c>
      <c r="F502" s="266">
        <v>35</v>
      </c>
      <c r="G502" s="266">
        <v>32</v>
      </c>
      <c r="H502" s="266">
        <v>18</v>
      </c>
    </row>
    <row r="503" spans="1:8" s="263" customFormat="1" ht="9" customHeight="1" x14ac:dyDescent="0.25">
      <c r="A503" s="263" t="s">
        <v>44</v>
      </c>
      <c r="B503" s="266">
        <v>706</v>
      </c>
      <c r="C503" s="266">
        <v>540</v>
      </c>
      <c r="D503" s="266">
        <v>634</v>
      </c>
      <c r="E503" s="266">
        <v>49</v>
      </c>
      <c r="F503" s="266">
        <v>32</v>
      </c>
      <c r="G503" s="266">
        <v>36</v>
      </c>
      <c r="H503" s="266">
        <v>21</v>
      </c>
    </row>
    <row r="504" spans="1:8" s="263" customFormat="1" ht="9" customHeight="1" x14ac:dyDescent="0.25">
      <c r="A504" s="267" t="s">
        <v>45</v>
      </c>
      <c r="B504" s="268">
        <v>1558</v>
      </c>
      <c r="C504" s="268">
        <v>1198</v>
      </c>
      <c r="D504" s="268">
        <v>1301</v>
      </c>
      <c r="E504" s="268">
        <v>55</v>
      </c>
      <c r="F504" s="268">
        <v>86</v>
      </c>
      <c r="G504" s="268">
        <v>54</v>
      </c>
      <c r="H504" s="268">
        <v>35</v>
      </c>
    </row>
    <row r="505" spans="1:8" s="263" customFormat="1" ht="9" customHeight="1" x14ac:dyDescent="0.25">
      <c r="A505" s="263" t="s">
        <v>46</v>
      </c>
      <c r="B505" s="266">
        <v>2112</v>
      </c>
      <c r="C505" s="266">
        <v>1484</v>
      </c>
      <c r="D505" s="266">
        <v>1535</v>
      </c>
      <c r="E505" s="266">
        <v>64</v>
      </c>
      <c r="F505" s="266">
        <v>84</v>
      </c>
      <c r="G505" s="266">
        <v>94</v>
      </c>
      <c r="H505" s="266">
        <v>71</v>
      </c>
    </row>
    <row r="506" spans="1:8" s="263" customFormat="1" ht="9" customHeight="1" x14ac:dyDescent="0.25">
      <c r="A506" s="263" t="s">
        <v>47</v>
      </c>
      <c r="B506" s="266">
        <v>2523</v>
      </c>
      <c r="C506" s="266">
        <v>1305</v>
      </c>
      <c r="D506" s="266">
        <v>1446</v>
      </c>
      <c r="E506" s="266">
        <v>71</v>
      </c>
      <c r="F506" s="266">
        <v>96</v>
      </c>
      <c r="G506" s="266">
        <v>92</v>
      </c>
      <c r="H506" s="266">
        <v>173</v>
      </c>
    </row>
    <row r="507" spans="1:8" s="263" customFormat="1" ht="9" customHeight="1" x14ac:dyDescent="0.25">
      <c r="A507" s="263" t="s">
        <v>48</v>
      </c>
      <c r="B507" s="266">
        <v>1578</v>
      </c>
      <c r="C507" s="266">
        <v>1182</v>
      </c>
      <c r="D507" s="266">
        <v>1789</v>
      </c>
      <c r="E507" s="266">
        <v>97</v>
      </c>
      <c r="F507" s="266">
        <v>75</v>
      </c>
      <c r="G507" s="266">
        <v>80</v>
      </c>
      <c r="H507" s="266">
        <v>103</v>
      </c>
    </row>
    <row r="508" spans="1:8" s="263" customFormat="1" ht="9" customHeight="1" x14ac:dyDescent="0.25">
      <c r="A508" s="267" t="s">
        <v>49</v>
      </c>
      <c r="B508" s="268">
        <v>2759</v>
      </c>
      <c r="C508" s="268">
        <v>1883</v>
      </c>
      <c r="D508" s="268">
        <v>1730</v>
      </c>
      <c r="E508" s="268">
        <v>77</v>
      </c>
      <c r="F508" s="268">
        <v>105</v>
      </c>
      <c r="G508" s="268">
        <v>95</v>
      </c>
      <c r="H508" s="268">
        <v>116</v>
      </c>
    </row>
    <row r="509" spans="1:8" s="263" customFormat="1" ht="9" customHeight="1" x14ac:dyDescent="0.25">
      <c r="A509" s="263" t="s">
        <v>50</v>
      </c>
      <c r="B509" s="266">
        <v>604</v>
      </c>
      <c r="C509" s="266">
        <v>735</v>
      </c>
      <c r="D509" s="266">
        <v>543</v>
      </c>
      <c r="E509" s="266">
        <v>18</v>
      </c>
      <c r="F509" s="266">
        <v>29</v>
      </c>
      <c r="G509" s="266">
        <v>24</v>
      </c>
      <c r="H509" s="266">
        <v>170</v>
      </c>
    </row>
    <row r="510" spans="1:8" s="263" customFormat="1" ht="9" customHeight="1" x14ac:dyDescent="0.25">
      <c r="A510" s="263" t="s">
        <v>51</v>
      </c>
      <c r="B510" s="266">
        <v>4771</v>
      </c>
      <c r="C510" s="266">
        <v>4572</v>
      </c>
      <c r="D510" s="266">
        <v>4141</v>
      </c>
      <c r="E510" s="266">
        <v>168</v>
      </c>
      <c r="F510" s="266">
        <v>193</v>
      </c>
      <c r="G510" s="266">
        <v>208</v>
      </c>
      <c r="H510" s="266">
        <v>260</v>
      </c>
    </row>
    <row r="511" spans="1:8" s="263" customFormat="1" ht="9" customHeight="1" x14ac:dyDescent="0.25">
      <c r="A511" s="263" t="s">
        <v>52</v>
      </c>
      <c r="B511" s="266">
        <v>1488</v>
      </c>
      <c r="C511" s="266">
        <v>1082</v>
      </c>
      <c r="D511" s="266">
        <v>934</v>
      </c>
      <c r="E511" s="266">
        <v>40</v>
      </c>
      <c r="F511" s="266">
        <v>53</v>
      </c>
      <c r="G511" s="266">
        <v>49</v>
      </c>
      <c r="H511" s="266">
        <v>32</v>
      </c>
    </row>
    <row r="512" spans="1:8" s="263" customFormat="1" ht="9" customHeight="1" x14ac:dyDescent="0.25">
      <c r="A512" s="267" t="s">
        <v>53</v>
      </c>
      <c r="B512" s="268">
        <v>837</v>
      </c>
      <c r="C512" s="268">
        <v>889</v>
      </c>
      <c r="D512" s="268">
        <v>901</v>
      </c>
      <c r="E512" s="268">
        <v>42</v>
      </c>
      <c r="F512" s="268">
        <v>44</v>
      </c>
      <c r="G512" s="268">
        <v>41</v>
      </c>
      <c r="H512" s="268">
        <v>156</v>
      </c>
    </row>
    <row r="513" spans="1:8" s="263" customFormat="1" ht="9" customHeight="1" x14ac:dyDescent="0.25">
      <c r="B513" s="266"/>
      <c r="C513" s="266"/>
      <c r="D513" s="266"/>
      <c r="E513" s="266"/>
      <c r="F513" s="266"/>
      <c r="G513" s="266"/>
      <c r="H513" s="266"/>
    </row>
    <row r="514" spans="1:8" s="263" customFormat="1" ht="9" customHeight="1" x14ac:dyDescent="0.25">
      <c r="A514" s="261">
        <v>2009</v>
      </c>
      <c r="B514" s="271"/>
      <c r="C514" s="271"/>
      <c r="D514" s="271"/>
      <c r="E514" s="271"/>
      <c r="F514" s="271"/>
      <c r="G514" s="271"/>
      <c r="H514" s="271"/>
    </row>
    <row r="515" spans="1:8" s="263" customFormat="1" ht="9" customHeight="1" x14ac:dyDescent="0.25">
      <c r="A515" s="264" t="s">
        <v>21</v>
      </c>
      <c r="B515" s="262">
        <f>SUM(B517:B548)</f>
        <v>79469</v>
      </c>
      <c r="C515" s="262">
        <f>SUM(C517:C548)</f>
        <v>56977</v>
      </c>
      <c r="D515" s="262">
        <f>SUM(D517:D548)</f>
        <v>64409</v>
      </c>
      <c r="E515" s="262">
        <f>SUM(E517:E548)</f>
        <v>2499</v>
      </c>
      <c r="F515" s="262">
        <f>SUM(F517:F548)+44+36</f>
        <v>3385</v>
      </c>
      <c r="G515" s="262">
        <f>SUM(G517:G548)</f>
        <v>3422</v>
      </c>
      <c r="H515" s="262">
        <f>SUM(H517:H548)</f>
        <v>5198</v>
      </c>
    </row>
    <row r="516" spans="1:8" s="263" customFormat="1" ht="3.95" customHeight="1" x14ac:dyDescent="0.25">
      <c r="A516" s="264"/>
      <c r="B516" s="262"/>
      <c r="C516" s="262"/>
      <c r="D516" s="262"/>
      <c r="E516" s="262"/>
      <c r="F516" s="262"/>
      <c r="G516" s="262"/>
      <c r="H516" s="262"/>
    </row>
    <row r="517" spans="1:8" s="263" customFormat="1" ht="8.65" customHeight="1" x14ac:dyDescent="0.25">
      <c r="A517" s="263" t="s">
        <v>23</v>
      </c>
      <c r="B517" s="266">
        <v>855</v>
      </c>
      <c r="C517" s="266">
        <v>568</v>
      </c>
      <c r="D517" s="266">
        <v>735</v>
      </c>
      <c r="E517" s="266">
        <v>20</v>
      </c>
      <c r="F517" s="266">
        <v>35</v>
      </c>
      <c r="G517" s="266">
        <v>43</v>
      </c>
      <c r="H517" s="266">
        <v>30</v>
      </c>
    </row>
    <row r="518" spans="1:8" s="263" customFormat="1" ht="8.65" customHeight="1" x14ac:dyDescent="0.25">
      <c r="A518" s="263" t="s">
        <v>24</v>
      </c>
      <c r="B518" s="266">
        <v>1947</v>
      </c>
      <c r="C518" s="266">
        <v>983</v>
      </c>
      <c r="D518" s="266">
        <v>1311</v>
      </c>
      <c r="E518" s="266">
        <v>32</v>
      </c>
      <c r="F518" s="266">
        <v>70</v>
      </c>
      <c r="G518" s="266">
        <v>75</v>
      </c>
      <c r="H518" s="266">
        <v>68</v>
      </c>
    </row>
    <row r="519" spans="1:8" s="263" customFormat="1" ht="8.65" customHeight="1" x14ac:dyDescent="0.25">
      <c r="A519" s="263" t="s">
        <v>25</v>
      </c>
      <c r="B519" s="266">
        <v>488</v>
      </c>
      <c r="C519" s="266">
        <v>467</v>
      </c>
      <c r="D519" s="266">
        <v>536</v>
      </c>
      <c r="E519" s="266">
        <v>49</v>
      </c>
      <c r="F519" s="266">
        <v>35</v>
      </c>
      <c r="G519" s="266">
        <v>30</v>
      </c>
      <c r="H519" s="266">
        <v>47</v>
      </c>
    </row>
    <row r="520" spans="1:8" s="263" customFormat="1" ht="8.65" customHeight="1" x14ac:dyDescent="0.25">
      <c r="A520" s="267" t="s">
        <v>26</v>
      </c>
      <c r="B520" s="268">
        <v>689</v>
      </c>
      <c r="C520" s="268">
        <v>571</v>
      </c>
      <c r="D520" s="268">
        <v>680</v>
      </c>
      <c r="E520" s="268">
        <v>26</v>
      </c>
      <c r="F520" s="268">
        <v>40</v>
      </c>
      <c r="G520" s="268">
        <v>30</v>
      </c>
      <c r="H520" s="268">
        <v>54</v>
      </c>
    </row>
    <row r="521" spans="1:8" s="263" customFormat="1" ht="8.65" customHeight="1" x14ac:dyDescent="0.25">
      <c r="A521" s="263" t="s">
        <v>27</v>
      </c>
      <c r="B521" s="266">
        <v>2551</v>
      </c>
      <c r="C521" s="266">
        <v>1349</v>
      </c>
      <c r="D521" s="266">
        <v>1561</v>
      </c>
      <c r="E521" s="266">
        <v>90</v>
      </c>
      <c r="F521" s="266">
        <v>116</v>
      </c>
      <c r="G521" s="266">
        <v>102</v>
      </c>
      <c r="H521" s="266">
        <v>50</v>
      </c>
    </row>
    <row r="522" spans="1:8" s="263" customFormat="1" ht="8.65" customHeight="1" x14ac:dyDescent="0.25">
      <c r="A522" s="263" t="s">
        <v>28</v>
      </c>
      <c r="B522" s="266">
        <v>572</v>
      </c>
      <c r="C522" s="266">
        <v>532</v>
      </c>
      <c r="D522" s="266">
        <v>547</v>
      </c>
      <c r="E522" s="266">
        <v>13</v>
      </c>
      <c r="F522" s="266">
        <v>27</v>
      </c>
      <c r="G522" s="266">
        <v>23</v>
      </c>
      <c r="H522" s="266">
        <v>13</v>
      </c>
    </row>
    <row r="523" spans="1:8" s="263" customFormat="1" ht="8.65" customHeight="1" x14ac:dyDescent="0.25">
      <c r="A523" s="263" t="s">
        <v>29</v>
      </c>
      <c r="B523" s="266">
        <v>1910</v>
      </c>
      <c r="C523" s="266">
        <v>2301</v>
      </c>
      <c r="D523" s="266">
        <v>2306</v>
      </c>
      <c r="E523" s="266">
        <v>104</v>
      </c>
      <c r="F523" s="266">
        <v>121</v>
      </c>
      <c r="G523" s="266">
        <v>107</v>
      </c>
      <c r="H523" s="266">
        <v>78</v>
      </c>
    </row>
    <row r="524" spans="1:8" s="263" customFormat="1" ht="8.65" customHeight="1" x14ac:dyDescent="0.25">
      <c r="A524" s="267" t="s">
        <v>30</v>
      </c>
      <c r="B524" s="268">
        <v>2666</v>
      </c>
      <c r="C524" s="268">
        <v>1821</v>
      </c>
      <c r="D524" s="268">
        <v>1876</v>
      </c>
      <c r="E524" s="268">
        <v>77</v>
      </c>
      <c r="F524" s="268">
        <v>123</v>
      </c>
      <c r="G524" s="268">
        <v>105</v>
      </c>
      <c r="H524" s="268">
        <v>73</v>
      </c>
    </row>
    <row r="525" spans="1:8" s="263" customFormat="1" ht="8.65" customHeight="1" x14ac:dyDescent="0.25">
      <c r="A525" s="263" t="s">
        <v>63</v>
      </c>
      <c r="B525" s="266">
        <v>15026</v>
      </c>
      <c r="C525" s="266">
        <v>6547</v>
      </c>
      <c r="D525" s="266">
        <v>8150</v>
      </c>
      <c r="E525" s="266">
        <v>323</v>
      </c>
      <c r="F525" s="266">
        <v>472</v>
      </c>
      <c r="G525" s="266">
        <v>611</v>
      </c>
      <c r="H525" s="266">
        <v>107</v>
      </c>
    </row>
    <row r="526" spans="1:8" s="263" customFormat="1" ht="8.65" customHeight="1" x14ac:dyDescent="0.25">
      <c r="A526" s="263" t="s">
        <v>31</v>
      </c>
      <c r="B526" s="266">
        <v>1427</v>
      </c>
      <c r="C526" s="266">
        <v>1431</v>
      </c>
      <c r="D526" s="266">
        <v>1141</v>
      </c>
      <c r="E526" s="266">
        <v>56</v>
      </c>
      <c r="F526" s="266">
        <v>71</v>
      </c>
      <c r="G526" s="266">
        <v>64</v>
      </c>
      <c r="H526" s="266">
        <v>97</v>
      </c>
    </row>
    <row r="527" spans="1:8" s="263" customFormat="1" ht="8.65" customHeight="1" x14ac:dyDescent="0.25">
      <c r="A527" s="263" t="s">
        <v>32</v>
      </c>
      <c r="B527" s="266">
        <v>3062</v>
      </c>
      <c r="C527" s="266">
        <v>2303</v>
      </c>
      <c r="D527" s="266">
        <v>2369</v>
      </c>
      <c r="E527" s="266">
        <v>60</v>
      </c>
      <c r="F527" s="266">
        <v>143</v>
      </c>
      <c r="G527" s="266">
        <v>136</v>
      </c>
      <c r="H527" s="266">
        <v>317</v>
      </c>
    </row>
    <row r="528" spans="1:8" s="263" customFormat="1" ht="8.65" customHeight="1" x14ac:dyDescent="0.25">
      <c r="A528" s="267" t="s">
        <v>33</v>
      </c>
      <c r="B528" s="268">
        <v>1554</v>
      </c>
      <c r="C528" s="268">
        <v>1474</v>
      </c>
      <c r="D528" s="268">
        <v>2192</v>
      </c>
      <c r="E528" s="268">
        <v>54</v>
      </c>
      <c r="F528" s="268">
        <v>77</v>
      </c>
      <c r="G528" s="268">
        <v>122</v>
      </c>
      <c r="H528" s="268">
        <v>648</v>
      </c>
    </row>
    <row r="529" spans="1:8" s="263" customFormat="1" ht="8.65" customHeight="1" x14ac:dyDescent="0.25">
      <c r="A529" s="263" t="s">
        <v>34</v>
      </c>
      <c r="B529" s="266">
        <v>1352</v>
      </c>
      <c r="C529" s="266">
        <v>2111</v>
      </c>
      <c r="D529" s="266">
        <v>1760</v>
      </c>
      <c r="E529" s="266">
        <v>83</v>
      </c>
      <c r="F529" s="266">
        <v>70</v>
      </c>
      <c r="G529" s="266">
        <v>53</v>
      </c>
      <c r="H529" s="266">
        <v>324</v>
      </c>
    </row>
    <row r="530" spans="1:8" s="263" customFormat="1" ht="8.65" customHeight="1" x14ac:dyDescent="0.25">
      <c r="A530" s="263" t="s">
        <v>35</v>
      </c>
      <c r="B530" s="266">
        <v>5981</v>
      </c>
      <c r="C530" s="266">
        <v>2804</v>
      </c>
      <c r="D530" s="266">
        <v>3712</v>
      </c>
      <c r="E530" s="266">
        <v>117</v>
      </c>
      <c r="F530" s="266">
        <v>181</v>
      </c>
      <c r="G530" s="266">
        <v>221</v>
      </c>
      <c r="H530" s="266">
        <v>446</v>
      </c>
    </row>
    <row r="531" spans="1:8" s="263" customFormat="1" ht="8.65" customHeight="1" x14ac:dyDescent="0.25">
      <c r="A531" s="263" t="s">
        <v>36</v>
      </c>
      <c r="B531" s="266">
        <v>6693</v>
      </c>
      <c r="C531" s="266">
        <v>4420</v>
      </c>
      <c r="D531" s="266">
        <v>5766</v>
      </c>
      <c r="E531" s="266">
        <v>303</v>
      </c>
      <c r="F531" s="266">
        <v>238</v>
      </c>
      <c r="G531" s="266">
        <v>240</v>
      </c>
      <c r="H531" s="266">
        <v>290</v>
      </c>
    </row>
    <row r="532" spans="1:8" s="263" customFormat="1" ht="8.65" customHeight="1" x14ac:dyDescent="0.25">
      <c r="A532" s="267" t="s">
        <v>37</v>
      </c>
      <c r="B532" s="268">
        <v>2305</v>
      </c>
      <c r="C532" s="268">
        <v>2318</v>
      </c>
      <c r="D532" s="268">
        <v>2388</v>
      </c>
      <c r="E532" s="268">
        <v>83</v>
      </c>
      <c r="F532" s="268">
        <v>86</v>
      </c>
      <c r="G532" s="268">
        <v>115</v>
      </c>
      <c r="H532" s="268">
        <v>195</v>
      </c>
    </row>
    <row r="533" spans="1:8" s="263" customFormat="1" ht="8.65" customHeight="1" x14ac:dyDescent="0.25">
      <c r="A533" s="263" t="s">
        <v>38</v>
      </c>
      <c r="B533" s="266">
        <v>820</v>
      </c>
      <c r="C533" s="266">
        <v>957</v>
      </c>
      <c r="D533" s="266">
        <v>1004</v>
      </c>
      <c r="E533" s="266">
        <v>22</v>
      </c>
      <c r="F533" s="266">
        <v>50</v>
      </c>
      <c r="G533" s="266">
        <v>41</v>
      </c>
      <c r="H533" s="266">
        <v>73</v>
      </c>
    </row>
    <row r="534" spans="1:8" s="263" customFormat="1" ht="8.65" customHeight="1" x14ac:dyDescent="0.25">
      <c r="A534" s="263" t="s">
        <v>39</v>
      </c>
      <c r="B534" s="266">
        <v>666</v>
      </c>
      <c r="C534" s="266">
        <v>616</v>
      </c>
      <c r="D534" s="266">
        <v>795</v>
      </c>
      <c r="E534" s="266">
        <v>37</v>
      </c>
      <c r="F534" s="266">
        <v>39</v>
      </c>
      <c r="G534" s="266">
        <v>41</v>
      </c>
      <c r="H534" s="266">
        <v>45</v>
      </c>
    </row>
    <row r="535" spans="1:8" s="263" customFormat="1" ht="8.65" customHeight="1" x14ac:dyDescent="0.25">
      <c r="A535" s="263" t="s">
        <v>40</v>
      </c>
      <c r="B535" s="266">
        <v>3606</v>
      </c>
      <c r="C535" s="266">
        <v>1860</v>
      </c>
      <c r="D535" s="266">
        <v>2620</v>
      </c>
      <c r="E535" s="266">
        <v>66</v>
      </c>
      <c r="F535" s="266">
        <v>169</v>
      </c>
      <c r="G535" s="266">
        <v>145</v>
      </c>
      <c r="H535" s="266">
        <v>62</v>
      </c>
    </row>
    <row r="536" spans="1:8" s="263" customFormat="1" ht="8.65" customHeight="1" x14ac:dyDescent="0.25">
      <c r="A536" s="267" t="s">
        <v>41</v>
      </c>
      <c r="B536" s="268">
        <v>1788</v>
      </c>
      <c r="C536" s="268">
        <v>3212</v>
      </c>
      <c r="D536" s="268">
        <v>2427</v>
      </c>
      <c r="E536" s="268">
        <v>79</v>
      </c>
      <c r="F536" s="268">
        <v>101</v>
      </c>
      <c r="G536" s="268">
        <v>81</v>
      </c>
      <c r="H536" s="268">
        <v>704</v>
      </c>
    </row>
    <row r="537" spans="1:8" s="263" customFormat="1" ht="8.65" customHeight="1" x14ac:dyDescent="0.25">
      <c r="A537" s="263" t="s">
        <v>42</v>
      </c>
      <c r="B537" s="266">
        <v>3528</v>
      </c>
      <c r="C537" s="266">
        <v>2475</v>
      </c>
      <c r="D537" s="266">
        <v>2983</v>
      </c>
      <c r="E537" s="266">
        <v>80</v>
      </c>
      <c r="F537" s="266">
        <v>147</v>
      </c>
      <c r="G537" s="266">
        <v>155</v>
      </c>
      <c r="H537" s="266">
        <v>295</v>
      </c>
    </row>
    <row r="538" spans="1:8" s="263" customFormat="1" ht="8.65" customHeight="1" x14ac:dyDescent="0.25">
      <c r="A538" s="263" t="s">
        <v>43</v>
      </c>
      <c r="B538" s="266">
        <v>814</v>
      </c>
      <c r="C538" s="266">
        <v>843</v>
      </c>
      <c r="D538" s="266">
        <v>918</v>
      </c>
      <c r="E538" s="266">
        <v>29</v>
      </c>
      <c r="F538" s="266">
        <v>38</v>
      </c>
      <c r="G538" s="266">
        <v>35</v>
      </c>
      <c r="H538" s="266">
        <v>18</v>
      </c>
    </row>
    <row r="539" spans="1:8" s="263" customFormat="1" ht="8.65" customHeight="1" x14ac:dyDescent="0.25">
      <c r="A539" s="263" t="s">
        <v>44</v>
      </c>
      <c r="B539" s="266">
        <v>787</v>
      </c>
      <c r="C539" s="266">
        <v>627</v>
      </c>
      <c r="D539" s="266">
        <v>639</v>
      </c>
      <c r="E539" s="266">
        <v>47</v>
      </c>
      <c r="F539" s="266">
        <v>53</v>
      </c>
      <c r="G539" s="266">
        <v>37</v>
      </c>
      <c r="H539" s="266">
        <v>22</v>
      </c>
    </row>
    <row r="540" spans="1:8" s="263" customFormat="1" ht="8.65" customHeight="1" x14ac:dyDescent="0.25">
      <c r="A540" s="267" t="s">
        <v>45</v>
      </c>
      <c r="B540" s="268">
        <v>1480</v>
      </c>
      <c r="C540" s="268">
        <v>1260</v>
      </c>
      <c r="D540" s="268">
        <v>1431</v>
      </c>
      <c r="E540" s="268">
        <v>57</v>
      </c>
      <c r="F540" s="268">
        <v>87</v>
      </c>
      <c r="G540" s="268">
        <v>56</v>
      </c>
      <c r="H540" s="268">
        <v>34</v>
      </c>
    </row>
    <row r="541" spans="1:8" s="263" customFormat="1" ht="8.65" customHeight="1" x14ac:dyDescent="0.25">
      <c r="A541" s="263" t="s">
        <v>46</v>
      </c>
      <c r="B541" s="266">
        <v>2081</v>
      </c>
      <c r="C541" s="266">
        <v>1539</v>
      </c>
      <c r="D541" s="266">
        <v>1657</v>
      </c>
      <c r="E541" s="266">
        <v>75</v>
      </c>
      <c r="F541" s="266">
        <v>83</v>
      </c>
      <c r="G541" s="266">
        <v>118</v>
      </c>
      <c r="H541" s="266">
        <v>74</v>
      </c>
    </row>
    <row r="542" spans="1:8" s="263" customFormat="1" ht="8.65" customHeight="1" x14ac:dyDescent="0.25">
      <c r="A542" s="263" t="s">
        <v>47</v>
      </c>
      <c r="B542" s="266">
        <v>2598</v>
      </c>
      <c r="C542" s="266">
        <v>1185</v>
      </c>
      <c r="D542" s="266">
        <v>1674</v>
      </c>
      <c r="E542" s="266">
        <v>70</v>
      </c>
      <c r="F542" s="266">
        <v>111</v>
      </c>
      <c r="G542" s="266">
        <v>106</v>
      </c>
      <c r="H542" s="266">
        <v>175</v>
      </c>
    </row>
    <row r="543" spans="1:8" s="263" customFormat="1" ht="8.65" customHeight="1" x14ac:dyDescent="0.25">
      <c r="A543" s="263" t="s">
        <v>48</v>
      </c>
      <c r="B543" s="266">
        <v>1562</v>
      </c>
      <c r="C543" s="266">
        <v>1356</v>
      </c>
      <c r="D543" s="266">
        <v>1918</v>
      </c>
      <c r="E543" s="266">
        <v>79</v>
      </c>
      <c r="F543" s="266">
        <v>77</v>
      </c>
      <c r="G543" s="266">
        <v>76</v>
      </c>
      <c r="H543" s="266">
        <v>129</v>
      </c>
    </row>
    <row r="544" spans="1:8" s="263" customFormat="1" ht="8.65" customHeight="1" x14ac:dyDescent="0.25">
      <c r="A544" s="267" t="s">
        <v>49</v>
      </c>
      <c r="B544" s="268">
        <v>2808</v>
      </c>
      <c r="C544" s="268">
        <v>1928</v>
      </c>
      <c r="D544" s="268">
        <v>1921</v>
      </c>
      <c r="E544" s="268">
        <v>76</v>
      </c>
      <c r="F544" s="268">
        <v>108</v>
      </c>
      <c r="G544" s="268">
        <v>102</v>
      </c>
      <c r="H544" s="268">
        <v>121</v>
      </c>
    </row>
    <row r="545" spans="1:8" s="263" customFormat="1" ht="8.65" customHeight="1" x14ac:dyDescent="0.25">
      <c r="A545" s="263" t="s">
        <v>50</v>
      </c>
      <c r="B545" s="266">
        <v>619</v>
      </c>
      <c r="C545" s="266">
        <v>764</v>
      </c>
      <c r="D545" s="266">
        <v>582</v>
      </c>
      <c r="E545" s="266">
        <v>19</v>
      </c>
      <c r="F545" s="266">
        <v>24</v>
      </c>
      <c r="G545" s="266">
        <v>26</v>
      </c>
      <c r="H545" s="266">
        <v>170</v>
      </c>
    </row>
    <row r="546" spans="1:8" s="263" customFormat="1" ht="8.65" customHeight="1" x14ac:dyDescent="0.25">
      <c r="A546" s="263" t="s">
        <v>51</v>
      </c>
      <c r="B546" s="266">
        <v>4693</v>
      </c>
      <c r="C546" s="266">
        <v>4537</v>
      </c>
      <c r="D546" s="266">
        <v>4597</v>
      </c>
      <c r="E546" s="266">
        <v>185</v>
      </c>
      <c r="F546" s="266">
        <v>195</v>
      </c>
      <c r="G546" s="266">
        <v>230</v>
      </c>
      <c r="H546" s="266">
        <v>254</v>
      </c>
    </row>
    <row r="547" spans="1:8" s="263" customFormat="1" ht="8.65" customHeight="1" x14ac:dyDescent="0.25">
      <c r="A547" s="263" t="s">
        <v>52</v>
      </c>
      <c r="B547" s="266">
        <v>1676</v>
      </c>
      <c r="C547" s="266">
        <v>1035</v>
      </c>
      <c r="D547" s="266">
        <v>1111</v>
      </c>
      <c r="E547" s="266">
        <v>40</v>
      </c>
      <c r="F547" s="266">
        <v>54</v>
      </c>
      <c r="G547" s="266">
        <v>50</v>
      </c>
      <c r="H547" s="266">
        <v>24</v>
      </c>
    </row>
    <row r="548" spans="1:8" s="263" customFormat="1" ht="8.65" customHeight="1" x14ac:dyDescent="0.25">
      <c r="A548" s="267" t="s">
        <v>53</v>
      </c>
      <c r="B548" s="268">
        <v>865</v>
      </c>
      <c r="C548" s="268">
        <v>783</v>
      </c>
      <c r="D548" s="268">
        <v>1102</v>
      </c>
      <c r="E548" s="268">
        <v>48</v>
      </c>
      <c r="F548" s="268">
        <v>64</v>
      </c>
      <c r="G548" s="268">
        <v>46</v>
      </c>
      <c r="H548" s="268">
        <v>161</v>
      </c>
    </row>
    <row r="549" spans="1:8" s="263" customFormat="1" ht="9" customHeight="1" x14ac:dyDescent="0.25">
      <c r="B549" s="266"/>
      <c r="C549" s="266"/>
      <c r="D549" s="266"/>
      <c r="E549" s="266"/>
      <c r="F549" s="266"/>
      <c r="G549" s="266"/>
      <c r="H549" s="266"/>
    </row>
    <row r="550" spans="1:8" s="263" customFormat="1" ht="9" customHeight="1" x14ac:dyDescent="0.25">
      <c r="A550" s="261" t="s">
        <v>215</v>
      </c>
      <c r="B550" s="271"/>
      <c r="C550" s="271"/>
      <c r="D550" s="271"/>
      <c r="E550" s="271"/>
      <c r="F550" s="271"/>
      <c r="G550" s="271"/>
      <c r="H550" s="271"/>
    </row>
    <row r="551" spans="1:8" s="263" customFormat="1" ht="9" customHeight="1" x14ac:dyDescent="0.25">
      <c r="A551" s="264" t="s">
        <v>216</v>
      </c>
      <c r="B551" s="262">
        <f>SUM(B553:B584)+2590</f>
        <v>84625</v>
      </c>
      <c r="C551" s="262">
        <f>SUM(C553:C584)+678</f>
        <v>53609</v>
      </c>
      <c r="D551" s="262">
        <f>SUM(D553:D584)+812</f>
        <v>65801</v>
      </c>
      <c r="E551" s="262">
        <f>SUM(E553:E584)+1</f>
        <v>1939</v>
      </c>
      <c r="F551" s="262">
        <f>SUM(F553:F584)+35+52+3+22+121</f>
        <v>3558</v>
      </c>
      <c r="G551" s="262">
        <f>SUM(G553:G584)+96</f>
        <v>3449</v>
      </c>
      <c r="H551" s="262">
        <f>SUM(H553:H584)+48</f>
        <v>5243</v>
      </c>
    </row>
    <row r="552" spans="1:8" s="263" customFormat="1" ht="3.95" customHeight="1" x14ac:dyDescent="0.25">
      <c r="A552" s="264"/>
      <c r="B552" s="262"/>
      <c r="C552" s="262"/>
      <c r="D552" s="262"/>
      <c r="E552" s="262"/>
      <c r="F552" s="262"/>
      <c r="G552" s="262"/>
      <c r="H552" s="262"/>
    </row>
    <row r="553" spans="1:8" s="263" customFormat="1" ht="8.65" customHeight="1" x14ac:dyDescent="0.25">
      <c r="A553" s="263" t="s">
        <v>23</v>
      </c>
      <c r="B553" s="266">
        <v>877</v>
      </c>
      <c r="C553" s="266">
        <v>493</v>
      </c>
      <c r="D553" s="266">
        <v>762</v>
      </c>
      <c r="E553" s="266">
        <v>16</v>
      </c>
      <c r="F553" s="266">
        <v>33</v>
      </c>
      <c r="G553" s="266">
        <v>40</v>
      </c>
      <c r="H553" s="266">
        <v>31</v>
      </c>
    </row>
    <row r="554" spans="1:8" s="263" customFormat="1" ht="8.65" customHeight="1" x14ac:dyDescent="0.25">
      <c r="A554" s="263" t="s">
        <v>24</v>
      </c>
      <c r="B554" s="266">
        <v>1928</v>
      </c>
      <c r="C554" s="266">
        <v>799</v>
      </c>
      <c r="D554" s="266">
        <v>1317</v>
      </c>
      <c r="E554" s="266">
        <v>35</v>
      </c>
      <c r="F554" s="266">
        <v>68</v>
      </c>
      <c r="G554" s="266">
        <v>60</v>
      </c>
      <c r="H554" s="266">
        <v>67</v>
      </c>
    </row>
    <row r="555" spans="1:8" s="263" customFormat="1" ht="8.65" customHeight="1" x14ac:dyDescent="0.25">
      <c r="A555" s="263" t="s">
        <v>25</v>
      </c>
      <c r="B555" s="266">
        <v>524</v>
      </c>
      <c r="C555" s="266">
        <v>430</v>
      </c>
      <c r="D555" s="266">
        <v>517</v>
      </c>
      <c r="E555" s="266">
        <v>28</v>
      </c>
      <c r="F555" s="266">
        <v>38</v>
      </c>
      <c r="G555" s="266">
        <v>29</v>
      </c>
      <c r="H555" s="266">
        <v>48</v>
      </c>
    </row>
    <row r="556" spans="1:8" s="263" customFormat="1" ht="8.65" customHeight="1" x14ac:dyDescent="0.25">
      <c r="A556" s="267" t="s">
        <v>26</v>
      </c>
      <c r="B556" s="268">
        <v>996</v>
      </c>
      <c r="C556" s="268">
        <v>648</v>
      </c>
      <c r="D556" s="268">
        <v>692</v>
      </c>
      <c r="E556" s="268">
        <v>28</v>
      </c>
      <c r="F556" s="268">
        <v>43</v>
      </c>
      <c r="G556" s="268">
        <v>40</v>
      </c>
      <c r="H556" s="268">
        <v>56</v>
      </c>
    </row>
    <row r="557" spans="1:8" s="263" customFormat="1" ht="8.65" customHeight="1" x14ac:dyDescent="0.25">
      <c r="A557" s="263" t="s">
        <v>27</v>
      </c>
      <c r="B557" s="266">
        <v>2653</v>
      </c>
      <c r="C557" s="266">
        <v>1116</v>
      </c>
      <c r="D557" s="266">
        <v>1598</v>
      </c>
      <c r="E557" s="266">
        <v>64</v>
      </c>
      <c r="F557" s="266">
        <v>116</v>
      </c>
      <c r="G557" s="266">
        <v>99</v>
      </c>
      <c r="H557" s="266">
        <v>51</v>
      </c>
    </row>
    <row r="558" spans="1:8" s="263" customFormat="1" ht="8.65" customHeight="1" x14ac:dyDescent="0.25">
      <c r="A558" s="263" t="s">
        <v>28</v>
      </c>
      <c r="B558" s="266">
        <v>578</v>
      </c>
      <c r="C558" s="266">
        <v>483</v>
      </c>
      <c r="D558" s="266">
        <v>523</v>
      </c>
      <c r="E558" s="266">
        <v>13</v>
      </c>
      <c r="F558" s="266">
        <v>28</v>
      </c>
      <c r="G558" s="266">
        <v>24</v>
      </c>
      <c r="H558" s="266">
        <v>13</v>
      </c>
    </row>
    <row r="559" spans="1:8" s="263" customFormat="1" ht="8.65" customHeight="1" x14ac:dyDescent="0.25">
      <c r="A559" s="263" t="s">
        <v>29</v>
      </c>
      <c r="B559" s="266">
        <v>2178</v>
      </c>
      <c r="C559" s="266">
        <v>2287</v>
      </c>
      <c r="D559" s="266">
        <v>2231</v>
      </c>
      <c r="E559" s="266">
        <v>66</v>
      </c>
      <c r="F559" s="266">
        <v>108</v>
      </c>
      <c r="G559" s="266">
        <v>106</v>
      </c>
      <c r="H559" s="266">
        <v>80</v>
      </c>
    </row>
    <row r="560" spans="1:8" s="263" customFormat="1" ht="8.65" customHeight="1" x14ac:dyDescent="0.25">
      <c r="A560" s="267" t="s">
        <v>30</v>
      </c>
      <c r="B560" s="268">
        <v>2579</v>
      </c>
      <c r="C560" s="268">
        <v>1677</v>
      </c>
      <c r="D560" s="268">
        <v>1818</v>
      </c>
      <c r="E560" s="268">
        <v>65</v>
      </c>
      <c r="F560" s="268">
        <v>115</v>
      </c>
      <c r="G560" s="268">
        <v>99</v>
      </c>
      <c r="H560" s="268">
        <v>79</v>
      </c>
    </row>
    <row r="561" spans="1:8" s="263" customFormat="1" ht="8.65" customHeight="1" x14ac:dyDescent="0.25">
      <c r="A561" s="263" t="s">
        <v>63</v>
      </c>
      <c r="B561" s="266">
        <v>15542</v>
      </c>
      <c r="C561" s="266">
        <v>6158</v>
      </c>
      <c r="D561" s="266">
        <v>8365</v>
      </c>
      <c r="E561" s="266">
        <v>239</v>
      </c>
      <c r="F561" s="266">
        <v>491</v>
      </c>
      <c r="G561" s="266">
        <v>617</v>
      </c>
      <c r="H561" s="266">
        <v>109</v>
      </c>
    </row>
    <row r="562" spans="1:8" s="263" customFormat="1" ht="8.65" customHeight="1" x14ac:dyDescent="0.25">
      <c r="A562" s="263" t="s">
        <v>31</v>
      </c>
      <c r="B562" s="266">
        <v>1470</v>
      </c>
      <c r="C562" s="266">
        <v>1321</v>
      </c>
      <c r="D562" s="266">
        <v>1151</v>
      </c>
      <c r="E562" s="266">
        <v>49</v>
      </c>
      <c r="F562" s="266">
        <v>64</v>
      </c>
      <c r="G562" s="266">
        <v>63</v>
      </c>
      <c r="H562" s="266">
        <v>101</v>
      </c>
    </row>
    <row r="563" spans="1:8" s="263" customFormat="1" ht="8.65" customHeight="1" x14ac:dyDescent="0.25">
      <c r="A563" s="263" t="s">
        <v>32</v>
      </c>
      <c r="B563" s="266">
        <v>2930</v>
      </c>
      <c r="C563" s="266">
        <v>2120</v>
      </c>
      <c r="D563" s="266">
        <v>2361</v>
      </c>
      <c r="E563" s="266">
        <v>56</v>
      </c>
      <c r="F563" s="266">
        <v>141</v>
      </c>
      <c r="G563" s="266">
        <v>123</v>
      </c>
      <c r="H563" s="266">
        <v>324</v>
      </c>
    </row>
    <row r="564" spans="1:8" s="263" customFormat="1" ht="8.65" customHeight="1" x14ac:dyDescent="0.25">
      <c r="A564" s="267" t="s">
        <v>33</v>
      </c>
      <c r="B564" s="268">
        <v>1677</v>
      </c>
      <c r="C564" s="268">
        <v>1444</v>
      </c>
      <c r="D564" s="268">
        <v>2201</v>
      </c>
      <c r="E564" s="268">
        <v>40</v>
      </c>
      <c r="F564" s="268">
        <v>82</v>
      </c>
      <c r="G564" s="268">
        <v>122</v>
      </c>
      <c r="H564" s="268">
        <v>648</v>
      </c>
    </row>
    <row r="565" spans="1:8" s="263" customFormat="1" ht="8.65" customHeight="1" x14ac:dyDescent="0.25">
      <c r="A565" s="263" t="s">
        <v>34</v>
      </c>
      <c r="B565" s="266">
        <v>1345</v>
      </c>
      <c r="C565" s="266">
        <v>1864</v>
      </c>
      <c r="D565" s="266">
        <v>1866</v>
      </c>
      <c r="E565" s="266">
        <v>53</v>
      </c>
      <c r="F565" s="266">
        <v>68</v>
      </c>
      <c r="G565" s="266">
        <v>52</v>
      </c>
      <c r="H565" s="266">
        <v>314</v>
      </c>
    </row>
    <row r="566" spans="1:8" s="263" customFormat="1" ht="8.65" customHeight="1" x14ac:dyDescent="0.25">
      <c r="A566" s="263" t="s">
        <v>35</v>
      </c>
      <c r="B566" s="266">
        <v>5958</v>
      </c>
      <c r="C566" s="266">
        <v>2237</v>
      </c>
      <c r="D566" s="266">
        <v>3578</v>
      </c>
      <c r="E566" s="266">
        <v>83</v>
      </c>
      <c r="F566" s="266">
        <v>173</v>
      </c>
      <c r="G566" s="266">
        <v>198</v>
      </c>
      <c r="H566" s="266">
        <v>443</v>
      </c>
    </row>
    <row r="567" spans="1:8" s="263" customFormat="1" ht="8.65" customHeight="1" x14ac:dyDescent="0.25">
      <c r="A567" s="263" t="s">
        <v>36</v>
      </c>
      <c r="B567" s="266">
        <v>7222</v>
      </c>
      <c r="C567" s="266">
        <v>4578</v>
      </c>
      <c r="D567" s="266">
        <v>6046</v>
      </c>
      <c r="E567" s="266">
        <v>208</v>
      </c>
      <c r="F567" s="266">
        <v>257</v>
      </c>
      <c r="G567" s="266">
        <v>247</v>
      </c>
      <c r="H567" s="266">
        <v>304</v>
      </c>
    </row>
    <row r="568" spans="1:8" s="263" customFormat="1" ht="8.65" customHeight="1" x14ac:dyDescent="0.25">
      <c r="A568" s="267" t="s">
        <v>37</v>
      </c>
      <c r="B568" s="268">
        <v>2353</v>
      </c>
      <c r="C568" s="268">
        <v>2157</v>
      </c>
      <c r="D568" s="268">
        <v>2452</v>
      </c>
      <c r="E568" s="268">
        <v>65</v>
      </c>
      <c r="F568" s="268">
        <v>88</v>
      </c>
      <c r="G568" s="268">
        <v>115</v>
      </c>
      <c r="H568" s="268">
        <v>202</v>
      </c>
    </row>
    <row r="569" spans="1:8" s="263" customFormat="1" ht="8.65" customHeight="1" x14ac:dyDescent="0.25">
      <c r="A569" s="263" t="s">
        <v>38</v>
      </c>
      <c r="B569" s="266">
        <v>927</v>
      </c>
      <c r="C569" s="266">
        <v>910</v>
      </c>
      <c r="D569" s="266">
        <v>1057</v>
      </c>
      <c r="E569" s="266">
        <v>23</v>
      </c>
      <c r="F569" s="266">
        <v>60</v>
      </c>
      <c r="G569" s="266">
        <v>48</v>
      </c>
      <c r="H569" s="266">
        <v>74</v>
      </c>
    </row>
    <row r="570" spans="1:8" s="263" customFormat="1" ht="8.65" customHeight="1" x14ac:dyDescent="0.25">
      <c r="A570" s="263" t="s">
        <v>39</v>
      </c>
      <c r="B570" s="266">
        <v>668</v>
      </c>
      <c r="C570" s="266">
        <v>555</v>
      </c>
      <c r="D570" s="266">
        <v>847</v>
      </c>
      <c r="E570" s="266">
        <v>32</v>
      </c>
      <c r="F570" s="266">
        <v>39</v>
      </c>
      <c r="G570" s="266">
        <v>37</v>
      </c>
      <c r="H570" s="266">
        <v>44</v>
      </c>
    </row>
    <row r="571" spans="1:8" s="263" customFormat="1" ht="8.65" customHeight="1" x14ac:dyDescent="0.25">
      <c r="A571" s="263" t="s">
        <v>40</v>
      </c>
      <c r="B571" s="266">
        <v>3939</v>
      </c>
      <c r="C571" s="266">
        <v>1567</v>
      </c>
      <c r="D571" s="266">
        <v>2640</v>
      </c>
      <c r="E571" s="266">
        <v>67</v>
      </c>
      <c r="F571" s="266">
        <v>178</v>
      </c>
      <c r="G571" s="266">
        <v>143</v>
      </c>
      <c r="H571" s="266">
        <v>61</v>
      </c>
    </row>
    <row r="572" spans="1:8" s="263" customFormat="1" ht="8.65" customHeight="1" x14ac:dyDescent="0.25">
      <c r="A572" s="267" t="s">
        <v>41</v>
      </c>
      <c r="B572" s="268">
        <v>1870</v>
      </c>
      <c r="C572" s="268">
        <v>3058</v>
      </c>
      <c r="D572" s="268">
        <v>2597</v>
      </c>
      <c r="E572" s="268">
        <v>67</v>
      </c>
      <c r="F572" s="268">
        <v>102</v>
      </c>
      <c r="G572" s="268">
        <v>78</v>
      </c>
      <c r="H572" s="268">
        <v>725</v>
      </c>
    </row>
    <row r="573" spans="1:8" s="263" customFormat="1" ht="8.65" customHeight="1" x14ac:dyDescent="0.25">
      <c r="A573" s="263" t="s">
        <v>42</v>
      </c>
      <c r="B573" s="266">
        <v>3540</v>
      </c>
      <c r="C573" s="266">
        <v>2599</v>
      </c>
      <c r="D573" s="266">
        <v>2914</v>
      </c>
      <c r="E573" s="266">
        <v>86</v>
      </c>
      <c r="F573" s="266">
        <v>151</v>
      </c>
      <c r="G573" s="266">
        <v>158</v>
      </c>
      <c r="H573" s="266">
        <v>328</v>
      </c>
    </row>
    <row r="574" spans="1:8" s="263" customFormat="1" ht="8.65" customHeight="1" x14ac:dyDescent="0.25">
      <c r="A574" s="263" t="s">
        <v>43</v>
      </c>
      <c r="B574" s="266">
        <v>833</v>
      </c>
      <c r="C574" s="266">
        <v>713</v>
      </c>
      <c r="D574" s="266">
        <v>826</v>
      </c>
      <c r="E574" s="266">
        <v>20</v>
      </c>
      <c r="F574" s="266">
        <v>36</v>
      </c>
      <c r="G574" s="266">
        <v>39</v>
      </c>
      <c r="H574" s="266">
        <v>17</v>
      </c>
    </row>
    <row r="575" spans="1:8" s="263" customFormat="1" ht="8.65" customHeight="1" x14ac:dyDescent="0.25">
      <c r="A575" s="263" t="s">
        <v>44</v>
      </c>
      <c r="B575" s="266">
        <v>784</v>
      </c>
      <c r="C575" s="266">
        <v>569</v>
      </c>
      <c r="D575" s="266">
        <v>572</v>
      </c>
      <c r="E575" s="266">
        <v>38</v>
      </c>
      <c r="F575" s="266">
        <v>53</v>
      </c>
      <c r="G575" s="266">
        <v>33</v>
      </c>
      <c r="H575" s="266">
        <v>23</v>
      </c>
    </row>
    <row r="576" spans="1:8" s="263" customFormat="1" ht="8.65" customHeight="1" x14ac:dyDescent="0.25">
      <c r="A576" s="267" t="s">
        <v>45</v>
      </c>
      <c r="B576" s="268">
        <v>1643</v>
      </c>
      <c r="C576" s="268">
        <v>1211</v>
      </c>
      <c r="D576" s="268">
        <v>1462</v>
      </c>
      <c r="E576" s="268">
        <v>63</v>
      </c>
      <c r="F576" s="268">
        <v>94</v>
      </c>
      <c r="G576" s="268">
        <v>63</v>
      </c>
      <c r="H576" s="268">
        <v>37</v>
      </c>
    </row>
    <row r="577" spans="1:8" s="263" customFormat="1" ht="8.65" customHeight="1" x14ac:dyDescent="0.25">
      <c r="A577" s="263" t="s">
        <v>46</v>
      </c>
      <c r="B577" s="266">
        <v>2148</v>
      </c>
      <c r="C577" s="266">
        <v>1376</v>
      </c>
      <c r="D577" s="266">
        <v>1639</v>
      </c>
      <c r="E577" s="266">
        <v>52</v>
      </c>
      <c r="F577" s="266">
        <v>85</v>
      </c>
      <c r="G577" s="266">
        <v>107</v>
      </c>
      <c r="H577" s="266">
        <v>68</v>
      </c>
    </row>
    <row r="578" spans="1:8" s="263" customFormat="1" ht="8.65" customHeight="1" x14ac:dyDescent="0.25">
      <c r="A578" s="263" t="s">
        <v>47</v>
      </c>
      <c r="B578" s="266">
        <v>2687</v>
      </c>
      <c r="C578" s="266">
        <v>1241</v>
      </c>
      <c r="D578" s="266">
        <v>1663</v>
      </c>
      <c r="E578" s="266">
        <v>57</v>
      </c>
      <c r="F578" s="266">
        <v>109</v>
      </c>
      <c r="G578" s="266">
        <v>106</v>
      </c>
      <c r="H578" s="266">
        <v>176</v>
      </c>
    </row>
    <row r="579" spans="1:8" s="263" customFormat="1" ht="8.65" customHeight="1" x14ac:dyDescent="0.25">
      <c r="A579" s="263" t="s">
        <v>48</v>
      </c>
      <c r="B579" s="266">
        <v>1620</v>
      </c>
      <c r="C579" s="266">
        <v>1115</v>
      </c>
      <c r="D579" s="266">
        <v>1965</v>
      </c>
      <c r="E579" s="266">
        <v>43</v>
      </c>
      <c r="F579" s="266">
        <v>80</v>
      </c>
      <c r="G579" s="266">
        <v>86</v>
      </c>
      <c r="H579" s="266">
        <v>36</v>
      </c>
    </row>
    <row r="580" spans="1:8" s="263" customFormat="1" ht="8.65" customHeight="1" x14ac:dyDescent="0.25">
      <c r="A580" s="267" t="s">
        <v>49</v>
      </c>
      <c r="B580" s="268">
        <v>2816</v>
      </c>
      <c r="C580" s="268">
        <v>1736</v>
      </c>
      <c r="D580" s="268">
        <v>2007</v>
      </c>
      <c r="E580" s="268">
        <v>58</v>
      </c>
      <c r="F580" s="268">
        <v>105</v>
      </c>
      <c r="G580" s="268">
        <v>87</v>
      </c>
      <c r="H580" s="268">
        <v>122</v>
      </c>
    </row>
    <row r="581" spans="1:8" s="263" customFormat="1" ht="8.65" customHeight="1" x14ac:dyDescent="0.25">
      <c r="A581" s="263" t="s">
        <v>50</v>
      </c>
      <c r="B581" s="266">
        <v>649</v>
      </c>
      <c r="C581" s="266">
        <v>692</v>
      </c>
      <c r="D581" s="266">
        <v>598</v>
      </c>
      <c r="E581" s="266">
        <v>19</v>
      </c>
      <c r="F581" s="266">
        <v>22</v>
      </c>
      <c r="G581" s="266">
        <v>27</v>
      </c>
      <c r="H581" s="266">
        <v>174</v>
      </c>
    </row>
    <row r="582" spans="1:8" s="263" customFormat="1" ht="8.65" customHeight="1" x14ac:dyDescent="0.25">
      <c r="A582" s="263" t="s">
        <v>51</v>
      </c>
      <c r="B582" s="266">
        <v>4675</v>
      </c>
      <c r="C582" s="266">
        <v>4139</v>
      </c>
      <c r="D582" s="266">
        <v>4550</v>
      </c>
      <c r="E582" s="266">
        <v>126</v>
      </c>
      <c r="F582" s="266">
        <v>196</v>
      </c>
      <c r="G582" s="266">
        <v>214</v>
      </c>
      <c r="H582" s="266">
        <v>255</v>
      </c>
    </row>
    <row r="583" spans="1:8" s="263" customFormat="1" ht="8.65" customHeight="1" x14ac:dyDescent="0.25">
      <c r="A583" s="263" t="s">
        <v>52</v>
      </c>
      <c r="B583" s="266">
        <v>1492</v>
      </c>
      <c r="C583" s="266">
        <v>929</v>
      </c>
      <c r="D583" s="266">
        <v>1069</v>
      </c>
      <c r="E583" s="266">
        <v>40</v>
      </c>
      <c r="F583" s="266">
        <v>52</v>
      </c>
      <c r="G583" s="266">
        <v>47</v>
      </c>
      <c r="H583" s="266">
        <v>24</v>
      </c>
    </row>
    <row r="584" spans="1:8" s="263" customFormat="1" ht="8.65" customHeight="1" x14ac:dyDescent="0.25">
      <c r="A584" s="267" t="s">
        <v>53</v>
      </c>
      <c r="B584" s="268">
        <v>934</v>
      </c>
      <c r="C584" s="268">
        <v>709</v>
      </c>
      <c r="D584" s="268">
        <v>1105</v>
      </c>
      <c r="E584" s="268">
        <v>39</v>
      </c>
      <c r="F584" s="268">
        <v>50</v>
      </c>
      <c r="G584" s="268">
        <v>46</v>
      </c>
      <c r="H584" s="268">
        <v>161</v>
      </c>
    </row>
    <row r="585" spans="1:8" s="263" customFormat="1" ht="8.65" customHeight="1" x14ac:dyDescent="0.25">
      <c r="A585" s="264"/>
      <c r="B585" s="262"/>
      <c r="C585" s="262"/>
      <c r="D585" s="262"/>
      <c r="E585" s="262"/>
      <c r="F585" s="262"/>
      <c r="G585" s="262"/>
      <c r="H585" s="262"/>
    </row>
    <row r="586" spans="1:8" s="263" customFormat="1" ht="8.65" customHeight="1" x14ac:dyDescent="0.25">
      <c r="A586" s="261">
        <v>2011</v>
      </c>
      <c r="B586" s="271"/>
      <c r="C586" s="271"/>
      <c r="D586" s="271"/>
      <c r="E586" s="271"/>
      <c r="F586" s="271"/>
      <c r="G586" s="271"/>
      <c r="H586" s="271"/>
    </row>
    <row r="587" spans="1:8" s="263" customFormat="1" ht="8.65" customHeight="1" x14ac:dyDescent="0.25">
      <c r="A587" s="264" t="s">
        <v>216</v>
      </c>
      <c r="B587" s="262">
        <f t="shared" ref="B587:H587" si="12">SUM(B589:B620)</f>
        <v>85609</v>
      </c>
      <c r="C587" s="262">
        <f t="shared" si="12"/>
        <v>57878</v>
      </c>
      <c r="D587" s="262">
        <f t="shared" si="12"/>
        <v>70196</v>
      </c>
      <c r="E587" s="262">
        <f t="shared" si="12"/>
        <v>2041</v>
      </c>
      <c r="F587" s="262">
        <f t="shared" si="12"/>
        <v>3070</v>
      </c>
      <c r="G587" s="262">
        <f t="shared" si="12"/>
        <v>3724</v>
      </c>
      <c r="H587" s="262">
        <f t="shared" si="12"/>
        <v>4979</v>
      </c>
    </row>
    <row r="588" spans="1:8" s="263" customFormat="1" ht="3.95" customHeight="1" x14ac:dyDescent="0.25">
      <c r="A588" s="264"/>
      <c r="B588" s="262"/>
      <c r="C588" s="262"/>
      <c r="D588" s="262"/>
      <c r="E588" s="262"/>
      <c r="F588" s="262"/>
      <c r="G588" s="262"/>
      <c r="H588" s="262"/>
    </row>
    <row r="589" spans="1:8" s="263" customFormat="1" ht="8.65" customHeight="1" x14ac:dyDescent="0.25">
      <c r="A589" s="263" t="s">
        <v>23</v>
      </c>
      <c r="B589" s="266">
        <v>856</v>
      </c>
      <c r="C589" s="266">
        <v>549</v>
      </c>
      <c r="D589" s="266">
        <v>778</v>
      </c>
      <c r="E589" s="266">
        <v>17</v>
      </c>
      <c r="F589" s="266">
        <v>29</v>
      </c>
      <c r="G589" s="266">
        <v>39</v>
      </c>
      <c r="H589" s="266">
        <v>27</v>
      </c>
    </row>
    <row r="590" spans="1:8" s="263" customFormat="1" ht="8.65" customHeight="1" x14ac:dyDescent="0.25">
      <c r="A590" s="263" t="s">
        <v>24</v>
      </c>
      <c r="B590" s="266">
        <v>2157</v>
      </c>
      <c r="C590" s="266">
        <v>1010</v>
      </c>
      <c r="D590" s="266">
        <v>1517</v>
      </c>
      <c r="E590" s="266">
        <v>36</v>
      </c>
      <c r="F590" s="266">
        <v>69</v>
      </c>
      <c r="G590" s="266">
        <v>87</v>
      </c>
      <c r="H590" s="266">
        <v>66</v>
      </c>
    </row>
    <row r="591" spans="1:8" s="263" customFormat="1" ht="8.65" customHeight="1" x14ac:dyDescent="0.25">
      <c r="A591" s="263" t="s">
        <v>25</v>
      </c>
      <c r="B591" s="266">
        <v>668</v>
      </c>
      <c r="C591" s="266">
        <v>426</v>
      </c>
      <c r="D591" s="266">
        <v>564</v>
      </c>
      <c r="E591" s="266">
        <v>29</v>
      </c>
      <c r="F591" s="266">
        <v>41</v>
      </c>
      <c r="G591" s="266">
        <v>29</v>
      </c>
      <c r="H591" s="266">
        <v>52</v>
      </c>
    </row>
    <row r="592" spans="1:8" s="263" customFormat="1" ht="8.65" customHeight="1" x14ac:dyDescent="0.25">
      <c r="A592" s="267" t="s">
        <v>26</v>
      </c>
      <c r="B592" s="268">
        <v>892</v>
      </c>
      <c r="C592" s="268">
        <v>613</v>
      </c>
      <c r="D592" s="268">
        <v>702</v>
      </c>
      <c r="E592" s="268">
        <v>26</v>
      </c>
      <c r="F592" s="268">
        <v>35</v>
      </c>
      <c r="G592" s="268">
        <v>37</v>
      </c>
      <c r="H592" s="268">
        <v>53</v>
      </c>
    </row>
    <row r="593" spans="1:8" s="263" customFormat="1" ht="8.65" customHeight="1" x14ac:dyDescent="0.25">
      <c r="A593" s="263" t="s">
        <v>27</v>
      </c>
      <c r="B593" s="266">
        <v>2700</v>
      </c>
      <c r="C593" s="266">
        <v>1507</v>
      </c>
      <c r="D593" s="266">
        <v>1882</v>
      </c>
      <c r="E593" s="266">
        <v>62</v>
      </c>
      <c r="F593" s="266">
        <v>104</v>
      </c>
      <c r="G593" s="266">
        <v>106</v>
      </c>
      <c r="H593" s="266">
        <v>52</v>
      </c>
    </row>
    <row r="594" spans="1:8" s="263" customFormat="1" ht="8.65" customHeight="1" x14ac:dyDescent="0.25">
      <c r="A594" s="263" t="s">
        <v>28</v>
      </c>
      <c r="B594" s="266">
        <v>536</v>
      </c>
      <c r="C594" s="266">
        <v>497</v>
      </c>
      <c r="D594" s="266">
        <v>557</v>
      </c>
      <c r="E594" s="266">
        <v>13</v>
      </c>
      <c r="F594" s="266">
        <v>26</v>
      </c>
      <c r="G594" s="266">
        <v>29</v>
      </c>
      <c r="H594" s="266">
        <v>12</v>
      </c>
    </row>
    <row r="595" spans="1:8" s="263" customFormat="1" ht="8.65" customHeight="1" x14ac:dyDescent="0.25">
      <c r="A595" s="263" t="s">
        <v>29</v>
      </c>
      <c r="B595" s="266">
        <v>2255</v>
      </c>
      <c r="C595" s="266">
        <v>2565</v>
      </c>
      <c r="D595" s="266">
        <v>2542</v>
      </c>
      <c r="E595" s="266">
        <v>80</v>
      </c>
      <c r="F595" s="266">
        <v>81</v>
      </c>
      <c r="G595" s="266">
        <v>128</v>
      </c>
      <c r="H595" s="266">
        <v>89</v>
      </c>
    </row>
    <row r="596" spans="1:8" s="263" customFormat="1" ht="8.65" customHeight="1" x14ac:dyDescent="0.25">
      <c r="A596" s="267" t="s">
        <v>30</v>
      </c>
      <c r="B596" s="268">
        <v>2748</v>
      </c>
      <c r="C596" s="268">
        <v>1881</v>
      </c>
      <c r="D596" s="268">
        <v>1921</v>
      </c>
      <c r="E596" s="268">
        <v>67</v>
      </c>
      <c r="F596" s="268">
        <v>110</v>
      </c>
      <c r="G596" s="268">
        <v>116</v>
      </c>
      <c r="H596" s="268">
        <v>91</v>
      </c>
    </row>
    <row r="597" spans="1:8" s="263" customFormat="1" ht="8.65" customHeight="1" x14ac:dyDescent="0.25">
      <c r="A597" s="263" t="s">
        <v>63</v>
      </c>
      <c r="B597" s="266">
        <v>15756</v>
      </c>
      <c r="C597" s="266">
        <v>7099</v>
      </c>
      <c r="D597" s="266">
        <v>8558</v>
      </c>
      <c r="E597" s="266">
        <v>248</v>
      </c>
      <c r="F597" s="266">
        <v>558</v>
      </c>
      <c r="G597" s="266">
        <v>675</v>
      </c>
      <c r="H597" s="266">
        <v>115</v>
      </c>
    </row>
    <row r="598" spans="1:8" s="263" customFormat="1" ht="8.65" customHeight="1" x14ac:dyDescent="0.25">
      <c r="A598" s="263" t="s">
        <v>31</v>
      </c>
      <c r="B598" s="266">
        <v>1515</v>
      </c>
      <c r="C598" s="266">
        <v>1117</v>
      </c>
      <c r="D598" s="266">
        <v>1223</v>
      </c>
      <c r="E598" s="266">
        <v>53</v>
      </c>
      <c r="F598" s="266">
        <v>62</v>
      </c>
      <c r="G598" s="266">
        <v>60</v>
      </c>
      <c r="H598" s="266">
        <v>71</v>
      </c>
    </row>
    <row r="599" spans="1:8" s="263" customFormat="1" ht="8.65" customHeight="1" x14ac:dyDescent="0.25">
      <c r="A599" s="263" t="s">
        <v>32</v>
      </c>
      <c r="B599" s="266">
        <v>3082</v>
      </c>
      <c r="C599" s="266">
        <v>2286</v>
      </c>
      <c r="D599" s="266">
        <v>2562</v>
      </c>
      <c r="E599" s="266">
        <v>62</v>
      </c>
      <c r="F599" s="266">
        <v>117</v>
      </c>
      <c r="G599" s="266">
        <v>142</v>
      </c>
      <c r="H599" s="266">
        <v>323</v>
      </c>
    </row>
    <row r="600" spans="1:8" s="263" customFormat="1" ht="8.65" customHeight="1" x14ac:dyDescent="0.25">
      <c r="A600" s="267" t="s">
        <v>33</v>
      </c>
      <c r="B600" s="268">
        <v>1788</v>
      </c>
      <c r="C600" s="268">
        <v>1494</v>
      </c>
      <c r="D600" s="268">
        <v>2285</v>
      </c>
      <c r="E600" s="268">
        <v>39</v>
      </c>
      <c r="F600" s="268">
        <v>65</v>
      </c>
      <c r="G600" s="268">
        <v>114</v>
      </c>
      <c r="H600" s="268">
        <v>650</v>
      </c>
    </row>
    <row r="601" spans="1:8" s="263" customFormat="1" ht="8.65" customHeight="1" x14ac:dyDescent="0.25">
      <c r="A601" s="263" t="s">
        <v>34</v>
      </c>
      <c r="B601" s="266">
        <v>1357</v>
      </c>
      <c r="C601" s="266">
        <v>2081</v>
      </c>
      <c r="D601" s="266">
        <v>1940</v>
      </c>
      <c r="E601" s="266">
        <v>54</v>
      </c>
      <c r="F601" s="266">
        <v>55</v>
      </c>
      <c r="G601" s="266">
        <v>56</v>
      </c>
      <c r="H601" s="266">
        <v>308</v>
      </c>
    </row>
    <row r="602" spans="1:8" s="263" customFormat="1" ht="8.65" customHeight="1" x14ac:dyDescent="0.25">
      <c r="A602" s="263" t="s">
        <v>35</v>
      </c>
      <c r="B602" s="266">
        <v>6419</v>
      </c>
      <c r="C602" s="266">
        <v>2784</v>
      </c>
      <c r="D602" s="266">
        <v>3914</v>
      </c>
      <c r="E602" s="266">
        <v>93</v>
      </c>
      <c r="F602" s="266">
        <v>166</v>
      </c>
      <c r="G602" s="266">
        <v>247</v>
      </c>
      <c r="H602" s="266">
        <v>395</v>
      </c>
    </row>
    <row r="603" spans="1:8" s="263" customFormat="1" ht="8.65" customHeight="1" x14ac:dyDescent="0.25">
      <c r="A603" s="263" t="s">
        <v>36</v>
      </c>
      <c r="B603" s="266">
        <v>7650</v>
      </c>
      <c r="C603" s="266">
        <v>4739</v>
      </c>
      <c r="D603" s="266">
        <v>6767</v>
      </c>
      <c r="E603" s="266">
        <v>227</v>
      </c>
      <c r="F603" s="266">
        <v>261</v>
      </c>
      <c r="G603" s="266">
        <v>278</v>
      </c>
      <c r="H603" s="266">
        <v>252</v>
      </c>
    </row>
    <row r="604" spans="1:8" s="263" customFormat="1" ht="8.65" customHeight="1" x14ac:dyDescent="0.25">
      <c r="A604" s="267" t="s">
        <v>37</v>
      </c>
      <c r="B604" s="268">
        <v>2418</v>
      </c>
      <c r="C604" s="268">
        <v>2166</v>
      </c>
      <c r="D604" s="268">
        <v>2673</v>
      </c>
      <c r="E604" s="268">
        <v>73</v>
      </c>
      <c r="F604" s="268">
        <v>83</v>
      </c>
      <c r="G604" s="268">
        <v>118</v>
      </c>
      <c r="H604" s="268">
        <v>146</v>
      </c>
    </row>
    <row r="605" spans="1:8" s="263" customFormat="1" ht="8.65" customHeight="1" x14ac:dyDescent="0.25">
      <c r="A605" s="263" t="s">
        <v>38</v>
      </c>
      <c r="B605" s="266">
        <v>965</v>
      </c>
      <c r="C605" s="266">
        <v>910</v>
      </c>
      <c r="D605" s="266">
        <v>1172</v>
      </c>
      <c r="E605" s="266">
        <v>25</v>
      </c>
      <c r="F605" s="266">
        <v>55</v>
      </c>
      <c r="G605" s="266">
        <v>53</v>
      </c>
      <c r="H605" s="266">
        <v>33</v>
      </c>
    </row>
    <row r="606" spans="1:8" s="263" customFormat="1" ht="8.65" customHeight="1" x14ac:dyDescent="0.25">
      <c r="A606" s="263" t="s">
        <v>39</v>
      </c>
      <c r="B606" s="266">
        <v>683</v>
      </c>
      <c r="C606" s="266">
        <v>695</v>
      </c>
      <c r="D606" s="266">
        <v>917</v>
      </c>
      <c r="E606" s="266">
        <v>35</v>
      </c>
      <c r="F606" s="266">
        <v>34</v>
      </c>
      <c r="G606" s="266">
        <v>39</v>
      </c>
      <c r="H606" s="266">
        <v>46</v>
      </c>
    </row>
    <row r="607" spans="1:8" s="263" customFormat="1" ht="8.65" customHeight="1" x14ac:dyDescent="0.25">
      <c r="A607" s="263" t="s">
        <v>40</v>
      </c>
      <c r="B607" s="266">
        <v>4051</v>
      </c>
      <c r="C607" s="266">
        <v>1861</v>
      </c>
      <c r="D607" s="266">
        <v>2876</v>
      </c>
      <c r="E607" s="266">
        <v>70</v>
      </c>
      <c r="F607" s="266">
        <v>146</v>
      </c>
      <c r="G607" s="266">
        <v>142</v>
      </c>
      <c r="H607" s="266">
        <v>58</v>
      </c>
    </row>
    <row r="608" spans="1:8" s="263" customFormat="1" ht="8.65" customHeight="1" x14ac:dyDescent="0.25">
      <c r="A608" s="267" t="s">
        <v>41</v>
      </c>
      <c r="B608" s="268">
        <v>2089</v>
      </c>
      <c r="C608" s="268">
        <v>3207</v>
      </c>
      <c r="D608" s="268">
        <v>2703</v>
      </c>
      <c r="E608" s="268">
        <v>73</v>
      </c>
      <c r="F608" s="268">
        <v>79</v>
      </c>
      <c r="G608" s="268">
        <v>91</v>
      </c>
      <c r="H608" s="268">
        <v>734</v>
      </c>
    </row>
    <row r="609" spans="1:8" s="263" customFormat="1" ht="8.65" customHeight="1" x14ac:dyDescent="0.25">
      <c r="A609" s="263" t="s">
        <v>42</v>
      </c>
      <c r="B609" s="266">
        <v>3614</v>
      </c>
      <c r="C609" s="266">
        <v>2852</v>
      </c>
      <c r="D609" s="266">
        <v>3099</v>
      </c>
      <c r="E609" s="266">
        <v>77</v>
      </c>
      <c r="F609" s="266">
        <v>129</v>
      </c>
      <c r="G609" s="266">
        <v>169</v>
      </c>
      <c r="H609" s="266">
        <v>330</v>
      </c>
    </row>
    <row r="610" spans="1:8" s="263" customFormat="1" ht="8.65" customHeight="1" x14ac:dyDescent="0.25">
      <c r="A610" s="263" t="s">
        <v>43</v>
      </c>
      <c r="B610" s="266">
        <v>836</v>
      </c>
      <c r="C610" s="266">
        <v>873</v>
      </c>
      <c r="D610" s="266">
        <v>897</v>
      </c>
      <c r="E610" s="266">
        <v>19</v>
      </c>
      <c r="F610" s="266">
        <v>28</v>
      </c>
      <c r="G610" s="266">
        <v>44</v>
      </c>
      <c r="H610" s="266">
        <v>14</v>
      </c>
    </row>
    <row r="611" spans="1:8" s="263" customFormat="1" ht="8.65" customHeight="1" x14ac:dyDescent="0.25">
      <c r="A611" s="263" t="s">
        <v>44</v>
      </c>
      <c r="B611" s="266">
        <v>978</v>
      </c>
      <c r="C611" s="266">
        <v>624</v>
      </c>
      <c r="D611" s="266">
        <v>841</v>
      </c>
      <c r="E611" s="266">
        <v>47</v>
      </c>
      <c r="F611" s="266">
        <v>41</v>
      </c>
      <c r="G611" s="266">
        <v>55</v>
      </c>
      <c r="H611" s="266">
        <v>28</v>
      </c>
    </row>
    <row r="612" spans="1:8" s="263" customFormat="1" ht="8.65" customHeight="1" x14ac:dyDescent="0.25">
      <c r="A612" s="267" t="s">
        <v>45</v>
      </c>
      <c r="B612" s="268">
        <v>1735</v>
      </c>
      <c r="C612" s="268">
        <v>1255</v>
      </c>
      <c r="D612" s="268">
        <v>1541</v>
      </c>
      <c r="E612" s="268">
        <v>62</v>
      </c>
      <c r="F612" s="268">
        <v>83</v>
      </c>
      <c r="G612" s="268">
        <v>68</v>
      </c>
      <c r="H612" s="268">
        <v>36</v>
      </c>
    </row>
    <row r="613" spans="1:8" s="263" customFormat="1" ht="8.65" customHeight="1" x14ac:dyDescent="0.25">
      <c r="A613" s="263" t="s">
        <v>46</v>
      </c>
      <c r="B613" s="266">
        <v>2276</v>
      </c>
      <c r="C613" s="266">
        <v>1528</v>
      </c>
      <c r="D613" s="266">
        <v>1830</v>
      </c>
      <c r="E613" s="266">
        <v>54</v>
      </c>
      <c r="F613" s="266">
        <v>88</v>
      </c>
      <c r="G613" s="266">
        <v>130</v>
      </c>
      <c r="H613" s="266">
        <v>65</v>
      </c>
    </row>
    <row r="614" spans="1:8" s="263" customFormat="1" ht="8.65" customHeight="1" x14ac:dyDescent="0.25">
      <c r="A614" s="263" t="s">
        <v>47</v>
      </c>
      <c r="B614" s="266">
        <v>2696</v>
      </c>
      <c r="C614" s="266">
        <v>1248</v>
      </c>
      <c r="D614" s="266">
        <v>1784</v>
      </c>
      <c r="E614" s="266">
        <v>58</v>
      </c>
      <c r="F614" s="266">
        <v>102</v>
      </c>
      <c r="G614" s="266">
        <v>110</v>
      </c>
      <c r="H614" s="266">
        <v>154</v>
      </c>
    </row>
    <row r="615" spans="1:8" s="263" customFormat="1" ht="8.65" customHeight="1" x14ac:dyDescent="0.25">
      <c r="A615" s="263" t="s">
        <v>48</v>
      </c>
      <c r="B615" s="266">
        <v>1582</v>
      </c>
      <c r="C615" s="266">
        <v>1211</v>
      </c>
      <c r="D615" s="266">
        <v>2093</v>
      </c>
      <c r="E615" s="266">
        <v>41</v>
      </c>
      <c r="F615" s="266">
        <v>57</v>
      </c>
      <c r="G615" s="266">
        <v>85</v>
      </c>
      <c r="H615" s="266">
        <v>71</v>
      </c>
    </row>
    <row r="616" spans="1:8" s="263" customFormat="1" ht="8.65" customHeight="1" x14ac:dyDescent="0.25">
      <c r="A616" s="267" t="s">
        <v>49</v>
      </c>
      <c r="B616" s="268">
        <v>2939</v>
      </c>
      <c r="C616" s="268">
        <v>1909</v>
      </c>
      <c r="D616" s="268">
        <v>2264</v>
      </c>
      <c r="E616" s="268">
        <v>62</v>
      </c>
      <c r="F616" s="268">
        <v>86</v>
      </c>
      <c r="G616" s="268">
        <v>109</v>
      </c>
      <c r="H616" s="268">
        <v>126</v>
      </c>
    </row>
    <row r="617" spans="1:8" s="263" customFormat="1" ht="8.65" customHeight="1" x14ac:dyDescent="0.25">
      <c r="A617" s="263" t="s">
        <v>50</v>
      </c>
      <c r="B617" s="266">
        <v>655</v>
      </c>
      <c r="C617" s="266">
        <v>737</v>
      </c>
      <c r="D617" s="266">
        <v>662</v>
      </c>
      <c r="E617" s="266">
        <v>25</v>
      </c>
      <c r="F617" s="266">
        <v>24</v>
      </c>
      <c r="G617" s="266">
        <v>33</v>
      </c>
      <c r="H617" s="266">
        <v>180</v>
      </c>
    </row>
    <row r="618" spans="1:8" s="263" customFormat="1" ht="8.65" customHeight="1" x14ac:dyDescent="0.25">
      <c r="A618" s="263" t="s">
        <v>51</v>
      </c>
      <c r="B618" s="266">
        <v>4886</v>
      </c>
      <c r="C618" s="266">
        <v>3983</v>
      </c>
      <c r="D618" s="266">
        <v>4788</v>
      </c>
      <c r="E618" s="266">
        <v>130</v>
      </c>
      <c r="F618" s="266">
        <v>161</v>
      </c>
      <c r="G618" s="266">
        <v>227</v>
      </c>
      <c r="H618" s="266">
        <v>223</v>
      </c>
    </row>
    <row r="619" spans="1:8" s="263" customFormat="1" ht="8.65" customHeight="1" x14ac:dyDescent="0.25">
      <c r="A619" s="263" t="s">
        <v>52</v>
      </c>
      <c r="B619" s="266">
        <v>1777</v>
      </c>
      <c r="C619" s="266">
        <v>1070</v>
      </c>
      <c r="D619" s="266">
        <v>1122</v>
      </c>
      <c r="E619" s="266">
        <v>42</v>
      </c>
      <c r="F619" s="266">
        <v>44</v>
      </c>
      <c r="G619" s="266">
        <v>53</v>
      </c>
      <c r="H619" s="266">
        <v>20</v>
      </c>
    </row>
    <row r="620" spans="1:8" s="263" customFormat="1" ht="8.65" customHeight="1" x14ac:dyDescent="0.25">
      <c r="A620" s="267" t="s">
        <v>53</v>
      </c>
      <c r="B620" s="268">
        <v>1050</v>
      </c>
      <c r="C620" s="268">
        <v>1101</v>
      </c>
      <c r="D620" s="268">
        <v>1222</v>
      </c>
      <c r="E620" s="268">
        <v>42</v>
      </c>
      <c r="F620" s="268">
        <v>51</v>
      </c>
      <c r="G620" s="268">
        <v>55</v>
      </c>
      <c r="H620" s="268">
        <v>159</v>
      </c>
    </row>
    <row r="621" spans="1:8" s="263" customFormat="1" ht="9" customHeight="1" x14ac:dyDescent="0.25">
      <c r="B621" s="266"/>
      <c r="C621" s="266"/>
      <c r="D621" s="266"/>
      <c r="E621" s="266"/>
      <c r="F621" s="266"/>
      <c r="G621" s="266"/>
      <c r="H621" s="266"/>
    </row>
    <row r="622" spans="1:8" s="263" customFormat="1" ht="9" customHeight="1" x14ac:dyDescent="0.25">
      <c r="A622" s="261">
        <v>2012</v>
      </c>
      <c r="B622" s="271"/>
      <c r="C622" s="271"/>
      <c r="D622" s="271"/>
      <c r="E622" s="271"/>
      <c r="F622" s="271"/>
      <c r="G622" s="271"/>
      <c r="H622" s="271"/>
    </row>
    <row r="623" spans="1:8" s="263" customFormat="1" ht="9" customHeight="1" x14ac:dyDescent="0.25">
      <c r="A623" s="264" t="s">
        <v>216</v>
      </c>
      <c r="B623" s="262">
        <f t="shared" ref="B623:H623" si="13">SUM(B625:B656)</f>
        <v>85656</v>
      </c>
      <c r="C623" s="262">
        <f t="shared" si="13"/>
        <v>54439</v>
      </c>
      <c r="D623" s="262">
        <f t="shared" si="13"/>
        <v>69217</v>
      </c>
      <c r="E623" s="262">
        <f t="shared" si="13"/>
        <v>2117</v>
      </c>
      <c r="F623" s="262">
        <f t="shared" si="13"/>
        <v>3246</v>
      </c>
      <c r="G623" s="262">
        <f t="shared" si="13"/>
        <v>3594</v>
      </c>
      <c r="H623" s="262">
        <f t="shared" si="13"/>
        <v>4748</v>
      </c>
    </row>
    <row r="624" spans="1:8" s="263" customFormat="1" ht="3.95" customHeight="1" x14ac:dyDescent="0.25">
      <c r="A624" s="264"/>
      <c r="B624" s="262"/>
      <c r="C624" s="262"/>
      <c r="D624" s="262"/>
      <c r="E624" s="262"/>
      <c r="F624" s="262"/>
      <c r="G624" s="262"/>
      <c r="H624" s="262"/>
    </row>
    <row r="625" spans="1:8" s="263" customFormat="1" ht="8.65" customHeight="1" x14ac:dyDescent="0.25">
      <c r="A625" s="263" t="s">
        <v>23</v>
      </c>
      <c r="B625" s="266">
        <v>878</v>
      </c>
      <c r="C625" s="266">
        <v>526</v>
      </c>
      <c r="D625" s="266">
        <v>808</v>
      </c>
      <c r="E625" s="266">
        <v>18</v>
      </c>
      <c r="F625" s="266">
        <v>33</v>
      </c>
      <c r="G625" s="266">
        <v>36</v>
      </c>
      <c r="H625" s="266">
        <v>15</v>
      </c>
    </row>
    <row r="626" spans="1:8" s="263" customFormat="1" ht="8.65" customHeight="1" x14ac:dyDescent="0.25">
      <c r="A626" s="263" t="s">
        <v>24</v>
      </c>
      <c r="B626" s="266">
        <v>2166</v>
      </c>
      <c r="C626" s="266">
        <v>1089</v>
      </c>
      <c r="D626" s="266">
        <v>1468</v>
      </c>
      <c r="E626" s="266">
        <v>38</v>
      </c>
      <c r="F626" s="266">
        <v>78</v>
      </c>
      <c r="G626" s="266">
        <v>77</v>
      </c>
      <c r="H626" s="266">
        <v>63</v>
      </c>
    </row>
    <row r="627" spans="1:8" s="263" customFormat="1" ht="8.65" customHeight="1" x14ac:dyDescent="0.25">
      <c r="A627" s="263" t="s">
        <v>25</v>
      </c>
      <c r="B627" s="266">
        <v>673</v>
      </c>
      <c r="C627" s="266">
        <v>514</v>
      </c>
      <c r="D627" s="266">
        <v>549</v>
      </c>
      <c r="E627" s="266">
        <v>28</v>
      </c>
      <c r="F627" s="266">
        <v>45</v>
      </c>
      <c r="G627" s="266">
        <v>31</v>
      </c>
      <c r="H627" s="266">
        <v>28</v>
      </c>
    </row>
    <row r="628" spans="1:8" s="263" customFormat="1" ht="8.65" customHeight="1" x14ac:dyDescent="0.25">
      <c r="A628" s="267" t="s">
        <v>26</v>
      </c>
      <c r="B628" s="268">
        <v>860</v>
      </c>
      <c r="C628" s="268">
        <v>549</v>
      </c>
      <c r="D628" s="268">
        <v>791</v>
      </c>
      <c r="E628" s="268">
        <v>26</v>
      </c>
      <c r="F628" s="268">
        <v>40</v>
      </c>
      <c r="G628" s="268">
        <v>35</v>
      </c>
      <c r="H628" s="268">
        <v>52</v>
      </c>
    </row>
    <row r="629" spans="1:8" s="263" customFormat="1" ht="8.65" customHeight="1" x14ac:dyDescent="0.25">
      <c r="A629" s="263" t="s">
        <v>27</v>
      </c>
      <c r="B629" s="266">
        <v>2658</v>
      </c>
      <c r="C629" s="266">
        <v>1374</v>
      </c>
      <c r="D629" s="266">
        <v>1761</v>
      </c>
      <c r="E629" s="266">
        <v>68</v>
      </c>
      <c r="F629" s="266">
        <v>127</v>
      </c>
      <c r="G629" s="266">
        <v>106</v>
      </c>
      <c r="H629" s="266">
        <v>53</v>
      </c>
    </row>
    <row r="630" spans="1:8" s="263" customFormat="1" ht="8.65" customHeight="1" x14ac:dyDescent="0.25">
      <c r="A630" s="263" t="s">
        <v>28</v>
      </c>
      <c r="B630" s="266">
        <v>583</v>
      </c>
      <c r="C630" s="266">
        <v>539</v>
      </c>
      <c r="D630" s="266">
        <v>552</v>
      </c>
      <c r="E630" s="266">
        <v>13</v>
      </c>
      <c r="F630" s="266">
        <v>28</v>
      </c>
      <c r="G630" s="266">
        <v>30</v>
      </c>
      <c r="H630" s="266">
        <v>11</v>
      </c>
    </row>
    <row r="631" spans="1:8" s="263" customFormat="1" ht="8.65" customHeight="1" x14ac:dyDescent="0.25">
      <c r="A631" s="263" t="s">
        <v>29</v>
      </c>
      <c r="B631" s="266">
        <v>2077</v>
      </c>
      <c r="C631" s="266">
        <v>2528</v>
      </c>
      <c r="D631" s="266">
        <v>3524</v>
      </c>
      <c r="E631" s="266">
        <v>94</v>
      </c>
      <c r="F631" s="266">
        <v>101</v>
      </c>
      <c r="G631" s="266">
        <v>121</v>
      </c>
      <c r="H631" s="266">
        <v>89</v>
      </c>
    </row>
    <row r="632" spans="1:8" s="263" customFormat="1" ht="8.65" customHeight="1" x14ac:dyDescent="0.25">
      <c r="A632" s="267" t="s">
        <v>30</v>
      </c>
      <c r="B632" s="268">
        <v>2767</v>
      </c>
      <c r="C632" s="268">
        <v>1682</v>
      </c>
      <c r="D632" s="268">
        <v>1892</v>
      </c>
      <c r="E632" s="268">
        <v>73</v>
      </c>
      <c r="F632" s="268">
        <v>116</v>
      </c>
      <c r="G632" s="268">
        <v>113</v>
      </c>
      <c r="H632" s="268">
        <v>83</v>
      </c>
    </row>
    <row r="633" spans="1:8" s="263" customFormat="1" ht="8.65" customHeight="1" x14ac:dyDescent="0.25">
      <c r="A633" s="263" t="s">
        <v>63</v>
      </c>
      <c r="B633" s="266">
        <v>16107</v>
      </c>
      <c r="C633" s="266">
        <v>6287</v>
      </c>
      <c r="D633" s="266">
        <v>8374</v>
      </c>
      <c r="E633" s="266">
        <v>286</v>
      </c>
      <c r="F633" s="266">
        <v>518</v>
      </c>
      <c r="G633" s="266">
        <v>644</v>
      </c>
      <c r="H633" s="266">
        <v>111</v>
      </c>
    </row>
    <row r="634" spans="1:8" s="263" customFormat="1" ht="8.65" customHeight="1" x14ac:dyDescent="0.25">
      <c r="A634" s="263" t="s">
        <v>31</v>
      </c>
      <c r="B634" s="266">
        <v>1569</v>
      </c>
      <c r="C634" s="266">
        <v>979</v>
      </c>
      <c r="D634" s="266">
        <v>1299</v>
      </c>
      <c r="E634" s="266">
        <v>58</v>
      </c>
      <c r="F634" s="266">
        <v>74</v>
      </c>
      <c r="G634" s="266">
        <v>54</v>
      </c>
      <c r="H634" s="266">
        <v>64</v>
      </c>
    </row>
    <row r="635" spans="1:8" s="263" customFormat="1" ht="8.65" customHeight="1" x14ac:dyDescent="0.25">
      <c r="A635" s="263" t="s">
        <v>32</v>
      </c>
      <c r="B635" s="266">
        <v>3064</v>
      </c>
      <c r="C635" s="266">
        <v>2077</v>
      </c>
      <c r="D635" s="266">
        <v>2541</v>
      </c>
      <c r="E635" s="266">
        <v>62</v>
      </c>
      <c r="F635" s="266">
        <v>131</v>
      </c>
      <c r="G635" s="266">
        <v>143</v>
      </c>
      <c r="H635" s="266">
        <v>298</v>
      </c>
    </row>
    <row r="636" spans="1:8" s="263" customFormat="1" ht="8.65" customHeight="1" x14ac:dyDescent="0.25">
      <c r="A636" s="267" t="s">
        <v>33</v>
      </c>
      <c r="B636" s="268">
        <v>1807</v>
      </c>
      <c r="C636" s="268">
        <v>1624</v>
      </c>
      <c r="D636" s="268">
        <v>2233</v>
      </c>
      <c r="E636" s="268">
        <v>42</v>
      </c>
      <c r="F636" s="268">
        <v>65</v>
      </c>
      <c r="G636" s="268">
        <v>125</v>
      </c>
      <c r="H636" s="268">
        <v>666</v>
      </c>
    </row>
    <row r="637" spans="1:8" s="263" customFormat="1" ht="8.65" customHeight="1" x14ac:dyDescent="0.25">
      <c r="A637" s="263" t="s">
        <v>34</v>
      </c>
      <c r="B637" s="266">
        <v>1320</v>
      </c>
      <c r="C637" s="266">
        <v>1941</v>
      </c>
      <c r="D637" s="266">
        <v>1950</v>
      </c>
      <c r="E637" s="266">
        <v>55</v>
      </c>
      <c r="F637" s="266">
        <v>60</v>
      </c>
      <c r="G637" s="266">
        <v>48</v>
      </c>
      <c r="H637" s="266">
        <v>313</v>
      </c>
    </row>
    <row r="638" spans="1:8" s="263" customFormat="1" ht="8.65" customHeight="1" x14ac:dyDescent="0.25">
      <c r="A638" s="263" t="s">
        <v>35</v>
      </c>
      <c r="B638" s="266">
        <v>6406</v>
      </c>
      <c r="C638" s="266">
        <v>3005</v>
      </c>
      <c r="D638" s="266">
        <v>3885</v>
      </c>
      <c r="E638" s="266">
        <v>92</v>
      </c>
      <c r="F638" s="266">
        <v>173</v>
      </c>
      <c r="G638" s="266">
        <v>226</v>
      </c>
      <c r="H638" s="266">
        <v>373</v>
      </c>
    </row>
    <row r="639" spans="1:8" s="263" customFormat="1" ht="8.65" customHeight="1" x14ac:dyDescent="0.25">
      <c r="A639" s="263" t="s">
        <v>36</v>
      </c>
      <c r="B639" s="266">
        <v>7915</v>
      </c>
      <c r="C639" s="266">
        <v>4481</v>
      </c>
      <c r="D639" s="266">
        <v>6639</v>
      </c>
      <c r="E639" s="266">
        <v>228</v>
      </c>
      <c r="F639" s="266">
        <v>263</v>
      </c>
      <c r="G639" s="266">
        <v>280</v>
      </c>
      <c r="H639" s="266">
        <v>210</v>
      </c>
    </row>
    <row r="640" spans="1:8" s="263" customFormat="1" ht="8.65" customHeight="1" x14ac:dyDescent="0.25">
      <c r="A640" s="267" t="s">
        <v>37</v>
      </c>
      <c r="B640" s="268">
        <v>2535</v>
      </c>
      <c r="C640" s="268">
        <v>1975</v>
      </c>
      <c r="D640" s="268">
        <v>2652</v>
      </c>
      <c r="E640" s="268">
        <v>73</v>
      </c>
      <c r="F640" s="268">
        <v>93</v>
      </c>
      <c r="G640" s="268">
        <v>106</v>
      </c>
      <c r="H640" s="268">
        <v>126</v>
      </c>
    </row>
    <row r="641" spans="1:8" s="263" customFormat="1" ht="8.65" customHeight="1" x14ac:dyDescent="0.25">
      <c r="A641" s="263" t="s">
        <v>38</v>
      </c>
      <c r="B641" s="266">
        <v>1112</v>
      </c>
      <c r="C641" s="266">
        <v>940</v>
      </c>
      <c r="D641" s="266">
        <v>1151</v>
      </c>
      <c r="E641" s="266">
        <v>25</v>
      </c>
      <c r="F641" s="266">
        <v>58</v>
      </c>
      <c r="G641" s="266">
        <v>57</v>
      </c>
      <c r="H641" s="266">
        <v>34</v>
      </c>
    </row>
    <row r="642" spans="1:8" s="263" customFormat="1" ht="8.65" customHeight="1" x14ac:dyDescent="0.25">
      <c r="A642" s="263" t="s">
        <v>39</v>
      </c>
      <c r="B642" s="266">
        <v>727</v>
      </c>
      <c r="C642" s="266">
        <v>820</v>
      </c>
      <c r="D642" s="266">
        <v>908</v>
      </c>
      <c r="E642" s="266">
        <v>36</v>
      </c>
      <c r="F642" s="266">
        <v>38</v>
      </c>
      <c r="G642" s="266">
        <v>36</v>
      </c>
      <c r="H642" s="266">
        <v>35</v>
      </c>
    </row>
    <row r="643" spans="1:8" s="263" customFormat="1" ht="8.65" customHeight="1" x14ac:dyDescent="0.25">
      <c r="A643" s="263" t="s">
        <v>40</v>
      </c>
      <c r="B643" s="266">
        <v>3442</v>
      </c>
      <c r="C643" s="266">
        <v>1468</v>
      </c>
      <c r="D643" s="266">
        <v>2436</v>
      </c>
      <c r="E643" s="266">
        <v>75</v>
      </c>
      <c r="F643" s="266">
        <v>145</v>
      </c>
      <c r="G643" s="266">
        <v>123</v>
      </c>
      <c r="H643" s="266">
        <v>55</v>
      </c>
    </row>
    <row r="644" spans="1:8" s="263" customFormat="1" ht="8.65" customHeight="1" x14ac:dyDescent="0.25">
      <c r="A644" s="267" t="s">
        <v>41</v>
      </c>
      <c r="B644" s="268">
        <v>2088</v>
      </c>
      <c r="C644" s="268">
        <v>2797</v>
      </c>
      <c r="D644" s="268">
        <v>2731</v>
      </c>
      <c r="E644" s="268">
        <v>73</v>
      </c>
      <c r="F644" s="268">
        <v>77</v>
      </c>
      <c r="G644" s="268">
        <v>97</v>
      </c>
      <c r="H644" s="268">
        <v>737</v>
      </c>
    </row>
    <row r="645" spans="1:8" s="263" customFormat="1" ht="8.65" customHeight="1" x14ac:dyDescent="0.25">
      <c r="A645" s="263" t="s">
        <v>42</v>
      </c>
      <c r="B645" s="266">
        <v>3624</v>
      </c>
      <c r="C645" s="266">
        <v>3180</v>
      </c>
      <c r="D645" s="266">
        <v>2972</v>
      </c>
      <c r="E645" s="266">
        <v>72</v>
      </c>
      <c r="F645" s="266">
        <v>146</v>
      </c>
      <c r="G645" s="266">
        <v>161</v>
      </c>
      <c r="H645" s="266">
        <v>306</v>
      </c>
    </row>
    <row r="646" spans="1:8" s="263" customFormat="1" ht="8.65" customHeight="1" x14ac:dyDescent="0.25">
      <c r="A646" s="263" t="s">
        <v>43</v>
      </c>
      <c r="B646" s="266">
        <v>886</v>
      </c>
      <c r="C646" s="266">
        <v>725</v>
      </c>
      <c r="D646" s="266">
        <v>954</v>
      </c>
      <c r="E646" s="266">
        <v>20</v>
      </c>
      <c r="F646" s="266">
        <v>34</v>
      </c>
      <c r="G646" s="266">
        <v>42</v>
      </c>
      <c r="H646" s="266">
        <v>18</v>
      </c>
    </row>
    <row r="647" spans="1:8" s="263" customFormat="1" ht="8.65" customHeight="1" x14ac:dyDescent="0.25">
      <c r="A647" s="263" t="s">
        <v>44</v>
      </c>
      <c r="B647" s="266">
        <v>968</v>
      </c>
      <c r="C647" s="266">
        <v>596</v>
      </c>
      <c r="D647" s="266">
        <v>829</v>
      </c>
      <c r="E647" s="266">
        <v>48</v>
      </c>
      <c r="F647" s="266">
        <v>48</v>
      </c>
      <c r="G647" s="266">
        <v>50</v>
      </c>
      <c r="H647" s="266">
        <v>28</v>
      </c>
    </row>
    <row r="648" spans="1:8" s="263" customFormat="1" ht="8.65" customHeight="1" x14ac:dyDescent="0.25">
      <c r="A648" s="267" t="s">
        <v>45</v>
      </c>
      <c r="B648" s="268">
        <v>2003</v>
      </c>
      <c r="C648" s="268">
        <v>1209</v>
      </c>
      <c r="D648" s="268">
        <v>1428</v>
      </c>
      <c r="E648" s="268">
        <v>58</v>
      </c>
      <c r="F648" s="268">
        <v>90</v>
      </c>
      <c r="G648" s="268">
        <v>72</v>
      </c>
      <c r="H648" s="268">
        <v>36</v>
      </c>
    </row>
    <row r="649" spans="1:8" s="263" customFormat="1" ht="8.65" customHeight="1" x14ac:dyDescent="0.25">
      <c r="A649" s="263" t="s">
        <v>46</v>
      </c>
      <c r="B649" s="266">
        <v>2053</v>
      </c>
      <c r="C649" s="266">
        <v>1435</v>
      </c>
      <c r="D649" s="266">
        <v>1786</v>
      </c>
      <c r="E649" s="266">
        <v>56</v>
      </c>
      <c r="F649" s="266">
        <v>84</v>
      </c>
      <c r="G649" s="266">
        <v>116</v>
      </c>
      <c r="H649" s="266">
        <v>63</v>
      </c>
    </row>
    <row r="650" spans="1:8" s="263" customFormat="1" ht="8.65" customHeight="1" x14ac:dyDescent="0.25">
      <c r="A650" s="263" t="s">
        <v>47</v>
      </c>
      <c r="B650" s="266">
        <v>2495</v>
      </c>
      <c r="C650" s="266">
        <v>1206</v>
      </c>
      <c r="D650" s="266">
        <v>1573</v>
      </c>
      <c r="E650" s="266">
        <v>56</v>
      </c>
      <c r="F650" s="266">
        <v>98</v>
      </c>
      <c r="G650" s="266">
        <v>93</v>
      </c>
      <c r="H650" s="266">
        <v>155</v>
      </c>
    </row>
    <row r="651" spans="1:8" s="263" customFormat="1" ht="8.65" customHeight="1" x14ac:dyDescent="0.25">
      <c r="A651" s="263" t="s">
        <v>48</v>
      </c>
      <c r="B651" s="266">
        <v>1504</v>
      </c>
      <c r="C651" s="266">
        <v>1035</v>
      </c>
      <c r="D651" s="266">
        <v>1907</v>
      </c>
      <c r="E651" s="266">
        <v>39</v>
      </c>
      <c r="F651" s="266">
        <v>57</v>
      </c>
      <c r="G651" s="266">
        <v>79</v>
      </c>
      <c r="H651" s="266">
        <v>71</v>
      </c>
    </row>
    <row r="652" spans="1:8" s="263" customFormat="1" ht="8.65" customHeight="1" x14ac:dyDescent="0.25">
      <c r="A652" s="267" t="s">
        <v>49</v>
      </c>
      <c r="B652" s="268">
        <v>3020</v>
      </c>
      <c r="C652" s="268">
        <v>1761</v>
      </c>
      <c r="D652" s="268">
        <v>2149</v>
      </c>
      <c r="E652" s="268">
        <v>66</v>
      </c>
      <c r="F652" s="268">
        <v>102</v>
      </c>
      <c r="G652" s="268">
        <v>117</v>
      </c>
      <c r="H652" s="268">
        <v>122</v>
      </c>
    </row>
    <row r="653" spans="1:8" s="263" customFormat="1" ht="8.65" customHeight="1" x14ac:dyDescent="0.25">
      <c r="A653" s="263" t="s">
        <v>50</v>
      </c>
      <c r="B653" s="266">
        <v>515</v>
      </c>
      <c r="C653" s="266">
        <v>706</v>
      </c>
      <c r="D653" s="266">
        <v>722</v>
      </c>
      <c r="E653" s="266">
        <v>24</v>
      </c>
      <c r="F653" s="266">
        <v>25</v>
      </c>
      <c r="G653" s="266">
        <v>32</v>
      </c>
      <c r="H653" s="266">
        <v>177</v>
      </c>
    </row>
    <row r="654" spans="1:8" s="263" customFormat="1" ht="8.65" customHeight="1" x14ac:dyDescent="0.25">
      <c r="A654" s="263" t="s">
        <v>51</v>
      </c>
      <c r="B654" s="266">
        <v>4990</v>
      </c>
      <c r="C654" s="266">
        <v>3642</v>
      </c>
      <c r="D654" s="266">
        <v>4470</v>
      </c>
      <c r="E654" s="266">
        <v>131</v>
      </c>
      <c r="F654" s="266">
        <v>196</v>
      </c>
      <c r="G654" s="266">
        <v>236</v>
      </c>
      <c r="H654" s="266">
        <v>187</v>
      </c>
    </row>
    <row r="655" spans="1:8" s="263" customFormat="1" ht="8.65" customHeight="1" x14ac:dyDescent="0.25">
      <c r="A655" s="263" t="s">
        <v>52</v>
      </c>
      <c r="B655" s="266">
        <v>1837</v>
      </c>
      <c r="C655" s="266">
        <v>898</v>
      </c>
      <c r="D655" s="266">
        <v>1104</v>
      </c>
      <c r="E655" s="266">
        <v>40</v>
      </c>
      <c r="F655" s="266">
        <v>54</v>
      </c>
      <c r="G655" s="266">
        <v>55</v>
      </c>
      <c r="H655" s="266">
        <v>20</v>
      </c>
    </row>
    <row r="656" spans="1:8" s="263" customFormat="1" ht="8.65" customHeight="1" x14ac:dyDescent="0.25">
      <c r="A656" s="267" t="s">
        <v>53</v>
      </c>
      <c r="B656" s="268">
        <v>1007</v>
      </c>
      <c r="C656" s="268">
        <v>851</v>
      </c>
      <c r="D656" s="268">
        <v>1179</v>
      </c>
      <c r="E656" s="268">
        <v>44</v>
      </c>
      <c r="F656" s="268">
        <v>49</v>
      </c>
      <c r="G656" s="268">
        <v>53</v>
      </c>
      <c r="H656" s="268">
        <v>149</v>
      </c>
    </row>
    <row r="657" spans="1:8" s="263" customFormat="1" ht="9" customHeight="1" x14ac:dyDescent="0.25">
      <c r="B657" s="266"/>
      <c r="C657" s="266"/>
      <c r="D657" s="266"/>
      <c r="E657" s="266"/>
      <c r="F657" s="266"/>
      <c r="G657" s="266"/>
      <c r="H657" s="266"/>
    </row>
    <row r="658" spans="1:8" s="263" customFormat="1" ht="9" customHeight="1" x14ac:dyDescent="0.25">
      <c r="A658" s="261">
        <v>2013</v>
      </c>
      <c r="B658" s="271"/>
      <c r="C658" s="271"/>
      <c r="D658" s="271"/>
      <c r="E658" s="271"/>
      <c r="F658" s="271"/>
      <c r="G658" s="271"/>
      <c r="H658" s="271"/>
    </row>
    <row r="659" spans="1:8" s="263" customFormat="1" ht="9" customHeight="1" x14ac:dyDescent="0.25">
      <c r="A659" s="264" t="s">
        <v>216</v>
      </c>
      <c r="B659" s="262">
        <f t="shared" ref="B659:H659" si="14">SUM(B661:B692)</f>
        <v>87472</v>
      </c>
      <c r="C659" s="262">
        <f t="shared" si="14"/>
        <v>58926</v>
      </c>
      <c r="D659" s="262">
        <f t="shared" si="14"/>
        <v>71767</v>
      </c>
      <c r="E659" s="262">
        <f t="shared" si="14"/>
        <v>2219</v>
      </c>
      <c r="F659" s="262">
        <f t="shared" si="14"/>
        <v>3565</v>
      </c>
      <c r="G659" s="262">
        <f t="shared" si="14"/>
        <v>3982</v>
      </c>
      <c r="H659" s="262">
        <f t="shared" si="14"/>
        <v>4526</v>
      </c>
    </row>
    <row r="660" spans="1:8" s="263" customFormat="1" ht="3.95" customHeight="1" x14ac:dyDescent="0.25">
      <c r="A660" s="264"/>
      <c r="B660" s="262"/>
      <c r="C660" s="262"/>
      <c r="D660" s="262"/>
      <c r="E660" s="262"/>
      <c r="F660" s="262"/>
      <c r="G660" s="262"/>
      <c r="H660" s="262"/>
    </row>
    <row r="661" spans="1:8" s="263" customFormat="1" ht="8.65" customHeight="1" x14ac:dyDescent="0.25">
      <c r="A661" s="263" t="s">
        <v>23</v>
      </c>
      <c r="B661" s="266">
        <v>855</v>
      </c>
      <c r="C661" s="266">
        <v>559</v>
      </c>
      <c r="D661" s="266">
        <v>802</v>
      </c>
      <c r="E661" s="266">
        <v>17</v>
      </c>
      <c r="F661" s="266">
        <v>36</v>
      </c>
      <c r="G661" s="266">
        <v>41</v>
      </c>
      <c r="H661" s="266">
        <v>15</v>
      </c>
    </row>
    <row r="662" spans="1:8" s="263" customFormat="1" ht="8.65" customHeight="1" x14ac:dyDescent="0.25">
      <c r="A662" s="263" t="s">
        <v>24</v>
      </c>
      <c r="B662" s="266">
        <v>2152</v>
      </c>
      <c r="C662" s="266">
        <v>1150</v>
      </c>
      <c r="D662" s="266">
        <v>1535</v>
      </c>
      <c r="E662" s="266">
        <v>40</v>
      </c>
      <c r="F662" s="266">
        <v>86</v>
      </c>
      <c r="G662" s="266">
        <v>96</v>
      </c>
      <c r="H662" s="266">
        <v>57</v>
      </c>
    </row>
    <row r="663" spans="1:8" s="263" customFormat="1" ht="8.65" customHeight="1" x14ac:dyDescent="0.25">
      <c r="A663" s="263" t="s">
        <v>25</v>
      </c>
      <c r="B663" s="266">
        <v>674</v>
      </c>
      <c r="C663" s="266">
        <v>548</v>
      </c>
      <c r="D663" s="266">
        <v>597</v>
      </c>
      <c r="E663" s="266">
        <v>28</v>
      </c>
      <c r="F663" s="266">
        <v>48</v>
      </c>
      <c r="G663" s="266">
        <v>36</v>
      </c>
      <c r="H663" s="266">
        <v>28</v>
      </c>
    </row>
    <row r="664" spans="1:8" s="263" customFormat="1" ht="8.65" customHeight="1" x14ac:dyDescent="0.25">
      <c r="A664" s="267" t="s">
        <v>26</v>
      </c>
      <c r="B664" s="268">
        <v>945</v>
      </c>
      <c r="C664" s="268">
        <v>609</v>
      </c>
      <c r="D664" s="268">
        <v>828</v>
      </c>
      <c r="E664" s="268">
        <v>28</v>
      </c>
      <c r="F664" s="268">
        <v>46</v>
      </c>
      <c r="G664" s="268">
        <v>40</v>
      </c>
      <c r="H664" s="268">
        <v>44</v>
      </c>
    </row>
    <row r="665" spans="1:8" s="263" customFormat="1" ht="8.65" customHeight="1" x14ac:dyDescent="0.25">
      <c r="A665" s="263" t="s">
        <v>27</v>
      </c>
      <c r="B665" s="266">
        <v>2691</v>
      </c>
      <c r="C665" s="266">
        <v>1572</v>
      </c>
      <c r="D665" s="266">
        <v>1918</v>
      </c>
      <c r="E665" s="266">
        <v>73</v>
      </c>
      <c r="F665" s="266">
        <v>156</v>
      </c>
      <c r="G665" s="266">
        <v>129</v>
      </c>
      <c r="H665" s="266">
        <v>56</v>
      </c>
    </row>
    <row r="666" spans="1:8" s="263" customFormat="1" ht="8.65" customHeight="1" x14ac:dyDescent="0.25">
      <c r="A666" s="263" t="s">
        <v>28</v>
      </c>
      <c r="B666" s="266">
        <v>554</v>
      </c>
      <c r="C666" s="266">
        <v>409</v>
      </c>
      <c r="D666" s="266">
        <v>578</v>
      </c>
      <c r="E666" s="266">
        <v>13</v>
      </c>
      <c r="F666" s="266">
        <v>31</v>
      </c>
      <c r="G666" s="266">
        <v>35</v>
      </c>
      <c r="H666" s="266">
        <v>12</v>
      </c>
    </row>
    <row r="667" spans="1:8" s="263" customFormat="1" ht="8.65" customHeight="1" x14ac:dyDescent="0.25">
      <c r="A667" s="263" t="s">
        <v>29</v>
      </c>
      <c r="B667" s="266">
        <v>2226</v>
      </c>
      <c r="C667" s="266">
        <v>2616</v>
      </c>
      <c r="D667" s="266">
        <v>2867</v>
      </c>
      <c r="E667" s="266">
        <v>100</v>
      </c>
      <c r="F667" s="266">
        <v>110</v>
      </c>
      <c r="G667" s="266">
        <v>129</v>
      </c>
      <c r="H667" s="266">
        <v>96</v>
      </c>
    </row>
    <row r="668" spans="1:8" s="263" customFormat="1" ht="8.65" customHeight="1" x14ac:dyDescent="0.25">
      <c r="A668" s="267" t="s">
        <v>30</v>
      </c>
      <c r="B668" s="268">
        <v>2781</v>
      </c>
      <c r="C668" s="268">
        <v>1801</v>
      </c>
      <c r="D668" s="268">
        <v>2012</v>
      </c>
      <c r="E668" s="268">
        <v>78</v>
      </c>
      <c r="F668" s="268">
        <v>123</v>
      </c>
      <c r="G668" s="268">
        <v>122</v>
      </c>
      <c r="H668" s="268">
        <v>82</v>
      </c>
    </row>
    <row r="669" spans="1:8" s="263" customFormat="1" ht="8.65" customHeight="1" x14ac:dyDescent="0.25">
      <c r="A669" s="263" t="s">
        <v>63</v>
      </c>
      <c r="B669" s="266">
        <v>15787</v>
      </c>
      <c r="C669" s="266">
        <v>6960</v>
      </c>
      <c r="D669" s="266">
        <v>8629</v>
      </c>
      <c r="E669" s="266">
        <v>289</v>
      </c>
      <c r="F669" s="266">
        <v>568</v>
      </c>
      <c r="G669" s="266">
        <v>663</v>
      </c>
      <c r="H669" s="266">
        <v>111</v>
      </c>
    </row>
    <row r="670" spans="1:8" s="263" customFormat="1" ht="8.65" customHeight="1" x14ac:dyDescent="0.25">
      <c r="A670" s="263" t="s">
        <v>31</v>
      </c>
      <c r="B670" s="266">
        <v>1715</v>
      </c>
      <c r="C670" s="266">
        <v>1177</v>
      </c>
      <c r="D670" s="266">
        <v>1267</v>
      </c>
      <c r="E670" s="266">
        <v>61</v>
      </c>
      <c r="F670" s="266">
        <v>83</v>
      </c>
      <c r="G670" s="266">
        <v>70</v>
      </c>
      <c r="H670" s="266">
        <v>63</v>
      </c>
    </row>
    <row r="671" spans="1:8" s="263" customFormat="1" ht="8.65" customHeight="1" x14ac:dyDescent="0.25">
      <c r="A671" s="263" t="s">
        <v>32</v>
      </c>
      <c r="B671" s="266">
        <v>3221</v>
      </c>
      <c r="C671" s="266">
        <v>2143</v>
      </c>
      <c r="D671" s="266">
        <v>2609</v>
      </c>
      <c r="E671" s="266">
        <v>67</v>
      </c>
      <c r="F671" s="266">
        <v>146</v>
      </c>
      <c r="G671" s="266">
        <v>169</v>
      </c>
      <c r="H671" s="266">
        <v>237</v>
      </c>
    </row>
    <row r="672" spans="1:8" s="263" customFormat="1" ht="8.65" customHeight="1" x14ac:dyDescent="0.25">
      <c r="A672" s="267" t="s">
        <v>33</v>
      </c>
      <c r="B672" s="268">
        <v>1900</v>
      </c>
      <c r="C672" s="268">
        <v>1672</v>
      </c>
      <c r="D672" s="268">
        <v>2370</v>
      </c>
      <c r="E672" s="268">
        <v>49</v>
      </c>
      <c r="F672" s="268">
        <v>73</v>
      </c>
      <c r="G672" s="268">
        <v>141</v>
      </c>
      <c r="H672" s="268">
        <v>639</v>
      </c>
    </row>
    <row r="673" spans="1:8" s="263" customFormat="1" ht="8.65" customHeight="1" x14ac:dyDescent="0.25">
      <c r="A673" s="263" t="s">
        <v>34</v>
      </c>
      <c r="B673" s="266">
        <v>1311</v>
      </c>
      <c r="C673" s="266">
        <v>1929</v>
      </c>
      <c r="D673" s="266">
        <v>1931</v>
      </c>
      <c r="E673" s="266">
        <v>55</v>
      </c>
      <c r="F673" s="266">
        <v>63</v>
      </c>
      <c r="G673" s="266">
        <v>56</v>
      </c>
      <c r="H673" s="266">
        <v>301</v>
      </c>
    </row>
    <row r="674" spans="1:8" s="263" customFormat="1" ht="8.65" customHeight="1" x14ac:dyDescent="0.25">
      <c r="A674" s="263" t="s">
        <v>35</v>
      </c>
      <c r="B674" s="266">
        <v>6413</v>
      </c>
      <c r="C674" s="266">
        <v>3389</v>
      </c>
      <c r="D674" s="266">
        <v>4017</v>
      </c>
      <c r="E674" s="266">
        <v>98</v>
      </c>
      <c r="F674" s="266">
        <v>190</v>
      </c>
      <c r="G674" s="266">
        <v>247</v>
      </c>
      <c r="H674" s="266">
        <v>366</v>
      </c>
    </row>
    <row r="675" spans="1:8" s="263" customFormat="1" ht="8.65" customHeight="1" x14ac:dyDescent="0.25">
      <c r="A675" s="263" t="s">
        <v>36</v>
      </c>
      <c r="B675" s="266">
        <v>7927</v>
      </c>
      <c r="C675" s="266">
        <v>4853</v>
      </c>
      <c r="D675" s="266">
        <v>6964</v>
      </c>
      <c r="E675" s="266">
        <v>239</v>
      </c>
      <c r="F675" s="266">
        <v>277</v>
      </c>
      <c r="G675" s="266">
        <v>304</v>
      </c>
      <c r="H675" s="266">
        <v>209</v>
      </c>
    </row>
    <row r="676" spans="1:8" s="263" customFormat="1" ht="8.65" customHeight="1" x14ac:dyDescent="0.25">
      <c r="A676" s="267" t="s">
        <v>37</v>
      </c>
      <c r="B676" s="268">
        <v>2490</v>
      </c>
      <c r="C676" s="268">
        <v>2123</v>
      </c>
      <c r="D676" s="268">
        <v>2757</v>
      </c>
      <c r="E676" s="268">
        <v>76</v>
      </c>
      <c r="F676" s="268">
        <v>104</v>
      </c>
      <c r="G676" s="268">
        <v>118</v>
      </c>
      <c r="H676" s="268">
        <v>111</v>
      </c>
    </row>
    <row r="677" spans="1:8" s="263" customFormat="1" ht="8.65" customHeight="1" x14ac:dyDescent="0.25">
      <c r="A677" s="263" t="s">
        <v>38</v>
      </c>
      <c r="B677" s="266">
        <v>1164</v>
      </c>
      <c r="C677" s="266">
        <v>891</v>
      </c>
      <c r="D677" s="266">
        <v>1205</v>
      </c>
      <c r="E677" s="266">
        <v>27</v>
      </c>
      <c r="F677" s="266">
        <v>67</v>
      </c>
      <c r="G677" s="266">
        <v>64</v>
      </c>
      <c r="H677" s="266">
        <v>31</v>
      </c>
    </row>
    <row r="678" spans="1:8" s="263" customFormat="1" ht="8.65" customHeight="1" x14ac:dyDescent="0.25">
      <c r="A678" s="263" t="s">
        <v>39</v>
      </c>
      <c r="B678" s="266">
        <v>742</v>
      </c>
      <c r="C678" s="266">
        <v>822</v>
      </c>
      <c r="D678" s="266">
        <v>976</v>
      </c>
      <c r="E678" s="266">
        <v>35</v>
      </c>
      <c r="F678" s="266">
        <v>39</v>
      </c>
      <c r="G678" s="266">
        <v>40</v>
      </c>
      <c r="H678" s="266">
        <v>34</v>
      </c>
    </row>
    <row r="679" spans="1:8" s="263" customFormat="1" ht="8.65" customHeight="1" x14ac:dyDescent="0.25">
      <c r="A679" s="263" t="s">
        <v>40</v>
      </c>
      <c r="B679" s="266">
        <v>4077</v>
      </c>
      <c r="C679" s="266">
        <v>2073</v>
      </c>
      <c r="D679" s="266">
        <v>3017</v>
      </c>
      <c r="E679" s="266">
        <v>85</v>
      </c>
      <c r="F679" s="266">
        <v>180</v>
      </c>
      <c r="G679" s="266">
        <v>164</v>
      </c>
      <c r="H679" s="266">
        <v>40</v>
      </c>
    </row>
    <row r="680" spans="1:8" s="263" customFormat="1" ht="8.65" customHeight="1" x14ac:dyDescent="0.25">
      <c r="A680" s="267" t="s">
        <v>41</v>
      </c>
      <c r="B680" s="268">
        <v>2185</v>
      </c>
      <c r="C680" s="268">
        <v>2954</v>
      </c>
      <c r="D680" s="268">
        <v>2796</v>
      </c>
      <c r="E680" s="268">
        <v>74</v>
      </c>
      <c r="F680" s="268">
        <v>88</v>
      </c>
      <c r="G680" s="268">
        <v>104</v>
      </c>
      <c r="H680" s="268">
        <v>741</v>
      </c>
    </row>
    <row r="681" spans="1:8" s="263" customFormat="1" ht="8.65" customHeight="1" x14ac:dyDescent="0.25">
      <c r="A681" s="263" t="s">
        <v>42</v>
      </c>
      <c r="B681" s="266">
        <v>3512</v>
      </c>
      <c r="C681" s="266">
        <v>3413</v>
      </c>
      <c r="D681" s="266">
        <v>3039</v>
      </c>
      <c r="E681" s="266">
        <v>87</v>
      </c>
      <c r="F681" s="266">
        <v>159</v>
      </c>
      <c r="G681" s="266">
        <v>172</v>
      </c>
      <c r="H681" s="266">
        <v>327</v>
      </c>
    </row>
    <row r="682" spans="1:8" s="263" customFormat="1" ht="8.65" customHeight="1" x14ac:dyDescent="0.25">
      <c r="A682" s="263" t="s">
        <v>43</v>
      </c>
      <c r="B682" s="266">
        <v>879</v>
      </c>
      <c r="C682" s="266">
        <v>741</v>
      </c>
      <c r="D682" s="266">
        <v>978</v>
      </c>
      <c r="E682" s="266">
        <v>20</v>
      </c>
      <c r="F682" s="266">
        <v>40</v>
      </c>
      <c r="G682" s="266">
        <v>49</v>
      </c>
      <c r="H682" s="266">
        <v>20</v>
      </c>
    </row>
    <row r="683" spans="1:8" s="263" customFormat="1" ht="8.65" customHeight="1" x14ac:dyDescent="0.25">
      <c r="A683" s="263" t="s">
        <v>44</v>
      </c>
      <c r="B683" s="266">
        <v>927</v>
      </c>
      <c r="C683" s="266">
        <v>655</v>
      </c>
      <c r="D683" s="266">
        <v>810</v>
      </c>
      <c r="E683" s="266">
        <v>47</v>
      </c>
      <c r="F683" s="266">
        <v>50</v>
      </c>
      <c r="G683" s="266">
        <v>48</v>
      </c>
      <c r="H683" s="266">
        <v>29</v>
      </c>
    </row>
    <row r="684" spans="1:8" s="263" customFormat="1" ht="8.65" customHeight="1" x14ac:dyDescent="0.25">
      <c r="A684" s="267" t="s">
        <v>45</v>
      </c>
      <c r="B684" s="268">
        <v>2421</v>
      </c>
      <c r="C684" s="268">
        <v>1261</v>
      </c>
      <c r="D684" s="268">
        <v>1463</v>
      </c>
      <c r="E684" s="268">
        <v>62</v>
      </c>
      <c r="F684" s="268">
        <v>94</v>
      </c>
      <c r="G684" s="268">
        <v>77</v>
      </c>
      <c r="H684" s="268">
        <v>36</v>
      </c>
    </row>
    <row r="685" spans="1:8" s="263" customFormat="1" ht="8.65" customHeight="1" x14ac:dyDescent="0.25">
      <c r="A685" s="263" t="s">
        <v>46</v>
      </c>
      <c r="B685" s="266">
        <v>2090</v>
      </c>
      <c r="C685" s="266">
        <v>1583</v>
      </c>
      <c r="D685" s="266">
        <v>1815</v>
      </c>
      <c r="E685" s="266">
        <v>57</v>
      </c>
      <c r="F685" s="266">
        <v>89</v>
      </c>
      <c r="G685" s="266">
        <v>132</v>
      </c>
      <c r="H685" s="266">
        <v>66</v>
      </c>
    </row>
    <row r="686" spans="1:8" s="263" customFormat="1" ht="8.65" customHeight="1" x14ac:dyDescent="0.25">
      <c r="A686" s="263" t="s">
        <v>47</v>
      </c>
      <c r="B686" s="266">
        <v>2728</v>
      </c>
      <c r="C686" s="266">
        <v>1403</v>
      </c>
      <c r="D686" s="266">
        <v>2012</v>
      </c>
      <c r="E686" s="266">
        <v>58</v>
      </c>
      <c r="F686" s="266">
        <v>100</v>
      </c>
      <c r="G686" s="266">
        <v>113</v>
      </c>
      <c r="H686" s="266">
        <v>52</v>
      </c>
    </row>
    <row r="687" spans="1:8" s="263" customFormat="1" ht="8.65" customHeight="1" x14ac:dyDescent="0.25">
      <c r="A687" s="263" t="s">
        <v>48</v>
      </c>
      <c r="B687" s="266">
        <v>1550</v>
      </c>
      <c r="C687" s="266">
        <v>1200</v>
      </c>
      <c r="D687" s="266">
        <v>1990</v>
      </c>
      <c r="E687" s="266">
        <v>41</v>
      </c>
      <c r="F687" s="266">
        <v>66</v>
      </c>
      <c r="G687" s="266">
        <v>84</v>
      </c>
      <c r="H687" s="266">
        <v>79</v>
      </c>
    </row>
    <row r="688" spans="1:8" s="263" customFormat="1" ht="8.65" customHeight="1" x14ac:dyDescent="0.25">
      <c r="A688" s="267" t="s">
        <v>49</v>
      </c>
      <c r="B688" s="268">
        <v>3028</v>
      </c>
      <c r="C688" s="268">
        <v>1892</v>
      </c>
      <c r="D688" s="268">
        <v>2268</v>
      </c>
      <c r="E688" s="268">
        <v>70</v>
      </c>
      <c r="F688" s="268">
        <v>113</v>
      </c>
      <c r="G688" s="268">
        <v>134</v>
      </c>
      <c r="H688" s="268">
        <v>111</v>
      </c>
    </row>
    <row r="689" spans="1:8" s="263" customFormat="1" ht="8.65" customHeight="1" x14ac:dyDescent="0.25">
      <c r="A689" s="263" t="s">
        <v>50</v>
      </c>
      <c r="B689" s="266">
        <v>681</v>
      </c>
      <c r="C689" s="266">
        <v>715</v>
      </c>
      <c r="D689" s="266">
        <v>756</v>
      </c>
      <c r="E689" s="266">
        <v>24</v>
      </c>
      <c r="F689" s="266">
        <v>28</v>
      </c>
      <c r="G689" s="266">
        <v>35</v>
      </c>
      <c r="H689" s="266">
        <v>178</v>
      </c>
    </row>
    <row r="690" spans="1:8" s="263" customFormat="1" ht="8.65" customHeight="1" x14ac:dyDescent="0.25">
      <c r="A690" s="263" t="s">
        <v>51</v>
      </c>
      <c r="B690" s="266">
        <v>5042</v>
      </c>
      <c r="C690" s="266">
        <v>3769</v>
      </c>
      <c r="D690" s="266">
        <v>4653</v>
      </c>
      <c r="E690" s="266">
        <v>133</v>
      </c>
      <c r="F690" s="266">
        <v>194</v>
      </c>
      <c r="G690" s="266">
        <v>250</v>
      </c>
      <c r="H690" s="266">
        <v>182</v>
      </c>
    </row>
    <row r="691" spans="1:8" s="263" customFormat="1" ht="8.65" customHeight="1" x14ac:dyDescent="0.25">
      <c r="A691" s="263" t="s">
        <v>52</v>
      </c>
      <c r="B691" s="266">
        <v>1805</v>
      </c>
      <c r="C691" s="266">
        <v>987</v>
      </c>
      <c r="D691" s="266">
        <v>1161</v>
      </c>
      <c r="E691" s="266">
        <v>43</v>
      </c>
      <c r="F691" s="266">
        <v>56</v>
      </c>
      <c r="G691" s="266">
        <v>66</v>
      </c>
      <c r="H691" s="266">
        <v>22</v>
      </c>
    </row>
    <row r="692" spans="1:8" s="263" customFormat="1" ht="8.65" customHeight="1" x14ac:dyDescent="0.25">
      <c r="A692" s="267" t="s">
        <v>53</v>
      </c>
      <c r="B692" s="268">
        <v>999</v>
      </c>
      <c r="C692" s="268">
        <v>1057</v>
      </c>
      <c r="D692" s="268">
        <v>1147</v>
      </c>
      <c r="E692" s="268">
        <v>45</v>
      </c>
      <c r="F692" s="268">
        <v>62</v>
      </c>
      <c r="G692" s="268">
        <v>54</v>
      </c>
      <c r="H692" s="268">
        <v>151</v>
      </c>
    </row>
    <row r="693" spans="1:8" s="263" customFormat="1" ht="9" customHeight="1" x14ac:dyDescent="0.25">
      <c r="B693" s="266"/>
      <c r="C693" s="266"/>
      <c r="D693" s="266"/>
      <c r="E693" s="266"/>
      <c r="F693" s="266"/>
      <c r="G693" s="266"/>
      <c r="H693" s="266"/>
    </row>
    <row r="694" spans="1:8" s="263" customFormat="1" ht="9" customHeight="1" x14ac:dyDescent="0.25">
      <c r="A694" s="261" t="s">
        <v>195</v>
      </c>
      <c r="B694" s="271"/>
      <c r="C694" s="271"/>
      <c r="D694" s="271"/>
      <c r="E694" s="271"/>
      <c r="F694" s="271"/>
      <c r="G694" s="271"/>
      <c r="H694" s="271"/>
    </row>
    <row r="695" spans="1:8" s="263" customFormat="1" ht="9" customHeight="1" x14ac:dyDescent="0.25">
      <c r="A695" s="264" t="s">
        <v>216</v>
      </c>
      <c r="B695" s="262">
        <f>SUM(B697:B728)</f>
        <v>89181</v>
      </c>
      <c r="C695" s="262">
        <f>SUM(C697:C728)</f>
        <v>59871</v>
      </c>
      <c r="D695" s="272">
        <f>SUM(D697:D728)</f>
        <v>74135</v>
      </c>
      <c r="E695" s="262">
        <f>SUM(E697:E728)</f>
        <v>2278</v>
      </c>
      <c r="F695" s="262" t="s">
        <v>22</v>
      </c>
      <c r="G695" s="262">
        <f>SUM(G697:G728)</f>
        <v>4009</v>
      </c>
      <c r="H695" s="262">
        <f>SUM(H697:H728)</f>
        <v>3765</v>
      </c>
    </row>
    <row r="696" spans="1:8" s="263" customFormat="1" ht="3.95" customHeight="1" x14ac:dyDescent="0.25">
      <c r="A696" s="264"/>
      <c r="B696" s="262"/>
      <c r="C696" s="262"/>
      <c r="D696" s="262"/>
      <c r="E696" s="262"/>
      <c r="F696" s="262"/>
      <c r="G696" s="262"/>
      <c r="H696" s="262"/>
    </row>
    <row r="697" spans="1:8" s="263" customFormat="1" ht="8.65" customHeight="1" x14ac:dyDescent="0.25">
      <c r="A697" s="263" t="s">
        <v>23</v>
      </c>
      <c r="B697" s="266">
        <v>874</v>
      </c>
      <c r="C697" s="266">
        <v>506</v>
      </c>
      <c r="D697" s="266">
        <v>831</v>
      </c>
      <c r="E697" s="266">
        <v>18</v>
      </c>
      <c r="F697" s="266" t="s">
        <v>22</v>
      </c>
      <c r="G697" s="266">
        <v>42</v>
      </c>
      <c r="H697" s="266">
        <v>12</v>
      </c>
    </row>
    <row r="698" spans="1:8" s="263" customFormat="1" ht="8.65" customHeight="1" x14ac:dyDescent="0.25">
      <c r="A698" s="263" t="s">
        <v>24</v>
      </c>
      <c r="B698" s="266">
        <v>2193</v>
      </c>
      <c r="C698" s="266">
        <v>1271</v>
      </c>
      <c r="D698" s="266">
        <v>1594</v>
      </c>
      <c r="E698" s="266">
        <v>39</v>
      </c>
      <c r="F698" s="266" t="s">
        <v>22</v>
      </c>
      <c r="G698" s="266">
        <v>97</v>
      </c>
      <c r="H698" s="266">
        <v>50</v>
      </c>
    </row>
    <row r="699" spans="1:8" s="263" customFormat="1" ht="8.65" customHeight="1" x14ac:dyDescent="0.25">
      <c r="A699" s="263" t="s">
        <v>25</v>
      </c>
      <c r="B699" s="266">
        <v>678</v>
      </c>
      <c r="C699" s="266">
        <v>530</v>
      </c>
      <c r="D699" s="266">
        <v>606</v>
      </c>
      <c r="E699" s="266">
        <v>29</v>
      </c>
      <c r="F699" s="266" t="s">
        <v>22</v>
      </c>
      <c r="G699" s="266">
        <v>38</v>
      </c>
      <c r="H699" s="266">
        <v>28</v>
      </c>
    </row>
    <row r="700" spans="1:8" s="263" customFormat="1" ht="8.65" customHeight="1" x14ac:dyDescent="0.25">
      <c r="A700" s="267" t="s">
        <v>26</v>
      </c>
      <c r="B700" s="268">
        <v>939</v>
      </c>
      <c r="C700" s="268">
        <v>618</v>
      </c>
      <c r="D700" s="268">
        <v>761</v>
      </c>
      <c r="E700" s="268">
        <v>28</v>
      </c>
      <c r="F700" s="268" t="s">
        <v>22</v>
      </c>
      <c r="G700" s="268">
        <v>39</v>
      </c>
      <c r="H700" s="268">
        <v>44</v>
      </c>
    </row>
    <row r="701" spans="1:8" s="263" customFormat="1" ht="8.65" customHeight="1" x14ac:dyDescent="0.25">
      <c r="A701" s="263" t="s">
        <v>27</v>
      </c>
      <c r="B701" s="266">
        <v>2686</v>
      </c>
      <c r="C701" s="266">
        <v>1570</v>
      </c>
      <c r="D701" s="266">
        <v>1945</v>
      </c>
      <c r="E701" s="266">
        <v>77</v>
      </c>
      <c r="F701" s="266" t="s">
        <v>22</v>
      </c>
      <c r="G701" s="266">
        <v>132</v>
      </c>
      <c r="H701" s="266">
        <v>56</v>
      </c>
    </row>
    <row r="702" spans="1:8" s="263" customFormat="1" ht="8.65" customHeight="1" x14ac:dyDescent="0.25">
      <c r="A702" s="263" t="s">
        <v>28</v>
      </c>
      <c r="B702" s="266">
        <v>563</v>
      </c>
      <c r="C702" s="266">
        <v>499</v>
      </c>
      <c r="D702" s="266">
        <v>587</v>
      </c>
      <c r="E702" s="266">
        <v>13</v>
      </c>
      <c r="F702" s="266" t="s">
        <v>22</v>
      </c>
      <c r="G702" s="266">
        <v>36</v>
      </c>
      <c r="H702" s="266">
        <v>12</v>
      </c>
    </row>
    <row r="703" spans="1:8" s="263" customFormat="1" ht="8.65" customHeight="1" x14ac:dyDescent="0.25">
      <c r="A703" s="263" t="s">
        <v>29</v>
      </c>
      <c r="B703" s="266">
        <v>2240</v>
      </c>
      <c r="C703" s="266">
        <v>2664</v>
      </c>
      <c r="D703" s="266">
        <v>3010</v>
      </c>
      <c r="E703" s="266">
        <v>103</v>
      </c>
      <c r="F703" s="266" t="s">
        <v>22</v>
      </c>
      <c r="G703" s="266">
        <v>128</v>
      </c>
      <c r="H703" s="266">
        <v>101</v>
      </c>
    </row>
    <row r="704" spans="1:8" s="263" customFormat="1" ht="8.65" customHeight="1" x14ac:dyDescent="0.25">
      <c r="A704" s="267" t="s">
        <v>30</v>
      </c>
      <c r="B704" s="268">
        <v>2800</v>
      </c>
      <c r="C704" s="268">
        <v>1748</v>
      </c>
      <c r="D704" s="268">
        <v>2072</v>
      </c>
      <c r="E704" s="268">
        <v>78</v>
      </c>
      <c r="F704" s="268" t="s">
        <v>22</v>
      </c>
      <c r="G704" s="268">
        <v>113</v>
      </c>
      <c r="H704" s="268">
        <v>81</v>
      </c>
    </row>
    <row r="705" spans="1:8" s="263" customFormat="1" ht="8.65" customHeight="1" x14ac:dyDescent="0.25">
      <c r="A705" s="263" t="s">
        <v>63</v>
      </c>
      <c r="B705" s="266">
        <v>16259</v>
      </c>
      <c r="C705" s="266">
        <v>6463</v>
      </c>
      <c r="D705" s="266">
        <v>9116</v>
      </c>
      <c r="E705" s="266">
        <v>291</v>
      </c>
      <c r="F705" s="266" t="s">
        <v>22</v>
      </c>
      <c r="G705" s="266">
        <v>633</v>
      </c>
      <c r="H705" s="266">
        <v>108</v>
      </c>
    </row>
    <row r="706" spans="1:8" s="263" customFormat="1" ht="8.65" customHeight="1" x14ac:dyDescent="0.25">
      <c r="A706" s="263" t="s">
        <v>31</v>
      </c>
      <c r="B706" s="266">
        <v>1700</v>
      </c>
      <c r="C706" s="266">
        <v>1067</v>
      </c>
      <c r="D706" s="266">
        <v>1301</v>
      </c>
      <c r="E706" s="266">
        <v>66</v>
      </c>
      <c r="F706" s="266" t="s">
        <v>22</v>
      </c>
      <c r="G706" s="266">
        <v>68</v>
      </c>
      <c r="H706" s="266">
        <v>64</v>
      </c>
    </row>
    <row r="707" spans="1:8" s="263" customFormat="1" ht="8.65" customHeight="1" x14ac:dyDescent="0.25">
      <c r="A707" s="263" t="s">
        <v>32</v>
      </c>
      <c r="B707" s="266">
        <v>3186</v>
      </c>
      <c r="C707" s="266">
        <v>2211</v>
      </c>
      <c r="D707" s="266">
        <v>2819</v>
      </c>
      <c r="E707" s="266">
        <v>68</v>
      </c>
      <c r="F707" s="266" t="s">
        <v>22</v>
      </c>
      <c r="G707" s="266">
        <v>172</v>
      </c>
      <c r="H707" s="266">
        <v>242</v>
      </c>
    </row>
    <row r="708" spans="1:8" s="263" customFormat="1" ht="8.65" customHeight="1" x14ac:dyDescent="0.25">
      <c r="A708" s="267" t="s">
        <v>33</v>
      </c>
      <c r="B708" s="268">
        <v>1864</v>
      </c>
      <c r="C708" s="268">
        <v>1742</v>
      </c>
      <c r="D708" s="268">
        <v>2405</v>
      </c>
      <c r="E708" s="268">
        <v>50</v>
      </c>
      <c r="F708" s="268" t="s">
        <v>22</v>
      </c>
      <c r="G708" s="268">
        <v>137</v>
      </c>
      <c r="H708" s="268">
        <v>82</v>
      </c>
    </row>
    <row r="709" spans="1:8" s="263" customFormat="1" ht="8.65" customHeight="1" x14ac:dyDescent="0.25">
      <c r="A709" s="263" t="s">
        <v>34</v>
      </c>
      <c r="B709" s="266">
        <v>1347</v>
      </c>
      <c r="C709" s="266">
        <v>1732</v>
      </c>
      <c r="D709" s="266">
        <v>1946</v>
      </c>
      <c r="E709" s="266">
        <v>56</v>
      </c>
      <c r="F709" s="266" t="s">
        <v>22</v>
      </c>
      <c r="G709" s="266">
        <v>57</v>
      </c>
      <c r="H709" s="266">
        <v>130</v>
      </c>
    </row>
    <row r="710" spans="1:8" s="263" customFormat="1" ht="8.65" customHeight="1" x14ac:dyDescent="0.25">
      <c r="A710" s="263" t="s">
        <v>35</v>
      </c>
      <c r="B710" s="266">
        <v>6435</v>
      </c>
      <c r="C710" s="266">
        <v>3558</v>
      </c>
      <c r="D710" s="266">
        <v>3181</v>
      </c>
      <c r="E710" s="266">
        <v>100</v>
      </c>
      <c r="F710" s="266" t="s">
        <v>22</v>
      </c>
      <c r="G710" s="266">
        <v>249</v>
      </c>
      <c r="H710" s="266">
        <v>308</v>
      </c>
    </row>
    <row r="711" spans="1:8" s="263" customFormat="1" ht="8.65" customHeight="1" x14ac:dyDescent="0.25">
      <c r="A711" s="263" t="s">
        <v>36</v>
      </c>
      <c r="B711" s="266">
        <v>8198</v>
      </c>
      <c r="C711" s="266">
        <v>4966</v>
      </c>
      <c r="D711" s="266">
        <v>7262</v>
      </c>
      <c r="E711" s="266">
        <v>246</v>
      </c>
      <c r="F711" s="266" t="s">
        <v>22</v>
      </c>
      <c r="G711" s="266">
        <v>321</v>
      </c>
      <c r="H711" s="266">
        <v>213</v>
      </c>
    </row>
    <row r="712" spans="1:8" s="263" customFormat="1" ht="8.65" customHeight="1" x14ac:dyDescent="0.25">
      <c r="A712" s="267" t="s">
        <v>37</v>
      </c>
      <c r="B712" s="268">
        <v>2513</v>
      </c>
      <c r="C712" s="268">
        <v>2191</v>
      </c>
      <c r="D712" s="268">
        <v>2787</v>
      </c>
      <c r="E712" s="268">
        <v>76</v>
      </c>
      <c r="F712" s="268" t="s">
        <v>22</v>
      </c>
      <c r="G712" s="268">
        <v>116</v>
      </c>
      <c r="H712" s="268">
        <v>110</v>
      </c>
    </row>
    <row r="713" spans="1:8" s="263" customFormat="1" ht="8.65" customHeight="1" x14ac:dyDescent="0.25">
      <c r="A713" s="263" t="s">
        <v>38</v>
      </c>
      <c r="B713" s="266">
        <v>1063</v>
      </c>
      <c r="C713" s="266">
        <v>939</v>
      </c>
      <c r="D713" s="266">
        <v>1299</v>
      </c>
      <c r="E713" s="266">
        <v>26</v>
      </c>
      <c r="F713" s="266" t="s">
        <v>22</v>
      </c>
      <c r="G713" s="266">
        <v>62</v>
      </c>
      <c r="H713" s="266">
        <v>32</v>
      </c>
    </row>
    <row r="714" spans="1:8" s="263" customFormat="1" ht="8.65" customHeight="1" x14ac:dyDescent="0.25">
      <c r="A714" s="263" t="s">
        <v>39</v>
      </c>
      <c r="B714" s="266">
        <v>732</v>
      </c>
      <c r="C714" s="266">
        <v>821</v>
      </c>
      <c r="D714" s="266">
        <v>995</v>
      </c>
      <c r="E714" s="266">
        <v>37</v>
      </c>
      <c r="F714" s="266" t="s">
        <v>22</v>
      </c>
      <c r="G714" s="266">
        <v>39</v>
      </c>
      <c r="H714" s="266">
        <v>33</v>
      </c>
    </row>
    <row r="715" spans="1:8" s="263" customFormat="1" ht="8.65" customHeight="1" x14ac:dyDescent="0.25">
      <c r="A715" s="263" t="s">
        <v>40</v>
      </c>
      <c r="B715" s="266">
        <v>4172</v>
      </c>
      <c r="C715" s="266">
        <v>2415</v>
      </c>
      <c r="D715" s="266">
        <v>3117</v>
      </c>
      <c r="E715" s="266">
        <v>87</v>
      </c>
      <c r="F715" s="266" t="s">
        <v>22</v>
      </c>
      <c r="G715" s="266">
        <v>174</v>
      </c>
      <c r="H715" s="266">
        <v>41</v>
      </c>
    </row>
    <row r="716" spans="1:8" s="263" customFormat="1" ht="8.65" customHeight="1" x14ac:dyDescent="0.25">
      <c r="A716" s="267" t="s">
        <v>41</v>
      </c>
      <c r="B716" s="268">
        <v>2263</v>
      </c>
      <c r="C716" s="268">
        <v>3272</v>
      </c>
      <c r="D716" s="268">
        <v>2870</v>
      </c>
      <c r="E716" s="268">
        <v>75</v>
      </c>
      <c r="F716" s="268" t="s">
        <v>22</v>
      </c>
      <c r="G716" s="268">
        <v>105</v>
      </c>
      <c r="H716" s="268">
        <v>754</v>
      </c>
    </row>
    <row r="717" spans="1:8" s="263" customFormat="1" ht="8.65" customHeight="1" x14ac:dyDescent="0.25">
      <c r="A717" s="263" t="s">
        <v>42</v>
      </c>
      <c r="B717" s="266">
        <v>3997</v>
      </c>
      <c r="C717" s="266">
        <v>3894</v>
      </c>
      <c r="D717" s="266">
        <v>3610</v>
      </c>
      <c r="E717" s="266">
        <v>96</v>
      </c>
      <c r="F717" s="266" t="s">
        <v>22</v>
      </c>
      <c r="G717" s="266">
        <v>199</v>
      </c>
      <c r="H717" s="266">
        <v>382</v>
      </c>
    </row>
    <row r="718" spans="1:8" s="263" customFormat="1" ht="8.65" customHeight="1" x14ac:dyDescent="0.25">
      <c r="A718" s="263" t="s">
        <v>43</v>
      </c>
      <c r="B718" s="266">
        <v>862</v>
      </c>
      <c r="C718" s="266">
        <v>769</v>
      </c>
      <c r="D718" s="266">
        <v>1023</v>
      </c>
      <c r="E718" s="266">
        <v>20</v>
      </c>
      <c r="F718" s="266" t="s">
        <v>22</v>
      </c>
      <c r="G718" s="266">
        <v>47</v>
      </c>
      <c r="H718" s="266">
        <v>20</v>
      </c>
    </row>
    <row r="719" spans="1:8" s="263" customFormat="1" ht="8.65" customHeight="1" x14ac:dyDescent="0.25">
      <c r="A719" s="263" t="s">
        <v>44</v>
      </c>
      <c r="B719" s="266">
        <v>911</v>
      </c>
      <c r="C719" s="266">
        <v>628</v>
      </c>
      <c r="D719" s="266">
        <v>857</v>
      </c>
      <c r="E719" s="266">
        <v>51</v>
      </c>
      <c r="F719" s="266" t="s">
        <v>22</v>
      </c>
      <c r="G719" s="266">
        <v>44</v>
      </c>
      <c r="H719" s="266">
        <v>29</v>
      </c>
    </row>
    <row r="720" spans="1:8" s="263" customFormat="1" ht="8.65" customHeight="1" x14ac:dyDescent="0.25">
      <c r="A720" s="267" t="s">
        <v>45</v>
      </c>
      <c r="B720" s="268">
        <v>2416</v>
      </c>
      <c r="C720" s="268">
        <v>1210</v>
      </c>
      <c r="D720" s="268">
        <v>1540</v>
      </c>
      <c r="E720" s="268">
        <v>60</v>
      </c>
      <c r="F720" s="268" t="s">
        <v>22</v>
      </c>
      <c r="G720" s="268">
        <v>75</v>
      </c>
      <c r="H720" s="268">
        <v>33</v>
      </c>
    </row>
    <row r="721" spans="1:8" s="263" customFormat="1" ht="8.65" customHeight="1" x14ac:dyDescent="0.25">
      <c r="A721" s="263" t="s">
        <v>46</v>
      </c>
      <c r="B721" s="266">
        <v>2207</v>
      </c>
      <c r="C721" s="266">
        <v>1545</v>
      </c>
      <c r="D721" s="266">
        <v>1910</v>
      </c>
      <c r="E721" s="266">
        <v>61</v>
      </c>
      <c r="F721" s="266" t="s">
        <v>22</v>
      </c>
      <c r="G721" s="266">
        <v>132</v>
      </c>
      <c r="H721" s="266">
        <v>67</v>
      </c>
    </row>
    <row r="722" spans="1:8" s="263" customFormat="1" ht="8.65" customHeight="1" x14ac:dyDescent="0.25">
      <c r="A722" s="263" t="s">
        <v>47</v>
      </c>
      <c r="B722" s="266">
        <v>2901</v>
      </c>
      <c r="C722" s="266">
        <v>1436</v>
      </c>
      <c r="D722" s="266">
        <v>2121</v>
      </c>
      <c r="E722" s="266">
        <v>62</v>
      </c>
      <c r="F722" s="266" t="s">
        <v>22</v>
      </c>
      <c r="G722" s="266">
        <v>123</v>
      </c>
      <c r="H722" s="266">
        <v>54</v>
      </c>
    </row>
    <row r="723" spans="1:8" s="263" customFormat="1" ht="8.65" customHeight="1" x14ac:dyDescent="0.25">
      <c r="A723" s="263" t="s">
        <v>48</v>
      </c>
      <c r="B723" s="266">
        <v>1591</v>
      </c>
      <c r="C723" s="266">
        <v>1271</v>
      </c>
      <c r="D723" s="266">
        <v>2130</v>
      </c>
      <c r="E723" s="266">
        <v>41</v>
      </c>
      <c r="F723" s="266" t="s">
        <v>22</v>
      </c>
      <c r="G723" s="266">
        <v>85</v>
      </c>
      <c r="H723" s="266">
        <v>60</v>
      </c>
    </row>
    <row r="724" spans="1:8" s="263" customFormat="1" ht="8.65" customHeight="1" x14ac:dyDescent="0.25">
      <c r="A724" s="267" t="s">
        <v>49</v>
      </c>
      <c r="B724" s="268">
        <v>3051</v>
      </c>
      <c r="C724" s="268">
        <v>1855</v>
      </c>
      <c r="D724" s="268">
        <v>2358</v>
      </c>
      <c r="E724" s="268">
        <v>71</v>
      </c>
      <c r="F724" s="268" t="s">
        <v>22</v>
      </c>
      <c r="G724" s="268">
        <v>134</v>
      </c>
      <c r="H724" s="268">
        <v>74</v>
      </c>
    </row>
    <row r="725" spans="1:8" s="263" customFormat="1" ht="8.65" customHeight="1" x14ac:dyDescent="0.25">
      <c r="A725" s="263" t="s">
        <v>50</v>
      </c>
      <c r="B725" s="266">
        <v>681</v>
      </c>
      <c r="C725" s="266">
        <v>721</v>
      </c>
      <c r="D725" s="266">
        <v>797</v>
      </c>
      <c r="E725" s="266">
        <v>25</v>
      </c>
      <c r="F725" s="266" t="s">
        <v>22</v>
      </c>
      <c r="G725" s="266">
        <v>35</v>
      </c>
      <c r="H725" s="266">
        <v>180</v>
      </c>
    </row>
    <row r="726" spans="1:8" s="263" customFormat="1" ht="8.65" customHeight="1" x14ac:dyDescent="0.25">
      <c r="A726" s="263" t="s">
        <v>51</v>
      </c>
      <c r="B726" s="266">
        <v>5089</v>
      </c>
      <c r="C726" s="266">
        <v>3692</v>
      </c>
      <c r="D726" s="266">
        <v>4872</v>
      </c>
      <c r="E726" s="266">
        <v>138</v>
      </c>
      <c r="F726" s="266" t="s">
        <v>22</v>
      </c>
      <c r="G726" s="266">
        <v>256</v>
      </c>
      <c r="H726" s="266">
        <v>181</v>
      </c>
    </row>
    <row r="727" spans="1:8" s="263" customFormat="1" ht="8.65" customHeight="1" x14ac:dyDescent="0.25">
      <c r="A727" s="263" t="s">
        <v>52</v>
      </c>
      <c r="B727" s="266">
        <v>1771</v>
      </c>
      <c r="C727" s="266">
        <v>1014</v>
      </c>
      <c r="D727" s="266">
        <v>1260</v>
      </c>
      <c r="E727" s="266">
        <v>42</v>
      </c>
      <c r="F727" s="266" t="s">
        <v>22</v>
      </c>
      <c r="G727" s="266">
        <v>66</v>
      </c>
      <c r="H727" s="266">
        <v>21</v>
      </c>
    </row>
    <row r="728" spans="1:8" s="263" customFormat="1" ht="8.65" customHeight="1" x14ac:dyDescent="0.25">
      <c r="A728" s="267" t="s">
        <v>53</v>
      </c>
      <c r="B728" s="268">
        <v>999</v>
      </c>
      <c r="C728" s="268">
        <v>1053</v>
      </c>
      <c r="D728" s="268">
        <v>1153</v>
      </c>
      <c r="E728" s="268">
        <v>48</v>
      </c>
      <c r="F728" s="268" t="s">
        <v>22</v>
      </c>
      <c r="G728" s="268">
        <v>55</v>
      </c>
      <c r="H728" s="268">
        <v>163</v>
      </c>
    </row>
    <row r="729" spans="1:8" s="263" customFormat="1" ht="9" customHeight="1" x14ac:dyDescent="0.25">
      <c r="B729" s="266"/>
      <c r="C729" s="266"/>
      <c r="D729" s="266"/>
      <c r="E729" s="266"/>
      <c r="F729" s="266"/>
      <c r="G729" s="266"/>
      <c r="H729" s="266"/>
    </row>
    <row r="730" spans="1:8" s="263" customFormat="1" ht="9" customHeight="1" x14ac:dyDescent="0.25">
      <c r="A730" s="261">
        <v>2015</v>
      </c>
      <c r="B730" s="271"/>
      <c r="C730" s="271"/>
      <c r="D730" s="271"/>
      <c r="E730" s="271"/>
      <c r="F730" s="271"/>
      <c r="G730" s="271"/>
      <c r="H730" s="271"/>
    </row>
    <row r="731" spans="1:8" s="263" customFormat="1" ht="9" customHeight="1" x14ac:dyDescent="0.25">
      <c r="A731" s="264" t="s">
        <v>216</v>
      </c>
      <c r="B731" s="262">
        <f t="shared" ref="B731:H731" si="15">SUM(B733:B764)</f>
        <v>87580</v>
      </c>
      <c r="C731" s="262">
        <f t="shared" si="15"/>
        <v>51912</v>
      </c>
      <c r="D731" s="262">
        <f t="shared" si="15"/>
        <v>71215</v>
      </c>
      <c r="E731" s="262">
        <f t="shared" si="15"/>
        <v>2357</v>
      </c>
      <c r="F731" s="262">
        <f t="shared" si="15"/>
        <v>3285</v>
      </c>
      <c r="G731" s="262">
        <f t="shared" si="15"/>
        <v>4072</v>
      </c>
      <c r="H731" s="262">
        <f t="shared" si="15"/>
        <v>3520</v>
      </c>
    </row>
    <row r="732" spans="1:8" s="263" customFormat="1" ht="3.95" customHeight="1" x14ac:dyDescent="0.25">
      <c r="A732" s="264"/>
      <c r="B732" s="262"/>
      <c r="C732" s="262"/>
      <c r="D732" s="262"/>
      <c r="E732" s="262"/>
      <c r="F732" s="262"/>
      <c r="G732" s="262"/>
      <c r="H732" s="262"/>
    </row>
    <row r="733" spans="1:8" s="263" customFormat="1" ht="8.65" customHeight="1" x14ac:dyDescent="0.25">
      <c r="A733" s="263" t="s">
        <v>23</v>
      </c>
      <c r="B733" s="266">
        <v>875</v>
      </c>
      <c r="C733" s="266">
        <v>486</v>
      </c>
      <c r="D733" s="266">
        <v>797</v>
      </c>
      <c r="E733" s="266">
        <v>18</v>
      </c>
      <c r="F733" s="266">
        <v>37</v>
      </c>
      <c r="G733" s="266">
        <v>41</v>
      </c>
      <c r="H733" s="266">
        <v>12</v>
      </c>
    </row>
    <row r="734" spans="1:8" s="263" customFormat="1" ht="8.65" customHeight="1" x14ac:dyDescent="0.25">
      <c r="A734" s="263" t="s">
        <v>24</v>
      </c>
      <c r="B734" s="266">
        <v>2152</v>
      </c>
      <c r="C734" s="266">
        <v>1076</v>
      </c>
      <c r="D734" s="266">
        <v>1528</v>
      </c>
      <c r="E734" s="266">
        <v>39</v>
      </c>
      <c r="F734" s="266">
        <v>82</v>
      </c>
      <c r="G734" s="266">
        <v>105</v>
      </c>
      <c r="H734" s="266">
        <v>42</v>
      </c>
    </row>
    <row r="735" spans="1:8" s="263" customFormat="1" ht="8.65" customHeight="1" x14ac:dyDescent="0.25">
      <c r="A735" s="263" t="s">
        <v>25</v>
      </c>
      <c r="B735" s="266">
        <v>679</v>
      </c>
      <c r="C735" s="266">
        <v>462</v>
      </c>
      <c r="D735" s="266">
        <v>578</v>
      </c>
      <c r="E735" s="266">
        <v>28</v>
      </c>
      <c r="F735" s="266">
        <v>46</v>
      </c>
      <c r="G735" s="266">
        <v>38</v>
      </c>
      <c r="H735" s="266">
        <v>31</v>
      </c>
    </row>
    <row r="736" spans="1:8" s="263" customFormat="1" ht="8.65" customHeight="1" x14ac:dyDescent="0.25">
      <c r="A736" s="267" t="s">
        <v>26</v>
      </c>
      <c r="B736" s="268">
        <v>779</v>
      </c>
      <c r="C736" s="268">
        <v>537</v>
      </c>
      <c r="D736" s="268">
        <v>708</v>
      </c>
      <c r="E736" s="268">
        <v>27</v>
      </c>
      <c r="F736" s="268">
        <v>39</v>
      </c>
      <c r="G736" s="268">
        <v>38</v>
      </c>
      <c r="H736" s="268">
        <v>43</v>
      </c>
    </row>
    <row r="737" spans="1:8" s="263" customFormat="1" ht="8.65" customHeight="1" x14ac:dyDescent="0.25">
      <c r="A737" s="263" t="s">
        <v>27</v>
      </c>
      <c r="B737" s="266">
        <v>2665</v>
      </c>
      <c r="C737" s="266">
        <v>1253</v>
      </c>
      <c r="D737" s="266">
        <v>1871</v>
      </c>
      <c r="E737" s="266">
        <v>78</v>
      </c>
      <c r="F737" s="266">
        <v>133</v>
      </c>
      <c r="G737" s="266">
        <v>143</v>
      </c>
      <c r="H737" s="266">
        <v>54</v>
      </c>
    </row>
    <row r="738" spans="1:8" s="263" customFormat="1" ht="8.65" customHeight="1" x14ac:dyDescent="0.25">
      <c r="A738" s="263" t="s">
        <v>28</v>
      </c>
      <c r="B738" s="266">
        <v>568</v>
      </c>
      <c r="C738" s="266">
        <v>534</v>
      </c>
      <c r="D738" s="266">
        <v>562</v>
      </c>
      <c r="E738" s="266">
        <v>13</v>
      </c>
      <c r="F738" s="266">
        <v>27</v>
      </c>
      <c r="G738" s="266">
        <v>31</v>
      </c>
      <c r="H738" s="266">
        <v>12</v>
      </c>
    </row>
    <row r="739" spans="1:8" s="263" customFormat="1" ht="8.65" customHeight="1" x14ac:dyDescent="0.25">
      <c r="A739" s="263" t="s">
        <v>29</v>
      </c>
      <c r="B739" s="266">
        <v>2193</v>
      </c>
      <c r="C739" s="266">
        <v>1629</v>
      </c>
      <c r="D739" s="266">
        <v>2904</v>
      </c>
      <c r="E739" s="266">
        <v>107</v>
      </c>
      <c r="F739" s="266">
        <v>84</v>
      </c>
      <c r="G739" s="266">
        <v>133</v>
      </c>
      <c r="H739" s="266">
        <v>100</v>
      </c>
    </row>
    <row r="740" spans="1:8" s="263" customFormat="1" ht="8.65" customHeight="1" x14ac:dyDescent="0.25">
      <c r="A740" s="267" t="s">
        <v>30</v>
      </c>
      <c r="B740" s="268">
        <v>2873</v>
      </c>
      <c r="C740" s="268">
        <v>1637</v>
      </c>
      <c r="D740" s="268">
        <v>1992</v>
      </c>
      <c r="E740" s="268">
        <v>81</v>
      </c>
      <c r="F740" s="268">
        <v>115</v>
      </c>
      <c r="G740" s="268">
        <v>121</v>
      </c>
      <c r="H740" s="268">
        <v>95</v>
      </c>
    </row>
    <row r="741" spans="1:8" s="263" customFormat="1" ht="8.65" customHeight="1" x14ac:dyDescent="0.25">
      <c r="A741" s="263" t="s">
        <v>63</v>
      </c>
      <c r="B741" s="266">
        <v>15798</v>
      </c>
      <c r="C741" s="266">
        <v>5795</v>
      </c>
      <c r="D741" s="266">
        <v>8770</v>
      </c>
      <c r="E741" s="266">
        <v>286</v>
      </c>
      <c r="F741" s="266">
        <v>501</v>
      </c>
      <c r="G741" s="266">
        <v>642</v>
      </c>
      <c r="H741" s="266">
        <v>109</v>
      </c>
    </row>
    <row r="742" spans="1:8" s="263" customFormat="1" ht="8.65" customHeight="1" x14ac:dyDescent="0.25">
      <c r="A742" s="263" t="s">
        <v>31</v>
      </c>
      <c r="B742" s="266">
        <v>1537</v>
      </c>
      <c r="C742" s="266">
        <v>696</v>
      </c>
      <c r="D742" s="266">
        <v>1240</v>
      </c>
      <c r="E742" s="266">
        <v>67</v>
      </c>
      <c r="F742" s="266">
        <v>78</v>
      </c>
      <c r="G742" s="266">
        <v>63</v>
      </c>
      <c r="H742" s="266">
        <v>43</v>
      </c>
    </row>
    <row r="743" spans="1:8" s="263" customFormat="1" ht="8.65" customHeight="1" x14ac:dyDescent="0.25">
      <c r="A743" s="263" t="s">
        <v>32</v>
      </c>
      <c r="B743" s="266">
        <v>3346</v>
      </c>
      <c r="C743" s="266">
        <v>2138</v>
      </c>
      <c r="D743" s="266">
        <v>2696</v>
      </c>
      <c r="E743" s="266">
        <v>69</v>
      </c>
      <c r="F743" s="266">
        <v>140</v>
      </c>
      <c r="G743" s="266">
        <v>170</v>
      </c>
      <c r="H743" s="266">
        <v>112</v>
      </c>
    </row>
    <row r="744" spans="1:8" s="263" customFormat="1" ht="8.65" customHeight="1" x14ac:dyDescent="0.25">
      <c r="A744" s="267" t="s">
        <v>33</v>
      </c>
      <c r="B744" s="268">
        <v>1911</v>
      </c>
      <c r="C744" s="268">
        <v>2109</v>
      </c>
      <c r="D744" s="268">
        <v>2334</v>
      </c>
      <c r="E744" s="268">
        <v>70</v>
      </c>
      <c r="F744" s="268">
        <v>61</v>
      </c>
      <c r="G744" s="268">
        <v>133</v>
      </c>
      <c r="H744" s="268">
        <v>67</v>
      </c>
    </row>
    <row r="745" spans="1:8" s="263" customFormat="1" ht="8.65" customHeight="1" x14ac:dyDescent="0.25">
      <c r="A745" s="263" t="s">
        <v>34</v>
      </c>
      <c r="B745" s="266">
        <v>1349</v>
      </c>
      <c r="C745" s="266">
        <v>1330</v>
      </c>
      <c r="D745" s="266">
        <v>1870</v>
      </c>
      <c r="E745" s="266">
        <v>55</v>
      </c>
      <c r="F745" s="266">
        <v>59</v>
      </c>
      <c r="G745" s="266">
        <v>62</v>
      </c>
      <c r="H745" s="266">
        <v>108</v>
      </c>
    </row>
    <row r="746" spans="1:8" s="263" customFormat="1" ht="8.65" customHeight="1" x14ac:dyDescent="0.25">
      <c r="A746" s="263" t="s">
        <v>35</v>
      </c>
      <c r="B746" s="266">
        <v>5965</v>
      </c>
      <c r="C746" s="266">
        <v>3182</v>
      </c>
      <c r="D746" s="266">
        <v>3025</v>
      </c>
      <c r="E746" s="266">
        <v>101</v>
      </c>
      <c r="F746" s="266">
        <v>168</v>
      </c>
      <c r="G746" s="266">
        <v>259</v>
      </c>
      <c r="H746" s="266">
        <v>227</v>
      </c>
    </row>
    <row r="747" spans="1:8" s="263" customFormat="1" ht="8.65" customHeight="1" x14ac:dyDescent="0.25">
      <c r="A747" s="263" t="s">
        <v>36</v>
      </c>
      <c r="B747" s="266">
        <v>8311</v>
      </c>
      <c r="C747" s="266">
        <v>4566</v>
      </c>
      <c r="D747" s="266">
        <v>7003</v>
      </c>
      <c r="E747" s="266">
        <v>261</v>
      </c>
      <c r="F747" s="266">
        <v>278</v>
      </c>
      <c r="G747" s="266">
        <v>315</v>
      </c>
      <c r="H747" s="266">
        <v>220</v>
      </c>
    </row>
    <row r="748" spans="1:8" s="263" customFormat="1" ht="8.65" customHeight="1" x14ac:dyDescent="0.25">
      <c r="A748" s="267" t="s">
        <v>37</v>
      </c>
      <c r="B748" s="268">
        <v>2504</v>
      </c>
      <c r="C748" s="268">
        <v>1508</v>
      </c>
      <c r="D748" s="268">
        <v>2687</v>
      </c>
      <c r="E748" s="268">
        <v>76</v>
      </c>
      <c r="F748" s="268">
        <v>88</v>
      </c>
      <c r="G748" s="268">
        <v>123</v>
      </c>
      <c r="H748" s="268">
        <v>110</v>
      </c>
    </row>
    <row r="749" spans="1:8" s="263" customFormat="1" ht="8.65" customHeight="1" x14ac:dyDescent="0.25">
      <c r="A749" s="263" t="s">
        <v>38</v>
      </c>
      <c r="B749" s="266">
        <v>1109</v>
      </c>
      <c r="C749" s="266">
        <v>883</v>
      </c>
      <c r="D749" s="266">
        <v>1247</v>
      </c>
      <c r="E749" s="266">
        <v>27</v>
      </c>
      <c r="F749" s="266">
        <v>57</v>
      </c>
      <c r="G749" s="266">
        <v>56</v>
      </c>
      <c r="H749" s="266">
        <v>30</v>
      </c>
    </row>
    <row r="750" spans="1:8" s="263" customFormat="1" ht="8.65" customHeight="1" x14ac:dyDescent="0.25">
      <c r="A750" s="263" t="s">
        <v>39</v>
      </c>
      <c r="B750" s="266">
        <v>718</v>
      </c>
      <c r="C750" s="266">
        <v>697</v>
      </c>
      <c r="D750" s="266">
        <v>957</v>
      </c>
      <c r="E750" s="266">
        <v>39</v>
      </c>
      <c r="F750" s="266">
        <v>38</v>
      </c>
      <c r="G750" s="266">
        <v>39</v>
      </c>
      <c r="H750" s="266">
        <v>35</v>
      </c>
    </row>
    <row r="751" spans="1:8" s="263" customFormat="1" ht="8.65" customHeight="1" x14ac:dyDescent="0.25">
      <c r="A751" s="263" t="s">
        <v>40</v>
      </c>
      <c r="B751" s="266">
        <v>4153</v>
      </c>
      <c r="C751" s="266">
        <v>2174</v>
      </c>
      <c r="D751" s="266">
        <v>3042</v>
      </c>
      <c r="E751" s="266">
        <v>87</v>
      </c>
      <c r="F751" s="266">
        <v>148</v>
      </c>
      <c r="G751" s="266">
        <v>167</v>
      </c>
      <c r="H751" s="266">
        <v>42</v>
      </c>
    </row>
    <row r="752" spans="1:8" s="263" customFormat="1" ht="8.65" customHeight="1" x14ac:dyDescent="0.25">
      <c r="A752" s="267" t="s">
        <v>41</v>
      </c>
      <c r="B752" s="268">
        <v>2199</v>
      </c>
      <c r="C752" s="268">
        <v>2848</v>
      </c>
      <c r="D752" s="268">
        <v>2769</v>
      </c>
      <c r="E752" s="268">
        <v>75</v>
      </c>
      <c r="F752" s="268">
        <v>80</v>
      </c>
      <c r="G752" s="268">
        <v>104</v>
      </c>
      <c r="H752" s="268">
        <v>760</v>
      </c>
    </row>
    <row r="753" spans="1:9" s="263" customFormat="1" ht="8.65" customHeight="1" x14ac:dyDescent="0.25">
      <c r="A753" s="263" t="s">
        <v>42</v>
      </c>
      <c r="B753" s="266">
        <v>3966</v>
      </c>
      <c r="C753" s="266">
        <v>3459</v>
      </c>
      <c r="D753" s="266">
        <v>3447</v>
      </c>
      <c r="E753" s="266">
        <v>117</v>
      </c>
      <c r="F753" s="266">
        <v>174</v>
      </c>
      <c r="G753" s="266">
        <v>210</v>
      </c>
      <c r="H753" s="266">
        <v>422</v>
      </c>
    </row>
    <row r="754" spans="1:9" s="263" customFormat="1" ht="8.65" customHeight="1" x14ac:dyDescent="0.25">
      <c r="A754" s="263" t="s">
        <v>43</v>
      </c>
      <c r="B754" s="266">
        <v>858</v>
      </c>
      <c r="C754" s="266">
        <v>757</v>
      </c>
      <c r="D754" s="266">
        <v>987</v>
      </c>
      <c r="E754" s="266">
        <v>20</v>
      </c>
      <c r="F754" s="266">
        <v>37</v>
      </c>
      <c r="G754" s="266">
        <v>49</v>
      </c>
      <c r="H754" s="266">
        <v>19</v>
      </c>
    </row>
    <row r="755" spans="1:9" s="263" customFormat="1" ht="8.65" customHeight="1" x14ac:dyDescent="0.25">
      <c r="A755" s="263" t="s">
        <v>44</v>
      </c>
      <c r="B755" s="266">
        <v>909</v>
      </c>
      <c r="C755" s="266">
        <v>583</v>
      </c>
      <c r="D755" s="266">
        <v>813</v>
      </c>
      <c r="E755" s="266">
        <v>52</v>
      </c>
      <c r="F755" s="266">
        <v>48</v>
      </c>
      <c r="G755" s="266">
        <v>44</v>
      </c>
      <c r="H755" s="266">
        <v>28</v>
      </c>
    </row>
    <row r="756" spans="1:9" s="263" customFormat="1" ht="8.65" customHeight="1" x14ac:dyDescent="0.25">
      <c r="A756" s="267" t="s">
        <v>45</v>
      </c>
      <c r="B756" s="268">
        <v>1860</v>
      </c>
      <c r="C756" s="268">
        <v>979</v>
      </c>
      <c r="D756" s="268">
        <v>1482</v>
      </c>
      <c r="E756" s="268">
        <v>65</v>
      </c>
      <c r="F756" s="268">
        <v>82</v>
      </c>
      <c r="G756" s="268">
        <v>77</v>
      </c>
      <c r="H756" s="268">
        <v>37</v>
      </c>
    </row>
    <row r="757" spans="1:9" s="263" customFormat="1" ht="8.65" customHeight="1" x14ac:dyDescent="0.25">
      <c r="A757" s="263" t="s">
        <v>46</v>
      </c>
      <c r="B757" s="266">
        <v>2220</v>
      </c>
      <c r="C757" s="266">
        <v>1182</v>
      </c>
      <c r="D757" s="266">
        <v>1824</v>
      </c>
      <c r="E757" s="266">
        <v>63</v>
      </c>
      <c r="F757" s="266">
        <v>83</v>
      </c>
      <c r="G757" s="266">
        <v>125</v>
      </c>
      <c r="H757" s="266">
        <v>61</v>
      </c>
    </row>
    <row r="758" spans="1:9" s="263" customFormat="1" ht="8.65" customHeight="1" x14ac:dyDescent="0.25">
      <c r="A758" s="263" t="s">
        <v>47</v>
      </c>
      <c r="B758" s="266">
        <v>2846</v>
      </c>
      <c r="C758" s="266">
        <v>1339</v>
      </c>
      <c r="D758" s="266">
        <v>2040</v>
      </c>
      <c r="E758" s="266">
        <v>62</v>
      </c>
      <c r="F758" s="266">
        <v>92</v>
      </c>
      <c r="G758" s="266">
        <v>134</v>
      </c>
      <c r="H758" s="266">
        <v>38</v>
      </c>
    </row>
    <row r="759" spans="1:9" s="263" customFormat="1" ht="8.65" customHeight="1" x14ac:dyDescent="0.25">
      <c r="A759" s="263" t="s">
        <v>48</v>
      </c>
      <c r="B759" s="266">
        <v>1579</v>
      </c>
      <c r="C759" s="266">
        <v>1336</v>
      </c>
      <c r="D759" s="266">
        <v>2051</v>
      </c>
      <c r="E759" s="266">
        <v>43</v>
      </c>
      <c r="F759" s="266">
        <v>59</v>
      </c>
      <c r="G759" s="266">
        <v>91</v>
      </c>
      <c r="H759" s="266">
        <v>40</v>
      </c>
    </row>
    <row r="760" spans="1:9" s="263" customFormat="1" ht="8.65" customHeight="1" x14ac:dyDescent="0.25">
      <c r="A760" s="267" t="s">
        <v>49</v>
      </c>
      <c r="B760" s="268">
        <v>3047</v>
      </c>
      <c r="C760" s="268">
        <v>1543</v>
      </c>
      <c r="D760" s="268">
        <v>2250</v>
      </c>
      <c r="E760" s="268">
        <v>74</v>
      </c>
      <c r="F760" s="268">
        <v>109</v>
      </c>
      <c r="G760" s="268">
        <v>134</v>
      </c>
      <c r="H760" s="268">
        <v>74</v>
      </c>
    </row>
    <row r="761" spans="1:9" s="263" customFormat="1" ht="8.65" customHeight="1" x14ac:dyDescent="0.25">
      <c r="A761" s="263" t="s">
        <v>50</v>
      </c>
      <c r="B761" s="266">
        <v>687</v>
      </c>
      <c r="C761" s="266">
        <v>699</v>
      </c>
      <c r="D761" s="266">
        <v>759</v>
      </c>
      <c r="E761" s="266">
        <v>26</v>
      </c>
      <c r="F761" s="266">
        <v>31</v>
      </c>
      <c r="G761" s="266">
        <v>36</v>
      </c>
      <c r="H761" s="266">
        <v>181</v>
      </c>
    </row>
    <row r="762" spans="1:9" s="263" customFormat="1" ht="8.65" customHeight="1" x14ac:dyDescent="0.25">
      <c r="A762" s="263" t="s">
        <v>51</v>
      </c>
      <c r="B762" s="266">
        <v>5064</v>
      </c>
      <c r="C762" s="266">
        <v>2607</v>
      </c>
      <c r="D762" s="266">
        <v>4669</v>
      </c>
      <c r="E762" s="266">
        <v>142</v>
      </c>
      <c r="F762" s="266">
        <v>199</v>
      </c>
      <c r="G762" s="266">
        <v>263</v>
      </c>
      <c r="H762" s="266">
        <v>182</v>
      </c>
    </row>
    <row r="763" spans="1:9" s="263" customFormat="1" ht="8.65" customHeight="1" x14ac:dyDescent="0.25">
      <c r="A763" s="263" t="s">
        <v>52</v>
      </c>
      <c r="B763" s="266">
        <v>1861</v>
      </c>
      <c r="C763" s="266">
        <v>1074</v>
      </c>
      <c r="D763" s="266">
        <v>1215</v>
      </c>
      <c r="E763" s="266">
        <v>42</v>
      </c>
      <c r="F763" s="266">
        <v>50</v>
      </c>
      <c r="G763" s="266">
        <v>73</v>
      </c>
      <c r="H763" s="266">
        <v>23</v>
      </c>
    </row>
    <row r="764" spans="1:9" s="263" customFormat="1" ht="8.65" customHeight="1" x14ac:dyDescent="0.25">
      <c r="A764" s="267" t="s">
        <v>53</v>
      </c>
      <c r="B764" s="268">
        <v>999</v>
      </c>
      <c r="C764" s="268">
        <v>814</v>
      </c>
      <c r="D764" s="268">
        <v>1098</v>
      </c>
      <c r="E764" s="268">
        <v>47</v>
      </c>
      <c r="F764" s="268">
        <v>62</v>
      </c>
      <c r="G764" s="268">
        <v>53</v>
      </c>
      <c r="H764" s="268">
        <v>163</v>
      </c>
    </row>
    <row r="765" spans="1:9" s="263" customFormat="1" ht="9" customHeight="1" x14ac:dyDescent="0.25">
      <c r="B765" s="266"/>
      <c r="C765" s="266"/>
      <c r="D765" s="266"/>
      <c r="E765" s="266"/>
      <c r="F765" s="266"/>
      <c r="G765" s="266"/>
      <c r="H765" s="266"/>
    </row>
    <row r="766" spans="1:9" s="263" customFormat="1" ht="9" customHeight="1" x14ac:dyDescent="0.25">
      <c r="A766" s="261">
        <v>2016</v>
      </c>
      <c r="B766" s="271"/>
      <c r="C766" s="271"/>
      <c r="D766" s="271"/>
      <c r="E766" s="271"/>
      <c r="F766" s="271"/>
      <c r="G766" s="271"/>
      <c r="H766" s="271"/>
    </row>
    <row r="767" spans="1:9" s="263" customFormat="1" ht="9" customHeight="1" x14ac:dyDescent="0.25">
      <c r="A767" s="264" t="s">
        <v>216</v>
      </c>
      <c r="B767" s="262">
        <f t="shared" ref="B767:H767" si="16">SUM(B769:B800)</f>
        <v>89132</v>
      </c>
      <c r="C767" s="262">
        <f t="shared" si="16"/>
        <v>51719</v>
      </c>
      <c r="D767" s="262">
        <f t="shared" si="16"/>
        <v>75557</v>
      </c>
      <c r="E767" s="262">
        <f t="shared" si="16"/>
        <v>2407</v>
      </c>
      <c r="F767" s="262">
        <f t="shared" si="16"/>
        <v>3450</v>
      </c>
      <c r="G767" s="262">
        <f t="shared" si="16"/>
        <v>4100</v>
      </c>
      <c r="H767" s="262">
        <f t="shared" si="16"/>
        <v>2719</v>
      </c>
      <c r="I767" s="262"/>
    </row>
    <row r="768" spans="1:9" s="263" customFormat="1" ht="3.95" customHeight="1" x14ac:dyDescent="0.25">
      <c r="A768" s="264"/>
      <c r="B768" s="262"/>
      <c r="C768" s="262"/>
      <c r="D768" s="262"/>
      <c r="E768" s="262"/>
      <c r="F768" s="262"/>
      <c r="G768" s="262"/>
      <c r="H768" s="262"/>
    </row>
    <row r="769" spans="1:8" s="263" customFormat="1" ht="8.65" customHeight="1" x14ac:dyDescent="0.25">
      <c r="A769" s="263" t="s">
        <v>23</v>
      </c>
      <c r="B769" s="266">
        <v>895</v>
      </c>
      <c r="C769" s="266">
        <v>484</v>
      </c>
      <c r="D769" s="266">
        <v>825</v>
      </c>
      <c r="E769" s="266">
        <v>19</v>
      </c>
      <c r="F769" s="266">
        <v>38</v>
      </c>
      <c r="G769" s="266">
        <v>41</v>
      </c>
      <c r="H769" s="266">
        <v>13</v>
      </c>
    </row>
    <row r="770" spans="1:8" s="263" customFormat="1" ht="8.65" customHeight="1" x14ac:dyDescent="0.25">
      <c r="A770" s="263" t="s">
        <v>24</v>
      </c>
      <c r="B770" s="266">
        <v>2171</v>
      </c>
      <c r="C770" s="266">
        <v>1056</v>
      </c>
      <c r="D770" s="266">
        <v>1647</v>
      </c>
      <c r="E770" s="266">
        <v>37</v>
      </c>
      <c r="F770" s="266">
        <v>78</v>
      </c>
      <c r="G770" s="266">
        <v>102</v>
      </c>
      <c r="H770" s="266">
        <v>35</v>
      </c>
    </row>
    <row r="771" spans="1:8" s="263" customFormat="1" ht="8.65" customHeight="1" x14ac:dyDescent="0.25">
      <c r="A771" s="263" t="s">
        <v>25</v>
      </c>
      <c r="B771" s="266">
        <v>695</v>
      </c>
      <c r="C771" s="266">
        <v>449</v>
      </c>
      <c r="D771" s="266">
        <v>598</v>
      </c>
      <c r="E771" s="266">
        <v>27</v>
      </c>
      <c r="F771" s="266">
        <v>42</v>
      </c>
      <c r="G771" s="266">
        <v>38</v>
      </c>
      <c r="H771" s="266">
        <v>36</v>
      </c>
    </row>
    <row r="772" spans="1:8" s="263" customFormat="1" ht="8.65" customHeight="1" x14ac:dyDescent="0.25">
      <c r="A772" s="267" t="s">
        <v>26</v>
      </c>
      <c r="B772" s="268">
        <v>789</v>
      </c>
      <c r="C772" s="268">
        <v>544</v>
      </c>
      <c r="D772" s="268">
        <v>765</v>
      </c>
      <c r="E772" s="268">
        <v>28</v>
      </c>
      <c r="F772" s="268">
        <v>37</v>
      </c>
      <c r="G772" s="268">
        <v>37</v>
      </c>
      <c r="H772" s="268">
        <v>40</v>
      </c>
    </row>
    <row r="773" spans="1:8" s="263" customFormat="1" ht="8.65" customHeight="1" x14ac:dyDescent="0.25">
      <c r="A773" s="263" t="s">
        <v>27</v>
      </c>
      <c r="B773" s="266">
        <v>2777</v>
      </c>
      <c r="C773" s="266">
        <v>1255</v>
      </c>
      <c r="D773" s="266">
        <v>1905</v>
      </c>
      <c r="E773" s="266">
        <v>79</v>
      </c>
      <c r="F773" s="266">
        <v>122</v>
      </c>
      <c r="G773" s="266">
        <v>142</v>
      </c>
      <c r="H773" s="266">
        <v>44</v>
      </c>
    </row>
    <row r="774" spans="1:8" s="263" customFormat="1" ht="8.65" customHeight="1" x14ac:dyDescent="0.25">
      <c r="A774" s="263" t="s">
        <v>28</v>
      </c>
      <c r="B774" s="266">
        <v>528</v>
      </c>
      <c r="C774" s="266">
        <v>505</v>
      </c>
      <c r="D774" s="266">
        <v>568</v>
      </c>
      <c r="E774" s="266">
        <v>12</v>
      </c>
      <c r="F774" s="266">
        <v>24</v>
      </c>
      <c r="G774" s="266">
        <v>30</v>
      </c>
      <c r="H774" s="266">
        <v>10</v>
      </c>
    </row>
    <row r="775" spans="1:8" s="263" customFormat="1" ht="8.65" customHeight="1" x14ac:dyDescent="0.25">
      <c r="A775" s="263" t="s">
        <v>29</v>
      </c>
      <c r="B775" s="266">
        <v>2350</v>
      </c>
      <c r="C775" s="266">
        <v>1690</v>
      </c>
      <c r="D775" s="266">
        <v>3031</v>
      </c>
      <c r="E775" s="266">
        <v>106</v>
      </c>
      <c r="F775" s="266">
        <v>88</v>
      </c>
      <c r="G775" s="266">
        <v>136</v>
      </c>
      <c r="H775" s="266">
        <v>94</v>
      </c>
    </row>
    <row r="776" spans="1:8" s="263" customFormat="1" ht="8.65" customHeight="1" x14ac:dyDescent="0.25">
      <c r="A776" s="267" t="s">
        <v>30</v>
      </c>
      <c r="B776" s="268">
        <v>2814</v>
      </c>
      <c r="C776" s="268">
        <v>1685</v>
      </c>
      <c r="D776" s="268">
        <v>2009</v>
      </c>
      <c r="E776" s="268">
        <v>79</v>
      </c>
      <c r="F776" s="268">
        <v>117</v>
      </c>
      <c r="G776" s="268">
        <v>120</v>
      </c>
      <c r="H776" s="268">
        <v>96</v>
      </c>
    </row>
    <row r="777" spans="1:8" s="263" customFormat="1" ht="8.65" customHeight="1" x14ac:dyDescent="0.25">
      <c r="A777" s="263" t="s">
        <v>63</v>
      </c>
      <c r="B777" s="266">
        <v>15627</v>
      </c>
      <c r="C777" s="266">
        <v>5364</v>
      </c>
      <c r="D777" s="266">
        <v>9078</v>
      </c>
      <c r="E777" s="266">
        <v>287</v>
      </c>
      <c r="F777" s="266">
        <v>543</v>
      </c>
      <c r="G777" s="266">
        <v>652</v>
      </c>
      <c r="H777" s="266">
        <v>91</v>
      </c>
    </row>
    <row r="778" spans="1:8" s="263" customFormat="1" ht="8.65" customHeight="1" x14ac:dyDescent="0.25">
      <c r="A778" s="263" t="s">
        <v>31</v>
      </c>
      <c r="B778" s="266">
        <v>1453</v>
      </c>
      <c r="C778" s="266">
        <v>672</v>
      </c>
      <c r="D778" s="266">
        <v>1276</v>
      </c>
      <c r="E778" s="266">
        <v>64</v>
      </c>
      <c r="F778" s="266">
        <v>80</v>
      </c>
      <c r="G778" s="266">
        <v>62</v>
      </c>
      <c r="H778" s="266">
        <v>56</v>
      </c>
    </row>
    <row r="779" spans="1:8" s="263" customFormat="1" ht="8.65" customHeight="1" x14ac:dyDescent="0.25">
      <c r="A779" s="263" t="s">
        <v>32</v>
      </c>
      <c r="B779" s="266">
        <v>3340</v>
      </c>
      <c r="C779" s="266">
        <v>2111</v>
      </c>
      <c r="D779" s="266">
        <v>2821</v>
      </c>
      <c r="E779" s="266">
        <v>68</v>
      </c>
      <c r="F779" s="266">
        <v>158</v>
      </c>
      <c r="G779" s="266">
        <v>169</v>
      </c>
      <c r="H779" s="266">
        <v>84</v>
      </c>
    </row>
    <row r="780" spans="1:8" s="263" customFormat="1" ht="8.65" customHeight="1" x14ac:dyDescent="0.25">
      <c r="A780" s="267" t="s">
        <v>33</v>
      </c>
      <c r="B780" s="268">
        <v>2074</v>
      </c>
      <c r="C780" s="268">
        <v>2120</v>
      </c>
      <c r="D780" s="268">
        <v>2465</v>
      </c>
      <c r="E780" s="268">
        <v>71</v>
      </c>
      <c r="F780" s="268">
        <v>59</v>
      </c>
      <c r="G780" s="268">
        <v>127</v>
      </c>
      <c r="H780" s="268">
        <v>66</v>
      </c>
    </row>
    <row r="781" spans="1:8" s="263" customFormat="1" ht="8.65" customHeight="1" x14ac:dyDescent="0.25">
      <c r="A781" s="263" t="s">
        <v>34</v>
      </c>
      <c r="B781" s="266">
        <v>1370</v>
      </c>
      <c r="C781" s="266">
        <v>1480</v>
      </c>
      <c r="D781" s="266">
        <v>1941</v>
      </c>
      <c r="E781" s="266">
        <v>55</v>
      </c>
      <c r="F781" s="266">
        <v>63</v>
      </c>
      <c r="G781" s="266">
        <v>63</v>
      </c>
      <c r="H781" s="266">
        <v>109</v>
      </c>
    </row>
    <row r="782" spans="1:8" s="263" customFormat="1" ht="8.65" customHeight="1" x14ac:dyDescent="0.25">
      <c r="A782" s="263" t="s">
        <v>35</v>
      </c>
      <c r="B782" s="266">
        <v>6476</v>
      </c>
      <c r="C782" s="266">
        <v>3092</v>
      </c>
      <c r="D782" s="266">
        <v>4236</v>
      </c>
      <c r="E782" s="266">
        <v>101</v>
      </c>
      <c r="F782" s="266">
        <v>181</v>
      </c>
      <c r="G782" s="266">
        <v>261</v>
      </c>
      <c r="H782" s="266">
        <v>222</v>
      </c>
    </row>
    <row r="783" spans="1:8" s="263" customFormat="1" ht="8.65" customHeight="1" x14ac:dyDescent="0.25">
      <c r="A783" s="263" t="s">
        <v>36</v>
      </c>
      <c r="B783" s="266">
        <v>8812</v>
      </c>
      <c r="C783" s="266">
        <v>4730</v>
      </c>
      <c r="D783" s="266">
        <v>7575</v>
      </c>
      <c r="E783" s="266">
        <v>276</v>
      </c>
      <c r="F783" s="266">
        <v>292</v>
      </c>
      <c r="G783" s="266">
        <v>341</v>
      </c>
      <c r="H783" s="266">
        <v>223</v>
      </c>
    </row>
    <row r="784" spans="1:8" s="263" customFormat="1" ht="8.65" customHeight="1" x14ac:dyDescent="0.25">
      <c r="A784" s="267" t="s">
        <v>37</v>
      </c>
      <c r="B784" s="268">
        <v>2510</v>
      </c>
      <c r="C784" s="268">
        <v>1479</v>
      </c>
      <c r="D784" s="268">
        <v>2828</v>
      </c>
      <c r="E784" s="268">
        <v>76</v>
      </c>
      <c r="F784" s="268">
        <v>95</v>
      </c>
      <c r="G784" s="268">
        <v>117</v>
      </c>
      <c r="H784" s="268">
        <v>102</v>
      </c>
    </row>
    <row r="785" spans="1:8" s="263" customFormat="1" ht="8.65" customHeight="1" x14ac:dyDescent="0.25">
      <c r="A785" s="263" t="s">
        <v>38</v>
      </c>
      <c r="B785" s="266">
        <v>1113</v>
      </c>
      <c r="C785" s="266">
        <v>885</v>
      </c>
      <c r="D785" s="266">
        <v>1313</v>
      </c>
      <c r="E785" s="266">
        <v>27</v>
      </c>
      <c r="F785" s="266">
        <v>60</v>
      </c>
      <c r="G785" s="266">
        <v>59</v>
      </c>
      <c r="H785" s="266">
        <v>29</v>
      </c>
    </row>
    <row r="786" spans="1:8" s="263" customFormat="1" ht="8.65" customHeight="1" x14ac:dyDescent="0.25">
      <c r="A786" s="263" t="s">
        <v>39</v>
      </c>
      <c r="B786" s="266">
        <v>725</v>
      </c>
      <c r="C786" s="266">
        <v>722</v>
      </c>
      <c r="D786" s="266">
        <v>984</v>
      </c>
      <c r="E786" s="266">
        <v>38</v>
      </c>
      <c r="F786" s="266">
        <v>35</v>
      </c>
      <c r="G786" s="266">
        <v>38</v>
      </c>
      <c r="H786" s="266">
        <v>34</v>
      </c>
    </row>
    <row r="787" spans="1:8" s="263" customFormat="1" ht="8.65" customHeight="1" x14ac:dyDescent="0.25">
      <c r="A787" s="263" t="s">
        <v>40</v>
      </c>
      <c r="B787" s="266">
        <v>4153</v>
      </c>
      <c r="C787" s="266">
        <v>2216</v>
      </c>
      <c r="D787" s="266">
        <v>3064</v>
      </c>
      <c r="E787" s="266">
        <v>86</v>
      </c>
      <c r="F787" s="266">
        <v>152</v>
      </c>
      <c r="G787" s="266">
        <v>166</v>
      </c>
      <c r="H787" s="266">
        <v>35</v>
      </c>
    </row>
    <row r="788" spans="1:8" s="263" customFormat="1" ht="8.65" customHeight="1" x14ac:dyDescent="0.25">
      <c r="A788" s="267" t="s">
        <v>41</v>
      </c>
      <c r="B788" s="268">
        <v>2295</v>
      </c>
      <c r="C788" s="268">
        <v>2879</v>
      </c>
      <c r="D788" s="268">
        <v>2941</v>
      </c>
      <c r="E788" s="268">
        <v>77</v>
      </c>
      <c r="F788" s="268">
        <v>97</v>
      </c>
      <c r="G788" s="268">
        <v>106</v>
      </c>
      <c r="H788" s="268">
        <v>70</v>
      </c>
    </row>
    <row r="789" spans="1:8" s="263" customFormat="1" ht="8.65" customHeight="1" x14ac:dyDescent="0.25">
      <c r="A789" s="263" t="s">
        <v>42</v>
      </c>
      <c r="B789" s="266">
        <v>4090</v>
      </c>
      <c r="C789" s="266">
        <v>3411</v>
      </c>
      <c r="D789" s="266">
        <v>3602</v>
      </c>
      <c r="E789" s="266">
        <v>124</v>
      </c>
      <c r="F789" s="266">
        <v>178</v>
      </c>
      <c r="G789" s="266">
        <v>207</v>
      </c>
      <c r="H789" s="266">
        <v>414</v>
      </c>
    </row>
    <row r="790" spans="1:8" s="263" customFormat="1" ht="8.65" customHeight="1" x14ac:dyDescent="0.25">
      <c r="A790" s="263" t="s">
        <v>43</v>
      </c>
      <c r="B790" s="266">
        <v>901</v>
      </c>
      <c r="C790" s="266">
        <v>798</v>
      </c>
      <c r="D790" s="266">
        <v>1035</v>
      </c>
      <c r="E790" s="266">
        <v>20</v>
      </c>
      <c r="F790" s="266">
        <v>37</v>
      </c>
      <c r="G790" s="266">
        <v>43</v>
      </c>
      <c r="H790" s="266">
        <v>19</v>
      </c>
    </row>
    <row r="791" spans="1:8" s="263" customFormat="1" ht="8.65" customHeight="1" x14ac:dyDescent="0.25">
      <c r="A791" s="263" t="s">
        <v>44</v>
      </c>
      <c r="B791" s="266">
        <v>881</v>
      </c>
      <c r="C791" s="266">
        <v>566</v>
      </c>
      <c r="D791" s="266">
        <v>854</v>
      </c>
      <c r="E791" s="266">
        <v>52</v>
      </c>
      <c r="F791" s="266">
        <v>44</v>
      </c>
      <c r="G791" s="266">
        <v>44</v>
      </c>
      <c r="H791" s="266">
        <v>24</v>
      </c>
    </row>
    <row r="792" spans="1:8" s="263" customFormat="1" ht="8.65" customHeight="1" x14ac:dyDescent="0.25">
      <c r="A792" s="267" t="s">
        <v>45</v>
      </c>
      <c r="B792" s="268">
        <v>1865</v>
      </c>
      <c r="C792" s="268">
        <v>955</v>
      </c>
      <c r="D792" s="268">
        <v>1691</v>
      </c>
      <c r="E792" s="268">
        <v>93</v>
      </c>
      <c r="F792" s="268">
        <v>88</v>
      </c>
      <c r="G792" s="268">
        <v>77</v>
      </c>
      <c r="H792" s="268">
        <v>42</v>
      </c>
    </row>
    <row r="793" spans="1:8" s="263" customFormat="1" ht="8.65" customHeight="1" x14ac:dyDescent="0.25">
      <c r="A793" s="263" t="s">
        <v>46</v>
      </c>
      <c r="B793" s="266">
        <v>2303</v>
      </c>
      <c r="C793" s="266">
        <v>1176</v>
      </c>
      <c r="D793" s="266">
        <v>1900</v>
      </c>
      <c r="E793" s="266">
        <v>66</v>
      </c>
      <c r="F793" s="266">
        <v>87</v>
      </c>
      <c r="G793" s="266">
        <v>131</v>
      </c>
      <c r="H793" s="266">
        <v>57</v>
      </c>
    </row>
    <row r="794" spans="1:8" s="263" customFormat="1" ht="8.65" customHeight="1" x14ac:dyDescent="0.25">
      <c r="A794" s="263" t="s">
        <v>47</v>
      </c>
      <c r="B794" s="266">
        <v>2906</v>
      </c>
      <c r="C794" s="266">
        <v>1366</v>
      </c>
      <c r="D794" s="266">
        <v>2083</v>
      </c>
      <c r="E794" s="266">
        <v>63</v>
      </c>
      <c r="F794" s="266">
        <v>92</v>
      </c>
      <c r="G794" s="266">
        <v>143</v>
      </c>
      <c r="H794" s="266">
        <v>33</v>
      </c>
    </row>
    <row r="795" spans="1:8" s="263" customFormat="1" ht="8.65" customHeight="1" x14ac:dyDescent="0.25">
      <c r="A795" s="263" t="s">
        <v>48</v>
      </c>
      <c r="B795" s="266">
        <v>1580</v>
      </c>
      <c r="C795" s="266">
        <v>1363</v>
      </c>
      <c r="D795" s="266">
        <v>2169</v>
      </c>
      <c r="E795" s="266">
        <v>44</v>
      </c>
      <c r="F795" s="266">
        <v>70</v>
      </c>
      <c r="G795" s="266">
        <v>90</v>
      </c>
      <c r="H795" s="266">
        <v>37</v>
      </c>
    </row>
    <row r="796" spans="1:8" s="263" customFormat="1" ht="8.65" customHeight="1" x14ac:dyDescent="0.25">
      <c r="A796" s="267" t="s">
        <v>49</v>
      </c>
      <c r="B796" s="268">
        <v>3046</v>
      </c>
      <c r="C796" s="268">
        <v>1612</v>
      </c>
      <c r="D796" s="268">
        <v>2259</v>
      </c>
      <c r="E796" s="268">
        <v>73</v>
      </c>
      <c r="F796" s="268">
        <v>110</v>
      </c>
      <c r="G796" s="268">
        <v>130</v>
      </c>
      <c r="H796" s="268">
        <v>69</v>
      </c>
    </row>
    <row r="797" spans="1:8" s="263" customFormat="1" ht="8.65" customHeight="1" x14ac:dyDescent="0.25">
      <c r="A797" s="263" t="s">
        <v>50</v>
      </c>
      <c r="B797" s="266">
        <v>687</v>
      </c>
      <c r="C797" s="266">
        <v>700</v>
      </c>
      <c r="D797" s="266">
        <v>799</v>
      </c>
      <c r="E797" s="266">
        <v>26</v>
      </c>
      <c r="F797" s="266">
        <v>31</v>
      </c>
      <c r="G797" s="266">
        <v>37</v>
      </c>
      <c r="H797" s="266">
        <v>181</v>
      </c>
    </row>
    <row r="798" spans="1:8" s="263" customFormat="1" ht="8.65" customHeight="1" x14ac:dyDescent="0.25">
      <c r="A798" s="263" t="s">
        <v>51</v>
      </c>
      <c r="B798" s="266">
        <v>5148</v>
      </c>
      <c r="C798" s="266">
        <v>2558</v>
      </c>
      <c r="D798" s="266">
        <v>4826</v>
      </c>
      <c r="E798" s="266">
        <v>143</v>
      </c>
      <c r="F798" s="266">
        <v>244</v>
      </c>
      <c r="G798" s="266">
        <v>258</v>
      </c>
      <c r="H798" s="266">
        <v>173</v>
      </c>
    </row>
    <row r="799" spans="1:8" s="263" customFormat="1" ht="8.65" customHeight="1" x14ac:dyDescent="0.25">
      <c r="A799" s="263" t="s">
        <v>52</v>
      </c>
      <c r="B799" s="266">
        <v>1752</v>
      </c>
      <c r="C799" s="266">
        <v>987</v>
      </c>
      <c r="D799" s="266">
        <v>1327</v>
      </c>
      <c r="E799" s="266">
        <v>43</v>
      </c>
      <c r="F799" s="266">
        <v>46</v>
      </c>
      <c r="G799" s="266">
        <v>78</v>
      </c>
      <c r="H799" s="266">
        <v>21</v>
      </c>
    </row>
    <row r="800" spans="1:8" s="263" customFormat="1" ht="8.65" customHeight="1" x14ac:dyDescent="0.25">
      <c r="A800" s="267" t="s">
        <v>53</v>
      </c>
      <c r="B800" s="268">
        <v>1006</v>
      </c>
      <c r="C800" s="268">
        <v>809</v>
      </c>
      <c r="D800" s="268">
        <v>1142</v>
      </c>
      <c r="E800" s="268">
        <v>47</v>
      </c>
      <c r="F800" s="268">
        <v>62</v>
      </c>
      <c r="G800" s="268">
        <v>55</v>
      </c>
      <c r="H800" s="268">
        <v>160</v>
      </c>
    </row>
    <row r="801" spans="1:9" s="263" customFormat="1" ht="9" customHeight="1" x14ac:dyDescent="0.25">
      <c r="B801" s="266"/>
      <c r="C801" s="266"/>
      <c r="D801" s="266"/>
      <c r="E801" s="266"/>
      <c r="F801" s="266"/>
      <c r="G801" s="266"/>
      <c r="H801" s="266"/>
    </row>
    <row r="802" spans="1:9" s="263" customFormat="1" ht="9" customHeight="1" x14ac:dyDescent="0.25">
      <c r="A802" s="261" t="s">
        <v>56</v>
      </c>
      <c r="B802" s="271"/>
      <c r="C802" s="271"/>
      <c r="D802" s="271"/>
      <c r="E802" s="271"/>
      <c r="F802" s="271"/>
      <c r="G802" s="271"/>
      <c r="H802" s="271"/>
    </row>
    <row r="803" spans="1:9" s="263" customFormat="1" ht="9" customHeight="1" x14ac:dyDescent="0.25">
      <c r="A803" s="264" t="s">
        <v>216</v>
      </c>
      <c r="B803" s="262">
        <f t="shared" ref="B803:H803" si="17">SUM(B805:B836)</f>
        <v>89085</v>
      </c>
      <c r="C803" s="262">
        <f t="shared" si="17"/>
        <v>50130</v>
      </c>
      <c r="D803" s="262">
        <f t="shared" si="17"/>
        <v>75895</v>
      </c>
      <c r="E803" s="262" t="s">
        <v>22</v>
      </c>
      <c r="F803" s="262" t="s">
        <v>22</v>
      </c>
      <c r="G803" s="262">
        <f t="shared" si="17"/>
        <v>4169</v>
      </c>
      <c r="H803" s="262">
        <f t="shared" si="17"/>
        <v>2581</v>
      </c>
      <c r="I803" s="262"/>
    </row>
    <row r="804" spans="1:9" s="263" customFormat="1" ht="3.95" customHeight="1" x14ac:dyDescent="0.25">
      <c r="A804" s="264"/>
      <c r="B804" s="262"/>
      <c r="C804" s="262"/>
      <c r="D804" s="262"/>
      <c r="E804" s="262"/>
      <c r="F804" s="262"/>
      <c r="G804" s="262"/>
      <c r="H804" s="262"/>
    </row>
    <row r="805" spans="1:9" s="263" customFormat="1" ht="8.65" customHeight="1" x14ac:dyDescent="0.25">
      <c r="A805" s="263" t="s">
        <v>23</v>
      </c>
      <c r="B805" s="266">
        <v>875</v>
      </c>
      <c r="C805" s="266">
        <v>472</v>
      </c>
      <c r="D805" s="266">
        <v>843</v>
      </c>
      <c r="E805" s="266" t="s">
        <v>22</v>
      </c>
      <c r="F805" s="266" t="s">
        <v>22</v>
      </c>
      <c r="G805" s="266">
        <v>42</v>
      </c>
      <c r="H805" s="266">
        <v>13</v>
      </c>
    </row>
    <row r="806" spans="1:9" s="263" customFormat="1" ht="8.65" customHeight="1" x14ac:dyDescent="0.25">
      <c r="A806" s="263" t="s">
        <v>24</v>
      </c>
      <c r="B806" s="266">
        <v>2183</v>
      </c>
      <c r="C806" s="266">
        <v>1036</v>
      </c>
      <c r="D806" s="266">
        <v>1623</v>
      </c>
      <c r="E806" s="266" t="s">
        <v>22</v>
      </c>
      <c r="F806" s="266" t="s">
        <v>22</v>
      </c>
      <c r="G806" s="266">
        <v>105</v>
      </c>
      <c r="H806" s="266">
        <v>39</v>
      </c>
    </row>
    <row r="807" spans="1:9" s="263" customFormat="1" ht="8.65" customHeight="1" x14ac:dyDescent="0.25">
      <c r="A807" s="263" t="s">
        <v>25</v>
      </c>
      <c r="B807" s="266">
        <v>690</v>
      </c>
      <c r="C807" s="266">
        <v>435</v>
      </c>
      <c r="D807" s="266">
        <v>616</v>
      </c>
      <c r="E807" s="266" t="s">
        <v>22</v>
      </c>
      <c r="F807" s="266" t="s">
        <v>22</v>
      </c>
      <c r="G807" s="266">
        <v>38</v>
      </c>
      <c r="H807" s="266">
        <v>38</v>
      </c>
    </row>
    <row r="808" spans="1:9" s="263" customFormat="1" ht="8.65" customHeight="1" x14ac:dyDescent="0.25">
      <c r="A808" s="267" t="s">
        <v>26</v>
      </c>
      <c r="B808" s="268">
        <v>764</v>
      </c>
      <c r="C808" s="268">
        <v>549</v>
      </c>
      <c r="D808" s="268">
        <v>794</v>
      </c>
      <c r="E808" s="268" t="s">
        <v>22</v>
      </c>
      <c r="F808" s="268" t="s">
        <v>22</v>
      </c>
      <c r="G808" s="268">
        <v>45</v>
      </c>
      <c r="H808" s="268">
        <v>40</v>
      </c>
    </row>
    <row r="809" spans="1:9" s="263" customFormat="1" ht="8.65" customHeight="1" x14ac:dyDescent="0.25">
      <c r="A809" s="263" t="s">
        <v>27</v>
      </c>
      <c r="B809" s="266">
        <v>2879</v>
      </c>
      <c r="C809" s="266">
        <v>1255</v>
      </c>
      <c r="D809" s="266">
        <v>1902</v>
      </c>
      <c r="E809" s="266" t="s">
        <v>22</v>
      </c>
      <c r="F809" s="266" t="s">
        <v>22</v>
      </c>
      <c r="G809" s="266">
        <v>146</v>
      </c>
      <c r="H809" s="266">
        <v>46</v>
      </c>
    </row>
    <row r="810" spans="1:9" s="263" customFormat="1" ht="8.65" customHeight="1" x14ac:dyDescent="0.25">
      <c r="A810" s="263" t="s">
        <v>28</v>
      </c>
      <c r="B810" s="266">
        <v>646</v>
      </c>
      <c r="C810" s="266">
        <v>583</v>
      </c>
      <c r="D810" s="266">
        <v>628</v>
      </c>
      <c r="E810" s="266" t="s">
        <v>22</v>
      </c>
      <c r="F810" s="266" t="s">
        <v>22</v>
      </c>
      <c r="G810" s="266">
        <v>36</v>
      </c>
      <c r="H810" s="266">
        <v>12</v>
      </c>
    </row>
    <row r="811" spans="1:9" s="263" customFormat="1" ht="8.65" customHeight="1" x14ac:dyDescent="0.25">
      <c r="A811" s="263" t="s">
        <v>29</v>
      </c>
      <c r="B811" s="266">
        <v>2412</v>
      </c>
      <c r="C811" s="266">
        <v>1561</v>
      </c>
      <c r="D811" s="266">
        <v>3020</v>
      </c>
      <c r="E811" s="266" t="s">
        <v>22</v>
      </c>
      <c r="F811" s="266" t="s">
        <v>22</v>
      </c>
      <c r="G811" s="266">
        <v>142</v>
      </c>
      <c r="H811" s="266">
        <v>97</v>
      </c>
    </row>
    <row r="812" spans="1:9" s="263" customFormat="1" ht="8.65" customHeight="1" x14ac:dyDescent="0.25">
      <c r="A812" s="267" t="s">
        <v>30</v>
      </c>
      <c r="B812" s="268">
        <v>2905</v>
      </c>
      <c r="C812" s="268">
        <v>1620</v>
      </c>
      <c r="D812" s="268">
        <v>1994</v>
      </c>
      <c r="E812" s="268" t="s">
        <v>22</v>
      </c>
      <c r="F812" s="268" t="s">
        <v>22</v>
      </c>
      <c r="G812" s="268">
        <v>133</v>
      </c>
      <c r="H812" s="268">
        <v>101</v>
      </c>
    </row>
    <row r="813" spans="1:9" s="263" customFormat="1" ht="8.65" customHeight="1" x14ac:dyDescent="0.25">
      <c r="A813" s="263" t="s">
        <v>63</v>
      </c>
      <c r="B813" s="266">
        <v>15457</v>
      </c>
      <c r="C813" s="266">
        <v>5304</v>
      </c>
      <c r="D813" s="266">
        <v>8971</v>
      </c>
      <c r="E813" s="266" t="s">
        <v>22</v>
      </c>
      <c r="F813" s="266" t="s">
        <v>22</v>
      </c>
      <c r="G813" s="266">
        <v>648</v>
      </c>
      <c r="H813" s="266">
        <v>102</v>
      </c>
    </row>
    <row r="814" spans="1:9" s="263" customFormat="1" ht="8.65" customHeight="1" x14ac:dyDescent="0.25">
      <c r="A814" s="263" t="s">
        <v>31</v>
      </c>
      <c r="B814" s="266">
        <v>1545</v>
      </c>
      <c r="C814" s="266">
        <v>654</v>
      </c>
      <c r="D814" s="266">
        <v>1261</v>
      </c>
      <c r="E814" s="266" t="s">
        <v>22</v>
      </c>
      <c r="F814" s="266" t="s">
        <v>22</v>
      </c>
      <c r="G814" s="266">
        <v>64</v>
      </c>
      <c r="H814" s="266">
        <v>57</v>
      </c>
    </row>
    <row r="815" spans="1:9" s="263" customFormat="1" ht="8.65" customHeight="1" x14ac:dyDescent="0.25">
      <c r="A815" s="263" t="s">
        <v>32</v>
      </c>
      <c r="B815" s="266">
        <v>3335</v>
      </c>
      <c r="C815" s="266">
        <v>2067</v>
      </c>
      <c r="D815" s="266">
        <v>2810</v>
      </c>
      <c r="E815" s="266" t="s">
        <v>22</v>
      </c>
      <c r="F815" s="266" t="s">
        <v>22</v>
      </c>
      <c r="G815" s="266">
        <v>168</v>
      </c>
      <c r="H815" s="266">
        <v>82</v>
      </c>
    </row>
    <row r="816" spans="1:9" s="263" customFormat="1" ht="8.65" customHeight="1" x14ac:dyDescent="0.25">
      <c r="A816" s="267" t="s">
        <v>33</v>
      </c>
      <c r="B816" s="268">
        <v>1977</v>
      </c>
      <c r="C816" s="268">
        <v>2029</v>
      </c>
      <c r="D816" s="268">
        <v>2486</v>
      </c>
      <c r="E816" s="268" t="s">
        <v>22</v>
      </c>
      <c r="F816" s="268" t="s">
        <v>22</v>
      </c>
      <c r="G816" s="268">
        <v>109</v>
      </c>
      <c r="H816" s="268">
        <v>67</v>
      </c>
    </row>
    <row r="817" spans="1:8" s="263" customFormat="1" ht="8.65" customHeight="1" x14ac:dyDescent="0.25">
      <c r="A817" s="263" t="s">
        <v>34</v>
      </c>
      <c r="B817" s="266">
        <v>1399</v>
      </c>
      <c r="C817" s="266">
        <v>1422</v>
      </c>
      <c r="D817" s="266">
        <v>1971</v>
      </c>
      <c r="E817" s="266" t="s">
        <v>22</v>
      </c>
      <c r="F817" s="266" t="s">
        <v>22</v>
      </c>
      <c r="G817" s="266">
        <v>63</v>
      </c>
      <c r="H817" s="266">
        <v>112</v>
      </c>
    </row>
    <row r="818" spans="1:8" s="263" customFormat="1" ht="8.65" customHeight="1" x14ac:dyDescent="0.25">
      <c r="A818" s="263" t="s">
        <v>35</v>
      </c>
      <c r="B818" s="266">
        <v>6487</v>
      </c>
      <c r="C818" s="266">
        <v>3045</v>
      </c>
      <c r="D818" s="266">
        <v>4253</v>
      </c>
      <c r="E818" s="266" t="s">
        <v>22</v>
      </c>
      <c r="F818" s="266" t="s">
        <v>22</v>
      </c>
      <c r="G818" s="266">
        <v>268</v>
      </c>
      <c r="H818" s="266">
        <v>172</v>
      </c>
    </row>
    <row r="819" spans="1:8" s="263" customFormat="1" ht="8.65" customHeight="1" x14ac:dyDescent="0.25">
      <c r="A819" s="263" t="s">
        <v>36</v>
      </c>
      <c r="B819" s="266">
        <v>8407</v>
      </c>
      <c r="C819" s="266">
        <v>4289</v>
      </c>
      <c r="D819" s="266">
        <v>7494</v>
      </c>
      <c r="E819" s="266" t="s">
        <v>22</v>
      </c>
      <c r="F819" s="266" t="s">
        <v>22</v>
      </c>
      <c r="G819" s="266">
        <v>326</v>
      </c>
      <c r="H819" s="266">
        <v>218</v>
      </c>
    </row>
    <row r="820" spans="1:8" s="263" customFormat="1" ht="8.65" customHeight="1" x14ac:dyDescent="0.25">
      <c r="A820" s="267" t="s">
        <v>37</v>
      </c>
      <c r="B820" s="268">
        <v>2615</v>
      </c>
      <c r="C820" s="268">
        <v>1490</v>
      </c>
      <c r="D820" s="268">
        <v>2894</v>
      </c>
      <c r="E820" s="268" t="s">
        <v>22</v>
      </c>
      <c r="F820" s="268" t="s">
        <v>22</v>
      </c>
      <c r="G820" s="268">
        <v>124</v>
      </c>
      <c r="H820" s="268">
        <v>97</v>
      </c>
    </row>
    <row r="821" spans="1:8" s="263" customFormat="1" ht="8.65" customHeight="1" x14ac:dyDescent="0.25">
      <c r="A821" s="263" t="s">
        <v>38</v>
      </c>
      <c r="B821" s="266">
        <v>1018</v>
      </c>
      <c r="C821" s="266">
        <v>785</v>
      </c>
      <c r="D821" s="266">
        <v>1220</v>
      </c>
      <c r="E821" s="266" t="s">
        <v>22</v>
      </c>
      <c r="F821" s="266" t="s">
        <v>22</v>
      </c>
      <c r="G821" s="266">
        <v>49</v>
      </c>
      <c r="H821" s="266">
        <v>28</v>
      </c>
    </row>
    <row r="822" spans="1:8" s="263" customFormat="1" ht="8.65" customHeight="1" x14ac:dyDescent="0.25">
      <c r="A822" s="263" t="s">
        <v>39</v>
      </c>
      <c r="B822" s="266">
        <v>704</v>
      </c>
      <c r="C822" s="266">
        <v>696</v>
      </c>
      <c r="D822" s="266">
        <v>1008</v>
      </c>
      <c r="E822" s="266" t="s">
        <v>22</v>
      </c>
      <c r="F822" s="266" t="s">
        <v>22</v>
      </c>
      <c r="G822" s="266">
        <v>37</v>
      </c>
      <c r="H822" s="266">
        <v>24</v>
      </c>
    </row>
    <row r="823" spans="1:8" s="263" customFormat="1" ht="8.65" customHeight="1" x14ac:dyDescent="0.25">
      <c r="A823" s="263" t="s">
        <v>40</v>
      </c>
      <c r="B823" s="266">
        <v>4163</v>
      </c>
      <c r="C823" s="266">
        <v>1677</v>
      </c>
      <c r="D823" s="266">
        <v>3073</v>
      </c>
      <c r="E823" s="266" t="s">
        <v>22</v>
      </c>
      <c r="F823" s="266" t="s">
        <v>22</v>
      </c>
      <c r="G823" s="266">
        <v>169</v>
      </c>
      <c r="H823" s="266">
        <v>34</v>
      </c>
    </row>
    <row r="824" spans="1:8" s="263" customFormat="1" ht="8.65" customHeight="1" x14ac:dyDescent="0.25">
      <c r="A824" s="267" t="s">
        <v>41</v>
      </c>
      <c r="B824" s="268">
        <v>2355</v>
      </c>
      <c r="C824" s="268">
        <v>2963</v>
      </c>
      <c r="D824" s="268">
        <v>3073</v>
      </c>
      <c r="E824" s="268" t="s">
        <v>22</v>
      </c>
      <c r="F824" s="268" t="s">
        <v>22</v>
      </c>
      <c r="G824" s="268">
        <v>110</v>
      </c>
      <c r="H824" s="268">
        <v>84</v>
      </c>
    </row>
    <row r="825" spans="1:8" s="263" customFormat="1" ht="8.65" customHeight="1" x14ac:dyDescent="0.25">
      <c r="A825" s="263" t="s">
        <v>42</v>
      </c>
      <c r="B825" s="266">
        <v>4098</v>
      </c>
      <c r="C825" s="266">
        <v>3534</v>
      </c>
      <c r="D825" s="266">
        <v>3641</v>
      </c>
      <c r="E825" s="266" t="s">
        <v>22</v>
      </c>
      <c r="F825" s="266" t="s">
        <v>22</v>
      </c>
      <c r="G825" s="266">
        <v>236</v>
      </c>
      <c r="H825" s="266">
        <v>308</v>
      </c>
    </row>
    <row r="826" spans="1:8" s="263" customFormat="1" ht="8.65" customHeight="1" x14ac:dyDescent="0.25">
      <c r="A826" s="263" t="s">
        <v>43</v>
      </c>
      <c r="B826" s="266">
        <v>895</v>
      </c>
      <c r="C826" s="266">
        <v>842</v>
      </c>
      <c r="D826" s="266">
        <v>1028</v>
      </c>
      <c r="E826" s="266" t="s">
        <v>22</v>
      </c>
      <c r="F826" s="266" t="s">
        <v>22</v>
      </c>
      <c r="G826" s="266">
        <v>43</v>
      </c>
      <c r="H826" s="266">
        <v>19</v>
      </c>
    </row>
    <row r="827" spans="1:8" s="263" customFormat="1" ht="8.65" customHeight="1" x14ac:dyDescent="0.25">
      <c r="A827" s="263" t="s">
        <v>44</v>
      </c>
      <c r="B827" s="266">
        <v>983</v>
      </c>
      <c r="C827" s="266">
        <v>573</v>
      </c>
      <c r="D827" s="266">
        <v>873</v>
      </c>
      <c r="E827" s="266" t="s">
        <v>22</v>
      </c>
      <c r="F827" s="266" t="s">
        <v>22</v>
      </c>
      <c r="G827" s="266">
        <v>50</v>
      </c>
      <c r="H827" s="266">
        <v>27</v>
      </c>
    </row>
    <row r="828" spans="1:8" s="263" customFormat="1" ht="8.65" customHeight="1" x14ac:dyDescent="0.25">
      <c r="A828" s="267" t="s">
        <v>45</v>
      </c>
      <c r="B828" s="268">
        <v>1940</v>
      </c>
      <c r="C828" s="268">
        <v>992</v>
      </c>
      <c r="D828" s="268">
        <v>1725</v>
      </c>
      <c r="E828" s="268" t="s">
        <v>22</v>
      </c>
      <c r="F828" s="268" t="s">
        <v>22</v>
      </c>
      <c r="G828" s="268">
        <v>82</v>
      </c>
      <c r="H828" s="268">
        <v>44</v>
      </c>
    </row>
    <row r="829" spans="1:8" s="263" customFormat="1" ht="8.65" customHeight="1" x14ac:dyDescent="0.25">
      <c r="A829" s="263" t="s">
        <v>46</v>
      </c>
      <c r="B829" s="266">
        <v>2375</v>
      </c>
      <c r="C829" s="266">
        <v>1175</v>
      </c>
      <c r="D829" s="266">
        <v>1960</v>
      </c>
      <c r="E829" s="266" t="s">
        <v>22</v>
      </c>
      <c r="F829" s="266" t="s">
        <v>22</v>
      </c>
      <c r="G829" s="266">
        <v>131</v>
      </c>
      <c r="H829" s="266">
        <v>57</v>
      </c>
    </row>
    <row r="830" spans="1:8" s="263" customFormat="1" ht="8.65" customHeight="1" x14ac:dyDescent="0.25">
      <c r="A830" s="263" t="s">
        <v>47</v>
      </c>
      <c r="B830" s="266">
        <v>2922</v>
      </c>
      <c r="C830" s="266">
        <v>1369</v>
      </c>
      <c r="D830" s="266">
        <v>2106</v>
      </c>
      <c r="E830" s="266" t="s">
        <v>22</v>
      </c>
      <c r="F830" s="266" t="s">
        <v>22</v>
      </c>
      <c r="G830" s="266">
        <v>152</v>
      </c>
      <c r="H830" s="266">
        <v>39</v>
      </c>
    </row>
    <row r="831" spans="1:8" s="263" customFormat="1" ht="8.65" customHeight="1" x14ac:dyDescent="0.25">
      <c r="A831" s="263" t="s">
        <v>48</v>
      </c>
      <c r="B831" s="266">
        <v>1554</v>
      </c>
      <c r="C831" s="266">
        <v>1286</v>
      </c>
      <c r="D831" s="266">
        <v>2173</v>
      </c>
      <c r="E831" s="266" t="s">
        <v>22</v>
      </c>
      <c r="F831" s="266" t="s">
        <v>22</v>
      </c>
      <c r="G831" s="266">
        <v>91</v>
      </c>
      <c r="H831" s="266">
        <v>39</v>
      </c>
    </row>
    <row r="832" spans="1:8" s="263" customFormat="1" ht="8.65" customHeight="1" x14ac:dyDescent="0.25">
      <c r="A832" s="267" t="s">
        <v>49</v>
      </c>
      <c r="B832" s="268">
        <v>2993</v>
      </c>
      <c r="C832" s="268">
        <v>1546</v>
      </c>
      <c r="D832" s="268">
        <v>2265</v>
      </c>
      <c r="E832" s="268" t="s">
        <v>22</v>
      </c>
      <c r="F832" s="268" t="s">
        <v>22</v>
      </c>
      <c r="G832" s="268">
        <v>138</v>
      </c>
      <c r="H832" s="268">
        <v>66</v>
      </c>
    </row>
    <row r="833" spans="1:9" s="263" customFormat="1" ht="8.65" customHeight="1" x14ac:dyDescent="0.25">
      <c r="A833" s="263" t="s">
        <v>50</v>
      </c>
      <c r="B833" s="266">
        <v>684</v>
      </c>
      <c r="C833" s="266">
        <v>716</v>
      </c>
      <c r="D833" s="266">
        <v>828</v>
      </c>
      <c r="E833" s="266" t="s">
        <v>22</v>
      </c>
      <c r="F833" s="266" t="s">
        <v>22</v>
      </c>
      <c r="G833" s="266">
        <v>36</v>
      </c>
      <c r="H833" s="266">
        <v>179</v>
      </c>
    </row>
    <row r="834" spans="1:9" s="263" customFormat="1" ht="8.65" customHeight="1" x14ac:dyDescent="0.25">
      <c r="A834" s="263" t="s">
        <v>51</v>
      </c>
      <c r="B834" s="266">
        <v>5043</v>
      </c>
      <c r="C834" s="266">
        <v>2360</v>
      </c>
      <c r="D834" s="266">
        <v>4809</v>
      </c>
      <c r="E834" s="266" t="s">
        <v>22</v>
      </c>
      <c r="F834" s="266" t="s">
        <v>22</v>
      </c>
      <c r="G834" s="266">
        <v>263</v>
      </c>
      <c r="H834" s="266">
        <v>156</v>
      </c>
    </row>
    <row r="835" spans="1:9" s="263" customFormat="1" ht="8.65" customHeight="1" x14ac:dyDescent="0.25">
      <c r="A835" s="263" t="s">
        <v>52</v>
      </c>
      <c r="B835" s="266">
        <v>1782</v>
      </c>
      <c r="C835" s="266">
        <v>986</v>
      </c>
      <c r="D835" s="266">
        <v>1358</v>
      </c>
      <c r="E835" s="266" t="s">
        <v>22</v>
      </c>
      <c r="F835" s="266" t="s">
        <v>22</v>
      </c>
      <c r="G835" s="266">
        <v>75</v>
      </c>
      <c r="H835" s="266">
        <v>24</v>
      </c>
    </row>
    <row r="836" spans="1:9" s="263" customFormat="1" ht="8.65" customHeight="1" x14ac:dyDescent="0.25">
      <c r="A836" s="267" t="s">
        <v>53</v>
      </c>
      <c r="B836" s="268">
        <v>1000</v>
      </c>
      <c r="C836" s="268">
        <v>819</v>
      </c>
      <c r="D836" s="268">
        <v>1195</v>
      </c>
      <c r="E836" s="268" t="s">
        <v>22</v>
      </c>
      <c r="F836" s="268" t="s">
        <v>22</v>
      </c>
      <c r="G836" s="268">
        <v>50</v>
      </c>
      <c r="H836" s="268">
        <v>160</v>
      </c>
    </row>
    <row r="837" spans="1:9" ht="3" customHeight="1" x14ac:dyDescent="0.25">
      <c r="A837" s="257"/>
      <c r="B837" s="257"/>
      <c r="C837" s="257"/>
      <c r="D837" s="257"/>
      <c r="E837" s="257"/>
      <c r="F837" s="257"/>
      <c r="G837" s="257"/>
      <c r="H837" s="257"/>
    </row>
    <row r="838" spans="1:9" ht="3" customHeight="1" x14ac:dyDescent="0.25"/>
    <row r="839" spans="1:9" ht="9.6" customHeight="1" x14ac:dyDescent="0.15">
      <c r="A839" s="273" t="s">
        <v>217</v>
      </c>
    </row>
    <row r="840" spans="1:9" ht="9.6" customHeight="1" x14ac:dyDescent="0.15">
      <c r="A840" s="273" t="s">
        <v>218</v>
      </c>
    </row>
    <row r="841" spans="1:9" ht="9.6" customHeight="1" x14ac:dyDescent="0.15">
      <c r="A841" s="273" t="s">
        <v>219</v>
      </c>
    </row>
    <row r="842" spans="1:9" ht="9.6" customHeight="1" x14ac:dyDescent="0.15">
      <c r="A842" s="273" t="s">
        <v>220</v>
      </c>
    </row>
    <row r="843" spans="1:9" ht="9.6" customHeight="1" x14ac:dyDescent="0.15">
      <c r="A843" s="273" t="s">
        <v>221</v>
      </c>
    </row>
    <row r="844" spans="1:9" ht="9.6" customHeight="1" x14ac:dyDescent="0.15">
      <c r="A844" s="273" t="s">
        <v>222</v>
      </c>
    </row>
    <row r="845" spans="1:9" ht="9.6" customHeight="1" x14ac:dyDescent="0.15">
      <c r="A845" s="273" t="s">
        <v>223</v>
      </c>
    </row>
    <row r="846" spans="1:9" ht="9.6" customHeight="1" x14ac:dyDescent="0.15">
      <c r="A846" s="273" t="s">
        <v>224</v>
      </c>
    </row>
    <row r="847" spans="1:9" s="260" customFormat="1" ht="9.6" customHeight="1" x14ac:dyDescent="0.15">
      <c r="A847" s="274" t="s">
        <v>202</v>
      </c>
    </row>
    <row r="848" spans="1:9" ht="9.6" customHeight="1" x14ac:dyDescent="0.25">
      <c r="A848" s="225" t="s">
        <v>512</v>
      </c>
      <c r="B848" s="250"/>
      <c r="C848" s="250"/>
      <c r="D848" s="250"/>
      <c r="E848" s="250"/>
      <c r="F848" s="250"/>
      <c r="G848" s="250"/>
      <c r="H848" s="250"/>
      <c r="I848" s="250"/>
    </row>
    <row r="849" spans="1:1" ht="9.6" customHeight="1" x14ac:dyDescent="0.25">
      <c r="A849" s="247" t="s">
        <v>203</v>
      </c>
    </row>
  </sheetData>
  <sheetProtection sheet="1" objects="1" scenarios="1"/>
  <mergeCells count="8">
    <mergeCell ref="G5:G6"/>
    <mergeCell ref="H5:H6"/>
    <mergeCell ref="A5:A7"/>
    <mergeCell ref="B5:B6"/>
    <mergeCell ref="C5:C6"/>
    <mergeCell ref="D5:D6"/>
    <mergeCell ref="E5:E7"/>
    <mergeCell ref="F5:F6"/>
  </mergeCells>
  <hyperlinks>
    <hyperlink ref="H1" location="Índice!A1" tooltip="Ir a Índice" display="Índice!A1"/>
  </hyperlinks>
  <printOptions horizontalCentered="1" verticalCentered="1" gridLinesSet="0"/>
  <pageMargins left="0.39370078740157483" right="0.39370078740157483" top="0.39370078740157483" bottom="0.39370078740157483" header="0.39370078740157483" footer="0.39370078740157483"/>
  <pageSetup orientation="portrait" r:id="rId1"/>
  <headerFooter>
    <oddHeader>&amp;L&amp;"Arial,Normal"&amp;10&amp;K000080INEGI. Anuario estadístico y geográfico por entidad federativa 2019.</oddHeader>
  </headerFooter>
  <rowBreaks count="11" manualBreakCount="11">
    <brk id="81" max="16383" man="1"/>
    <brk id="153" max="16383" man="1"/>
    <brk id="225" max="16383" man="1"/>
    <brk id="297" max="16383" man="1"/>
    <brk id="369" max="16383" man="1"/>
    <brk id="441" max="16383" man="1"/>
    <brk id="513" max="16383" man="1"/>
    <brk id="585" max="7" man="1"/>
    <brk id="657" max="7" man="1"/>
    <brk id="729" max="7" man="1"/>
    <brk id="801" max="7" man="1"/>
  </rowBreak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857"/>
  <sheetViews>
    <sheetView showGridLines="0" showRowColHeaders="0" zoomScale="130" zoomScaleNormal="130" workbookViewId="0">
      <pane xSplit="1" ySplit="11" topLeftCell="B12" activePane="bottomRight" state="frozen"/>
      <selection activeCell="B5" sqref="B5"/>
      <selection pane="topRight" activeCell="B5" sqref="B5"/>
      <selection pane="bottomLeft" activeCell="B5" sqref="B5"/>
      <selection pane="bottomRight"/>
    </sheetView>
  </sheetViews>
  <sheetFormatPr baseColWidth="10" defaultColWidth="0" defaultRowHeight="11.25" customHeight="1" zeroHeight="1" x14ac:dyDescent="0.25"/>
  <cols>
    <col min="1" max="1" width="17.7109375" style="258" customWidth="1"/>
    <col min="2" max="2" width="6.28515625" style="258" customWidth="1"/>
    <col min="3" max="3" width="1.5703125" style="258" customWidth="1"/>
    <col min="4" max="4" width="6" style="258" customWidth="1"/>
    <col min="5" max="5" width="2" style="258" customWidth="1"/>
    <col min="6" max="6" width="6.85546875" style="258" customWidth="1"/>
    <col min="7" max="7" width="1.5703125" style="258" customWidth="1"/>
    <col min="8" max="8" width="5.7109375" style="258" customWidth="1"/>
    <col min="9" max="9" width="1.85546875" style="258" customWidth="1"/>
    <col min="10" max="10" width="6.42578125" style="258" customWidth="1"/>
    <col min="11" max="11" width="5.5703125" style="258" customWidth="1"/>
    <col min="12" max="12" width="6.140625" style="258" customWidth="1"/>
    <col min="13" max="13" width="5.5703125" style="258" customWidth="1"/>
    <col min="14" max="14" width="6.85546875" style="258" customWidth="1"/>
    <col min="15" max="15" width="1.42578125" style="258" customWidth="1"/>
    <col min="16" max="16" width="6.28515625" style="258" customWidth="1"/>
    <col min="17" max="17" width="7.7109375" style="258" customWidth="1"/>
    <col min="18" max="18" width="0.85546875" style="258" customWidth="1"/>
    <col min="19" max="16384" width="11.42578125" style="258" hidden="1"/>
  </cols>
  <sheetData>
    <row r="1" spans="1:17" s="256" customFormat="1" ht="12" customHeight="1" x14ac:dyDescent="0.2">
      <c r="A1" s="254" t="s">
        <v>225</v>
      </c>
      <c r="B1" s="255"/>
      <c r="C1" s="255"/>
      <c r="D1" s="255"/>
      <c r="E1" s="255"/>
      <c r="F1" s="255"/>
      <c r="G1" s="255"/>
      <c r="H1" s="255"/>
      <c r="I1" s="255"/>
      <c r="J1" s="255"/>
      <c r="K1" s="255"/>
      <c r="M1" s="255"/>
      <c r="N1" s="255"/>
      <c r="O1" s="255"/>
      <c r="P1" s="802" t="s">
        <v>226</v>
      </c>
      <c r="Q1" s="802"/>
    </row>
    <row r="2" spans="1:17" s="256" customFormat="1" ht="12" customHeight="1" x14ac:dyDescent="0.25">
      <c r="A2" s="56" t="s">
        <v>185</v>
      </c>
      <c r="B2" s="255"/>
      <c r="C2" s="255"/>
      <c r="D2" s="255"/>
      <c r="E2" s="255"/>
      <c r="F2" s="255"/>
      <c r="G2" s="255"/>
      <c r="H2" s="255"/>
      <c r="I2" s="255"/>
      <c r="J2" s="255"/>
      <c r="K2" s="255"/>
      <c r="M2" s="255"/>
      <c r="N2" s="255"/>
      <c r="O2" s="255"/>
      <c r="P2" s="255"/>
    </row>
    <row r="3" spans="1:17" ht="3" customHeight="1" x14ac:dyDescent="0.25">
      <c r="A3" s="257"/>
      <c r="B3" s="257"/>
      <c r="C3" s="257"/>
      <c r="D3" s="257"/>
      <c r="E3" s="257"/>
      <c r="F3" s="257"/>
      <c r="G3" s="257"/>
      <c r="H3" s="257"/>
      <c r="I3" s="257"/>
      <c r="J3" s="257"/>
      <c r="K3" s="257"/>
      <c r="L3" s="257"/>
      <c r="M3" s="257"/>
      <c r="N3" s="257"/>
      <c r="O3" s="257"/>
      <c r="P3" s="257"/>
      <c r="Q3" s="257"/>
    </row>
    <row r="4" spans="1:17" ht="3" customHeight="1" x14ac:dyDescent="0.25">
      <c r="A4" s="259"/>
      <c r="B4" s="259"/>
      <c r="C4" s="259"/>
      <c r="D4" s="259"/>
      <c r="E4" s="259"/>
      <c r="F4" s="259"/>
      <c r="G4" s="259"/>
      <c r="H4" s="259"/>
      <c r="I4" s="259"/>
      <c r="J4" s="259"/>
      <c r="K4" s="259"/>
      <c r="M4" s="259"/>
      <c r="N4" s="259"/>
      <c r="O4" s="259"/>
      <c r="P4" s="259"/>
    </row>
    <row r="5" spans="1:17" s="260" customFormat="1" ht="8.65" customHeight="1" x14ac:dyDescent="0.15">
      <c r="A5" s="812" t="s">
        <v>227</v>
      </c>
      <c r="B5" s="756" t="s">
        <v>13</v>
      </c>
      <c r="C5" s="756"/>
      <c r="D5" s="275" t="s">
        <v>228</v>
      </c>
      <c r="E5" s="275"/>
      <c r="F5" s="275"/>
      <c r="G5" s="275"/>
      <c r="H5" s="275"/>
      <c r="I5" s="275"/>
      <c r="J5" s="275"/>
      <c r="K5" s="275"/>
      <c r="L5" s="275"/>
      <c r="M5" s="275"/>
      <c r="N5" s="275"/>
      <c r="O5" s="275"/>
      <c r="P5" s="275"/>
      <c r="Q5" s="815" t="s">
        <v>229</v>
      </c>
    </row>
    <row r="6" spans="1:17" s="260" customFormat="1" ht="2.1" customHeight="1" x14ac:dyDescent="0.15">
      <c r="A6" s="813"/>
      <c r="B6" s="756"/>
      <c r="C6" s="756"/>
      <c r="D6" s="276"/>
      <c r="E6" s="277"/>
      <c r="F6" s="277"/>
      <c r="G6" s="277"/>
      <c r="H6" s="277"/>
      <c r="I6" s="277"/>
      <c r="J6" s="277"/>
      <c r="K6" s="277"/>
      <c r="L6" s="277"/>
      <c r="M6" s="277"/>
      <c r="N6" s="277"/>
      <c r="O6" s="277"/>
      <c r="P6" s="277"/>
      <c r="Q6" s="816"/>
    </row>
    <row r="7" spans="1:17" s="260" customFormat="1" ht="9" customHeight="1" x14ac:dyDescent="0.15">
      <c r="A7" s="814"/>
      <c r="B7" s="756"/>
      <c r="C7" s="756"/>
      <c r="D7" s="756" t="s">
        <v>13</v>
      </c>
      <c r="E7" s="817" t="s">
        <v>230</v>
      </c>
      <c r="F7" s="817"/>
      <c r="G7" s="756"/>
      <c r="H7" s="275" t="s">
        <v>231</v>
      </c>
      <c r="I7" s="275"/>
      <c r="J7" s="275"/>
      <c r="K7" s="275"/>
      <c r="L7" s="278"/>
      <c r="M7" s="275"/>
      <c r="N7" s="817" t="s">
        <v>232</v>
      </c>
      <c r="O7" s="759"/>
      <c r="P7" s="817" t="s">
        <v>233</v>
      </c>
      <c r="Q7" s="816"/>
    </row>
    <row r="8" spans="1:17" s="260" customFormat="1" ht="2.1" customHeight="1" x14ac:dyDescent="0.15">
      <c r="A8" s="814"/>
      <c r="B8" s="756"/>
      <c r="C8" s="756"/>
      <c r="D8" s="756"/>
      <c r="E8" s="817"/>
      <c r="F8" s="817"/>
      <c r="G8" s="756"/>
      <c r="H8" s="276"/>
      <c r="I8" s="276"/>
      <c r="J8" s="276"/>
      <c r="K8" s="276"/>
      <c r="L8" s="757"/>
      <c r="M8" s="276"/>
      <c r="N8" s="817"/>
      <c r="O8" s="759"/>
      <c r="P8" s="815"/>
      <c r="Q8" s="756"/>
    </row>
    <row r="9" spans="1:17" s="260" customFormat="1" ht="9.6" customHeight="1" x14ac:dyDescent="0.15">
      <c r="A9" s="814"/>
      <c r="B9" s="279"/>
      <c r="C9" s="279"/>
      <c r="D9" s="279"/>
      <c r="E9" s="817"/>
      <c r="F9" s="817"/>
      <c r="G9" s="279"/>
      <c r="H9" s="758" t="s">
        <v>13</v>
      </c>
      <c r="I9" s="758"/>
      <c r="J9" s="815" t="s">
        <v>234</v>
      </c>
      <c r="K9" s="815" t="s">
        <v>235</v>
      </c>
      <c r="L9" s="817" t="s">
        <v>236</v>
      </c>
      <c r="M9" s="280" t="s">
        <v>192</v>
      </c>
      <c r="N9" s="817"/>
      <c r="O9" s="759"/>
      <c r="P9" s="815"/>
      <c r="Q9" s="756"/>
    </row>
    <row r="10" spans="1:17" s="260" customFormat="1" ht="9.6" customHeight="1" x14ac:dyDescent="0.15">
      <c r="A10" s="814"/>
      <c r="B10" s="756"/>
      <c r="C10" s="756"/>
      <c r="D10" s="756"/>
      <c r="E10" s="817"/>
      <c r="F10" s="817"/>
      <c r="G10" s="756"/>
      <c r="H10" s="281"/>
      <c r="I10" s="281"/>
      <c r="J10" s="816"/>
      <c r="K10" s="816"/>
      <c r="L10" s="817"/>
      <c r="M10" s="758"/>
      <c r="N10" s="756"/>
      <c r="O10" s="756"/>
      <c r="P10" s="756"/>
      <c r="Q10" s="756"/>
    </row>
    <row r="11" spans="1:17" ht="3" customHeight="1" x14ac:dyDescent="0.25">
      <c r="A11" s="257"/>
      <c r="B11" s="257"/>
      <c r="C11" s="257"/>
      <c r="D11" s="257"/>
      <c r="E11" s="257"/>
      <c r="F11" s="257"/>
      <c r="G11" s="257"/>
      <c r="H11" s="257"/>
      <c r="I11" s="257"/>
      <c r="J11" s="257"/>
      <c r="K11" s="257"/>
      <c r="L11" s="257"/>
      <c r="M11" s="257"/>
      <c r="N11" s="257"/>
      <c r="O11" s="257"/>
      <c r="P11" s="257"/>
      <c r="Q11" s="257"/>
    </row>
    <row r="12" spans="1:17" ht="3" customHeight="1" x14ac:dyDescent="0.25">
      <c r="A12" s="259"/>
      <c r="B12" s="259"/>
      <c r="C12" s="259"/>
      <c r="D12" s="259"/>
      <c r="E12" s="259"/>
      <c r="F12" s="259"/>
      <c r="G12" s="259"/>
      <c r="H12" s="259"/>
      <c r="I12" s="259"/>
      <c r="J12" s="259"/>
      <c r="K12" s="259"/>
      <c r="L12" s="259"/>
      <c r="M12" s="259"/>
      <c r="N12" s="259"/>
      <c r="O12" s="259"/>
      <c r="P12" s="259"/>
      <c r="Q12" s="259"/>
    </row>
    <row r="13" spans="1:17" s="263" customFormat="1" ht="9" customHeight="1" x14ac:dyDescent="0.25">
      <c r="A13" s="261">
        <v>1995</v>
      </c>
      <c r="B13" s="262"/>
      <c r="C13" s="262"/>
      <c r="D13" s="262"/>
      <c r="E13" s="262"/>
      <c r="F13" s="262"/>
      <c r="G13" s="262"/>
      <c r="H13" s="262"/>
      <c r="I13" s="262"/>
      <c r="J13" s="262"/>
      <c r="K13" s="262"/>
      <c r="L13" s="262"/>
      <c r="M13" s="262"/>
      <c r="N13" s="262"/>
      <c r="O13" s="262"/>
      <c r="P13" s="262"/>
      <c r="Q13" s="262"/>
    </row>
    <row r="14" spans="1:17" s="265" customFormat="1" ht="9" customHeight="1" x14ac:dyDescent="0.25">
      <c r="A14" s="264" t="s">
        <v>21</v>
      </c>
      <c r="B14" s="262">
        <f>SUM(B16:B47)</f>
        <v>119433</v>
      </c>
      <c r="C14" s="262"/>
      <c r="D14" s="262">
        <f>SUM(D16:D47)</f>
        <v>101674</v>
      </c>
      <c r="E14" s="282"/>
      <c r="F14" s="262">
        <f>SUM(F16:F47)</f>
        <v>31995</v>
      </c>
      <c r="G14" s="262"/>
      <c r="H14" s="262">
        <f>SUM(H16:H47)</f>
        <v>44513</v>
      </c>
      <c r="I14" s="262"/>
      <c r="J14" s="262">
        <f t="shared" ref="J14:Q14" si="0">SUM(J16:J47)</f>
        <v>5319</v>
      </c>
      <c r="K14" s="262">
        <f t="shared" si="0"/>
        <v>5490</v>
      </c>
      <c r="L14" s="262">
        <f t="shared" si="0"/>
        <v>7517</v>
      </c>
      <c r="M14" s="262">
        <f t="shared" si="0"/>
        <v>26187</v>
      </c>
      <c r="N14" s="262">
        <f t="shared" si="0"/>
        <v>10703</v>
      </c>
      <c r="O14" s="262"/>
      <c r="P14" s="262">
        <f t="shared" si="0"/>
        <v>14463</v>
      </c>
      <c r="Q14" s="262">
        <f t="shared" si="0"/>
        <v>17759</v>
      </c>
    </row>
    <row r="15" spans="1:17" s="265" customFormat="1" ht="3.95" customHeight="1" x14ac:dyDescent="0.25">
      <c r="A15" s="264"/>
      <c r="B15" s="262"/>
      <c r="C15" s="262"/>
      <c r="D15" s="282"/>
      <c r="E15" s="282"/>
      <c r="F15" s="262"/>
      <c r="G15" s="262"/>
      <c r="H15" s="262"/>
      <c r="I15" s="262"/>
      <c r="J15" s="262"/>
      <c r="K15" s="262"/>
      <c r="L15" s="262"/>
      <c r="M15" s="262"/>
      <c r="N15" s="262"/>
      <c r="O15" s="262"/>
      <c r="P15" s="262"/>
      <c r="Q15" s="262"/>
    </row>
    <row r="16" spans="1:17" s="263" customFormat="1" ht="9" customHeight="1" x14ac:dyDescent="0.25">
      <c r="A16" s="263" t="s">
        <v>23</v>
      </c>
      <c r="B16" s="266">
        <f t="shared" ref="B16:B47" si="1">SUM(D16+Q16)</f>
        <v>1219</v>
      </c>
      <c r="C16" s="266"/>
      <c r="D16" s="283">
        <f t="shared" ref="D16:D47" si="2">SUM(F16+H16+P16+N16)</f>
        <v>1045</v>
      </c>
      <c r="E16" s="283"/>
      <c r="F16" s="266">
        <v>292</v>
      </c>
      <c r="G16" s="266"/>
      <c r="H16" s="266">
        <f t="shared" ref="H16:H47" si="3">SUM(J16:M16)</f>
        <v>514</v>
      </c>
      <c r="I16" s="266"/>
      <c r="J16" s="266">
        <v>68</v>
      </c>
      <c r="K16" s="266">
        <v>85</v>
      </c>
      <c r="L16" s="266">
        <v>66</v>
      </c>
      <c r="M16" s="266">
        <v>295</v>
      </c>
      <c r="N16" s="266">
        <v>90</v>
      </c>
      <c r="O16" s="266"/>
      <c r="P16" s="266">
        <v>149</v>
      </c>
      <c r="Q16" s="266">
        <v>174</v>
      </c>
    </row>
    <row r="17" spans="1:17" s="263" customFormat="1" ht="9" customHeight="1" x14ac:dyDescent="0.25">
      <c r="A17" s="263" t="s">
        <v>24</v>
      </c>
      <c r="B17" s="266">
        <f t="shared" si="1"/>
        <v>2630</v>
      </c>
      <c r="C17" s="266"/>
      <c r="D17" s="283">
        <f t="shared" si="2"/>
        <v>2208</v>
      </c>
      <c r="E17" s="283"/>
      <c r="F17" s="266">
        <v>674</v>
      </c>
      <c r="G17" s="266"/>
      <c r="H17" s="266">
        <f t="shared" si="3"/>
        <v>1185</v>
      </c>
      <c r="I17" s="266"/>
      <c r="J17" s="266">
        <v>150</v>
      </c>
      <c r="K17" s="266">
        <v>160</v>
      </c>
      <c r="L17" s="266">
        <v>183</v>
      </c>
      <c r="M17" s="266">
        <v>692</v>
      </c>
      <c r="N17" s="266">
        <v>98</v>
      </c>
      <c r="O17" s="266"/>
      <c r="P17" s="266">
        <v>251</v>
      </c>
      <c r="Q17" s="266">
        <v>422</v>
      </c>
    </row>
    <row r="18" spans="1:17" s="263" customFormat="1" ht="9" customHeight="1" x14ac:dyDescent="0.25">
      <c r="A18" s="263" t="s">
        <v>25</v>
      </c>
      <c r="B18" s="266">
        <f t="shared" si="1"/>
        <v>898</v>
      </c>
      <c r="C18" s="266"/>
      <c r="D18" s="283">
        <f t="shared" si="2"/>
        <v>787</v>
      </c>
      <c r="E18" s="283"/>
      <c r="F18" s="266">
        <v>255</v>
      </c>
      <c r="G18" s="266"/>
      <c r="H18" s="266">
        <f t="shared" si="3"/>
        <v>352</v>
      </c>
      <c r="I18" s="266"/>
      <c r="J18" s="266">
        <v>41</v>
      </c>
      <c r="K18" s="266">
        <v>33</v>
      </c>
      <c r="L18" s="266">
        <v>54</v>
      </c>
      <c r="M18" s="266">
        <v>224</v>
      </c>
      <c r="N18" s="266">
        <v>26</v>
      </c>
      <c r="O18" s="266"/>
      <c r="P18" s="266">
        <v>154</v>
      </c>
      <c r="Q18" s="266">
        <v>111</v>
      </c>
    </row>
    <row r="19" spans="1:17" s="263" customFormat="1" ht="9" customHeight="1" x14ac:dyDescent="0.25">
      <c r="A19" s="267" t="s">
        <v>26</v>
      </c>
      <c r="B19" s="268">
        <f t="shared" si="1"/>
        <v>917</v>
      </c>
      <c r="C19" s="268"/>
      <c r="D19" s="284">
        <f t="shared" si="2"/>
        <v>823</v>
      </c>
      <c r="E19" s="284"/>
      <c r="F19" s="268">
        <v>360</v>
      </c>
      <c r="G19" s="268"/>
      <c r="H19" s="268">
        <f t="shared" si="3"/>
        <v>331</v>
      </c>
      <c r="I19" s="268"/>
      <c r="J19" s="268">
        <v>49</v>
      </c>
      <c r="K19" s="268">
        <v>47</v>
      </c>
      <c r="L19" s="268">
        <v>52</v>
      </c>
      <c r="M19" s="268">
        <v>183</v>
      </c>
      <c r="N19" s="268">
        <v>36</v>
      </c>
      <c r="O19" s="268"/>
      <c r="P19" s="268">
        <v>96</v>
      </c>
      <c r="Q19" s="268">
        <v>94</v>
      </c>
    </row>
    <row r="20" spans="1:17" s="263" customFormat="1" ht="9" customHeight="1" x14ac:dyDescent="0.25">
      <c r="A20" s="263" t="s">
        <v>27</v>
      </c>
      <c r="B20" s="266">
        <f t="shared" si="1"/>
        <v>3665</v>
      </c>
      <c r="C20" s="266"/>
      <c r="D20" s="283">
        <f t="shared" si="2"/>
        <v>3024</v>
      </c>
      <c r="E20" s="283"/>
      <c r="F20" s="266">
        <v>1082</v>
      </c>
      <c r="G20" s="266"/>
      <c r="H20" s="266">
        <f t="shared" si="3"/>
        <v>1436</v>
      </c>
      <c r="I20" s="266"/>
      <c r="J20" s="266">
        <v>180</v>
      </c>
      <c r="K20" s="266">
        <v>204</v>
      </c>
      <c r="L20" s="266">
        <v>204</v>
      </c>
      <c r="M20" s="266">
        <v>848</v>
      </c>
      <c r="N20" s="266">
        <v>107</v>
      </c>
      <c r="O20" s="266"/>
      <c r="P20" s="266">
        <v>399</v>
      </c>
      <c r="Q20" s="266">
        <v>641</v>
      </c>
    </row>
    <row r="21" spans="1:17" s="263" customFormat="1" ht="9" customHeight="1" x14ac:dyDescent="0.25">
      <c r="A21" s="263" t="s">
        <v>28</v>
      </c>
      <c r="B21" s="266">
        <f t="shared" si="1"/>
        <v>891</v>
      </c>
      <c r="C21" s="266"/>
      <c r="D21" s="283">
        <f t="shared" si="2"/>
        <v>772</v>
      </c>
      <c r="E21" s="283"/>
      <c r="F21" s="266">
        <v>227</v>
      </c>
      <c r="G21" s="266"/>
      <c r="H21" s="266">
        <f t="shared" si="3"/>
        <v>349</v>
      </c>
      <c r="I21" s="266"/>
      <c r="J21" s="266">
        <v>51</v>
      </c>
      <c r="K21" s="266">
        <v>42</v>
      </c>
      <c r="L21" s="266">
        <v>53</v>
      </c>
      <c r="M21" s="266">
        <v>203</v>
      </c>
      <c r="N21" s="266">
        <v>25</v>
      </c>
      <c r="O21" s="266"/>
      <c r="P21" s="266">
        <v>171</v>
      </c>
      <c r="Q21" s="266">
        <v>119</v>
      </c>
    </row>
    <row r="22" spans="1:17" s="263" customFormat="1" ht="9" customHeight="1" x14ac:dyDescent="0.25">
      <c r="A22" s="263" t="s">
        <v>29</v>
      </c>
      <c r="B22" s="266">
        <f t="shared" si="1"/>
        <v>3131</v>
      </c>
      <c r="C22" s="266"/>
      <c r="D22" s="283">
        <f t="shared" si="2"/>
        <v>2872</v>
      </c>
      <c r="E22" s="283"/>
      <c r="F22" s="266">
        <v>1103</v>
      </c>
      <c r="G22" s="266"/>
      <c r="H22" s="266">
        <f t="shared" si="3"/>
        <v>1053</v>
      </c>
      <c r="I22" s="266"/>
      <c r="J22" s="266">
        <v>156</v>
      </c>
      <c r="K22" s="266">
        <v>203</v>
      </c>
      <c r="L22" s="266">
        <v>253</v>
      </c>
      <c r="M22" s="266">
        <v>441</v>
      </c>
      <c r="N22" s="266">
        <v>178</v>
      </c>
      <c r="O22" s="266"/>
      <c r="P22" s="266">
        <v>538</v>
      </c>
      <c r="Q22" s="266">
        <v>259</v>
      </c>
    </row>
    <row r="23" spans="1:17" s="263" customFormat="1" ht="9" customHeight="1" x14ac:dyDescent="0.25">
      <c r="A23" s="267" t="s">
        <v>30</v>
      </c>
      <c r="B23" s="268">
        <f t="shared" si="1"/>
        <v>3086</v>
      </c>
      <c r="C23" s="268"/>
      <c r="D23" s="284">
        <f t="shared" si="2"/>
        <v>2538</v>
      </c>
      <c r="E23" s="284"/>
      <c r="F23" s="268">
        <v>1068</v>
      </c>
      <c r="G23" s="268"/>
      <c r="H23" s="268">
        <f t="shared" si="3"/>
        <v>1051</v>
      </c>
      <c r="I23" s="268"/>
      <c r="J23" s="268">
        <v>138</v>
      </c>
      <c r="K23" s="268">
        <v>144</v>
      </c>
      <c r="L23" s="268">
        <v>149</v>
      </c>
      <c r="M23" s="268">
        <v>620</v>
      </c>
      <c r="N23" s="268">
        <v>75</v>
      </c>
      <c r="O23" s="268"/>
      <c r="P23" s="268">
        <v>344</v>
      </c>
      <c r="Q23" s="268">
        <v>548</v>
      </c>
    </row>
    <row r="24" spans="1:17" s="263" customFormat="1" ht="9" customHeight="1" x14ac:dyDescent="0.25">
      <c r="A24" s="263" t="s">
        <v>63</v>
      </c>
      <c r="B24" s="266">
        <f t="shared" si="1"/>
        <v>27866</v>
      </c>
      <c r="C24" s="266"/>
      <c r="D24" s="283">
        <f t="shared" si="2"/>
        <v>23450</v>
      </c>
      <c r="E24" s="283"/>
      <c r="F24" s="266">
        <v>5202</v>
      </c>
      <c r="G24" s="266"/>
      <c r="H24" s="266">
        <f t="shared" si="3"/>
        <v>11785</v>
      </c>
      <c r="I24" s="266"/>
      <c r="J24" s="266">
        <v>1172</v>
      </c>
      <c r="K24" s="266">
        <v>1307</v>
      </c>
      <c r="L24" s="266">
        <v>1533</v>
      </c>
      <c r="M24" s="266">
        <v>7773</v>
      </c>
      <c r="N24" s="266">
        <v>5097</v>
      </c>
      <c r="O24" s="266"/>
      <c r="P24" s="266">
        <v>1366</v>
      </c>
      <c r="Q24" s="266">
        <v>4416</v>
      </c>
    </row>
    <row r="25" spans="1:17" s="263" customFormat="1" ht="9" customHeight="1" x14ac:dyDescent="0.25">
      <c r="A25" s="263" t="s">
        <v>31</v>
      </c>
      <c r="B25" s="266">
        <f t="shared" si="1"/>
        <v>1896</v>
      </c>
      <c r="C25" s="266"/>
      <c r="D25" s="283">
        <f t="shared" si="2"/>
        <v>1649</v>
      </c>
      <c r="E25" s="283"/>
      <c r="F25" s="266">
        <v>593</v>
      </c>
      <c r="G25" s="266"/>
      <c r="H25" s="266">
        <f t="shared" si="3"/>
        <v>643</v>
      </c>
      <c r="I25" s="266"/>
      <c r="J25" s="266">
        <v>80</v>
      </c>
      <c r="K25" s="266">
        <v>80</v>
      </c>
      <c r="L25" s="266">
        <v>95</v>
      </c>
      <c r="M25" s="266">
        <v>388</v>
      </c>
      <c r="N25" s="266">
        <v>122</v>
      </c>
      <c r="O25" s="266"/>
      <c r="P25" s="266">
        <v>291</v>
      </c>
      <c r="Q25" s="266">
        <v>247</v>
      </c>
    </row>
    <row r="26" spans="1:17" s="263" customFormat="1" ht="9" customHeight="1" x14ac:dyDescent="0.25">
      <c r="A26" s="263" t="s">
        <v>32</v>
      </c>
      <c r="B26" s="266">
        <f t="shared" si="1"/>
        <v>3913</v>
      </c>
      <c r="C26" s="266"/>
      <c r="D26" s="283">
        <f t="shared" si="2"/>
        <v>3345</v>
      </c>
      <c r="E26" s="283"/>
      <c r="F26" s="266">
        <v>1246</v>
      </c>
      <c r="G26" s="266"/>
      <c r="H26" s="266">
        <f t="shared" si="3"/>
        <v>1280</v>
      </c>
      <c r="I26" s="266"/>
      <c r="J26" s="266">
        <v>182</v>
      </c>
      <c r="K26" s="266">
        <v>179</v>
      </c>
      <c r="L26" s="266">
        <v>207</v>
      </c>
      <c r="M26" s="266">
        <v>712</v>
      </c>
      <c r="N26" s="266">
        <v>267</v>
      </c>
      <c r="O26" s="266"/>
      <c r="P26" s="266">
        <v>552</v>
      </c>
      <c r="Q26" s="266">
        <v>568</v>
      </c>
    </row>
    <row r="27" spans="1:17" s="263" customFormat="1" ht="9" customHeight="1" x14ac:dyDescent="0.25">
      <c r="A27" s="267" t="s">
        <v>33</v>
      </c>
      <c r="B27" s="268">
        <f t="shared" si="1"/>
        <v>2491</v>
      </c>
      <c r="C27" s="268"/>
      <c r="D27" s="284">
        <f t="shared" si="2"/>
        <v>2249</v>
      </c>
      <c r="E27" s="284"/>
      <c r="F27" s="268">
        <v>866</v>
      </c>
      <c r="G27" s="268"/>
      <c r="H27" s="268">
        <f t="shared" si="3"/>
        <v>799</v>
      </c>
      <c r="I27" s="268"/>
      <c r="J27" s="268">
        <v>110</v>
      </c>
      <c r="K27" s="268">
        <v>105</v>
      </c>
      <c r="L27" s="268">
        <v>166</v>
      </c>
      <c r="M27" s="268">
        <v>418</v>
      </c>
      <c r="N27" s="268">
        <v>53</v>
      </c>
      <c r="O27" s="268"/>
      <c r="P27" s="268">
        <v>531</v>
      </c>
      <c r="Q27" s="268">
        <v>242</v>
      </c>
    </row>
    <row r="28" spans="1:17" s="263" customFormat="1" ht="9" customHeight="1" x14ac:dyDescent="0.25">
      <c r="A28" s="263" t="s">
        <v>34</v>
      </c>
      <c r="B28" s="266">
        <f t="shared" si="1"/>
        <v>1971</v>
      </c>
      <c r="C28" s="266"/>
      <c r="D28" s="283">
        <f t="shared" si="2"/>
        <v>1756</v>
      </c>
      <c r="E28" s="283"/>
      <c r="F28" s="266">
        <v>661</v>
      </c>
      <c r="G28" s="266"/>
      <c r="H28" s="266">
        <f t="shared" si="3"/>
        <v>555</v>
      </c>
      <c r="I28" s="266"/>
      <c r="J28" s="266">
        <v>76</v>
      </c>
      <c r="K28" s="266">
        <v>64</v>
      </c>
      <c r="L28" s="266">
        <v>97</v>
      </c>
      <c r="M28" s="266">
        <v>318</v>
      </c>
      <c r="N28" s="266">
        <v>107</v>
      </c>
      <c r="O28" s="266"/>
      <c r="P28" s="266">
        <v>433</v>
      </c>
      <c r="Q28" s="266">
        <v>215</v>
      </c>
    </row>
    <row r="29" spans="1:17" s="263" customFormat="1" ht="9" customHeight="1" x14ac:dyDescent="0.25">
      <c r="A29" s="263" t="s">
        <v>35</v>
      </c>
      <c r="B29" s="266">
        <f t="shared" si="1"/>
        <v>7821</v>
      </c>
      <c r="C29" s="266"/>
      <c r="D29" s="283">
        <f t="shared" si="2"/>
        <v>6485</v>
      </c>
      <c r="E29" s="283"/>
      <c r="F29" s="266">
        <v>1836</v>
      </c>
      <c r="G29" s="266"/>
      <c r="H29" s="266">
        <f t="shared" si="3"/>
        <v>3101</v>
      </c>
      <c r="I29" s="266"/>
      <c r="J29" s="266">
        <v>378</v>
      </c>
      <c r="K29" s="266">
        <v>379</v>
      </c>
      <c r="L29" s="266">
        <v>467</v>
      </c>
      <c r="M29" s="266">
        <v>1877</v>
      </c>
      <c r="N29" s="266">
        <v>703</v>
      </c>
      <c r="O29" s="266"/>
      <c r="P29" s="266">
        <v>845</v>
      </c>
      <c r="Q29" s="266">
        <v>1336</v>
      </c>
    </row>
    <row r="30" spans="1:17" s="263" customFormat="1" ht="9" customHeight="1" x14ac:dyDescent="0.25">
      <c r="A30" s="263" t="s">
        <v>36</v>
      </c>
      <c r="B30" s="266">
        <f t="shared" si="1"/>
        <v>9877</v>
      </c>
      <c r="C30" s="266"/>
      <c r="D30" s="283">
        <f t="shared" si="2"/>
        <v>8188</v>
      </c>
      <c r="E30" s="283"/>
      <c r="F30" s="266">
        <v>2885</v>
      </c>
      <c r="G30" s="266"/>
      <c r="H30" s="266">
        <f t="shared" si="3"/>
        <v>3255</v>
      </c>
      <c r="I30" s="266"/>
      <c r="J30" s="266">
        <v>461</v>
      </c>
      <c r="K30" s="266">
        <v>451</v>
      </c>
      <c r="L30" s="266">
        <v>828</v>
      </c>
      <c r="M30" s="266">
        <v>1515</v>
      </c>
      <c r="N30" s="266">
        <v>767</v>
      </c>
      <c r="O30" s="266"/>
      <c r="P30" s="266">
        <v>1281</v>
      </c>
      <c r="Q30" s="266">
        <v>1689</v>
      </c>
    </row>
    <row r="31" spans="1:17" s="263" customFormat="1" ht="9" customHeight="1" x14ac:dyDescent="0.25">
      <c r="A31" s="267" t="s">
        <v>37</v>
      </c>
      <c r="B31" s="268">
        <f t="shared" si="1"/>
        <v>3496</v>
      </c>
      <c r="C31" s="268"/>
      <c r="D31" s="284">
        <f t="shared" si="2"/>
        <v>3122</v>
      </c>
      <c r="E31" s="284"/>
      <c r="F31" s="268">
        <v>1085</v>
      </c>
      <c r="G31" s="268"/>
      <c r="H31" s="268">
        <f t="shared" si="3"/>
        <v>1164</v>
      </c>
      <c r="I31" s="268"/>
      <c r="J31" s="268">
        <v>142</v>
      </c>
      <c r="K31" s="268">
        <v>118</v>
      </c>
      <c r="L31" s="268">
        <v>228</v>
      </c>
      <c r="M31" s="268">
        <v>676</v>
      </c>
      <c r="N31" s="268">
        <v>159</v>
      </c>
      <c r="O31" s="268"/>
      <c r="P31" s="268">
        <v>714</v>
      </c>
      <c r="Q31" s="268">
        <v>374</v>
      </c>
    </row>
    <row r="32" spans="1:17" s="263" customFormat="1" ht="9" customHeight="1" x14ac:dyDescent="0.25">
      <c r="A32" s="263" t="s">
        <v>38</v>
      </c>
      <c r="B32" s="266">
        <f t="shared" si="1"/>
        <v>1606</v>
      </c>
      <c r="C32" s="266"/>
      <c r="D32" s="283">
        <f t="shared" si="2"/>
        <v>1385</v>
      </c>
      <c r="E32" s="283"/>
      <c r="F32" s="266">
        <v>464</v>
      </c>
      <c r="G32" s="266"/>
      <c r="H32" s="266">
        <f t="shared" si="3"/>
        <v>624</v>
      </c>
      <c r="I32" s="266"/>
      <c r="J32" s="266">
        <v>85</v>
      </c>
      <c r="K32" s="266">
        <v>76</v>
      </c>
      <c r="L32" s="266">
        <v>111</v>
      </c>
      <c r="M32" s="266">
        <v>352</v>
      </c>
      <c r="N32" s="266">
        <v>5</v>
      </c>
      <c r="O32" s="266"/>
      <c r="P32" s="266">
        <v>292</v>
      </c>
      <c r="Q32" s="266">
        <v>221</v>
      </c>
    </row>
    <row r="33" spans="1:17" s="263" customFormat="1" ht="9" customHeight="1" x14ac:dyDescent="0.25">
      <c r="A33" s="263" t="s">
        <v>39</v>
      </c>
      <c r="B33" s="266">
        <f t="shared" si="1"/>
        <v>1165</v>
      </c>
      <c r="C33" s="266"/>
      <c r="D33" s="283">
        <f t="shared" si="2"/>
        <v>961</v>
      </c>
      <c r="E33" s="283"/>
      <c r="F33" s="266">
        <v>297</v>
      </c>
      <c r="G33" s="266"/>
      <c r="H33" s="266">
        <f t="shared" si="3"/>
        <v>378</v>
      </c>
      <c r="I33" s="266"/>
      <c r="J33" s="266">
        <v>50</v>
      </c>
      <c r="K33" s="266">
        <v>44</v>
      </c>
      <c r="L33" s="266">
        <v>77</v>
      </c>
      <c r="M33" s="266">
        <v>207</v>
      </c>
      <c r="N33" s="266">
        <v>46</v>
      </c>
      <c r="O33" s="266"/>
      <c r="P33" s="266">
        <v>240</v>
      </c>
      <c r="Q33" s="266">
        <v>204</v>
      </c>
    </row>
    <row r="34" spans="1:17" s="263" customFormat="1" ht="9" customHeight="1" x14ac:dyDescent="0.25">
      <c r="A34" s="263" t="s">
        <v>40</v>
      </c>
      <c r="B34" s="266">
        <f t="shared" si="1"/>
        <v>5475</v>
      </c>
      <c r="C34" s="266"/>
      <c r="D34" s="283">
        <f t="shared" si="2"/>
        <v>4466</v>
      </c>
      <c r="E34" s="283"/>
      <c r="F34" s="266">
        <v>1425</v>
      </c>
      <c r="G34" s="266"/>
      <c r="H34" s="266">
        <f t="shared" si="3"/>
        <v>2084</v>
      </c>
      <c r="I34" s="266"/>
      <c r="J34" s="266">
        <v>218</v>
      </c>
      <c r="K34" s="266">
        <v>254</v>
      </c>
      <c r="L34" s="266">
        <v>322</v>
      </c>
      <c r="M34" s="266">
        <v>1290</v>
      </c>
      <c r="N34" s="266">
        <v>518</v>
      </c>
      <c r="O34" s="266"/>
      <c r="P34" s="266">
        <v>439</v>
      </c>
      <c r="Q34" s="266">
        <v>1009</v>
      </c>
    </row>
    <row r="35" spans="1:17" s="263" customFormat="1" ht="9" customHeight="1" x14ac:dyDescent="0.25">
      <c r="A35" s="267" t="s">
        <v>41</v>
      </c>
      <c r="B35" s="268">
        <f t="shared" si="1"/>
        <v>2872</v>
      </c>
      <c r="C35" s="268"/>
      <c r="D35" s="284">
        <f t="shared" si="2"/>
        <v>2632</v>
      </c>
      <c r="E35" s="284"/>
      <c r="F35" s="268">
        <v>954</v>
      </c>
      <c r="G35" s="268"/>
      <c r="H35" s="268">
        <f t="shared" si="3"/>
        <v>840</v>
      </c>
      <c r="I35" s="268"/>
      <c r="J35" s="268">
        <v>85</v>
      </c>
      <c r="K35" s="268">
        <v>66</v>
      </c>
      <c r="L35" s="268">
        <v>209</v>
      </c>
      <c r="M35" s="268">
        <v>480</v>
      </c>
      <c r="N35" s="268">
        <v>164</v>
      </c>
      <c r="O35" s="268"/>
      <c r="P35" s="268">
        <v>674</v>
      </c>
      <c r="Q35" s="268">
        <v>240</v>
      </c>
    </row>
    <row r="36" spans="1:17" s="263" customFormat="1" ht="9" customHeight="1" x14ac:dyDescent="0.25">
      <c r="A36" s="263" t="s">
        <v>42</v>
      </c>
      <c r="B36" s="266">
        <f t="shared" si="1"/>
        <v>4155</v>
      </c>
      <c r="C36" s="266"/>
      <c r="D36" s="283">
        <f t="shared" si="2"/>
        <v>3535</v>
      </c>
      <c r="E36" s="283"/>
      <c r="F36" s="266">
        <v>1053</v>
      </c>
      <c r="G36" s="266"/>
      <c r="H36" s="266">
        <f t="shared" si="3"/>
        <v>1526</v>
      </c>
      <c r="I36" s="266"/>
      <c r="J36" s="266">
        <v>134</v>
      </c>
      <c r="K36" s="266">
        <v>137</v>
      </c>
      <c r="L36" s="266">
        <v>531</v>
      </c>
      <c r="M36" s="266">
        <v>724</v>
      </c>
      <c r="N36" s="266">
        <v>250</v>
      </c>
      <c r="O36" s="266"/>
      <c r="P36" s="266">
        <v>706</v>
      </c>
      <c r="Q36" s="266">
        <v>620</v>
      </c>
    </row>
    <row r="37" spans="1:17" s="263" customFormat="1" ht="9" customHeight="1" x14ac:dyDescent="0.25">
      <c r="A37" s="263" t="s">
        <v>43</v>
      </c>
      <c r="B37" s="266">
        <f t="shared" si="1"/>
        <v>1524</v>
      </c>
      <c r="C37" s="266"/>
      <c r="D37" s="283">
        <f t="shared" si="2"/>
        <v>1332</v>
      </c>
      <c r="E37" s="283"/>
      <c r="F37" s="266">
        <v>409</v>
      </c>
      <c r="G37" s="266"/>
      <c r="H37" s="266">
        <f t="shared" si="3"/>
        <v>503</v>
      </c>
      <c r="I37" s="266"/>
      <c r="J37" s="266">
        <v>76</v>
      </c>
      <c r="K37" s="266">
        <v>87</v>
      </c>
      <c r="L37" s="266">
        <v>96</v>
      </c>
      <c r="M37" s="266">
        <v>244</v>
      </c>
      <c r="N37" s="266">
        <v>101</v>
      </c>
      <c r="O37" s="266"/>
      <c r="P37" s="266">
        <v>319</v>
      </c>
      <c r="Q37" s="266">
        <v>192</v>
      </c>
    </row>
    <row r="38" spans="1:17" s="263" customFormat="1" ht="9" customHeight="1" x14ac:dyDescent="0.25">
      <c r="A38" s="263" t="s">
        <v>44</v>
      </c>
      <c r="B38" s="266">
        <f t="shared" si="1"/>
        <v>923</v>
      </c>
      <c r="C38" s="266"/>
      <c r="D38" s="283">
        <f t="shared" si="2"/>
        <v>773</v>
      </c>
      <c r="E38" s="283"/>
      <c r="F38" s="266">
        <v>284</v>
      </c>
      <c r="G38" s="266"/>
      <c r="H38" s="266">
        <f t="shared" si="3"/>
        <v>331</v>
      </c>
      <c r="I38" s="266"/>
      <c r="J38" s="266">
        <v>51</v>
      </c>
      <c r="K38" s="266">
        <v>50</v>
      </c>
      <c r="L38" s="266">
        <v>63</v>
      </c>
      <c r="M38" s="266">
        <v>167</v>
      </c>
      <c r="N38" s="266">
        <v>16</v>
      </c>
      <c r="O38" s="266"/>
      <c r="P38" s="266">
        <v>142</v>
      </c>
      <c r="Q38" s="266">
        <v>150</v>
      </c>
    </row>
    <row r="39" spans="1:17" s="263" customFormat="1" ht="9" customHeight="1" x14ac:dyDescent="0.25">
      <c r="A39" s="267" t="s">
        <v>45</v>
      </c>
      <c r="B39" s="268">
        <f t="shared" si="1"/>
        <v>2001</v>
      </c>
      <c r="C39" s="268"/>
      <c r="D39" s="284">
        <f t="shared" si="2"/>
        <v>1739</v>
      </c>
      <c r="E39" s="284"/>
      <c r="F39" s="268">
        <v>603</v>
      </c>
      <c r="G39" s="268"/>
      <c r="H39" s="268">
        <f t="shared" si="3"/>
        <v>655</v>
      </c>
      <c r="I39" s="268"/>
      <c r="J39" s="268">
        <v>95</v>
      </c>
      <c r="K39" s="268">
        <v>87</v>
      </c>
      <c r="L39" s="268">
        <v>112</v>
      </c>
      <c r="M39" s="268">
        <v>361</v>
      </c>
      <c r="N39" s="268">
        <v>164</v>
      </c>
      <c r="O39" s="268"/>
      <c r="P39" s="268">
        <v>317</v>
      </c>
      <c r="Q39" s="268">
        <v>262</v>
      </c>
    </row>
    <row r="40" spans="1:17" s="263" customFormat="1" ht="9" customHeight="1" x14ac:dyDescent="0.25">
      <c r="A40" s="263" t="s">
        <v>46</v>
      </c>
      <c r="B40" s="266">
        <f t="shared" si="1"/>
        <v>3016</v>
      </c>
      <c r="C40" s="266"/>
      <c r="D40" s="283">
        <f t="shared" si="2"/>
        <v>2542</v>
      </c>
      <c r="E40" s="283"/>
      <c r="F40" s="266">
        <v>867</v>
      </c>
      <c r="G40" s="266"/>
      <c r="H40" s="266">
        <f t="shared" si="3"/>
        <v>1125</v>
      </c>
      <c r="I40" s="266"/>
      <c r="J40" s="266">
        <v>139</v>
      </c>
      <c r="K40" s="266">
        <v>134</v>
      </c>
      <c r="L40" s="266">
        <v>162</v>
      </c>
      <c r="M40" s="266">
        <v>690</v>
      </c>
      <c r="N40" s="266">
        <v>108</v>
      </c>
      <c r="O40" s="266"/>
      <c r="P40" s="266">
        <v>442</v>
      </c>
      <c r="Q40" s="266">
        <v>474</v>
      </c>
    </row>
    <row r="41" spans="1:17" s="263" customFormat="1" ht="9" customHeight="1" x14ac:dyDescent="0.25">
      <c r="A41" s="263" t="s">
        <v>47</v>
      </c>
      <c r="B41" s="266">
        <f t="shared" si="1"/>
        <v>3218</v>
      </c>
      <c r="C41" s="266"/>
      <c r="D41" s="283">
        <f t="shared" si="2"/>
        <v>2697</v>
      </c>
      <c r="E41" s="283"/>
      <c r="F41" s="266">
        <v>810</v>
      </c>
      <c r="G41" s="266"/>
      <c r="H41" s="266">
        <f t="shared" si="3"/>
        <v>1226</v>
      </c>
      <c r="I41" s="266"/>
      <c r="J41" s="266">
        <v>155</v>
      </c>
      <c r="K41" s="266">
        <v>160</v>
      </c>
      <c r="L41" s="266">
        <v>150</v>
      </c>
      <c r="M41" s="266">
        <v>761</v>
      </c>
      <c r="N41" s="266">
        <v>338</v>
      </c>
      <c r="O41" s="266"/>
      <c r="P41" s="266">
        <v>323</v>
      </c>
      <c r="Q41" s="266">
        <v>521</v>
      </c>
    </row>
    <row r="42" spans="1:17" s="263" customFormat="1" ht="9" customHeight="1" x14ac:dyDescent="0.25">
      <c r="A42" s="263" t="s">
        <v>48</v>
      </c>
      <c r="B42" s="266">
        <f t="shared" si="1"/>
        <v>2684</v>
      </c>
      <c r="C42" s="266"/>
      <c r="D42" s="283">
        <f t="shared" si="2"/>
        <v>2446</v>
      </c>
      <c r="E42" s="283"/>
      <c r="F42" s="266">
        <v>1024</v>
      </c>
      <c r="G42" s="266"/>
      <c r="H42" s="266">
        <f t="shared" si="3"/>
        <v>1006</v>
      </c>
      <c r="I42" s="266"/>
      <c r="J42" s="266">
        <v>117</v>
      </c>
      <c r="K42" s="266">
        <v>111</v>
      </c>
      <c r="L42" s="266">
        <v>258</v>
      </c>
      <c r="M42" s="266">
        <v>520</v>
      </c>
      <c r="N42" s="266">
        <v>120</v>
      </c>
      <c r="O42" s="266"/>
      <c r="P42" s="266">
        <v>296</v>
      </c>
      <c r="Q42" s="266">
        <v>238</v>
      </c>
    </row>
    <row r="43" spans="1:17" s="263" customFormat="1" ht="9" customHeight="1" x14ac:dyDescent="0.25">
      <c r="A43" s="267" t="s">
        <v>49</v>
      </c>
      <c r="B43" s="268">
        <f t="shared" si="1"/>
        <v>3898</v>
      </c>
      <c r="C43" s="268"/>
      <c r="D43" s="284">
        <f t="shared" si="2"/>
        <v>3330</v>
      </c>
      <c r="E43" s="284"/>
      <c r="F43" s="268">
        <v>1134</v>
      </c>
      <c r="G43" s="268"/>
      <c r="H43" s="268">
        <f t="shared" si="3"/>
        <v>1548</v>
      </c>
      <c r="I43" s="268"/>
      <c r="J43" s="268">
        <v>193</v>
      </c>
      <c r="K43" s="268">
        <v>194</v>
      </c>
      <c r="L43" s="268">
        <v>185</v>
      </c>
      <c r="M43" s="268">
        <v>976</v>
      </c>
      <c r="N43" s="268">
        <v>148</v>
      </c>
      <c r="O43" s="268"/>
      <c r="P43" s="268">
        <v>500</v>
      </c>
      <c r="Q43" s="268">
        <v>568</v>
      </c>
    </row>
    <row r="44" spans="1:17" s="263" customFormat="1" ht="9" customHeight="1" x14ac:dyDescent="0.25">
      <c r="A44" s="263" t="s">
        <v>50</v>
      </c>
      <c r="B44" s="266">
        <f t="shared" si="1"/>
        <v>932</v>
      </c>
      <c r="C44" s="266"/>
      <c r="D44" s="283">
        <f t="shared" si="2"/>
        <v>803</v>
      </c>
      <c r="E44" s="283"/>
      <c r="F44" s="266">
        <v>247</v>
      </c>
      <c r="G44" s="266"/>
      <c r="H44" s="266">
        <f t="shared" si="3"/>
        <v>321</v>
      </c>
      <c r="I44" s="266"/>
      <c r="J44" s="266">
        <v>39</v>
      </c>
      <c r="K44" s="266">
        <v>38</v>
      </c>
      <c r="L44" s="266">
        <v>83</v>
      </c>
      <c r="M44" s="266">
        <v>161</v>
      </c>
      <c r="N44" s="266">
        <v>27</v>
      </c>
      <c r="O44" s="266"/>
      <c r="P44" s="266">
        <v>208</v>
      </c>
      <c r="Q44" s="266">
        <v>129</v>
      </c>
    </row>
    <row r="45" spans="1:17" s="263" customFormat="1" ht="9" customHeight="1" x14ac:dyDescent="0.25">
      <c r="A45" s="263" t="s">
        <v>51</v>
      </c>
      <c r="B45" s="266">
        <f t="shared" si="1"/>
        <v>6849</v>
      </c>
      <c r="C45" s="266"/>
      <c r="D45" s="283">
        <f t="shared" si="2"/>
        <v>5844</v>
      </c>
      <c r="E45" s="283"/>
      <c r="F45" s="266">
        <v>2147</v>
      </c>
      <c r="G45" s="266"/>
      <c r="H45" s="266">
        <f t="shared" si="3"/>
        <v>2378</v>
      </c>
      <c r="I45" s="266"/>
      <c r="J45" s="266">
        <v>305</v>
      </c>
      <c r="K45" s="266">
        <v>316</v>
      </c>
      <c r="L45" s="266">
        <v>328</v>
      </c>
      <c r="M45" s="266">
        <v>1429</v>
      </c>
      <c r="N45" s="266">
        <v>457</v>
      </c>
      <c r="O45" s="266"/>
      <c r="P45" s="266">
        <v>862</v>
      </c>
      <c r="Q45" s="266">
        <v>1005</v>
      </c>
    </row>
    <row r="46" spans="1:17" s="263" customFormat="1" ht="9" customHeight="1" x14ac:dyDescent="0.25">
      <c r="A46" s="263" t="s">
        <v>52</v>
      </c>
      <c r="B46" s="266">
        <f t="shared" si="1"/>
        <v>2122</v>
      </c>
      <c r="C46" s="266"/>
      <c r="D46" s="283">
        <f t="shared" si="2"/>
        <v>1774</v>
      </c>
      <c r="E46" s="283"/>
      <c r="F46" s="266">
        <v>504</v>
      </c>
      <c r="G46" s="266"/>
      <c r="H46" s="266">
        <f t="shared" si="3"/>
        <v>755</v>
      </c>
      <c r="I46" s="266"/>
      <c r="J46" s="266">
        <v>97</v>
      </c>
      <c r="K46" s="266">
        <v>94</v>
      </c>
      <c r="L46" s="266">
        <v>116</v>
      </c>
      <c r="M46" s="266">
        <v>448</v>
      </c>
      <c r="N46" s="266">
        <v>256</v>
      </c>
      <c r="O46" s="266"/>
      <c r="P46" s="266">
        <v>259</v>
      </c>
      <c r="Q46" s="266">
        <v>348</v>
      </c>
    </row>
    <row r="47" spans="1:17" s="263" customFormat="1" ht="9" customHeight="1" x14ac:dyDescent="0.25">
      <c r="A47" s="267" t="s">
        <v>53</v>
      </c>
      <c r="B47" s="268">
        <f t="shared" si="1"/>
        <v>1225</v>
      </c>
      <c r="C47" s="268"/>
      <c r="D47" s="284">
        <f t="shared" si="2"/>
        <v>1102</v>
      </c>
      <c r="E47" s="284"/>
      <c r="F47" s="268">
        <v>338</v>
      </c>
      <c r="G47" s="268"/>
      <c r="H47" s="268">
        <f t="shared" si="3"/>
        <v>360</v>
      </c>
      <c r="I47" s="268"/>
      <c r="J47" s="268">
        <v>46</v>
      </c>
      <c r="K47" s="268">
        <v>41</v>
      </c>
      <c r="L47" s="268">
        <v>79</v>
      </c>
      <c r="M47" s="268">
        <v>194</v>
      </c>
      <c r="N47" s="268">
        <v>75</v>
      </c>
      <c r="O47" s="268"/>
      <c r="P47" s="268">
        <v>329</v>
      </c>
      <c r="Q47" s="268">
        <v>123</v>
      </c>
    </row>
    <row r="48" spans="1:17" s="286" customFormat="1" ht="9" customHeight="1" x14ac:dyDescent="0.25">
      <c r="A48" s="269"/>
      <c r="B48" s="270"/>
      <c r="C48" s="270"/>
      <c r="D48" s="285"/>
      <c r="E48" s="285"/>
      <c r="F48" s="270"/>
      <c r="G48" s="270"/>
      <c r="H48" s="270"/>
      <c r="I48" s="270"/>
      <c r="J48" s="270"/>
      <c r="K48" s="270"/>
      <c r="L48" s="270"/>
      <c r="M48" s="270"/>
      <c r="N48" s="270"/>
      <c r="O48" s="270"/>
      <c r="P48" s="270"/>
      <c r="Q48" s="270"/>
    </row>
    <row r="49" spans="1:17" s="263" customFormat="1" ht="9" customHeight="1" x14ac:dyDescent="0.25">
      <c r="A49" s="261">
        <v>1996</v>
      </c>
      <c r="B49" s="266"/>
      <c r="C49" s="266"/>
      <c r="D49" s="266"/>
      <c r="E49" s="266"/>
      <c r="F49" s="266"/>
      <c r="G49" s="266"/>
      <c r="H49" s="266"/>
      <c r="I49" s="266"/>
      <c r="J49" s="266"/>
      <c r="K49" s="266"/>
      <c r="L49" s="266"/>
      <c r="M49" s="266"/>
      <c r="N49" s="266"/>
      <c r="O49" s="266"/>
      <c r="P49" s="266"/>
      <c r="Q49" s="266"/>
    </row>
    <row r="50" spans="1:17" s="263" customFormat="1" ht="9" customHeight="1" x14ac:dyDescent="0.25">
      <c r="A50" s="264" t="s">
        <v>21</v>
      </c>
      <c r="B50" s="262">
        <f>SUM(B52:B83)</f>
        <v>123114</v>
      </c>
      <c r="C50" s="262"/>
      <c r="D50" s="262">
        <f>SUM(D52:D83)</f>
        <v>104414</v>
      </c>
      <c r="E50" s="282"/>
      <c r="F50" s="262">
        <f>SUM(F52:F83)</f>
        <v>32534</v>
      </c>
      <c r="G50" s="262"/>
      <c r="H50" s="262">
        <f>SUM(H52:H83)</f>
        <v>46617</v>
      </c>
      <c r="I50" s="262"/>
      <c r="J50" s="262">
        <f t="shared" ref="J50:Q50" si="4">SUM(J52:J83)</f>
        <v>5388</v>
      </c>
      <c r="K50" s="262">
        <f t="shared" si="4"/>
        <v>5661</v>
      </c>
      <c r="L50" s="262">
        <f t="shared" si="4"/>
        <v>7767</v>
      </c>
      <c r="M50" s="262">
        <f t="shared" si="4"/>
        <v>27801</v>
      </c>
      <c r="N50" s="262">
        <f t="shared" si="4"/>
        <v>10503</v>
      </c>
      <c r="O50" s="262"/>
      <c r="P50" s="262">
        <f t="shared" si="4"/>
        <v>14760</v>
      </c>
      <c r="Q50" s="262">
        <f t="shared" si="4"/>
        <v>18700</v>
      </c>
    </row>
    <row r="51" spans="1:17" s="263" customFormat="1" ht="3.95" customHeight="1" x14ac:dyDescent="0.25">
      <c r="A51" s="265"/>
      <c r="B51" s="262"/>
      <c r="C51" s="262"/>
      <c r="D51" s="282"/>
      <c r="E51" s="282"/>
      <c r="F51" s="262"/>
      <c r="G51" s="262"/>
      <c r="H51" s="262"/>
      <c r="I51" s="262"/>
      <c r="J51" s="262"/>
      <c r="K51" s="262"/>
      <c r="L51" s="262"/>
      <c r="M51" s="262"/>
      <c r="N51" s="262"/>
      <c r="O51" s="262"/>
      <c r="P51" s="262"/>
      <c r="Q51" s="262"/>
    </row>
    <row r="52" spans="1:17" s="263" customFormat="1" ht="9" customHeight="1" x14ac:dyDescent="0.25">
      <c r="A52" s="263" t="s">
        <v>23</v>
      </c>
      <c r="B52" s="266">
        <f t="shared" ref="B52:B83" si="5">SUM(D52+Q52)</f>
        <v>1383</v>
      </c>
      <c r="C52" s="266"/>
      <c r="D52" s="283">
        <f t="shared" ref="D52:D83" si="6">SUM(F52+H52+P52+N52)</f>
        <v>1207</v>
      </c>
      <c r="E52" s="283"/>
      <c r="F52" s="266">
        <v>315</v>
      </c>
      <c r="G52" s="266"/>
      <c r="H52" s="266">
        <f t="shared" ref="H52:H83" si="7">SUM(J52:M52)</f>
        <v>614</v>
      </c>
      <c r="I52" s="266"/>
      <c r="J52" s="266">
        <v>76</v>
      </c>
      <c r="K52" s="266">
        <v>102</v>
      </c>
      <c r="L52" s="266">
        <v>72</v>
      </c>
      <c r="M52" s="266">
        <v>364</v>
      </c>
      <c r="N52" s="266">
        <v>111</v>
      </c>
      <c r="O52" s="266"/>
      <c r="P52" s="266">
        <v>167</v>
      </c>
      <c r="Q52" s="266">
        <v>176</v>
      </c>
    </row>
    <row r="53" spans="1:17" s="263" customFormat="1" ht="9" customHeight="1" x14ac:dyDescent="0.25">
      <c r="A53" s="263" t="s">
        <v>24</v>
      </c>
      <c r="B53" s="266">
        <f t="shared" si="5"/>
        <v>2600</v>
      </c>
      <c r="C53" s="266"/>
      <c r="D53" s="283">
        <f t="shared" si="6"/>
        <v>2159</v>
      </c>
      <c r="E53" s="283"/>
      <c r="F53" s="266">
        <v>677</v>
      </c>
      <c r="G53" s="266"/>
      <c r="H53" s="266">
        <f t="shared" si="7"/>
        <v>1201</v>
      </c>
      <c r="I53" s="266"/>
      <c r="J53" s="266">
        <v>146</v>
      </c>
      <c r="K53" s="266">
        <v>148</v>
      </c>
      <c r="L53" s="266">
        <v>185</v>
      </c>
      <c r="M53" s="266">
        <v>722</v>
      </c>
      <c r="N53" s="266">
        <v>67</v>
      </c>
      <c r="O53" s="266"/>
      <c r="P53" s="266">
        <v>214</v>
      </c>
      <c r="Q53" s="266">
        <v>441</v>
      </c>
    </row>
    <row r="54" spans="1:17" s="263" customFormat="1" ht="9" customHeight="1" x14ac:dyDescent="0.25">
      <c r="A54" s="263" t="s">
        <v>25</v>
      </c>
      <c r="B54" s="266">
        <f t="shared" si="5"/>
        <v>907</v>
      </c>
      <c r="C54" s="266"/>
      <c r="D54" s="283">
        <f t="shared" si="6"/>
        <v>804</v>
      </c>
      <c r="E54" s="283"/>
      <c r="F54" s="266">
        <v>283</v>
      </c>
      <c r="G54" s="266"/>
      <c r="H54" s="266">
        <f t="shared" si="7"/>
        <v>379</v>
      </c>
      <c r="I54" s="266"/>
      <c r="J54" s="266">
        <v>46</v>
      </c>
      <c r="K54" s="266">
        <v>34</v>
      </c>
      <c r="L54" s="266">
        <v>41</v>
      </c>
      <c r="M54" s="266">
        <v>258</v>
      </c>
      <c r="N54" s="266">
        <v>27</v>
      </c>
      <c r="O54" s="266"/>
      <c r="P54" s="266">
        <v>115</v>
      </c>
      <c r="Q54" s="266">
        <v>103</v>
      </c>
    </row>
    <row r="55" spans="1:17" s="263" customFormat="1" ht="9" customHeight="1" x14ac:dyDescent="0.25">
      <c r="A55" s="267" t="s">
        <v>26</v>
      </c>
      <c r="B55" s="268">
        <f t="shared" si="5"/>
        <v>1002</v>
      </c>
      <c r="C55" s="268"/>
      <c r="D55" s="284">
        <f t="shared" si="6"/>
        <v>898</v>
      </c>
      <c r="E55" s="284"/>
      <c r="F55" s="268">
        <v>376</v>
      </c>
      <c r="G55" s="268"/>
      <c r="H55" s="268">
        <f t="shared" si="7"/>
        <v>384</v>
      </c>
      <c r="I55" s="268"/>
      <c r="J55" s="268">
        <v>53</v>
      </c>
      <c r="K55" s="268">
        <v>44</v>
      </c>
      <c r="L55" s="268">
        <v>70</v>
      </c>
      <c r="M55" s="268">
        <v>217</v>
      </c>
      <c r="N55" s="268">
        <v>28</v>
      </c>
      <c r="O55" s="268"/>
      <c r="P55" s="268">
        <v>110</v>
      </c>
      <c r="Q55" s="268">
        <v>104</v>
      </c>
    </row>
    <row r="56" spans="1:17" s="263" customFormat="1" ht="9" customHeight="1" x14ac:dyDescent="0.25">
      <c r="A56" s="263" t="s">
        <v>27</v>
      </c>
      <c r="B56" s="266">
        <f t="shared" si="5"/>
        <v>3779</v>
      </c>
      <c r="C56" s="266"/>
      <c r="D56" s="283">
        <f t="shared" si="6"/>
        <v>3113</v>
      </c>
      <c r="E56" s="283"/>
      <c r="F56" s="266">
        <v>1095</v>
      </c>
      <c r="G56" s="266"/>
      <c r="H56" s="266">
        <f t="shared" si="7"/>
        <v>1539</v>
      </c>
      <c r="I56" s="266"/>
      <c r="J56" s="266">
        <v>188</v>
      </c>
      <c r="K56" s="266">
        <v>210</v>
      </c>
      <c r="L56" s="266">
        <v>211</v>
      </c>
      <c r="M56" s="266">
        <v>930</v>
      </c>
      <c r="N56" s="266">
        <v>104</v>
      </c>
      <c r="O56" s="266"/>
      <c r="P56" s="266">
        <v>375</v>
      </c>
      <c r="Q56" s="266">
        <v>666</v>
      </c>
    </row>
    <row r="57" spans="1:17" s="263" customFormat="1" ht="9" customHeight="1" x14ac:dyDescent="0.25">
      <c r="A57" s="263" t="s">
        <v>28</v>
      </c>
      <c r="B57" s="266">
        <f t="shared" si="5"/>
        <v>895</v>
      </c>
      <c r="C57" s="266"/>
      <c r="D57" s="283">
        <f t="shared" si="6"/>
        <v>782</v>
      </c>
      <c r="E57" s="283"/>
      <c r="F57" s="266">
        <v>235</v>
      </c>
      <c r="G57" s="266"/>
      <c r="H57" s="266">
        <f t="shared" si="7"/>
        <v>389</v>
      </c>
      <c r="I57" s="266"/>
      <c r="J57" s="266">
        <v>51</v>
      </c>
      <c r="K57" s="266">
        <v>43</v>
      </c>
      <c r="L57" s="266">
        <v>52</v>
      </c>
      <c r="M57" s="266">
        <v>243</v>
      </c>
      <c r="N57" s="266">
        <v>24</v>
      </c>
      <c r="O57" s="266"/>
      <c r="P57" s="266">
        <v>134</v>
      </c>
      <c r="Q57" s="266">
        <v>113</v>
      </c>
    </row>
    <row r="58" spans="1:17" s="263" customFormat="1" ht="9" customHeight="1" x14ac:dyDescent="0.25">
      <c r="A58" s="263" t="s">
        <v>29</v>
      </c>
      <c r="B58" s="266">
        <f t="shared" si="5"/>
        <v>3400</v>
      </c>
      <c r="C58" s="266"/>
      <c r="D58" s="283">
        <f t="shared" si="6"/>
        <v>3136</v>
      </c>
      <c r="E58" s="283"/>
      <c r="F58" s="266">
        <v>1181</v>
      </c>
      <c r="G58" s="266"/>
      <c r="H58" s="266">
        <f t="shared" si="7"/>
        <v>1280</v>
      </c>
      <c r="I58" s="266"/>
      <c r="J58" s="266">
        <v>125</v>
      </c>
      <c r="K58" s="266">
        <v>110</v>
      </c>
      <c r="L58" s="266">
        <v>310</v>
      </c>
      <c r="M58" s="266">
        <v>735</v>
      </c>
      <c r="N58" s="266">
        <v>140</v>
      </c>
      <c r="O58" s="266"/>
      <c r="P58" s="266">
        <v>535</v>
      </c>
      <c r="Q58" s="266">
        <v>264</v>
      </c>
    </row>
    <row r="59" spans="1:17" s="263" customFormat="1" ht="9" customHeight="1" x14ac:dyDescent="0.25">
      <c r="A59" s="267" t="s">
        <v>30</v>
      </c>
      <c r="B59" s="268">
        <f t="shared" si="5"/>
        <v>3176</v>
      </c>
      <c r="C59" s="268"/>
      <c r="D59" s="284">
        <f t="shared" si="6"/>
        <v>2638</v>
      </c>
      <c r="E59" s="284"/>
      <c r="F59" s="268">
        <v>1099</v>
      </c>
      <c r="G59" s="268"/>
      <c r="H59" s="268">
        <f t="shared" si="7"/>
        <v>1076</v>
      </c>
      <c r="I59" s="268"/>
      <c r="J59" s="268">
        <v>140</v>
      </c>
      <c r="K59" s="268">
        <v>133</v>
      </c>
      <c r="L59" s="268">
        <v>148</v>
      </c>
      <c r="M59" s="268">
        <v>655</v>
      </c>
      <c r="N59" s="268">
        <v>105</v>
      </c>
      <c r="O59" s="268"/>
      <c r="P59" s="268">
        <v>358</v>
      </c>
      <c r="Q59" s="268">
        <v>538</v>
      </c>
    </row>
    <row r="60" spans="1:17" s="263" customFormat="1" ht="9" customHeight="1" x14ac:dyDescent="0.25">
      <c r="A60" s="263" t="s">
        <v>63</v>
      </c>
      <c r="B60" s="266">
        <f t="shared" si="5"/>
        <v>27309</v>
      </c>
      <c r="C60" s="266"/>
      <c r="D60" s="283">
        <f t="shared" si="6"/>
        <v>22495</v>
      </c>
      <c r="E60" s="283"/>
      <c r="F60" s="266">
        <v>4956</v>
      </c>
      <c r="G60" s="266"/>
      <c r="H60" s="266">
        <f t="shared" si="7"/>
        <v>11371</v>
      </c>
      <c r="I60" s="266"/>
      <c r="J60" s="266">
        <v>1087</v>
      </c>
      <c r="K60" s="266">
        <v>1404</v>
      </c>
      <c r="L60" s="266">
        <v>1513</v>
      </c>
      <c r="M60" s="266">
        <v>7367</v>
      </c>
      <c r="N60" s="266">
        <v>4522</v>
      </c>
      <c r="O60" s="266"/>
      <c r="P60" s="266">
        <v>1646</v>
      </c>
      <c r="Q60" s="266">
        <v>4814</v>
      </c>
    </row>
    <row r="61" spans="1:17" s="263" customFormat="1" ht="9" customHeight="1" x14ac:dyDescent="0.25">
      <c r="A61" s="263" t="s">
        <v>31</v>
      </c>
      <c r="B61" s="266">
        <f t="shared" si="5"/>
        <v>2047</v>
      </c>
      <c r="C61" s="266"/>
      <c r="D61" s="283">
        <f t="shared" si="6"/>
        <v>1777</v>
      </c>
      <c r="E61" s="283"/>
      <c r="F61" s="266">
        <v>553</v>
      </c>
      <c r="G61" s="266"/>
      <c r="H61" s="266">
        <f t="shared" si="7"/>
        <v>751</v>
      </c>
      <c r="I61" s="266"/>
      <c r="J61" s="266">
        <v>99</v>
      </c>
      <c r="K61" s="266">
        <v>94</v>
      </c>
      <c r="L61" s="266">
        <v>94</v>
      </c>
      <c r="M61" s="266">
        <v>464</v>
      </c>
      <c r="N61" s="266">
        <v>113</v>
      </c>
      <c r="O61" s="266"/>
      <c r="P61" s="266">
        <v>360</v>
      </c>
      <c r="Q61" s="266">
        <v>270</v>
      </c>
    </row>
    <row r="62" spans="1:17" s="263" customFormat="1" ht="9" customHeight="1" x14ac:dyDescent="0.25">
      <c r="A62" s="263" t="s">
        <v>32</v>
      </c>
      <c r="B62" s="266">
        <f t="shared" si="5"/>
        <v>3990</v>
      </c>
      <c r="C62" s="266"/>
      <c r="D62" s="283">
        <f t="shared" si="6"/>
        <v>3381</v>
      </c>
      <c r="E62" s="283"/>
      <c r="F62" s="266">
        <v>1238</v>
      </c>
      <c r="G62" s="266"/>
      <c r="H62" s="266">
        <f t="shared" si="7"/>
        <v>1349</v>
      </c>
      <c r="I62" s="266"/>
      <c r="J62" s="266">
        <v>181</v>
      </c>
      <c r="K62" s="266">
        <v>176</v>
      </c>
      <c r="L62" s="266">
        <v>174</v>
      </c>
      <c r="M62" s="266">
        <v>818</v>
      </c>
      <c r="N62" s="266">
        <v>252</v>
      </c>
      <c r="O62" s="266"/>
      <c r="P62" s="266">
        <v>542</v>
      </c>
      <c r="Q62" s="266">
        <v>609</v>
      </c>
    </row>
    <row r="63" spans="1:17" s="263" customFormat="1" ht="9" customHeight="1" x14ac:dyDescent="0.25">
      <c r="A63" s="267" t="s">
        <v>33</v>
      </c>
      <c r="B63" s="268">
        <f t="shared" si="5"/>
        <v>2618</v>
      </c>
      <c r="C63" s="268"/>
      <c r="D63" s="284">
        <f t="shared" si="6"/>
        <v>2354</v>
      </c>
      <c r="E63" s="284"/>
      <c r="F63" s="268">
        <v>932</v>
      </c>
      <c r="G63" s="268"/>
      <c r="H63" s="268">
        <f t="shared" si="7"/>
        <v>876</v>
      </c>
      <c r="I63" s="268"/>
      <c r="J63" s="268">
        <v>111</v>
      </c>
      <c r="K63" s="268">
        <v>108</v>
      </c>
      <c r="L63" s="268">
        <v>162</v>
      </c>
      <c r="M63" s="268">
        <v>495</v>
      </c>
      <c r="N63" s="268">
        <v>47</v>
      </c>
      <c r="O63" s="268"/>
      <c r="P63" s="268">
        <v>499</v>
      </c>
      <c r="Q63" s="268">
        <v>264</v>
      </c>
    </row>
    <row r="64" spans="1:17" s="263" customFormat="1" ht="9" customHeight="1" x14ac:dyDescent="0.25">
      <c r="A64" s="263" t="s">
        <v>34</v>
      </c>
      <c r="B64" s="266">
        <f t="shared" si="5"/>
        <v>2104</v>
      </c>
      <c r="C64" s="266"/>
      <c r="D64" s="283">
        <f t="shared" si="6"/>
        <v>1835</v>
      </c>
      <c r="E64" s="283"/>
      <c r="F64" s="266">
        <v>650</v>
      </c>
      <c r="G64" s="266"/>
      <c r="H64" s="266">
        <f t="shared" si="7"/>
        <v>619</v>
      </c>
      <c r="I64" s="266"/>
      <c r="J64" s="266">
        <v>79</v>
      </c>
      <c r="K64" s="266">
        <v>56</v>
      </c>
      <c r="L64" s="266">
        <v>119</v>
      </c>
      <c r="M64" s="266">
        <v>365</v>
      </c>
      <c r="N64" s="266">
        <v>111</v>
      </c>
      <c r="O64" s="266"/>
      <c r="P64" s="266">
        <v>455</v>
      </c>
      <c r="Q64" s="266">
        <v>269</v>
      </c>
    </row>
    <row r="65" spans="1:17" s="263" customFormat="1" ht="9" customHeight="1" x14ac:dyDescent="0.25">
      <c r="A65" s="263" t="s">
        <v>35</v>
      </c>
      <c r="B65" s="266">
        <f t="shared" si="5"/>
        <v>7924</v>
      </c>
      <c r="C65" s="266"/>
      <c r="D65" s="283">
        <f t="shared" si="6"/>
        <v>6513</v>
      </c>
      <c r="E65" s="283"/>
      <c r="F65" s="266">
        <v>1904</v>
      </c>
      <c r="G65" s="266"/>
      <c r="H65" s="266">
        <f t="shared" si="7"/>
        <v>2830</v>
      </c>
      <c r="I65" s="266"/>
      <c r="J65" s="266">
        <v>392</v>
      </c>
      <c r="K65" s="266">
        <v>381</v>
      </c>
      <c r="L65" s="266">
        <v>460</v>
      </c>
      <c r="M65" s="266">
        <v>1597</v>
      </c>
      <c r="N65" s="266">
        <v>795</v>
      </c>
      <c r="O65" s="266"/>
      <c r="P65" s="266">
        <v>984</v>
      </c>
      <c r="Q65" s="266">
        <v>1411</v>
      </c>
    </row>
    <row r="66" spans="1:17" s="263" customFormat="1" ht="9" customHeight="1" x14ac:dyDescent="0.25">
      <c r="A66" s="263" t="s">
        <v>36</v>
      </c>
      <c r="B66" s="266">
        <f t="shared" si="5"/>
        <v>10386</v>
      </c>
      <c r="C66" s="266"/>
      <c r="D66" s="283">
        <f t="shared" si="6"/>
        <v>8572</v>
      </c>
      <c r="E66" s="283"/>
      <c r="F66" s="266">
        <v>3132</v>
      </c>
      <c r="G66" s="266"/>
      <c r="H66" s="266">
        <f t="shared" si="7"/>
        <v>3488</v>
      </c>
      <c r="I66" s="266"/>
      <c r="J66" s="266">
        <v>483</v>
      </c>
      <c r="K66" s="266">
        <v>470</v>
      </c>
      <c r="L66" s="266">
        <v>867</v>
      </c>
      <c r="M66" s="266">
        <v>1668</v>
      </c>
      <c r="N66" s="266">
        <v>708</v>
      </c>
      <c r="O66" s="266"/>
      <c r="P66" s="266">
        <v>1244</v>
      </c>
      <c r="Q66" s="266">
        <v>1814</v>
      </c>
    </row>
    <row r="67" spans="1:17" s="263" customFormat="1" ht="9" customHeight="1" x14ac:dyDescent="0.25">
      <c r="A67" s="267" t="s">
        <v>37</v>
      </c>
      <c r="B67" s="268">
        <f t="shared" si="5"/>
        <v>3634</v>
      </c>
      <c r="C67" s="268"/>
      <c r="D67" s="284">
        <f t="shared" si="6"/>
        <v>3208</v>
      </c>
      <c r="E67" s="284"/>
      <c r="F67" s="268">
        <v>1110</v>
      </c>
      <c r="G67" s="268"/>
      <c r="H67" s="268">
        <f t="shared" si="7"/>
        <v>1229</v>
      </c>
      <c r="I67" s="268"/>
      <c r="J67" s="268">
        <v>137</v>
      </c>
      <c r="K67" s="268">
        <v>106</v>
      </c>
      <c r="L67" s="268">
        <v>275</v>
      </c>
      <c r="M67" s="268">
        <v>711</v>
      </c>
      <c r="N67" s="268">
        <v>143</v>
      </c>
      <c r="O67" s="268"/>
      <c r="P67" s="268">
        <v>726</v>
      </c>
      <c r="Q67" s="268">
        <v>426</v>
      </c>
    </row>
    <row r="68" spans="1:17" s="263" customFormat="1" ht="9" customHeight="1" x14ac:dyDescent="0.25">
      <c r="A68" s="263" t="s">
        <v>38</v>
      </c>
      <c r="B68" s="266">
        <f t="shared" si="5"/>
        <v>1796</v>
      </c>
      <c r="C68" s="266"/>
      <c r="D68" s="283">
        <f t="shared" si="6"/>
        <v>1572</v>
      </c>
      <c r="E68" s="283"/>
      <c r="F68" s="266">
        <v>467</v>
      </c>
      <c r="G68" s="266"/>
      <c r="H68" s="266">
        <f t="shared" si="7"/>
        <v>781</v>
      </c>
      <c r="I68" s="266"/>
      <c r="J68" s="266">
        <v>89</v>
      </c>
      <c r="K68" s="266">
        <v>88</v>
      </c>
      <c r="L68" s="266">
        <v>124</v>
      </c>
      <c r="M68" s="266">
        <v>480</v>
      </c>
      <c r="N68" s="266">
        <v>8</v>
      </c>
      <c r="O68" s="266"/>
      <c r="P68" s="266">
        <v>316</v>
      </c>
      <c r="Q68" s="266">
        <v>224</v>
      </c>
    </row>
    <row r="69" spans="1:17" s="263" customFormat="1" ht="9" customHeight="1" x14ac:dyDescent="0.25">
      <c r="A69" s="263" t="s">
        <v>39</v>
      </c>
      <c r="B69" s="266">
        <f t="shared" si="5"/>
        <v>1292</v>
      </c>
      <c r="C69" s="266"/>
      <c r="D69" s="283">
        <f t="shared" si="6"/>
        <v>1083</v>
      </c>
      <c r="E69" s="283"/>
      <c r="F69" s="266">
        <v>316</v>
      </c>
      <c r="G69" s="266"/>
      <c r="H69" s="266">
        <f t="shared" si="7"/>
        <v>448</v>
      </c>
      <c r="I69" s="266"/>
      <c r="J69" s="266">
        <v>55</v>
      </c>
      <c r="K69" s="266">
        <v>49</v>
      </c>
      <c r="L69" s="266">
        <v>93</v>
      </c>
      <c r="M69" s="266">
        <v>251</v>
      </c>
      <c r="N69" s="266">
        <v>49</v>
      </c>
      <c r="O69" s="266"/>
      <c r="P69" s="266">
        <v>270</v>
      </c>
      <c r="Q69" s="266">
        <v>209</v>
      </c>
    </row>
    <row r="70" spans="1:17" s="263" customFormat="1" ht="9" customHeight="1" x14ac:dyDescent="0.25">
      <c r="A70" s="263" t="s">
        <v>40</v>
      </c>
      <c r="B70" s="266">
        <f t="shared" si="5"/>
        <v>5644</v>
      </c>
      <c r="C70" s="266"/>
      <c r="D70" s="283">
        <f t="shared" si="6"/>
        <v>4598</v>
      </c>
      <c r="E70" s="283"/>
      <c r="F70" s="266">
        <v>1437</v>
      </c>
      <c r="G70" s="266"/>
      <c r="H70" s="266">
        <f t="shared" si="7"/>
        <v>2272</v>
      </c>
      <c r="I70" s="266"/>
      <c r="J70" s="266">
        <v>248</v>
      </c>
      <c r="K70" s="266">
        <v>301</v>
      </c>
      <c r="L70" s="266">
        <v>321</v>
      </c>
      <c r="M70" s="266">
        <v>1402</v>
      </c>
      <c r="N70" s="266">
        <v>485</v>
      </c>
      <c r="O70" s="266"/>
      <c r="P70" s="266">
        <v>404</v>
      </c>
      <c r="Q70" s="266">
        <v>1046</v>
      </c>
    </row>
    <row r="71" spans="1:17" s="263" customFormat="1" ht="9" customHeight="1" x14ac:dyDescent="0.25">
      <c r="A71" s="267" t="s">
        <v>41</v>
      </c>
      <c r="B71" s="268">
        <f t="shared" si="5"/>
        <v>2822</v>
      </c>
      <c r="C71" s="268"/>
      <c r="D71" s="284">
        <f t="shared" si="6"/>
        <v>2563</v>
      </c>
      <c r="E71" s="284"/>
      <c r="F71" s="268">
        <v>899</v>
      </c>
      <c r="G71" s="268"/>
      <c r="H71" s="268">
        <f t="shared" si="7"/>
        <v>790</v>
      </c>
      <c r="I71" s="268"/>
      <c r="J71" s="268">
        <v>81</v>
      </c>
      <c r="K71" s="268">
        <v>64</v>
      </c>
      <c r="L71" s="268">
        <v>197</v>
      </c>
      <c r="M71" s="268">
        <v>448</v>
      </c>
      <c r="N71" s="268">
        <v>168</v>
      </c>
      <c r="O71" s="268"/>
      <c r="P71" s="268">
        <v>706</v>
      </c>
      <c r="Q71" s="268">
        <v>259</v>
      </c>
    </row>
    <row r="72" spans="1:17" s="263" customFormat="1" ht="9" customHeight="1" x14ac:dyDescent="0.25">
      <c r="A72" s="263" t="s">
        <v>42</v>
      </c>
      <c r="B72" s="266">
        <f t="shared" si="5"/>
        <v>4621</v>
      </c>
      <c r="C72" s="266"/>
      <c r="D72" s="283">
        <f t="shared" si="6"/>
        <v>4020</v>
      </c>
      <c r="E72" s="283"/>
      <c r="F72" s="266">
        <v>1134</v>
      </c>
      <c r="G72" s="266"/>
      <c r="H72" s="266">
        <f t="shared" si="7"/>
        <v>1764</v>
      </c>
      <c r="I72" s="266"/>
      <c r="J72" s="266">
        <v>138</v>
      </c>
      <c r="K72" s="266">
        <v>212</v>
      </c>
      <c r="L72" s="266">
        <v>521</v>
      </c>
      <c r="M72" s="266">
        <v>893</v>
      </c>
      <c r="N72" s="266">
        <v>337</v>
      </c>
      <c r="O72" s="266"/>
      <c r="P72" s="266">
        <v>785</v>
      </c>
      <c r="Q72" s="266">
        <v>601</v>
      </c>
    </row>
    <row r="73" spans="1:17" s="263" customFormat="1" ht="9" customHeight="1" x14ac:dyDescent="0.25">
      <c r="A73" s="263" t="s">
        <v>43</v>
      </c>
      <c r="B73" s="266">
        <f t="shared" si="5"/>
        <v>1664</v>
      </c>
      <c r="C73" s="266"/>
      <c r="D73" s="283">
        <f t="shared" si="6"/>
        <v>1459</v>
      </c>
      <c r="E73" s="283"/>
      <c r="F73" s="266">
        <v>414</v>
      </c>
      <c r="G73" s="266"/>
      <c r="H73" s="266">
        <f t="shared" si="7"/>
        <v>572</v>
      </c>
      <c r="I73" s="266"/>
      <c r="J73" s="266">
        <v>82</v>
      </c>
      <c r="K73" s="266">
        <v>90</v>
      </c>
      <c r="L73" s="266">
        <v>104</v>
      </c>
      <c r="M73" s="266">
        <v>296</v>
      </c>
      <c r="N73" s="266">
        <v>118</v>
      </c>
      <c r="O73" s="266"/>
      <c r="P73" s="266">
        <v>355</v>
      </c>
      <c r="Q73" s="266">
        <v>205</v>
      </c>
    </row>
    <row r="74" spans="1:17" s="263" customFormat="1" ht="9" customHeight="1" x14ac:dyDescent="0.25">
      <c r="A74" s="263" t="s">
        <v>44</v>
      </c>
      <c r="B74" s="266">
        <f t="shared" si="5"/>
        <v>990</v>
      </c>
      <c r="C74" s="266"/>
      <c r="D74" s="283">
        <f t="shared" si="6"/>
        <v>812</v>
      </c>
      <c r="E74" s="283"/>
      <c r="F74" s="266">
        <v>309</v>
      </c>
      <c r="G74" s="266"/>
      <c r="H74" s="266">
        <f t="shared" si="7"/>
        <v>383</v>
      </c>
      <c r="I74" s="266"/>
      <c r="J74" s="266">
        <v>61</v>
      </c>
      <c r="K74" s="266">
        <v>53</v>
      </c>
      <c r="L74" s="266">
        <v>57</v>
      </c>
      <c r="M74" s="266">
        <v>212</v>
      </c>
      <c r="N74" s="266">
        <v>11</v>
      </c>
      <c r="O74" s="266"/>
      <c r="P74" s="266">
        <v>109</v>
      </c>
      <c r="Q74" s="266">
        <v>178</v>
      </c>
    </row>
    <row r="75" spans="1:17" s="263" customFormat="1" ht="9" customHeight="1" x14ac:dyDescent="0.25">
      <c r="A75" s="267" t="s">
        <v>45</v>
      </c>
      <c r="B75" s="268">
        <f t="shared" si="5"/>
        <v>2142</v>
      </c>
      <c r="C75" s="268"/>
      <c r="D75" s="284">
        <f t="shared" si="6"/>
        <v>1891</v>
      </c>
      <c r="E75" s="284"/>
      <c r="F75" s="268">
        <v>606</v>
      </c>
      <c r="G75" s="268"/>
      <c r="H75" s="268">
        <f t="shared" si="7"/>
        <v>726</v>
      </c>
      <c r="I75" s="268"/>
      <c r="J75" s="268">
        <v>104</v>
      </c>
      <c r="K75" s="268">
        <v>91</v>
      </c>
      <c r="L75" s="268">
        <v>125</v>
      </c>
      <c r="M75" s="268">
        <v>406</v>
      </c>
      <c r="N75" s="268">
        <v>273</v>
      </c>
      <c r="O75" s="268"/>
      <c r="P75" s="268">
        <v>286</v>
      </c>
      <c r="Q75" s="268">
        <v>251</v>
      </c>
    </row>
    <row r="76" spans="1:17" s="263" customFormat="1" ht="9" customHeight="1" x14ac:dyDescent="0.25">
      <c r="A76" s="263" t="s">
        <v>46</v>
      </c>
      <c r="B76" s="266">
        <f t="shared" si="5"/>
        <v>3139</v>
      </c>
      <c r="C76" s="266"/>
      <c r="D76" s="283">
        <f t="shared" si="6"/>
        <v>2638</v>
      </c>
      <c r="E76" s="283"/>
      <c r="F76" s="266">
        <v>875</v>
      </c>
      <c r="G76" s="266"/>
      <c r="H76" s="266">
        <f t="shared" si="7"/>
        <v>1210</v>
      </c>
      <c r="I76" s="266"/>
      <c r="J76" s="266">
        <v>146</v>
      </c>
      <c r="K76" s="266">
        <v>134</v>
      </c>
      <c r="L76" s="266">
        <v>167</v>
      </c>
      <c r="M76" s="266">
        <v>763</v>
      </c>
      <c r="N76" s="266">
        <v>105</v>
      </c>
      <c r="O76" s="266"/>
      <c r="P76" s="266">
        <v>448</v>
      </c>
      <c r="Q76" s="266">
        <v>501</v>
      </c>
    </row>
    <row r="77" spans="1:17" s="263" customFormat="1" ht="9" customHeight="1" x14ac:dyDescent="0.25">
      <c r="A77" s="263" t="s">
        <v>47</v>
      </c>
      <c r="B77" s="266">
        <f t="shared" si="5"/>
        <v>3363</v>
      </c>
      <c r="C77" s="266"/>
      <c r="D77" s="283">
        <f t="shared" si="6"/>
        <v>2840</v>
      </c>
      <c r="E77" s="283"/>
      <c r="F77" s="266">
        <v>807</v>
      </c>
      <c r="G77" s="266"/>
      <c r="H77" s="266">
        <f t="shared" si="7"/>
        <v>1424</v>
      </c>
      <c r="I77" s="266"/>
      <c r="J77" s="266">
        <v>159</v>
      </c>
      <c r="K77" s="266">
        <v>166</v>
      </c>
      <c r="L77" s="266">
        <v>157</v>
      </c>
      <c r="M77" s="266">
        <v>942</v>
      </c>
      <c r="N77" s="266">
        <v>343</v>
      </c>
      <c r="O77" s="266"/>
      <c r="P77" s="266">
        <v>266</v>
      </c>
      <c r="Q77" s="266">
        <v>523</v>
      </c>
    </row>
    <row r="78" spans="1:17" s="263" customFormat="1" ht="9" customHeight="1" x14ac:dyDescent="0.25">
      <c r="A78" s="263" t="s">
        <v>48</v>
      </c>
      <c r="B78" s="266">
        <f t="shared" si="5"/>
        <v>2903</v>
      </c>
      <c r="C78" s="266"/>
      <c r="D78" s="283">
        <f t="shared" si="6"/>
        <v>2635</v>
      </c>
      <c r="E78" s="283"/>
      <c r="F78" s="266">
        <v>1045</v>
      </c>
      <c r="G78" s="266"/>
      <c r="H78" s="266">
        <f t="shared" si="7"/>
        <v>1115</v>
      </c>
      <c r="I78" s="266"/>
      <c r="J78" s="266">
        <v>119</v>
      </c>
      <c r="K78" s="266">
        <v>103</v>
      </c>
      <c r="L78" s="266">
        <v>293</v>
      </c>
      <c r="M78" s="266">
        <v>600</v>
      </c>
      <c r="N78" s="266">
        <v>151</v>
      </c>
      <c r="O78" s="266"/>
      <c r="P78" s="266">
        <v>324</v>
      </c>
      <c r="Q78" s="266">
        <v>268</v>
      </c>
    </row>
    <row r="79" spans="1:17" s="263" customFormat="1" ht="9" customHeight="1" x14ac:dyDescent="0.25">
      <c r="A79" s="267" t="s">
        <v>49</v>
      </c>
      <c r="B79" s="268">
        <f t="shared" si="5"/>
        <v>3783</v>
      </c>
      <c r="C79" s="268"/>
      <c r="D79" s="284">
        <f t="shared" si="6"/>
        <v>3265</v>
      </c>
      <c r="E79" s="284"/>
      <c r="F79" s="268">
        <v>1136</v>
      </c>
      <c r="G79" s="268"/>
      <c r="H79" s="268">
        <f t="shared" si="7"/>
        <v>1595</v>
      </c>
      <c r="I79" s="268"/>
      <c r="J79" s="268">
        <v>198</v>
      </c>
      <c r="K79" s="268">
        <v>196</v>
      </c>
      <c r="L79" s="268">
        <v>196</v>
      </c>
      <c r="M79" s="268">
        <v>1005</v>
      </c>
      <c r="N79" s="268">
        <v>184</v>
      </c>
      <c r="O79" s="268"/>
      <c r="P79" s="268">
        <v>350</v>
      </c>
      <c r="Q79" s="268">
        <v>518</v>
      </c>
    </row>
    <row r="80" spans="1:17" s="263" customFormat="1" ht="9" customHeight="1" x14ac:dyDescent="0.25">
      <c r="A80" s="263" t="s">
        <v>50</v>
      </c>
      <c r="B80" s="266">
        <f t="shared" si="5"/>
        <v>956</v>
      </c>
      <c r="C80" s="266"/>
      <c r="D80" s="283">
        <f t="shared" si="6"/>
        <v>822</v>
      </c>
      <c r="E80" s="283"/>
      <c r="F80" s="266">
        <v>253</v>
      </c>
      <c r="G80" s="266"/>
      <c r="H80" s="266">
        <f t="shared" si="7"/>
        <v>321</v>
      </c>
      <c r="I80" s="266"/>
      <c r="J80" s="266">
        <v>38</v>
      </c>
      <c r="K80" s="266">
        <v>40</v>
      </c>
      <c r="L80" s="266">
        <v>81</v>
      </c>
      <c r="M80" s="266">
        <v>162</v>
      </c>
      <c r="N80" s="266">
        <v>25</v>
      </c>
      <c r="O80" s="266"/>
      <c r="P80" s="266">
        <v>223</v>
      </c>
      <c r="Q80" s="266">
        <v>134</v>
      </c>
    </row>
    <row r="81" spans="1:17" s="263" customFormat="1" ht="9" customHeight="1" x14ac:dyDescent="0.25">
      <c r="A81" s="263" t="s">
        <v>51</v>
      </c>
      <c r="B81" s="266">
        <f t="shared" si="5"/>
        <v>7156</v>
      </c>
      <c r="C81" s="266"/>
      <c r="D81" s="283">
        <f t="shared" si="6"/>
        <v>6130</v>
      </c>
      <c r="E81" s="283"/>
      <c r="F81" s="266">
        <v>2189</v>
      </c>
      <c r="G81" s="266"/>
      <c r="H81" s="266">
        <f t="shared" si="7"/>
        <v>2507</v>
      </c>
      <c r="I81" s="266"/>
      <c r="J81" s="266">
        <v>322</v>
      </c>
      <c r="K81" s="266">
        <v>309</v>
      </c>
      <c r="L81" s="266">
        <v>355</v>
      </c>
      <c r="M81" s="266">
        <v>1521</v>
      </c>
      <c r="N81" s="266">
        <v>573</v>
      </c>
      <c r="O81" s="266"/>
      <c r="P81" s="266">
        <v>861</v>
      </c>
      <c r="Q81" s="266">
        <v>1026</v>
      </c>
    </row>
    <row r="82" spans="1:17" s="263" customFormat="1" ht="9" customHeight="1" x14ac:dyDescent="0.25">
      <c r="A82" s="263" t="s">
        <v>52</v>
      </c>
      <c r="B82" s="266">
        <f t="shared" si="5"/>
        <v>2389</v>
      </c>
      <c r="C82" s="266"/>
      <c r="D82" s="283">
        <f t="shared" si="6"/>
        <v>2042</v>
      </c>
      <c r="E82" s="283"/>
      <c r="F82" s="266">
        <v>560</v>
      </c>
      <c r="G82" s="266"/>
      <c r="H82" s="266">
        <f t="shared" si="7"/>
        <v>909</v>
      </c>
      <c r="I82" s="266"/>
      <c r="J82" s="266">
        <v>106</v>
      </c>
      <c r="K82" s="266">
        <v>105</v>
      </c>
      <c r="L82" s="266">
        <v>134</v>
      </c>
      <c r="M82" s="266">
        <v>564</v>
      </c>
      <c r="N82" s="266">
        <v>300</v>
      </c>
      <c r="O82" s="266"/>
      <c r="P82" s="266">
        <v>273</v>
      </c>
      <c r="Q82" s="266">
        <v>347</v>
      </c>
    </row>
    <row r="83" spans="1:17" s="263" customFormat="1" ht="9" customHeight="1" x14ac:dyDescent="0.25">
      <c r="A83" s="267" t="s">
        <v>53</v>
      </c>
      <c r="B83" s="268">
        <f t="shared" si="5"/>
        <v>1300</v>
      </c>
      <c r="C83" s="268"/>
      <c r="D83" s="284">
        <f t="shared" si="6"/>
        <v>1172</v>
      </c>
      <c r="E83" s="284"/>
      <c r="F83" s="268">
        <v>351</v>
      </c>
      <c r="G83" s="268"/>
      <c r="H83" s="268">
        <f t="shared" si="7"/>
        <v>425</v>
      </c>
      <c r="I83" s="268"/>
      <c r="J83" s="268">
        <v>48</v>
      </c>
      <c r="K83" s="268">
        <v>41</v>
      </c>
      <c r="L83" s="268">
        <v>89</v>
      </c>
      <c r="M83" s="268">
        <v>247</v>
      </c>
      <c r="N83" s="268">
        <v>76</v>
      </c>
      <c r="O83" s="268"/>
      <c r="P83" s="268">
        <v>320</v>
      </c>
      <c r="Q83" s="268">
        <v>128</v>
      </c>
    </row>
    <row r="84" spans="1:17" s="263" customFormat="1" ht="9" customHeight="1" x14ac:dyDescent="0.25">
      <c r="B84" s="266"/>
      <c r="C84" s="266"/>
      <c r="D84" s="283"/>
      <c r="E84" s="283"/>
      <c r="F84" s="266"/>
      <c r="G84" s="266"/>
      <c r="H84" s="266"/>
      <c r="I84" s="266"/>
      <c r="J84" s="266"/>
      <c r="K84" s="266"/>
      <c r="L84" s="266"/>
      <c r="M84" s="266"/>
      <c r="N84" s="266"/>
      <c r="O84" s="266"/>
      <c r="P84" s="266"/>
      <c r="Q84" s="266"/>
    </row>
    <row r="85" spans="1:17" s="263" customFormat="1" ht="9" customHeight="1" x14ac:dyDescent="0.25">
      <c r="A85" s="261">
        <v>1997</v>
      </c>
      <c r="B85" s="266"/>
      <c r="C85" s="266"/>
      <c r="D85" s="266"/>
      <c r="E85" s="266"/>
      <c r="F85" s="266"/>
      <c r="G85" s="266"/>
      <c r="H85" s="266"/>
      <c r="I85" s="266"/>
      <c r="J85" s="266"/>
      <c r="K85" s="266"/>
      <c r="L85" s="266"/>
      <c r="M85" s="266"/>
      <c r="N85" s="266"/>
      <c r="O85" s="266"/>
      <c r="P85" s="266"/>
      <c r="Q85" s="266"/>
    </row>
    <row r="86" spans="1:17" s="263" customFormat="1" ht="9" customHeight="1" x14ac:dyDescent="0.25">
      <c r="A86" s="264" t="s">
        <v>21</v>
      </c>
      <c r="B86" s="262">
        <f>SUM(B88:B119)</f>
        <v>129031</v>
      </c>
      <c r="C86" s="262"/>
      <c r="D86" s="262">
        <f>SUM(D88:D119)</f>
        <v>109755</v>
      </c>
      <c r="E86" s="282"/>
      <c r="F86" s="262">
        <f>SUM(F88:F119)</f>
        <v>32502</v>
      </c>
      <c r="G86" s="262"/>
      <c r="H86" s="262">
        <f>SUM(H88:H119)</f>
        <v>48167</v>
      </c>
      <c r="I86" s="262"/>
      <c r="J86" s="262">
        <f t="shared" ref="J86:Q86" si="8">SUM(J88:J119)</f>
        <v>5581</v>
      </c>
      <c r="K86" s="262">
        <f t="shared" si="8"/>
        <v>5846</v>
      </c>
      <c r="L86" s="262">
        <f t="shared" si="8"/>
        <v>8148</v>
      </c>
      <c r="M86" s="262">
        <f t="shared" si="8"/>
        <v>28592</v>
      </c>
      <c r="N86" s="262">
        <f t="shared" si="8"/>
        <v>9900</v>
      </c>
      <c r="O86" s="262"/>
      <c r="P86" s="262">
        <f t="shared" si="8"/>
        <v>19186</v>
      </c>
      <c r="Q86" s="262">
        <f t="shared" si="8"/>
        <v>19276</v>
      </c>
    </row>
    <row r="87" spans="1:17" s="263" customFormat="1" ht="3.95" customHeight="1" x14ac:dyDescent="0.25">
      <c r="A87" s="265"/>
      <c r="B87" s="262"/>
      <c r="C87" s="262"/>
      <c r="D87" s="282"/>
      <c r="E87" s="282"/>
      <c r="F87" s="262"/>
      <c r="G87" s="262"/>
      <c r="H87" s="262"/>
      <c r="I87" s="262"/>
      <c r="J87" s="262"/>
      <c r="K87" s="262"/>
      <c r="L87" s="262"/>
      <c r="M87" s="262"/>
      <c r="N87" s="262"/>
      <c r="O87" s="262"/>
      <c r="P87" s="262"/>
      <c r="Q87" s="262"/>
    </row>
    <row r="88" spans="1:17" s="263" customFormat="1" ht="9" customHeight="1" x14ac:dyDescent="0.25">
      <c r="A88" s="263" t="s">
        <v>23</v>
      </c>
      <c r="B88" s="266">
        <f t="shared" ref="B88:B119" si="9">SUM(D88+Q88)</f>
        <v>1536</v>
      </c>
      <c r="C88" s="266"/>
      <c r="D88" s="283">
        <f t="shared" ref="D88:D119" si="10">SUM(F88+H88+P88+N88)</f>
        <v>1313</v>
      </c>
      <c r="E88" s="283"/>
      <c r="F88" s="266">
        <v>336</v>
      </c>
      <c r="G88" s="266"/>
      <c r="H88" s="266">
        <f t="shared" ref="H88:H119" si="11">SUM(J88:M88)</f>
        <v>630</v>
      </c>
      <c r="I88" s="266"/>
      <c r="J88" s="266">
        <v>76</v>
      </c>
      <c r="K88" s="266">
        <v>109</v>
      </c>
      <c r="L88" s="266">
        <v>74</v>
      </c>
      <c r="M88" s="266">
        <v>371</v>
      </c>
      <c r="N88" s="266">
        <v>123</v>
      </c>
      <c r="O88" s="266"/>
      <c r="P88" s="266">
        <v>224</v>
      </c>
      <c r="Q88" s="266">
        <v>223</v>
      </c>
    </row>
    <row r="89" spans="1:17" s="263" customFormat="1" ht="9" customHeight="1" x14ac:dyDescent="0.25">
      <c r="A89" s="263" t="s">
        <v>24</v>
      </c>
      <c r="B89" s="266">
        <f t="shared" si="9"/>
        <v>2895</v>
      </c>
      <c r="C89" s="266"/>
      <c r="D89" s="283">
        <f t="shared" si="10"/>
        <v>2397</v>
      </c>
      <c r="E89" s="283"/>
      <c r="F89" s="266">
        <v>743</v>
      </c>
      <c r="G89" s="266"/>
      <c r="H89" s="266">
        <f t="shared" si="11"/>
        <v>1246</v>
      </c>
      <c r="I89" s="266"/>
      <c r="J89" s="266">
        <v>158</v>
      </c>
      <c r="K89" s="266">
        <v>163</v>
      </c>
      <c r="L89" s="266">
        <v>189</v>
      </c>
      <c r="M89" s="266">
        <v>736</v>
      </c>
      <c r="N89" s="266">
        <v>105</v>
      </c>
      <c r="O89" s="266"/>
      <c r="P89" s="266">
        <v>303</v>
      </c>
      <c r="Q89" s="266">
        <v>498</v>
      </c>
    </row>
    <row r="90" spans="1:17" s="263" customFormat="1" ht="9" customHeight="1" x14ac:dyDescent="0.25">
      <c r="A90" s="263" t="s">
        <v>25</v>
      </c>
      <c r="B90" s="266">
        <f t="shared" si="9"/>
        <v>985</v>
      </c>
      <c r="C90" s="266"/>
      <c r="D90" s="283">
        <f t="shared" si="10"/>
        <v>866</v>
      </c>
      <c r="E90" s="283"/>
      <c r="F90" s="266">
        <v>309</v>
      </c>
      <c r="G90" s="266"/>
      <c r="H90" s="266">
        <f t="shared" si="11"/>
        <v>391</v>
      </c>
      <c r="I90" s="266"/>
      <c r="J90" s="266">
        <v>53</v>
      </c>
      <c r="K90" s="266">
        <v>38</v>
      </c>
      <c r="L90" s="266">
        <v>56</v>
      </c>
      <c r="M90" s="266">
        <v>244</v>
      </c>
      <c r="N90" s="266">
        <v>24</v>
      </c>
      <c r="O90" s="266"/>
      <c r="P90" s="266">
        <v>142</v>
      </c>
      <c r="Q90" s="266">
        <v>119</v>
      </c>
    </row>
    <row r="91" spans="1:17" s="263" customFormat="1" ht="9" customHeight="1" x14ac:dyDescent="0.25">
      <c r="A91" s="267" t="s">
        <v>26</v>
      </c>
      <c r="B91" s="268">
        <f t="shared" si="9"/>
        <v>1075</v>
      </c>
      <c r="C91" s="268"/>
      <c r="D91" s="284">
        <f t="shared" si="10"/>
        <v>969</v>
      </c>
      <c r="E91" s="284"/>
      <c r="F91" s="268">
        <v>396</v>
      </c>
      <c r="G91" s="268"/>
      <c r="H91" s="268">
        <f t="shared" si="11"/>
        <v>424</v>
      </c>
      <c r="I91" s="268"/>
      <c r="J91" s="268">
        <v>55</v>
      </c>
      <c r="K91" s="268">
        <v>55</v>
      </c>
      <c r="L91" s="268">
        <v>67</v>
      </c>
      <c r="M91" s="268">
        <v>247</v>
      </c>
      <c r="N91" s="268">
        <v>19</v>
      </c>
      <c r="O91" s="268"/>
      <c r="P91" s="268">
        <v>130</v>
      </c>
      <c r="Q91" s="268">
        <v>106</v>
      </c>
    </row>
    <row r="92" spans="1:17" s="263" customFormat="1" ht="9" customHeight="1" x14ac:dyDescent="0.25">
      <c r="A92" s="263" t="s">
        <v>27</v>
      </c>
      <c r="B92" s="266">
        <f t="shared" si="9"/>
        <v>3760</v>
      </c>
      <c r="C92" s="266"/>
      <c r="D92" s="283">
        <f t="shared" si="10"/>
        <v>3097</v>
      </c>
      <c r="E92" s="283"/>
      <c r="F92" s="266">
        <v>1025</v>
      </c>
      <c r="G92" s="266"/>
      <c r="H92" s="266">
        <f t="shared" si="11"/>
        <v>1586</v>
      </c>
      <c r="I92" s="266"/>
      <c r="J92" s="266">
        <v>202</v>
      </c>
      <c r="K92" s="266">
        <v>231</v>
      </c>
      <c r="L92" s="266">
        <v>206</v>
      </c>
      <c r="M92" s="266">
        <v>947</v>
      </c>
      <c r="N92" s="266">
        <v>71</v>
      </c>
      <c r="O92" s="266"/>
      <c r="P92" s="266">
        <v>415</v>
      </c>
      <c r="Q92" s="266">
        <v>663</v>
      </c>
    </row>
    <row r="93" spans="1:17" s="263" customFormat="1" ht="9" customHeight="1" x14ac:dyDescent="0.25">
      <c r="A93" s="263" t="s">
        <v>28</v>
      </c>
      <c r="B93" s="266">
        <f t="shared" si="9"/>
        <v>925</v>
      </c>
      <c r="C93" s="266"/>
      <c r="D93" s="283">
        <f t="shared" si="10"/>
        <v>797</v>
      </c>
      <c r="E93" s="283"/>
      <c r="F93" s="266">
        <v>236</v>
      </c>
      <c r="G93" s="266"/>
      <c r="H93" s="266">
        <f t="shared" si="11"/>
        <v>391</v>
      </c>
      <c r="I93" s="266"/>
      <c r="J93" s="266">
        <v>55</v>
      </c>
      <c r="K93" s="266">
        <v>45</v>
      </c>
      <c r="L93" s="266">
        <v>56</v>
      </c>
      <c r="M93" s="266">
        <v>235</v>
      </c>
      <c r="N93" s="266">
        <v>21</v>
      </c>
      <c r="O93" s="266"/>
      <c r="P93" s="266">
        <v>149</v>
      </c>
      <c r="Q93" s="266">
        <v>128</v>
      </c>
    </row>
    <row r="94" spans="1:17" s="263" customFormat="1" ht="9" customHeight="1" x14ac:dyDescent="0.25">
      <c r="A94" s="263" t="s">
        <v>29</v>
      </c>
      <c r="B94" s="266">
        <f t="shared" si="9"/>
        <v>3463</v>
      </c>
      <c r="C94" s="266"/>
      <c r="D94" s="283">
        <f t="shared" si="10"/>
        <v>3180</v>
      </c>
      <c r="E94" s="283"/>
      <c r="F94" s="266">
        <v>1016</v>
      </c>
      <c r="G94" s="266"/>
      <c r="H94" s="266">
        <f t="shared" si="11"/>
        <v>1305</v>
      </c>
      <c r="I94" s="266"/>
      <c r="J94" s="266">
        <v>129</v>
      </c>
      <c r="K94" s="266">
        <v>118</v>
      </c>
      <c r="L94" s="266">
        <v>318</v>
      </c>
      <c r="M94" s="266">
        <v>740</v>
      </c>
      <c r="N94" s="266">
        <v>60</v>
      </c>
      <c r="O94" s="266"/>
      <c r="P94" s="266">
        <v>799</v>
      </c>
      <c r="Q94" s="266">
        <v>283</v>
      </c>
    </row>
    <row r="95" spans="1:17" s="263" customFormat="1" ht="9" customHeight="1" x14ac:dyDescent="0.25">
      <c r="A95" s="267" t="s">
        <v>30</v>
      </c>
      <c r="B95" s="268">
        <f t="shared" si="9"/>
        <v>3350</v>
      </c>
      <c r="C95" s="268"/>
      <c r="D95" s="284">
        <f t="shared" si="10"/>
        <v>2760</v>
      </c>
      <c r="E95" s="284"/>
      <c r="F95" s="268">
        <v>1131</v>
      </c>
      <c r="G95" s="268"/>
      <c r="H95" s="268">
        <f t="shared" si="11"/>
        <v>1164</v>
      </c>
      <c r="I95" s="268"/>
      <c r="J95" s="268">
        <v>143</v>
      </c>
      <c r="K95" s="268">
        <v>134</v>
      </c>
      <c r="L95" s="268">
        <v>155</v>
      </c>
      <c r="M95" s="268">
        <v>732</v>
      </c>
      <c r="N95" s="268">
        <v>57</v>
      </c>
      <c r="O95" s="268"/>
      <c r="P95" s="268">
        <v>408</v>
      </c>
      <c r="Q95" s="268">
        <v>590</v>
      </c>
    </row>
    <row r="96" spans="1:17" s="263" customFormat="1" ht="9" customHeight="1" x14ac:dyDescent="0.25">
      <c r="A96" s="263" t="s">
        <v>63</v>
      </c>
      <c r="B96" s="266">
        <f t="shared" si="9"/>
        <v>28973</v>
      </c>
      <c r="C96" s="266"/>
      <c r="D96" s="283">
        <f t="shared" si="10"/>
        <v>24275</v>
      </c>
      <c r="E96" s="283"/>
      <c r="F96" s="266">
        <v>4964</v>
      </c>
      <c r="G96" s="266"/>
      <c r="H96" s="266">
        <f t="shared" si="11"/>
        <v>11749</v>
      </c>
      <c r="I96" s="266"/>
      <c r="J96" s="266">
        <v>1112</v>
      </c>
      <c r="K96" s="266">
        <v>1393</v>
      </c>
      <c r="L96" s="266">
        <v>1695</v>
      </c>
      <c r="M96" s="266">
        <v>7549</v>
      </c>
      <c r="N96" s="266">
        <v>4602</v>
      </c>
      <c r="O96" s="266"/>
      <c r="P96" s="266">
        <v>2960</v>
      </c>
      <c r="Q96" s="266">
        <v>4698</v>
      </c>
    </row>
    <row r="97" spans="1:17" s="263" customFormat="1" ht="9" customHeight="1" x14ac:dyDescent="0.25">
      <c r="A97" s="263" t="s">
        <v>31</v>
      </c>
      <c r="B97" s="266">
        <f t="shared" si="9"/>
        <v>2008</v>
      </c>
      <c r="C97" s="266"/>
      <c r="D97" s="283">
        <f t="shared" si="10"/>
        <v>1738</v>
      </c>
      <c r="E97" s="283"/>
      <c r="F97" s="266">
        <v>512</v>
      </c>
      <c r="G97" s="266"/>
      <c r="H97" s="266">
        <f t="shared" si="11"/>
        <v>723</v>
      </c>
      <c r="I97" s="266"/>
      <c r="J97" s="266">
        <v>93</v>
      </c>
      <c r="K97" s="266">
        <v>92</v>
      </c>
      <c r="L97" s="266">
        <v>97</v>
      </c>
      <c r="M97" s="266">
        <v>441</v>
      </c>
      <c r="N97" s="266">
        <v>89</v>
      </c>
      <c r="O97" s="266"/>
      <c r="P97" s="266">
        <v>414</v>
      </c>
      <c r="Q97" s="266">
        <v>270</v>
      </c>
    </row>
    <row r="98" spans="1:17" s="263" customFormat="1" ht="9" customHeight="1" x14ac:dyDescent="0.25">
      <c r="A98" s="263" t="s">
        <v>32</v>
      </c>
      <c r="B98" s="266">
        <f t="shared" si="9"/>
        <v>4209</v>
      </c>
      <c r="C98" s="266"/>
      <c r="D98" s="283">
        <f t="shared" si="10"/>
        <v>3596</v>
      </c>
      <c r="E98" s="283"/>
      <c r="F98" s="266">
        <v>1292</v>
      </c>
      <c r="G98" s="266"/>
      <c r="H98" s="266">
        <f t="shared" si="11"/>
        <v>1358</v>
      </c>
      <c r="I98" s="266"/>
      <c r="J98" s="266">
        <v>181</v>
      </c>
      <c r="K98" s="266">
        <v>178</v>
      </c>
      <c r="L98" s="266">
        <v>229</v>
      </c>
      <c r="M98" s="266">
        <v>770</v>
      </c>
      <c r="N98" s="266">
        <v>301</v>
      </c>
      <c r="O98" s="266"/>
      <c r="P98" s="266">
        <v>645</v>
      </c>
      <c r="Q98" s="266">
        <v>613</v>
      </c>
    </row>
    <row r="99" spans="1:17" s="263" customFormat="1" ht="9" customHeight="1" x14ac:dyDescent="0.25">
      <c r="A99" s="267" t="s">
        <v>33</v>
      </c>
      <c r="B99" s="268">
        <f t="shared" si="9"/>
        <v>2805</v>
      </c>
      <c r="C99" s="268"/>
      <c r="D99" s="284">
        <f t="shared" si="10"/>
        <v>2540</v>
      </c>
      <c r="E99" s="284"/>
      <c r="F99" s="268">
        <v>1016</v>
      </c>
      <c r="G99" s="268"/>
      <c r="H99" s="268">
        <f t="shared" si="11"/>
        <v>894</v>
      </c>
      <c r="I99" s="268"/>
      <c r="J99" s="268">
        <v>122</v>
      </c>
      <c r="K99" s="268">
        <v>115</v>
      </c>
      <c r="L99" s="268">
        <v>159</v>
      </c>
      <c r="M99" s="268">
        <v>498</v>
      </c>
      <c r="N99" s="268">
        <v>43</v>
      </c>
      <c r="O99" s="268"/>
      <c r="P99" s="268">
        <v>587</v>
      </c>
      <c r="Q99" s="268">
        <v>265</v>
      </c>
    </row>
    <row r="100" spans="1:17" s="263" customFormat="1" ht="9" customHeight="1" x14ac:dyDescent="0.25">
      <c r="A100" s="263" t="s">
        <v>34</v>
      </c>
      <c r="B100" s="266">
        <f t="shared" si="9"/>
        <v>2321</v>
      </c>
      <c r="C100" s="266"/>
      <c r="D100" s="283">
        <f t="shared" si="10"/>
        <v>2013</v>
      </c>
      <c r="E100" s="283"/>
      <c r="F100" s="266">
        <v>629</v>
      </c>
      <c r="G100" s="266"/>
      <c r="H100" s="266">
        <f t="shared" si="11"/>
        <v>702</v>
      </c>
      <c r="I100" s="266"/>
      <c r="J100" s="266">
        <v>86</v>
      </c>
      <c r="K100" s="266">
        <v>70</v>
      </c>
      <c r="L100" s="266">
        <v>120</v>
      </c>
      <c r="M100" s="266">
        <v>426</v>
      </c>
      <c r="N100" s="266">
        <v>70</v>
      </c>
      <c r="O100" s="266"/>
      <c r="P100" s="266">
        <v>612</v>
      </c>
      <c r="Q100" s="266">
        <v>308</v>
      </c>
    </row>
    <row r="101" spans="1:17" s="263" customFormat="1" ht="9" customHeight="1" x14ac:dyDescent="0.25">
      <c r="A101" s="263" t="s">
        <v>35</v>
      </c>
      <c r="B101" s="266">
        <f t="shared" si="9"/>
        <v>7726</v>
      </c>
      <c r="C101" s="266"/>
      <c r="D101" s="283">
        <f t="shared" si="10"/>
        <v>6377</v>
      </c>
      <c r="E101" s="283"/>
      <c r="F101" s="266">
        <v>1831</v>
      </c>
      <c r="G101" s="266"/>
      <c r="H101" s="266">
        <f t="shared" si="11"/>
        <v>2891</v>
      </c>
      <c r="I101" s="266"/>
      <c r="J101" s="266">
        <v>386</v>
      </c>
      <c r="K101" s="266">
        <v>390</v>
      </c>
      <c r="L101" s="266">
        <v>424</v>
      </c>
      <c r="M101" s="266">
        <v>1691</v>
      </c>
      <c r="N101" s="266">
        <v>754</v>
      </c>
      <c r="O101" s="266"/>
      <c r="P101" s="266">
        <v>901</v>
      </c>
      <c r="Q101" s="266">
        <v>1349</v>
      </c>
    </row>
    <row r="102" spans="1:17" s="263" customFormat="1" ht="9" customHeight="1" x14ac:dyDescent="0.25">
      <c r="A102" s="263" t="s">
        <v>36</v>
      </c>
      <c r="B102" s="266">
        <f t="shared" si="9"/>
        <v>10820</v>
      </c>
      <c r="C102" s="266"/>
      <c r="D102" s="283">
        <f t="shared" si="10"/>
        <v>8970</v>
      </c>
      <c r="E102" s="283"/>
      <c r="F102" s="266">
        <v>3270</v>
      </c>
      <c r="G102" s="266"/>
      <c r="H102" s="266">
        <f t="shared" si="11"/>
        <v>3545</v>
      </c>
      <c r="I102" s="266"/>
      <c r="J102" s="266">
        <v>489</v>
      </c>
      <c r="K102" s="266">
        <v>475</v>
      </c>
      <c r="L102" s="266">
        <v>896</v>
      </c>
      <c r="M102" s="266">
        <v>1685</v>
      </c>
      <c r="N102" s="266">
        <v>792</v>
      </c>
      <c r="O102" s="266"/>
      <c r="P102" s="266">
        <v>1363</v>
      </c>
      <c r="Q102" s="266">
        <v>1850</v>
      </c>
    </row>
    <row r="103" spans="1:17" s="263" customFormat="1" ht="9" customHeight="1" x14ac:dyDescent="0.25">
      <c r="A103" s="267" t="s">
        <v>37</v>
      </c>
      <c r="B103" s="268">
        <f t="shared" si="9"/>
        <v>3811</v>
      </c>
      <c r="C103" s="268"/>
      <c r="D103" s="284">
        <f t="shared" si="10"/>
        <v>3347</v>
      </c>
      <c r="E103" s="284"/>
      <c r="F103" s="268">
        <v>989</v>
      </c>
      <c r="G103" s="268"/>
      <c r="H103" s="268">
        <f t="shared" si="11"/>
        <v>1290</v>
      </c>
      <c r="I103" s="268"/>
      <c r="J103" s="268">
        <v>154</v>
      </c>
      <c r="K103" s="268">
        <v>129</v>
      </c>
      <c r="L103" s="268">
        <v>281</v>
      </c>
      <c r="M103" s="268">
        <v>726</v>
      </c>
      <c r="N103" s="268">
        <v>100</v>
      </c>
      <c r="O103" s="268"/>
      <c r="P103" s="268">
        <v>968</v>
      </c>
      <c r="Q103" s="268">
        <v>464</v>
      </c>
    </row>
    <row r="104" spans="1:17" s="263" customFormat="1" ht="9" customHeight="1" x14ac:dyDescent="0.25">
      <c r="A104" s="263" t="s">
        <v>38</v>
      </c>
      <c r="B104" s="266">
        <f t="shared" si="9"/>
        <v>1794</v>
      </c>
      <c r="C104" s="266"/>
      <c r="D104" s="283">
        <f t="shared" si="10"/>
        <v>1579</v>
      </c>
      <c r="E104" s="283"/>
      <c r="F104" s="266">
        <v>470</v>
      </c>
      <c r="G104" s="266"/>
      <c r="H104" s="266">
        <f t="shared" si="11"/>
        <v>762</v>
      </c>
      <c r="I104" s="266"/>
      <c r="J104" s="266">
        <v>94</v>
      </c>
      <c r="K104" s="266">
        <v>87</v>
      </c>
      <c r="L104" s="266">
        <v>138</v>
      </c>
      <c r="M104" s="266">
        <v>443</v>
      </c>
      <c r="N104" s="266">
        <v>7</v>
      </c>
      <c r="O104" s="266"/>
      <c r="P104" s="266">
        <v>340</v>
      </c>
      <c r="Q104" s="266">
        <v>215</v>
      </c>
    </row>
    <row r="105" spans="1:17" s="263" customFormat="1" ht="9" customHeight="1" x14ac:dyDescent="0.25">
      <c r="A105" s="263" t="s">
        <v>39</v>
      </c>
      <c r="B105" s="266">
        <f t="shared" si="9"/>
        <v>1313</v>
      </c>
      <c r="C105" s="266"/>
      <c r="D105" s="283">
        <f t="shared" si="10"/>
        <v>1105</v>
      </c>
      <c r="E105" s="283"/>
      <c r="F105" s="266">
        <v>320</v>
      </c>
      <c r="G105" s="266"/>
      <c r="H105" s="266">
        <f t="shared" si="11"/>
        <v>450</v>
      </c>
      <c r="I105" s="266"/>
      <c r="J105" s="266">
        <v>55</v>
      </c>
      <c r="K105" s="266">
        <v>51</v>
      </c>
      <c r="L105" s="266">
        <v>101</v>
      </c>
      <c r="M105" s="266">
        <v>243</v>
      </c>
      <c r="N105" s="266">
        <v>39</v>
      </c>
      <c r="O105" s="266"/>
      <c r="P105" s="266">
        <v>296</v>
      </c>
      <c r="Q105" s="266">
        <v>208</v>
      </c>
    </row>
    <row r="106" spans="1:17" s="263" customFormat="1" ht="9" customHeight="1" x14ac:dyDescent="0.25">
      <c r="A106" s="263" t="s">
        <v>40</v>
      </c>
      <c r="B106" s="266">
        <f t="shared" si="9"/>
        <v>5837</v>
      </c>
      <c r="C106" s="266"/>
      <c r="D106" s="283">
        <f t="shared" si="10"/>
        <v>4668</v>
      </c>
      <c r="E106" s="283"/>
      <c r="F106" s="266">
        <v>1483</v>
      </c>
      <c r="G106" s="266"/>
      <c r="H106" s="266">
        <f t="shared" si="11"/>
        <v>2289</v>
      </c>
      <c r="I106" s="266"/>
      <c r="J106" s="266">
        <v>256</v>
      </c>
      <c r="K106" s="266">
        <v>307</v>
      </c>
      <c r="L106" s="266">
        <v>280</v>
      </c>
      <c r="M106" s="266">
        <v>1446</v>
      </c>
      <c r="N106" s="266">
        <v>500</v>
      </c>
      <c r="O106" s="266"/>
      <c r="P106" s="266">
        <v>396</v>
      </c>
      <c r="Q106" s="266">
        <v>1169</v>
      </c>
    </row>
    <row r="107" spans="1:17" s="263" customFormat="1" ht="9" customHeight="1" x14ac:dyDescent="0.25">
      <c r="A107" s="267" t="s">
        <v>41</v>
      </c>
      <c r="B107" s="268">
        <f t="shared" si="9"/>
        <v>3223</v>
      </c>
      <c r="C107" s="268"/>
      <c r="D107" s="284">
        <f t="shared" si="10"/>
        <v>2962</v>
      </c>
      <c r="E107" s="284"/>
      <c r="F107" s="268">
        <v>833</v>
      </c>
      <c r="G107" s="268"/>
      <c r="H107" s="268">
        <f t="shared" si="11"/>
        <v>966</v>
      </c>
      <c r="I107" s="268"/>
      <c r="J107" s="268">
        <v>105</v>
      </c>
      <c r="K107" s="268">
        <v>80</v>
      </c>
      <c r="L107" s="268">
        <v>226</v>
      </c>
      <c r="M107" s="268">
        <v>555</v>
      </c>
      <c r="N107" s="268">
        <v>86</v>
      </c>
      <c r="O107" s="268"/>
      <c r="P107" s="268">
        <v>1077</v>
      </c>
      <c r="Q107" s="268">
        <v>261</v>
      </c>
    </row>
    <row r="108" spans="1:17" s="263" customFormat="1" ht="9" customHeight="1" x14ac:dyDescent="0.25">
      <c r="A108" s="263" t="s">
        <v>42</v>
      </c>
      <c r="B108" s="266">
        <f t="shared" si="9"/>
        <v>4525</v>
      </c>
      <c r="C108" s="266"/>
      <c r="D108" s="283">
        <f t="shared" si="10"/>
        <v>3937</v>
      </c>
      <c r="E108" s="283"/>
      <c r="F108" s="266">
        <v>1066</v>
      </c>
      <c r="G108" s="266"/>
      <c r="H108" s="266">
        <f t="shared" si="11"/>
        <v>1675</v>
      </c>
      <c r="I108" s="266"/>
      <c r="J108" s="266">
        <v>141</v>
      </c>
      <c r="K108" s="266">
        <v>160</v>
      </c>
      <c r="L108" s="266">
        <v>476</v>
      </c>
      <c r="M108" s="266">
        <v>898</v>
      </c>
      <c r="N108" s="266">
        <v>192</v>
      </c>
      <c r="O108" s="266"/>
      <c r="P108" s="266">
        <v>1004</v>
      </c>
      <c r="Q108" s="266">
        <v>588</v>
      </c>
    </row>
    <row r="109" spans="1:17" s="263" customFormat="1" ht="9" customHeight="1" x14ac:dyDescent="0.25">
      <c r="A109" s="263" t="s">
        <v>43</v>
      </c>
      <c r="B109" s="266">
        <f t="shared" si="9"/>
        <v>1738</v>
      </c>
      <c r="C109" s="266"/>
      <c r="D109" s="283">
        <f t="shared" si="10"/>
        <v>1522</v>
      </c>
      <c r="E109" s="283"/>
      <c r="F109" s="266">
        <v>419</v>
      </c>
      <c r="G109" s="266"/>
      <c r="H109" s="266">
        <f t="shared" si="11"/>
        <v>628</v>
      </c>
      <c r="I109" s="266"/>
      <c r="J109" s="266">
        <v>84</v>
      </c>
      <c r="K109" s="266">
        <v>90</v>
      </c>
      <c r="L109" s="266">
        <v>149</v>
      </c>
      <c r="M109" s="266">
        <v>305</v>
      </c>
      <c r="N109" s="266">
        <v>113</v>
      </c>
      <c r="O109" s="266"/>
      <c r="P109" s="266">
        <v>362</v>
      </c>
      <c r="Q109" s="266">
        <v>216</v>
      </c>
    </row>
    <row r="110" spans="1:17" s="263" customFormat="1" ht="9" customHeight="1" x14ac:dyDescent="0.25">
      <c r="A110" s="263" t="s">
        <v>44</v>
      </c>
      <c r="B110" s="266">
        <f t="shared" si="9"/>
        <v>1061</v>
      </c>
      <c r="C110" s="266"/>
      <c r="D110" s="283">
        <f t="shared" si="10"/>
        <v>877</v>
      </c>
      <c r="E110" s="283"/>
      <c r="F110" s="266">
        <v>329</v>
      </c>
      <c r="G110" s="266"/>
      <c r="H110" s="266">
        <f t="shared" si="11"/>
        <v>413</v>
      </c>
      <c r="I110" s="266"/>
      <c r="J110" s="266">
        <v>62</v>
      </c>
      <c r="K110" s="266">
        <v>57</v>
      </c>
      <c r="L110" s="266">
        <v>70</v>
      </c>
      <c r="M110" s="266">
        <v>224</v>
      </c>
      <c r="N110" s="266">
        <v>9</v>
      </c>
      <c r="O110" s="266"/>
      <c r="P110" s="266">
        <v>126</v>
      </c>
      <c r="Q110" s="266">
        <v>184</v>
      </c>
    </row>
    <row r="111" spans="1:17" s="263" customFormat="1" ht="9" customHeight="1" x14ac:dyDescent="0.25">
      <c r="A111" s="267" t="s">
        <v>45</v>
      </c>
      <c r="B111" s="268">
        <f t="shared" si="9"/>
        <v>2276</v>
      </c>
      <c r="C111" s="268"/>
      <c r="D111" s="284">
        <f t="shared" si="10"/>
        <v>2017</v>
      </c>
      <c r="E111" s="284"/>
      <c r="F111" s="268">
        <v>551</v>
      </c>
      <c r="G111" s="268"/>
      <c r="H111" s="268">
        <f t="shared" si="11"/>
        <v>841</v>
      </c>
      <c r="I111" s="268"/>
      <c r="J111" s="268">
        <v>114</v>
      </c>
      <c r="K111" s="268">
        <v>110</v>
      </c>
      <c r="L111" s="268">
        <v>147</v>
      </c>
      <c r="M111" s="268">
        <v>470</v>
      </c>
      <c r="N111" s="268">
        <v>149</v>
      </c>
      <c r="O111" s="268"/>
      <c r="P111" s="268">
        <v>476</v>
      </c>
      <c r="Q111" s="268">
        <v>259</v>
      </c>
    </row>
    <row r="112" spans="1:17" s="263" customFormat="1" ht="9" customHeight="1" x14ac:dyDescent="0.25">
      <c r="A112" s="263" t="s">
        <v>46</v>
      </c>
      <c r="B112" s="266">
        <f t="shared" si="9"/>
        <v>3437</v>
      </c>
      <c r="C112" s="266"/>
      <c r="D112" s="283">
        <f t="shared" si="10"/>
        <v>2836</v>
      </c>
      <c r="E112" s="283"/>
      <c r="F112" s="266">
        <v>910</v>
      </c>
      <c r="G112" s="266"/>
      <c r="H112" s="266">
        <f t="shared" si="11"/>
        <v>1278</v>
      </c>
      <c r="I112" s="266"/>
      <c r="J112" s="266">
        <v>160</v>
      </c>
      <c r="K112" s="266">
        <v>139</v>
      </c>
      <c r="L112" s="266">
        <v>160</v>
      </c>
      <c r="M112" s="266">
        <v>819</v>
      </c>
      <c r="N112" s="266">
        <v>107</v>
      </c>
      <c r="O112" s="266"/>
      <c r="P112" s="266">
        <v>541</v>
      </c>
      <c r="Q112" s="266">
        <v>601</v>
      </c>
    </row>
    <row r="113" spans="1:17" s="263" customFormat="1" ht="9" customHeight="1" x14ac:dyDescent="0.25">
      <c r="A113" s="263" t="s">
        <v>47</v>
      </c>
      <c r="B113" s="266">
        <f t="shared" si="9"/>
        <v>3525</v>
      </c>
      <c r="C113" s="266"/>
      <c r="D113" s="283">
        <f t="shared" si="10"/>
        <v>2988</v>
      </c>
      <c r="E113" s="283"/>
      <c r="F113" s="266">
        <v>849</v>
      </c>
      <c r="G113" s="266"/>
      <c r="H113" s="266">
        <f t="shared" si="11"/>
        <v>1426</v>
      </c>
      <c r="I113" s="266"/>
      <c r="J113" s="266">
        <v>157</v>
      </c>
      <c r="K113" s="266">
        <v>173</v>
      </c>
      <c r="L113" s="266">
        <v>163</v>
      </c>
      <c r="M113" s="266">
        <v>933</v>
      </c>
      <c r="N113" s="266">
        <v>373</v>
      </c>
      <c r="O113" s="266"/>
      <c r="P113" s="266">
        <v>340</v>
      </c>
      <c r="Q113" s="266">
        <v>537</v>
      </c>
    </row>
    <row r="114" spans="1:17" s="263" customFormat="1" ht="9" customHeight="1" x14ac:dyDescent="0.25">
      <c r="A114" s="263" t="s">
        <v>48</v>
      </c>
      <c r="B114" s="266">
        <f t="shared" si="9"/>
        <v>3020</v>
      </c>
      <c r="C114" s="266"/>
      <c r="D114" s="283">
        <f t="shared" si="10"/>
        <v>2756</v>
      </c>
      <c r="E114" s="283"/>
      <c r="F114" s="266">
        <v>1018</v>
      </c>
      <c r="G114" s="266"/>
      <c r="H114" s="266">
        <f t="shared" si="11"/>
        <v>1139</v>
      </c>
      <c r="I114" s="266"/>
      <c r="J114" s="266">
        <v>121</v>
      </c>
      <c r="K114" s="266">
        <v>97</v>
      </c>
      <c r="L114" s="266">
        <v>289</v>
      </c>
      <c r="M114" s="266">
        <v>632</v>
      </c>
      <c r="N114" s="266">
        <v>168</v>
      </c>
      <c r="O114" s="266"/>
      <c r="P114" s="266">
        <v>431</v>
      </c>
      <c r="Q114" s="266">
        <v>264</v>
      </c>
    </row>
    <row r="115" spans="1:17" s="263" customFormat="1" ht="9" customHeight="1" x14ac:dyDescent="0.25">
      <c r="A115" s="267" t="s">
        <v>49</v>
      </c>
      <c r="B115" s="268">
        <f t="shared" si="9"/>
        <v>3926</v>
      </c>
      <c r="C115" s="268"/>
      <c r="D115" s="284">
        <f t="shared" si="10"/>
        <v>3401</v>
      </c>
      <c r="E115" s="284"/>
      <c r="F115" s="268">
        <v>1129</v>
      </c>
      <c r="G115" s="268"/>
      <c r="H115" s="268">
        <f t="shared" si="11"/>
        <v>1586</v>
      </c>
      <c r="I115" s="268"/>
      <c r="J115" s="268">
        <v>196</v>
      </c>
      <c r="K115" s="268">
        <v>217</v>
      </c>
      <c r="L115" s="268">
        <v>191</v>
      </c>
      <c r="M115" s="268">
        <v>982</v>
      </c>
      <c r="N115" s="268">
        <v>128</v>
      </c>
      <c r="O115" s="268"/>
      <c r="P115" s="268">
        <v>558</v>
      </c>
      <c r="Q115" s="268">
        <v>525</v>
      </c>
    </row>
    <row r="116" spans="1:17" s="263" customFormat="1" ht="9" customHeight="1" x14ac:dyDescent="0.25">
      <c r="A116" s="263" t="s">
        <v>50</v>
      </c>
      <c r="B116" s="266">
        <f t="shared" si="9"/>
        <v>1009</v>
      </c>
      <c r="C116" s="266"/>
      <c r="D116" s="283">
        <f t="shared" si="10"/>
        <v>874</v>
      </c>
      <c r="E116" s="283"/>
      <c r="F116" s="266">
        <v>272</v>
      </c>
      <c r="G116" s="266"/>
      <c r="H116" s="266">
        <f t="shared" si="11"/>
        <v>344</v>
      </c>
      <c r="I116" s="266"/>
      <c r="J116" s="266">
        <v>38</v>
      </c>
      <c r="K116" s="266">
        <v>44</v>
      </c>
      <c r="L116" s="266">
        <v>99</v>
      </c>
      <c r="M116" s="266">
        <v>163</v>
      </c>
      <c r="N116" s="266">
        <v>22</v>
      </c>
      <c r="O116" s="266"/>
      <c r="P116" s="266">
        <v>236</v>
      </c>
      <c r="Q116" s="266">
        <v>135</v>
      </c>
    </row>
    <row r="117" spans="1:17" s="263" customFormat="1" ht="9" customHeight="1" x14ac:dyDescent="0.25">
      <c r="A117" s="263" t="s">
        <v>51</v>
      </c>
      <c r="B117" s="266">
        <f t="shared" si="9"/>
        <v>7877</v>
      </c>
      <c r="C117" s="266"/>
      <c r="D117" s="283">
        <f t="shared" si="10"/>
        <v>6710</v>
      </c>
      <c r="E117" s="283"/>
      <c r="F117" s="266">
        <v>2263</v>
      </c>
      <c r="G117" s="266"/>
      <c r="H117" s="266">
        <f t="shared" si="11"/>
        <v>2758</v>
      </c>
      <c r="I117" s="266"/>
      <c r="J117" s="266">
        <v>344</v>
      </c>
      <c r="K117" s="266">
        <v>336</v>
      </c>
      <c r="L117" s="266">
        <v>415</v>
      </c>
      <c r="M117" s="266">
        <v>1663</v>
      </c>
      <c r="N117" s="266">
        <v>456</v>
      </c>
      <c r="O117" s="266"/>
      <c r="P117" s="266">
        <v>1233</v>
      </c>
      <c r="Q117" s="266">
        <v>1167</v>
      </c>
    </row>
    <row r="118" spans="1:17" s="263" customFormat="1" ht="9" customHeight="1" x14ac:dyDescent="0.25">
      <c r="A118" s="263" t="s">
        <v>52</v>
      </c>
      <c r="B118" s="266">
        <f t="shared" si="9"/>
        <v>2398</v>
      </c>
      <c r="C118" s="266"/>
      <c r="D118" s="283">
        <f t="shared" si="10"/>
        <v>2035</v>
      </c>
      <c r="E118" s="283"/>
      <c r="F118" s="266">
        <v>534</v>
      </c>
      <c r="G118" s="266"/>
      <c r="H118" s="266">
        <f t="shared" si="11"/>
        <v>847</v>
      </c>
      <c r="I118" s="266"/>
      <c r="J118" s="266">
        <v>103</v>
      </c>
      <c r="K118" s="266">
        <v>112</v>
      </c>
      <c r="L118" s="266">
        <v>133</v>
      </c>
      <c r="M118" s="266">
        <v>499</v>
      </c>
      <c r="N118" s="266">
        <v>287</v>
      </c>
      <c r="O118" s="266"/>
      <c r="P118" s="266">
        <v>367</v>
      </c>
      <c r="Q118" s="266">
        <v>363</v>
      </c>
    </row>
    <row r="119" spans="1:17" s="263" customFormat="1" ht="9" customHeight="1" x14ac:dyDescent="0.25">
      <c r="A119" s="267" t="s">
        <v>53</v>
      </c>
      <c r="B119" s="268">
        <f t="shared" si="9"/>
        <v>1410</v>
      </c>
      <c r="C119" s="268"/>
      <c r="D119" s="284">
        <f t="shared" si="10"/>
        <v>1253</v>
      </c>
      <c r="E119" s="284"/>
      <c r="F119" s="268">
        <v>361</v>
      </c>
      <c r="G119" s="268"/>
      <c r="H119" s="268">
        <f t="shared" si="11"/>
        <v>476</v>
      </c>
      <c r="I119" s="268"/>
      <c r="J119" s="268">
        <v>57</v>
      </c>
      <c r="K119" s="268">
        <v>51</v>
      </c>
      <c r="L119" s="268">
        <v>89</v>
      </c>
      <c r="M119" s="268">
        <v>279</v>
      </c>
      <c r="N119" s="268">
        <v>33</v>
      </c>
      <c r="O119" s="268"/>
      <c r="P119" s="268">
        <v>383</v>
      </c>
      <c r="Q119" s="268">
        <v>157</v>
      </c>
    </row>
    <row r="120" spans="1:17" s="263" customFormat="1" ht="9" customHeight="1" x14ac:dyDescent="0.25">
      <c r="B120" s="266"/>
      <c r="C120" s="266"/>
      <c r="D120" s="283"/>
      <c r="E120" s="283"/>
      <c r="F120" s="266"/>
      <c r="G120" s="266"/>
      <c r="H120" s="266"/>
      <c r="I120" s="266"/>
      <c r="J120" s="266"/>
      <c r="K120" s="266"/>
      <c r="L120" s="266"/>
      <c r="M120" s="266"/>
      <c r="N120" s="266"/>
      <c r="O120" s="266"/>
      <c r="P120" s="266"/>
      <c r="Q120" s="266"/>
    </row>
    <row r="121" spans="1:17" s="263" customFormat="1" ht="9" customHeight="1" x14ac:dyDescent="0.25">
      <c r="A121" s="261">
        <v>1998</v>
      </c>
      <c r="B121" s="266"/>
      <c r="C121" s="266"/>
      <c r="D121" s="266"/>
      <c r="E121" s="266"/>
      <c r="F121" s="266"/>
      <c r="G121" s="266"/>
      <c r="H121" s="266"/>
      <c r="I121" s="266"/>
      <c r="J121" s="266"/>
      <c r="K121" s="266"/>
      <c r="L121" s="266"/>
      <c r="M121" s="266"/>
      <c r="N121" s="266"/>
      <c r="O121" s="266"/>
      <c r="P121" s="266"/>
      <c r="Q121" s="266"/>
    </row>
    <row r="122" spans="1:17" s="263" customFormat="1" ht="9" customHeight="1" x14ac:dyDescent="0.25">
      <c r="A122" s="264" t="s">
        <v>21</v>
      </c>
      <c r="B122" s="262">
        <f>SUM(B124:B155)</f>
        <v>132831</v>
      </c>
      <c r="C122" s="262"/>
      <c r="D122" s="262">
        <f>SUM(D124:D155)</f>
        <v>112913</v>
      </c>
      <c r="E122" s="282"/>
      <c r="F122" s="262">
        <f>SUM(F124:F155)</f>
        <v>34418</v>
      </c>
      <c r="G122" s="262"/>
      <c r="H122" s="262">
        <f>SUM(H124:H155)</f>
        <v>50364</v>
      </c>
      <c r="I122" s="262"/>
      <c r="J122" s="262">
        <f t="shared" ref="J122:Q122" si="12">SUM(J124:J155)</f>
        <v>5980</v>
      </c>
      <c r="K122" s="262">
        <f t="shared" si="12"/>
        <v>6165</v>
      </c>
      <c r="L122" s="262">
        <f t="shared" si="12"/>
        <v>8449</v>
      </c>
      <c r="M122" s="262">
        <f t="shared" si="12"/>
        <v>29770</v>
      </c>
      <c r="N122" s="262">
        <f t="shared" si="12"/>
        <v>9473</v>
      </c>
      <c r="O122" s="262"/>
      <c r="P122" s="262">
        <f t="shared" si="12"/>
        <v>18658</v>
      </c>
      <c r="Q122" s="262">
        <f t="shared" si="12"/>
        <v>19918</v>
      </c>
    </row>
    <row r="123" spans="1:17" s="263" customFormat="1" ht="3.95" customHeight="1" x14ac:dyDescent="0.25">
      <c r="A123" s="264"/>
      <c r="B123" s="262"/>
      <c r="C123" s="262"/>
      <c r="D123" s="282"/>
      <c r="E123" s="282"/>
      <c r="F123" s="262"/>
      <c r="G123" s="262"/>
      <c r="H123" s="262"/>
      <c r="I123" s="262"/>
      <c r="J123" s="262"/>
      <c r="K123" s="262"/>
      <c r="L123" s="262"/>
      <c r="M123" s="262"/>
      <c r="N123" s="262"/>
      <c r="O123" s="262"/>
      <c r="P123" s="262"/>
      <c r="Q123" s="262"/>
    </row>
    <row r="124" spans="1:17" s="263" customFormat="1" ht="9" customHeight="1" x14ac:dyDescent="0.25">
      <c r="A124" s="263" t="s">
        <v>23</v>
      </c>
      <c r="B124" s="266">
        <f t="shared" ref="B124:B155" si="13">SUM(D124+Q124)</f>
        <v>1563</v>
      </c>
      <c r="C124" s="266"/>
      <c r="D124" s="283">
        <f t="shared" ref="D124:D155" si="14">SUM(F124+H124+P124+N124)</f>
        <v>1334</v>
      </c>
      <c r="E124" s="283"/>
      <c r="F124" s="266">
        <v>366</v>
      </c>
      <c r="G124" s="266"/>
      <c r="H124" s="266">
        <f t="shared" ref="H124:H155" si="15">SUM(J124:M124)</f>
        <v>667</v>
      </c>
      <c r="I124" s="266"/>
      <c r="J124" s="266">
        <v>82</v>
      </c>
      <c r="K124" s="266">
        <v>111</v>
      </c>
      <c r="L124" s="266">
        <v>84</v>
      </c>
      <c r="M124" s="266">
        <v>390</v>
      </c>
      <c r="N124" s="266">
        <v>105</v>
      </c>
      <c r="O124" s="266"/>
      <c r="P124" s="266">
        <v>196</v>
      </c>
      <c r="Q124" s="266">
        <v>229</v>
      </c>
    </row>
    <row r="125" spans="1:17" s="263" customFormat="1" ht="9" customHeight="1" x14ac:dyDescent="0.25">
      <c r="A125" s="263" t="s">
        <v>24</v>
      </c>
      <c r="B125" s="266">
        <f t="shared" si="13"/>
        <v>3049</v>
      </c>
      <c r="C125" s="266"/>
      <c r="D125" s="283">
        <f t="shared" si="14"/>
        <v>2553</v>
      </c>
      <c r="E125" s="283"/>
      <c r="F125" s="266">
        <v>770</v>
      </c>
      <c r="G125" s="266"/>
      <c r="H125" s="266">
        <f t="shared" si="15"/>
        <v>1358</v>
      </c>
      <c r="I125" s="266"/>
      <c r="J125" s="266">
        <v>174</v>
      </c>
      <c r="K125" s="266">
        <v>190</v>
      </c>
      <c r="L125" s="266">
        <v>202</v>
      </c>
      <c r="M125" s="266">
        <v>792</v>
      </c>
      <c r="N125" s="266">
        <v>106</v>
      </c>
      <c r="O125" s="266"/>
      <c r="P125" s="266">
        <v>319</v>
      </c>
      <c r="Q125" s="266">
        <v>496</v>
      </c>
    </row>
    <row r="126" spans="1:17" s="263" customFormat="1" ht="9" customHeight="1" x14ac:dyDescent="0.25">
      <c r="A126" s="263" t="s">
        <v>25</v>
      </c>
      <c r="B126" s="266">
        <f t="shared" si="13"/>
        <v>1052</v>
      </c>
      <c r="C126" s="266"/>
      <c r="D126" s="283">
        <f t="shared" si="14"/>
        <v>905</v>
      </c>
      <c r="E126" s="283"/>
      <c r="F126" s="266">
        <v>304</v>
      </c>
      <c r="G126" s="266"/>
      <c r="H126" s="266">
        <f t="shared" si="15"/>
        <v>426</v>
      </c>
      <c r="I126" s="266"/>
      <c r="J126" s="266">
        <v>54</v>
      </c>
      <c r="K126" s="266">
        <v>44</v>
      </c>
      <c r="L126" s="266">
        <v>63</v>
      </c>
      <c r="M126" s="266">
        <v>265</v>
      </c>
      <c r="N126" s="266">
        <v>23</v>
      </c>
      <c r="O126" s="266"/>
      <c r="P126" s="266">
        <v>152</v>
      </c>
      <c r="Q126" s="266">
        <v>147</v>
      </c>
    </row>
    <row r="127" spans="1:17" s="263" customFormat="1" ht="9" customHeight="1" x14ac:dyDescent="0.25">
      <c r="A127" s="267" t="s">
        <v>26</v>
      </c>
      <c r="B127" s="268">
        <f t="shared" si="13"/>
        <v>1167</v>
      </c>
      <c r="C127" s="268"/>
      <c r="D127" s="284">
        <f t="shared" si="14"/>
        <v>1048</v>
      </c>
      <c r="E127" s="284"/>
      <c r="F127" s="268">
        <v>432</v>
      </c>
      <c r="G127" s="268"/>
      <c r="H127" s="268">
        <f t="shared" si="15"/>
        <v>434</v>
      </c>
      <c r="I127" s="268"/>
      <c r="J127" s="268">
        <v>60</v>
      </c>
      <c r="K127" s="268">
        <v>54</v>
      </c>
      <c r="L127" s="268">
        <v>74</v>
      </c>
      <c r="M127" s="268">
        <v>246</v>
      </c>
      <c r="N127" s="268">
        <v>13</v>
      </c>
      <c r="O127" s="268"/>
      <c r="P127" s="268">
        <v>169</v>
      </c>
      <c r="Q127" s="268">
        <v>119</v>
      </c>
    </row>
    <row r="128" spans="1:17" s="263" customFormat="1" ht="9" customHeight="1" x14ac:dyDescent="0.25">
      <c r="A128" s="263" t="s">
        <v>27</v>
      </c>
      <c r="B128" s="266">
        <f t="shared" si="13"/>
        <v>3867</v>
      </c>
      <c r="C128" s="266"/>
      <c r="D128" s="283">
        <f t="shared" si="14"/>
        <v>3157</v>
      </c>
      <c r="E128" s="283"/>
      <c r="F128" s="266">
        <v>1065</v>
      </c>
      <c r="G128" s="266"/>
      <c r="H128" s="266">
        <f t="shared" si="15"/>
        <v>1635</v>
      </c>
      <c r="I128" s="266"/>
      <c r="J128" s="266">
        <v>206</v>
      </c>
      <c r="K128" s="266">
        <v>242</v>
      </c>
      <c r="L128" s="266">
        <v>221</v>
      </c>
      <c r="M128" s="266">
        <v>966</v>
      </c>
      <c r="N128" s="266">
        <v>81</v>
      </c>
      <c r="O128" s="266"/>
      <c r="P128" s="266">
        <v>376</v>
      </c>
      <c r="Q128" s="266">
        <v>710</v>
      </c>
    </row>
    <row r="129" spans="1:17" s="263" customFormat="1" ht="9" customHeight="1" x14ac:dyDescent="0.25">
      <c r="A129" s="263" t="s">
        <v>28</v>
      </c>
      <c r="B129" s="266">
        <f t="shared" si="13"/>
        <v>970</v>
      </c>
      <c r="C129" s="266"/>
      <c r="D129" s="283">
        <f t="shared" si="14"/>
        <v>834</v>
      </c>
      <c r="E129" s="283"/>
      <c r="F129" s="266">
        <v>251</v>
      </c>
      <c r="G129" s="266"/>
      <c r="H129" s="266">
        <f t="shared" si="15"/>
        <v>422</v>
      </c>
      <c r="I129" s="266"/>
      <c r="J129" s="266">
        <v>59</v>
      </c>
      <c r="K129" s="266">
        <v>48</v>
      </c>
      <c r="L129" s="266">
        <v>54</v>
      </c>
      <c r="M129" s="266">
        <v>261</v>
      </c>
      <c r="N129" s="266">
        <v>24</v>
      </c>
      <c r="O129" s="266"/>
      <c r="P129" s="266">
        <v>137</v>
      </c>
      <c r="Q129" s="266">
        <v>136</v>
      </c>
    </row>
    <row r="130" spans="1:17" s="263" customFormat="1" ht="9" customHeight="1" x14ac:dyDescent="0.25">
      <c r="A130" s="263" t="s">
        <v>29</v>
      </c>
      <c r="B130" s="266">
        <f t="shared" si="13"/>
        <v>3800</v>
      </c>
      <c r="C130" s="266"/>
      <c r="D130" s="283">
        <f t="shared" si="14"/>
        <v>3487</v>
      </c>
      <c r="E130" s="283"/>
      <c r="F130" s="266">
        <v>1155</v>
      </c>
      <c r="G130" s="266"/>
      <c r="H130" s="266">
        <f t="shared" si="15"/>
        <v>1412</v>
      </c>
      <c r="I130" s="266"/>
      <c r="J130" s="266">
        <v>158</v>
      </c>
      <c r="K130" s="266">
        <v>133</v>
      </c>
      <c r="L130" s="266">
        <v>292</v>
      </c>
      <c r="M130" s="266">
        <v>829</v>
      </c>
      <c r="N130" s="266">
        <v>51</v>
      </c>
      <c r="O130" s="266"/>
      <c r="P130" s="266">
        <v>869</v>
      </c>
      <c r="Q130" s="266">
        <v>313</v>
      </c>
    </row>
    <row r="131" spans="1:17" s="263" customFormat="1" ht="9" customHeight="1" x14ac:dyDescent="0.25">
      <c r="A131" s="267" t="s">
        <v>30</v>
      </c>
      <c r="B131" s="268">
        <f t="shared" si="13"/>
        <v>3583</v>
      </c>
      <c r="C131" s="268"/>
      <c r="D131" s="284">
        <f t="shared" si="14"/>
        <v>2978</v>
      </c>
      <c r="E131" s="284"/>
      <c r="F131" s="268">
        <v>1209</v>
      </c>
      <c r="G131" s="268"/>
      <c r="H131" s="268">
        <f t="shared" si="15"/>
        <v>1280</v>
      </c>
      <c r="I131" s="268"/>
      <c r="J131" s="268">
        <v>173</v>
      </c>
      <c r="K131" s="268">
        <v>172</v>
      </c>
      <c r="L131" s="268">
        <v>171</v>
      </c>
      <c r="M131" s="268">
        <v>764</v>
      </c>
      <c r="N131" s="268">
        <v>82</v>
      </c>
      <c r="O131" s="268"/>
      <c r="P131" s="268">
        <v>407</v>
      </c>
      <c r="Q131" s="268">
        <v>605</v>
      </c>
    </row>
    <row r="132" spans="1:17" s="263" customFormat="1" ht="9" customHeight="1" x14ac:dyDescent="0.25">
      <c r="A132" s="263" t="s">
        <v>63</v>
      </c>
      <c r="B132" s="266">
        <f t="shared" si="13"/>
        <v>28419</v>
      </c>
      <c r="C132" s="266"/>
      <c r="D132" s="283">
        <f t="shared" si="14"/>
        <v>23614</v>
      </c>
      <c r="E132" s="283"/>
      <c r="F132" s="266">
        <v>5069</v>
      </c>
      <c r="G132" s="266"/>
      <c r="H132" s="266">
        <f t="shared" si="15"/>
        <v>11986</v>
      </c>
      <c r="I132" s="266"/>
      <c r="J132" s="266">
        <v>1155</v>
      </c>
      <c r="K132" s="266">
        <v>1466</v>
      </c>
      <c r="L132" s="266">
        <v>1723</v>
      </c>
      <c r="M132" s="266">
        <v>7642</v>
      </c>
      <c r="N132" s="266">
        <v>4561</v>
      </c>
      <c r="O132" s="266"/>
      <c r="P132" s="266">
        <v>1998</v>
      </c>
      <c r="Q132" s="266">
        <v>4805</v>
      </c>
    </row>
    <row r="133" spans="1:17" s="263" customFormat="1" ht="9" customHeight="1" x14ac:dyDescent="0.25">
      <c r="A133" s="263" t="s">
        <v>31</v>
      </c>
      <c r="B133" s="266">
        <f t="shared" si="13"/>
        <v>2189</v>
      </c>
      <c r="C133" s="266"/>
      <c r="D133" s="283">
        <f t="shared" si="14"/>
        <v>1911</v>
      </c>
      <c r="E133" s="283"/>
      <c r="F133" s="266">
        <v>536</v>
      </c>
      <c r="G133" s="266"/>
      <c r="H133" s="266">
        <f t="shared" si="15"/>
        <v>830</v>
      </c>
      <c r="I133" s="266"/>
      <c r="J133" s="266">
        <v>98</v>
      </c>
      <c r="K133" s="266">
        <v>103</v>
      </c>
      <c r="L133" s="266">
        <v>116</v>
      </c>
      <c r="M133" s="266">
        <v>513</v>
      </c>
      <c r="N133" s="266">
        <v>93</v>
      </c>
      <c r="O133" s="266"/>
      <c r="P133" s="266">
        <v>452</v>
      </c>
      <c r="Q133" s="266">
        <v>278</v>
      </c>
    </row>
    <row r="134" spans="1:17" s="263" customFormat="1" ht="9" customHeight="1" x14ac:dyDescent="0.25">
      <c r="A134" s="263" t="s">
        <v>32</v>
      </c>
      <c r="B134" s="266">
        <f t="shared" si="13"/>
        <v>4448</v>
      </c>
      <c r="C134" s="266"/>
      <c r="D134" s="283">
        <f t="shared" si="14"/>
        <v>3726</v>
      </c>
      <c r="E134" s="283"/>
      <c r="F134" s="266">
        <v>1345</v>
      </c>
      <c r="G134" s="266"/>
      <c r="H134" s="266">
        <f t="shared" si="15"/>
        <v>1486</v>
      </c>
      <c r="I134" s="266"/>
      <c r="J134" s="266">
        <v>190</v>
      </c>
      <c r="K134" s="266">
        <v>187</v>
      </c>
      <c r="L134" s="266">
        <v>240</v>
      </c>
      <c r="M134" s="266">
        <v>869</v>
      </c>
      <c r="N134" s="266">
        <v>303</v>
      </c>
      <c r="O134" s="266"/>
      <c r="P134" s="266">
        <v>592</v>
      </c>
      <c r="Q134" s="266">
        <v>722</v>
      </c>
    </row>
    <row r="135" spans="1:17" s="263" customFormat="1" ht="9" customHeight="1" x14ac:dyDescent="0.25">
      <c r="A135" s="267" t="s">
        <v>33</v>
      </c>
      <c r="B135" s="268">
        <f t="shared" si="13"/>
        <v>3169</v>
      </c>
      <c r="C135" s="268"/>
      <c r="D135" s="284">
        <f t="shared" si="14"/>
        <v>2893</v>
      </c>
      <c r="E135" s="284"/>
      <c r="F135" s="268">
        <v>1199</v>
      </c>
      <c r="G135" s="268"/>
      <c r="H135" s="268">
        <f t="shared" si="15"/>
        <v>1056</v>
      </c>
      <c r="I135" s="268"/>
      <c r="J135" s="268">
        <v>145</v>
      </c>
      <c r="K135" s="268">
        <v>133</v>
      </c>
      <c r="L135" s="268">
        <v>197</v>
      </c>
      <c r="M135" s="268">
        <v>581</v>
      </c>
      <c r="N135" s="268">
        <v>43</v>
      </c>
      <c r="O135" s="268"/>
      <c r="P135" s="268">
        <v>595</v>
      </c>
      <c r="Q135" s="268">
        <v>276</v>
      </c>
    </row>
    <row r="136" spans="1:17" s="263" customFormat="1" ht="9" customHeight="1" x14ac:dyDescent="0.25">
      <c r="A136" s="263" t="s">
        <v>34</v>
      </c>
      <c r="B136" s="266">
        <f t="shared" si="13"/>
        <v>2548</v>
      </c>
      <c r="C136" s="266"/>
      <c r="D136" s="283">
        <f t="shared" si="14"/>
        <v>2200</v>
      </c>
      <c r="E136" s="283"/>
      <c r="F136" s="266">
        <v>735</v>
      </c>
      <c r="G136" s="266"/>
      <c r="H136" s="266">
        <f t="shared" si="15"/>
        <v>710</v>
      </c>
      <c r="I136" s="266"/>
      <c r="J136" s="266">
        <v>91</v>
      </c>
      <c r="K136" s="266">
        <v>70</v>
      </c>
      <c r="L136" s="266">
        <v>141</v>
      </c>
      <c r="M136" s="266">
        <v>408</v>
      </c>
      <c r="N136" s="266">
        <v>59</v>
      </c>
      <c r="O136" s="266"/>
      <c r="P136" s="266">
        <v>696</v>
      </c>
      <c r="Q136" s="266">
        <v>348</v>
      </c>
    </row>
    <row r="137" spans="1:17" s="263" customFormat="1" ht="9" customHeight="1" x14ac:dyDescent="0.25">
      <c r="A137" s="263" t="s">
        <v>35</v>
      </c>
      <c r="B137" s="266">
        <f t="shared" si="13"/>
        <v>8595</v>
      </c>
      <c r="C137" s="266"/>
      <c r="D137" s="283">
        <f t="shared" si="14"/>
        <v>7220</v>
      </c>
      <c r="E137" s="283"/>
      <c r="F137" s="266">
        <v>1895</v>
      </c>
      <c r="G137" s="266"/>
      <c r="H137" s="266">
        <f t="shared" si="15"/>
        <v>3185</v>
      </c>
      <c r="I137" s="266"/>
      <c r="J137" s="266">
        <v>414</v>
      </c>
      <c r="K137" s="266">
        <v>400</v>
      </c>
      <c r="L137" s="266">
        <v>542</v>
      </c>
      <c r="M137" s="266">
        <v>1829</v>
      </c>
      <c r="N137" s="266">
        <v>760</v>
      </c>
      <c r="O137" s="266"/>
      <c r="P137" s="266">
        <v>1380</v>
      </c>
      <c r="Q137" s="266">
        <v>1375</v>
      </c>
    </row>
    <row r="138" spans="1:17" s="263" customFormat="1" ht="9" customHeight="1" x14ac:dyDescent="0.25">
      <c r="A138" s="263" t="s">
        <v>36</v>
      </c>
      <c r="B138" s="266">
        <f t="shared" si="13"/>
        <v>11163</v>
      </c>
      <c r="C138" s="266"/>
      <c r="D138" s="283">
        <f t="shared" si="14"/>
        <v>9247</v>
      </c>
      <c r="E138" s="283"/>
      <c r="F138" s="266">
        <v>3438</v>
      </c>
      <c r="G138" s="266"/>
      <c r="H138" s="266">
        <f t="shared" si="15"/>
        <v>3802</v>
      </c>
      <c r="I138" s="266"/>
      <c r="J138" s="266">
        <v>546</v>
      </c>
      <c r="K138" s="266">
        <v>504</v>
      </c>
      <c r="L138" s="266">
        <v>913</v>
      </c>
      <c r="M138" s="266">
        <v>1839</v>
      </c>
      <c r="N138" s="266">
        <v>676</v>
      </c>
      <c r="O138" s="266"/>
      <c r="P138" s="266">
        <v>1331</v>
      </c>
      <c r="Q138" s="266">
        <v>1916</v>
      </c>
    </row>
    <row r="139" spans="1:17" s="263" customFormat="1" ht="9" customHeight="1" x14ac:dyDescent="0.25">
      <c r="A139" s="267" t="s">
        <v>37</v>
      </c>
      <c r="B139" s="268">
        <f t="shared" si="13"/>
        <v>4188</v>
      </c>
      <c r="C139" s="268"/>
      <c r="D139" s="284">
        <f t="shared" si="14"/>
        <v>3673</v>
      </c>
      <c r="E139" s="284"/>
      <c r="F139" s="268">
        <v>1035</v>
      </c>
      <c r="G139" s="268"/>
      <c r="H139" s="268">
        <f t="shared" si="15"/>
        <v>1448</v>
      </c>
      <c r="I139" s="268"/>
      <c r="J139" s="268">
        <v>176</v>
      </c>
      <c r="K139" s="268">
        <v>142</v>
      </c>
      <c r="L139" s="268">
        <v>313</v>
      </c>
      <c r="M139" s="268">
        <v>817</v>
      </c>
      <c r="N139" s="268">
        <v>110</v>
      </c>
      <c r="O139" s="268"/>
      <c r="P139" s="268">
        <v>1080</v>
      </c>
      <c r="Q139" s="268">
        <v>515</v>
      </c>
    </row>
    <row r="140" spans="1:17" s="263" customFormat="1" ht="9" customHeight="1" x14ac:dyDescent="0.25">
      <c r="A140" s="263" t="s">
        <v>38</v>
      </c>
      <c r="B140" s="266">
        <f t="shared" si="13"/>
        <v>1862</v>
      </c>
      <c r="C140" s="266"/>
      <c r="D140" s="283">
        <f t="shared" si="14"/>
        <v>1637</v>
      </c>
      <c r="E140" s="283"/>
      <c r="F140" s="266">
        <v>483</v>
      </c>
      <c r="G140" s="266"/>
      <c r="H140" s="266">
        <f t="shared" si="15"/>
        <v>820</v>
      </c>
      <c r="I140" s="266"/>
      <c r="J140" s="266">
        <v>104</v>
      </c>
      <c r="K140" s="266">
        <v>96</v>
      </c>
      <c r="L140" s="266">
        <v>129</v>
      </c>
      <c r="M140" s="266">
        <v>491</v>
      </c>
      <c r="N140" s="266">
        <v>20</v>
      </c>
      <c r="O140" s="266"/>
      <c r="P140" s="266">
        <v>314</v>
      </c>
      <c r="Q140" s="266">
        <v>225</v>
      </c>
    </row>
    <row r="141" spans="1:17" s="263" customFormat="1" ht="9" customHeight="1" x14ac:dyDescent="0.25">
      <c r="A141" s="263" t="s">
        <v>39</v>
      </c>
      <c r="B141" s="266">
        <f t="shared" si="13"/>
        <v>1420</v>
      </c>
      <c r="C141" s="266"/>
      <c r="D141" s="283">
        <f t="shared" si="14"/>
        <v>1227</v>
      </c>
      <c r="E141" s="283"/>
      <c r="F141" s="266">
        <v>353</v>
      </c>
      <c r="G141" s="266"/>
      <c r="H141" s="266">
        <f t="shared" si="15"/>
        <v>523</v>
      </c>
      <c r="I141" s="266"/>
      <c r="J141" s="266">
        <v>66</v>
      </c>
      <c r="K141" s="266">
        <v>59</v>
      </c>
      <c r="L141" s="266">
        <v>91</v>
      </c>
      <c r="M141" s="266">
        <v>307</v>
      </c>
      <c r="N141" s="266">
        <v>34</v>
      </c>
      <c r="O141" s="266"/>
      <c r="P141" s="266">
        <v>317</v>
      </c>
      <c r="Q141" s="266">
        <v>193</v>
      </c>
    </row>
    <row r="142" spans="1:17" s="263" customFormat="1" ht="9" customHeight="1" x14ac:dyDescent="0.25">
      <c r="A142" s="263" t="s">
        <v>40</v>
      </c>
      <c r="B142" s="266">
        <f t="shared" si="13"/>
        <v>5907</v>
      </c>
      <c r="C142" s="266"/>
      <c r="D142" s="283">
        <f t="shared" si="14"/>
        <v>4721</v>
      </c>
      <c r="E142" s="283"/>
      <c r="F142" s="266">
        <v>1563</v>
      </c>
      <c r="G142" s="266"/>
      <c r="H142" s="266">
        <f t="shared" si="15"/>
        <v>2320</v>
      </c>
      <c r="I142" s="266"/>
      <c r="J142" s="266">
        <v>270</v>
      </c>
      <c r="K142" s="266">
        <v>309</v>
      </c>
      <c r="L142" s="266">
        <v>297</v>
      </c>
      <c r="M142" s="266">
        <v>1444</v>
      </c>
      <c r="N142" s="266">
        <v>466</v>
      </c>
      <c r="O142" s="266"/>
      <c r="P142" s="266">
        <v>372</v>
      </c>
      <c r="Q142" s="266">
        <v>1186</v>
      </c>
    </row>
    <row r="143" spans="1:17" s="263" customFormat="1" ht="9" customHeight="1" x14ac:dyDescent="0.25">
      <c r="A143" s="267" t="s">
        <v>41</v>
      </c>
      <c r="B143" s="268">
        <f t="shared" si="13"/>
        <v>3279</v>
      </c>
      <c r="C143" s="268"/>
      <c r="D143" s="284">
        <f t="shared" si="14"/>
        <v>3016</v>
      </c>
      <c r="E143" s="284"/>
      <c r="F143" s="268">
        <v>910</v>
      </c>
      <c r="G143" s="268"/>
      <c r="H143" s="268">
        <f t="shared" si="15"/>
        <v>992</v>
      </c>
      <c r="I143" s="268"/>
      <c r="J143" s="268">
        <v>102</v>
      </c>
      <c r="K143" s="268">
        <v>86</v>
      </c>
      <c r="L143" s="268">
        <v>217</v>
      </c>
      <c r="M143" s="268">
        <v>587</v>
      </c>
      <c r="N143" s="268">
        <v>78</v>
      </c>
      <c r="O143" s="268"/>
      <c r="P143" s="268">
        <v>1036</v>
      </c>
      <c r="Q143" s="268">
        <v>263</v>
      </c>
    </row>
    <row r="144" spans="1:17" s="263" customFormat="1" ht="9" customHeight="1" x14ac:dyDescent="0.25">
      <c r="A144" s="263" t="s">
        <v>42</v>
      </c>
      <c r="B144" s="266">
        <f t="shared" si="13"/>
        <v>4477</v>
      </c>
      <c r="C144" s="266"/>
      <c r="D144" s="283">
        <f t="shared" si="14"/>
        <v>3902</v>
      </c>
      <c r="E144" s="283"/>
      <c r="F144" s="266">
        <v>1125</v>
      </c>
      <c r="G144" s="266"/>
      <c r="H144" s="266">
        <f t="shared" si="15"/>
        <v>1635</v>
      </c>
      <c r="I144" s="266"/>
      <c r="J144" s="266">
        <v>148</v>
      </c>
      <c r="K144" s="266">
        <v>164</v>
      </c>
      <c r="L144" s="266">
        <v>439</v>
      </c>
      <c r="M144" s="266">
        <v>884</v>
      </c>
      <c r="N144" s="266">
        <v>158</v>
      </c>
      <c r="O144" s="266"/>
      <c r="P144" s="266">
        <v>984</v>
      </c>
      <c r="Q144" s="266">
        <v>575</v>
      </c>
    </row>
    <row r="145" spans="1:17" s="263" customFormat="1" ht="9" customHeight="1" x14ac:dyDescent="0.25">
      <c r="A145" s="263" t="s">
        <v>43</v>
      </c>
      <c r="B145" s="266">
        <f t="shared" si="13"/>
        <v>1740</v>
      </c>
      <c r="C145" s="266"/>
      <c r="D145" s="283">
        <f t="shared" si="14"/>
        <v>1516</v>
      </c>
      <c r="E145" s="283"/>
      <c r="F145" s="266">
        <v>455</v>
      </c>
      <c r="G145" s="266"/>
      <c r="H145" s="266">
        <f t="shared" si="15"/>
        <v>603</v>
      </c>
      <c r="I145" s="266"/>
      <c r="J145" s="266">
        <v>98</v>
      </c>
      <c r="K145" s="266">
        <v>100</v>
      </c>
      <c r="L145" s="266">
        <v>109</v>
      </c>
      <c r="M145" s="266">
        <v>296</v>
      </c>
      <c r="N145" s="266">
        <v>109</v>
      </c>
      <c r="O145" s="266"/>
      <c r="P145" s="266">
        <v>349</v>
      </c>
      <c r="Q145" s="266">
        <v>224</v>
      </c>
    </row>
    <row r="146" spans="1:17" s="263" customFormat="1" ht="9" customHeight="1" x14ac:dyDescent="0.25">
      <c r="A146" s="263" t="s">
        <v>44</v>
      </c>
      <c r="B146" s="266">
        <f t="shared" si="13"/>
        <v>1085</v>
      </c>
      <c r="C146" s="266"/>
      <c r="D146" s="283">
        <f t="shared" si="14"/>
        <v>909</v>
      </c>
      <c r="E146" s="283"/>
      <c r="F146" s="266">
        <v>379</v>
      </c>
      <c r="G146" s="266"/>
      <c r="H146" s="266">
        <f t="shared" si="15"/>
        <v>421</v>
      </c>
      <c r="I146" s="266"/>
      <c r="J146" s="266">
        <v>62</v>
      </c>
      <c r="K146" s="266">
        <v>61</v>
      </c>
      <c r="L146" s="266">
        <v>63</v>
      </c>
      <c r="M146" s="266">
        <v>235</v>
      </c>
      <c r="N146" s="266">
        <v>12</v>
      </c>
      <c r="O146" s="266"/>
      <c r="P146" s="266">
        <v>97</v>
      </c>
      <c r="Q146" s="266">
        <v>176</v>
      </c>
    </row>
    <row r="147" spans="1:17" s="263" customFormat="1" ht="9" customHeight="1" x14ac:dyDescent="0.25">
      <c r="A147" s="267" t="s">
        <v>45</v>
      </c>
      <c r="B147" s="268">
        <f t="shared" si="13"/>
        <v>2169</v>
      </c>
      <c r="C147" s="268"/>
      <c r="D147" s="284">
        <f t="shared" si="14"/>
        <v>1912</v>
      </c>
      <c r="E147" s="284"/>
      <c r="F147" s="268">
        <v>632</v>
      </c>
      <c r="G147" s="268"/>
      <c r="H147" s="268">
        <f t="shared" si="15"/>
        <v>746</v>
      </c>
      <c r="I147" s="268"/>
      <c r="J147" s="268">
        <v>99</v>
      </c>
      <c r="K147" s="268">
        <v>84</v>
      </c>
      <c r="L147" s="268">
        <v>178</v>
      </c>
      <c r="M147" s="268">
        <v>385</v>
      </c>
      <c r="N147" s="268">
        <v>71</v>
      </c>
      <c r="O147" s="268"/>
      <c r="P147" s="268">
        <v>463</v>
      </c>
      <c r="Q147" s="268">
        <v>257</v>
      </c>
    </row>
    <row r="148" spans="1:17" s="263" customFormat="1" ht="9" customHeight="1" x14ac:dyDescent="0.25">
      <c r="A148" s="263" t="s">
        <v>46</v>
      </c>
      <c r="B148" s="266">
        <f t="shared" si="13"/>
        <v>3363</v>
      </c>
      <c r="C148" s="266"/>
      <c r="D148" s="283">
        <f t="shared" si="14"/>
        <v>2767</v>
      </c>
      <c r="E148" s="283"/>
      <c r="F148" s="266">
        <v>940</v>
      </c>
      <c r="G148" s="266"/>
      <c r="H148" s="266">
        <f t="shared" si="15"/>
        <v>1242</v>
      </c>
      <c r="I148" s="266"/>
      <c r="J148" s="266">
        <v>152</v>
      </c>
      <c r="K148" s="266">
        <v>123</v>
      </c>
      <c r="L148" s="266">
        <v>193</v>
      </c>
      <c r="M148" s="266">
        <v>774</v>
      </c>
      <c r="N148" s="266">
        <v>58</v>
      </c>
      <c r="O148" s="266"/>
      <c r="P148" s="266">
        <v>527</v>
      </c>
      <c r="Q148" s="266">
        <v>596</v>
      </c>
    </row>
    <row r="149" spans="1:17" s="263" customFormat="1" ht="9" customHeight="1" x14ac:dyDescent="0.25">
      <c r="A149" s="263" t="s">
        <v>47</v>
      </c>
      <c r="B149" s="266">
        <f t="shared" si="13"/>
        <v>3543</v>
      </c>
      <c r="C149" s="266"/>
      <c r="D149" s="283">
        <f t="shared" si="14"/>
        <v>2952</v>
      </c>
      <c r="E149" s="283"/>
      <c r="F149" s="266">
        <v>864</v>
      </c>
      <c r="G149" s="266"/>
      <c r="H149" s="266">
        <f t="shared" si="15"/>
        <v>1440</v>
      </c>
      <c r="I149" s="266"/>
      <c r="J149" s="266">
        <v>167</v>
      </c>
      <c r="K149" s="266">
        <v>182</v>
      </c>
      <c r="L149" s="266">
        <v>162</v>
      </c>
      <c r="M149" s="266">
        <v>929</v>
      </c>
      <c r="N149" s="266">
        <v>362</v>
      </c>
      <c r="O149" s="266"/>
      <c r="P149" s="266">
        <v>286</v>
      </c>
      <c r="Q149" s="266">
        <v>591</v>
      </c>
    </row>
    <row r="150" spans="1:17" s="263" customFormat="1" ht="9" customHeight="1" x14ac:dyDescent="0.25">
      <c r="A150" s="263" t="s">
        <v>48</v>
      </c>
      <c r="B150" s="266">
        <f t="shared" si="13"/>
        <v>3114</v>
      </c>
      <c r="C150" s="266"/>
      <c r="D150" s="283">
        <f t="shared" si="14"/>
        <v>2839</v>
      </c>
      <c r="E150" s="283"/>
      <c r="F150" s="266">
        <v>1069</v>
      </c>
      <c r="G150" s="266"/>
      <c r="H150" s="266">
        <f t="shared" si="15"/>
        <v>1178</v>
      </c>
      <c r="I150" s="266"/>
      <c r="J150" s="266">
        <v>126</v>
      </c>
      <c r="K150" s="266">
        <v>114</v>
      </c>
      <c r="L150" s="266">
        <v>294</v>
      </c>
      <c r="M150" s="266">
        <v>644</v>
      </c>
      <c r="N150" s="266">
        <v>157</v>
      </c>
      <c r="O150" s="266"/>
      <c r="P150" s="266">
        <v>435</v>
      </c>
      <c r="Q150" s="266">
        <v>275</v>
      </c>
    </row>
    <row r="151" spans="1:17" s="263" customFormat="1" ht="9" customHeight="1" x14ac:dyDescent="0.25">
      <c r="A151" s="267" t="s">
        <v>49</v>
      </c>
      <c r="B151" s="268">
        <f t="shared" si="13"/>
        <v>3961</v>
      </c>
      <c r="C151" s="268"/>
      <c r="D151" s="284">
        <f t="shared" si="14"/>
        <v>3444</v>
      </c>
      <c r="E151" s="284"/>
      <c r="F151" s="268">
        <v>1169</v>
      </c>
      <c r="G151" s="268"/>
      <c r="H151" s="268">
        <f t="shared" si="15"/>
        <v>1699</v>
      </c>
      <c r="I151" s="268"/>
      <c r="J151" s="268">
        <v>222</v>
      </c>
      <c r="K151" s="268">
        <v>224</v>
      </c>
      <c r="L151" s="268">
        <v>186</v>
      </c>
      <c r="M151" s="268">
        <v>1067</v>
      </c>
      <c r="N151" s="268">
        <v>89</v>
      </c>
      <c r="O151" s="268"/>
      <c r="P151" s="268">
        <v>487</v>
      </c>
      <c r="Q151" s="268">
        <v>517</v>
      </c>
    </row>
    <row r="152" spans="1:17" s="263" customFormat="1" ht="9" customHeight="1" x14ac:dyDescent="0.25">
      <c r="A152" s="263" t="s">
        <v>50</v>
      </c>
      <c r="B152" s="266">
        <f t="shared" si="13"/>
        <v>1024</v>
      </c>
      <c r="C152" s="266"/>
      <c r="D152" s="283">
        <f t="shared" si="14"/>
        <v>879</v>
      </c>
      <c r="E152" s="283"/>
      <c r="F152" s="266">
        <v>284</v>
      </c>
      <c r="G152" s="266"/>
      <c r="H152" s="266">
        <f t="shared" si="15"/>
        <v>337</v>
      </c>
      <c r="I152" s="266"/>
      <c r="J152" s="266">
        <v>44</v>
      </c>
      <c r="K152" s="266">
        <v>46</v>
      </c>
      <c r="L152" s="266">
        <v>75</v>
      </c>
      <c r="M152" s="266">
        <v>172</v>
      </c>
      <c r="N152" s="266">
        <v>27</v>
      </c>
      <c r="O152" s="266"/>
      <c r="P152" s="266">
        <v>231</v>
      </c>
      <c r="Q152" s="266">
        <v>145</v>
      </c>
    </row>
    <row r="153" spans="1:17" s="263" customFormat="1" ht="9" customHeight="1" x14ac:dyDescent="0.25">
      <c r="A153" s="263" t="s">
        <v>51</v>
      </c>
      <c r="B153" s="266">
        <f t="shared" si="13"/>
        <v>8175</v>
      </c>
      <c r="C153" s="266"/>
      <c r="D153" s="283">
        <f t="shared" si="14"/>
        <v>6985</v>
      </c>
      <c r="E153" s="283"/>
      <c r="F153" s="266">
        <v>2440</v>
      </c>
      <c r="G153" s="266"/>
      <c r="H153" s="266">
        <f t="shared" si="15"/>
        <v>2867</v>
      </c>
      <c r="I153" s="266"/>
      <c r="J153" s="266">
        <v>364</v>
      </c>
      <c r="K153" s="266">
        <v>343</v>
      </c>
      <c r="L153" s="266">
        <v>435</v>
      </c>
      <c r="M153" s="266">
        <v>1725</v>
      </c>
      <c r="N153" s="266">
        <v>442</v>
      </c>
      <c r="O153" s="266"/>
      <c r="P153" s="266">
        <v>1236</v>
      </c>
      <c r="Q153" s="266">
        <v>1190</v>
      </c>
    </row>
    <row r="154" spans="1:17" s="263" customFormat="1" ht="9" customHeight="1" x14ac:dyDescent="0.25">
      <c r="A154" s="263" t="s">
        <v>52</v>
      </c>
      <c r="B154" s="266">
        <f t="shared" si="13"/>
        <v>2461</v>
      </c>
      <c r="C154" s="266"/>
      <c r="D154" s="283">
        <f t="shared" si="14"/>
        <v>2096</v>
      </c>
      <c r="E154" s="283"/>
      <c r="F154" s="266">
        <v>565</v>
      </c>
      <c r="G154" s="266"/>
      <c r="H154" s="266">
        <f t="shared" si="15"/>
        <v>889</v>
      </c>
      <c r="I154" s="266"/>
      <c r="J154" s="266">
        <v>110</v>
      </c>
      <c r="K154" s="266">
        <v>117</v>
      </c>
      <c r="L154" s="266">
        <v>140</v>
      </c>
      <c r="M154" s="266">
        <v>522</v>
      </c>
      <c r="N154" s="266">
        <v>274</v>
      </c>
      <c r="O154" s="266"/>
      <c r="P154" s="266">
        <v>368</v>
      </c>
      <c r="Q154" s="266">
        <v>365</v>
      </c>
    </row>
    <row r="155" spans="1:17" s="263" customFormat="1" ht="9" customHeight="1" x14ac:dyDescent="0.25">
      <c r="A155" s="267" t="s">
        <v>53</v>
      </c>
      <c r="B155" s="268">
        <f t="shared" si="13"/>
        <v>1481</v>
      </c>
      <c r="C155" s="268"/>
      <c r="D155" s="284">
        <f t="shared" si="14"/>
        <v>1331</v>
      </c>
      <c r="E155" s="284"/>
      <c r="F155" s="268">
        <v>383</v>
      </c>
      <c r="G155" s="268"/>
      <c r="H155" s="268">
        <f t="shared" si="15"/>
        <v>515</v>
      </c>
      <c r="I155" s="268"/>
      <c r="J155" s="268">
        <v>65</v>
      </c>
      <c r="K155" s="268">
        <v>58</v>
      </c>
      <c r="L155" s="268">
        <v>95</v>
      </c>
      <c r="M155" s="268">
        <v>297</v>
      </c>
      <c r="N155" s="268">
        <v>26</v>
      </c>
      <c r="O155" s="268"/>
      <c r="P155" s="268">
        <v>407</v>
      </c>
      <c r="Q155" s="268">
        <v>150</v>
      </c>
    </row>
    <row r="156" spans="1:17" s="263" customFormat="1" ht="9" customHeight="1" x14ac:dyDescent="0.25">
      <c r="B156" s="266"/>
      <c r="C156" s="266"/>
      <c r="D156" s="283"/>
      <c r="E156" s="283"/>
      <c r="F156" s="266"/>
      <c r="G156" s="266"/>
      <c r="H156" s="266"/>
      <c r="I156" s="266"/>
      <c r="J156" s="266"/>
      <c r="K156" s="266"/>
      <c r="L156" s="266"/>
      <c r="M156" s="266"/>
      <c r="N156" s="266"/>
      <c r="O156" s="266"/>
      <c r="P156" s="266"/>
      <c r="Q156" s="266"/>
    </row>
    <row r="157" spans="1:17" s="263" customFormat="1" ht="9" customHeight="1" x14ac:dyDescent="0.25">
      <c r="A157" s="261">
        <v>1999</v>
      </c>
      <c r="B157" s="266"/>
      <c r="C157" s="266"/>
      <c r="D157" s="266"/>
      <c r="E157" s="266"/>
      <c r="F157" s="266"/>
      <c r="G157" s="266"/>
      <c r="H157" s="266"/>
      <c r="I157" s="266"/>
      <c r="J157" s="266"/>
      <c r="K157" s="266"/>
      <c r="L157" s="266"/>
      <c r="M157" s="266"/>
      <c r="N157" s="266"/>
      <c r="O157" s="266"/>
      <c r="P157" s="266"/>
      <c r="Q157" s="266"/>
    </row>
    <row r="158" spans="1:17" s="263" customFormat="1" ht="9" customHeight="1" x14ac:dyDescent="0.25">
      <c r="A158" s="264" t="s">
        <v>21</v>
      </c>
      <c r="B158" s="262">
        <f>SUM(B160:B191)</f>
        <v>135159</v>
      </c>
      <c r="C158" s="262"/>
      <c r="D158" s="262">
        <f>SUM(D160:D191)</f>
        <v>114845</v>
      </c>
      <c r="E158" s="282"/>
      <c r="F158" s="262">
        <f>SUM(F160:F191)</f>
        <v>35782</v>
      </c>
      <c r="G158" s="262"/>
      <c r="H158" s="262">
        <f>SUM(H160:H191)</f>
        <v>51919</v>
      </c>
      <c r="I158" s="262"/>
      <c r="J158" s="262">
        <f t="shared" ref="J158:Q158" si="16">SUM(J160:J191)</f>
        <v>6103</v>
      </c>
      <c r="K158" s="262">
        <f t="shared" si="16"/>
        <v>6305</v>
      </c>
      <c r="L158" s="262">
        <f t="shared" si="16"/>
        <v>8764</v>
      </c>
      <c r="M158" s="262">
        <f t="shared" si="16"/>
        <v>30747</v>
      </c>
      <c r="N158" s="262">
        <f t="shared" si="16"/>
        <v>9408</v>
      </c>
      <c r="O158" s="262"/>
      <c r="P158" s="262">
        <f t="shared" si="16"/>
        <v>17736</v>
      </c>
      <c r="Q158" s="262">
        <f t="shared" si="16"/>
        <v>20314</v>
      </c>
    </row>
    <row r="159" spans="1:17" s="263" customFormat="1" ht="3.95" customHeight="1" x14ac:dyDescent="0.25">
      <c r="A159" s="264"/>
      <c r="B159" s="262"/>
      <c r="C159" s="262"/>
      <c r="D159" s="282"/>
      <c r="E159" s="282"/>
      <c r="F159" s="262"/>
      <c r="G159" s="262"/>
      <c r="H159" s="262"/>
      <c r="I159" s="262"/>
      <c r="J159" s="262"/>
      <c r="K159" s="262"/>
      <c r="L159" s="262"/>
      <c r="M159" s="262"/>
      <c r="N159" s="262"/>
      <c r="O159" s="262"/>
      <c r="P159" s="262"/>
      <c r="Q159" s="262"/>
    </row>
    <row r="160" spans="1:17" s="263" customFormat="1" ht="9" customHeight="1" x14ac:dyDescent="0.25">
      <c r="A160" s="263" t="s">
        <v>23</v>
      </c>
      <c r="B160" s="266">
        <f t="shared" ref="B160:B191" si="17">SUM(D160+Q160)</f>
        <v>1700</v>
      </c>
      <c r="C160" s="266"/>
      <c r="D160" s="283">
        <f t="shared" ref="D160:D191" si="18">SUM(F160+H160+P160+N160)</f>
        <v>1486</v>
      </c>
      <c r="E160" s="283"/>
      <c r="F160" s="266">
        <v>407</v>
      </c>
      <c r="G160" s="266"/>
      <c r="H160" s="266">
        <f t="shared" ref="H160:H191" si="19">SUM(J160:M160)</f>
        <v>726</v>
      </c>
      <c r="I160" s="266"/>
      <c r="J160" s="266">
        <v>82</v>
      </c>
      <c r="K160" s="266">
        <v>116</v>
      </c>
      <c r="L160" s="266">
        <v>84</v>
      </c>
      <c r="M160" s="266">
        <v>444</v>
      </c>
      <c r="N160" s="266">
        <v>111</v>
      </c>
      <c r="O160" s="266"/>
      <c r="P160" s="266">
        <v>242</v>
      </c>
      <c r="Q160" s="266">
        <v>214</v>
      </c>
    </row>
    <row r="161" spans="1:17" s="263" customFormat="1" ht="9" customHeight="1" x14ac:dyDescent="0.25">
      <c r="A161" s="263" t="s">
        <v>24</v>
      </c>
      <c r="B161" s="266">
        <f t="shared" si="17"/>
        <v>3182</v>
      </c>
      <c r="C161" s="266"/>
      <c r="D161" s="283">
        <f t="shared" si="18"/>
        <v>2645</v>
      </c>
      <c r="E161" s="283"/>
      <c r="F161" s="266">
        <v>784</v>
      </c>
      <c r="G161" s="266"/>
      <c r="H161" s="266">
        <f t="shared" si="19"/>
        <v>1372</v>
      </c>
      <c r="I161" s="266"/>
      <c r="J161" s="266">
        <v>165</v>
      </c>
      <c r="K161" s="266">
        <v>179</v>
      </c>
      <c r="L161" s="266">
        <v>216</v>
      </c>
      <c r="M161" s="266">
        <v>812</v>
      </c>
      <c r="N161" s="266">
        <v>108</v>
      </c>
      <c r="O161" s="266"/>
      <c r="P161" s="266">
        <v>381</v>
      </c>
      <c r="Q161" s="266">
        <v>537</v>
      </c>
    </row>
    <row r="162" spans="1:17" s="263" customFormat="1" ht="9" customHeight="1" x14ac:dyDescent="0.25">
      <c r="A162" s="263" t="s">
        <v>25</v>
      </c>
      <c r="B162" s="266">
        <f t="shared" si="17"/>
        <v>1067</v>
      </c>
      <c r="C162" s="266"/>
      <c r="D162" s="283">
        <f t="shared" si="18"/>
        <v>906</v>
      </c>
      <c r="E162" s="283"/>
      <c r="F162" s="266">
        <v>317</v>
      </c>
      <c r="G162" s="266"/>
      <c r="H162" s="266">
        <f t="shared" si="19"/>
        <v>440</v>
      </c>
      <c r="I162" s="266"/>
      <c r="J162" s="266">
        <v>55</v>
      </c>
      <c r="K162" s="266">
        <v>51</v>
      </c>
      <c r="L162" s="266">
        <v>64</v>
      </c>
      <c r="M162" s="266">
        <v>270</v>
      </c>
      <c r="N162" s="266">
        <v>23</v>
      </c>
      <c r="O162" s="266"/>
      <c r="P162" s="266">
        <v>126</v>
      </c>
      <c r="Q162" s="266">
        <v>161</v>
      </c>
    </row>
    <row r="163" spans="1:17" s="263" customFormat="1" ht="9" customHeight="1" x14ac:dyDescent="0.25">
      <c r="A163" s="267" t="s">
        <v>26</v>
      </c>
      <c r="B163" s="268">
        <f t="shared" si="17"/>
        <v>1203</v>
      </c>
      <c r="C163" s="268"/>
      <c r="D163" s="284">
        <f t="shared" si="18"/>
        <v>1094</v>
      </c>
      <c r="E163" s="284"/>
      <c r="F163" s="268">
        <v>453</v>
      </c>
      <c r="G163" s="268"/>
      <c r="H163" s="268">
        <f t="shared" si="19"/>
        <v>459</v>
      </c>
      <c r="I163" s="268"/>
      <c r="J163" s="268">
        <v>66</v>
      </c>
      <c r="K163" s="268">
        <v>55</v>
      </c>
      <c r="L163" s="268">
        <v>73</v>
      </c>
      <c r="M163" s="268">
        <v>265</v>
      </c>
      <c r="N163" s="268">
        <v>18</v>
      </c>
      <c r="O163" s="268"/>
      <c r="P163" s="268">
        <v>164</v>
      </c>
      <c r="Q163" s="268">
        <v>109</v>
      </c>
    </row>
    <row r="164" spans="1:17" s="263" customFormat="1" ht="9" customHeight="1" x14ac:dyDescent="0.25">
      <c r="A164" s="263" t="s">
        <v>27</v>
      </c>
      <c r="B164" s="266">
        <f t="shared" si="17"/>
        <v>3922</v>
      </c>
      <c r="C164" s="266"/>
      <c r="D164" s="283">
        <f t="shared" si="18"/>
        <v>3184</v>
      </c>
      <c r="E164" s="283"/>
      <c r="F164" s="266">
        <v>1059</v>
      </c>
      <c r="G164" s="266"/>
      <c r="H164" s="266">
        <f t="shared" si="19"/>
        <v>1641</v>
      </c>
      <c r="I164" s="266"/>
      <c r="J164" s="266">
        <v>211</v>
      </c>
      <c r="K164" s="266">
        <v>221</v>
      </c>
      <c r="L164" s="266">
        <v>220</v>
      </c>
      <c r="M164" s="266">
        <v>989</v>
      </c>
      <c r="N164" s="266">
        <v>84</v>
      </c>
      <c r="O164" s="266"/>
      <c r="P164" s="266">
        <v>400</v>
      </c>
      <c r="Q164" s="266">
        <v>738</v>
      </c>
    </row>
    <row r="165" spans="1:17" s="263" customFormat="1" ht="9" customHeight="1" x14ac:dyDescent="0.25">
      <c r="A165" s="263" t="s">
        <v>28</v>
      </c>
      <c r="B165" s="266">
        <f t="shared" si="17"/>
        <v>977</v>
      </c>
      <c r="C165" s="266"/>
      <c r="D165" s="283">
        <f t="shared" si="18"/>
        <v>843</v>
      </c>
      <c r="E165" s="283"/>
      <c r="F165" s="266">
        <v>251</v>
      </c>
      <c r="G165" s="266"/>
      <c r="H165" s="266">
        <f t="shared" si="19"/>
        <v>439</v>
      </c>
      <c r="I165" s="266"/>
      <c r="J165" s="266">
        <v>61</v>
      </c>
      <c r="K165" s="266">
        <v>46</v>
      </c>
      <c r="L165" s="266">
        <v>56</v>
      </c>
      <c r="M165" s="266">
        <v>276</v>
      </c>
      <c r="N165" s="266">
        <v>27</v>
      </c>
      <c r="O165" s="266"/>
      <c r="P165" s="266">
        <v>126</v>
      </c>
      <c r="Q165" s="266">
        <v>134</v>
      </c>
    </row>
    <row r="166" spans="1:17" s="263" customFormat="1" ht="9" customHeight="1" x14ac:dyDescent="0.25">
      <c r="A166" s="263" t="s">
        <v>29</v>
      </c>
      <c r="B166" s="266">
        <f t="shared" si="17"/>
        <v>3846</v>
      </c>
      <c r="C166" s="266"/>
      <c r="D166" s="283">
        <f t="shared" si="18"/>
        <v>3524</v>
      </c>
      <c r="E166" s="283"/>
      <c r="F166" s="266">
        <v>1175</v>
      </c>
      <c r="G166" s="266"/>
      <c r="H166" s="266">
        <f t="shared" si="19"/>
        <v>1431</v>
      </c>
      <c r="I166" s="266"/>
      <c r="J166" s="266">
        <v>133</v>
      </c>
      <c r="K166" s="266">
        <v>112</v>
      </c>
      <c r="L166" s="266">
        <v>327</v>
      </c>
      <c r="M166" s="266">
        <v>859</v>
      </c>
      <c r="N166" s="266">
        <v>50</v>
      </c>
      <c r="O166" s="266"/>
      <c r="P166" s="266">
        <v>868</v>
      </c>
      <c r="Q166" s="266">
        <v>322</v>
      </c>
    </row>
    <row r="167" spans="1:17" s="263" customFormat="1" ht="9" customHeight="1" x14ac:dyDescent="0.25">
      <c r="A167" s="267" t="s">
        <v>30</v>
      </c>
      <c r="B167" s="268">
        <f t="shared" si="17"/>
        <v>3731</v>
      </c>
      <c r="C167" s="268"/>
      <c r="D167" s="284">
        <f t="shared" si="18"/>
        <v>3104</v>
      </c>
      <c r="E167" s="284"/>
      <c r="F167" s="268">
        <v>1224</v>
      </c>
      <c r="G167" s="268"/>
      <c r="H167" s="268">
        <f t="shared" si="19"/>
        <v>1342</v>
      </c>
      <c r="I167" s="268"/>
      <c r="J167" s="268">
        <v>172</v>
      </c>
      <c r="K167" s="268">
        <v>177</v>
      </c>
      <c r="L167" s="268">
        <v>180</v>
      </c>
      <c r="M167" s="268">
        <v>813</v>
      </c>
      <c r="N167" s="268">
        <v>85</v>
      </c>
      <c r="O167" s="268"/>
      <c r="P167" s="268">
        <v>453</v>
      </c>
      <c r="Q167" s="268">
        <v>627</v>
      </c>
    </row>
    <row r="168" spans="1:17" s="263" customFormat="1" ht="9" customHeight="1" x14ac:dyDescent="0.25">
      <c r="A168" s="263" t="s">
        <v>63</v>
      </c>
      <c r="B168" s="266">
        <f t="shared" si="17"/>
        <v>27290</v>
      </c>
      <c r="C168" s="266"/>
      <c r="D168" s="283">
        <f t="shared" si="18"/>
        <v>22525</v>
      </c>
      <c r="E168" s="283"/>
      <c r="F168" s="266">
        <v>5058</v>
      </c>
      <c r="G168" s="266"/>
      <c r="H168" s="266">
        <f t="shared" si="19"/>
        <v>12072</v>
      </c>
      <c r="I168" s="266"/>
      <c r="J168" s="266">
        <v>1134</v>
      </c>
      <c r="K168" s="266">
        <v>1474</v>
      </c>
      <c r="L168" s="266">
        <v>1748</v>
      </c>
      <c r="M168" s="266">
        <v>7716</v>
      </c>
      <c r="N168" s="266">
        <v>4284</v>
      </c>
      <c r="O168" s="266"/>
      <c r="P168" s="266">
        <v>1111</v>
      </c>
      <c r="Q168" s="266">
        <v>4765</v>
      </c>
    </row>
    <row r="169" spans="1:17" s="263" customFormat="1" ht="9" customHeight="1" x14ac:dyDescent="0.25">
      <c r="A169" s="263" t="s">
        <v>31</v>
      </c>
      <c r="B169" s="266">
        <f t="shared" si="17"/>
        <v>2259</v>
      </c>
      <c r="C169" s="266"/>
      <c r="D169" s="283">
        <f t="shared" si="18"/>
        <v>1972</v>
      </c>
      <c r="E169" s="283"/>
      <c r="F169" s="266">
        <v>604</v>
      </c>
      <c r="G169" s="266"/>
      <c r="H169" s="266">
        <f t="shared" si="19"/>
        <v>833</v>
      </c>
      <c r="I169" s="266"/>
      <c r="J169" s="266">
        <v>102</v>
      </c>
      <c r="K169" s="266">
        <v>116</v>
      </c>
      <c r="L169" s="266">
        <v>108</v>
      </c>
      <c r="M169" s="266">
        <v>507</v>
      </c>
      <c r="N169" s="266">
        <v>109</v>
      </c>
      <c r="O169" s="266"/>
      <c r="P169" s="266">
        <v>426</v>
      </c>
      <c r="Q169" s="266">
        <v>287</v>
      </c>
    </row>
    <row r="170" spans="1:17" s="263" customFormat="1" ht="9" customHeight="1" x14ac:dyDescent="0.25">
      <c r="A170" s="263" t="s">
        <v>32</v>
      </c>
      <c r="B170" s="266">
        <f t="shared" si="17"/>
        <v>4638</v>
      </c>
      <c r="C170" s="266"/>
      <c r="D170" s="283">
        <f t="shared" si="18"/>
        <v>3903</v>
      </c>
      <c r="E170" s="283"/>
      <c r="F170" s="266">
        <v>1471</v>
      </c>
      <c r="G170" s="266"/>
      <c r="H170" s="266">
        <f t="shared" si="19"/>
        <v>1512</v>
      </c>
      <c r="I170" s="266"/>
      <c r="J170" s="266">
        <v>192</v>
      </c>
      <c r="K170" s="266">
        <v>190</v>
      </c>
      <c r="L170" s="266">
        <v>261</v>
      </c>
      <c r="M170" s="266">
        <v>869</v>
      </c>
      <c r="N170" s="266">
        <v>297</v>
      </c>
      <c r="O170" s="266"/>
      <c r="P170" s="266">
        <v>623</v>
      </c>
      <c r="Q170" s="266">
        <v>735</v>
      </c>
    </row>
    <row r="171" spans="1:17" s="263" customFormat="1" ht="9" customHeight="1" x14ac:dyDescent="0.25">
      <c r="A171" s="267" t="s">
        <v>33</v>
      </c>
      <c r="B171" s="268">
        <f t="shared" si="17"/>
        <v>3323</v>
      </c>
      <c r="C171" s="268"/>
      <c r="D171" s="284">
        <f t="shared" si="18"/>
        <v>3023</v>
      </c>
      <c r="E171" s="284"/>
      <c r="F171" s="268">
        <v>1319</v>
      </c>
      <c r="G171" s="268"/>
      <c r="H171" s="268">
        <f t="shared" si="19"/>
        <v>1128</v>
      </c>
      <c r="I171" s="268"/>
      <c r="J171" s="268">
        <v>155</v>
      </c>
      <c r="K171" s="268">
        <v>132</v>
      </c>
      <c r="L171" s="268">
        <v>215</v>
      </c>
      <c r="M171" s="268">
        <v>626</v>
      </c>
      <c r="N171" s="268">
        <v>28</v>
      </c>
      <c r="O171" s="268"/>
      <c r="P171" s="268">
        <v>548</v>
      </c>
      <c r="Q171" s="268">
        <v>300</v>
      </c>
    </row>
    <row r="172" spans="1:17" s="263" customFormat="1" ht="9" customHeight="1" x14ac:dyDescent="0.25">
      <c r="A172" s="263" t="s">
        <v>34</v>
      </c>
      <c r="B172" s="266">
        <f t="shared" si="17"/>
        <v>2644</v>
      </c>
      <c r="C172" s="266"/>
      <c r="D172" s="283">
        <f t="shared" si="18"/>
        <v>2279</v>
      </c>
      <c r="E172" s="283"/>
      <c r="F172" s="266">
        <v>799</v>
      </c>
      <c r="G172" s="266"/>
      <c r="H172" s="266">
        <f t="shared" si="19"/>
        <v>747</v>
      </c>
      <c r="I172" s="266"/>
      <c r="J172" s="266">
        <v>89</v>
      </c>
      <c r="K172" s="266">
        <v>72</v>
      </c>
      <c r="L172" s="266">
        <v>161</v>
      </c>
      <c r="M172" s="266">
        <v>425</v>
      </c>
      <c r="N172" s="266">
        <v>64</v>
      </c>
      <c r="O172" s="266"/>
      <c r="P172" s="266">
        <v>669</v>
      </c>
      <c r="Q172" s="266">
        <v>365</v>
      </c>
    </row>
    <row r="173" spans="1:17" s="263" customFormat="1" ht="9" customHeight="1" x14ac:dyDescent="0.25">
      <c r="A173" s="263" t="s">
        <v>35</v>
      </c>
      <c r="B173" s="266">
        <f t="shared" si="17"/>
        <v>8852</v>
      </c>
      <c r="C173" s="266"/>
      <c r="D173" s="283">
        <f t="shared" si="18"/>
        <v>7323</v>
      </c>
      <c r="E173" s="283"/>
      <c r="F173" s="266">
        <v>2043</v>
      </c>
      <c r="G173" s="266"/>
      <c r="H173" s="266">
        <f t="shared" si="19"/>
        <v>3196</v>
      </c>
      <c r="I173" s="266"/>
      <c r="J173" s="266">
        <v>413</v>
      </c>
      <c r="K173" s="266">
        <v>388</v>
      </c>
      <c r="L173" s="266">
        <v>549</v>
      </c>
      <c r="M173" s="266">
        <v>1846</v>
      </c>
      <c r="N173" s="266">
        <v>744</v>
      </c>
      <c r="O173" s="266"/>
      <c r="P173" s="266">
        <v>1340</v>
      </c>
      <c r="Q173" s="266">
        <v>1529</v>
      </c>
    </row>
    <row r="174" spans="1:17" s="263" customFormat="1" ht="9" customHeight="1" x14ac:dyDescent="0.25">
      <c r="A174" s="263" t="s">
        <v>36</v>
      </c>
      <c r="B174" s="266">
        <f t="shared" si="17"/>
        <v>11519</v>
      </c>
      <c r="C174" s="266"/>
      <c r="D174" s="283">
        <f t="shared" si="18"/>
        <v>9604</v>
      </c>
      <c r="E174" s="283"/>
      <c r="F174" s="266">
        <v>3548</v>
      </c>
      <c r="G174" s="266"/>
      <c r="H174" s="266">
        <f t="shared" si="19"/>
        <v>4012</v>
      </c>
      <c r="I174" s="266"/>
      <c r="J174" s="266">
        <v>577</v>
      </c>
      <c r="K174" s="266">
        <v>534</v>
      </c>
      <c r="L174" s="266">
        <v>943</v>
      </c>
      <c r="M174" s="266">
        <v>1958</v>
      </c>
      <c r="N174" s="266">
        <v>729</v>
      </c>
      <c r="O174" s="266"/>
      <c r="P174" s="266">
        <v>1315</v>
      </c>
      <c r="Q174" s="266">
        <v>1915</v>
      </c>
    </row>
    <row r="175" spans="1:17" s="263" customFormat="1" ht="9" customHeight="1" x14ac:dyDescent="0.25">
      <c r="A175" s="267" t="s">
        <v>37</v>
      </c>
      <c r="B175" s="268">
        <f t="shared" si="17"/>
        <v>4223</v>
      </c>
      <c r="C175" s="268"/>
      <c r="D175" s="284">
        <f t="shared" si="18"/>
        <v>3739</v>
      </c>
      <c r="E175" s="284"/>
      <c r="F175" s="268">
        <v>1078</v>
      </c>
      <c r="G175" s="268"/>
      <c r="H175" s="268">
        <f t="shared" si="19"/>
        <v>1489</v>
      </c>
      <c r="I175" s="268"/>
      <c r="J175" s="268">
        <v>181</v>
      </c>
      <c r="K175" s="268">
        <v>144</v>
      </c>
      <c r="L175" s="268">
        <v>336</v>
      </c>
      <c r="M175" s="268">
        <v>828</v>
      </c>
      <c r="N175" s="268">
        <v>87</v>
      </c>
      <c r="O175" s="268"/>
      <c r="P175" s="268">
        <v>1085</v>
      </c>
      <c r="Q175" s="268">
        <v>484</v>
      </c>
    </row>
    <row r="176" spans="1:17" s="263" customFormat="1" ht="9" customHeight="1" x14ac:dyDescent="0.25">
      <c r="A176" s="263" t="s">
        <v>38</v>
      </c>
      <c r="B176" s="266">
        <f t="shared" si="17"/>
        <v>1900</v>
      </c>
      <c r="C176" s="266"/>
      <c r="D176" s="283">
        <f t="shared" si="18"/>
        <v>1646</v>
      </c>
      <c r="E176" s="283"/>
      <c r="F176" s="266">
        <v>498</v>
      </c>
      <c r="G176" s="266"/>
      <c r="H176" s="266">
        <f t="shared" si="19"/>
        <v>868</v>
      </c>
      <c r="I176" s="266"/>
      <c r="J176" s="266">
        <v>110</v>
      </c>
      <c r="K176" s="266">
        <v>116</v>
      </c>
      <c r="L176" s="266">
        <v>134</v>
      </c>
      <c r="M176" s="266">
        <v>508</v>
      </c>
      <c r="N176" s="266">
        <v>25</v>
      </c>
      <c r="O176" s="266"/>
      <c r="P176" s="266">
        <v>255</v>
      </c>
      <c r="Q176" s="266">
        <v>254</v>
      </c>
    </row>
    <row r="177" spans="1:17" s="263" customFormat="1" ht="9" customHeight="1" x14ac:dyDescent="0.25">
      <c r="A177" s="263" t="s">
        <v>39</v>
      </c>
      <c r="B177" s="266">
        <f t="shared" si="17"/>
        <v>1462</v>
      </c>
      <c r="C177" s="266"/>
      <c r="D177" s="283">
        <f t="shared" si="18"/>
        <v>1260</v>
      </c>
      <c r="E177" s="283"/>
      <c r="F177" s="266">
        <v>367</v>
      </c>
      <c r="G177" s="266"/>
      <c r="H177" s="266">
        <f t="shared" si="19"/>
        <v>523</v>
      </c>
      <c r="I177" s="266"/>
      <c r="J177" s="266">
        <v>64</v>
      </c>
      <c r="K177" s="266">
        <v>57</v>
      </c>
      <c r="L177" s="266">
        <v>99</v>
      </c>
      <c r="M177" s="266">
        <v>303</v>
      </c>
      <c r="N177" s="266">
        <v>32</v>
      </c>
      <c r="O177" s="266"/>
      <c r="P177" s="266">
        <v>338</v>
      </c>
      <c r="Q177" s="266">
        <v>202</v>
      </c>
    </row>
    <row r="178" spans="1:17" s="263" customFormat="1" ht="9" customHeight="1" x14ac:dyDescent="0.25">
      <c r="A178" s="263" t="s">
        <v>40</v>
      </c>
      <c r="B178" s="266">
        <f t="shared" si="17"/>
        <v>5885</v>
      </c>
      <c r="C178" s="266"/>
      <c r="D178" s="283">
        <f t="shared" si="18"/>
        <v>4693</v>
      </c>
      <c r="E178" s="283"/>
      <c r="F178" s="266">
        <v>1534</v>
      </c>
      <c r="G178" s="266"/>
      <c r="H178" s="266">
        <f t="shared" si="19"/>
        <v>2295</v>
      </c>
      <c r="I178" s="266"/>
      <c r="J178" s="266">
        <v>264</v>
      </c>
      <c r="K178" s="266">
        <v>304</v>
      </c>
      <c r="L178" s="266">
        <v>295</v>
      </c>
      <c r="M178" s="266">
        <v>1432</v>
      </c>
      <c r="N178" s="266">
        <v>460</v>
      </c>
      <c r="O178" s="266"/>
      <c r="P178" s="266">
        <v>404</v>
      </c>
      <c r="Q178" s="266">
        <v>1192</v>
      </c>
    </row>
    <row r="179" spans="1:17" s="263" customFormat="1" ht="9" customHeight="1" x14ac:dyDescent="0.25">
      <c r="A179" s="267" t="s">
        <v>41</v>
      </c>
      <c r="B179" s="268">
        <f t="shared" si="17"/>
        <v>3341</v>
      </c>
      <c r="C179" s="268"/>
      <c r="D179" s="284">
        <f t="shared" si="18"/>
        <v>3056</v>
      </c>
      <c r="E179" s="284"/>
      <c r="F179" s="268">
        <v>959</v>
      </c>
      <c r="G179" s="268"/>
      <c r="H179" s="268">
        <f t="shared" si="19"/>
        <v>1020</v>
      </c>
      <c r="I179" s="268"/>
      <c r="J179" s="268">
        <v>102</v>
      </c>
      <c r="K179" s="268">
        <v>80</v>
      </c>
      <c r="L179" s="268">
        <v>253</v>
      </c>
      <c r="M179" s="268">
        <v>585</v>
      </c>
      <c r="N179" s="268">
        <v>72</v>
      </c>
      <c r="O179" s="268"/>
      <c r="P179" s="268">
        <v>1005</v>
      </c>
      <c r="Q179" s="268">
        <v>285</v>
      </c>
    </row>
    <row r="180" spans="1:17" s="263" customFormat="1" ht="9" customHeight="1" x14ac:dyDescent="0.25">
      <c r="A180" s="263" t="s">
        <v>42</v>
      </c>
      <c r="B180" s="266">
        <f t="shared" si="17"/>
        <v>4733</v>
      </c>
      <c r="C180" s="266"/>
      <c r="D180" s="283">
        <f t="shared" si="18"/>
        <v>4152</v>
      </c>
      <c r="E180" s="283"/>
      <c r="F180" s="266">
        <v>1223</v>
      </c>
      <c r="G180" s="266"/>
      <c r="H180" s="266">
        <f t="shared" si="19"/>
        <v>1770</v>
      </c>
      <c r="I180" s="266"/>
      <c r="J180" s="266">
        <v>159</v>
      </c>
      <c r="K180" s="266">
        <v>184</v>
      </c>
      <c r="L180" s="266">
        <v>429</v>
      </c>
      <c r="M180" s="266">
        <v>998</v>
      </c>
      <c r="N180" s="266">
        <v>250</v>
      </c>
      <c r="O180" s="266"/>
      <c r="P180" s="266">
        <v>909</v>
      </c>
      <c r="Q180" s="266">
        <v>581</v>
      </c>
    </row>
    <row r="181" spans="1:17" s="263" customFormat="1" ht="9" customHeight="1" x14ac:dyDescent="0.25">
      <c r="A181" s="263" t="s">
        <v>43</v>
      </c>
      <c r="B181" s="266">
        <f t="shared" si="17"/>
        <v>1901</v>
      </c>
      <c r="C181" s="266"/>
      <c r="D181" s="283">
        <f t="shared" si="18"/>
        <v>1651</v>
      </c>
      <c r="E181" s="283"/>
      <c r="F181" s="266">
        <v>521</v>
      </c>
      <c r="G181" s="266"/>
      <c r="H181" s="266">
        <f t="shared" si="19"/>
        <v>667</v>
      </c>
      <c r="I181" s="266"/>
      <c r="J181" s="266">
        <v>104</v>
      </c>
      <c r="K181" s="266">
        <v>105</v>
      </c>
      <c r="L181" s="266">
        <v>116</v>
      </c>
      <c r="M181" s="266">
        <v>342</v>
      </c>
      <c r="N181" s="266">
        <v>129</v>
      </c>
      <c r="O181" s="266"/>
      <c r="P181" s="266">
        <v>334</v>
      </c>
      <c r="Q181" s="266">
        <v>250</v>
      </c>
    </row>
    <row r="182" spans="1:17" s="263" customFormat="1" ht="9" customHeight="1" x14ac:dyDescent="0.25">
      <c r="A182" s="263" t="s">
        <v>44</v>
      </c>
      <c r="B182" s="266">
        <f t="shared" si="17"/>
        <v>1236</v>
      </c>
      <c r="C182" s="266"/>
      <c r="D182" s="283">
        <f t="shared" si="18"/>
        <v>1031</v>
      </c>
      <c r="E182" s="283"/>
      <c r="F182" s="266">
        <v>431</v>
      </c>
      <c r="G182" s="266"/>
      <c r="H182" s="266">
        <f t="shared" si="19"/>
        <v>483</v>
      </c>
      <c r="I182" s="266"/>
      <c r="J182" s="266">
        <v>73</v>
      </c>
      <c r="K182" s="266">
        <v>73</v>
      </c>
      <c r="L182" s="266">
        <v>75</v>
      </c>
      <c r="M182" s="266">
        <v>262</v>
      </c>
      <c r="N182" s="266">
        <v>16</v>
      </c>
      <c r="O182" s="266"/>
      <c r="P182" s="266">
        <v>101</v>
      </c>
      <c r="Q182" s="266">
        <v>205</v>
      </c>
    </row>
    <row r="183" spans="1:17" s="263" customFormat="1" ht="9" customHeight="1" x14ac:dyDescent="0.25">
      <c r="A183" s="267" t="s">
        <v>45</v>
      </c>
      <c r="B183" s="268">
        <f t="shared" si="17"/>
        <v>2456</v>
      </c>
      <c r="C183" s="268"/>
      <c r="D183" s="284">
        <f t="shared" si="18"/>
        <v>2182</v>
      </c>
      <c r="E183" s="284"/>
      <c r="F183" s="268">
        <v>682</v>
      </c>
      <c r="G183" s="268"/>
      <c r="H183" s="268">
        <f t="shared" si="19"/>
        <v>863</v>
      </c>
      <c r="I183" s="268"/>
      <c r="J183" s="268">
        <v>116</v>
      </c>
      <c r="K183" s="268">
        <v>98</v>
      </c>
      <c r="L183" s="268">
        <v>178</v>
      </c>
      <c r="M183" s="268">
        <v>471</v>
      </c>
      <c r="N183" s="268">
        <v>157</v>
      </c>
      <c r="O183" s="268"/>
      <c r="P183" s="268">
        <v>480</v>
      </c>
      <c r="Q183" s="268">
        <v>274</v>
      </c>
    </row>
    <row r="184" spans="1:17" s="263" customFormat="1" ht="9" customHeight="1" x14ac:dyDescent="0.25">
      <c r="A184" s="263" t="s">
        <v>46</v>
      </c>
      <c r="B184" s="266">
        <f t="shared" si="17"/>
        <v>3494</v>
      </c>
      <c r="C184" s="266"/>
      <c r="D184" s="283">
        <f t="shared" si="18"/>
        <v>2885</v>
      </c>
      <c r="E184" s="283"/>
      <c r="F184" s="266">
        <v>970</v>
      </c>
      <c r="G184" s="266"/>
      <c r="H184" s="266">
        <f t="shared" si="19"/>
        <v>1287</v>
      </c>
      <c r="I184" s="266"/>
      <c r="J184" s="266">
        <v>165</v>
      </c>
      <c r="K184" s="266">
        <v>134</v>
      </c>
      <c r="L184" s="266">
        <v>165</v>
      </c>
      <c r="M184" s="266">
        <v>823</v>
      </c>
      <c r="N184" s="266">
        <v>70</v>
      </c>
      <c r="O184" s="266"/>
      <c r="P184" s="266">
        <v>558</v>
      </c>
      <c r="Q184" s="266">
        <v>609</v>
      </c>
    </row>
    <row r="185" spans="1:17" s="263" customFormat="1" ht="9" customHeight="1" x14ac:dyDescent="0.25">
      <c r="A185" s="263" t="s">
        <v>47</v>
      </c>
      <c r="B185" s="266">
        <f t="shared" si="17"/>
        <v>3623</v>
      </c>
      <c r="C185" s="266"/>
      <c r="D185" s="283">
        <f t="shared" si="18"/>
        <v>3031</v>
      </c>
      <c r="E185" s="283"/>
      <c r="F185" s="266">
        <v>895</v>
      </c>
      <c r="G185" s="266"/>
      <c r="H185" s="266">
        <f t="shared" si="19"/>
        <v>1459</v>
      </c>
      <c r="I185" s="266"/>
      <c r="J185" s="266">
        <v>187</v>
      </c>
      <c r="K185" s="266">
        <v>184</v>
      </c>
      <c r="L185" s="266">
        <v>169</v>
      </c>
      <c r="M185" s="266">
        <v>919</v>
      </c>
      <c r="N185" s="266">
        <v>364</v>
      </c>
      <c r="O185" s="266"/>
      <c r="P185" s="266">
        <v>313</v>
      </c>
      <c r="Q185" s="266">
        <v>592</v>
      </c>
    </row>
    <row r="186" spans="1:17" s="263" customFormat="1" ht="9" customHeight="1" x14ac:dyDescent="0.25">
      <c r="A186" s="263" t="s">
        <v>48</v>
      </c>
      <c r="B186" s="266">
        <f t="shared" si="17"/>
        <v>3156</v>
      </c>
      <c r="C186" s="266"/>
      <c r="D186" s="283">
        <f t="shared" si="18"/>
        <v>2890</v>
      </c>
      <c r="E186" s="283"/>
      <c r="F186" s="266">
        <v>1102</v>
      </c>
      <c r="G186" s="266"/>
      <c r="H186" s="266">
        <f t="shared" si="19"/>
        <v>1290</v>
      </c>
      <c r="I186" s="266"/>
      <c r="J186" s="266">
        <v>136</v>
      </c>
      <c r="K186" s="266">
        <v>132</v>
      </c>
      <c r="L186" s="266">
        <v>306</v>
      </c>
      <c r="M186" s="266">
        <v>716</v>
      </c>
      <c r="N186" s="266">
        <v>111</v>
      </c>
      <c r="O186" s="266"/>
      <c r="P186" s="266">
        <v>387</v>
      </c>
      <c r="Q186" s="266">
        <v>266</v>
      </c>
    </row>
    <row r="187" spans="1:17" s="263" customFormat="1" ht="9" customHeight="1" x14ac:dyDescent="0.25">
      <c r="A187" s="267" t="s">
        <v>49</v>
      </c>
      <c r="B187" s="268">
        <f t="shared" si="17"/>
        <v>4181</v>
      </c>
      <c r="C187" s="268"/>
      <c r="D187" s="284">
        <f t="shared" si="18"/>
        <v>3656</v>
      </c>
      <c r="E187" s="284"/>
      <c r="F187" s="268">
        <v>1202</v>
      </c>
      <c r="G187" s="268"/>
      <c r="H187" s="268">
        <f t="shared" si="19"/>
        <v>1789</v>
      </c>
      <c r="I187" s="268"/>
      <c r="J187" s="268">
        <v>239</v>
      </c>
      <c r="K187" s="268">
        <v>249</v>
      </c>
      <c r="L187" s="268">
        <v>213</v>
      </c>
      <c r="M187" s="268">
        <v>1088</v>
      </c>
      <c r="N187" s="268">
        <v>125</v>
      </c>
      <c r="O187" s="268"/>
      <c r="P187" s="268">
        <v>540</v>
      </c>
      <c r="Q187" s="268">
        <v>525</v>
      </c>
    </row>
    <row r="188" spans="1:17" s="263" customFormat="1" ht="9" customHeight="1" x14ac:dyDescent="0.25">
      <c r="A188" s="263" t="s">
        <v>50</v>
      </c>
      <c r="B188" s="266">
        <f t="shared" si="17"/>
        <v>1069</v>
      </c>
      <c r="C188" s="266"/>
      <c r="D188" s="283">
        <f t="shared" si="18"/>
        <v>918</v>
      </c>
      <c r="E188" s="283"/>
      <c r="F188" s="266">
        <v>334</v>
      </c>
      <c r="G188" s="266"/>
      <c r="H188" s="266">
        <f t="shared" si="19"/>
        <v>351</v>
      </c>
      <c r="I188" s="266"/>
      <c r="J188" s="266">
        <v>45</v>
      </c>
      <c r="K188" s="266">
        <v>44</v>
      </c>
      <c r="L188" s="266">
        <v>89</v>
      </c>
      <c r="M188" s="266">
        <v>173</v>
      </c>
      <c r="N188" s="266">
        <v>27</v>
      </c>
      <c r="O188" s="266"/>
      <c r="P188" s="266">
        <v>206</v>
      </c>
      <c r="Q188" s="266">
        <v>151</v>
      </c>
    </row>
    <row r="189" spans="1:17" s="263" customFormat="1" ht="9" customHeight="1" x14ac:dyDescent="0.25">
      <c r="A189" s="263" t="s">
        <v>51</v>
      </c>
      <c r="B189" s="266">
        <f t="shared" si="17"/>
        <v>8303</v>
      </c>
      <c r="C189" s="266"/>
      <c r="D189" s="283">
        <f t="shared" si="18"/>
        <v>7123</v>
      </c>
      <c r="E189" s="283"/>
      <c r="F189" s="266">
        <v>2536</v>
      </c>
      <c r="G189" s="266"/>
      <c r="H189" s="266">
        <f t="shared" si="19"/>
        <v>2955</v>
      </c>
      <c r="I189" s="266"/>
      <c r="J189" s="266">
        <v>365</v>
      </c>
      <c r="K189" s="266">
        <v>351</v>
      </c>
      <c r="L189" s="266">
        <v>469</v>
      </c>
      <c r="M189" s="266">
        <v>1770</v>
      </c>
      <c r="N189" s="266">
        <v>429</v>
      </c>
      <c r="O189" s="266"/>
      <c r="P189" s="266">
        <v>1203</v>
      </c>
      <c r="Q189" s="266">
        <v>1180</v>
      </c>
    </row>
    <row r="190" spans="1:17" s="263" customFormat="1" ht="9" customHeight="1" x14ac:dyDescent="0.25">
      <c r="A190" s="263" t="s">
        <v>52</v>
      </c>
      <c r="B190" s="266">
        <f t="shared" si="17"/>
        <v>2502</v>
      </c>
      <c r="C190" s="266"/>
      <c r="D190" s="283">
        <f t="shared" si="18"/>
        <v>2134</v>
      </c>
      <c r="E190" s="283"/>
      <c r="F190" s="266">
        <v>554</v>
      </c>
      <c r="G190" s="266"/>
      <c r="H190" s="266">
        <f t="shared" si="19"/>
        <v>923</v>
      </c>
      <c r="I190" s="266"/>
      <c r="J190" s="266">
        <v>115</v>
      </c>
      <c r="K190" s="266">
        <v>128</v>
      </c>
      <c r="L190" s="266">
        <v>129</v>
      </c>
      <c r="M190" s="266">
        <v>551</v>
      </c>
      <c r="N190" s="266">
        <v>266</v>
      </c>
      <c r="O190" s="266"/>
      <c r="P190" s="266">
        <v>391</v>
      </c>
      <c r="Q190" s="266">
        <v>368</v>
      </c>
    </row>
    <row r="191" spans="1:17" s="263" customFormat="1" ht="9" customHeight="1" x14ac:dyDescent="0.25">
      <c r="A191" s="267" t="s">
        <v>53</v>
      </c>
      <c r="B191" s="268">
        <f t="shared" si="17"/>
        <v>1541</v>
      </c>
      <c r="C191" s="268"/>
      <c r="D191" s="284">
        <f t="shared" si="18"/>
        <v>1383</v>
      </c>
      <c r="E191" s="284"/>
      <c r="F191" s="268">
        <v>384</v>
      </c>
      <c r="G191" s="268"/>
      <c r="H191" s="268">
        <f t="shared" si="19"/>
        <v>537</v>
      </c>
      <c r="I191" s="268"/>
      <c r="J191" s="268">
        <v>71</v>
      </c>
      <c r="K191" s="268">
        <v>59</v>
      </c>
      <c r="L191" s="268">
        <v>104</v>
      </c>
      <c r="M191" s="268">
        <v>303</v>
      </c>
      <c r="N191" s="268">
        <v>27</v>
      </c>
      <c r="O191" s="268"/>
      <c r="P191" s="268">
        <v>435</v>
      </c>
      <c r="Q191" s="268">
        <v>158</v>
      </c>
    </row>
    <row r="192" spans="1:17" s="263" customFormat="1" ht="9" customHeight="1" x14ac:dyDescent="0.25">
      <c r="A192" s="261"/>
      <c r="B192" s="266"/>
      <c r="C192" s="266"/>
      <c r="D192" s="266"/>
      <c r="E192" s="266"/>
      <c r="F192" s="266"/>
      <c r="G192" s="266"/>
      <c r="H192" s="266"/>
      <c r="I192" s="266"/>
      <c r="J192" s="266"/>
      <c r="K192" s="266"/>
      <c r="L192" s="266"/>
      <c r="M192" s="266"/>
      <c r="N192" s="266"/>
      <c r="O192" s="266"/>
      <c r="P192" s="266"/>
      <c r="Q192" s="266"/>
    </row>
    <row r="193" spans="1:17" s="263" customFormat="1" ht="9" customHeight="1" x14ac:dyDescent="0.25">
      <c r="A193" s="261">
        <v>2000</v>
      </c>
      <c r="B193" s="266"/>
      <c r="C193" s="266"/>
      <c r="D193" s="266"/>
      <c r="E193" s="266"/>
      <c r="F193" s="266"/>
      <c r="G193" s="266"/>
      <c r="H193" s="266"/>
      <c r="I193" s="266"/>
      <c r="J193" s="266"/>
      <c r="K193" s="266"/>
      <c r="L193" s="266"/>
      <c r="M193" s="266"/>
      <c r="N193" s="266"/>
      <c r="O193" s="266"/>
      <c r="P193" s="266"/>
      <c r="Q193" s="266"/>
    </row>
    <row r="194" spans="1:17" s="263" customFormat="1" ht="9" customHeight="1" x14ac:dyDescent="0.25">
      <c r="A194" s="264" t="s">
        <v>21</v>
      </c>
      <c r="B194" s="262">
        <f>SUM(B196:B227)</f>
        <v>140629</v>
      </c>
      <c r="C194" s="262"/>
      <c r="D194" s="262">
        <f>SUM(D196:D227)</f>
        <v>119512</v>
      </c>
      <c r="E194" s="282"/>
      <c r="F194" s="262">
        <f>SUM(F196:F227)</f>
        <v>37619</v>
      </c>
      <c r="G194" s="262"/>
      <c r="H194" s="262">
        <f>SUM(H196:H227)</f>
        <v>53773</v>
      </c>
      <c r="I194" s="262"/>
      <c r="J194" s="262">
        <f t="shared" ref="J194:Q194" si="20">SUM(J196:J227)</f>
        <v>4511</v>
      </c>
      <c r="K194" s="262">
        <f t="shared" si="20"/>
        <v>5400</v>
      </c>
      <c r="L194" s="262">
        <f t="shared" si="20"/>
        <v>8921</v>
      </c>
      <c r="M194" s="262">
        <f t="shared" si="20"/>
        <v>34941</v>
      </c>
      <c r="N194" s="262">
        <f t="shared" si="20"/>
        <v>12146</v>
      </c>
      <c r="O194" s="262"/>
      <c r="P194" s="262">
        <f t="shared" si="20"/>
        <v>15974</v>
      </c>
      <c r="Q194" s="262">
        <f t="shared" si="20"/>
        <v>21117</v>
      </c>
    </row>
    <row r="195" spans="1:17" s="263" customFormat="1" ht="3.95" customHeight="1" x14ac:dyDescent="0.25">
      <c r="A195" s="264"/>
      <c r="B195" s="262"/>
      <c r="C195" s="262"/>
      <c r="D195" s="282"/>
      <c r="E195" s="282"/>
      <c r="F195" s="262"/>
      <c r="G195" s="262"/>
      <c r="H195" s="262"/>
      <c r="I195" s="262"/>
      <c r="J195" s="262"/>
      <c r="K195" s="262"/>
      <c r="L195" s="262"/>
      <c r="M195" s="262"/>
      <c r="N195" s="262"/>
      <c r="O195" s="262"/>
      <c r="P195" s="262"/>
      <c r="Q195" s="262"/>
    </row>
    <row r="196" spans="1:17" s="263" customFormat="1" ht="8.85" customHeight="1" x14ac:dyDescent="0.25">
      <c r="A196" s="263" t="s">
        <v>23</v>
      </c>
      <c r="B196" s="266">
        <f t="shared" ref="B196:B227" si="21">SUM(D196+Q196)</f>
        <v>1623</v>
      </c>
      <c r="C196" s="266"/>
      <c r="D196" s="283">
        <f t="shared" ref="D196:D227" si="22">SUM(F196+H196+P196+N196)</f>
        <v>1395</v>
      </c>
      <c r="E196" s="283"/>
      <c r="F196" s="266">
        <v>420</v>
      </c>
      <c r="G196" s="266"/>
      <c r="H196" s="266">
        <f t="shared" ref="H196:H227" si="23">SUM(J196:M196)</f>
        <v>791</v>
      </c>
      <c r="I196" s="266"/>
      <c r="J196" s="266">
        <v>69</v>
      </c>
      <c r="K196" s="266">
        <v>106</v>
      </c>
      <c r="L196" s="266">
        <v>100</v>
      </c>
      <c r="M196" s="266">
        <v>516</v>
      </c>
      <c r="N196" s="266">
        <v>75</v>
      </c>
      <c r="O196" s="266"/>
      <c r="P196" s="266">
        <v>109</v>
      </c>
      <c r="Q196" s="266">
        <v>228</v>
      </c>
    </row>
    <row r="197" spans="1:17" s="263" customFormat="1" ht="8.85" customHeight="1" x14ac:dyDescent="0.25">
      <c r="A197" s="263" t="s">
        <v>24</v>
      </c>
      <c r="B197" s="266">
        <f t="shared" si="21"/>
        <v>3258</v>
      </c>
      <c r="C197" s="266"/>
      <c r="D197" s="283">
        <f t="shared" si="22"/>
        <v>2758</v>
      </c>
      <c r="E197" s="283"/>
      <c r="F197" s="266">
        <v>907</v>
      </c>
      <c r="G197" s="266"/>
      <c r="H197" s="266">
        <f t="shared" si="23"/>
        <v>1465</v>
      </c>
      <c r="I197" s="266"/>
      <c r="J197" s="266">
        <v>140</v>
      </c>
      <c r="K197" s="266">
        <v>137</v>
      </c>
      <c r="L197" s="266">
        <v>207</v>
      </c>
      <c r="M197" s="266">
        <v>981</v>
      </c>
      <c r="N197" s="266">
        <v>123</v>
      </c>
      <c r="O197" s="266"/>
      <c r="P197" s="266">
        <v>263</v>
      </c>
      <c r="Q197" s="266">
        <v>500</v>
      </c>
    </row>
    <row r="198" spans="1:17" s="263" customFormat="1" ht="8.85" customHeight="1" x14ac:dyDescent="0.25">
      <c r="A198" s="263" t="s">
        <v>25</v>
      </c>
      <c r="B198" s="266">
        <f t="shared" si="21"/>
        <v>1182</v>
      </c>
      <c r="C198" s="266"/>
      <c r="D198" s="283">
        <f t="shared" si="22"/>
        <v>1002</v>
      </c>
      <c r="E198" s="283"/>
      <c r="F198" s="266">
        <v>377</v>
      </c>
      <c r="G198" s="266"/>
      <c r="H198" s="266">
        <f t="shared" si="23"/>
        <v>485</v>
      </c>
      <c r="I198" s="266"/>
      <c r="J198" s="266">
        <v>52</v>
      </c>
      <c r="K198" s="266">
        <v>40</v>
      </c>
      <c r="L198" s="266">
        <v>72</v>
      </c>
      <c r="M198" s="266">
        <v>321</v>
      </c>
      <c r="N198" s="266">
        <v>36</v>
      </c>
      <c r="O198" s="266"/>
      <c r="P198" s="266">
        <v>104</v>
      </c>
      <c r="Q198" s="266">
        <v>180</v>
      </c>
    </row>
    <row r="199" spans="1:17" s="263" customFormat="1" ht="8.85" customHeight="1" x14ac:dyDescent="0.25">
      <c r="A199" s="267" t="s">
        <v>26</v>
      </c>
      <c r="B199" s="268">
        <f t="shared" si="21"/>
        <v>1301</v>
      </c>
      <c r="C199" s="268"/>
      <c r="D199" s="284">
        <f t="shared" si="22"/>
        <v>1167</v>
      </c>
      <c r="E199" s="284"/>
      <c r="F199" s="268">
        <v>480</v>
      </c>
      <c r="G199" s="268"/>
      <c r="H199" s="268">
        <f t="shared" si="23"/>
        <v>499</v>
      </c>
      <c r="I199" s="268"/>
      <c r="J199" s="268">
        <v>61</v>
      </c>
      <c r="K199" s="268">
        <v>50</v>
      </c>
      <c r="L199" s="268">
        <v>72</v>
      </c>
      <c r="M199" s="268">
        <v>316</v>
      </c>
      <c r="N199" s="268">
        <v>23</v>
      </c>
      <c r="O199" s="268"/>
      <c r="P199" s="268">
        <v>165</v>
      </c>
      <c r="Q199" s="268">
        <v>134</v>
      </c>
    </row>
    <row r="200" spans="1:17" s="263" customFormat="1" ht="8.85" customHeight="1" x14ac:dyDescent="0.25">
      <c r="A200" s="263" t="s">
        <v>27</v>
      </c>
      <c r="B200" s="266">
        <f t="shared" si="21"/>
        <v>4010</v>
      </c>
      <c r="C200" s="266"/>
      <c r="D200" s="283">
        <f t="shared" si="22"/>
        <v>3247</v>
      </c>
      <c r="E200" s="283"/>
      <c r="F200" s="266">
        <v>1025</v>
      </c>
      <c r="G200" s="266"/>
      <c r="H200" s="266">
        <f t="shared" si="23"/>
        <v>1679</v>
      </c>
      <c r="I200" s="266"/>
      <c r="J200" s="266">
        <v>139</v>
      </c>
      <c r="K200" s="266">
        <v>188</v>
      </c>
      <c r="L200" s="266">
        <v>208</v>
      </c>
      <c r="M200" s="266">
        <v>1144</v>
      </c>
      <c r="N200" s="266">
        <v>284</v>
      </c>
      <c r="O200" s="266"/>
      <c r="P200" s="266">
        <v>259</v>
      </c>
      <c r="Q200" s="266">
        <v>763</v>
      </c>
    </row>
    <row r="201" spans="1:17" s="263" customFormat="1" ht="8.85" customHeight="1" x14ac:dyDescent="0.25">
      <c r="A201" s="263" t="s">
        <v>28</v>
      </c>
      <c r="B201" s="266">
        <f t="shared" si="21"/>
        <v>1022</v>
      </c>
      <c r="C201" s="266"/>
      <c r="D201" s="283">
        <f t="shared" si="22"/>
        <v>882</v>
      </c>
      <c r="E201" s="283"/>
      <c r="F201" s="266">
        <v>251</v>
      </c>
      <c r="G201" s="266"/>
      <c r="H201" s="266">
        <f t="shared" si="23"/>
        <v>460</v>
      </c>
      <c r="I201" s="266"/>
      <c r="J201" s="266">
        <v>47</v>
      </c>
      <c r="K201" s="266">
        <v>38</v>
      </c>
      <c r="L201" s="266">
        <v>57</v>
      </c>
      <c r="M201" s="266">
        <v>318</v>
      </c>
      <c r="N201" s="266">
        <v>37</v>
      </c>
      <c r="O201" s="266"/>
      <c r="P201" s="266">
        <v>134</v>
      </c>
      <c r="Q201" s="266">
        <v>140</v>
      </c>
    </row>
    <row r="202" spans="1:17" s="263" customFormat="1" ht="8.85" customHeight="1" x14ac:dyDescent="0.25">
      <c r="A202" s="263" t="s">
        <v>29</v>
      </c>
      <c r="B202" s="266">
        <f t="shared" si="21"/>
        <v>4125</v>
      </c>
      <c r="C202" s="266"/>
      <c r="D202" s="283">
        <f t="shared" si="22"/>
        <v>3776</v>
      </c>
      <c r="E202" s="283"/>
      <c r="F202" s="266">
        <v>1314</v>
      </c>
      <c r="G202" s="266"/>
      <c r="H202" s="266">
        <f t="shared" si="23"/>
        <v>1498</v>
      </c>
      <c r="I202" s="266"/>
      <c r="J202" s="266">
        <v>118</v>
      </c>
      <c r="K202" s="266">
        <v>105</v>
      </c>
      <c r="L202" s="266">
        <v>327</v>
      </c>
      <c r="M202" s="266">
        <v>948</v>
      </c>
      <c r="N202" s="266">
        <v>63</v>
      </c>
      <c r="O202" s="266"/>
      <c r="P202" s="266">
        <v>901</v>
      </c>
      <c r="Q202" s="266">
        <v>349</v>
      </c>
    </row>
    <row r="203" spans="1:17" s="263" customFormat="1" ht="8.85" customHeight="1" x14ac:dyDescent="0.25">
      <c r="A203" s="267" t="s">
        <v>30</v>
      </c>
      <c r="B203" s="268">
        <f t="shared" si="21"/>
        <v>3690</v>
      </c>
      <c r="C203" s="268"/>
      <c r="D203" s="284">
        <f t="shared" si="22"/>
        <v>3069</v>
      </c>
      <c r="E203" s="284"/>
      <c r="F203" s="268">
        <v>1252</v>
      </c>
      <c r="G203" s="268"/>
      <c r="H203" s="268">
        <f t="shared" si="23"/>
        <v>1377</v>
      </c>
      <c r="I203" s="268"/>
      <c r="J203" s="268">
        <v>108</v>
      </c>
      <c r="K203" s="268">
        <v>155</v>
      </c>
      <c r="L203" s="268">
        <v>194</v>
      </c>
      <c r="M203" s="268">
        <v>920</v>
      </c>
      <c r="N203" s="268">
        <v>123</v>
      </c>
      <c r="O203" s="268"/>
      <c r="P203" s="268">
        <v>317</v>
      </c>
      <c r="Q203" s="268">
        <v>621</v>
      </c>
    </row>
    <row r="204" spans="1:17" s="263" customFormat="1" ht="8.85" customHeight="1" x14ac:dyDescent="0.25">
      <c r="A204" s="263" t="s">
        <v>63</v>
      </c>
      <c r="B204" s="266">
        <f t="shared" si="21"/>
        <v>28800</v>
      </c>
      <c r="C204" s="266"/>
      <c r="D204" s="283">
        <f t="shared" si="22"/>
        <v>23577</v>
      </c>
      <c r="E204" s="283"/>
      <c r="F204" s="266">
        <v>4695</v>
      </c>
      <c r="G204" s="266"/>
      <c r="H204" s="266">
        <f t="shared" si="23"/>
        <v>12710</v>
      </c>
      <c r="I204" s="266"/>
      <c r="J204" s="266">
        <v>836</v>
      </c>
      <c r="K204" s="266">
        <v>1258</v>
      </c>
      <c r="L204" s="266">
        <v>1800</v>
      </c>
      <c r="M204" s="266">
        <v>8816</v>
      </c>
      <c r="N204" s="266">
        <v>5137</v>
      </c>
      <c r="O204" s="266"/>
      <c r="P204" s="266">
        <v>1035</v>
      </c>
      <c r="Q204" s="266">
        <v>5223</v>
      </c>
    </row>
    <row r="205" spans="1:17" s="263" customFormat="1" ht="8.85" customHeight="1" x14ac:dyDescent="0.25">
      <c r="A205" s="263" t="s">
        <v>31</v>
      </c>
      <c r="B205" s="266">
        <f t="shared" si="21"/>
        <v>2384</v>
      </c>
      <c r="C205" s="266"/>
      <c r="D205" s="283">
        <f t="shared" si="22"/>
        <v>2063</v>
      </c>
      <c r="E205" s="283"/>
      <c r="F205" s="266">
        <v>655</v>
      </c>
      <c r="G205" s="266"/>
      <c r="H205" s="266">
        <f t="shared" si="23"/>
        <v>859</v>
      </c>
      <c r="I205" s="266"/>
      <c r="J205" s="266">
        <v>65</v>
      </c>
      <c r="K205" s="266">
        <v>87</v>
      </c>
      <c r="L205" s="266">
        <v>118</v>
      </c>
      <c r="M205" s="266">
        <v>589</v>
      </c>
      <c r="N205" s="266">
        <v>112</v>
      </c>
      <c r="O205" s="266"/>
      <c r="P205" s="266">
        <v>437</v>
      </c>
      <c r="Q205" s="266">
        <v>321</v>
      </c>
    </row>
    <row r="206" spans="1:17" s="263" customFormat="1" ht="8.85" customHeight="1" x14ac:dyDescent="0.25">
      <c r="A206" s="263" t="s">
        <v>32</v>
      </c>
      <c r="B206" s="266">
        <f t="shared" si="21"/>
        <v>4594</v>
      </c>
      <c r="C206" s="266"/>
      <c r="D206" s="283">
        <f t="shared" si="22"/>
        <v>3825</v>
      </c>
      <c r="E206" s="283"/>
      <c r="F206" s="266">
        <v>1489</v>
      </c>
      <c r="G206" s="266"/>
      <c r="H206" s="266">
        <f t="shared" si="23"/>
        <v>1524</v>
      </c>
      <c r="I206" s="266"/>
      <c r="J206" s="266">
        <v>133</v>
      </c>
      <c r="K206" s="266">
        <v>152</v>
      </c>
      <c r="L206" s="266">
        <v>237</v>
      </c>
      <c r="M206" s="266">
        <v>1002</v>
      </c>
      <c r="N206" s="266">
        <v>315</v>
      </c>
      <c r="O206" s="266"/>
      <c r="P206" s="266">
        <v>497</v>
      </c>
      <c r="Q206" s="266">
        <v>769</v>
      </c>
    </row>
    <row r="207" spans="1:17" s="263" customFormat="1" ht="8.85" customHeight="1" x14ac:dyDescent="0.25">
      <c r="A207" s="267" t="s">
        <v>33</v>
      </c>
      <c r="B207" s="268">
        <f t="shared" si="21"/>
        <v>3500</v>
      </c>
      <c r="C207" s="268"/>
      <c r="D207" s="284">
        <f t="shared" si="22"/>
        <v>3184</v>
      </c>
      <c r="E207" s="284"/>
      <c r="F207" s="268">
        <v>1386</v>
      </c>
      <c r="G207" s="268"/>
      <c r="H207" s="268">
        <f t="shared" si="23"/>
        <v>1150</v>
      </c>
      <c r="I207" s="268"/>
      <c r="J207" s="268">
        <v>141</v>
      </c>
      <c r="K207" s="268">
        <v>96</v>
      </c>
      <c r="L207" s="268">
        <v>223</v>
      </c>
      <c r="M207" s="268">
        <v>690</v>
      </c>
      <c r="N207" s="268">
        <v>33</v>
      </c>
      <c r="O207" s="268"/>
      <c r="P207" s="268">
        <v>615</v>
      </c>
      <c r="Q207" s="268">
        <v>316</v>
      </c>
    </row>
    <row r="208" spans="1:17" s="263" customFormat="1" ht="8.85" customHeight="1" x14ac:dyDescent="0.25">
      <c r="A208" s="263" t="s">
        <v>34</v>
      </c>
      <c r="B208" s="266">
        <f t="shared" si="21"/>
        <v>2771</v>
      </c>
      <c r="C208" s="266"/>
      <c r="D208" s="283">
        <f t="shared" si="22"/>
        <v>2368</v>
      </c>
      <c r="E208" s="283"/>
      <c r="F208" s="266">
        <v>823</v>
      </c>
      <c r="G208" s="266"/>
      <c r="H208" s="266">
        <f t="shared" si="23"/>
        <v>838</v>
      </c>
      <c r="I208" s="266"/>
      <c r="J208" s="266">
        <v>67</v>
      </c>
      <c r="K208" s="266">
        <v>102</v>
      </c>
      <c r="L208" s="266">
        <v>169</v>
      </c>
      <c r="M208" s="266">
        <v>500</v>
      </c>
      <c r="N208" s="266">
        <v>78</v>
      </c>
      <c r="O208" s="266"/>
      <c r="P208" s="266">
        <v>629</v>
      </c>
      <c r="Q208" s="266">
        <v>403</v>
      </c>
    </row>
    <row r="209" spans="1:17" s="263" customFormat="1" ht="8.85" customHeight="1" x14ac:dyDescent="0.25">
      <c r="A209" s="263" t="s">
        <v>35</v>
      </c>
      <c r="B209" s="266">
        <f t="shared" si="21"/>
        <v>9672</v>
      </c>
      <c r="C209" s="266"/>
      <c r="D209" s="283">
        <f t="shared" si="22"/>
        <v>8117</v>
      </c>
      <c r="E209" s="283"/>
      <c r="F209" s="266">
        <v>2198</v>
      </c>
      <c r="G209" s="266"/>
      <c r="H209" s="266">
        <f t="shared" si="23"/>
        <v>3212</v>
      </c>
      <c r="I209" s="266"/>
      <c r="J209" s="266">
        <v>251</v>
      </c>
      <c r="K209" s="266">
        <v>270</v>
      </c>
      <c r="L209" s="266">
        <v>475</v>
      </c>
      <c r="M209" s="266">
        <v>2216</v>
      </c>
      <c r="N209" s="266">
        <v>1428</v>
      </c>
      <c r="O209" s="266"/>
      <c r="P209" s="266">
        <v>1279</v>
      </c>
      <c r="Q209" s="266">
        <v>1555</v>
      </c>
    </row>
    <row r="210" spans="1:17" s="263" customFormat="1" ht="8.85" customHeight="1" x14ac:dyDescent="0.25">
      <c r="A210" s="263" t="s">
        <v>36</v>
      </c>
      <c r="B210" s="266">
        <f t="shared" si="21"/>
        <v>11490</v>
      </c>
      <c r="C210" s="266"/>
      <c r="D210" s="283">
        <f t="shared" si="22"/>
        <v>9495</v>
      </c>
      <c r="E210" s="283"/>
      <c r="F210" s="266">
        <v>3418</v>
      </c>
      <c r="G210" s="266"/>
      <c r="H210" s="266">
        <f t="shared" si="23"/>
        <v>4091</v>
      </c>
      <c r="I210" s="266"/>
      <c r="J210" s="266">
        <v>436</v>
      </c>
      <c r="K210" s="266">
        <v>442</v>
      </c>
      <c r="L210" s="266">
        <v>944</v>
      </c>
      <c r="M210" s="266">
        <v>2269</v>
      </c>
      <c r="N210" s="266">
        <v>674</v>
      </c>
      <c r="O210" s="266"/>
      <c r="P210" s="266">
        <v>1312</v>
      </c>
      <c r="Q210" s="266">
        <v>1995</v>
      </c>
    </row>
    <row r="211" spans="1:17" s="263" customFormat="1" ht="8.85" customHeight="1" x14ac:dyDescent="0.25">
      <c r="A211" s="267" t="s">
        <v>37</v>
      </c>
      <c r="B211" s="268">
        <f t="shared" si="21"/>
        <v>4221</v>
      </c>
      <c r="C211" s="268"/>
      <c r="D211" s="284">
        <f t="shared" si="22"/>
        <v>3699</v>
      </c>
      <c r="E211" s="284"/>
      <c r="F211" s="268">
        <v>1101</v>
      </c>
      <c r="G211" s="268"/>
      <c r="H211" s="268">
        <f t="shared" si="23"/>
        <v>1503</v>
      </c>
      <c r="I211" s="268"/>
      <c r="J211" s="268">
        <v>147</v>
      </c>
      <c r="K211" s="268">
        <v>135</v>
      </c>
      <c r="L211" s="268">
        <v>352</v>
      </c>
      <c r="M211" s="268">
        <v>869</v>
      </c>
      <c r="N211" s="268">
        <v>154</v>
      </c>
      <c r="O211" s="268"/>
      <c r="P211" s="268">
        <v>941</v>
      </c>
      <c r="Q211" s="268">
        <v>522</v>
      </c>
    </row>
    <row r="212" spans="1:17" s="263" customFormat="1" ht="8.85" customHeight="1" x14ac:dyDescent="0.25">
      <c r="A212" s="263" t="s">
        <v>38</v>
      </c>
      <c r="B212" s="266">
        <f t="shared" si="21"/>
        <v>2037</v>
      </c>
      <c r="C212" s="266"/>
      <c r="D212" s="283">
        <f t="shared" si="22"/>
        <v>1777</v>
      </c>
      <c r="E212" s="283"/>
      <c r="F212" s="266">
        <v>544</v>
      </c>
      <c r="G212" s="266"/>
      <c r="H212" s="266">
        <f t="shared" si="23"/>
        <v>912</v>
      </c>
      <c r="I212" s="266"/>
      <c r="J212" s="266">
        <v>74</v>
      </c>
      <c r="K212" s="266">
        <v>91</v>
      </c>
      <c r="L212" s="266">
        <v>155</v>
      </c>
      <c r="M212" s="266">
        <v>592</v>
      </c>
      <c r="N212" s="266">
        <v>78</v>
      </c>
      <c r="O212" s="266"/>
      <c r="P212" s="266">
        <v>243</v>
      </c>
      <c r="Q212" s="266">
        <v>260</v>
      </c>
    </row>
    <row r="213" spans="1:17" s="263" customFormat="1" ht="8.85" customHeight="1" x14ac:dyDescent="0.25">
      <c r="A213" s="263" t="s">
        <v>39</v>
      </c>
      <c r="B213" s="266">
        <f t="shared" si="21"/>
        <v>1455</v>
      </c>
      <c r="C213" s="266"/>
      <c r="D213" s="283">
        <f t="shared" si="22"/>
        <v>1247</v>
      </c>
      <c r="E213" s="283"/>
      <c r="F213" s="266">
        <v>375</v>
      </c>
      <c r="G213" s="266"/>
      <c r="H213" s="266">
        <f t="shared" si="23"/>
        <v>529</v>
      </c>
      <c r="I213" s="266"/>
      <c r="J213" s="266">
        <v>47</v>
      </c>
      <c r="K213" s="266">
        <v>49</v>
      </c>
      <c r="L213" s="266">
        <v>100</v>
      </c>
      <c r="M213" s="266">
        <v>333</v>
      </c>
      <c r="N213" s="266">
        <v>46</v>
      </c>
      <c r="O213" s="266"/>
      <c r="P213" s="266">
        <v>297</v>
      </c>
      <c r="Q213" s="266">
        <v>208</v>
      </c>
    </row>
    <row r="214" spans="1:17" s="263" customFormat="1" ht="8.85" customHeight="1" x14ac:dyDescent="0.25">
      <c r="A214" s="263" t="s">
        <v>40</v>
      </c>
      <c r="B214" s="266">
        <f t="shared" si="21"/>
        <v>5893</v>
      </c>
      <c r="C214" s="266"/>
      <c r="D214" s="283">
        <f t="shared" si="22"/>
        <v>4884</v>
      </c>
      <c r="E214" s="283"/>
      <c r="F214" s="266">
        <v>1475</v>
      </c>
      <c r="G214" s="266"/>
      <c r="H214" s="266">
        <f t="shared" si="23"/>
        <v>2262</v>
      </c>
      <c r="I214" s="266"/>
      <c r="J214" s="266">
        <v>215</v>
      </c>
      <c r="K214" s="266">
        <v>209</v>
      </c>
      <c r="L214" s="266">
        <v>347</v>
      </c>
      <c r="M214" s="266">
        <v>1491</v>
      </c>
      <c r="N214" s="266">
        <v>756</v>
      </c>
      <c r="O214" s="266"/>
      <c r="P214" s="266">
        <v>391</v>
      </c>
      <c r="Q214" s="266">
        <v>1009</v>
      </c>
    </row>
    <row r="215" spans="1:17" s="263" customFormat="1" ht="8.85" customHeight="1" x14ac:dyDescent="0.25">
      <c r="A215" s="267" t="s">
        <v>41</v>
      </c>
      <c r="B215" s="268">
        <f t="shared" si="21"/>
        <v>3396</v>
      </c>
      <c r="C215" s="268"/>
      <c r="D215" s="284">
        <f t="shared" si="22"/>
        <v>3096</v>
      </c>
      <c r="E215" s="284"/>
      <c r="F215" s="268">
        <v>1021</v>
      </c>
      <c r="G215" s="268"/>
      <c r="H215" s="268">
        <f t="shared" si="23"/>
        <v>1008</v>
      </c>
      <c r="I215" s="268"/>
      <c r="J215" s="268">
        <v>78</v>
      </c>
      <c r="K215" s="268">
        <v>82</v>
      </c>
      <c r="L215" s="268">
        <v>190</v>
      </c>
      <c r="M215" s="268">
        <v>658</v>
      </c>
      <c r="N215" s="268">
        <v>87</v>
      </c>
      <c r="O215" s="268"/>
      <c r="P215" s="268">
        <v>980</v>
      </c>
      <c r="Q215" s="268">
        <v>300</v>
      </c>
    </row>
    <row r="216" spans="1:17" s="263" customFormat="1" ht="8.85" customHeight="1" x14ac:dyDescent="0.25">
      <c r="A216" s="263" t="s">
        <v>42</v>
      </c>
      <c r="B216" s="266">
        <f t="shared" si="21"/>
        <v>5354</v>
      </c>
      <c r="C216" s="266"/>
      <c r="D216" s="283">
        <f t="shared" si="22"/>
        <v>4736</v>
      </c>
      <c r="E216" s="283"/>
      <c r="F216" s="266">
        <v>1328</v>
      </c>
      <c r="G216" s="266"/>
      <c r="H216" s="266">
        <f t="shared" si="23"/>
        <v>1782</v>
      </c>
      <c r="I216" s="266"/>
      <c r="J216" s="266">
        <v>99</v>
      </c>
      <c r="K216" s="266">
        <v>123</v>
      </c>
      <c r="L216" s="266">
        <v>428</v>
      </c>
      <c r="M216" s="266">
        <v>1132</v>
      </c>
      <c r="N216" s="266">
        <v>625</v>
      </c>
      <c r="O216" s="266"/>
      <c r="P216" s="266">
        <v>1001</v>
      </c>
      <c r="Q216" s="266">
        <v>618</v>
      </c>
    </row>
    <row r="217" spans="1:17" s="263" customFormat="1" ht="8.85" customHeight="1" x14ac:dyDescent="0.25">
      <c r="A217" s="263" t="s">
        <v>43</v>
      </c>
      <c r="B217" s="266">
        <f t="shared" si="21"/>
        <v>1843</v>
      </c>
      <c r="C217" s="266"/>
      <c r="D217" s="283">
        <f t="shared" si="22"/>
        <v>1575</v>
      </c>
      <c r="E217" s="283"/>
      <c r="F217" s="266">
        <v>523</v>
      </c>
      <c r="G217" s="266"/>
      <c r="H217" s="266">
        <f t="shared" si="23"/>
        <v>680</v>
      </c>
      <c r="I217" s="266"/>
      <c r="J217" s="266">
        <v>67</v>
      </c>
      <c r="K217" s="266">
        <v>117</v>
      </c>
      <c r="L217" s="266">
        <v>116</v>
      </c>
      <c r="M217" s="266">
        <v>380</v>
      </c>
      <c r="N217" s="266">
        <v>96</v>
      </c>
      <c r="O217" s="266"/>
      <c r="P217" s="266">
        <v>276</v>
      </c>
      <c r="Q217" s="266">
        <v>268</v>
      </c>
    </row>
    <row r="218" spans="1:17" s="263" customFormat="1" ht="8.85" customHeight="1" x14ac:dyDescent="0.25">
      <c r="A218" s="263" t="s">
        <v>44</v>
      </c>
      <c r="B218" s="266">
        <f t="shared" si="21"/>
        <v>1314</v>
      </c>
      <c r="C218" s="266"/>
      <c r="D218" s="283">
        <f t="shared" si="22"/>
        <v>1119</v>
      </c>
      <c r="E218" s="283"/>
      <c r="F218" s="266">
        <v>492</v>
      </c>
      <c r="G218" s="266"/>
      <c r="H218" s="266">
        <f t="shared" si="23"/>
        <v>525</v>
      </c>
      <c r="I218" s="266"/>
      <c r="J218" s="266">
        <v>42</v>
      </c>
      <c r="K218" s="266">
        <v>76</v>
      </c>
      <c r="L218" s="266">
        <v>83</v>
      </c>
      <c r="M218" s="266">
        <v>324</v>
      </c>
      <c r="N218" s="266">
        <v>30</v>
      </c>
      <c r="O218" s="266"/>
      <c r="P218" s="266">
        <v>72</v>
      </c>
      <c r="Q218" s="266">
        <v>195</v>
      </c>
    </row>
    <row r="219" spans="1:17" s="263" customFormat="1" ht="8.85" customHeight="1" x14ac:dyDescent="0.25">
      <c r="A219" s="267" t="s">
        <v>45</v>
      </c>
      <c r="B219" s="268">
        <f t="shared" si="21"/>
        <v>2526</v>
      </c>
      <c r="C219" s="268"/>
      <c r="D219" s="284">
        <f t="shared" si="22"/>
        <v>2222</v>
      </c>
      <c r="E219" s="284"/>
      <c r="F219" s="268">
        <v>720</v>
      </c>
      <c r="G219" s="268"/>
      <c r="H219" s="268">
        <f t="shared" si="23"/>
        <v>931</v>
      </c>
      <c r="I219" s="268"/>
      <c r="J219" s="268">
        <v>85</v>
      </c>
      <c r="K219" s="268">
        <v>82</v>
      </c>
      <c r="L219" s="268">
        <v>191</v>
      </c>
      <c r="M219" s="268">
        <v>573</v>
      </c>
      <c r="N219" s="268">
        <v>134</v>
      </c>
      <c r="O219" s="268"/>
      <c r="P219" s="268">
        <v>437</v>
      </c>
      <c r="Q219" s="268">
        <v>304</v>
      </c>
    </row>
    <row r="220" spans="1:17" s="263" customFormat="1" ht="8.85" customHeight="1" x14ac:dyDescent="0.25">
      <c r="A220" s="263" t="s">
        <v>46</v>
      </c>
      <c r="B220" s="266">
        <f t="shared" si="21"/>
        <v>3371</v>
      </c>
      <c r="C220" s="266"/>
      <c r="D220" s="283">
        <f t="shared" si="22"/>
        <v>2842</v>
      </c>
      <c r="E220" s="283"/>
      <c r="F220" s="266">
        <v>1102</v>
      </c>
      <c r="G220" s="266"/>
      <c r="H220" s="266">
        <f t="shared" si="23"/>
        <v>1258</v>
      </c>
      <c r="I220" s="266"/>
      <c r="J220" s="266">
        <v>137</v>
      </c>
      <c r="K220" s="266">
        <v>128</v>
      </c>
      <c r="L220" s="266">
        <v>184</v>
      </c>
      <c r="M220" s="266">
        <v>809</v>
      </c>
      <c r="N220" s="266">
        <v>116</v>
      </c>
      <c r="O220" s="266"/>
      <c r="P220" s="266">
        <v>366</v>
      </c>
      <c r="Q220" s="266">
        <v>529</v>
      </c>
    </row>
    <row r="221" spans="1:17" s="263" customFormat="1" ht="8.85" customHeight="1" x14ac:dyDescent="0.25">
      <c r="A221" s="263" t="s">
        <v>47</v>
      </c>
      <c r="B221" s="266">
        <f t="shared" si="21"/>
        <v>3803</v>
      </c>
      <c r="C221" s="266"/>
      <c r="D221" s="283">
        <f t="shared" si="22"/>
        <v>3206</v>
      </c>
      <c r="E221" s="283"/>
      <c r="F221" s="266">
        <v>992</v>
      </c>
      <c r="G221" s="266"/>
      <c r="H221" s="266">
        <f t="shared" si="23"/>
        <v>1557</v>
      </c>
      <c r="I221" s="266"/>
      <c r="J221" s="266">
        <v>124</v>
      </c>
      <c r="K221" s="266">
        <v>177</v>
      </c>
      <c r="L221" s="266">
        <v>177</v>
      </c>
      <c r="M221" s="266">
        <v>1079</v>
      </c>
      <c r="N221" s="266">
        <v>381</v>
      </c>
      <c r="O221" s="266"/>
      <c r="P221" s="266">
        <v>276</v>
      </c>
      <c r="Q221" s="266">
        <v>597</v>
      </c>
    </row>
    <row r="222" spans="1:17" s="263" customFormat="1" ht="8.85" customHeight="1" x14ac:dyDescent="0.25">
      <c r="A222" s="263" t="s">
        <v>48</v>
      </c>
      <c r="B222" s="266">
        <f t="shared" si="21"/>
        <v>3447</v>
      </c>
      <c r="C222" s="266"/>
      <c r="D222" s="283">
        <f t="shared" si="22"/>
        <v>3122</v>
      </c>
      <c r="E222" s="283"/>
      <c r="F222" s="266">
        <v>1248</v>
      </c>
      <c r="G222" s="266"/>
      <c r="H222" s="266">
        <f t="shared" si="23"/>
        <v>1343</v>
      </c>
      <c r="I222" s="266"/>
      <c r="J222" s="266">
        <v>117</v>
      </c>
      <c r="K222" s="266">
        <v>126</v>
      </c>
      <c r="L222" s="266">
        <v>313</v>
      </c>
      <c r="M222" s="266">
        <v>787</v>
      </c>
      <c r="N222" s="266">
        <v>176</v>
      </c>
      <c r="O222" s="266"/>
      <c r="P222" s="266">
        <v>355</v>
      </c>
      <c r="Q222" s="266">
        <v>325</v>
      </c>
    </row>
    <row r="223" spans="1:17" s="263" customFormat="1" ht="8.85" customHeight="1" x14ac:dyDescent="0.25">
      <c r="A223" s="267" t="s">
        <v>49</v>
      </c>
      <c r="B223" s="268">
        <f t="shared" si="21"/>
        <v>4359</v>
      </c>
      <c r="C223" s="268"/>
      <c r="D223" s="284">
        <f t="shared" si="22"/>
        <v>3772</v>
      </c>
      <c r="E223" s="284"/>
      <c r="F223" s="268">
        <v>1261</v>
      </c>
      <c r="G223" s="268"/>
      <c r="H223" s="268">
        <f t="shared" si="23"/>
        <v>1911</v>
      </c>
      <c r="I223" s="268"/>
      <c r="J223" s="268">
        <v>176</v>
      </c>
      <c r="K223" s="268">
        <v>243</v>
      </c>
      <c r="L223" s="268">
        <v>230</v>
      </c>
      <c r="M223" s="268">
        <v>1262</v>
      </c>
      <c r="N223" s="268">
        <v>132</v>
      </c>
      <c r="O223" s="268"/>
      <c r="P223" s="268">
        <v>468</v>
      </c>
      <c r="Q223" s="268">
        <v>587</v>
      </c>
    </row>
    <row r="224" spans="1:17" s="263" customFormat="1" ht="8.85" customHeight="1" x14ac:dyDescent="0.25">
      <c r="A224" s="263" t="s">
        <v>50</v>
      </c>
      <c r="B224" s="266">
        <f t="shared" si="21"/>
        <v>1337</v>
      </c>
      <c r="C224" s="266"/>
      <c r="D224" s="283">
        <f t="shared" si="22"/>
        <v>1180</v>
      </c>
      <c r="E224" s="283"/>
      <c r="F224" s="266">
        <v>520</v>
      </c>
      <c r="G224" s="266"/>
      <c r="H224" s="266">
        <f t="shared" si="23"/>
        <v>437</v>
      </c>
      <c r="I224" s="266"/>
      <c r="J224" s="266">
        <v>39</v>
      </c>
      <c r="K224" s="266">
        <v>47</v>
      </c>
      <c r="L224" s="266">
        <v>114</v>
      </c>
      <c r="M224" s="266">
        <v>237</v>
      </c>
      <c r="N224" s="266">
        <v>25</v>
      </c>
      <c r="O224" s="266"/>
      <c r="P224" s="266">
        <v>198</v>
      </c>
      <c r="Q224" s="266">
        <v>157</v>
      </c>
    </row>
    <row r="225" spans="1:17" s="263" customFormat="1" ht="8.85" customHeight="1" x14ac:dyDescent="0.25">
      <c r="A225" s="263" t="s">
        <v>51</v>
      </c>
      <c r="B225" s="266">
        <f t="shared" si="21"/>
        <v>8548</v>
      </c>
      <c r="C225" s="266"/>
      <c r="D225" s="283">
        <f t="shared" si="22"/>
        <v>7378</v>
      </c>
      <c r="E225" s="283"/>
      <c r="F225" s="266">
        <v>3044</v>
      </c>
      <c r="G225" s="266"/>
      <c r="H225" s="266">
        <f t="shared" si="23"/>
        <v>2928</v>
      </c>
      <c r="I225" s="266"/>
      <c r="J225" s="266">
        <v>248</v>
      </c>
      <c r="K225" s="266">
        <v>324</v>
      </c>
      <c r="L225" s="266">
        <v>498</v>
      </c>
      <c r="M225" s="266">
        <v>1858</v>
      </c>
      <c r="N225" s="266">
        <v>434</v>
      </c>
      <c r="O225" s="266"/>
      <c r="P225" s="266">
        <v>972</v>
      </c>
      <c r="Q225" s="266">
        <v>1170</v>
      </c>
    </row>
    <row r="226" spans="1:17" s="263" customFormat="1" ht="8.85" customHeight="1" x14ac:dyDescent="0.25">
      <c r="A226" s="263" t="s">
        <v>52</v>
      </c>
      <c r="B226" s="266">
        <f t="shared" si="21"/>
        <v>2678</v>
      </c>
      <c r="C226" s="266"/>
      <c r="D226" s="283">
        <f t="shared" si="22"/>
        <v>2283</v>
      </c>
      <c r="E226" s="283"/>
      <c r="F226" s="266">
        <v>701</v>
      </c>
      <c r="G226" s="266"/>
      <c r="H226" s="266">
        <f t="shared" si="23"/>
        <v>995</v>
      </c>
      <c r="I226" s="266"/>
      <c r="J226" s="266">
        <v>88</v>
      </c>
      <c r="K226" s="266">
        <v>100</v>
      </c>
      <c r="L226" s="266">
        <v>141</v>
      </c>
      <c r="M226" s="266">
        <v>666</v>
      </c>
      <c r="N226" s="266">
        <v>278</v>
      </c>
      <c r="O226" s="266"/>
      <c r="P226" s="266">
        <v>309</v>
      </c>
      <c r="Q226" s="266">
        <v>395</v>
      </c>
    </row>
    <row r="227" spans="1:17" s="263" customFormat="1" ht="8.85" customHeight="1" x14ac:dyDescent="0.25">
      <c r="A227" s="267" t="s">
        <v>53</v>
      </c>
      <c r="B227" s="268">
        <f t="shared" si="21"/>
        <v>1625</v>
      </c>
      <c r="C227" s="268"/>
      <c r="D227" s="284">
        <f t="shared" si="22"/>
        <v>1449</v>
      </c>
      <c r="E227" s="284"/>
      <c r="F227" s="268">
        <v>482</v>
      </c>
      <c r="G227" s="268"/>
      <c r="H227" s="268">
        <f t="shared" si="23"/>
        <v>574</v>
      </c>
      <c r="I227" s="268"/>
      <c r="J227" s="268">
        <v>65</v>
      </c>
      <c r="K227" s="268">
        <v>65</v>
      </c>
      <c r="L227" s="268">
        <v>99</v>
      </c>
      <c r="M227" s="268">
        <v>345</v>
      </c>
      <c r="N227" s="268">
        <v>57</v>
      </c>
      <c r="O227" s="268"/>
      <c r="P227" s="268">
        <v>336</v>
      </c>
      <c r="Q227" s="268">
        <v>176</v>
      </c>
    </row>
    <row r="228" spans="1:17" s="263" customFormat="1" ht="9" customHeight="1" x14ac:dyDescent="0.25">
      <c r="B228" s="266"/>
      <c r="C228" s="266"/>
      <c r="D228" s="283"/>
      <c r="E228" s="283"/>
      <c r="F228" s="266"/>
      <c r="G228" s="266"/>
      <c r="H228" s="266"/>
      <c r="I228" s="266"/>
      <c r="J228" s="266"/>
      <c r="K228" s="266"/>
      <c r="L228" s="266"/>
      <c r="M228" s="266"/>
      <c r="N228" s="266"/>
      <c r="O228" s="266"/>
      <c r="P228" s="266"/>
      <c r="Q228" s="266"/>
    </row>
    <row r="229" spans="1:17" s="263" customFormat="1" ht="9" customHeight="1" x14ac:dyDescent="0.25">
      <c r="A229" s="261">
        <v>2001</v>
      </c>
      <c r="B229" s="266"/>
      <c r="C229" s="266"/>
      <c r="D229" s="266"/>
      <c r="E229" s="266"/>
      <c r="F229" s="266"/>
      <c r="G229" s="266"/>
      <c r="H229" s="266"/>
      <c r="I229" s="266"/>
      <c r="J229" s="266"/>
      <c r="K229" s="266"/>
      <c r="L229" s="266"/>
      <c r="M229" s="266"/>
      <c r="N229" s="266"/>
      <c r="O229" s="266"/>
      <c r="P229" s="266"/>
      <c r="Q229" s="266"/>
    </row>
    <row r="230" spans="1:17" s="263" customFormat="1" ht="9" customHeight="1" x14ac:dyDescent="0.25">
      <c r="A230" s="264" t="s">
        <v>21</v>
      </c>
      <c r="B230" s="262">
        <f>SUM(B232:B263)</f>
        <v>142765</v>
      </c>
      <c r="C230" s="262"/>
      <c r="D230" s="262">
        <f>SUM(D232:D263)</f>
        <v>121654</v>
      </c>
      <c r="E230" s="282"/>
      <c r="F230" s="262">
        <f>SUM(F232:F263)</f>
        <v>37113</v>
      </c>
      <c r="G230" s="262"/>
      <c r="H230" s="262">
        <f>SUM(H232:H263)</f>
        <v>54222</v>
      </c>
      <c r="I230" s="262" t="s">
        <v>237</v>
      </c>
      <c r="J230" s="262">
        <f t="shared" ref="J230:Q230" si="24">SUM(J232:J263)</f>
        <v>6363</v>
      </c>
      <c r="K230" s="262">
        <f t="shared" si="24"/>
        <v>6648</v>
      </c>
      <c r="L230" s="262">
        <f t="shared" si="24"/>
        <v>8973</v>
      </c>
      <c r="M230" s="262">
        <f t="shared" si="24"/>
        <v>31844</v>
      </c>
      <c r="N230" s="262">
        <f t="shared" si="24"/>
        <v>13359</v>
      </c>
      <c r="O230" s="262"/>
      <c r="P230" s="262">
        <f t="shared" si="24"/>
        <v>16960</v>
      </c>
      <c r="Q230" s="262">
        <f t="shared" si="24"/>
        <v>21111</v>
      </c>
    </row>
    <row r="231" spans="1:17" s="263" customFormat="1" ht="3.95" customHeight="1" x14ac:dyDescent="0.25">
      <c r="A231" s="264"/>
      <c r="B231" s="262"/>
      <c r="C231" s="262"/>
      <c r="D231" s="282"/>
      <c r="E231" s="282"/>
      <c r="F231" s="262"/>
      <c r="G231" s="262"/>
      <c r="H231" s="262"/>
      <c r="I231" s="262"/>
      <c r="J231" s="262"/>
      <c r="K231" s="262"/>
      <c r="L231" s="262"/>
      <c r="M231" s="262"/>
      <c r="N231" s="262"/>
      <c r="O231" s="262"/>
      <c r="P231" s="262"/>
      <c r="Q231" s="262"/>
    </row>
    <row r="232" spans="1:17" s="263" customFormat="1" ht="9" customHeight="1" x14ac:dyDescent="0.25">
      <c r="A232" s="263" t="s">
        <v>23</v>
      </c>
      <c r="B232" s="266">
        <f t="shared" ref="B232:B263" si="25">SUM(D232+Q232)</f>
        <v>1694</v>
      </c>
      <c r="C232" s="266"/>
      <c r="D232" s="283">
        <f t="shared" ref="D232:D263" si="26">SUM(F232+H232+P232+N232)</f>
        <v>1454</v>
      </c>
      <c r="E232" s="283"/>
      <c r="F232" s="266">
        <v>417</v>
      </c>
      <c r="G232" s="266"/>
      <c r="H232" s="266">
        <f t="shared" ref="H232:H237" si="27">SUM(J232:M232)</f>
        <v>784</v>
      </c>
      <c r="I232" s="266"/>
      <c r="J232" s="266">
        <v>90</v>
      </c>
      <c r="K232" s="266">
        <v>113</v>
      </c>
      <c r="L232" s="266">
        <v>96</v>
      </c>
      <c r="M232" s="266">
        <v>485</v>
      </c>
      <c r="N232" s="266">
        <v>134</v>
      </c>
      <c r="O232" s="266"/>
      <c r="P232" s="266">
        <v>119</v>
      </c>
      <c r="Q232" s="266">
        <v>240</v>
      </c>
    </row>
    <row r="233" spans="1:17" s="263" customFormat="1" ht="9" customHeight="1" x14ac:dyDescent="0.25">
      <c r="A233" s="263" t="s">
        <v>24</v>
      </c>
      <c r="B233" s="266">
        <f t="shared" si="25"/>
        <v>3234</v>
      </c>
      <c r="C233" s="266"/>
      <c r="D233" s="283">
        <f t="shared" si="26"/>
        <v>2717</v>
      </c>
      <c r="E233" s="283"/>
      <c r="F233" s="266">
        <v>912</v>
      </c>
      <c r="G233" s="266"/>
      <c r="H233" s="266">
        <f t="shared" si="27"/>
        <v>1448</v>
      </c>
      <c r="I233" s="266"/>
      <c r="J233" s="266">
        <v>173</v>
      </c>
      <c r="K233" s="266">
        <v>191</v>
      </c>
      <c r="L233" s="266">
        <v>204</v>
      </c>
      <c r="M233" s="266">
        <v>880</v>
      </c>
      <c r="N233" s="266">
        <v>121</v>
      </c>
      <c r="O233" s="266"/>
      <c r="P233" s="266">
        <v>236</v>
      </c>
      <c r="Q233" s="266">
        <v>517</v>
      </c>
    </row>
    <row r="234" spans="1:17" s="263" customFormat="1" ht="9" customHeight="1" x14ac:dyDescent="0.25">
      <c r="A234" s="263" t="s">
        <v>25</v>
      </c>
      <c r="B234" s="266">
        <f t="shared" si="25"/>
        <v>1098</v>
      </c>
      <c r="C234" s="266"/>
      <c r="D234" s="283">
        <f t="shared" si="26"/>
        <v>916</v>
      </c>
      <c r="E234" s="283"/>
      <c r="F234" s="266">
        <v>309</v>
      </c>
      <c r="G234" s="266"/>
      <c r="H234" s="266">
        <f t="shared" si="27"/>
        <v>451</v>
      </c>
      <c r="I234" s="266"/>
      <c r="J234" s="266">
        <v>57</v>
      </c>
      <c r="K234" s="266">
        <v>50</v>
      </c>
      <c r="L234" s="266">
        <v>64</v>
      </c>
      <c r="M234" s="266">
        <v>280</v>
      </c>
      <c r="N234" s="266">
        <v>53</v>
      </c>
      <c r="O234" s="266"/>
      <c r="P234" s="266">
        <v>103</v>
      </c>
      <c r="Q234" s="266">
        <v>182</v>
      </c>
    </row>
    <row r="235" spans="1:17" s="263" customFormat="1" ht="9" customHeight="1" x14ac:dyDescent="0.25">
      <c r="A235" s="267" t="s">
        <v>26</v>
      </c>
      <c r="B235" s="268">
        <f t="shared" si="25"/>
        <v>1316</v>
      </c>
      <c r="C235" s="268"/>
      <c r="D235" s="284">
        <f t="shared" si="26"/>
        <v>1180</v>
      </c>
      <c r="E235" s="284"/>
      <c r="F235" s="268">
        <v>479</v>
      </c>
      <c r="G235" s="268"/>
      <c r="H235" s="268">
        <f t="shared" si="27"/>
        <v>477</v>
      </c>
      <c r="I235" s="268"/>
      <c r="J235" s="268">
        <v>68</v>
      </c>
      <c r="K235" s="268">
        <v>58</v>
      </c>
      <c r="L235" s="268">
        <v>80</v>
      </c>
      <c r="M235" s="268">
        <v>271</v>
      </c>
      <c r="N235" s="268">
        <v>38</v>
      </c>
      <c r="O235" s="268"/>
      <c r="P235" s="268">
        <v>186</v>
      </c>
      <c r="Q235" s="268">
        <v>136</v>
      </c>
    </row>
    <row r="236" spans="1:17" s="263" customFormat="1" ht="9" customHeight="1" x14ac:dyDescent="0.25">
      <c r="A236" s="263" t="s">
        <v>27</v>
      </c>
      <c r="B236" s="266">
        <f t="shared" si="25"/>
        <v>4058</v>
      </c>
      <c r="C236" s="266"/>
      <c r="D236" s="283">
        <f t="shared" si="26"/>
        <v>3289</v>
      </c>
      <c r="E236" s="283"/>
      <c r="F236" s="266">
        <v>1016</v>
      </c>
      <c r="G236" s="266"/>
      <c r="H236" s="266">
        <f t="shared" si="27"/>
        <v>1687</v>
      </c>
      <c r="I236" s="266"/>
      <c r="J236" s="266">
        <v>217</v>
      </c>
      <c r="K236" s="266">
        <v>245</v>
      </c>
      <c r="L236" s="266">
        <v>200</v>
      </c>
      <c r="M236" s="266">
        <v>1025</v>
      </c>
      <c r="N236" s="266">
        <v>304</v>
      </c>
      <c r="O236" s="266"/>
      <c r="P236" s="266">
        <v>282</v>
      </c>
      <c r="Q236" s="266">
        <v>769</v>
      </c>
    </row>
    <row r="237" spans="1:17" s="263" customFormat="1" ht="9" customHeight="1" x14ac:dyDescent="0.25">
      <c r="A237" s="263" t="s">
        <v>28</v>
      </c>
      <c r="B237" s="266">
        <f t="shared" si="25"/>
        <v>1050</v>
      </c>
      <c r="C237" s="266"/>
      <c r="D237" s="283">
        <f t="shared" si="26"/>
        <v>900</v>
      </c>
      <c r="E237" s="283"/>
      <c r="F237" s="266">
        <v>245</v>
      </c>
      <c r="G237" s="266"/>
      <c r="H237" s="266">
        <f t="shared" si="27"/>
        <v>442</v>
      </c>
      <c r="I237" s="266"/>
      <c r="J237" s="266">
        <v>67</v>
      </c>
      <c r="K237" s="266">
        <v>53</v>
      </c>
      <c r="L237" s="266">
        <v>51</v>
      </c>
      <c r="M237" s="266">
        <v>271</v>
      </c>
      <c r="N237" s="266">
        <v>45</v>
      </c>
      <c r="O237" s="266"/>
      <c r="P237" s="266">
        <v>168</v>
      </c>
      <c r="Q237" s="266">
        <v>150</v>
      </c>
    </row>
    <row r="238" spans="1:17" s="263" customFormat="1" ht="9.6" customHeight="1" x14ac:dyDescent="0.25">
      <c r="A238" s="263" t="s">
        <v>29</v>
      </c>
      <c r="B238" s="266">
        <f t="shared" si="25"/>
        <v>3959</v>
      </c>
      <c r="C238" s="266"/>
      <c r="D238" s="283">
        <f t="shared" si="26"/>
        <v>3632</v>
      </c>
      <c r="E238" s="283"/>
      <c r="F238" s="266">
        <v>1263</v>
      </c>
      <c r="G238" s="266"/>
      <c r="H238" s="266">
        <v>1419</v>
      </c>
      <c r="I238" s="287" t="s">
        <v>55</v>
      </c>
      <c r="J238" s="266">
        <v>129</v>
      </c>
      <c r="K238" s="266">
        <v>124</v>
      </c>
      <c r="L238" s="266">
        <v>304</v>
      </c>
      <c r="M238" s="266">
        <v>625</v>
      </c>
      <c r="N238" s="266">
        <v>56</v>
      </c>
      <c r="O238" s="266"/>
      <c r="P238" s="266">
        <v>894</v>
      </c>
      <c r="Q238" s="266">
        <v>327</v>
      </c>
    </row>
    <row r="239" spans="1:17" s="263" customFormat="1" ht="9" customHeight="1" x14ac:dyDescent="0.25">
      <c r="A239" s="267" t="s">
        <v>30</v>
      </c>
      <c r="B239" s="268">
        <f t="shared" si="25"/>
        <v>3710</v>
      </c>
      <c r="C239" s="268"/>
      <c r="D239" s="284">
        <f t="shared" si="26"/>
        <v>3073</v>
      </c>
      <c r="E239" s="284"/>
      <c r="F239" s="268">
        <v>1195</v>
      </c>
      <c r="G239" s="268"/>
      <c r="H239" s="268">
        <f t="shared" ref="H239:H251" si="28">SUM(J239:M239)</f>
        <v>1387</v>
      </c>
      <c r="I239" s="268"/>
      <c r="J239" s="268">
        <v>182</v>
      </c>
      <c r="K239" s="268">
        <v>176</v>
      </c>
      <c r="L239" s="268">
        <v>207</v>
      </c>
      <c r="M239" s="268">
        <v>822</v>
      </c>
      <c r="N239" s="268">
        <v>132</v>
      </c>
      <c r="O239" s="268"/>
      <c r="P239" s="268">
        <v>359</v>
      </c>
      <c r="Q239" s="268">
        <v>637</v>
      </c>
    </row>
    <row r="240" spans="1:17" s="263" customFormat="1" ht="9" customHeight="1" x14ac:dyDescent="0.25">
      <c r="A240" s="263" t="s">
        <v>63</v>
      </c>
      <c r="B240" s="266">
        <f t="shared" si="25"/>
        <v>29752</v>
      </c>
      <c r="C240" s="266"/>
      <c r="D240" s="283">
        <f t="shared" si="26"/>
        <v>24682</v>
      </c>
      <c r="E240" s="283"/>
      <c r="F240" s="266">
        <v>4733</v>
      </c>
      <c r="G240" s="266"/>
      <c r="H240" s="266">
        <f t="shared" si="28"/>
        <v>12933</v>
      </c>
      <c r="I240" s="266"/>
      <c r="J240" s="266">
        <v>1154</v>
      </c>
      <c r="K240" s="266">
        <v>1553</v>
      </c>
      <c r="L240" s="266">
        <v>1811</v>
      </c>
      <c r="M240" s="266">
        <v>8415</v>
      </c>
      <c r="N240" s="266">
        <v>5926</v>
      </c>
      <c r="O240" s="266"/>
      <c r="P240" s="266">
        <v>1090</v>
      </c>
      <c r="Q240" s="266">
        <v>5070</v>
      </c>
    </row>
    <row r="241" spans="1:17" s="263" customFormat="1" ht="9" customHeight="1" x14ac:dyDescent="0.25">
      <c r="A241" s="263" t="s">
        <v>31</v>
      </c>
      <c r="B241" s="266">
        <f t="shared" si="25"/>
        <v>2428</v>
      </c>
      <c r="C241" s="266"/>
      <c r="D241" s="283">
        <f t="shared" si="26"/>
        <v>2107</v>
      </c>
      <c r="E241" s="283"/>
      <c r="F241" s="266">
        <v>661</v>
      </c>
      <c r="G241" s="266"/>
      <c r="H241" s="266">
        <f t="shared" si="28"/>
        <v>867</v>
      </c>
      <c r="I241" s="266"/>
      <c r="J241" s="266">
        <v>110</v>
      </c>
      <c r="K241" s="266">
        <v>122</v>
      </c>
      <c r="L241" s="266">
        <v>132</v>
      </c>
      <c r="M241" s="266">
        <v>503</v>
      </c>
      <c r="N241" s="266">
        <v>122</v>
      </c>
      <c r="O241" s="266"/>
      <c r="P241" s="266">
        <v>457</v>
      </c>
      <c r="Q241" s="266">
        <v>321</v>
      </c>
    </row>
    <row r="242" spans="1:17" s="263" customFormat="1" ht="9" customHeight="1" x14ac:dyDescent="0.25">
      <c r="A242" s="263" t="s">
        <v>32</v>
      </c>
      <c r="B242" s="266">
        <f t="shared" si="25"/>
        <v>4780</v>
      </c>
      <c r="C242" s="266"/>
      <c r="D242" s="283">
        <f t="shared" si="26"/>
        <v>4017</v>
      </c>
      <c r="E242" s="283"/>
      <c r="F242" s="266">
        <v>1460</v>
      </c>
      <c r="G242" s="266"/>
      <c r="H242" s="266">
        <f t="shared" si="28"/>
        <v>1580</v>
      </c>
      <c r="I242" s="266"/>
      <c r="J242" s="266">
        <v>211</v>
      </c>
      <c r="K242" s="266">
        <v>184</v>
      </c>
      <c r="L242" s="266">
        <v>272</v>
      </c>
      <c r="M242" s="266">
        <v>913</v>
      </c>
      <c r="N242" s="266">
        <v>308</v>
      </c>
      <c r="O242" s="266"/>
      <c r="P242" s="266">
        <v>669</v>
      </c>
      <c r="Q242" s="266">
        <v>763</v>
      </c>
    </row>
    <row r="243" spans="1:17" s="263" customFormat="1" ht="9" customHeight="1" x14ac:dyDescent="0.25">
      <c r="A243" s="267" t="s">
        <v>33</v>
      </c>
      <c r="B243" s="268">
        <f t="shared" si="25"/>
        <v>3556</v>
      </c>
      <c r="C243" s="268"/>
      <c r="D243" s="284">
        <f t="shared" si="26"/>
        <v>3227</v>
      </c>
      <c r="E243" s="284"/>
      <c r="F243" s="268">
        <v>1426</v>
      </c>
      <c r="G243" s="268"/>
      <c r="H243" s="268">
        <f t="shared" si="28"/>
        <v>1163</v>
      </c>
      <c r="I243" s="268"/>
      <c r="J243" s="268">
        <v>163</v>
      </c>
      <c r="K243" s="268">
        <v>133</v>
      </c>
      <c r="L243" s="268">
        <v>225</v>
      </c>
      <c r="M243" s="268">
        <v>642</v>
      </c>
      <c r="N243" s="268">
        <v>38</v>
      </c>
      <c r="O243" s="268"/>
      <c r="P243" s="268">
        <v>600</v>
      </c>
      <c r="Q243" s="268">
        <v>329</v>
      </c>
    </row>
    <row r="244" spans="1:17" s="263" customFormat="1" ht="9" customHeight="1" x14ac:dyDescent="0.25">
      <c r="A244" s="263" t="s">
        <v>34</v>
      </c>
      <c r="B244" s="266">
        <f t="shared" si="25"/>
        <v>2801</v>
      </c>
      <c r="C244" s="266"/>
      <c r="D244" s="283">
        <f t="shared" si="26"/>
        <v>2406</v>
      </c>
      <c r="E244" s="283"/>
      <c r="F244" s="266">
        <v>776</v>
      </c>
      <c r="G244" s="266"/>
      <c r="H244" s="266">
        <f t="shared" si="28"/>
        <v>892</v>
      </c>
      <c r="I244" s="266"/>
      <c r="J244" s="266">
        <v>113</v>
      </c>
      <c r="K244" s="266">
        <v>94</v>
      </c>
      <c r="L244" s="266">
        <v>187</v>
      </c>
      <c r="M244" s="266">
        <v>498</v>
      </c>
      <c r="N244" s="266">
        <v>93</v>
      </c>
      <c r="O244" s="266"/>
      <c r="P244" s="266">
        <v>645</v>
      </c>
      <c r="Q244" s="266">
        <v>395</v>
      </c>
    </row>
    <row r="245" spans="1:17" s="263" customFormat="1" ht="9" customHeight="1" x14ac:dyDescent="0.25">
      <c r="A245" s="263" t="s">
        <v>35</v>
      </c>
      <c r="B245" s="266">
        <f t="shared" si="25"/>
        <v>9917</v>
      </c>
      <c r="C245" s="266"/>
      <c r="D245" s="283">
        <f t="shared" si="26"/>
        <v>8362</v>
      </c>
      <c r="E245" s="283"/>
      <c r="F245" s="266">
        <v>2192</v>
      </c>
      <c r="G245" s="266"/>
      <c r="H245" s="266">
        <f t="shared" si="28"/>
        <v>3372</v>
      </c>
      <c r="I245" s="266"/>
      <c r="J245" s="266">
        <v>446</v>
      </c>
      <c r="K245" s="266">
        <v>448</v>
      </c>
      <c r="L245" s="266">
        <v>499</v>
      </c>
      <c r="M245" s="266">
        <v>1979</v>
      </c>
      <c r="N245" s="266">
        <v>1462</v>
      </c>
      <c r="O245" s="266"/>
      <c r="P245" s="266">
        <v>1336</v>
      </c>
      <c r="Q245" s="266">
        <v>1555</v>
      </c>
    </row>
    <row r="246" spans="1:17" s="263" customFormat="1" ht="9" customHeight="1" x14ac:dyDescent="0.25">
      <c r="A246" s="263" t="s">
        <v>36</v>
      </c>
      <c r="B246" s="266">
        <f t="shared" si="25"/>
        <v>11573</v>
      </c>
      <c r="C246" s="266"/>
      <c r="D246" s="283">
        <f t="shared" si="26"/>
        <v>9599</v>
      </c>
      <c r="E246" s="283"/>
      <c r="F246" s="266">
        <v>3421</v>
      </c>
      <c r="G246" s="266"/>
      <c r="H246" s="266">
        <f t="shared" si="28"/>
        <v>4242</v>
      </c>
      <c r="I246" s="266"/>
      <c r="J246" s="266">
        <v>630</v>
      </c>
      <c r="K246" s="266">
        <v>578</v>
      </c>
      <c r="L246" s="266">
        <v>930</v>
      </c>
      <c r="M246" s="266">
        <v>2104</v>
      </c>
      <c r="N246" s="266">
        <v>637</v>
      </c>
      <c r="O246" s="266"/>
      <c r="P246" s="266">
        <v>1299</v>
      </c>
      <c r="Q246" s="266">
        <v>1974</v>
      </c>
    </row>
    <row r="247" spans="1:17" s="263" customFormat="1" ht="9" customHeight="1" x14ac:dyDescent="0.25">
      <c r="A247" s="267" t="s">
        <v>37</v>
      </c>
      <c r="B247" s="268">
        <f t="shared" si="25"/>
        <v>4223</v>
      </c>
      <c r="C247" s="268"/>
      <c r="D247" s="284">
        <f t="shared" si="26"/>
        <v>3747</v>
      </c>
      <c r="E247" s="284"/>
      <c r="F247" s="268">
        <v>1055</v>
      </c>
      <c r="G247" s="268"/>
      <c r="H247" s="268">
        <f t="shared" si="28"/>
        <v>1568</v>
      </c>
      <c r="I247" s="268"/>
      <c r="J247" s="268">
        <v>199</v>
      </c>
      <c r="K247" s="268">
        <v>154</v>
      </c>
      <c r="L247" s="268">
        <v>347</v>
      </c>
      <c r="M247" s="268">
        <v>868</v>
      </c>
      <c r="N247" s="268">
        <v>170</v>
      </c>
      <c r="O247" s="268"/>
      <c r="P247" s="268">
        <v>954</v>
      </c>
      <c r="Q247" s="268">
        <v>476</v>
      </c>
    </row>
    <row r="248" spans="1:17" s="263" customFormat="1" ht="9" customHeight="1" x14ac:dyDescent="0.25">
      <c r="A248" s="263" t="s">
        <v>38</v>
      </c>
      <c r="B248" s="266">
        <f t="shared" si="25"/>
        <v>2013</v>
      </c>
      <c r="C248" s="266"/>
      <c r="D248" s="283">
        <f t="shared" si="26"/>
        <v>1747</v>
      </c>
      <c r="E248" s="283"/>
      <c r="F248" s="266">
        <v>509</v>
      </c>
      <c r="G248" s="266"/>
      <c r="H248" s="266">
        <f t="shared" si="28"/>
        <v>922</v>
      </c>
      <c r="I248" s="266"/>
      <c r="J248" s="266">
        <v>113</v>
      </c>
      <c r="K248" s="266">
        <v>119</v>
      </c>
      <c r="L248" s="266">
        <v>151</v>
      </c>
      <c r="M248" s="266">
        <v>539</v>
      </c>
      <c r="N248" s="266">
        <v>75</v>
      </c>
      <c r="O248" s="266"/>
      <c r="P248" s="266">
        <v>241</v>
      </c>
      <c r="Q248" s="266">
        <v>266</v>
      </c>
    </row>
    <row r="249" spans="1:17" s="263" customFormat="1" ht="9" customHeight="1" x14ac:dyDescent="0.25">
      <c r="A249" s="263" t="s">
        <v>39</v>
      </c>
      <c r="B249" s="266">
        <f t="shared" si="25"/>
        <v>1460</v>
      </c>
      <c r="C249" s="266"/>
      <c r="D249" s="283">
        <f t="shared" si="26"/>
        <v>1268</v>
      </c>
      <c r="E249" s="283"/>
      <c r="F249" s="266">
        <v>385</v>
      </c>
      <c r="G249" s="266"/>
      <c r="H249" s="266">
        <f t="shared" si="28"/>
        <v>527</v>
      </c>
      <c r="I249" s="266"/>
      <c r="J249" s="266">
        <v>63</v>
      </c>
      <c r="K249" s="266">
        <v>63</v>
      </c>
      <c r="L249" s="266">
        <v>94</v>
      </c>
      <c r="M249" s="266">
        <v>307</v>
      </c>
      <c r="N249" s="266">
        <v>62</v>
      </c>
      <c r="O249" s="266"/>
      <c r="P249" s="266">
        <v>294</v>
      </c>
      <c r="Q249" s="266">
        <v>192</v>
      </c>
    </row>
    <row r="250" spans="1:17" s="263" customFormat="1" ht="9" customHeight="1" x14ac:dyDescent="0.25">
      <c r="A250" s="263" t="s">
        <v>40</v>
      </c>
      <c r="B250" s="266">
        <f t="shared" si="25"/>
        <v>5815</v>
      </c>
      <c r="C250" s="266"/>
      <c r="D250" s="283">
        <f t="shared" si="26"/>
        <v>4647</v>
      </c>
      <c r="E250" s="283"/>
      <c r="F250" s="266">
        <v>1468</v>
      </c>
      <c r="G250" s="266"/>
      <c r="H250" s="266">
        <f t="shared" si="28"/>
        <v>2040</v>
      </c>
      <c r="I250" s="266"/>
      <c r="J250" s="266">
        <v>238</v>
      </c>
      <c r="K250" s="266">
        <v>262</v>
      </c>
      <c r="L250" s="266">
        <v>350</v>
      </c>
      <c r="M250" s="266">
        <v>1190</v>
      </c>
      <c r="N250" s="266">
        <v>753</v>
      </c>
      <c r="O250" s="266"/>
      <c r="P250" s="266">
        <v>386</v>
      </c>
      <c r="Q250" s="266">
        <v>1168</v>
      </c>
    </row>
    <row r="251" spans="1:17" s="263" customFormat="1" ht="9" customHeight="1" x14ac:dyDescent="0.25">
      <c r="A251" s="267" t="s">
        <v>41</v>
      </c>
      <c r="B251" s="268">
        <f t="shared" si="25"/>
        <v>3506</v>
      </c>
      <c r="C251" s="268"/>
      <c r="D251" s="284">
        <f t="shared" si="26"/>
        <v>3201</v>
      </c>
      <c r="E251" s="284"/>
      <c r="F251" s="268">
        <v>998</v>
      </c>
      <c r="G251" s="268"/>
      <c r="H251" s="268">
        <f t="shared" si="28"/>
        <v>1050</v>
      </c>
      <c r="I251" s="268"/>
      <c r="J251" s="268">
        <v>108</v>
      </c>
      <c r="K251" s="268">
        <v>100</v>
      </c>
      <c r="L251" s="268">
        <v>220</v>
      </c>
      <c r="M251" s="268">
        <v>622</v>
      </c>
      <c r="N251" s="268">
        <v>104</v>
      </c>
      <c r="O251" s="268"/>
      <c r="P251" s="268">
        <v>1049</v>
      </c>
      <c r="Q251" s="268">
        <v>305</v>
      </c>
    </row>
    <row r="252" spans="1:17" s="263" customFormat="1" ht="9.6" customHeight="1" x14ac:dyDescent="0.25">
      <c r="A252" s="263" t="s">
        <v>42</v>
      </c>
      <c r="B252" s="266">
        <f t="shared" si="25"/>
        <v>5465</v>
      </c>
      <c r="C252" s="266"/>
      <c r="D252" s="283">
        <f t="shared" si="26"/>
        <v>4811</v>
      </c>
      <c r="E252" s="283"/>
      <c r="F252" s="266">
        <v>1293</v>
      </c>
      <c r="G252" s="266"/>
      <c r="H252" s="266">
        <v>1874</v>
      </c>
      <c r="I252" s="287" t="s">
        <v>55</v>
      </c>
      <c r="J252" s="266">
        <v>168</v>
      </c>
      <c r="K252" s="266">
        <v>172</v>
      </c>
      <c r="L252" s="266">
        <v>440</v>
      </c>
      <c r="M252" s="266">
        <v>1034</v>
      </c>
      <c r="N252" s="266">
        <v>639</v>
      </c>
      <c r="O252" s="266"/>
      <c r="P252" s="266">
        <v>1005</v>
      </c>
      <c r="Q252" s="266">
        <v>654</v>
      </c>
    </row>
    <row r="253" spans="1:17" s="263" customFormat="1" ht="9" customHeight="1" x14ac:dyDescent="0.25">
      <c r="A253" s="263" t="s">
        <v>43</v>
      </c>
      <c r="B253" s="266">
        <f t="shared" si="25"/>
        <v>1844</v>
      </c>
      <c r="C253" s="266"/>
      <c r="D253" s="283">
        <f t="shared" si="26"/>
        <v>1587</v>
      </c>
      <c r="E253" s="283"/>
      <c r="F253" s="266">
        <v>524</v>
      </c>
      <c r="G253" s="266"/>
      <c r="H253" s="266">
        <f>SUM(J253:M253)</f>
        <v>686</v>
      </c>
      <c r="I253" s="266"/>
      <c r="J253" s="266">
        <v>109</v>
      </c>
      <c r="K253" s="266">
        <v>105</v>
      </c>
      <c r="L253" s="266">
        <v>120</v>
      </c>
      <c r="M253" s="266">
        <v>352</v>
      </c>
      <c r="N253" s="266">
        <v>112</v>
      </c>
      <c r="O253" s="266"/>
      <c r="P253" s="266">
        <v>265</v>
      </c>
      <c r="Q253" s="266">
        <v>257</v>
      </c>
    </row>
    <row r="254" spans="1:17" s="263" customFormat="1" ht="9" customHeight="1" x14ac:dyDescent="0.25">
      <c r="A254" s="263" t="s">
        <v>44</v>
      </c>
      <c r="B254" s="266">
        <f t="shared" si="25"/>
        <v>1346</v>
      </c>
      <c r="C254" s="266"/>
      <c r="D254" s="283">
        <f t="shared" si="26"/>
        <v>1153</v>
      </c>
      <c r="E254" s="283"/>
      <c r="F254" s="266">
        <v>496</v>
      </c>
      <c r="G254" s="266"/>
      <c r="H254" s="266">
        <f>SUM(J254:M254)</f>
        <v>502</v>
      </c>
      <c r="I254" s="266"/>
      <c r="J254" s="266">
        <v>78</v>
      </c>
      <c r="K254" s="266">
        <v>82</v>
      </c>
      <c r="L254" s="266">
        <v>82</v>
      </c>
      <c r="M254" s="266">
        <v>260</v>
      </c>
      <c r="N254" s="266">
        <v>47</v>
      </c>
      <c r="O254" s="266"/>
      <c r="P254" s="266">
        <v>108</v>
      </c>
      <c r="Q254" s="266">
        <v>193</v>
      </c>
    </row>
    <row r="255" spans="1:17" s="263" customFormat="1" ht="9" customHeight="1" x14ac:dyDescent="0.25">
      <c r="A255" s="267" t="s">
        <v>45</v>
      </c>
      <c r="B255" s="268">
        <f t="shared" si="25"/>
        <v>2619</v>
      </c>
      <c r="C255" s="268"/>
      <c r="D255" s="284">
        <f t="shared" si="26"/>
        <v>2309</v>
      </c>
      <c r="E255" s="284"/>
      <c r="F255" s="268">
        <v>720</v>
      </c>
      <c r="G255" s="268"/>
      <c r="H255" s="268">
        <f>SUM(J255:M255)</f>
        <v>885</v>
      </c>
      <c r="I255" s="268"/>
      <c r="J255" s="268">
        <v>113</v>
      </c>
      <c r="K255" s="268">
        <v>122</v>
      </c>
      <c r="L255" s="268">
        <v>189</v>
      </c>
      <c r="M255" s="268">
        <v>461</v>
      </c>
      <c r="N255" s="268">
        <v>170</v>
      </c>
      <c r="O255" s="268"/>
      <c r="P255" s="268">
        <v>534</v>
      </c>
      <c r="Q255" s="268">
        <v>310</v>
      </c>
    </row>
    <row r="256" spans="1:17" s="263" customFormat="1" ht="9" customHeight="1" x14ac:dyDescent="0.25">
      <c r="A256" s="263" t="s">
        <v>46</v>
      </c>
      <c r="B256" s="266">
        <f t="shared" si="25"/>
        <v>3489</v>
      </c>
      <c r="C256" s="266"/>
      <c r="D256" s="283">
        <f t="shared" si="26"/>
        <v>2942</v>
      </c>
      <c r="E256" s="283"/>
      <c r="F256" s="266">
        <v>1099</v>
      </c>
      <c r="G256" s="266"/>
      <c r="H256" s="266">
        <f>SUM(J256:M256)</f>
        <v>1291</v>
      </c>
      <c r="I256" s="266"/>
      <c r="J256" s="266">
        <v>174</v>
      </c>
      <c r="K256" s="266">
        <v>149</v>
      </c>
      <c r="L256" s="266">
        <v>183</v>
      </c>
      <c r="M256" s="266">
        <v>785</v>
      </c>
      <c r="N256" s="266">
        <v>134</v>
      </c>
      <c r="O256" s="266"/>
      <c r="P256" s="266">
        <v>418</v>
      </c>
      <c r="Q256" s="266">
        <v>547</v>
      </c>
    </row>
    <row r="257" spans="1:18" s="263" customFormat="1" ht="9" customHeight="1" x14ac:dyDescent="0.25">
      <c r="A257" s="263" t="s">
        <v>47</v>
      </c>
      <c r="B257" s="266">
        <f t="shared" si="25"/>
        <v>3832</v>
      </c>
      <c r="C257" s="266"/>
      <c r="D257" s="283">
        <f t="shared" si="26"/>
        <v>3213</v>
      </c>
      <c r="E257" s="283"/>
      <c r="F257" s="266">
        <v>943</v>
      </c>
      <c r="G257" s="266"/>
      <c r="H257" s="266">
        <f>SUM(J257:M257)</f>
        <v>1593</v>
      </c>
      <c r="I257" s="266"/>
      <c r="J257" s="266">
        <v>194</v>
      </c>
      <c r="K257" s="266">
        <v>194</v>
      </c>
      <c r="L257" s="266">
        <v>180</v>
      </c>
      <c r="M257" s="266">
        <v>1025</v>
      </c>
      <c r="N257" s="266">
        <v>377</v>
      </c>
      <c r="O257" s="266"/>
      <c r="P257" s="266">
        <v>300</v>
      </c>
      <c r="Q257" s="266">
        <v>619</v>
      </c>
      <c r="R257" s="263">
        <v>989</v>
      </c>
    </row>
    <row r="258" spans="1:18" s="263" customFormat="1" ht="9.6" customHeight="1" x14ac:dyDescent="0.25">
      <c r="A258" s="263" t="s">
        <v>48</v>
      </c>
      <c r="B258" s="266">
        <f t="shared" si="25"/>
        <v>3367</v>
      </c>
      <c r="C258" s="266"/>
      <c r="D258" s="283">
        <f t="shared" si="26"/>
        <v>3060</v>
      </c>
      <c r="E258" s="283"/>
      <c r="F258" s="266">
        <v>1189</v>
      </c>
      <c r="G258" s="266"/>
      <c r="H258" s="266">
        <v>1281</v>
      </c>
      <c r="I258" s="287" t="s">
        <v>55</v>
      </c>
      <c r="J258" s="266">
        <v>131</v>
      </c>
      <c r="K258" s="266">
        <v>119</v>
      </c>
      <c r="L258" s="266">
        <v>292</v>
      </c>
      <c r="M258" s="266">
        <v>642</v>
      </c>
      <c r="N258" s="266">
        <v>197</v>
      </c>
      <c r="O258" s="266"/>
      <c r="P258" s="266">
        <v>393</v>
      </c>
      <c r="Q258" s="266">
        <v>307</v>
      </c>
      <c r="R258" s="263">
        <v>292</v>
      </c>
    </row>
    <row r="259" spans="1:18" s="263" customFormat="1" ht="9" customHeight="1" x14ac:dyDescent="0.25">
      <c r="A259" s="267" t="s">
        <v>49</v>
      </c>
      <c r="B259" s="268">
        <f t="shared" si="25"/>
        <v>4547</v>
      </c>
      <c r="C259" s="268"/>
      <c r="D259" s="284">
        <f t="shared" si="26"/>
        <v>3949</v>
      </c>
      <c r="E259" s="284"/>
      <c r="F259" s="268">
        <v>1282</v>
      </c>
      <c r="G259" s="268"/>
      <c r="H259" s="268">
        <f>SUM(J259:M259)</f>
        <v>1907</v>
      </c>
      <c r="I259" s="268"/>
      <c r="J259" s="268">
        <v>256</v>
      </c>
      <c r="K259" s="268">
        <v>262</v>
      </c>
      <c r="L259" s="268">
        <v>216</v>
      </c>
      <c r="M259" s="268">
        <v>1173</v>
      </c>
      <c r="N259" s="268">
        <v>163</v>
      </c>
      <c r="O259" s="268"/>
      <c r="P259" s="268">
        <v>597</v>
      </c>
      <c r="Q259" s="268">
        <v>598</v>
      </c>
      <c r="R259" s="263">
        <f>SUM(R257:R258)</f>
        <v>1281</v>
      </c>
    </row>
    <row r="260" spans="1:18" s="263" customFormat="1" ht="9" customHeight="1" x14ac:dyDescent="0.25">
      <c r="A260" s="263" t="s">
        <v>50</v>
      </c>
      <c r="B260" s="266">
        <f t="shared" si="25"/>
        <v>1343</v>
      </c>
      <c r="C260" s="266"/>
      <c r="D260" s="283">
        <f t="shared" si="26"/>
        <v>1174</v>
      </c>
      <c r="E260" s="283"/>
      <c r="F260" s="266">
        <v>514</v>
      </c>
      <c r="G260" s="266"/>
      <c r="H260" s="266">
        <f>SUM(J260:M260)</f>
        <v>438</v>
      </c>
      <c r="I260" s="266"/>
      <c r="J260" s="266">
        <v>59</v>
      </c>
      <c r="K260" s="266">
        <v>57</v>
      </c>
      <c r="L260" s="266">
        <v>85</v>
      </c>
      <c r="M260" s="266">
        <v>237</v>
      </c>
      <c r="N260" s="266">
        <v>22</v>
      </c>
      <c r="O260" s="266"/>
      <c r="P260" s="266">
        <v>200</v>
      </c>
      <c r="Q260" s="266">
        <v>169</v>
      </c>
    </row>
    <row r="261" spans="1:18" s="263" customFormat="1" ht="9" customHeight="1" x14ac:dyDescent="0.25">
      <c r="A261" s="263" t="s">
        <v>51</v>
      </c>
      <c r="B261" s="266">
        <f t="shared" si="25"/>
        <v>8780</v>
      </c>
      <c r="C261" s="266"/>
      <c r="D261" s="283">
        <f t="shared" si="26"/>
        <v>7635</v>
      </c>
      <c r="E261" s="283"/>
      <c r="F261" s="266">
        <v>3005</v>
      </c>
      <c r="G261" s="266"/>
      <c r="H261" s="266">
        <f>SUM(J261:M261)</f>
        <v>3018</v>
      </c>
      <c r="I261" s="266"/>
      <c r="J261" s="266">
        <v>365</v>
      </c>
      <c r="K261" s="266">
        <v>370</v>
      </c>
      <c r="L261" s="266">
        <v>528</v>
      </c>
      <c r="M261" s="266">
        <v>1755</v>
      </c>
      <c r="N261" s="266">
        <v>510</v>
      </c>
      <c r="O261" s="266"/>
      <c r="P261" s="266">
        <v>1102</v>
      </c>
      <c r="Q261" s="266">
        <v>1145</v>
      </c>
    </row>
    <row r="262" spans="1:18" s="263" customFormat="1" ht="9" customHeight="1" x14ac:dyDescent="0.25">
      <c r="A262" s="263" t="s">
        <v>52</v>
      </c>
      <c r="B262" s="266">
        <f t="shared" si="25"/>
        <v>2586</v>
      </c>
      <c r="C262" s="266"/>
      <c r="D262" s="283">
        <f t="shared" si="26"/>
        <v>2220</v>
      </c>
      <c r="E262" s="283"/>
      <c r="F262" s="266">
        <v>678</v>
      </c>
      <c r="G262" s="266"/>
      <c r="H262" s="266">
        <f>SUM(J262:M262)</f>
        <v>936</v>
      </c>
      <c r="I262" s="266"/>
      <c r="J262" s="266">
        <v>113</v>
      </c>
      <c r="K262" s="266">
        <v>131</v>
      </c>
      <c r="L262" s="266">
        <v>133</v>
      </c>
      <c r="M262" s="266">
        <v>559</v>
      </c>
      <c r="N262" s="266">
        <v>283</v>
      </c>
      <c r="O262" s="266"/>
      <c r="P262" s="266">
        <v>323</v>
      </c>
      <c r="Q262" s="266">
        <v>366</v>
      </c>
    </row>
    <row r="263" spans="1:18" s="263" customFormat="1" ht="9" customHeight="1" x14ac:dyDescent="0.25">
      <c r="A263" s="267" t="s">
        <v>53</v>
      </c>
      <c r="B263" s="268">
        <f t="shared" si="25"/>
        <v>1604</v>
      </c>
      <c r="C263" s="268"/>
      <c r="D263" s="284">
        <f t="shared" si="26"/>
        <v>1430</v>
      </c>
      <c r="E263" s="284"/>
      <c r="F263" s="268">
        <v>450</v>
      </c>
      <c r="G263" s="268"/>
      <c r="H263" s="268">
        <f>SUM(J263:M263)</f>
        <v>560</v>
      </c>
      <c r="I263" s="268"/>
      <c r="J263" s="268">
        <v>72</v>
      </c>
      <c r="K263" s="268">
        <v>65</v>
      </c>
      <c r="L263" s="268">
        <v>101</v>
      </c>
      <c r="M263" s="268">
        <v>322</v>
      </c>
      <c r="N263" s="268">
        <v>72</v>
      </c>
      <c r="O263" s="268"/>
      <c r="P263" s="268">
        <v>348</v>
      </c>
      <c r="Q263" s="268">
        <v>174</v>
      </c>
    </row>
    <row r="264" spans="1:18" s="263" customFormat="1" ht="9" customHeight="1" x14ac:dyDescent="0.25">
      <c r="B264" s="266"/>
      <c r="C264" s="266"/>
      <c r="D264" s="283"/>
      <c r="E264" s="283"/>
      <c r="F264" s="266"/>
      <c r="G264" s="266"/>
      <c r="H264" s="266"/>
      <c r="I264" s="266"/>
      <c r="J264" s="266"/>
      <c r="K264" s="266"/>
      <c r="L264" s="266"/>
      <c r="M264" s="266"/>
      <c r="N264" s="266"/>
      <c r="O264" s="266"/>
      <c r="P264" s="266"/>
      <c r="Q264" s="266"/>
    </row>
    <row r="265" spans="1:18" s="263" customFormat="1" ht="9" customHeight="1" x14ac:dyDescent="0.25">
      <c r="A265" s="261">
        <v>2002</v>
      </c>
      <c r="B265" s="266"/>
      <c r="C265" s="266"/>
      <c r="D265" s="266"/>
      <c r="E265" s="266"/>
      <c r="F265" s="266"/>
      <c r="G265" s="266"/>
      <c r="H265" s="266"/>
      <c r="I265" s="266"/>
      <c r="J265" s="266"/>
      <c r="K265" s="266"/>
      <c r="L265" s="266"/>
      <c r="M265" s="266"/>
      <c r="N265" s="266"/>
      <c r="O265" s="266"/>
      <c r="P265" s="266"/>
      <c r="Q265" s="266"/>
    </row>
    <row r="266" spans="1:18" s="263" customFormat="1" ht="9" customHeight="1" x14ac:dyDescent="0.25">
      <c r="A266" s="264" t="s">
        <v>21</v>
      </c>
      <c r="B266" s="262">
        <f>SUM(B268:B299)</f>
        <v>143565</v>
      </c>
      <c r="C266" s="262"/>
      <c r="D266" s="262">
        <f>SUM(D268:D299)</f>
        <v>122166</v>
      </c>
      <c r="E266" s="288" t="s">
        <v>238</v>
      </c>
      <c r="F266" s="262">
        <f>SUM(F268:F299)</f>
        <v>37256</v>
      </c>
      <c r="G266" s="262"/>
      <c r="H266" s="262">
        <f>SUM(G268:H299)</f>
        <v>55053</v>
      </c>
      <c r="I266" s="262"/>
      <c r="J266" s="262">
        <f t="shared" ref="J266:Q266" si="29">SUM(J268:J299)</f>
        <v>6516</v>
      </c>
      <c r="K266" s="262">
        <f t="shared" si="29"/>
        <v>6728</v>
      </c>
      <c r="L266" s="262">
        <f t="shared" si="29"/>
        <v>9077</v>
      </c>
      <c r="M266" s="262">
        <f t="shared" si="29"/>
        <v>32683</v>
      </c>
      <c r="N266" s="262">
        <f t="shared" si="29"/>
        <v>13033</v>
      </c>
      <c r="O266" s="262"/>
      <c r="P266" s="262">
        <f t="shared" si="29"/>
        <v>16824</v>
      </c>
      <c r="Q266" s="262">
        <f t="shared" si="29"/>
        <v>21399</v>
      </c>
    </row>
    <row r="267" spans="1:18" s="263" customFormat="1" ht="3.95" customHeight="1" x14ac:dyDescent="0.25">
      <c r="A267" s="264"/>
      <c r="B267" s="262"/>
      <c r="C267" s="262"/>
      <c r="D267" s="282"/>
      <c r="E267" s="282"/>
      <c r="F267" s="262"/>
      <c r="G267" s="262"/>
      <c r="H267" s="262"/>
      <c r="I267" s="262"/>
      <c r="J267" s="262"/>
      <c r="K267" s="262"/>
      <c r="L267" s="262"/>
      <c r="M267" s="262"/>
      <c r="N267" s="262"/>
      <c r="O267" s="262"/>
      <c r="P267" s="262"/>
      <c r="Q267" s="262"/>
    </row>
    <row r="268" spans="1:18" s="263" customFormat="1" ht="9" customHeight="1" x14ac:dyDescent="0.25">
      <c r="A268" s="263" t="s">
        <v>23</v>
      </c>
      <c r="B268" s="266">
        <f t="shared" ref="B268:B299" si="30">SUM(D268+Q268)</f>
        <v>1782</v>
      </c>
      <c r="C268" s="266"/>
      <c r="D268" s="283">
        <f>SUM(F268+H268+P268+N268)</f>
        <v>1528</v>
      </c>
      <c r="E268" s="283"/>
      <c r="F268" s="266">
        <v>425</v>
      </c>
      <c r="G268" s="266"/>
      <c r="H268" s="266">
        <f t="shared" ref="H268:H299" si="31">SUM(J268:M268)</f>
        <v>849</v>
      </c>
      <c r="I268" s="266"/>
      <c r="J268" s="266">
        <v>87</v>
      </c>
      <c r="K268" s="266">
        <v>142</v>
      </c>
      <c r="L268" s="266">
        <v>139</v>
      </c>
      <c r="M268" s="266">
        <v>481</v>
      </c>
      <c r="N268" s="266">
        <v>126</v>
      </c>
      <c r="O268" s="266"/>
      <c r="P268" s="266">
        <v>128</v>
      </c>
      <c r="Q268" s="266">
        <v>254</v>
      </c>
    </row>
    <row r="269" spans="1:18" s="263" customFormat="1" ht="9" customHeight="1" x14ac:dyDescent="0.25">
      <c r="A269" s="263" t="s">
        <v>24</v>
      </c>
      <c r="B269" s="266">
        <f t="shared" si="30"/>
        <v>3305</v>
      </c>
      <c r="C269" s="266"/>
      <c r="D269" s="283">
        <f>SUM(F269+H269+P269+N269)</f>
        <v>2757</v>
      </c>
      <c r="E269" s="283"/>
      <c r="F269" s="266">
        <v>908</v>
      </c>
      <c r="G269" s="266"/>
      <c r="H269" s="266">
        <f t="shared" si="31"/>
        <v>1507</v>
      </c>
      <c r="I269" s="266"/>
      <c r="J269" s="266">
        <v>186</v>
      </c>
      <c r="K269" s="266">
        <v>205</v>
      </c>
      <c r="L269" s="266">
        <v>227</v>
      </c>
      <c r="M269" s="266">
        <v>889</v>
      </c>
      <c r="N269" s="266">
        <v>130</v>
      </c>
      <c r="O269" s="266"/>
      <c r="P269" s="266">
        <v>212</v>
      </c>
      <c r="Q269" s="266">
        <v>548</v>
      </c>
    </row>
    <row r="270" spans="1:18" s="263" customFormat="1" ht="9" customHeight="1" x14ac:dyDescent="0.25">
      <c r="A270" s="263" t="s">
        <v>25</v>
      </c>
      <c r="B270" s="266">
        <f t="shared" si="30"/>
        <v>1112</v>
      </c>
      <c r="C270" s="266"/>
      <c r="D270" s="283">
        <f>SUM(F270+H270+P270+N270)</f>
        <v>935</v>
      </c>
      <c r="E270" s="283"/>
      <c r="F270" s="266">
        <v>299</v>
      </c>
      <c r="G270" s="266"/>
      <c r="H270" s="266">
        <f t="shared" si="31"/>
        <v>476</v>
      </c>
      <c r="I270" s="266"/>
      <c r="J270" s="266">
        <v>55</v>
      </c>
      <c r="K270" s="266">
        <v>51</v>
      </c>
      <c r="L270" s="266">
        <v>64</v>
      </c>
      <c r="M270" s="266">
        <v>306</v>
      </c>
      <c r="N270" s="266">
        <v>59</v>
      </c>
      <c r="O270" s="266"/>
      <c r="P270" s="266">
        <v>101</v>
      </c>
      <c r="Q270" s="266">
        <v>177</v>
      </c>
    </row>
    <row r="271" spans="1:18" s="263" customFormat="1" ht="9" customHeight="1" x14ac:dyDescent="0.25">
      <c r="A271" s="267" t="s">
        <v>26</v>
      </c>
      <c r="B271" s="268">
        <f t="shared" si="30"/>
        <v>1340</v>
      </c>
      <c r="C271" s="268"/>
      <c r="D271" s="284">
        <f>SUM(F271+H271+P271+N271)</f>
        <v>1205</v>
      </c>
      <c r="E271" s="284"/>
      <c r="F271" s="268">
        <v>482</v>
      </c>
      <c r="G271" s="268"/>
      <c r="H271" s="268">
        <f t="shared" si="31"/>
        <v>496</v>
      </c>
      <c r="I271" s="268"/>
      <c r="J271" s="268">
        <v>68</v>
      </c>
      <c r="K271" s="268">
        <v>59</v>
      </c>
      <c r="L271" s="268">
        <v>83</v>
      </c>
      <c r="M271" s="268">
        <v>286</v>
      </c>
      <c r="N271" s="268">
        <v>41</v>
      </c>
      <c r="O271" s="268"/>
      <c r="P271" s="268">
        <v>186</v>
      </c>
      <c r="Q271" s="268">
        <v>135</v>
      </c>
    </row>
    <row r="272" spans="1:18" s="263" customFormat="1" ht="9" customHeight="1" x14ac:dyDescent="0.25">
      <c r="A272" s="263" t="s">
        <v>27</v>
      </c>
      <c r="B272" s="266">
        <f t="shared" si="30"/>
        <v>3738</v>
      </c>
      <c r="C272" s="266"/>
      <c r="D272" s="283">
        <f>SUM(F272+H272+P272+N272)</f>
        <v>2980</v>
      </c>
      <c r="E272" s="283"/>
      <c r="F272" s="266">
        <v>979</v>
      </c>
      <c r="G272" s="266"/>
      <c r="H272" s="289">
        <f>SUM(J272:M272)+49</f>
        <v>1524</v>
      </c>
      <c r="I272" s="287" t="s">
        <v>55</v>
      </c>
      <c r="J272" s="266">
        <v>193</v>
      </c>
      <c r="K272" s="266">
        <v>188</v>
      </c>
      <c r="L272" s="266">
        <v>218</v>
      </c>
      <c r="M272" s="266">
        <v>876</v>
      </c>
      <c r="N272" s="266">
        <v>239</v>
      </c>
      <c r="O272" s="266"/>
      <c r="P272" s="266">
        <v>238</v>
      </c>
      <c r="Q272" s="266">
        <v>758</v>
      </c>
    </row>
    <row r="273" spans="1:17" s="263" customFormat="1" ht="9" customHeight="1" x14ac:dyDescent="0.25">
      <c r="A273" s="263" t="s">
        <v>28</v>
      </c>
      <c r="B273" s="266">
        <f t="shared" si="30"/>
        <v>1071</v>
      </c>
      <c r="C273" s="266"/>
      <c r="D273" s="283">
        <f t="shared" ref="D273:D299" si="32">SUM(F273+H273+P273+N273)</f>
        <v>910</v>
      </c>
      <c r="E273" s="283"/>
      <c r="F273" s="266">
        <v>260</v>
      </c>
      <c r="G273" s="266"/>
      <c r="H273" s="266">
        <f t="shared" si="31"/>
        <v>438</v>
      </c>
      <c r="I273" s="266"/>
      <c r="J273" s="266">
        <v>62</v>
      </c>
      <c r="K273" s="266">
        <v>57</v>
      </c>
      <c r="L273" s="266">
        <v>48</v>
      </c>
      <c r="M273" s="266">
        <v>271</v>
      </c>
      <c r="N273" s="266">
        <v>50</v>
      </c>
      <c r="O273" s="266"/>
      <c r="P273" s="266">
        <v>162</v>
      </c>
      <c r="Q273" s="266">
        <v>161</v>
      </c>
    </row>
    <row r="274" spans="1:17" s="263" customFormat="1" ht="9.6" customHeight="1" x14ac:dyDescent="0.25">
      <c r="A274" s="263" t="s">
        <v>29</v>
      </c>
      <c r="B274" s="266">
        <f t="shared" si="30"/>
        <v>3970</v>
      </c>
      <c r="C274" s="266"/>
      <c r="D274" s="283">
        <f t="shared" si="32"/>
        <v>3676</v>
      </c>
      <c r="E274" s="283"/>
      <c r="F274" s="266">
        <v>1265</v>
      </c>
      <c r="G274" s="266"/>
      <c r="H274" s="266">
        <f t="shared" si="31"/>
        <v>1398</v>
      </c>
      <c r="J274" s="266">
        <v>151</v>
      </c>
      <c r="K274" s="266">
        <v>133</v>
      </c>
      <c r="L274" s="266">
        <v>280</v>
      </c>
      <c r="M274" s="266">
        <v>834</v>
      </c>
      <c r="N274" s="266">
        <v>65</v>
      </c>
      <c r="O274" s="266"/>
      <c r="P274" s="266">
        <v>948</v>
      </c>
      <c r="Q274" s="266">
        <v>294</v>
      </c>
    </row>
    <row r="275" spans="1:17" s="263" customFormat="1" ht="9" customHeight="1" x14ac:dyDescent="0.25">
      <c r="A275" s="267" t="s">
        <v>30</v>
      </c>
      <c r="B275" s="268">
        <f t="shared" si="30"/>
        <v>3742</v>
      </c>
      <c r="C275" s="268"/>
      <c r="D275" s="284">
        <f t="shared" si="32"/>
        <v>3100</v>
      </c>
      <c r="E275" s="284"/>
      <c r="F275" s="268">
        <v>1172</v>
      </c>
      <c r="G275" s="268"/>
      <c r="H275" s="268">
        <f t="shared" si="31"/>
        <v>1438</v>
      </c>
      <c r="I275" s="268"/>
      <c r="J275" s="268">
        <v>191</v>
      </c>
      <c r="K275" s="268">
        <v>174</v>
      </c>
      <c r="L275" s="268">
        <v>209</v>
      </c>
      <c r="M275" s="268">
        <v>864</v>
      </c>
      <c r="N275" s="268">
        <v>137</v>
      </c>
      <c r="O275" s="268"/>
      <c r="P275" s="268">
        <v>353</v>
      </c>
      <c r="Q275" s="268">
        <v>642</v>
      </c>
    </row>
    <row r="276" spans="1:17" s="263" customFormat="1" ht="9" customHeight="1" x14ac:dyDescent="0.25">
      <c r="A276" s="263" t="s">
        <v>63</v>
      </c>
      <c r="B276" s="266">
        <f t="shared" si="30"/>
        <v>29500</v>
      </c>
      <c r="C276" s="266"/>
      <c r="D276" s="283">
        <f t="shared" si="32"/>
        <v>24351</v>
      </c>
      <c r="E276" s="283"/>
      <c r="F276" s="266">
        <v>5004</v>
      </c>
      <c r="G276" s="266"/>
      <c r="H276" s="266">
        <f t="shared" si="31"/>
        <v>12563</v>
      </c>
      <c r="I276" s="266"/>
      <c r="J276" s="266">
        <v>1178</v>
      </c>
      <c r="K276" s="266">
        <v>1481</v>
      </c>
      <c r="L276" s="266">
        <v>1640</v>
      </c>
      <c r="M276" s="266">
        <v>8264</v>
      </c>
      <c r="N276" s="266">
        <v>5892</v>
      </c>
      <c r="O276" s="266"/>
      <c r="P276" s="266">
        <v>892</v>
      </c>
      <c r="Q276" s="266">
        <v>5149</v>
      </c>
    </row>
    <row r="277" spans="1:17" s="263" customFormat="1" ht="9" customHeight="1" x14ac:dyDescent="0.25">
      <c r="A277" s="263" t="s">
        <v>31</v>
      </c>
      <c r="B277" s="266">
        <f t="shared" si="30"/>
        <v>2517</v>
      </c>
      <c r="C277" s="266"/>
      <c r="D277" s="283">
        <f t="shared" si="32"/>
        <v>2120</v>
      </c>
      <c r="E277" s="283"/>
      <c r="F277" s="266">
        <v>684</v>
      </c>
      <c r="G277" s="266"/>
      <c r="H277" s="266">
        <f t="shared" si="31"/>
        <v>889</v>
      </c>
      <c r="I277" s="266"/>
      <c r="J277" s="266">
        <v>111</v>
      </c>
      <c r="K277" s="266">
        <v>119</v>
      </c>
      <c r="L277" s="266">
        <v>137</v>
      </c>
      <c r="M277" s="266">
        <v>522</v>
      </c>
      <c r="N277" s="266">
        <v>115</v>
      </c>
      <c r="O277" s="266"/>
      <c r="P277" s="266">
        <v>432</v>
      </c>
      <c r="Q277" s="266">
        <v>397</v>
      </c>
    </row>
    <row r="278" spans="1:17" s="263" customFormat="1" ht="9" customHeight="1" x14ac:dyDescent="0.25">
      <c r="A278" s="263" t="s">
        <v>32</v>
      </c>
      <c r="B278" s="266">
        <f t="shared" si="30"/>
        <v>4878</v>
      </c>
      <c r="C278" s="266"/>
      <c r="D278" s="283">
        <f t="shared" si="32"/>
        <v>4071</v>
      </c>
      <c r="E278" s="283"/>
      <c r="F278" s="266">
        <v>1433</v>
      </c>
      <c r="G278" s="266"/>
      <c r="H278" s="266">
        <f t="shared" si="31"/>
        <v>1623</v>
      </c>
      <c r="I278" s="266"/>
      <c r="J278" s="266">
        <v>213</v>
      </c>
      <c r="K278" s="266">
        <v>183</v>
      </c>
      <c r="L278" s="266">
        <v>282</v>
      </c>
      <c r="M278" s="266">
        <v>945</v>
      </c>
      <c r="N278" s="266">
        <v>316</v>
      </c>
      <c r="O278" s="266"/>
      <c r="P278" s="266">
        <v>699</v>
      </c>
      <c r="Q278" s="266">
        <v>807</v>
      </c>
    </row>
    <row r="279" spans="1:17" s="263" customFormat="1" ht="9" customHeight="1" x14ac:dyDescent="0.25">
      <c r="A279" s="267" t="s">
        <v>33</v>
      </c>
      <c r="B279" s="268">
        <f t="shared" si="30"/>
        <v>3719</v>
      </c>
      <c r="C279" s="268"/>
      <c r="D279" s="284">
        <f t="shared" si="32"/>
        <v>3382</v>
      </c>
      <c r="E279" s="284"/>
      <c r="F279" s="268">
        <v>1472</v>
      </c>
      <c r="G279" s="268"/>
      <c r="H279" s="268">
        <f t="shared" si="31"/>
        <v>1189</v>
      </c>
      <c r="I279" s="268"/>
      <c r="J279" s="268">
        <v>165</v>
      </c>
      <c r="K279" s="268">
        <v>141</v>
      </c>
      <c r="L279" s="268">
        <v>244</v>
      </c>
      <c r="M279" s="268">
        <v>639</v>
      </c>
      <c r="N279" s="268">
        <v>50</v>
      </c>
      <c r="O279" s="268"/>
      <c r="P279" s="268">
        <v>671</v>
      </c>
      <c r="Q279" s="268">
        <v>337</v>
      </c>
    </row>
    <row r="280" spans="1:17" s="263" customFormat="1" ht="9" customHeight="1" x14ac:dyDescent="0.25">
      <c r="A280" s="263" t="s">
        <v>34</v>
      </c>
      <c r="B280" s="266">
        <f t="shared" si="30"/>
        <v>2839</v>
      </c>
      <c r="C280" s="266"/>
      <c r="D280" s="283">
        <f t="shared" si="32"/>
        <v>2437</v>
      </c>
      <c r="E280" s="283"/>
      <c r="F280" s="266">
        <v>799</v>
      </c>
      <c r="G280" s="266"/>
      <c r="H280" s="266">
        <f t="shared" si="31"/>
        <v>917</v>
      </c>
      <c r="I280" s="266"/>
      <c r="J280" s="266">
        <v>118</v>
      </c>
      <c r="K280" s="266">
        <v>96</v>
      </c>
      <c r="L280" s="266">
        <v>179</v>
      </c>
      <c r="M280" s="266">
        <v>524</v>
      </c>
      <c r="N280" s="266">
        <v>81</v>
      </c>
      <c r="O280" s="266"/>
      <c r="P280" s="266">
        <v>640</v>
      </c>
      <c r="Q280" s="266">
        <v>402</v>
      </c>
    </row>
    <row r="281" spans="1:17" s="263" customFormat="1" ht="9" customHeight="1" x14ac:dyDescent="0.25">
      <c r="A281" s="263" t="s">
        <v>35</v>
      </c>
      <c r="B281" s="266">
        <f t="shared" si="30"/>
        <v>9733</v>
      </c>
      <c r="C281" s="266"/>
      <c r="D281" s="283">
        <f t="shared" si="32"/>
        <v>8222</v>
      </c>
      <c r="E281" s="283"/>
      <c r="F281" s="266">
        <v>2189</v>
      </c>
      <c r="G281" s="266"/>
      <c r="H281" s="266">
        <f t="shared" si="31"/>
        <v>3401</v>
      </c>
      <c r="I281" s="266"/>
      <c r="J281" s="266">
        <v>463</v>
      </c>
      <c r="K281" s="266">
        <v>451</v>
      </c>
      <c r="L281" s="266">
        <v>477</v>
      </c>
      <c r="M281" s="266">
        <v>2010</v>
      </c>
      <c r="N281" s="266">
        <v>1437</v>
      </c>
      <c r="O281" s="266"/>
      <c r="P281" s="266">
        <v>1195</v>
      </c>
      <c r="Q281" s="266">
        <v>1511</v>
      </c>
    </row>
    <row r="282" spans="1:17" s="263" customFormat="1" ht="9" customHeight="1" x14ac:dyDescent="0.25">
      <c r="A282" s="263" t="s">
        <v>36</v>
      </c>
      <c r="B282" s="266">
        <f t="shared" si="30"/>
        <v>11835</v>
      </c>
      <c r="C282" s="266"/>
      <c r="D282" s="283">
        <f t="shared" si="32"/>
        <v>9840</v>
      </c>
      <c r="E282" s="283"/>
      <c r="F282" s="266">
        <v>3558</v>
      </c>
      <c r="G282" s="266"/>
      <c r="H282" s="266">
        <f t="shared" si="31"/>
        <v>4371</v>
      </c>
      <c r="I282" s="266"/>
      <c r="J282" s="266">
        <v>642</v>
      </c>
      <c r="K282" s="266">
        <v>590</v>
      </c>
      <c r="L282" s="266">
        <v>1076</v>
      </c>
      <c r="M282" s="266">
        <v>2063</v>
      </c>
      <c r="N282" s="266">
        <v>622</v>
      </c>
      <c r="O282" s="266"/>
      <c r="P282" s="266">
        <v>1289</v>
      </c>
      <c r="Q282" s="266">
        <v>1995</v>
      </c>
    </row>
    <row r="283" spans="1:17" s="263" customFormat="1" ht="9" customHeight="1" x14ac:dyDescent="0.25">
      <c r="A283" s="267" t="s">
        <v>37</v>
      </c>
      <c r="B283" s="268">
        <f t="shared" si="30"/>
        <v>4298</v>
      </c>
      <c r="C283" s="268"/>
      <c r="D283" s="284">
        <f t="shared" si="32"/>
        <v>3750</v>
      </c>
      <c r="E283" s="284"/>
      <c r="F283" s="268">
        <v>976</v>
      </c>
      <c r="G283" s="268"/>
      <c r="H283" s="268">
        <f t="shared" si="31"/>
        <v>1700</v>
      </c>
      <c r="I283" s="268"/>
      <c r="J283" s="268">
        <v>203</v>
      </c>
      <c r="K283" s="268">
        <v>160</v>
      </c>
      <c r="L283" s="268">
        <v>368</v>
      </c>
      <c r="M283" s="268">
        <v>969</v>
      </c>
      <c r="N283" s="268">
        <v>80</v>
      </c>
      <c r="O283" s="268"/>
      <c r="P283" s="268">
        <v>994</v>
      </c>
      <c r="Q283" s="268">
        <v>548</v>
      </c>
    </row>
    <row r="284" spans="1:17" s="263" customFormat="1" ht="9" customHeight="1" x14ac:dyDescent="0.25">
      <c r="A284" s="263" t="s">
        <v>38</v>
      </c>
      <c r="B284" s="266">
        <f t="shared" si="30"/>
        <v>1989</v>
      </c>
      <c r="C284" s="266"/>
      <c r="D284" s="283">
        <f t="shared" si="32"/>
        <v>1711</v>
      </c>
      <c r="E284" s="283"/>
      <c r="F284" s="266">
        <v>500</v>
      </c>
      <c r="G284" s="266"/>
      <c r="H284" s="266">
        <f t="shared" si="31"/>
        <v>895</v>
      </c>
      <c r="I284" s="266"/>
      <c r="J284" s="266">
        <v>113</v>
      </c>
      <c r="K284" s="266">
        <v>121</v>
      </c>
      <c r="L284" s="266">
        <v>134</v>
      </c>
      <c r="M284" s="266">
        <v>527</v>
      </c>
      <c r="N284" s="266">
        <v>72</v>
      </c>
      <c r="O284" s="266"/>
      <c r="P284" s="266">
        <v>244</v>
      </c>
      <c r="Q284" s="266">
        <v>278</v>
      </c>
    </row>
    <row r="285" spans="1:17" s="263" customFormat="1" ht="9" customHeight="1" x14ac:dyDescent="0.25">
      <c r="A285" s="263" t="s">
        <v>39</v>
      </c>
      <c r="B285" s="266">
        <f t="shared" si="30"/>
        <v>1521</v>
      </c>
      <c r="C285" s="266"/>
      <c r="D285" s="283">
        <f t="shared" si="32"/>
        <v>1331</v>
      </c>
      <c r="E285" s="283"/>
      <c r="F285" s="266">
        <v>402</v>
      </c>
      <c r="G285" s="266"/>
      <c r="H285" s="266">
        <f t="shared" si="31"/>
        <v>569</v>
      </c>
      <c r="I285" s="266"/>
      <c r="J285" s="266">
        <v>71</v>
      </c>
      <c r="K285" s="266">
        <v>60</v>
      </c>
      <c r="L285" s="266">
        <v>95</v>
      </c>
      <c r="M285" s="266">
        <v>343</v>
      </c>
      <c r="N285" s="266">
        <v>70</v>
      </c>
      <c r="O285" s="266"/>
      <c r="P285" s="266">
        <v>290</v>
      </c>
      <c r="Q285" s="266">
        <v>190</v>
      </c>
    </row>
    <row r="286" spans="1:17" s="263" customFormat="1" ht="9" customHeight="1" x14ac:dyDescent="0.25">
      <c r="A286" s="263" t="s">
        <v>40</v>
      </c>
      <c r="B286" s="266">
        <f t="shared" si="30"/>
        <v>5398</v>
      </c>
      <c r="C286" s="266"/>
      <c r="D286" s="283">
        <f t="shared" si="32"/>
        <v>4369</v>
      </c>
      <c r="E286" s="283"/>
      <c r="F286" s="266">
        <v>1355</v>
      </c>
      <c r="G286" s="266"/>
      <c r="H286" s="266">
        <f t="shared" si="31"/>
        <v>1918</v>
      </c>
      <c r="I286" s="266"/>
      <c r="J286" s="266">
        <v>240</v>
      </c>
      <c r="K286" s="266">
        <v>260</v>
      </c>
      <c r="L286" s="266">
        <v>343</v>
      </c>
      <c r="M286" s="266">
        <v>1075</v>
      </c>
      <c r="N286" s="266">
        <v>681</v>
      </c>
      <c r="O286" s="266"/>
      <c r="P286" s="266">
        <v>415</v>
      </c>
      <c r="Q286" s="266">
        <v>1029</v>
      </c>
    </row>
    <row r="287" spans="1:17" s="263" customFormat="1" ht="9" customHeight="1" x14ac:dyDescent="0.25">
      <c r="A287" s="267" t="s">
        <v>41</v>
      </c>
      <c r="B287" s="268">
        <f t="shared" si="30"/>
        <v>3508</v>
      </c>
      <c r="C287" s="268"/>
      <c r="D287" s="284">
        <f t="shared" si="32"/>
        <v>3225</v>
      </c>
      <c r="E287" s="284"/>
      <c r="F287" s="268">
        <v>954</v>
      </c>
      <c r="G287" s="268"/>
      <c r="H287" s="268">
        <f t="shared" si="31"/>
        <v>1134</v>
      </c>
      <c r="I287" s="268"/>
      <c r="J287" s="268">
        <v>110</v>
      </c>
      <c r="K287" s="268">
        <v>107</v>
      </c>
      <c r="L287" s="268">
        <v>228</v>
      </c>
      <c r="M287" s="268">
        <v>689</v>
      </c>
      <c r="N287" s="268">
        <v>93</v>
      </c>
      <c r="O287" s="268"/>
      <c r="P287" s="268">
        <v>1044</v>
      </c>
      <c r="Q287" s="268">
        <v>283</v>
      </c>
    </row>
    <row r="288" spans="1:17" s="263" customFormat="1" ht="9.6" customHeight="1" x14ac:dyDescent="0.25">
      <c r="A288" s="263" t="s">
        <v>42</v>
      </c>
      <c r="B288" s="266">
        <f t="shared" si="30"/>
        <v>5559</v>
      </c>
      <c r="C288" s="266"/>
      <c r="D288" s="283">
        <f t="shared" si="32"/>
        <v>4845</v>
      </c>
      <c r="E288" s="283"/>
      <c r="F288" s="266">
        <v>1395</v>
      </c>
      <c r="G288" s="266"/>
      <c r="H288" s="266">
        <f t="shared" si="31"/>
        <v>1887</v>
      </c>
      <c r="I288" s="290"/>
      <c r="J288" s="266">
        <v>161</v>
      </c>
      <c r="K288" s="266">
        <v>244</v>
      </c>
      <c r="L288" s="266">
        <v>439</v>
      </c>
      <c r="M288" s="266">
        <v>1043</v>
      </c>
      <c r="N288" s="266">
        <v>582</v>
      </c>
      <c r="O288" s="266"/>
      <c r="P288" s="266">
        <v>981</v>
      </c>
      <c r="Q288" s="266">
        <v>714</v>
      </c>
    </row>
    <row r="289" spans="1:17" s="263" customFormat="1" ht="9" customHeight="1" x14ac:dyDescent="0.25">
      <c r="A289" s="263" t="s">
        <v>43</v>
      </c>
      <c r="B289" s="266">
        <f t="shared" si="30"/>
        <v>1917</v>
      </c>
      <c r="C289" s="266"/>
      <c r="D289" s="283">
        <f t="shared" si="32"/>
        <v>1653</v>
      </c>
      <c r="E289" s="283"/>
      <c r="F289" s="266">
        <v>524</v>
      </c>
      <c r="G289" s="266"/>
      <c r="H289" s="266">
        <f t="shared" si="31"/>
        <v>753</v>
      </c>
      <c r="I289" s="266"/>
      <c r="J289" s="266">
        <v>122</v>
      </c>
      <c r="K289" s="266">
        <v>120</v>
      </c>
      <c r="L289" s="266">
        <v>131</v>
      </c>
      <c r="M289" s="266">
        <v>380</v>
      </c>
      <c r="N289" s="266">
        <v>99</v>
      </c>
      <c r="O289" s="266"/>
      <c r="P289" s="266">
        <v>277</v>
      </c>
      <c r="Q289" s="266">
        <v>264</v>
      </c>
    </row>
    <row r="290" spans="1:17" s="263" customFormat="1" ht="9" customHeight="1" x14ac:dyDescent="0.25">
      <c r="A290" s="263" t="s">
        <v>44</v>
      </c>
      <c r="B290" s="266">
        <f t="shared" si="30"/>
        <v>1349</v>
      </c>
      <c r="C290" s="266"/>
      <c r="D290" s="283">
        <f t="shared" si="32"/>
        <v>1160</v>
      </c>
      <c r="E290" s="283"/>
      <c r="F290" s="266">
        <v>469</v>
      </c>
      <c r="G290" s="266"/>
      <c r="H290" s="266">
        <f t="shared" si="31"/>
        <v>529</v>
      </c>
      <c r="I290" s="266"/>
      <c r="J290" s="266">
        <v>74</v>
      </c>
      <c r="K290" s="266">
        <v>81</v>
      </c>
      <c r="L290" s="266">
        <v>79</v>
      </c>
      <c r="M290" s="266">
        <v>295</v>
      </c>
      <c r="N290" s="266">
        <v>49</v>
      </c>
      <c r="O290" s="266"/>
      <c r="P290" s="266">
        <v>113</v>
      </c>
      <c r="Q290" s="266">
        <v>189</v>
      </c>
    </row>
    <row r="291" spans="1:17" s="263" customFormat="1" ht="9" customHeight="1" x14ac:dyDescent="0.25">
      <c r="A291" s="267" t="s">
        <v>45</v>
      </c>
      <c r="B291" s="268">
        <f t="shared" si="30"/>
        <v>2586</v>
      </c>
      <c r="C291" s="268"/>
      <c r="D291" s="284">
        <f t="shared" si="32"/>
        <v>2274</v>
      </c>
      <c r="E291" s="284"/>
      <c r="F291" s="268">
        <v>649</v>
      </c>
      <c r="G291" s="268"/>
      <c r="H291" s="268">
        <f t="shared" si="31"/>
        <v>985</v>
      </c>
      <c r="I291" s="268"/>
      <c r="J291" s="268">
        <v>122</v>
      </c>
      <c r="K291" s="268">
        <v>121</v>
      </c>
      <c r="L291" s="268">
        <v>207</v>
      </c>
      <c r="M291" s="268">
        <v>535</v>
      </c>
      <c r="N291" s="268">
        <v>159</v>
      </c>
      <c r="O291" s="268"/>
      <c r="P291" s="268">
        <v>481</v>
      </c>
      <c r="Q291" s="268">
        <v>312</v>
      </c>
    </row>
    <row r="292" spans="1:17" s="263" customFormat="1" ht="9" customHeight="1" x14ac:dyDescent="0.25">
      <c r="A292" s="263" t="s">
        <v>46</v>
      </c>
      <c r="B292" s="266">
        <f t="shared" si="30"/>
        <v>3658</v>
      </c>
      <c r="C292" s="266"/>
      <c r="D292" s="283">
        <f t="shared" si="32"/>
        <v>3112</v>
      </c>
      <c r="E292" s="283"/>
      <c r="F292" s="266">
        <v>1122</v>
      </c>
      <c r="G292" s="266"/>
      <c r="H292" s="266">
        <f t="shared" si="31"/>
        <v>1417</v>
      </c>
      <c r="I292" s="266"/>
      <c r="J292" s="266">
        <v>181</v>
      </c>
      <c r="K292" s="266">
        <v>150</v>
      </c>
      <c r="L292" s="266">
        <v>181</v>
      </c>
      <c r="M292" s="266">
        <v>905</v>
      </c>
      <c r="N292" s="266">
        <v>141</v>
      </c>
      <c r="O292" s="266"/>
      <c r="P292" s="266">
        <v>432</v>
      </c>
      <c r="Q292" s="266">
        <v>546</v>
      </c>
    </row>
    <row r="293" spans="1:17" s="263" customFormat="1" ht="9" customHeight="1" x14ac:dyDescent="0.25">
      <c r="A293" s="263" t="s">
        <v>47</v>
      </c>
      <c r="B293" s="266">
        <f t="shared" si="30"/>
        <v>3923</v>
      </c>
      <c r="C293" s="266"/>
      <c r="D293" s="283">
        <f t="shared" si="32"/>
        <v>3308</v>
      </c>
      <c r="E293" s="283"/>
      <c r="F293" s="266">
        <v>987</v>
      </c>
      <c r="G293" s="266"/>
      <c r="H293" s="266">
        <f t="shared" si="31"/>
        <v>1625</v>
      </c>
      <c r="I293" s="266"/>
      <c r="J293" s="266">
        <v>195</v>
      </c>
      <c r="K293" s="266">
        <v>193</v>
      </c>
      <c r="L293" s="266">
        <v>156</v>
      </c>
      <c r="M293" s="266">
        <v>1081</v>
      </c>
      <c r="N293" s="266">
        <v>395</v>
      </c>
      <c r="O293" s="266"/>
      <c r="P293" s="266">
        <v>301</v>
      </c>
      <c r="Q293" s="266">
        <v>615</v>
      </c>
    </row>
    <row r="294" spans="1:17" s="263" customFormat="1" ht="9.6" customHeight="1" x14ac:dyDescent="0.25">
      <c r="A294" s="263" t="s">
        <v>48</v>
      </c>
      <c r="B294" s="266">
        <f t="shared" si="30"/>
        <v>3508</v>
      </c>
      <c r="C294" s="266"/>
      <c r="D294" s="283">
        <f t="shared" si="32"/>
        <v>3183</v>
      </c>
      <c r="E294" s="283"/>
      <c r="F294" s="266">
        <v>1231</v>
      </c>
      <c r="G294" s="266"/>
      <c r="H294" s="266">
        <f t="shared" si="31"/>
        <v>1396</v>
      </c>
      <c r="I294" s="290"/>
      <c r="J294" s="266">
        <v>135</v>
      </c>
      <c r="K294" s="266">
        <v>127</v>
      </c>
      <c r="L294" s="266">
        <v>328</v>
      </c>
      <c r="M294" s="266">
        <v>806</v>
      </c>
      <c r="N294" s="266">
        <v>159</v>
      </c>
      <c r="O294" s="266"/>
      <c r="P294" s="266">
        <v>397</v>
      </c>
      <c r="Q294" s="266">
        <v>325</v>
      </c>
    </row>
    <row r="295" spans="1:17" s="263" customFormat="1" ht="9" customHeight="1" x14ac:dyDescent="0.25">
      <c r="A295" s="267" t="s">
        <v>49</v>
      </c>
      <c r="B295" s="268">
        <f t="shared" si="30"/>
        <v>4639</v>
      </c>
      <c r="C295" s="268"/>
      <c r="D295" s="284">
        <f t="shared" si="32"/>
        <v>4006</v>
      </c>
      <c r="E295" s="284"/>
      <c r="F295" s="268">
        <v>1198</v>
      </c>
      <c r="G295" s="268"/>
      <c r="H295" s="268">
        <f t="shared" si="31"/>
        <v>1996</v>
      </c>
      <c r="I295" s="268"/>
      <c r="J295" s="268">
        <v>263</v>
      </c>
      <c r="K295" s="268">
        <v>263</v>
      </c>
      <c r="L295" s="268">
        <v>204</v>
      </c>
      <c r="M295" s="268">
        <v>1266</v>
      </c>
      <c r="N295" s="268">
        <v>181</v>
      </c>
      <c r="O295" s="268"/>
      <c r="P295" s="268">
        <v>631</v>
      </c>
      <c r="Q295" s="268">
        <v>633</v>
      </c>
    </row>
    <row r="296" spans="1:17" s="263" customFormat="1" ht="9" customHeight="1" x14ac:dyDescent="0.25">
      <c r="A296" s="263" t="s">
        <v>50</v>
      </c>
      <c r="B296" s="266">
        <f t="shared" si="30"/>
        <v>1374</v>
      </c>
      <c r="C296" s="266"/>
      <c r="D296" s="283">
        <f t="shared" si="32"/>
        <v>1189</v>
      </c>
      <c r="E296" s="283"/>
      <c r="F296" s="266">
        <v>515</v>
      </c>
      <c r="G296" s="266"/>
      <c r="H296" s="266">
        <f t="shared" si="31"/>
        <v>447</v>
      </c>
      <c r="I296" s="266"/>
      <c r="J296" s="266">
        <v>58</v>
      </c>
      <c r="K296" s="266">
        <v>61</v>
      </c>
      <c r="L296" s="266">
        <v>98</v>
      </c>
      <c r="M296" s="266">
        <v>230</v>
      </c>
      <c r="N296" s="266">
        <v>31</v>
      </c>
      <c r="O296" s="266"/>
      <c r="P296" s="266">
        <v>196</v>
      </c>
      <c r="Q296" s="266">
        <v>185</v>
      </c>
    </row>
    <row r="297" spans="1:17" s="263" customFormat="1" ht="9" customHeight="1" x14ac:dyDescent="0.25">
      <c r="A297" s="263" t="s">
        <v>51</v>
      </c>
      <c r="B297" s="266">
        <f t="shared" si="30"/>
        <v>9053</v>
      </c>
      <c r="C297" s="266"/>
      <c r="D297" s="283">
        <f t="shared" si="32"/>
        <v>7890</v>
      </c>
      <c r="E297" s="283"/>
      <c r="F297" s="266">
        <v>3022</v>
      </c>
      <c r="G297" s="266"/>
      <c r="H297" s="266">
        <f t="shared" si="31"/>
        <v>3126</v>
      </c>
      <c r="I297" s="266"/>
      <c r="J297" s="266">
        <v>380</v>
      </c>
      <c r="K297" s="266">
        <v>381</v>
      </c>
      <c r="L297" s="266">
        <v>542</v>
      </c>
      <c r="M297" s="266">
        <v>1823</v>
      </c>
      <c r="N297" s="266">
        <v>553</v>
      </c>
      <c r="O297" s="266"/>
      <c r="P297" s="266">
        <v>1189</v>
      </c>
      <c r="Q297" s="266">
        <v>1163</v>
      </c>
    </row>
    <row r="298" spans="1:17" s="263" customFormat="1" ht="9" customHeight="1" x14ac:dyDescent="0.25">
      <c r="A298" s="263" t="s">
        <v>52</v>
      </c>
      <c r="B298" s="266">
        <f t="shared" si="30"/>
        <v>2450</v>
      </c>
      <c r="C298" s="266"/>
      <c r="D298" s="283">
        <f t="shared" si="32"/>
        <v>2074</v>
      </c>
      <c r="E298" s="283"/>
      <c r="F298" s="266">
        <v>550</v>
      </c>
      <c r="G298" s="266"/>
      <c r="H298" s="266">
        <f t="shared" si="31"/>
        <v>956</v>
      </c>
      <c r="I298" s="266"/>
      <c r="J298" s="266">
        <v>119</v>
      </c>
      <c r="K298" s="266">
        <v>137</v>
      </c>
      <c r="L298" s="266">
        <v>135</v>
      </c>
      <c r="M298" s="266">
        <v>565</v>
      </c>
      <c r="N298" s="266">
        <v>261</v>
      </c>
      <c r="O298" s="266"/>
      <c r="P298" s="266">
        <v>307</v>
      </c>
      <c r="Q298" s="266">
        <v>376</v>
      </c>
    </row>
    <row r="299" spans="1:17" s="263" customFormat="1" ht="9" customHeight="1" x14ac:dyDescent="0.25">
      <c r="A299" s="267" t="s">
        <v>53</v>
      </c>
      <c r="B299" s="268">
        <f t="shared" si="30"/>
        <v>1754</v>
      </c>
      <c r="C299" s="268"/>
      <c r="D299" s="284">
        <f t="shared" si="32"/>
        <v>1572</v>
      </c>
      <c r="E299" s="284"/>
      <c r="F299" s="268">
        <v>478</v>
      </c>
      <c r="G299" s="268"/>
      <c r="H299" s="268">
        <f t="shared" si="31"/>
        <v>641</v>
      </c>
      <c r="I299" s="268"/>
      <c r="J299" s="268">
        <v>86</v>
      </c>
      <c r="K299" s="268">
        <v>72</v>
      </c>
      <c r="L299" s="268">
        <v>106</v>
      </c>
      <c r="M299" s="268">
        <v>377</v>
      </c>
      <c r="N299" s="268">
        <v>67</v>
      </c>
      <c r="O299" s="268"/>
      <c r="P299" s="268">
        <v>386</v>
      </c>
      <c r="Q299" s="268">
        <v>182</v>
      </c>
    </row>
    <row r="300" spans="1:17" s="263" customFormat="1" ht="9" customHeight="1" x14ac:dyDescent="0.25">
      <c r="B300" s="266"/>
      <c r="C300" s="266"/>
      <c r="D300" s="283"/>
      <c r="E300" s="283"/>
      <c r="F300" s="266"/>
      <c r="G300" s="266"/>
      <c r="H300" s="266"/>
      <c r="I300" s="266"/>
      <c r="J300" s="266"/>
      <c r="K300" s="266"/>
      <c r="L300" s="266"/>
      <c r="M300" s="266"/>
      <c r="N300" s="266"/>
      <c r="O300" s="266"/>
      <c r="P300" s="266"/>
      <c r="Q300" s="266"/>
    </row>
    <row r="301" spans="1:17" s="263" customFormat="1" ht="9" customHeight="1" x14ac:dyDescent="0.25">
      <c r="A301" s="261">
        <v>2003</v>
      </c>
      <c r="B301" s="266"/>
      <c r="C301" s="266"/>
      <c r="D301" s="266"/>
      <c r="E301" s="266"/>
      <c r="F301" s="271"/>
      <c r="G301" s="266"/>
      <c r="H301" s="266"/>
      <c r="I301" s="266"/>
      <c r="J301" s="271"/>
      <c r="K301" s="271"/>
      <c r="L301" s="271"/>
      <c r="M301" s="266"/>
      <c r="N301" s="266"/>
      <c r="O301" s="266"/>
      <c r="P301" s="266"/>
      <c r="Q301" s="271"/>
    </row>
    <row r="302" spans="1:17" s="263" customFormat="1" ht="9" customHeight="1" x14ac:dyDescent="0.25">
      <c r="A302" s="264" t="s">
        <v>21</v>
      </c>
      <c r="B302" s="262">
        <f>SUM(B304:B335)</f>
        <v>153605</v>
      </c>
      <c r="C302" s="262"/>
      <c r="D302" s="262">
        <f>SUM(D304:D335)</f>
        <v>123522</v>
      </c>
      <c r="E302" s="288"/>
      <c r="F302" s="262">
        <f>SUM(F304:F335)</f>
        <v>37093</v>
      </c>
      <c r="G302" s="262"/>
      <c r="H302" s="262">
        <f>SUM(H304:H335)</f>
        <v>53646</v>
      </c>
      <c r="I302" s="262"/>
      <c r="J302" s="262">
        <f t="shared" ref="J302:Q302" si="33">SUM(J304:J335)</f>
        <v>6558</v>
      </c>
      <c r="K302" s="262">
        <f t="shared" si="33"/>
        <v>6916</v>
      </c>
      <c r="L302" s="262">
        <f t="shared" si="33"/>
        <v>7042</v>
      </c>
      <c r="M302" s="262">
        <f t="shared" si="33"/>
        <v>33130</v>
      </c>
      <c r="N302" s="262">
        <f t="shared" si="33"/>
        <v>22199</v>
      </c>
      <c r="O302" s="262"/>
      <c r="P302" s="262">
        <f t="shared" si="33"/>
        <v>10584</v>
      </c>
      <c r="Q302" s="262">
        <f t="shared" si="33"/>
        <v>30083</v>
      </c>
    </row>
    <row r="303" spans="1:17" s="263" customFormat="1" ht="3.95" customHeight="1" x14ac:dyDescent="0.25">
      <c r="A303" s="264"/>
      <c r="B303" s="262"/>
      <c r="C303" s="262"/>
      <c r="D303" s="282"/>
      <c r="E303" s="282"/>
      <c r="F303" s="262"/>
      <c r="G303" s="262"/>
      <c r="H303" s="262"/>
      <c r="I303" s="262"/>
      <c r="J303" s="262"/>
      <c r="K303" s="262"/>
      <c r="L303" s="262"/>
      <c r="M303" s="262"/>
      <c r="N303" s="262"/>
      <c r="O303" s="262"/>
      <c r="P303" s="262"/>
      <c r="Q303" s="262"/>
    </row>
    <row r="304" spans="1:17" s="263" customFormat="1" ht="9" customHeight="1" x14ac:dyDescent="0.25">
      <c r="A304" s="263" t="s">
        <v>23</v>
      </c>
      <c r="B304" s="266">
        <f t="shared" ref="B304:B335" si="34">SUM(D304+Q304)</f>
        <v>2009</v>
      </c>
      <c r="C304" s="266"/>
      <c r="D304" s="283">
        <f t="shared" ref="D304:D335" si="35">SUM(F304+H304+P304+N304)</f>
        <v>1527</v>
      </c>
      <c r="E304" s="283"/>
      <c r="F304" s="266">
        <v>431</v>
      </c>
      <c r="G304" s="266"/>
      <c r="H304" s="266">
        <f t="shared" ref="H304:H335" si="36">SUM(J304:M304)</f>
        <v>791</v>
      </c>
      <c r="I304" s="266"/>
      <c r="J304" s="266">
        <v>93</v>
      </c>
      <c r="K304" s="266">
        <v>149</v>
      </c>
      <c r="L304" s="266">
        <v>63</v>
      </c>
      <c r="M304" s="266">
        <v>486</v>
      </c>
      <c r="N304" s="266">
        <v>240</v>
      </c>
      <c r="O304" s="266"/>
      <c r="P304" s="266">
        <v>65</v>
      </c>
      <c r="Q304" s="266">
        <v>482</v>
      </c>
    </row>
    <row r="305" spans="1:17" s="263" customFormat="1" ht="9" customHeight="1" x14ac:dyDescent="0.25">
      <c r="A305" s="263" t="s">
        <v>24</v>
      </c>
      <c r="B305" s="266">
        <f t="shared" si="34"/>
        <v>3580</v>
      </c>
      <c r="C305" s="266"/>
      <c r="D305" s="283">
        <f t="shared" si="35"/>
        <v>2810</v>
      </c>
      <c r="E305" s="283"/>
      <c r="F305" s="266">
        <v>921</v>
      </c>
      <c r="G305" s="266"/>
      <c r="H305" s="266">
        <f t="shared" si="36"/>
        <v>1464</v>
      </c>
      <c r="I305" s="266"/>
      <c r="J305" s="266">
        <v>199</v>
      </c>
      <c r="K305" s="266">
        <v>218</v>
      </c>
      <c r="L305" s="266">
        <v>170</v>
      </c>
      <c r="M305" s="266">
        <v>877</v>
      </c>
      <c r="N305" s="266">
        <v>324</v>
      </c>
      <c r="O305" s="266"/>
      <c r="P305" s="266">
        <v>101</v>
      </c>
      <c r="Q305" s="266">
        <v>770</v>
      </c>
    </row>
    <row r="306" spans="1:17" s="263" customFormat="1" ht="9" customHeight="1" x14ac:dyDescent="0.25">
      <c r="A306" s="263" t="s">
        <v>25</v>
      </c>
      <c r="B306" s="266">
        <f t="shared" si="34"/>
        <v>1217</v>
      </c>
      <c r="C306" s="266"/>
      <c r="D306" s="283">
        <f t="shared" si="35"/>
        <v>989</v>
      </c>
      <c r="E306" s="283"/>
      <c r="F306" s="266">
        <v>313</v>
      </c>
      <c r="G306" s="266"/>
      <c r="H306" s="266">
        <f t="shared" si="36"/>
        <v>495</v>
      </c>
      <c r="I306" s="266"/>
      <c r="J306" s="266">
        <v>57</v>
      </c>
      <c r="K306" s="266">
        <v>52</v>
      </c>
      <c r="L306" s="266">
        <v>53</v>
      </c>
      <c r="M306" s="266">
        <v>333</v>
      </c>
      <c r="N306" s="266">
        <v>120</v>
      </c>
      <c r="O306" s="266"/>
      <c r="P306" s="266">
        <v>61</v>
      </c>
      <c r="Q306" s="266">
        <v>228</v>
      </c>
    </row>
    <row r="307" spans="1:17" s="263" customFormat="1" ht="9" customHeight="1" x14ac:dyDescent="0.25">
      <c r="A307" s="267" t="s">
        <v>26</v>
      </c>
      <c r="B307" s="268">
        <f t="shared" si="34"/>
        <v>1507</v>
      </c>
      <c r="C307" s="268"/>
      <c r="D307" s="284">
        <f t="shared" si="35"/>
        <v>1283</v>
      </c>
      <c r="E307" s="284"/>
      <c r="F307" s="268">
        <v>549</v>
      </c>
      <c r="G307" s="268"/>
      <c r="H307" s="268">
        <f t="shared" si="36"/>
        <v>467</v>
      </c>
      <c r="I307" s="268"/>
      <c r="J307" s="268">
        <v>73</v>
      </c>
      <c r="K307" s="268">
        <v>59</v>
      </c>
      <c r="L307" s="268">
        <v>59</v>
      </c>
      <c r="M307" s="268">
        <v>276</v>
      </c>
      <c r="N307" s="268">
        <v>160</v>
      </c>
      <c r="O307" s="268"/>
      <c r="P307" s="268">
        <v>107</v>
      </c>
      <c r="Q307" s="268">
        <v>224</v>
      </c>
    </row>
    <row r="308" spans="1:17" s="263" customFormat="1" ht="9" customHeight="1" x14ac:dyDescent="0.25">
      <c r="A308" s="263" t="s">
        <v>27</v>
      </c>
      <c r="B308" s="266">
        <f t="shared" si="34"/>
        <v>4081</v>
      </c>
      <c r="C308" s="266"/>
      <c r="D308" s="283">
        <f t="shared" si="35"/>
        <v>3025</v>
      </c>
      <c r="E308" s="283"/>
      <c r="F308" s="266">
        <v>977</v>
      </c>
      <c r="G308" s="266"/>
      <c r="H308" s="266">
        <f t="shared" si="36"/>
        <v>1459</v>
      </c>
      <c r="I308" s="287"/>
      <c r="J308" s="266">
        <v>191</v>
      </c>
      <c r="K308" s="266">
        <v>201</v>
      </c>
      <c r="L308" s="266">
        <v>148</v>
      </c>
      <c r="M308" s="266">
        <v>919</v>
      </c>
      <c r="N308" s="266">
        <v>408</v>
      </c>
      <c r="O308" s="266"/>
      <c r="P308" s="266">
        <v>181</v>
      </c>
      <c r="Q308" s="266">
        <v>1056</v>
      </c>
    </row>
    <row r="309" spans="1:17" s="263" customFormat="1" ht="9" customHeight="1" x14ac:dyDescent="0.25">
      <c r="A309" s="263" t="s">
        <v>28</v>
      </c>
      <c r="B309" s="266">
        <f t="shared" si="34"/>
        <v>1184</v>
      </c>
      <c r="C309" s="266"/>
      <c r="D309" s="283">
        <f t="shared" si="35"/>
        <v>969</v>
      </c>
      <c r="E309" s="283"/>
      <c r="F309" s="266">
        <v>279</v>
      </c>
      <c r="G309" s="266"/>
      <c r="H309" s="266">
        <f t="shared" si="36"/>
        <v>477</v>
      </c>
      <c r="I309" s="266"/>
      <c r="J309" s="266">
        <v>65</v>
      </c>
      <c r="K309" s="266">
        <v>61</v>
      </c>
      <c r="L309" s="266">
        <v>54</v>
      </c>
      <c r="M309" s="266">
        <v>297</v>
      </c>
      <c r="N309" s="266">
        <v>104</v>
      </c>
      <c r="O309" s="266"/>
      <c r="P309" s="266">
        <v>109</v>
      </c>
      <c r="Q309" s="266">
        <v>215</v>
      </c>
    </row>
    <row r="310" spans="1:17" s="263" customFormat="1" ht="9.6" customHeight="1" x14ac:dyDescent="0.25">
      <c r="A310" s="263" t="s">
        <v>29</v>
      </c>
      <c r="B310" s="266">
        <f t="shared" si="34"/>
        <v>4060</v>
      </c>
      <c r="C310" s="266"/>
      <c r="D310" s="283">
        <f t="shared" si="35"/>
        <v>3672</v>
      </c>
      <c r="E310" s="283"/>
      <c r="F310" s="266">
        <v>1310</v>
      </c>
      <c r="G310" s="266"/>
      <c r="H310" s="266">
        <f t="shared" si="36"/>
        <v>1286</v>
      </c>
      <c r="J310" s="266">
        <v>146</v>
      </c>
      <c r="K310" s="266">
        <v>128</v>
      </c>
      <c r="L310" s="266">
        <v>258</v>
      </c>
      <c r="M310" s="266">
        <v>754</v>
      </c>
      <c r="N310" s="266">
        <v>362</v>
      </c>
      <c r="O310" s="266"/>
      <c r="P310" s="266">
        <v>714</v>
      </c>
      <c r="Q310" s="266">
        <v>388</v>
      </c>
    </row>
    <row r="311" spans="1:17" s="263" customFormat="1" ht="9" customHeight="1" x14ac:dyDescent="0.25">
      <c r="A311" s="267" t="s">
        <v>30</v>
      </c>
      <c r="B311" s="268">
        <f t="shared" si="34"/>
        <v>3956</v>
      </c>
      <c r="C311" s="268"/>
      <c r="D311" s="284">
        <f t="shared" si="35"/>
        <v>3157</v>
      </c>
      <c r="E311" s="284"/>
      <c r="F311" s="268">
        <v>1190</v>
      </c>
      <c r="G311" s="268"/>
      <c r="H311" s="268">
        <f t="shared" si="36"/>
        <v>1358</v>
      </c>
      <c r="I311" s="268"/>
      <c r="J311" s="268">
        <v>174</v>
      </c>
      <c r="K311" s="268">
        <v>172</v>
      </c>
      <c r="L311" s="268">
        <v>150</v>
      </c>
      <c r="M311" s="268">
        <v>862</v>
      </c>
      <c r="N311" s="268">
        <v>351</v>
      </c>
      <c r="O311" s="268"/>
      <c r="P311" s="268">
        <v>258</v>
      </c>
      <c r="Q311" s="268">
        <v>799</v>
      </c>
    </row>
    <row r="312" spans="1:17" s="263" customFormat="1" ht="9" customHeight="1" x14ac:dyDescent="0.25">
      <c r="A312" s="263" t="s">
        <v>63</v>
      </c>
      <c r="B312" s="289">
        <f t="shared" si="34"/>
        <v>32189</v>
      </c>
      <c r="C312" s="289"/>
      <c r="D312" s="283">
        <f t="shared" si="35"/>
        <v>24994</v>
      </c>
      <c r="E312" s="291"/>
      <c r="F312" s="289">
        <v>4604</v>
      </c>
      <c r="G312" s="289"/>
      <c r="H312" s="266">
        <f t="shared" si="36"/>
        <v>13061</v>
      </c>
      <c r="I312" s="289"/>
      <c r="J312" s="289">
        <v>1170</v>
      </c>
      <c r="K312" s="289">
        <v>1681</v>
      </c>
      <c r="L312" s="289">
        <v>1555</v>
      </c>
      <c r="M312" s="289">
        <v>8655</v>
      </c>
      <c r="N312" s="289">
        <v>7240</v>
      </c>
      <c r="O312" s="289"/>
      <c r="P312" s="289">
        <v>89</v>
      </c>
      <c r="Q312" s="289">
        <v>7195</v>
      </c>
    </row>
    <row r="313" spans="1:17" s="263" customFormat="1" ht="9" customHeight="1" x14ac:dyDescent="0.25">
      <c r="A313" s="263" t="s">
        <v>31</v>
      </c>
      <c r="B313" s="266">
        <f t="shared" si="34"/>
        <v>2560</v>
      </c>
      <c r="C313" s="266"/>
      <c r="D313" s="283">
        <f t="shared" si="35"/>
        <v>2099</v>
      </c>
      <c r="E313" s="283"/>
      <c r="F313" s="266">
        <v>659</v>
      </c>
      <c r="G313" s="266"/>
      <c r="H313" s="266">
        <f t="shared" si="36"/>
        <v>853</v>
      </c>
      <c r="I313" s="266"/>
      <c r="J313" s="266">
        <v>110</v>
      </c>
      <c r="K313" s="266">
        <v>121</v>
      </c>
      <c r="L313" s="266">
        <v>102</v>
      </c>
      <c r="M313" s="266">
        <v>520</v>
      </c>
      <c r="N313" s="266">
        <v>319</v>
      </c>
      <c r="O313" s="266"/>
      <c r="P313" s="266">
        <v>268</v>
      </c>
      <c r="Q313" s="266">
        <v>461</v>
      </c>
    </row>
    <row r="314" spans="1:17" s="263" customFormat="1" ht="9" customHeight="1" x14ac:dyDescent="0.25">
      <c r="A314" s="263" t="s">
        <v>32</v>
      </c>
      <c r="B314" s="266">
        <f t="shared" si="34"/>
        <v>5229</v>
      </c>
      <c r="C314" s="266"/>
      <c r="D314" s="283">
        <f t="shared" si="35"/>
        <v>4009</v>
      </c>
      <c r="E314" s="283"/>
      <c r="F314" s="266">
        <v>1422</v>
      </c>
      <c r="G314" s="266"/>
      <c r="H314" s="266">
        <f t="shared" si="36"/>
        <v>1609</v>
      </c>
      <c r="I314" s="266"/>
      <c r="J314" s="266">
        <v>228</v>
      </c>
      <c r="K314" s="266">
        <v>196</v>
      </c>
      <c r="L314" s="266">
        <v>175</v>
      </c>
      <c r="M314" s="266">
        <v>1010</v>
      </c>
      <c r="N314" s="266">
        <v>586</v>
      </c>
      <c r="O314" s="266"/>
      <c r="P314" s="266">
        <v>392</v>
      </c>
      <c r="Q314" s="266">
        <v>1220</v>
      </c>
    </row>
    <row r="315" spans="1:17" s="263" customFormat="1" ht="9" customHeight="1" x14ac:dyDescent="0.25">
      <c r="A315" s="267" t="s">
        <v>33</v>
      </c>
      <c r="B315" s="268">
        <f t="shared" si="34"/>
        <v>3786</v>
      </c>
      <c r="C315" s="268"/>
      <c r="D315" s="284">
        <f t="shared" si="35"/>
        <v>3335</v>
      </c>
      <c r="E315" s="284"/>
      <c r="F315" s="268">
        <v>1419</v>
      </c>
      <c r="G315" s="268"/>
      <c r="H315" s="268">
        <f t="shared" si="36"/>
        <v>1168</v>
      </c>
      <c r="I315" s="268"/>
      <c r="J315" s="268">
        <v>168</v>
      </c>
      <c r="K315" s="268">
        <v>144</v>
      </c>
      <c r="L315" s="268">
        <v>189</v>
      </c>
      <c r="M315" s="268">
        <v>667</v>
      </c>
      <c r="N315" s="268">
        <v>351</v>
      </c>
      <c r="O315" s="268"/>
      <c r="P315" s="268">
        <v>397</v>
      </c>
      <c r="Q315" s="268">
        <v>451</v>
      </c>
    </row>
    <row r="316" spans="1:17" s="263" customFormat="1" ht="9" customHeight="1" x14ac:dyDescent="0.25">
      <c r="A316" s="263" t="s">
        <v>34</v>
      </c>
      <c r="B316" s="266">
        <f t="shared" si="34"/>
        <v>2835</v>
      </c>
      <c r="C316" s="266"/>
      <c r="D316" s="283">
        <f t="shared" si="35"/>
        <v>2441</v>
      </c>
      <c r="E316" s="283"/>
      <c r="F316" s="266">
        <v>851</v>
      </c>
      <c r="G316" s="266"/>
      <c r="H316" s="266">
        <f t="shared" si="36"/>
        <v>870</v>
      </c>
      <c r="I316" s="266"/>
      <c r="J316" s="266">
        <v>122</v>
      </c>
      <c r="K316" s="266">
        <v>102</v>
      </c>
      <c r="L316" s="266">
        <v>138</v>
      </c>
      <c r="M316" s="266">
        <v>508</v>
      </c>
      <c r="N316" s="266">
        <v>230</v>
      </c>
      <c r="O316" s="266"/>
      <c r="P316" s="266">
        <v>490</v>
      </c>
      <c r="Q316" s="266">
        <v>394</v>
      </c>
    </row>
    <row r="317" spans="1:17" s="263" customFormat="1" ht="9" customHeight="1" x14ac:dyDescent="0.25">
      <c r="A317" s="263" t="s">
        <v>35</v>
      </c>
      <c r="B317" s="266">
        <f t="shared" si="34"/>
        <v>10491</v>
      </c>
      <c r="C317" s="266"/>
      <c r="D317" s="283">
        <f t="shared" si="35"/>
        <v>8072</v>
      </c>
      <c r="E317" s="283"/>
      <c r="F317" s="266">
        <v>2123</v>
      </c>
      <c r="G317" s="266"/>
      <c r="H317" s="266">
        <f t="shared" si="36"/>
        <v>3210</v>
      </c>
      <c r="I317" s="266"/>
      <c r="J317" s="266">
        <v>453</v>
      </c>
      <c r="K317" s="266">
        <v>444</v>
      </c>
      <c r="L317" s="266">
        <v>355</v>
      </c>
      <c r="M317" s="266">
        <v>1958</v>
      </c>
      <c r="N317" s="266">
        <v>2132</v>
      </c>
      <c r="O317" s="266"/>
      <c r="P317" s="266">
        <v>607</v>
      </c>
      <c r="Q317" s="266">
        <v>2419</v>
      </c>
    </row>
    <row r="318" spans="1:17" s="263" customFormat="1" ht="9" customHeight="1" x14ac:dyDescent="0.25">
      <c r="A318" s="263" t="s">
        <v>36</v>
      </c>
      <c r="B318" s="266">
        <f t="shared" si="34"/>
        <v>12649</v>
      </c>
      <c r="C318" s="266"/>
      <c r="D318" s="283">
        <f t="shared" si="35"/>
        <v>10168</v>
      </c>
      <c r="E318" s="283"/>
      <c r="F318" s="266">
        <v>3569</v>
      </c>
      <c r="G318" s="266"/>
      <c r="H318" s="266">
        <f t="shared" si="36"/>
        <v>4415</v>
      </c>
      <c r="I318" s="266"/>
      <c r="J318" s="266">
        <v>666</v>
      </c>
      <c r="K318" s="266">
        <v>621</v>
      </c>
      <c r="L318" s="266">
        <v>744</v>
      </c>
      <c r="M318" s="266">
        <v>2384</v>
      </c>
      <c r="N318" s="266">
        <v>1436</v>
      </c>
      <c r="O318" s="266"/>
      <c r="P318" s="266">
        <v>748</v>
      </c>
      <c r="Q318" s="266">
        <v>2481</v>
      </c>
    </row>
    <row r="319" spans="1:17" s="263" customFormat="1" ht="9" customHeight="1" x14ac:dyDescent="0.25">
      <c r="A319" s="267" t="s">
        <v>37</v>
      </c>
      <c r="B319" s="268">
        <f t="shared" si="34"/>
        <v>4036</v>
      </c>
      <c r="C319" s="268"/>
      <c r="D319" s="284">
        <f t="shared" si="35"/>
        <v>3540</v>
      </c>
      <c r="E319" s="284"/>
      <c r="F319" s="268">
        <v>1175</v>
      </c>
      <c r="G319" s="268"/>
      <c r="H319" s="268">
        <f t="shared" si="36"/>
        <v>1538</v>
      </c>
      <c r="I319" s="268"/>
      <c r="J319" s="268">
        <v>203</v>
      </c>
      <c r="K319" s="268">
        <v>159</v>
      </c>
      <c r="L319" s="268">
        <v>188</v>
      </c>
      <c r="M319" s="268">
        <v>988</v>
      </c>
      <c r="N319" s="268">
        <v>205</v>
      </c>
      <c r="O319" s="268"/>
      <c r="P319" s="268">
        <v>622</v>
      </c>
      <c r="Q319" s="268">
        <v>496</v>
      </c>
    </row>
    <row r="320" spans="1:17" s="263" customFormat="1" ht="9" customHeight="1" x14ac:dyDescent="0.25">
      <c r="A320" s="263" t="s">
        <v>38</v>
      </c>
      <c r="B320" s="266">
        <f t="shared" si="34"/>
        <v>2223</v>
      </c>
      <c r="C320" s="266"/>
      <c r="D320" s="283">
        <f t="shared" si="35"/>
        <v>1860</v>
      </c>
      <c r="E320" s="283"/>
      <c r="F320" s="266">
        <v>595</v>
      </c>
      <c r="G320" s="266"/>
      <c r="H320" s="266">
        <f t="shared" si="36"/>
        <v>911</v>
      </c>
      <c r="I320" s="266"/>
      <c r="J320" s="266">
        <v>109</v>
      </c>
      <c r="K320" s="266">
        <v>116</v>
      </c>
      <c r="L320" s="266">
        <v>115</v>
      </c>
      <c r="M320" s="266">
        <v>571</v>
      </c>
      <c r="N320" s="266">
        <v>192</v>
      </c>
      <c r="O320" s="266"/>
      <c r="P320" s="266">
        <v>162</v>
      </c>
      <c r="Q320" s="266">
        <v>363</v>
      </c>
    </row>
    <row r="321" spans="1:17" s="263" customFormat="1" ht="9" customHeight="1" x14ac:dyDescent="0.25">
      <c r="A321" s="263" t="s">
        <v>39</v>
      </c>
      <c r="B321" s="266">
        <f t="shared" si="34"/>
        <v>1725</v>
      </c>
      <c r="C321" s="266"/>
      <c r="D321" s="283">
        <f t="shared" si="35"/>
        <v>1446</v>
      </c>
      <c r="E321" s="283"/>
      <c r="F321" s="266">
        <v>461</v>
      </c>
      <c r="G321" s="266"/>
      <c r="H321" s="266">
        <f t="shared" si="36"/>
        <v>572</v>
      </c>
      <c r="I321" s="266"/>
      <c r="J321" s="266">
        <v>72</v>
      </c>
      <c r="K321" s="266">
        <v>61</v>
      </c>
      <c r="L321" s="266">
        <v>74</v>
      </c>
      <c r="M321" s="266">
        <v>365</v>
      </c>
      <c r="N321" s="266">
        <v>216</v>
      </c>
      <c r="O321" s="266"/>
      <c r="P321" s="266">
        <v>197</v>
      </c>
      <c r="Q321" s="266">
        <v>279</v>
      </c>
    </row>
    <row r="322" spans="1:17" s="263" customFormat="1" ht="9" customHeight="1" x14ac:dyDescent="0.25">
      <c r="A322" s="263" t="s">
        <v>40</v>
      </c>
      <c r="B322" s="266">
        <f t="shared" si="34"/>
        <v>6023</v>
      </c>
      <c r="C322" s="266"/>
      <c r="D322" s="283">
        <f t="shared" si="35"/>
        <v>4324</v>
      </c>
      <c r="E322" s="283"/>
      <c r="F322" s="266">
        <v>1352</v>
      </c>
      <c r="G322" s="266"/>
      <c r="H322" s="266">
        <f t="shared" si="36"/>
        <v>1760</v>
      </c>
      <c r="I322" s="266"/>
      <c r="J322" s="266">
        <v>244</v>
      </c>
      <c r="K322" s="266">
        <v>264</v>
      </c>
      <c r="L322" s="266">
        <v>221</v>
      </c>
      <c r="M322" s="266">
        <v>1031</v>
      </c>
      <c r="N322" s="266">
        <v>913</v>
      </c>
      <c r="O322" s="266"/>
      <c r="P322" s="266">
        <v>299</v>
      </c>
      <c r="Q322" s="266">
        <v>1699</v>
      </c>
    </row>
    <row r="323" spans="1:17" s="263" customFormat="1" ht="9" customHeight="1" x14ac:dyDescent="0.25">
      <c r="A323" s="267" t="s">
        <v>41</v>
      </c>
      <c r="B323" s="268">
        <f t="shared" si="34"/>
        <v>3949</v>
      </c>
      <c r="C323" s="268"/>
      <c r="D323" s="284">
        <f t="shared" si="35"/>
        <v>3558</v>
      </c>
      <c r="E323" s="284"/>
      <c r="F323" s="268">
        <v>976</v>
      </c>
      <c r="G323" s="268"/>
      <c r="H323" s="268">
        <f t="shared" si="36"/>
        <v>977</v>
      </c>
      <c r="I323" s="268"/>
      <c r="J323" s="268">
        <v>111</v>
      </c>
      <c r="K323" s="268">
        <v>100</v>
      </c>
      <c r="L323" s="268">
        <v>147</v>
      </c>
      <c r="M323" s="268">
        <v>619</v>
      </c>
      <c r="N323" s="268">
        <v>619</v>
      </c>
      <c r="O323" s="268"/>
      <c r="P323" s="268">
        <v>986</v>
      </c>
      <c r="Q323" s="268">
        <v>391</v>
      </c>
    </row>
    <row r="324" spans="1:17" s="263" customFormat="1" ht="9.6" customHeight="1" x14ac:dyDescent="0.25">
      <c r="A324" s="263" t="s">
        <v>42</v>
      </c>
      <c r="B324" s="266">
        <f t="shared" si="34"/>
        <v>6129</v>
      </c>
      <c r="C324" s="266"/>
      <c r="D324" s="283">
        <f t="shared" si="35"/>
        <v>4993</v>
      </c>
      <c r="E324" s="283"/>
      <c r="F324" s="266">
        <v>1455</v>
      </c>
      <c r="G324" s="266"/>
      <c r="H324" s="266">
        <f t="shared" si="36"/>
        <v>1713</v>
      </c>
      <c r="I324" s="290"/>
      <c r="J324" s="266">
        <v>176</v>
      </c>
      <c r="K324" s="266">
        <v>184</v>
      </c>
      <c r="L324" s="266">
        <v>300</v>
      </c>
      <c r="M324" s="266">
        <v>1053</v>
      </c>
      <c r="N324" s="266">
        <v>1106</v>
      </c>
      <c r="O324" s="266"/>
      <c r="P324" s="266">
        <v>719</v>
      </c>
      <c r="Q324" s="266">
        <v>1136</v>
      </c>
    </row>
    <row r="325" spans="1:17" s="263" customFormat="1" ht="9" customHeight="1" x14ac:dyDescent="0.25">
      <c r="A325" s="263" t="s">
        <v>43</v>
      </c>
      <c r="B325" s="266">
        <f t="shared" si="34"/>
        <v>2026</v>
      </c>
      <c r="C325" s="266"/>
      <c r="D325" s="283">
        <f t="shared" si="35"/>
        <v>1689</v>
      </c>
      <c r="E325" s="283"/>
      <c r="F325" s="266">
        <v>546</v>
      </c>
      <c r="G325" s="266"/>
      <c r="H325" s="266">
        <f t="shared" si="36"/>
        <v>753</v>
      </c>
      <c r="I325" s="266"/>
      <c r="J325" s="266">
        <v>128</v>
      </c>
      <c r="K325" s="266">
        <v>126</v>
      </c>
      <c r="L325" s="266">
        <v>96</v>
      </c>
      <c r="M325" s="266">
        <v>403</v>
      </c>
      <c r="N325" s="266">
        <v>202</v>
      </c>
      <c r="O325" s="266"/>
      <c r="P325" s="266">
        <v>188</v>
      </c>
      <c r="Q325" s="266">
        <v>337</v>
      </c>
    </row>
    <row r="326" spans="1:17" s="263" customFormat="1" ht="9" customHeight="1" x14ac:dyDescent="0.25">
      <c r="A326" s="263" t="s">
        <v>44</v>
      </c>
      <c r="B326" s="266">
        <f t="shared" si="34"/>
        <v>1430</v>
      </c>
      <c r="C326" s="266"/>
      <c r="D326" s="283">
        <f t="shared" si="35"/>
        <v>1152</v>
      </c>
      <c r="E326" s="283"/>
      <c r="F326" s="266">
        <v>460</v>
      </c>
      <c r="G326" s="266"/>
      <c r="H326" s="266">
        <f t="shared" si="36"/>
        <v>548</v>
      </c>
      <c r="I326" s="266"/>
      <c r="J326" s="266">
        <v>76</v>
      </c>
      <c r="K326" s="266">
        <v>88</v>
      </c>
      <c r="L326" s="266">
        <v>76</v>
      </c>
      <c r="M326" s="266">
        <v>308</v>
      </c>
      <c r="N326" s="266">
        <v>80</v>
      </c>
      <c r="O326" s="266"/>
      <c r="P326" s="266">
        <v>64</v>
      </c>
      <c r="Q326" s="266">
        <v>278</v>
      </c>
    </row>
    <row r="327" spans="1:17" s="263" customFormat="1" ht="9" customHeight="1" x14ac:dyDescent="0.25">
      <c r="A327" s="267" t="s">
        <v>45</v>
      </c>
      <c r="B327" s="268">
        <f t="shared" si="34"/>
        <v>2848</v>
      </c>
      <c r="C327" s="268"/>
      <c r="D327" s="284">
        <f t="shared" si="35"/>
        <v>2381</v>
      </c>
      <c r="E327" s="284"/>
      <c r="F327" s="268">
        <v>679</v>
      </c>
      <c r="G327" s="268"/>
      <c r="H327" s="268">
        <f t="shared" si="36"/>
        <v>942</v>
      </c>
      <c r="I327" s="268"/>
      <c r="J327" s="268">
        <v>121</v>
      </c>
      <c r="K327" s="268">
        <v>115</v>
      </c>
      <c r="L327" s="268">
        <v>162</v>
      </c>
      <c r="M327" s="268">
        <v>544</v>
      </c>
      <c r="N327" s="268">
        <v>437</v>
      </c>
      <c r="O327" s="268"/>
      <c r="P327" s="268">
        <v>323</v>
      </c>
      <c r="Q327" s="268">
        <v>467</v>
      </c>
    </row>
    <row r="328" spans="1:17" s="263" customFormat="1" ht="9" customHeight="1" x14ac:dyDescent="0.25">
      <c r="A328" s="263" t="s">
        <v>46</v>
      </c>
      <c r="B328" s="266">
        <f t="shared" si="34"/>
        <v>3722</v>
      </c>
      <c r="C328" s="266"/>
      <c r="D328" s="283">
        <f t="shared" si="35"/>
        <v>3037</v>
      </c>
      <c r="E328" s="283"/>
      <c r="F328" s="266">
        <v>1098</v>
      </c>
      <c r="G328" s="266"/>
      <c r="H328" s="266">
        <f t="shared" si="36"/>
        <v>1311</v>
      </c>
      <c r="I328" s="266"/>
      <c r="J328" s="266">
        <v>184</v>
      </c>
      <c r="K328" s="266">
        <v>147</v>
      </c>
      <c r="L328" s="266">
        <v>135</v>
      </c>
      <c r="M328" s="266">
        <v>845</v>
      </c>
      <c r="N328" s="266">
        <v>361</v>
      </c>
      <c r="O328" s="266"/>
      <c r="P328" s="266">
        <v>267</v>
      </c>
      <c r="Q328" s="266">
        <v>685</v>
      </c>
    </row>
    <row r="329" spans="1:17" s="263" customFormat="1" ht="9" customHeight="1" x14ac:dyDescent="0.25">
      <c r="A329" s="263" t="s">
        <v>47</v>
      </c>
      <c r="B329" s="266">
        <f t="shared" si="34"/>
        <v>3856</v>
      </c>
      <c r="C329" s="266"/>
      <c r="D329" s="283">
        <f t="shared" si="35"/>
        <v>2972</v>
      </c>
      <c r="E329" s="283"/>
      <c r="F329" s="266">
        <v>826</v>
      </c>
      <c r="G329" s="266"/>
      <c r="H329" s="266">
        <f t="shared" si="36"/>
        <v>1483</v>
      </c>
      <c r="I329" s="266"/>
      <c r="J329" s="266">
        <v>182</v>
      </c>
      <c r="K329" s="266">
        <v>179</v>
      </c>
      <c r="L329" s="266">
        <v>147</v>
      </c>
      <c r="M329" s="266">
        <v>975</v>
      </c>
      <c r="N329" s="266">
        <v>526</v>
      </c>
      <c r="O329" s="266"/>
      <c r="P329" s="266">
        <v>137</v>
      </c>
      <c r="Q329" s="266">
        <v>884</v>
      </c>
    </row>
    <row r="330" spans="1:17" s="263" customFormat="1" ht="9.6" customHeight="1" x14ac:dyDescent="0.25">
      <c r="A330" s="263" t="s">
        <v>48</v>
      </c>
      <c r="B330" s="266">
        <f t="shared" si="34"/>
        <v>3566</v>
      </c>
      <c r="C330" s="266"/>
      <c r="D330" s="283">
        <f t="shared" si="35"/>
        <v>3115</v>
      </c>
      <c r="E330" s="283"/>
      <c r="F330" s="266">
        <v>1191</v>
      </c>
      <c r="G330" s="266"/>
      <c r="H330" s="266">
        <f t="shared" si="36"/>
        <v>1280</v>
      </c>
      <c r="I330" s="290"/>
      <c r="J330" s="266">
        <v>146</v>
      </c>
      <c r="K330" s="266">
        <v>124</v>
      </c>
      <c r="L330" s="266">
        <v>288</v>
      </c>
      <c r="M330" s="266">
        <v>722</v>
      </c>
      <c r="N330" s="266">
        <v>367</v>
      </c>
      <c r="O330" s="266"/>
      <c r="P330" s="266">
        <v>277</v>
      </c>
      <c r="Q330" s="266">
        <v>451</v>
      </c>
    </row>
    <row r="331" spans="1:17" s="263" customFormat="1" ht="9" customHeight="1" x14ac:dyDescent="0.25">
      <c r="A331" s="267" t="s">
        <v>49</v>
      </c>
      <c r="B331" s="268">
        <f t="shared" si="34"/>
        <v>5095</v>
      </c>
      <c r="C331" s="268"/>
      <c r="D331" s="284">
        <f t="shared" si="35"/>
        <v>4160</v>
      </c>
      <c r="E331" s="284"/>
      <c r="F331" s="268">
        <v>1139</v>
      </c>
      <c r="G331" s="268"/>
      <c r="H331" s="268">
        <f t="shared" si="36"/>
        <v>1939</v>
      </c>
      <c r="I331" s="268"/>
      <c r="J331" s="268">
        <v>253</v>
      </c>
      <c r="K331" s="268">
        <v>260</v>
      </c>
      <c r="L331" s="268">
        <v>174</v>
      </c>
      <c r="M331" s="268">
        <v>1252</v>
      </c>
      <c r="N331" s="268">
        <v>778</v>
      </c>
      <c r="O331" s="268"/>
      <c r="P331" s="268">
        <v>304</v>
      </c>
      <c r="Q331" s="268">
        <v>935</v>
      </c>
    </row>
    <row r="332" spans="1:17" s="263" customFormat="1" ht="9" customHeight="1" x14ac:dyDescent="0.25">
      <c r="A332" s="263" t="s">
        <v>50</v>
      </c>
      <c r="B332" s="266">
        <f t="shared" si="34"/>
        <v>1439</v>
      </c>
      <c r="C332" s="266"/>
      <c r="D332" s="283">
        <f t="shared" si="35"/>
        <v>1226</v>
      </c>
      <c r="E332" s="283"/>
      <c r="F332" s="266">
        <v>506</v>
      </c>
      <c r="G332" s="266"/>
      <c r="H332" s="266">
        <f t="shared" si="36"/>
        <v>468</v>
      </c>
      <c r="I332" s="266"/>
      <c r="J332" s="266">
        <v>62</v>
      </c>
      <c r="K332" s="266">
        <v>62</v>
      </c>
      <c r="L332" s="266">
        <v>85</v>
      </c>
      <c r="M332" s="266">
        <v>259</v>
      </c>
      <c r="N332" s="266">
        <v>118</v>
      </c>
      <c r="O332" s="266"/>
      <c r="P332" s="266">
        <v>134</v>
      </c>
      <c r="Q332" s="266">
        <v>213</v>
      </c>
    </row>
    <row r="333" spans="1:17" s="263" customFormat="1" ht="9" customHeight="1" x14ac:dyDescent="0.25">
      <c r="A333" s="263" t="s">
        <v>51</v>
      </c>
      <c r="B333" s="266">
        <f t="shared" si="34"/>
        <v>9490</v>
      </c>
      <c r="C333" s="266"/>
      <c r="D333" s="283">
        <f t="shared" si="35"/>
        <v>7750</v>
      </c>
      <c r="E333" s="283"/>
      <c r="F333" s="266">
        <v>2837</v>
      </c>
      <c r="G333" s="266"/>
      <c r="H333" s="266">
        <f t="shared" si="36"/>
        <v>3031</v>
      </c>
      <c r="I333" s="266"/>
      <c r="J333" s="266">
        <v>380</v>
      </c>
      <c r="K333" s="266">
        <v>382</v>
      </c>
      <c r="L333" s="266">
        <v>427</v>
      </c>
      <c r="M333" s="266">
        <v>1842</v>
      </c>
      <c r="N333" s="266">
        <v>1063</v>
      </c>
      <c r="O333" s="266"/>
      <c r="P333" s="266">
        <v>819</v>
      </c>
      <c r="Q333" s="266">
        <v>1740</v>
      </c>
    </row>
    <row r="334" spans="1:17" s="263" customFormat="1" ht="9" customHeight="1" x14ac:dyDescent="0.25">
      <c r="A334" s="263" t="s">
        <v>52</v>
      </c>
      <c r="B334" s="266">
        <f t="shared" si="34"/>
        <v>2861</v>
      </c>
      <c r="C334" s="266"/>
      <c r="D334" s="283">
        <f t="shared" si="35"/>
        <v>2208</v>
      </c>
      <c r="E334" s="283"/>
      <c r="F334" s="266">
        <v>696</v>
      </c>
      <c r="G334" s="266"/>
      <c r="H334" s="266">
        <f t="shared" si="36"/>
        <v>880</v>
      </c>
      <c r="I334" s="266"/>
      <c r="J334" s="266">
        <v>115</v>
      </c>
      <c r="K334" s="266">
        <v>134</v>
      </c>
      <c r="L334" s="266">
        <v>111</v>
      </c>
      <c r="M334" s="266">
        <v>520</v>
      </c>
      <c r="N334" s="266">
        <v>416</v>
      </c>
      <c r="O334" s="266"/>
      <c r="P334" s="266">
        <v>216</v>
      </c>
      <c r="Q334" s="266">
        <v>653</v>
      </c>
    </row>
    <row r="335" spans="1:17" s="263" customFormat="1" ht="9" customHeight="1" x14ac:dyDescent="0.25">
      <c r="A335" s="267" t="s">
        <v>53</v>
      </c>
      <c r="B335" s="268">
        <f t="shared" si="34"/>
        <v>1854</v>
      </c>
      <c r="C335" s="268"/>
      <c r="D335" s="284">
        <f t="shared" si="35"/>
        <v>1561</v>
      </c>
      <c r="E335" s="284"/>
      <c r="F335" s="268">
        <v>484</v>
      </c>
      <c r="G335" s="268"/>
      <c r="H335" s="268">
        <f t="shared" si="36"/>
        <v>557</v>
      </c>
      <c r="I335" s="268"/>
      <c r="J335" s="268">
        <v>81</v>
      </c>
      <c r="K335" s="268">
        <v>66</v>
      </c>
      <c r="L335" s="268">
        <v>83</v>
      </c>
      <c r="M335" s="268">
        <v>327</v>
      </c>
      <c r="N335" s="268">
        <v>237</v>
      </c>
      <c r="O335" s="268"/>
      <c r="P335" s="268">
        <v>283</v>
      </c>
      <c r="Q335" s="268">
        <v>293</v>
      </c>
    </row>
    <row r="336" spans="1:17" s="263" customFormat="1" ht="9" customHeight="1" x14ac:dyDescent="0.25">
      <c r="B336" s="266"/>
      <c r="C336" s="266"/>
      <c r="D336" s="283"/>
      <c r="E336" s="283"/>
      <c r="F336" s="266"/>
      <c r="G336" s="266"/>
      <c r="H336" s="266"/>
      <c r="I336" s="266"/>
      <c r="J336" s="266"/>
      <c r="K336" s="266"/>
      <c r="L336" s="266"/>
      <c r="M336" s="266"/>
      <c r="N336" s="266"/>
      <c r="O336" s="266"/>
      <c r="P336" s="266"/>
      <c r="Q336" s="266"/>
    </row>
    <row r="337" spans="1:17" s="263" customFormat="1" ht="9" customHeight="1" x14ac:dyDescent="0.25">
      <c r="A337" s="261">
        <v>2004</v>
      </c>
      <c r="B337" s="266"/>
      <c r="C337" s="266"/>
      <c r="D337" s="266"/>
      <c r="E337" s="266"/>
      <c r="F337" s="271"/>
      <c r="G337" s="266"/>
      <c r="H337" s="266"/>
      <c r="I337" s="266"/>
      <c r="J337" s="271"/>
      <c r="K337" s="271"/>
      <c r="L337" s="271"/>
      <c r="M337" s="266"/>
      <c r="N337" s="266"/>
      <c r="O337" s="266"/>
      <c r="P337" s="266"/>
      <c r="Q337" s="271"/>
    </row>
    <row r="338" spans="1:17" s="263" customFormat="1" ht="9" customHeight="1" x14ac:dyDescent="0.25">
      <c r="A338" s="264" t="s">
        <v>21</v>
      </c>
      <c r="B338" s="262">
        <f>SUM(B340:B371)</f>
        <v>151139</v>
      </c>
      <c r="C338" s="262"/>
      <c r="D338" s="262">
        <f>SUM(D340:D371)</f>
        <v>132176</v>
      </c>
      <c r="E338" s="288"/>
      <c r="F338" s="262">
        <f>SUM(F340:F371)</f>
        <v>37854</v>
      </c>
      <c r="G338" s="262"/>
      <c r="H338" s="262">
        <f>SUM(H340:H371)</f>
        <v>59955</v>
      </c>
      <c r="I338" s="262"/>
      <c r="J338" s="262">
        <f t="shared" ref="J338:Q338" si="37">SUM(J340:J371)</f>
        <v>7065</v>
      </c>
      <c r="K338" s="262">
        <f t="shared" si="37"/>
        <v>7329</v>
      </c>
      <c r="L338" s="262">
        <f t="shared" si="37"/>
        <v>7270</v>
      </c>
      <c r="M338" s="262">
        <f t="shared" si="37"/>
        <v>38291</v>
      </c>
      <c r="N338" s="262">
        <f t="shared" si="37"/>
        <v>22236</v>
      </c>
      <c r="O338" s="262"/>
      <c r="P338" s="262">
        <f t="shared" si="37"/>
        <v>12131</v>
      </c>
      <c r="Q338" s="262">
        <f t="shared" si="37"/>
        <v>18963</v>
      </c>
    </row>
    <row r="339" spans="1:17" s="263" customFormat="1" ht="3.95" customHeight="1" x14ac:dyDescent="0.25">
      <c r="A339" s="264"/>
      <c r="B339" s="262"/>
      <c r="C339" s="262"/>
      <c r="D339" s="282"/>
      <c r="E339" s="282"/>
      <c r="F339" s="262"/>
      <c r="G339" s="262"/>
      <c r="H339" s="262"/>
      <c r="I339" s="262"/>
      <c r="J339" s="262"/>
      <c r="K339" s="262"/>
      <c r="L339" s="262"/>
      <c r="M339" s="262"/>
      <c r="N339" s="262"/>
      <c r="O339" s="262"/>
      <c r="P339" s="262"/>
      <c r="Q339" s="262"/>
    </row>
    <row r="340" spans="1:17" s="263" customFormat="1" ht="9" customHeight="1" x14ac:dyDescent="0.25">
      <c r="A340" s="263" t="s">
        <v>23</v>
      </c>
      <c r="B340" s="266">
        <f t="shared" ref="B340:B371" si="38">SUM(D340+Q340)</f>
        <v>2211</v>
      </c>
      <c r="C340" s="266"/>
      <c r="D340" s="283">
        <f t="shared" ref="D340:D371" si="39">SUM(F340+H340+P340+N340)</f>
        <v>1836</v>
      </c>
      <c r="E340" s="283"/>
      <c r="F340" s="266">
        <v>552</v>
      </c>
      <c r="G340" s="266"/>
      <c r="H340" s="266">
        <f t="shared" ref="H340:H371" si="40">SUM(J340:M340)</f>
        <v>950</v>
      </c>
      <c r="I340" s="266"/>
      <c r="J340" s="266">
        <v>105</v>
      </c>
      <c r="K340" s="266">
        <v>166</v>
      </c>
      <c r="L340" s="266">
        <v>67</v>
      </c>
      <c r="M340" s="266">
        <v>612</v>
      </c>
      <c r="N340" s="266">
        <v>263</v>
      </c>
      <c r="O340" s="266"/>
      <c r="P340" s="266">
        <v>71</v>
      </c>
      <c r="Q340" s="266">
        <v>375</v>
      </c>
    </row>
    <row r="341" spans="1:17" s="263" customFormat="1" ht="9" customHeight="1" x14ac:dyDescent="0.25">
      <c r="A341" s="263" t="s">
        <v>24</v>
      </c>
      <c r="B341" s="266">
        <f t="shared" si="38"/>
        <v>3486</v>
      </c>
      <c r="C341" s="266"/>
      <c r="D341" s="283">
        <f t="shared" si="39"/>
        <v>2930</v>
      </c>
      <c r="E341" s="283"/>
      <c r="F341" s="266">
        <v>927</v>
      </c>
      <c r="G341" s="266"/>
      <c r="H341" s="266">
        <f t="shared" si="40"/>
        <v>1592</v>
      </c>
      <c r="I341" s="266"/>
      <c r="J341" s="266">
        <v>197</v>
      </c>
      <c r="K341" s="266">
        <v>218</v>
      </c>
      <c r="L341" s="266">
        <v>169</v>
      </c>
      <c r="M341" s="266">
        <v>1008</v>
      </c>
      <c r="N341" s="266">
        <v>305</v>
      </c>
      <c r="O341" s="266"/>
      <c r="P341" s="266">
        <v>106</v>
      </c>
      <c r="Q341" s="266">
        <v>556</v>
      </c>
    </row>
    <row r="342" spans="1:17" s="263" customFormat="1" ht="9" customHeight="1" x14ac:dyDescent="0.25">
      <c r="A342" s="263" t="s">
        <v>25</v>
      </c>
      <c r="B342" s="266">
        <f t="shared" si="38"/>
        <v>1126</v>
      </c>
      <c r="C342" s="266"/>
      <c r="D342" s="283">
        <f t="shared" si="39"/>
        <v>993</v>
      </c>
      <c r="E342" s="283"/>
      <c r="F342" s="266">
        <v>282</v>
      </c>
      <c r="G342" s="266"/>
      <c r="H342" s="266">
        <f t="shared" si="40"/>
        <v>527</v>
      </c>
      <c r="I342" s="266"/>
      <c r="J342" s="266">
        <v>60</v>
      </c>
      <c r="K342" s="266">
        <v>51</v>
      </c>
      <c r="L342" s="266">
        <v>57</v>
      </c>
      <c r="M342" s="266">
        <v>359</v>
      </c>
      <c r="N342" s="266">
        <v>108</v>
      </c>
      <c r="O342" s="266"/>
      <c r="P342" s="266">
        <v>76</v>
      </c>
      <c r="Q342" s="266">
        <v>133</v>
      </c>
    </row>
    <row r="343" spans="1:17" s="263" customFormat="1" ht="9" customHeight="1" x14ac:dyDescent="0.25">
      <c r="A343" s="267" t="s">
        <v>26</v>
      </c>
      <c r="B343" s="268">
        <f t="shared" si="38"/>
        <v>1507</v>
      </c>
      <c r="C343" s="268"/>
      <c r="D343" s="284">
        <f t="shared" si="39"/>
        <v>1366</v>
      </c>
      <c r="E343" s="284"/>
      <c r="F343" s="268">
        <v>582</v>
      </c>
      <c r="G343" s="268"/>
      <c r="H343" s="268">
        <f t="shared" si="40"/>
        <v>520</v>
      </c>
      <c r="I343" s="268"/>
      <c r="J343" s="268">
        <v>77</v>
      </c>
      <c r="K343" s="268">
        <v>67</v>
      </c>
      <c r="L343" s="268">
        <v>62</v>
      </c>
      <c r="M343" s="268">
        <v>314</v>
      </c>
      <c r="N343" s="268">
        <v>154</v>
      </c>
      <c r="O343" s="268"/>
      <c r="P343" s="268">
        <v>110</v>
      </c>
      <c r="Q343" s="268">
        <v>141</v>
      </c>
    </row>
    <row r="344" spans="1:17" s="263" customFormat="1" ht="9" customHeight="1" x14ac:dyDescent="0.25">
      <c r="A344" s="263" t="s">
        <v>27</v>
      </c>
      <c r="B344" s="266">
        <f t="shared" si="38"/>
        <v>3915</v>
      </c>
      <c r="C344" s="266"/>
      <c r="D344" s="283">
        <f t="shared" si="39"/>
        <v>3296</v>
      </c>
      <c r="E344" s="283"/>
      <c r="F344" s="266">
        <v>967</v>
      </c>
      <c r="G344" s="266"/>
      <c r="H344" s="266">
        <f t="shared" si="40"/>
        <v>1681</v>
      </c>
      <c r="I344" s="287"/>
      <c r="J344" s="266">
        <v>222</v>
      </c>
      <c r="K344" s="266">
        <v>203</v>
      </c>
      <c r="L344" s="266">
        <v>156</v>
      </c>
      <c r="M344" s="266">
        <v>1100</v>
      </c>
      <c r="N344" s="266">
        <v>445</v>
      </c>
      <c r="O344" s="266"/>
      <c r="P344" s="266">
        <v>203</v>
      </c>
      <c r="Q344" s="266">
        <v>619</v>
      </c>
    </row>
    <row r="345" spans="1:17" s="263" customFormat="1" ht="9" customHeight="1" x14ac:dyDescent="0.25">
      <c r="A345" s="263" t="s">
        <v>28</v>
      </c>
      <c r="B345" s="266">
        <f t="shared" si="38"/>
        <v>1187</v>
      </c>
      <c r="C345" s="266"/>
      <c r="D345" s="283">
        <f t="shared" si="39"/>
        <v>1025</v>
      </c>
      <c r="E345" s="283"/>
      <c r="F345" s="266">
        <v>266</v>
      </c>
      <c r="G345" s="266"/>
      <c r="H345" s="266">
        <f t="shared" si="40"/>
        <v>524</v>
      </c>
      <c r="I345" s="266"/>
      <c r="J345" s="266">
        <v>71</v>
      </c>
      <c r="K345" s="266">
        <v>67</v>
      </c>
      <c r="L345" s="266">
        <v>54</v>
      </c>
      <c r="M345" s="266">
        <v>332</v>
      </c>
      <c r="N345" s="266">
        <v>108</v>
      </c>
      <c r="O345" s="266"/>
      <c r="P345" s="266">
        <v>127</v>
      </c>
      <c r="Q345" s="266">
        <v>162</v>
      </c>
    </row>
    <row r="346" spans="1:17" s="263" customFormat="1" ht="9.6" customHeight="1" x14ac:dyDescent="0.25">
      <c r="A346" s="263" t="s">
        <v>29</v>
      </c>
      <c r="B346" s="266">
        <f t="shared" si="38"/>
        <v>3973</v>
      </c>
      <c r="C346" s="266"/>
      <c r="D346" s="283">
        <f t="shared" si="39"/>
        <v>3649</v>
      </c>
      <c r="E346" s="283"/>
      <c r="F346" s="266">
        <v>1263</v>
      </c>
      <c r="G346" s="266"/>
      <c r="H346" s="266">
        <f t="shared" si="40"/>
        <v>1315</v>
      </c>
      <c r="J346" s="266">
        <v>148</v>
      </c>
      <c r="K346" s="266">
        <v>124</v>
      </c>
      <c r="L346" s="266">
        <v>283</v>
      </c>
      <c r="M346" s="266">
        <v>760</v>
      </c>
      <c r="N346" s="266">
        <v>333</v>
      </c>
      <c r="O346" s="266"/>
      <c r="P346" s="266">
        <v>738</v>
      </c>
      <c r="Q346" s="266">
        <v>324</v>
      </c>
    </row>
    <row r="347" spans="1:17" s="263" customFormat="1" ht="9" customHeight="1" x14ac:dyDescent="0.25">
      <c r="A347" s="267" t="s">
        <v>30</v>
      </c>
      <c r="B347" s="268">
        <f t="shared" si="38"/>
        <v>3926</v>
      </c>
      <c r="C347" s="268"/>
      <c r="D347" s="284">
        <f t="shared" si="39"/>
        <v>3349</v>
      </c>
      <c r="E347" s="284"/>
      <c r="F347" s="268">
        <v>1167</v>
      </c>
      <c r="G347" s="268"/>
      <c r="H347" s="268">
        <f t="shared" si="40"/>
        <v>1528</v>
      </c>
      <c r="I347" s="268"/>
      <c r="J347" s="268">
        <v>184</v>
      </c>
      <c r="K347" s="268">
        <v>171</v>
      </c>
      <c r="L347" s="268">
        <v>154</v>
      </c>
      <c r="M347" s="268">
        <v>1019</v>
      </c>
      <c r="N347" s="268">
        <v>343</v>
      </c>
      <c r="O347" s="268"/>
      <c r="P347" s="268">
        <v>311</v>
      </c>
      <c r="Q347" s="268">
        <v>577</v>
      </c>
    </row>
    <row r="348" spans="1:17" s="263" customFormat="1" ht="9" customHeight="1" x14ac:dyDescent="0.25">
      <c r="A348" s="263" t="s">
        <v>63</v>
      </c>
      <c r="B348" s="266">
        <f t="shared" si="38"/>
        <v>29308</v>
      </c>
      <c r="C348" s="266"/>
      <c r="D348" s="283">
        <f t="shared" si="39"/>
        <v>25166</v>
      </c>
      <c r="E348" s="283"/>
      <c r="F348" s="266">
        <v>4565</v>
      </c>
      <c r="G348" s="266"/>
      <c r="H348" s="266">
        <f t="shared" si="40"/>
        <v>13729</v>
      </c>
      <c r="I348" s="266"/>
      <c r="J348" s="266">
        <v>1236</v>
      </c>
      <c r="K348" s="266">
        <v>1811</v>
      </c>
      <c r="L348" s="266">
        <v>1306</v>
      </c>
      <c r="M348" s="266">
        <v>9376</v>
      </c>
      <c r="N348" s="266">
        <v>6478</v>
      </c>
      <c r="O348" s="266"/>
      <c r="P348" s="266">
        <v>394</v>
      </c>
      <c r="Q348" s="266">
        <v>4142</v>
      </c>
    </row>
    <row r="349" spans="1:17" s="263" customFormat="1" ht="9" customHeight="1" x14ac:dyDescent="0.25">
      <c r="A349" s="263" t="s">
        <v>31</v>
      </c>
      <c r="B349" s="266">
        <f t="shared" si="38"/>
        <v>2538</v>
      </c>
      <c r="C349" s="266"/>
      <c r="D349" s="283">
        <f t="shared" si="39"/>
        <v>2257</v>
      </c>
      <c r="E349" s="283"/>
      <c r="F349" s="266">
        <v>869</v>
      </c>
      <c r="G349" s="266"/>
      <c r="H349" s="266">
        <f t="shared" si="40"/>
        <v>851</v>
      </c>
      <c r="I349" s="266"/>
      <c r="J349" s="266">
        <v>107</v>
      </c>
      <c r="K349" s="266">
        <v>143</v>
      </c>
      <c r="L349" s="266">
        <v>79</v>
      </c>
      <c r="M349" s="266">
        <v>522</v>
      </c>
      <c r="N349" s="266">
        <v>238</v>
      </c>
      <c r="O349" s="266"/>
      <c r="P349" s="266">
        <v>299</v>
      </c>
      <c r="Q349" s="266">
        <v>281</v>
      </c>
    </row>
    <row r="350" spans="1:17" s="263" customFormat="1" ht="9" customHeight="1" x14ac:dyDescent="0.25">
      <c r="A350" s="263" t="s">
        <v>32</v>
      </c>
      <c r="B350" s="266">
        <f t="shared" si="38"/>
        <v>5378</v>
      </c>
      <c r="C350" s="266"/>
      <c r="D350" s="283">
        <f t="shared" si="39"/>
        <v>4655</v>
      </c>
      <c r="E350" s="283"/>
      <c r="F350" s="266">
        <v>1568</v>
      </c>
      <c r="G350" s="266"/>
      <c r="H350" s="266">
        <f t="shared" si="40"/>
        <v>1898</v>
      </c>
      <c r="I350" s="266"/>
      <c r="J350" s="266">
        <v>251</v>
      </c>
      <c r="K350" s="266">
        <v>228</v>
      </c>
      <c r="L350" s="266">
        <v>195</v>
      </c>
      <c r="M350" s="266">
        <v>1224</v>
      </c>
      <c r="N350" s="266">
        <v>738</v>
      </c>
      <c r="O350" s="266"/>
      <c r="P350" s="266">
        <v>451</v>
      </c>
      <c r="Q350" s="266">
        <v>723</v>
      </c>
    </row>
    <row r="351" spans="1:17" s="263" customFormat="1" ht="9" customHeight="1" x14ac:dyDescent="0.25">
      <c r="A351" s="267" t="s">
        <v>33</v>
      </c>
      <c r="B351" s="268">
        <f t="shared" si="38"/>
        <v>3997</v>
      </c>
      <c r="C351" s="268"/>
      <c r="D351" s="284">
        <f t="shared" si="39"/>
        <v>3657</v>
      </c>
      <c r="E351" s="284"/>
      <c r="F351" s="268">
        <v>1523</v>
      </c>
      <c r="G351" s="268"/>
      <c r="H351" s="268">
        <f t="shared" si="40"/>
        <v>1339</v>
      </c>
      <c r="I351" s="268"/>
      <c r="J351" s="268">
        <v>182</v>
      </c>
      <c r="K351" s="268">
        <v>152</v>
      </c>
      <c r="L351" s="268">
        <v>201</v>
      </c>
      <c r="M351" s="268">
        <v>804</v>
      </c>
      <c r="N351" s="268">
        <v>361</v>
      </c>
      <c r="O351" s="268"/>
      <c r="P351" s="268">
        <v>434</v>
      </c>
      <c r="Q351" s="268">
        <v>340</v>
      </c>
    </row>
    <row r="352" spans="1:17" s="263" customFormat="1" ht="9" customHeight="1" x14ac:dyDescent="0.25">
      <c r="A352" s="263" t="s">
        <v>34</v>
      </c>
      <c r="B352" s="266">
        <f t="shared" si="38"/>
        <v>3266</v>
      </c>
      <c r="C352" s="266"/>
      <c r="D352" s="283">
        <f t="shared" si="39"/>
        <v>2900</v>
      </c>
      <c r="E352" s="283"/>
      <c r="F352" s="266">
        <v>1002</v>
      </c>
      <c r="G352" s="266"/>
      <c r="H352" s="266">
        <f t="shared" si="40"/>
        <v>1024</v>
      </c>
      <c r="I352" s="266"/>
      <c r="J352" s="266">
        <v>141</v>
      </c>
      <c r="K352" s="266">
        <v>120</v>
      </c>
      <c r="L352" s="266">
        <v>164</v>
      </c>
      <c r="M352" s="266">
        <v>599</v>
      </c>
      <c r="N352" s="266">
        <v>256</v>
      </c>
      <c r="O352" s="266"/>
      <c r="P352" s="266">
        <v>618</v>
      </c>
      <c r="Q352" s="266">
        <v>366</v>
      </c>
    </row>
    <row r="353" spans="1:17" s="263" customFormat="1" ht="9" customHeight="1" x14ac:dyDescent="0.25">
      <c r="A353" s="263" t="s">
        <v>35</v>
      </c>
      <c r="B353" s="266">
        <f t="shared" si="38"/>
        <v>10014</v>
      </c>
      <c r="C353" s="266"/>
      <c r="D353" s="283">
        <f t="shared" si="39"/>
        <v>8801</v>
      </c>
      <c r="E353" s="283"/>
      <c r="F353" s="266">
        <v>2102</v>
      </c>
      <c r="G353" s="266"/>
      <c r="H353" s="266">
        <f t="shared" si="40"/>
        <v>3820</v>
      </c>
      <c r="I353" s="266"/>
      <c r="J353" s="266">
        <v>478</v>
      </c>
      <c r="K353" s="266">
        <v>453</v>
      </c>
      <c r="L353" s="266">
        <v>425</v>
      </c>
      <c r="M353" s="266">
        <v>2464</v>
      </c>
      <c r="N353" s="266">
        <v>2222</v>
      </c>
      <c r="O353" s="266"/>
      <c r="P353" s="266">
        <v>657</v>
      </c>
      <c r="Q353" s="266">
        <v>1213</v>
      </c>
    </row>
    <row r="354" spans="1:17" s="263" customFormat="1" ht="9" customHeight="1" x14ac:dyDescent="0.25">
      <c r="A354" s="263" t="s">
        <v>36</v>
      </c>
      <c r="B354" s="266">
        <f t="shared" si="38"/>
        <v>12263</v>
      </c>
      <c r="C354" s="266"/>
      <c r="D354" s="283">
        <f t="shared" si="39"/>
        <v>10604</v>
      </c>
      <c r="E354" s="283"/>
      <c r="F354" s="266">
        <v>3502</v>
      </c>
      <c r="G354" s="266"/>
      <c r="H354" s="266">
        <f t="shared" si="40"/>
        <v>4852</v>
      </c>
      <c r="I354" s="266"/>
      <c r="J354" s="266">
        <v>681</v>
      </c>
      <c r="K354" s="266">
        <v>613</v>
      </c>
      <c r="L354" s="266">
        <v>810</v>
      </c>
      <c r="M354" s="266">
        <v>2748</v>
      </c>
      <c r="N354" s="266">
        <v>1488</v>
      </c>
      <c r="O354" s="266"/>
      <c r="P354" s="266">
        <v>762</v>
      </c>
      <c r="Q354" s="266">
        <v>1659</v>
      </c>
    </row>
    <row r="355" spans="1:17" s="263" customFormat="1" ht="9" customHeight="1" x14ac:dyDescent="0.25">
      <c r="A355" s="267" t="s">
        <v>37</v>
      </c>
      <c r="B355" s="268">
        <f t="shared" si="38"/>
        <v>4716</v>
      </c>
      <c r="C355" s="268"/>
      <c r="D355" s="284">
        <f t="shared" si="39"/>
        <v>4306</v>
      </c>
      <c r="E355" s="284"/>
      <c r="F355" s="268">
        <v>1179</v>
      </c>
      <c r="G355" s="268"/>
      <c r="H355" s="268">
        <f t="shared" si="40"/>
        <v>1745</v>
      </c>
      <c r="I355" s="268"/>
      <c r="J355" s="268">
        <v>236</v>
      </c>
      <c r="K355" s="268">
        <v>183</v>
      </c>
      <c r="L355" s="268">
        <v>192</v>
      </c>
      <c r="M355" s="268">
        <v>1134</v>
      </c>
      <c r="N355" s="268">
        <v>613</v>
      </c>
      <c r="O355" s="268"/>
      <c r="P355" s="268">
        <v>769</v>
      </c>
      <c r="Q355" s="268">
        <v>410</v>
      </c>
    </row>
    <row r="356" spans="1:17" s="263" customFormat="1" ht="9" customHeight="1" x14ac:dyDescent="0.25">
      <c r="A356" s="263" t="s">
        <v>38</v>
      </c>
      <c r="B356" s="266">
        <f t="shared" si="38"/>
        <v>2233</v>
      </c>
      <c r="C356" s="266"/>
      <c r="D356" s="283">
        <f t="shared" si="39"/>
        <v>1943</v>
      </c>
      <c r="E356" s="283"/>
      <c r="F356" s="266">
        <v>595</v>
      </c>
      <c r="G356" s="266"/>
      <c r="H356" s="266">
        <f t="shared" si="40"/>
        <v>1002</v>
      </c>
      <c r="I356" s="266"/>
      <c r="J356" s="266">
        <v>127</v>
      </c>
      <c r="K356" s="266">
        <v>117</v>
      </c>
      <c r="L356" s="266">
        <v>113</v>
      </c>
      <c r="M356" s="266">
        <v>645</v>
      </c>
      <c r="N356" s="266">
        <v>169</v>
      </c>
      <c r="O356" s="266"/>
      <c r="P356" s="266">
        <v>177</v>
      </c>
      <c r="Q356" s="266">
        <v>290</v>
      </c>
    </row>
    <row r="357" spans="1:17" s="263" customFormat="1" ht="9" customHeight="1" x14ac:dyDescent="0.25">
      <c r="A357" s="263" t="s">
        <v>39</v>
      </c>
      <c r="B357" s="266">
        <f t="shared" si="38"/>
        <v>1630</v>
      </c>
      <c r="C357" s="266"/>
      <c r="D357" s="283">
        <f t="shared" si="39"/>
        <v>1471</v>
      </c>
      <c r="E357" s="283"/>
      <c r="F357" s="266">
        <v>421</v>
      </c>
      <c r="G357" s="266"/>
      <c r="H357" s="266">
        <f t="shared" si="40"/>
        <v>618</v>
      </c>
      <c r="I357" s="266"/>
      <c r="J357" s="266">
        <v>71</v>
      </c>
      <c r="K357" s="266">
        <v>61</v>
      </c>
      <c r="L357" s="266">
        <v>76</v>
      </c>
      <c r="M357" s="266">
        <v>410</v>
      </c>
      <c r="N357" s="266">
        <v>220</v>
      </c>
      <c r="O357" s="266"/>
      <c r="P357" s="266">
        <v>212</v>
      </c>
      <c r="Q357" s="266">
        <v>159</v>
      </c>
    </row>
    <row r="358" spans="1:17" s="263" customFormat="1" ht="9" customHeight="1" x14ac:dyDescent="0.25">
      <c r="A358" s="263" t="s">
        <v>40</v>
      </c>
      <c r="B358" s="266">
        <f t="shared" si="38"/>
        <v>5530</v>
      </c>
      <c r="C358" s="266"/>
      <c r="D358" s="283">
        <f t="shared" si="39"/>
        <v>4664</v>
      </c>
      <c r="E358" s="283"/>
      <c r="F358" s="266">
        <v>1402</v>
      </c>
      <c r="G358" s="266"/>
      <c r="H358" s="266">
        <f t="shared" si="40"/>
        <v>2003</v>
      </c>
      <c r="I358" s="266"/>
      <c r="J358" s="266">
        <v>254</v>
      </c>
      <c r="K358" s="266">
        <v>259</v>
      </c>
      <c r="L358" s="266">
        <v>219</v>
      </c>
      <c r="M358" s="266">
        <v>1271</v>
      </c>
      <c r="N358" s="266">
        <v>915</v>
      </c>
      <c r="O358" s="266"/>
      <c r="P358" s="266">
        <v>344</v>
      </c>
      <c r="Q358" s="266">
        <v>866</v>
      </c>
    </row>
    <row r="359" spans="1:17" s="263" customFormat="1" ht="9" customHeight="1" x14ac:dyDescent="0.25">
      <c r="A359" s="267" t="s">
        <v>41</v>
      </c>
      <c r="B359" s="268">
        <f t="shared" si="38"/>
        <v>3959</v>
      </c>
      <c r="C359" s="268"/>
      <c r="D359" s="284">
        <f t="shared" si="39"/>
        <v>3637</v>
      </c>
      <c r="E359" s="284"/>
      <c r="F359" s="268">
        <v>961</v>
      </c>
      <c r="G359" s="268"/>
      <c r="H359" s="268">
        <f t="shared" si="40"/>
        <v>1045</v>
      </c>
      <c r="I359" s="268"/>
      <c r="J359" s="268">
        <v>112</v>
      </c>
      <c r="K359" s="268">
        <v>104</v>
      </c>
      <c r="L359" s="268">
        <v>168</v>
      </c>
      <c r="M359" s="268">
        <v>661</v>
      </c>
      <c r="N359" s="268">
        <v>579</v>
      </c>
      <c r="O359" s="268"/>
      <c r="P359" s="268">
        <v>1052</v>
      </c>
      <c r="Q359" s="268">
        <v>322</v>
      </c>
    </row>
    <row r="360" spans="1:17" s="263" customFormat="1" ht="9.6" customHeight="1" x14ac:dyDescent="0.25">
      <c r="A360" s="263" t="s">
        <v>42</v>
      </c>
      <c r="B360" s="266">
        <f t="shared" si="38"/>
        <v>6349</v>
      </c>
      <c r="C360" s="266"/>
      <c r="D360" s="283">
        <f t="shared" si="39"/>
        <v>5724</v>
      </c>
      <c r="E360" s="283"/>
      <c r="F360" s="266">
        <v>1546</v>
      </c>
      <c r="G360" s="266"/>
      <c r="H360" s="266">
        <f t="shared" si="40"/>
        <v>2194</v>
      </c>
      <c r="I360" s="290"/>
      <c r="J360" s="266">
        <v>192</v>
      </c>
      <c r="K360" s="266">
        <v>221</v>
      </c>
      <c r="L360" s="266">
        <v>331</v>
      </c>
      <c r="M360" s="266">
        <v>1450</v>
      </c>
      <c r="N360" s="266">
        <v>1217</v>
      </c>
      <c r="O360" s="266"/>
      <c r="P360" s="266">
        <v>767</v>
      </c>
      <c r="Q360" s="266">
        <v>625</v>
      </c>
    </row>
    <row r="361" spans="1:17" s="263" customFormat="1" ht="9" customHeight="1" x14ac:dyDescent="0.25">
      <c r="A361" s="263" t="s">
        <v>43</v>
      </c>
      <c r="B361" s="266">
        <f t="shared" si="38"/>
        <v>1940</v>
      </c>
      <c r="C361" s="266"/>
      <c r="D361" s="283">
        <f t="shared" si="39"/>
        <v>1737</v>
      </c>
      <c r="E361" s="283"/>
      <c r="F361" s="266">
        <v>550</v>
      </c>
      <c r="G361" s="266"/>
      <c r="H361" s="266">
        <f t="shared" si="40"/>
        <v>793</v>
      </c>
      <c r="I361" s="266"/>
      <c r="J361" s="266">
        <v>132</v>
      </c>
      <c r="K361" s="266">
        <v>124</v>
      </c>
      <c r="L361" s="266">
        <v>100</v>
      </c>
      <c r="M361" s="266">
        <v>437</v>
      </c>
      <c r="N361" s="266">
        <v>189</v>
      </c>
      <c r="O361" s="266"/>
      <c r="P361" s="266">
        <v>205</v>
      </c>
      <c r="Q361" s="266">
        <v>203</v>
      </c>
    </row>
    <row r="362" spans="1:17" s="263" customFormat="1" ht="9" customHeight="1" x14ac:dyDescent="0.25">
      <c r="A362" s="263" t="s">
        <v>44</v>
      </c>
      <c r="B362" s="266">
        <f t="shared" si="38"/>
        <v>1415</v>
      </c>
      <c r="C362" s="266"/>
      <c r="D362" s="283">
        <f t="shared" si="39"/>
        <v>1214</v>
      </c>
      <c r="E362" s="283"/>
      <c r="F362" s="266">
        <v>485</v>
      </c>
      <c r="G362" s="266"/>
      <c r="H362" s="266">
        <f t="shared" si="40"/>
        <v>580</v>
      </c>
      <c r="I362" s="266"/>
      <c r="J362" s="266">
        <v>79</v>
      </c>
      <c r="K362" s="266">
        <v>90</v>
      </c>
      <c r="L362" s="266">
        <v>81</v>
      </c>
      <c r="M362" s="266">
        <v>330</v>
      </c>
      <c r="N362" s="266">
        <v>79</v>
      </c>
      <c r="O362" s="266"/>
      <c r="P362" s="266">
        <v>70</v>
      </c>
      <c r="Q362" s="266">
        <v>201</v>
      </c>
    </row>
    <row r="363" spans="1:17" s="263" customFormat="1" ht="9" customHeight="1" x14ac:dyDescent="0.25">
      <c r="A363" s="267" t="s">
        <v>45</v>
      </c>
      <c r="B363" s="268">
        <f t="shared" si="38"/>
        <v>2966</v>
      </c>
      <c r="C363" s="268"/>
      <c r="D363" s="284">
        <f t="shared" si="39"/>
        <v>2673</v>
      </c>
      <c r="E363" s="284"/>
      <c r="F363" s="268">
        <v>705</v>
      </c>
      <c r="G363" s="268"/>
      <c r="H363" s="268">
        <f t="shared" si="40"/>
        <v>1077</v>
      </c>
      <c r="I363" s="268"/>
      <c r="J363" s="268">
        <v>131</v>
      </c>
      <c r="K363" s="268">
        <v>121</v>
      </c>
      <c r="L363" s="268">
        <v>190</v>
      </c>
      <c r="M363" s="268">
        <v>635</v>
      </c>
      <c r="N363" s="268">
        <v>511</v>
      </c>
      <c r="O363" s="268"/>
      <c r="P363" s="268">
        <v>380</v>
      </c>
      <c r="Q363" s="268">
        <v>293</v>
      </c>
    </row>
    <row r="364" spans="1:17" s="263" customFormat="1" ht="9" customHeight="1" x14ac:dyDescent="0.25">
      <c r="A364" s="263" t="s">
        <v>46</v>
      </c>
      <c r="B364" s="266">
        <f t="shared" si="38"/>
        <v>4237</v>
      </c>
      <c r="C364" s="266"/>
      <c r="D364" s="283">
        <f t="shared" si="39"/>
        <v>3756</v>
      </c>
      <c r="E364" s="283"/>
      <c r="F364" s="266">
        <v>1096</v>
      </c>
      <c r="G364" s="266"/>
      <c r="H364" s="266">
        <f t="shared" si="40"/>
        <v>1763</v>
      </c>
      <c r="I364" s="266"/>
      <c r="J364" s="266">
        <v>222</v>
      </c>
      <c r="K364" s="266">
        <v>168</v>
      </c>
      <c r="L364" s="266">
        <v>205</v>
      </c>
      <c r="M364" s="266">
        <v>1168</v>
      </c>
      <c r="N364" s="266">
        <v>539</v>
      </c>
      <c r="O364" s="266"/>
      <c r="P364" s="266">
        <v>358</v>
      </c>
      <c r="Q364" s="266">
        <v>481</v>
      </c>
    </row>
    <row r="365" spans="1:17" s="263" customFormat="1" ht="9" customHeight="1" x14ac:dyDescent="0.25">
      <c r="A365" s="263" t="s">
        <v>47</v>
      </c>
      <c r="B365" s="266">
        <f t="shared" si="38"/>
        <v>3980</v>
      </c>
      <c r="C365" s="266"/>
      <c r="D365" s="283">
        <f t="shared" si="39"/>
        <v>3426</v>
      </c>
      <c r="E365" s="283"/>
      <c r="F365" s="266">
        <v>849</v>
      </c>
      <c r="G365" s="266"/>
      <c r="H365" s="266">
        <f t="shared" si="40"/>
        <v>1822</v>
      </c>
      <c r="I365" s="266"/>
      <c r="J365" s="266">
        <v>209</v>
      </c>
      <c r="K365" s="266">
        <v>203</v>
      </c>
      <c r="L365" s="266">
        <v>184</v>
      </c>
      <c r="M365" s="266">
        <v>1226</v>
      </c>
      <c r="N365" s="266">
        <v>560</v>
      </c>
      <c r="O365" s="266"/>
      <c r="P365" s="266">
        <v>195</v>
      </c>
      <c r="Q365" s="266">
        <v>554</v>
      </c>
    </row>
    <row r="366" spans="1:17" s="263" customFormat="1" ht="9.6" customHeight="1" x14ac:dyDescent="0.25">
      <c r="A366" s="263" t="s">
        <v>48</v>
      </c>
      <c r="B366" s="266">
        <f t="shared" si="38"/>
        <v>3645</v>
      </c>
      <c r="C366" s="266"/>
      <c r="D366" s="283">
        <f t="shared" si="39"/>
        <v>3226</v>
      </c>
      <c r="E366" s="283"/>
      <c r="F366" s="266">
        <v>1216</v>
      </c>
      <c r="G366" s="266"/>
      <c r="H366" s="266">
        <f t="shared" si="40"/>
        <v>1396</v>
      </c>
      <c r="I366" s="290"/>
      <c r="J366" s="266">
        <v>164</v>
      </c>
      <c r="K366" s="266">
        <v>142</v>
      </c>
      <c r="L366" s="266">
        <v>325</v>
      </c>
      <c r="M366" s="266">
        <v>765</v>
      </c>
      <c r="N366" s="266">
        <v>362</v>
      </c>
      <c r="O366" s="266"/>
      <c r="P366" s="266">
        <v>252</v>
      </c>
      <c r="Q366" s="266">
        <v>419</v>
      </c>
    </row>
    <row r="367" spans="1:17" s="263" customFormat="1" ht="9" customHeight="1" x14ac:dyDescent="0.25">
      <c r="A367" s="267" t="s">
        <v>49</v>
      </c>
      <c r="B367" s="268">
        <f t="shared" si="38"/>
        <v>4974</v>
      </c>
      <c r="C367" s="268"/>
      <c r="D367" s="284">
        <f t="shared" si="39"/>
        <v>4360</v>
      </c>
      <c r="E367" s="284"/>
      <c r="F367" s="268">
        <v>1216</v>
      </c>
      <c r="G367" s="268"/>
      <c r="H367" s="268">
        <f t="shared" si="40"/>
        <v>2126</v>
      </c>
      <c r="I367" s="268"/>
      <c r="J367" s="268">
        <v>276</v>
      </c>
      <c r="K367" s="268">
        <v>262</v>
      </c>
      <c r="L367" s="268">
        <v>198</v>
      </c>
      <c r="M367" s="268">
        <v>1390</v>
      </c>
      <c r="N367" s="268">
        <v>673</v>
      </c>
      <c r="O367" s="268"/>
      <c r="P367" s="268">
        <v>345</v>
      </c>
      <c r="Q367" s="268">
        <v>614</v>
      </c>
    </row>
    <row r="368" spans="1:17" s="263" customFormat="1" ht="9" customHeight="1" x14ac:dyDescent="0.25">
      <c r="A368" s="263" t="s">
        <v>50</v>
      </c>
      <c r="B368" s="266">
        <f t="shared" si="38"/>
        <v>1583</v>
      </c>
      <c r="C368" s="266"/>
      <c r="D368" s="283">
        <f t="shared" si="39"/>
        <v>1439</v>
      </c>
      <c r="E368" s="283"/>
      <c r="F368" s="266">
        <v>551</v>
      </c>
      <c r="G368" s="266"/>
      <c r="H368" s="266">
        <f t="shared" si="40"/>
        <v>539</v>
      </c>
      <c r="I368" s="266"/>
      <c r="J368" s="266">
        <v>69</v>
      </c>
      <c r="K368" s="266">
        <v>76</v>
      </c>
      <c r="L368" s="266">
        <v>81</v>
      </c>
      <c r="M368" s="266">
        <v>313</v>
      </c>
      <c r="N368" s="266">
        <v>159</v>
      </c>
      <c r="O368" s="266"/>
      <c r="P368" s="266">
        <v>190</v>
      </c>
      <c r="Q368" s="266">
        <v>144</v>
      </c>
    </row>
    <row r="369" spans="1:17" s="263" customFormat="1" ht="9" customHeight="1" x14ac:dyDescent="0.25">
      <c r="A369" s="263" t="s">
        <v>51</v>
      </c>
      <c r="B369" s="266">
        <f t="shared" si="38"/>
        <v>9501</v>
      </c>
      <c r="C369" s="266"/>
      <c r="D369" s="283">
        <f t="shared" si="39"/>
        <v>8269</v>
      </c>
      <c r="E369" s="283"/>
      <c r="F369" s="266">
        <v>2814</v>
      </c>
      <c r="G369" s="266"/>
      <c r="H369" s="266">
        <f t="shared" si="40"/>
        <v>3470</v>
      </c>
      <c r="I369" s="266"/>
      <c r="J369" s="266">
        <v>440</v>
      </c>
      <c r="K369" s="266">
        <v>412</v>
      </c>
      <c r="L369" s="266">
        <v>446</v>
      </c>
      <c r="M369" s="266">
        <v>2172</v>
      </c>
      <c r="N369" s="266">
        <v>1076</v>
      </c>
      <c r="O369" s="266"/>
      <c r="P369" s="266">
        <v>909</v>
      </c>
      <c r="Q369" s="266">
        <v>1232</v>
      </c>
    </row>
    <row r="370" spans="1:17" s="263" customFormat="1" ht="9" customHeight="1" x14ac:dyDescent="0.25">
      <c r="A370" s="263" t="s">
        <v>52</v>
      </c>
      <c r="B370" s="266">
        <f t="shared" si="38"/>
        <v>2601</v>
      </c>
      <c r="C370" s="266"/>
      <c r="D370" s="283">
        <f t="shared" si="39"/>
        <v>2231</v>
      </c>
      <c r="E370" s="283"/>
      <c r="F370" s="266">
        <v>639</v>
      </c>
      <c r="G370" s="266"/>
      <c r="H370" s="266">
        <f t="shared" si="40"/>
        <v>1042</v>
      </c>
      <c r="I370" s="266"/>
      <c r="J370" s="266">
        <v>129</v>
      </c>
      <c r="K370" s="266">
        <v>129</v>
      </c>
      <c r="L370" s="266">
        <v>104</v>
      </c>
      <c r="M370" s="266">
        <v>680</v>
      </c>
      <c r="N370" s="266">
        <v>304</v>
      </c>
      <c r="O370" s="266"/>
      <c r="P370" s="266">
        <v>246</v>
      </c>
      <c r="Q370" s="266">
        <v>370</v>
      </c>
    </row>
    <row r="371" spans="1:17" s="263" customFormat="1" ht="9" customHeight="1" x14ac:dyDescent="0.25">
      <c r="A371" s="267" t="s">
        <v>53</v>
      </c>
      <c r="B371" s="268">
        <f t="shared" si="38"/>
        <v>1785</v>
      </c>
      <c r="C371" s="268"/>
      <c r="D371" s="284">
        <f t="shared" si="39"/>
        <v>1616</v>
      </c>
      <c r="E371" s="284"/>
      <c r="F371" s="268">
        <v>492</v>
      </c>
      <c r="G371" s="268"/>
      <c r="H371" s="268">
        <f t="shared" si="40"/>
        <v>590</v>
      </c>
      <c r="I371" s="268"/>
      <c r="J371" s="268">
        <v>82</v>
      </c>
      <c r="K371" s="268">
        <v>70</v>
      </c>
      <c r="L371" s="268">
        <v>75</v>
      </c>
      <c r="M371" s="268">
        <v>363</v>
      </c>
      <c r="N371" s="268">
        <v>231</v>
      </c>
      <c r="O371" s="268"/>
      <c r="P371" s="268">
        <v>303</v>
      </c>
      <c r="Q371" s="268">
        <v>169</v>
      </c>
    </row>
    <row r="372" spans="1:17" s="263" customFormat="1" ht="9" customHeight="1" x14ac:dyDescent="0.25">
      <c r="B372" s="266"/>
      <c r="C372" s="266"/>
      <c r="D372" s="283"/>
      <c r="E372" s="283"/>
      <c r="F372" s="266"/>
      <c r="G372" s="266"/>
      <c r="H372" s="266"/>
      <c r="I372" s="266"/>
      <c r="J372" s="266"/>
      <c r="K372" s="266"/>
      <c r="L372" s="266"/>
      <c r="M372" s="266"/>
      <c r="N372" s="266"/>
      <c r="O372" s="266"/>
      <c r="P372" s="266"/>
      <c r="Q372" s="266"/>
    </row>
    <row r="373" spans="1:17" s="263" customFormat="1" ht="9" customHeight="1" x14ac:dyDescent="0.25">
      <c r="A373" s="261">
        <v>2005</v>
      </c>
      <c r="B373" s="266"/>
      <c r="C373" s="266"/>
      <c r="D373" s="266"/>
      <c r="E373" s="266"/>
      <c r="F373" s="271"/>
      <c r="G373" s="266"/>
      <c r="H373" s="266"/>
      <c r="I373" s="266"/>
      <c r="J373" s="271"/>
      <c r="K373" s="271"/>
      <c r="L373" s="271"/>
      <c r="M373" s="266"/>
      <c r="N373" s="266"/>
      <c r="O373" s="266"/>
      <c r="P373" s="266"/>
      <c r="Q373" s="271"/>
    </row>
    <row r="374" spans="1:17" s="263" customFormat="1" ht="9" customHeight="1" x14ac:dyDescent="0.25">
      <c r="A374" s="264" t="s">
        <v>21</v>
      </c>
      <c r="B374" s="262">
        <f>SUM(B376:B407)</f>
        <v>155880</v>
      </c>
      <c r="C374" s="262"/>
      <c r="D374" s="262">
        <f>SUM(D376:D407)</f>
        <v>141050</v>
      </c>
      <c r="E374" s="288"/>
      <c r="F374" s="262">
        <f>SUM(F376:F407)</f>
        <v>41310</v>
      </c>
      <c r="G374" s="262"/>
      <c r="H374" s="262">
        <f>SUM(H376:H407)</f>
        <v>67190</v>
      </c>
      <c r="I374" s="262"/>
      <c r="J374" s="262">
        <f t="shared" ref="J374:Q374" si="41">SUM(J376:J407)</f>
        <v>6224</v>
      </c>
      <c r="K374" s="262">
        <f t="shared" si="41"/>
        <v>7604</v>
      </c>
      <c r="L374" s="262">
        <f t="shared" si="41"/>
        <v>6893</v>
      </c>
      <c r="M374" s="262">
        <f t="shared" si="41"/>
        <v>46469</v>
      </c>
      <c r="N374" s="262">
        <f t="shared" si="41"/>
        <v>21104</v>
      </c>
      <c r="O374" s="262"/>
      <c r="P374" s="262">
        <f t="shared" si="41"/>
        <v>11446</v>
      </c>
      <c r="Q374" s="262">
        <f t="shared" si="41"/>
        <v>14830</v>
      </c>
    </row>
    <row r="375" spans="1:17" s="263" customFormat="1" ht="3.95" customHeight="1" x14ac:dyDescent="0.25">
      <c r="A375" s="264"/>
      <c r="B375" s="262"/>
      <c r="C375" s="262"/>
      <c r="D375" s="282"/>
      <c r="E375" s="282"/>
      <c r="F375" s="262"/>
      <c r="G375" s="262"/>
      <c r="H375" s="262"/>
      <c r="I375" s="262"/>
      <c r="J375" s="262"/>
      <c r="K375" s="262"/>
      <c r="L375" s="262"/>
      <c r="M375" s="262"/>
      <c r="N375" s="262"/>
      <c r="O375" s="262"/>
      <c r="P375" s="262"/>
      <c r="Q375" s="262"/>
    </row>
    <row r="376" spans="1:17" s="263" customFormat="1" ht="9" customHeight="1" x14ac:dyDescent="0.25">
      <c r="A376" s="263" t="s">
        <v>23</v>
      </c>
      <c r="B376" s="266">
        <f t="shared" ref="B376:B407" si="42">SUM(D376+Q376)</f>
        <v>2265</v>
      </c>
      <c r="C376" s="266"/>
      <c r="D376" s="283">
        <f t="shared" ref="D376:D407" si="43">SUM(F376+H376+P376+N376)</f>
        <v>1940</v>
      </c>
      <c r="E376" s="283"/>
      <c r="F376" s="266">
        <v>552</v>
      </c>
      <c r="G376" s="266"/>
      <c r="H376" s="266">
        <f t="shared" ref="H376:H407" si="44">SUM(J376:M376)</f>
        <v>1031</v>
      </c>
      <c r="I376" s="266"/>
      <c r="J376" s="266">
        <v>101</v>
      </c>
      <c r="K376" s="266">
        <v>161</v>
      </c>
      <c r="L376" s="266">
        <v>57</v>
      </c>
      <c r="M376" s="266">
        <v>712</v>
      </c>
      <c r="N376" s="266">
        <v>281</v>
      </c>
      <c r="O376" s="266"/>
      <c r="P376" s="266">
        <v>76</v>
      </c>
      <c r="Q376" s="266">
        <v>325</v>
      </c>
    </row>
    <row r="377" spans="1:17" s="263" customFormat="1" ht="9" customHeight="1" x14ac:dyDescent="0.25">
      <c r="A377" s="263" t="s">
        <v>24</v>
      </c>
      <c r="B377" s="266">
        <f t="shared" si="42"/>
        <v>3477</v>
      </c>
      <c r="C377" s="266"/>
      <c r="D377" s="283">
        <f t="shared" si="43"/>
        <v>3110</v>
      </c>
      <c r="E377" s="283"/>
      <c r="F377" s="266">
        <v>976</v>
      </c>
      <c r="G377" s="266"/>
      <c r="H377" s="266">
        <f t="shared" si="44"/>
        <v>1716</v>
      </c>
      <c r="I377" s="266"/>
      <c r="J377" s="266">
        <v>144</v>
      </c>
      <c r="K377" s="266">
        <v>214</v>
      </c>
      <c r="L377" s="266">
        <v>157</v>
      </c>
      <c r="M377" s="266">
        <v>1201</v>
      </c>
      <c r="N377" s="266">
        <v>306</v>
      </c>
      <c r="O377" s="266"/>
      <c r="P377" s="266">
        <v>112</v>
      </c>
      <c r="Q377" s="266">
        <v>367</v>
      </c>
    </row>
    <row r="378" spans="1:17" s="263" customFormat="1" ht="9" customHeight="1" x14ac:dyDescent="0.25">
      <c r="A378" s="263" t="s">
        <v>25</v>
      </c>
      <c r="B378" s="266">
        <f t="shared" si="42"/>
        <v>1116</v>
      </c>
      <c r="C378" s="266"/>
      <c r="D378" s="283">
        <f t="shared" si="43"/>
        <v>1004</v>
      </c>
      <c r="E378" s="283"/>
      <c r="F378" s="266">
        <v>303</v>
      </c>
      <c r="G378" s="266"/>
      <c r="H378" s="266">
        <f t="shared" si="44"/>
        <v>540</v>
      </c>
      <c r="I378" s="266"/>
      <c r="J378" s="266">
        <v>51</v>
      </c>
      <c r="K378" s="266">
        <v>50</v>
      </c>
      <c r="L378" s="266">
        <v>46</v>
      </c>
      <c r="M378" s="266">
        <v>393</v>
      </c>
      <c r="N378" s="266">
        <v>110</v>
      </c>
      <c r="O378" s="266"/>
      <c r="P378" s="266">
        <v>51</v>
      </c>
      <c r="Q378" s="266">
        <v>112</v>
      </c>
    </row>
    <row r="379" spans="1:17" s="263" customFormat="1" ht="9" customHeight="1" x14ac:dyDescent="0.25">
      <c r="A379" s="267" t="s">
        <v>26</v>
      </c>
      <c r="B379" s="268">
        <f t="shared" si="42"/>
        <v>1622</v>
      </c>
      <c r="C379" s="268"/>
      <c r="D379" s="284">
        <f t="shared" si="43"/>
        <v>1504</v>
      </c>
      <c r="E379" s="284"/>
      <c r="F379" s="268">
        <v>631</v>
      </c>
      <c r="G379" s="268"/>
      <c r="H379" s="268">
        <f t="shared" si="44"/>
        <v>658</v>
      </c>
      <c r="I379" s="268"/>
      <c r="J379" s="268">
        <v>79</v>
      </c>
      <c r="K379" s="268">
        <v>73</v>
      </c>
      <c r="L379" s="268">
        <v>68</v>
      </c>
      <c r="M379" s="268">
        <v>438</v>
      </c>
      <c r="N379" s="268">
        <v>129</v>
      </c>
      <c r="O379" s="268"/>
      <c r="P379" s="268">
        <v>86</v>
      </c>
      <c r="Q379" s="268">
        <v>118</v>
      </c>
    </row>
    <row r="380" spans="1:17" s="263" customFormat="1" ht="9" customHeight="1" x14ac:dyDescent="0.25">
      <c r="A380" s="263" t="s">
        <v>27</v>
      </c>
      <c r="B380" s="266">
        <f t="shared" si="42"/>
        <v>3909</v>
      </c>
      <c r="C380" s="266"/>
      <c r="D380" s="283">
        <f t="shared" si="43"/>
        <v>3447</v>
      </c>
      <c r="E380" s="283"/>
      <c r="F380" s="266">
        <v>929</v>
      </c>
      <c r="G380" s="266"/>
      <c r="H380" s="266">
        <f t="shared" si="44"/>
        <v>1914</v>
      </c>
      <c r="I380" s="287"/>
      <c r="J380" s="266">
        <v>212</v>
      </c>
      <c r="K380" s="266">
        <v>250</v>
      </c>
      <c r="L380" s="266">
        <v>135</v>
      </c>
      <c r="M380" s="266">
        <v>1317</v>
      </c>
      <c r="N380" s="266">
        <v>427</v>
      </c>
      <c r="O380" s="266"/>
      <c r="P380" s="266">
        <v>177</v>
      </c>
      <c r="Q380" s="266">
        <v>462</v>
      </c>
    </row>
    <row r="381" spans="1:17" s="263" customFormat="1" ht="9" customHeight="1" x14ac:dyDescent="0.25">
      <c r="A381" s="263" t="s">
        <v>28</v>
      </c>
      <c r="B381" s="266">
        <f t="shared" si="42"/>
        <v>1305</v>
      </c>
      <c r="C381" s="266"/>
      <c r="D381" s="283">
        <f t="shared" si="43"/>
        <v>1188</v>
      </c>
      <c r="E381" s="283"/>
      <c r="F381" s="266">
        <v>312</v>
      </c>
      <c r="G381" s="266"/>
      <c r="H381" s="266">
        <f t="shared" si="44"/>
        <v>627</v>
      </c>
      <c r="I381" s="266"/>
      <c r="J381" s="266">
        <v>74</v>
      </c>
      <c r="K381" s="266">
        <v>80</v>
      </c>
      <c r="L381" s="266">
        <v>59</v>
      </c>
      <c r="M381" s="266">
        <v>414</v>
      </c>
      <c r="N381" s="266">
        <v>132</v>
      </c>
      <c r="O381" s="266"/>
      <c r="P381" s="266">
        <v>117</v>
      </c>
      <c r="Q381" s="266">
        <v>117</v>
      </c>
    </row>
    <row r="382" spans="1:17" s="263" customFormat="1" ht="9.6" customHeight="1" x14ac:dyDescent="0.25">
      <c r="A382" s="263" t="s">
        <v>29</v>
      </c>
      <c r="B382" s="266">
        <f t="shared" si="42"/>
        <v>3978</v>
      </c>
      <c r="C382" s="266"/>
      <c r="D382" s="283">
        <f t="shared" si="43"/>
        <v>3735</v>
      </c>
      <c r="E382" s="283"/>
      <c r="F382" s="266">
        <v>1734</v>
      </c>
      <c r="G382" s="266"/>
      <c r="H382" s="266">
        <f t="shared" si="44"/>
        <v>1379</v>
      </c>
      <c r="J382" s="266">
        <v>150</v>
      </c>
      <c r="K382" s="266">
        <v>134</v>
      </c>
      <c r="L382" s="266">
        <v>233</v>
      </c>
      <c r="M382" s="266">
        <v>862</v>
      </c>
      <c r="N382" s="266">
        <v>305</v>
      </c>
      <c r="O382" s="266"/>
      <c r="P382" s="266">
        <v>317</v>
      </c>
      <c r="Q382" s="266">
        <v>243</v>
      </c>
    </row>
    <row r="383" spans="1:17" s="263" customFormat="1" ht="9" customHeight="1" x14ac:dyDescent="0.25">
      <c r="A383" s="267" t="s">
        <v>30</v>
      </c>
      <c r="B383" s="268">
        <f t="shared" si="42"/>
        <v>3800</v>
      </c>
      <c r="C383" s="268"/>
      <c r="D383" s="284">
        <f t="shared" si="43"/>
        <v>3401</v>
      </c>
      <c r="E383" s="284"/>
      <c r="F383" s="268">
        <v>1226</v>
      </c>
      <c r="G383" s="268"/>
      <c r="H383" s="268">
        <f t="shared" si="44"/>
        <v>1619</v>
      </c>
      <c r="I383" s="268"/>
      <c r="J383" s="268">
        <v>142</v>
      </c>
      <c r="K383" s="268">
        <v>176</v>
      </c>
      <c r="L383" s="268">
        <v>135</v>
      </c>
      <c r="M383" s="268">
        <v>1166</v>
      </c>
      <c r="N383" s="268">
        <v>343</v>
      </c>
      <c r="O383" s="268"/>
      <c r="P383" s="268">
        <v>213</v>
      </c>
      <c r="Q383" s="268">
        <v>399</v>
      </c>
    </row>
    <row r="384" spans="1:17" s="263" customFormat="1" ht="9" customHeight="1" x14ac:dyDescent="0.25">
      <c r="A384" s="263" t="s">
        <v>63</v>
      </c>
      <c r="B384" s="266">
        <f t="shared" si="42"/>
        <v>29739</v>
      </c>
      <c r="C384" s="266"/>
      <c r="D384" s="283">
        <f t="shared" si="43"/>
        <v>26543</v>
      </c>
      <c r="E384" s="283"/>
      <c r="F384" s="266">
        <v>4746</v>
      </c>
      <c r="G384" s="266"/>
      <c r="H384" s="266">
        <f t="shared" si="44"/>
        <v>15070</v>
      </c>
      <c r="I384" s="266"/>
      <c r="J384" s="266">
        <v>1096</v>
      </c>
      <c r="K384" s="266">
        <v>1862</v>
      </c>
      <c r="L384" s="266">
        <v>1296</v>
      </c>
      <c r="M384" s="266">
        <v>10816</v>
      </c>
      <c r="N384" s="266">
        <v>6296</v>
      </c>
      <c r="O384" s="266"/>
      <c r="P384" s="266">
        <v>431</v>
      </c>
      <c r="Q384" s="266">
        <v>3196</v>
      </c>
    </row>
    <row r="385" spans="1:17" s="263" customFormat="1" ht="9" customHeight="1" x14ac:dyDescent="0.25">
      <c r="A385" s="263" t="s">
        <v>31</v>
      </c>
      <c r="B385" s="266">
        <f t="shared" si="42"/>
        <v>2677</v>
      </c>
      <c r="C385" s="266"/>
      <c r="D385" s="283">
        <f t="shared" si="43"/>
        <v>2439</v>
      </c>
      <c r="E385" s="283"/>
      <c r="F385" s="266">
        <v>758</v>
      </c>
      <c r="G385" s="266"/>
      <c r="H385" s="266">
        <f t="shared" si="44"/>
        <v>1141</v>
      </c>
      <c r="I385" s="266"/>
      <c r="J385" s="266">
        <v>119</v>
      </c>
      <c r="K385" s="266">
        <v>168</v>
      </c>
      <c r="L385" s="266">
        <v>76</v>
      </c>
      <c r="M385" s="266">
        <v>778</v>
      </c>
      <c r="N385" s="266">
        <v>293</v>
      </c>
      <c r="O385" s="266"/>
      <c r="P385" s="266">
        <v>247</v>
      </c>
      <c r="Q385" s="266">
        <v>238</v>
      </c>
    </row>
    <row r="386" spans="1:17" s="263" customFormat="1" ht="9" customHeight="1" x14ac:dyDescent="0.25">
      <c r="A386" s="263" t="s">
        <v>32</v>
      </c>
      <c r="B386" s="266">
        <f t="shared" si="42"/>
        <v>5617</v>
      </c>
      <c r="C386" s="266"/>
      <c r="D386" s="283">
        <f t="shared" si="43"/>
        <v>4995</v>
      </c>
      <c r="E386" s="283"/>
      <c r="F386" s="266">
        <v>1608</v>
      </c>
      <c r="G386" s="266"/>
      <c r="H386" s="266">
        <f t="shared" si="44"/>
        <v>2276</v>
      </c>
      <c r="I386" s="266"/>
      <c r="J386" s="266">
        <v>222</v>
      </c>
      <c r="K386" s="266">
        <v>237</v>
      </c>
      <c r="L386" s="266">
        <v>173</v>
      </c>
      <c r="M386" s="266">
        <v>1644</v>
      </c>
      <c r="N386" s="266">
        <v>650</v>
      </c>
      <c r="O386" s="266"/>
      <c r="P386" s="266">
        <v>461</v>
      </c>
      <c r="Q386" s="266">
        <v>622</v>
      </c>
    </row>
    <row r="387" spans="1:17" s="263" customFormat="1" ht="9" customHeight="1" x14ac:dyDescent="0.25">
      <c r="A387" s="267" t="s">
        <v>33</v>
      </c>
      <c r="B387" s="268">
        <f t="shared" si="42"/>
        <v>4008</v>
      </c>
      <c r="C387" s="268"/>
      <c r="D387" s="284">
        <f t="shared" si="43"/>
        <v>3730</v>
      </c>
      <c r="E387" s="284"/>
      <c r="F387" s="268">
        <v>1505</v>
      </c>
      <c r="G387" s="268"/>
      <c r="H387" s="268">
        <f t="shared" si="44"/>
        <v>1484</v>
      </c>
      <c r="I387" s="268"/>
      <c r="J387" s="268">
        <v>169</v>
      </c>
      <c r="K387" s="268">
        <v>158</v>
      </c>
      <c r="L387" s="268">
        <v>180</v>
      </c>
      <c r="M387" s="268">
        <v>977</v>
      </c>
      <c r="N387" s="268">
        <v>294</v>
      </c>
      <c r="O387" s="268"/>
      <c r="P387" s="268">
        <v>447</v>
      </c>
      <c r="Q387" s="268">
        <v>278</v>
      </c>
    </row>
    <row r="388" spans="1:17" s="263" customFormat="1" ht="9" customHeight="1" x14ac:dyDescent="0.25">
      <c r="A388" s="263" t="s">
        <v>34</v>
      </c>
      <c r="B388" s="266">
        <f t="shared" si="42"/>
        <v>3328</v>
      </c>
      <c r="C388" s="266"/>
      <c r="D388" s="283">
        <f t="shared" si="43"/>
        <v>3025</v>
      </c>
      <c r="E388" s="283"/>
      <c r="F388" s="266">
        <v>1126</v>
      </c>
      <c r="G388" s="266"/>
      <c r="H388" s="266">
        <f t="shared" si="44"/>
        <v>1110</v>
      </c>
      <c r="I388" s="266"/>
      <c r="J388" s="266">
        <v>137</v>
      </c>
      <c r="K388" s="266">
        <v>123</v>
      </c>
      <c r="L388" s="266">
        <v>163</v>
      </c>
      <c r="M388" s="266">
        <v>687</v>
      </c>
      <c r="N388" s="266">
        <v>267</v>
      </c>
      <c r="O388" s="266"/>
      <c r="P388" s="266">
        <v>522</v>
      </c>
      <c r="Q388" s="266">
        <v>303</v>
      </c>
    </row>
    <row r="389" spans="1:17" s="263" customFormat="1" ht="9" customHeight="1" x14ac:dyDescent="0.25">
      <c r="A389" s="263" t="s">
        <v>35</v>
      </c>
      <c r="B389" s="266">
        <f t="shared" si="42"/>
        <v>10292</v>
      </c>
      <c r="C389" s="266"/>
      <c r="D389" s="283">
        <f t="shared" si="43"/>
        <v>9326</v>
      </c>
      <c r="E389" s="283"/>
      <c r="F389" s="266">
        <v>2208</v>
      </c>
      <c r="G389" s="266"/>
      <c r="H389" s="266">
        <f t="shared" si="44"/>
        <v>4360</v>
      </c>
      <c r="I389" s="266"/>
      <c r="J389" s="266">
        <v>340</v>
      </c>
      <c r="K389" s="266">
        <v>460</v>
      </c>
      <c r="L389" s="266">
        <v>405</v>
      </c>
      <c r="M389" s="266">
        <v>3155</v>
      </c>
      <c r="N389" s="266">
        <v>2079</v>
      </c>
      <c r="O389" s="266"/>
      <c r="P389" s="266">
        <v>679</v>
      </c>
      <c r="Q389" s="266">
        <v>966</v>
      </c>
    </row>
    <row r="390" spans="1:17" s="263" customFormat="1" ht="9" customHeight="1" x14ac:dyDescent="0.25">
      <c r="A390" s="263" t="s">
        <v>36</v>
      </c>
      <c r="B390" s="266">
        <f t="shared" si="42"/>
        <v>12834</v>
      </c>
      <c r="C390" s="266"/>
      <c r="D390" s="283">
        <f t="shared" si="43"/>
        <v>11463</v>
      </c>
      <c r="E390" s="283"/>
      <c r="F390" s="266">
        <v>3519</v>
      </c>
      <c r="G390" s="266"/>
      <c r="H390" s="266">
        <f t="shared" si="44"/>
        <v>5589</v>
      </c>
      <c r="I390" s="266"/>
      <c r="J390" s="266">
        <v>542</v>
      </c>
      <c r="K390" s="266">
        <v>517</v>
      </c>
      <c r="L390" s="266">
        <v>687</v>
      </c>
      <c r="M390" s="266">
        <v>3843</v>
      </c>
      <c r="N390" s="266">
        <v>934</v>
      </c>
      <c r="O390" s="266"/>
      <c r="P390" s="266">
        <v>1421</v>
      </c>
      <c r="Q390" s="266">
        <v>1371</v>
      </c>
    </row>
    <row r="391" spans="1:17" s="263" customFormat="1" ht="9" customHeight="1" x14ac:dyDescent="0.25">
      <c r="A391" s="267" t="s">
        <v>37</v>
      </c>
      <c r="B391" s="268">
        <f t="shared" si="42"/>
        <v>4836</v>
      </c>
      <c r="C391" s="268"/>
      <c r="D391" s="284">
        <f t="shared" si="43"/>
        <v>4496</v>
      </c>
      <c r="E391" s="284"/>
      <c r="F391" s="268">
        <v>1320</v>
      </c>
      <c r="G391" s="268"/>
      <c r="H391" s="268">
        <f t="shared" si="44"/>
        <v>1840</v>
      </c>
      <c r="I391" s="268"/>
      <c r="J391" s="268">
        <v>221</v>
      </c>
      <c r="K391" s="268">
        <v>187</v>
      </c>
      <c r="L391" s="268">
        <v>185</v>
      </c>
      <c r="M391" s="268">
        <v>1247</v>
      </c>
      <c r="N391" s="268">
        <v>606</v>
      </c>
      <c r="O391" s="268"/>
      <c r="P391" s="268">
        <v>730</v>
      </c>
      <c r="Q391" s="268">
        <v>340</v>
      </c>
    </row>
    <row r="392" spans="1:17" s="263" customFormat="1" ht="9" customHeight="1" x14ac:dyDescent="0.25">
      <c r="A392" s="263" t="s">
        <v>38</v>
      </c>
      <c r="B392" s="266">
        <f t="shared" si="42"/>
        <v>2360</v>
      </c>
      <c r="C392" s="266"/>
      <c r="D392" s="283">
        <f t="shared" si="43"/>
        <v>2147</v>
      </c>
      <c r="E392" s="283"/>
      <c r="F392" s="266">
        <v>644</v>
      </c>
      <c r="G392" s="266"/>
      <c r="H392" s="266">
        <f t="shared" si="44"/>
        <v>1128</v>
      </c>
      <c r="I392" s="266"/>
      <c r="J392" s="266">
        <v>138</v>
      </c>
      <c r="K392" s="266">
        <v>132</v>
      </c>
      <c r="L392" s="266">
        <v>126</v>
      </c>
      <c r="M392" s="266">
        <v>732</v>
      </c>
      <c r="N392" s="266">
        <v>172</v>
      </c>
      <c r="O392" s="266"/>
      <c r="P392" s="266">
        <v>203</v>
      </c>
      <c r="Q392" s="266">
        <v>213</v>
      </c>
    </row>
    <row r="393" spans="1:17" s="263" customFormat="1" ht="9" customHeight="1" x14ac:dyDescent="0.25">
      <c r="A393" s="263" t="s">
        <v>39</v>
      </c>
      <c r="B393" s="266">
        <f t="shared" si="42"/>
        <v>1874</v>
      </c>
      <c r="C393" s="266"/>
      <c r="D393" s="283">
        <f t="shared" si="43"/>
        <v>1748</v>
      </c>
      <c r="E393" s="283"/>
      <c r="F393" s="266">
        <v>602</v>
      </c>
      <c r="G393" s="266"/>
      <c r="H393" s="266">
        <f t="shared" si="44"/>
        <v>739</v>
      </c>
      <c r="I393" s="266"/>
      <c r="J393" s="266">
        <v>61</v>
      </c>
      <c r="K393" s="266">
        <v>72</v>
      </c>
      <c r="L393" s="266">
        <v>79</v>
      </c>
      <c r="M393" s="266">
        <v>527</v>
      </c>
      <c r="N393" s="266">
        <v>171</v>
      </c>
      <c r="O393" s="266"/>
      <c r="P393" s="266">
        <v>236</v>
      </c>
      <c r="Q393" s="266">
        <v>126</v>
      </c>
    </row>
    <row r="394" spans="1:17" s="263" customFormat="1" ht="9" customHeight="1" x14ac:dyDescent="0.25">
      <c r="A394" s="263" t="s">
        <v>40</v>
      </c>
      <c r="B394" s="266">
        <f t="shared" si="42"/>
        <v>6212</v>
      </c>
      <c r="C394" s="266"/>
      <c r="D394" s="283">
        <f t="shared" si="43"/>
        <v>5590</v>
      </c>
      <c r="E394" s="283"/>
      <c r="F394" s="266">
        <v>1471</v>
      </c>
      <c r="G394" s="266"/>
      <c r="H394" s="266">
        <f t="shared" si="44"/>
        <v>2625</v>
      </c>
      <c r="I394" s="266"/>
      <c r="J394" s="266">
        <v>228</v>
      </c>
      <c r="K394" s="266">
        <v>308</v>
      </c>
      <c r="L394" s="266">
        <v>215</v>
      </c>
      <c r="M394" s="266">
        <v>1874</v>
      </c>
      <c r="N394" s="266">
        <v>1146</v>
      </c>
      <c r="O394" s="266"/>
      <c r="P394" s="266">
        <v>348</v>
      </c>
      <c r="Q394" s="266">
        <v>622</v>
      </c>
    </row>
    <row r="395" spans="1:17" s="263" customFormat="1" ht="9" customHeight="1" x14ac:dyDescent="0.25">
      <c r="A395" s="267" t="s">
        <v>41</v>
      </c>
      <c r="B395" s="268">
        <f t="shared" si="42"/>
        <v>4054</v>
      </c>
      <c r="C395" s="268"/>
      <c r="D395" s="284">
        <f t="shared" si="43"/>
        <v>3777</v>
      </c>
      <c r="E395" s="284"/>
      <c r="F395" s="268">
        <v>1325</v>
      </c>
      <c r="G395" s="268"/>
      <c r="H395" s="268">
        <f t="shared" si="44"/>
        <v>1121</v>
      </c>
      <c r="I395" s="268"/>
      <c r="J395" s="268">
        <v>104</v>
      </c>
      <c r="K395" s="268">
        <v>105</v>
      </c>
      <c r="L395" s="268">
        <v>143</v>
      </c>
      <c r="M395" s="268">
        <v>769</v>
      </c>
      <c r="N395" s="268">
        <v>583</v>
      </c>
      <c r="O395" s="268"/>
      <c r="P395" s="268">
        <v>748</v>
      </c>
      <c r="Q395" s="268">
        <v>277</v>
      </c>
    </row>
    <row r="396" spans="1:17" s="263" customFormat="1" ht="9.6" customHeight="1" x14ac:dyDescent="0.25">
      <c r="A396" s="263" t="s">
        <v>42</v>
      </c>
      <c r="B396" s="266">
        <f t="shared" si="42"/>
        <v>6381</v>
      </c>
      <c r="C396" s="266"/>
      <c r="D396" s="283">
        <f t="shared" si="43"/>
        <v>5916</v>
      </c>
      <c r="E396" s="283"/>
      <c r="F396" s="266">
        <v>1793</v>
      </c>
      <c r="G396" s="266"/>
      <c r="H396" s="266">
        <f t="shared" si="44"/>
        <v>2366</v>
      </c>
      <c r="I396" s="290"/>
      <c r="J396" s="266">
        <v>219</v>
      </c>
      <c r="K396" s="266">
        <v>290</v>
      </c>
      <c r="L396" s="266">
        <v>330</v>
      </c>
      <c r="M396" s="266">
        <v>1527</v>
      </c>
      <c r="N396" s="266">
        <v>1113</v>
      </c>
      <c r="O396" s="266"/>
      <c r="P396" s="266">
        <v>644</v>
      </c>
      <c r="Q396" s="266">
        <v>465</v>
      </c>
    </row>
    <row r="397" spans="1:17" s="263" customFormat="1" ht="9" customHeight="1" x14ac:dyDescent="0.25">
      <c r="A397" s="263" t="s">
        <v>43</v>
      </c>
      <c r="B397" s="266">
        <f t="shared" si="42"/>
        <v>2105</v>
      </c>
      <c r="C397" s="266"/>
      <c r="D397" s="283">
        <f t="shared" si="43"/>
        <v>1941</v>
      </c>
      <c r="E397" s="283"/>
      <c r="F397" s="266">
        <v>599</v>
      </c>
      <c r="G397" s="266"/>
      <c r="H397" s="266">
        <f t="shared" si="44"/>
        <v>863</v>
      </c>
      <c r="I397" s="266"/>
      <c r="J397" s="266">
        <v>97</v>
      </c>
      <c r="K397" s="266">
        <v>123</v>
      </c>
      <c r="L397" s="266">
        <v>112</v>
      </c>
      <c r="M397" s="266">
        <v>531</v>
      </c>
      <c r="N397" s="266">
        <v>237</v>
      </c>
      <c r="O397" s="266"/>
      <c r="P397" s="266">
        <v>242</v>
      </c>
      <c r="Q397" s="266">
        <v>164</v>
      </c>
    </row>
    <row r="398" spans="1:17" s="263" customFormat="1" ht="9" customHeight="1" x14ac:dyDescent="0.25">
      <c r="A398" s="263" t="s">
        <v>44</v>
      </c>
      <c r="B398" s="266">
        <f t="shared" si="42"/>
        <v>1421</v>
      </c>
      <c r="C398" s="266"/>
      <c r="D398" s="283">
        <f t="shared" si="43"/>
        <v>1258</v>
      </c>
      <c r="E398" s="283"/>
      <c r="F398" s="266">
        <v>494</v>
      </c>
      <c r="G398" s="266"/>
      <c r="H398" s="266">
        <f t="shared" si="44"/>
        <v>612</v>
      </c>
      <c r="I398" s="266"/>
      <c r="J398" s="266">
        <v>64</v>
      </c>
      <c r="K398" s="266">
        <v>91</v>
      </c>
      <c r="L398" s="266">
        <v>72</v>
      </c>
      <c r="M398" s="266">
        <v>385</v>
      </c>
      <c r="N398" s="266">
        <v>84</v>
      </c>
      <c r="O398" s="266"/>
      <c r="P398" s="266">
        <v>68</v>
      </c>
      <c r="Q398" s="266">
        <v>163</v>
      </c>
    </row>
    <row r="399" spans="1:17" s="263" customFormat="1" ht="9" customHeight="1" x14ac:dyDescent="0.25">
      <c r="A399" s="267" t="s">
        <v>45</v>
      </c>
      <c r="B399" s="268">
        <f t="shared" si="42"/>
        <v>3152</v>
      </c>
      <c r="C399" s="268"/>
      <c r="D399" s="284">
        <f t="shared" si="43"/>
        <v>2955</v>
      </c>
      <c r="E399" s="284"/>
      <c r="F399" s="268">
        <v>902</v>
      </c>
      <c r="G399" s="268"/>
      <c r="H399" s="268">
        <f t="shared" si="44"/>
        <v>1280</v>
      </c>
      <c r="I399" s="268"/>
      <c r="J399" s="268">
        <v>130</v>
      </c>
      <c r="K399" s="268">
        <v>133</v>
      </c>
      <c r="L399" s="268">
        <v>179</v>
      </c>
      <c r="M399" s="268">
        <v>838</v>
      </c>
      <c r="N399" s="268">
        <v>411</v>
      </c>
      <c r="O399" s="268"/>
      <c r="P399" s="268">
        <v>362</v>
      </c>
      <c r="Q399" s="268">
        <v>197</v>
      </c>
    </row>
    <row r="400" spans="1:17" s="263" customFormat="1" ht="9" customHeight="1" x14ac:dyDescent="0.25">
      <c r="A400" s="263" t="s">
        <v>46</v>
      </c>
      <c r="B400" s="266">
        <f t="shared" si="42"/>
        <v>4499</v>
      </c>
      <c r="C400" s="266"/>
      <c r="D400" s="283">
        <f t="shared" si="43"/>
        <v>4103</v>
      </c>
      <c r="E400" s="283"/>
      <c r="F400" s="266">
        <v>1305</v>
      </c>
      <c r="G400" s="266"/>
      <c r="H400" s="266">
        <f t="shared" si="44"/>
        <v>1901</v>
      </c>
      <c r="I400" s="266"/>
      <c r="J400" s="266">
        <v>186</v>
      </c>
      <c r="K400" s="266">
        <v>190</v>
      </c>
      <c r="L400" s="266">
        <v>188</v>
      </c>
      <c r="M400" s="266">
        <v>1337</v>
      </c>
      <c r="N400" s="266">
        <v>551</v>
      </c>
      <c r="O400" s="266"/>
      <c r="P400" s="266">
        <v>346</v>
      </c>
      <c r="Q400" s="266">
        <v>396</v>
      </c>
    </row>
    <row r="401" spans="1:17" s="263" customFormat="1" ht="9" customHeight="1" x14ac:dyDescent="0.25">
      <c r="A401" s="263" t="s">
        <v>47</v>
      </c>
      <c r="B401" s="266">
        <f t="shared" si="42"/>
        <v>4225</v>
      </c>
      <c r="C401" s="266"/>
      <c r="D401" s="283">
        <f t="shared" si="43"/>
        <v>3787</v>
      </c>
      <c r="E401" s="283"/>
      <c r="F401" s="266">
        <v>949</v>
      </c>
      <c r="G401" s="266"/>
      <c r="H401" s="266">
        <f t="shared" si="44"/>
        <v>2066</v>
      </c>
      <c r="I401" s="266"/>
      <c r="J401" s="266">
        <v>200</v>
      </c>
      <c r="K401" s="266">
        <v>212</v>
      </c>
      <c r="L401" s="266">
        <v>171</v>
      </c>
      <c r="M401" s="266">
        <v>1483</v>
      </c>
      <c r="N401" s="266">
        <v>568</v>
      </c>
      <c r="O401" s="266"/>
      <c r="P401" s="266">
        <v>204</v>
      </c>
      <c r="Q401" s="266">
        <v>438</v>
      </c>
    </row>
    <row r="402" spans="1:17" s="263" customFormat="1" ht="9.6" customHeight="1" x14ac:dyDescent="0.25">
      <c r="A402" s="263" t="s">
        <v>48</v>
      </c>
      <c r="B402" s="266">
        <f t="shared" si="42"/>
        <v>3779</v>
      </c>
      <c r="C402" s="266"/>
      <c r="D402" s="283">
        <f t="shared" si="43"/>
        <v>3386</v>
      </c>
      <c r="E402" s="283"/>
      <c r="F402" s="266">
        <v>1348</v>
      </c>
      <c r="G402" s="266"/>
      <c r="H402" s="266">
        <f t="shared" si="44"/>
        <v>1430</v>
      </c>
      <c r="I402" s="290"/>
      <c r="J402" s="266">
        <v>167</v>
      </c>
      <c r="K402" s="266">
        <v>130</v>
      </c>
      <c r="L402" s="266">
        <v>324</v>
      </c>
      <c r="M402" s="266">
        <v>809</v>
      </c>
      <c r="N402" s="266">
        <v>354</v>
      </c>
      <c r="O402" s="266"/>
      <c r="P402" s="266">
        <v>254</v>
      </c>
      <c r="Q402" s="266">
        <v>393</v>
      </c>
    </row>
    <row r="403" spans="1:17" s="263" customFormat="1" ht="9" customHeight="1" x14ac:dyDescent="0.25">
      <c r="A403" s="267" t="s">
        <v>49</v>
      </c>
      <c r="B403" s="268">
        <f t="shared" si="42"/>
        <v>4998</v>
      </c>
      <c r="C403" s="268"/>
      <c r="D403" s="284">
        <f t="shared" si="43"/>
        <v>4499</v>
      </c>
      <c r="E403" s="284"/>
      <c r="F403" s="268">
        <v>1247</v>
      </c>
      <c r="G403" s="268"/>
      <c r="H403" s="268">
        <f t="shared" si="44"/>
        <v>2389</v>
      </c>
      <c r="I403" s="268"/>
      <c r="J403" s="268">
        <v>237</v>
      </c>
      <c r="K403" s="268">
        <v>271</v>
      </c>
      <c r="L403" s="268">
        <v>182</v>
      </c>
      <c r="M403" s="268">
        <v>1699</v>
      </c>
      <c r="N403" s="268">
        <v>463</v>
      </c>
      <c r="O403" s="268"/>
      <c r="P403" s="268">
        <v>400</v>
      </c>
      <c r="Q403" s="268">
        <v>499</v>
      </c>
    </row>
    <row r="404" spans="1:17" s="263" customFormat="1" ht="9" customHeight="1" x14ac:dyDescent="0.25">
      <c r="A404" s="263" t="s">
        <v>50</v>
      </c>
      <c r="B404" s="266">
        <f t="shared" si="42"/>
        <v>1587</v>
      </c>
      <c r="C404" s="266"/>
      <c r="D404" s="283">
        <f t="shared" si="43"/>
        <v>1475</v>
      </c>
      <c r="E404" s="283"/>
      <c r="F404" s="266">
        <v>551</v>
      </c>
      <c r="G404" s="266"/>
      <c r="H404" s="266">
        <f t="shared" si="44"/>
        <v>581</v>
      </c>
      <c r="I404" s="266"/>
      <c r="J404" s="266">
        <v>59</v>
      </c>
      <c r="K404" s="266">
        <v>77</v>
      </c>
      <c r="L404" s="266">
        <v>79</v>
      </c>
      <c r="M404" s="266">
        <v>366</v>
      </c>
      <c r="N404" s="266">
        <v>158</v>
      </c>
      <c r="O404" s="266"/>
      <c r="P404" s="266">
        <v>185</v>
      </c>
      <c r="Q404" s="266">
        <v>112</v>
      </c>
    </row>
    <row r="405" spans="1:17" s="263" customFormat="1" ht="9" customHeight="1" x14ac:dyDescent="0.25">
      <c r="A405" s="263" t="s">
        <v>51</v>
      </c>
      <c r="B405" s="266">
        <f t="shared" si="42"/>
        <v>9696</v>
      </c>
      <c r="C405" s="266"/>
      <c r="D405" s="283">
        <f t="shared" si="43"/>
        <v>8731</v>
      </c>
      <c r="E405" s="283"/>
      <c r="F405" s="266">
        <v>3247</v>
      </c>
      <c r="G405" s="266"/>
      <c r="H405" s="266">
        <f t="shared" si="44"/>
        <v>3758</v>
      </c>
      <c r="I405" s="266"/>
      <c r="J405" s="266">
        <v>365</v>
      </c>
      <c r="K405" s="266">
        <v>419</v>
      </c>
      <c r="L405" s="266">
        <v>458</v>
      </c>
      <c r="M405" s="266">
        <v>2516</v>
      </c>
      <c r="N405" s="266">
        <v>1070</v>
      </c>
      <c r="O405" s="266"/>
      <c r="P405" s="266">
        <v>656</v>
      </c>
      <c r="Q405" s="266">
        <v>965</v>
      </c>
    </row>
    <row r="406" spans="1:17" s="263" customFormat="1" ht="9" customHeight="1" x14ac:dyDescent="0.25">
      <c r="A406" s="263" t="s">
        <v>52</v>
      </c>
      <c r="B406" s="266">
        <f t="shared" si="42"/>
        <v>2931</v>
      </c>
      <c r="C406" s="266"/>
      <c r="D406" s="283">
        <f t="shared" si="43"/>
        <v>2687</v>
      </c>
      <c r="E406" s="283"/>
      <c r="F406" s="266">
        <v>792</v>
      </c>
      <c r="G406" s="266"/>
      <c r="H406" s="266">
        <f t="shared" si="44"/>
        <v>1267</v>
      </c>
      <c r="I406" s="266"/>
      <c r="J406" s="266">
        <v>97</v>
      </c>
      <c r="K406" s="266">
        <v>125</v>
      </c>
      <c r="L406" s="266">
        <v>109</v>
      </c>
      <c r="M406" s="266">
        <v>936</v>
      </c>
      <c r="N406" s="266">
        <v>412</v>
      </c>
      <c r="O406" s="266"/>
      <c r="P406" s="266">
        <v>216</v>
      </c>
      <c r="Q406" s="266">
        <v>244</v>
      </c>
    </row>
    <row r="407" spans="1:17" s="263" customFormat="1" ht="9" customHeight="1" x14ac:dyDescent="0.25">
      <c r="A407" s="267" t="s">
        <v>53</v>
      </c>
      <c r="B407" s="268">
        <f t="shared" si="42"/>
        <v>1803</v>
      </c>
      <c r="C407" s="268"/>
      <c r="D407" s="284">
        <f t="shared" si="43"/>
        <v>1704</v>
      </c>
      <c r="E407" s="284"/>
      <c r="F407" s="268">
        <v>588</v>
      </c>
      <c r="G407" s="268"/>
      <c r="H407" s="268">
        <f t="shared" si="44"/>
        <v>710</v>
      </c>
      <c r="I407" s="268"/>
      <c r="J407" s="268">
        <v>73</v>
      </c>
      <c r="K407" s="268">
        <v>76</v>
      </c>
      <c r="L407" s="268">
        <v>71</v>
      </c>
      <c r="M407" s="268">
        <v>490</v>
      </c>
      <c r="N407" s="268">
        <v>159</v>
      </c>
      <c r="O407" s="268"/>
      <c r="P407" s="268">
        <v>247</v>
      </c>
      <c r="Q407" s="268">
        <v>99</v>
      </c>
    </row>
    <row r="408" spans="1:17" s="263" customFormat="1" ht="9" customHeight="1" x14ac:dyDescent="0.25">
      <c r="B408" s="266"/>
      <c r="C408" s="266"/>
      <c r="D408" s="283"/>
      <c r="E408" s="283"/>
      <c r="F408" s="266"/>
      <c r="G408" s="266"/>
      <c r="H408" s="266"/>
      <c r="I408" s="266"/>
      <c r="J408" s="266"/>
      <c r="K408" s="266"/>
      <c r="L408" s="266"/>
      <c r="M408" s="266"/>
      <c r="N408" s="266"/>
      <c r="O408" s="266"/>
      <c r="P408" s="266"/>
      <c r="Q408" s="266"/>
    </row>
    <row r="409" spans="1:17" s="263" customFormat="1" ht="9" customHeight="1" x14ac:dyDescent="0.25">
      <c r="A409" s="261">
        <v>2006</v>
      </c>
      <c r="B409" s="266"/>
      <c r="C409" s="266"/>
      <c r="D409" s="266"/>
      <c r="E409" s="266"/>
      <c r="F409" s="271"/>
      <c r="G409" s="266"/>
      <c r="H409" s="266"/>
      <c r="I409" s="266"/>
      <c r="J409" s="271"/>
      <c r="K409" s="271"/>
      <c r="L409" s="271"/>
      <c r="M409" s="266"/>
      <c r="N409" s="266"/>
      <c r="O409" s="266"/>
      <c r="P409" s="266"/>
      <c r="Q409" s="271"/>
    </row>
    <row r="410" spans="1:17" s="263" customFormat="1" ht="9" customHeight="1" x14ac:dyDescent="0.25">
      <c r="A410" s="264" t="s">
        <v>21</v>
      </c>
      <c r="B410" s="262">
        <f>SUM(B412:B443)</f>
        <v>164329</v>
      </c>
      <c r="C410" s="262"/>
      <c r="D410" s="262">
        <f>SUM(D412:D443)</f>
        <v>149138</v>
      </c>
      <c r="E410" s="288"/>
      <c r="F410" s="262">
        <f>SUM(F412:F443)</f>
        <v>43982</v>
      </c>
      <c r="G410" s="262"/>
      <c r="H410" s="262">
        <f>SUM(H412:H443)</f>
        <v>72817</v>
      </c>
      <c r="I410" s="262"/>
      <c r="J410" s="262">
        <f t="shared" ref="J410:Q410" si="45">SUM(J412:J443)</f>
        <v>7703</v>
      </c>
      <c r="K410" s="262">
        <f t="shared" si="45"/>
        <v>8000</v>
      </c>
      <c r="L410" s="262">
        <f t="shared" si="45"/>
        <v>7527</v>
      </c>
      <c r="M410" s="262">
        <f t="shared" si="45"/>
        <v>49587</v>
      </c>
      <c r="N410" s="262">
        <f t="shared" si="45"/>
        <v>22437</v>
      </c>
      <c r="O410" s="262"/>
      <c r="P410" s="262">
        <f t="shared" si="45"/>
        <v>9902</v>
      </c>
      <c r="Q410" s="262">
        <f t="shared" si="45"/>
        <v>15191</v>
      </c>
    </row>
    <row r="411" spans="1:17" s="263" customFormat="1" ht="3.95" customHeight="1" x14ac:dyDescent="0.25">
      <c r="A411" s="264"/>
      <c r="B411" s="262"/>
      <c r="C411" s="262"/>
      <c r="D411" s="282"/>
      <c r="E411" s="282"/>
      <c r="F411" s="262"/>
      <c r="G411" s="262"/>
      <c r="H411" s="262"/>
      <c r="I411" s="262"/>
      <c r="J411" s="262"/>
      <c r="K411" s="262"/>
      <c r="L411" s="262"/>
      <c r="M411" s="262"/>
      <c r="N411" s="262"/>
      <c r="O411" s="262"/>
      <c r="P411" s="262"/>
      <c r="Q411" s="262"/>
    </row>
    <row r="412" spans="1:17" s="263" customFormat="1" ht="9" customHeight="1" x14ac:dyDescent="0.25">
      <c r="A412" s="263" t="s">
        <v>23</v>
      </c>
      <c r="B412" s="266">
        <f t="shared" ref="B412:B443" si="46">SUM(D412+Q412)</f>
        <v>2192</v>
      </c>
      <c r="C412" s="266"/>
      <c r="D412" s="283">
        <f t="shared" ref="D412:D443" si="47">SUM(F412+H412+P412+N412)</f>
        <v>2017</v>
      </c>
      <c r="E412" s="283"/>
      <c r="F412" s="266">
        <v>556</v>
      </c>
      <c r="G412" s="266"/>
      <c r="H412" s="266">
        <f t="shared" ref="H412:H443" si="48">SUM(J412:M412)</f>
        <v>1122</v>
      </c>
      <c r="I412" s="266"/>
      <c r="J412" s="266">
        <v>109</v>
      </c>
      <c r="K412" s="266">
        <v>173</v>
      </c>
      <c r="L412" s="266">
        <v>122</v>
      </c>
      <c r="M412" s="266">
        <v>718</v>
      </c>
      <c r="N412" s="266">
        <v>278</v>
      </c>
      <c r="O412" s="266"/>
      <c r="P412" s="266">
        <v>61</v>
      </c>
      <c r="Q412" s="266">
        <v>175</v>
      </c>
    </row>
    <row r="413" spans="1:17" s="263" customFormat="1" ht="9" customHeight="1" x14ac:dyDescent="0.25">
      <c r="A413" s="263" t="s">
        <v>24</v>
      </c>
      <c r="B413" s="266">
        <f t="shared" si="46"/>
        <v>3684</v>
      </c>
      <c r="C413" s="266"/>
      <c r="D413" s="283">
        <f t="shared" si="47"/>
        <v>3379</v>
      </c>
      <c r="E413" s="283"/>
      <c r="F413" s="266">
        <v>1007</v>
      </c>
      <c r="G413" s="266"/>
      <c r="H413" s="266">
        <f t="shared" si="48"/>
        <v>1956</v>
      </c>
      <c r="I413" s="266"/>
      <c r="J413" s="266">
        <v>209</v>
      </c>
      <c r="K413" s="266">
        <v>225</v>
      </c>
      <c r="L413" s="266">
        <v>159</v>
      </c>
      <c r="M413" s="266">
        <v>1363</v>
      </c>
      <c r="N413" s="266">
        <v>318</v>
      </c>
      <c r="O413" s="266"/>
      <c r="P413" s="266">
        <v>98</v>
      </c>
      <c r="Q413" s="266">
        <v>305</v>
      </c>
    </row>
    <row r="414" spans="1:17" s="263" customFormat="1" ht="9" customHeight="1" x14ac:dyDescent="0.25">
      <c r="A414" s="263" t="s">
        <v>25</v>
      </c>
      <c r="B414" s="266">
        <f t="shared" si="46"/>
        <v>1261</v>
      </c>
      <c r="C414" s="266"/>
      <c r="D414" s="283">
        <f t="shared" si="47"/>
        <v>1113</v>
      </c>
      <c r="E414" s="283"/>
      <c r="F414" s="266">
        <v>405</v>
      </c>
      <c r="G414" s="266"/>
      <c r="H414" s="266">
        <f t="shared" si="48"/>
        <v>562</v>
      </c>
      <c r="I414" s="266"/>
      <c r="J414" s="266">
        <v>75</v>
      </c>
      <c r="K414" s="266">
        <v>60</v>
      </c>
      <c r="L414" s="266">
        <v>51</v>
      </c>
      <c r="M414" s="266">
        <v>376</v>
      </c>
      <c r="N414" s="266">
        <v>93</v>
      </c>
      <c r="O414" s="266"/>
      <c r="P414" s="266">
        <v>53</v>
      </c>
      <c r="Q414" s="266">
        <v>148</v>
      </c>
    </row>
    <row r="415" spans="1:17" s="263" customFormat="1" ht="9" customHeight="1" x14ac:dyDescent="0.25">
      <c r="A415" s="267" t="s">
        <v>26</v>
      </c>
      <c r="B415" s="268">
        <f t="shared" si="46"/>
        <v>1768</v>
      </c>
      <c r="C415" s="268"/>
      <c r="D415" s="284">
        <f t="shared" si="47"/>
        <v>1643</v>
      </c>
      <c r="E415" s="284"/>
      <c r="F415" s="268">
        <v>698</v>
      </c>
      <c r="G415" s="268"/>
      <c r="H415" s="268">
        <f t="shared" si="48"/>
        <v>737</v>
      </c>
      <c r="I415" s="268"/>
      <c r="J415" s="268">
        <v>90</v>
      </c>
      <c r="K415" s="268">
        <v>81</v>
      </c>
      <c r="L415" s="268">
        <v>78</v>
      </c>
      <c r="M415" s="268">
        <v>488</v>
      </c>
      <c r="N415" s="268">
        <v>135</v>
      </c>
      <c r="O415" s="268"/>
      <c r="P415" s="268">
        <v>73</v>
      </c>
      <c r="Q415" s="268">
        <v>125</v>
      </c>
    </row>
    <row r="416" spans="1:17" s="263" customFormat="1" ht="9" customHeight="1" x14ac:dyDescent="0.25">
      <c r="A416" s="263" t="s">
        <v>27</v>
      </c>
      <c r="B416" s="266">
        <f t="shared" si="46"/>
        <v>4327</v>
      </c>
      <c r="C416" s="266"/>
      <c r="D416" s="283">
        <f t="shared" si="47"/>
        <v>3891</v>
      </c>
      <c r="E416" s="283"/>
      <c r="F416" s="266">
        <v>1017</v>
      </c>
      <c r="G416" s="266"/>
      <c r="H416" s="266">
        <f t="shared" si="48"/>
        <v>2198</v>
      </c>
      <c r="I416" s="287"/>
      <c r="J416" s="266">
        <v>257</v>
      </c>
      <c r="K416" s="266">
        <v>242</v>
      </c>
      <c r="L416" s="266">
        <v>153</v>
      </c>
      <c r="M416" s="266">
        <v>1546</v>
      </c>
      <c r="N416" s="266">
        <v>515</v>
      </c>
      <c r="O416" s="266"/>
      <c r="P416" s="266">
        <v>161</v>
      </c>
      <c r="Q416" s="266">
        <v>436</v>
      </c>
    </row>
    <row r="417" spans="1:17" s="263" customFormat="1" ht="9" customHeight="1" x14ac:dyDescent="0.25">
      <c r="A417" s="263" t="s">
        <v>28</v>
      </c>
      <c r="B417" s="266">
        <f t="shared" si="46"/>
        <v>1368</v>
      </c>
      <c r="C417" s="266"/>
      <c r="D417" s="283">
        <f t="shared" si="47"/>
        <v>1248</v>
      </c>
      <c r="E417" s="283"/>
      <c r="F417" s="266">
        <v>344</v>
      </c>
      <c r="G417" s="266"/>
      <c r="H417" s="266">
        <f t="shared" si="48"/>
        <v>656</v>
      </c>
      <c r="I417" s="266"/>
      <c r="J417" s="266">
        <v>88</v>
      </c>
      <c r="K417" s="266">
        <v>81</v>
      </c>
      <c r="L417" s="266">
        <v>69</v>
      </c>
      <c r="M417" s="266">
        <v>418</v>
      </c>
      <c r="N417" s="266">
        <v>137</v>
      </c>
      <c r="O417" s="266"/>
      <c r="P417" s="266">
        <v>111</v>
      </c>
      <c r="Q417" s="266">
        <v>120</v>
      </c>
    </row>
    <row r="418" spans="1:17" s="263" customFormat="1" ht="9.6" customHeight="1" x14ac:dyDescent="0.25">
      <c r="A418" s="263" t="s">
        <v>29</v>
      </c>
      <c r="B418" s="266">
        <f t="shared" si="46"/>
        <v>4216</v>
      </c>
      <c r="C418" s="266"/>
      <c r="D418" s="283">
        <f t="shared" si="47"/>
        <v>3949</v>
      </c>
      <c r="E418" s="283"/>
      <c r="F418" s="266">
        <v>1850</v>
      </c>
      <c r="G418" s="266"/>
      <c r="H418" s="266">
        <f t="shared" si="48"/>
        <v>1474</v>
      </c>
      <c r="J418" s="266">
        <v>157</v>
      </c>
      <c r="K418" s="266">
        <v>160</v>
      </c>
      <c r="L418" s="266">
        <v>257</v>
      </c>
      <c r="M418" s="266">
        <v>900</v>
      </c>
      <c r="N418" s="266">
        <v>320</v>
      </c>
      <c r="O418" s="266"/>
      <c r="P418" s="266">
        <v>305</v>
      </c>
      <c r="Q418" s="266">
        <v>267</v>
      </c>
    </row>
    <row r="419" spans="1:17" s="263" customFormat="1" ht="9" customHeight="1" x14ac:dyDescent="0.25">
      <c r="A419" s="267" t="s">
        <v>30</v>
      </c>
      <c r="B419" s="268">
        <f t="shared" si="46"/>
        <v>4026</v>
      </c>
      <c r="C419" s="268"/>
      <c r="D419" s="284">
        <f t="shared" si="47"/>
        <v>3672</v>
      </c>
      <c r="E419" s="284"/>
      <c r="F419" s="268">
        <v>1302</v>
      </c>
      <c r="G419" s="268"/>
      <c r="H419" s="268">
        <f t="shared" si="48"/>
        <v>1814</v>
      </c>
      <c r="I419" s="268"/>
      <c r="J419" s="268">
        <v>204</v>
      </c>
      <c r="K419" s="268">
        <v>192</v>
      </c>
      <c r="L419" s="268">
        <v>131</v>
      </c>
      <c r="M419" s="268">
        <v>1287</v>
      </c>
      <c r="N419" s="268">
        <v>367</v>
      </c>
      <c r="O419" s="268"/>
      <c r="P419" s="268">
        <v>189</v>
      </c>
      <c r="Q419" s="268">
        <v>354</v>
      </c>
    </row>
    <row r="420" spans="1:17" s="263" customFormat="1" ht="9" customHeight="1" x14ac:dyDescent="0.25">
      <c r="A420" s="263" t="s">
        <v>63</v>
      </c>
      <c r="B420" s="289">
        <v>30753</v>
      </c>
      <c r="C420" s="289"/>
      <c r="D420" s="289">
        <v>27141</v>
      </c>
      <c r="E420" s="289"/>
      <c r="F420" s="289">
        <v>4800</v>
      </c>
      <c r="G420" s="289"/>
      <c r="H420" s="289">
        <v>15464</v>
      </c>
      <c r="I420" s="289"/>
      <c r="J420" s="289">
        <v>1210</v>
      </c>
      <c r="K420" s="289">
        <v>1818</v>
      </c>
      <c r="L420" s="289">
        <v>1311</v>
      </c>
      <c r="M420" s="289">
        <v>11125</v>
      </c>
      <c r="N420" s="289">
        <v>6660</v>
      </c>
      <c r="O420" s="289"/>
      <c r="P420" s="289">
        <v>217</v>
      </c>
      <c r="Q420" s="289">
        <v>3612</v>
      </c>
    </row>
    <row r="421" spans="1:17" s="263" customFormat="1" ht="9" customHeight="1" x14ac:dyDescent="0.25">
      <c r="A421" s="263" t="s">
        <v>31</v>
      </c>
      <c r="B421" s="266">
        <f t="shared" si="46"/>
        <v>2852</v>
      </c>
      <c r="C421" s="266"/>
      <c r="D421" s="283">
        <f t="shared" si="47"/>
        <v>2626</v>
      </c>
      <c r="E421" s="283"/>
      <c r="F421" s="266">
        <v>808</v>
      </c>
      <c r="G421" s="266"/>
      <c r="H421" s="266">
        <f t="shared" si="48"/>
        <v>1267</v>
      </c>
      <c r="I421" s="266"/>
      <c r="J421" s="266">
        <v>129</v>
      </c>
      <c r="K421" s="266">
        <v>150</v>
      </c>
      <c r="L421" s="266">
        <v>123</v>
      </c>
      <c r="M421" s="266">
        <v>865</v>
      </c>
      <c r="N421" s="266">
        <v>298</v>
      </c>
      <c r="O421" s="266"/>
      <c r="P421" s="266">
        <v>253</v>
      </c>
      <c r="Q421" s="266">
        <v>226</v>
      </c>
    </row>
    <row r="422" spans="1:17" s="263" customFormat="1" ht="9" customHeight="1" x14ac:dyDescent="0.25">
      <c r="A422" s="263" t="s">
        <v>32</v>
      </c>
      <c r="B422" s="266">
        <f t="shared" si="46"/>
        <v>6384</v>
      </c>
      <c r="C422" s="266"/>
      <c r="D422" s="283">
        <f t="shared" si="47"/>
        <v>5772</v>
      </c>
      <c r="E422" s="283"/>
      <c r="F422" s="266">
        <v>1968</v>
      </c>
      <c r="G422" s="266"/>
      <c r="H422" s="266">
        <f t="shared" si="48"/>
        <v>2711</v>
      </c>
      <c r="I422" s="266"/>
      <c r="J422" s="266">
        <v>305</v>
      </c>
      <c r="K422" s="266">
        <v>264</v>
      </c>
      <c r="L422" s="266">
        <v>265</v>
      </c>
      <c r="M422" s="266">
        <v>1877</v>
      </c>
      <c r="N422" s="266">
        <v>718</v>
      </c>
      <c r="O422" s="266"/>
      <c r="P422" s="266">
        <v>375</v>
      </c>
      <c r="Q422" s="266">
        <v>612</v>
      </c>
    </row>
    <row r="423" spans="1:17" s="263" customFormat="1" ht="9" customHeight="1" x14ac:dyDescent="0.25">
      <c r="A423" s="267" t="s">
        <v>33</v>
      </c>
      <c r="B423" s="268">
        <f t="shared" si="46"/>
        <v>4238</v>
      </c>
      <c r="C423" s="268"/>
      <c r="D423" s="284">
        <f t="shared" si="47"/>
        <v>3968</v>
      </c>
      <c r="E423" s="284"/>
      <c r="F423" s="268">
        <v>1531</v>
      </c>
      <c r="G423" s="268"/>
      <c r="H423" s="268">
        <f t="shared" si="48"/>
        <v>1658</v>
      </c>
      <c r="I423" s="268"/>
      <c r="J423" s="268">
        <v>209</v>
      </c>
      <c r="K423" s="268">
        <v>174</v>
      </c>
      <c r="L423" s="268">
        <v>187</v>
      </c>
      <c r="M423" s="268">
        <v>1088</v>
      </c>
      <c r="N423" s="268">
        <v>331</v>
      </c>
      <c r="O423" s="268"/>
      <c r="P423" s="268">
        <v>448</v>
      </c>
      <c r="Q423" s="268">
        <v>270</v>
      </c>
    </row>
    <row r="424" spans="1:17" s="263" customFormat="1" ht="9" customHeight="1" x14ac:dyDescent="0.25">
      <c r="A424" s="263" t="s">
        <v>34</v>
      </c>
      <c r="B424" s="266">
        <f t="shared" si="46"/>
        <v>3464</v>
      </c>
      <c r="C424" s="266"/>
      <c r="D424" s="283">
        <f t="shared" si="47"/>
        <v>3132</v>
      </c>
      <c r="E424" s="283"/>
      <c r="F424" s="266">
        <v>1188</v>
      </c>
      <c r="G424" s="266"/>
      <c r="H424" s="266">
        <f t="shared" si="48"/>
        <v>1215</v>
      </c>
      <c r="I424" s="266"/>
      <c r="J424" s="266">
        <v>162</v>
      </c>
      <c r="K424" s="266">
        <v>141</v>
      </c>
      <c r="L424" s="266">
        <v>190</v>
      </c>
      <c r="M424" s="266">
        <v>722</v>
      </c>
      <c r="N424" s="266">
        <v>266</v>
      </c>
      <c r="O424" s="266"/>
      <c r="P424" s="266">
        <v>463</v>
      </c>
      <c r="Q424" s="266">
        <v>332</v>
      </c>
    </row>
    <row r="425" spans="1:17" s="263" customFormat="1" ht="9" customHeight="1" x14ac:dyDescent="0.25">
      <c r="A425" s="263" t="s">
        <v>35</v>
      </c>
      <c r="B425" s="266">
        <f t="shared" si="46"/>
        <v>11134</v>
      </c>
      <c r="C425" s="266"/>
      <c r="D425" s="283">
        <f t="shared" si="47"/>
        <v>10030</v>
      </c>
      <c r="E425" s="283"/>
      <c r="F425" s="266">
        <v>2460</v>
      </c>
      <c r="G425" s="266"/>
      <c r="H425" s="266">
        <f t="shared" si="48"/>
        <v>4806</v>
      </c>
      <c r="I425" s="266"/>
      <c r="J425" s="266">
        <v>491</v>
      </c>
      <c r="K425" s="266">
        <v>465</v>
      </c>
      <c r="L425" s="266">
        <v>437</v>
      </c>
      <c r="M425" s="266">
        <v>3413</v>
      </c>
      <c r="N425" s="266">
        <v>2098</v>
      </c>
      <c r="O425" s="266"/>
      <c r="P425" s="266">
        <v>666</v>
      </c>
      <c r="Q425" s="266">
        <v>1104</v>
      </c>
    </row>
    <row r="426" spans="1:17" s="263" customFormat="1" ht="9" customHeight="1" x14ac:dyDescent="0.25">
      <c r="A426" s="263" t="s">
        <v>36</v>
      </c>
      <c r="B426" s="266">
        <f t="shared" si="46"/>
        <v>12862</v>
      </c>
      <c r="C426" s="266"/>
      <c r="D426" s="283">
        <f t="shared" si="47"/>
        <v>11374</v>
      </c>
      <c r="E426" s="283"/>
      <c r="F426" s="266">
        <v>3513</v>
      </c>
      <c r="G426" s="266"/>
      <c r="H426" s="266">
        <f t="shared" si="48"/>
        <v>5802</v>
      </c>
      <c r="I426" s="266"/>
      <c r="J426" s="266">
        <v>736</v>
      </c>
      <c r="K426" s="266">
        <v>675</v>
      </c>
      <c r="L426" s="266">
        <v>745</v>
      </c>
      <c r="M426" s="266">
        <v>3646</v>
      </c>
      <c r="N426" s="266">
        <v>1300</v>
      </c>
      <c r="O426" s="266"/>
      <c r="P426" s="266">
        <v>759</v>
      </c>
      <c r="Q426" s="266">
        <v>1488</v>
      </c>
    </row>
    <row r="427" spans="1:17" s="263" customFormat="1" ht="9" customHeight="1" x14ac:dyDescent="0.25">
      <c r="A427" s="267" t="s">
        <v>37</v>
      </c>
      <c r="B427" s="268">
        <f t="shared" si="46"/>
        <v>5109</v>
      </c>
      <c r="C427" s="268"/>
      <c r="D427" s="284">
        <f t="shared" si="47"/>
        <v>4734</v>
      </c>
      <c r="E427" s="284"/>
      <c r="F427" s="268">
        <v>1466</v>
      </c>
      <c r="G427" s="268"/>
      <c r="H427" s="268">
        <f t="shared" si="48"/>
        <v>1881</v>
      </c>
      <c r="I427" s="268"/>
      <c r="J427" s="268">
        <v>238</v>
      </c>
      <c r="K427" s="268">
        <v>194</v>
      </c>
      <c r="L427" s="268">
        <v>221</v>
      </c>
      <c r="M427" s="268">
        <v>1228</v>
      </c>
      <c r="N427" s="268">
        <v>674</v>
      </c>
      <c r="O427" s="268"/>
      <c r="P427" s="268">
        <v>713</v>
      </c>
      <c r="Q427" s="268">
        <v>375</v>
      </c>
    </row>
    <row r="428" spans="1:17" s="263" customFormat="1" ht="9" customHeight="1" x14ac:dyDescent="0.25">
      <c r="A428" s="263" t="s">
        <v>38</v>
      </c>
      <c r="B428" s="266">
        <f t="shared" si="46"/>
        <v>2403</v>
      </c>
      <c r="C428" s="266"/>
      <c r="D428" s="283">
        <f t="shared" si="47"/>
        <v>2209</v>
      </c>
      <c r="E428" s="283"/>
      <c r="F428" s="266">
        <v>693</v>
      </c>
      <c r="G428" s="266"/>
      <c r="H428" s="266">
        <f t="shared" si="48"/>
        <v>1174</v>
      </c>
      <c r="I428" s="266"/>
      <c r="J428" s="266">
        <v>132</v>
      </c>
      <c r="K428" s="266">
        <v>134</v>
      </c>
      <c r="L428" s="266">
        <v>124</v>
      </c>
      <c r="M428" s="266">
        <v>784</v>
      </c>
      <c r="N428" s="266">
        <v>188</v>
      </c>
      <c r="O428" s="266"/>
      <c r="P428" s="266">
        <v>154</v>
      </c>
      <c r="Q428" s="266">
        <v>194</v>
      </c>
    </row>
    <row r="429" spans="1:17" s="263" customFormat="1" ht="9" customHeight="1" x14ac:dyDescent="0.25">
      <c r="A429" s="263" t="s">
        <v>39</v>
      </c>
      <c r="B429" s="266">
        <f t="shared" si="46"/>
        <v>1997</v>
      </c>
      <c r="C429" s="266"/>
      <c r="D429" s="283">
        <f t="shared" si="47"/>
        <v>1869</v>
      </c>
      <c r="E429" s="283"/>
      <c r="F429" s="266">
        <v>640</v>
      </c>
      <c r="G429" s="266"/>
      <c r="H429" s="266">
        <f t="shared" si="48"/>
        <v>829</v>
      </c>
      <c r="I429" s="266"/>
      <c r="J429" s="266">
        <v>77</v>
      </c>
      <c r="K429" s="266">
        <v>75</v>
      </c>
      <c r="L429" s="266">
        <v>98</v>
      </c>
      <c r="M429" s="266">
        <v>579</v>
      </c>
      <c r="N429" s="266">
        <v>198</v>
      </c>
      <c r="O429" s="266"/>
      <c r="P429" s="266">
        <v>202</v>
      </c>
      <c r="Q429" s="266">
        <v>128</v>
      </c>
    </row>
    <row r="430" spans="1:17" s="263" customFormat="1" ht="9" customHeight="1" x14ac:dyDescent="0.25">
      <c r="A430" s="263" t="s">
        <v>40</v>
      </c>
      <c r="B430" s="266">
        <f t="shared" si="46"/>
        <v>6400</v>
      </c>
      <c r="C430" s="266"/>
      <c r="D430" s="283">
        <f t="shared" si="47"/>
        <v>5795</v>
      </c>
      <c r="E430" s="283"/>
      <c r="F430" s="266">
        <v>1547</v>
      </c>
      <c r="G430" s="266"/>
      <c r="H430" s="266">
        <f t="shared" si="48"/>
        <v>3003</v>
      </c>
      <c r="I430" s="266"/>
      <c r="J430" s="266">
        <v>291</v>
      </c>
      <c r="K430" s="266">
        <v>318</v>
      </c>
      <c r="L430" s="266">
        <v>226</v>
      </c>
      <c r="M430" s="266">
        <v>2168</v>
      </c>
      <c r="N430" s="266">
        <v>910</v>
      </c>
      <c r="O430" s="266"/>
      <c r="P430" s="266">
        <v>335</v>
      </c>
      <c r="Q430" s="266">
        <v>605</v>
      </c>
    </row>
    <row r="431" spans="1:17" s="263" customFormat="1" ht="9" customHeight="1" x14ac:dyDescent="0.25">
      <c r="A431" s="267" t="s">
        <v>41</v>
      </c>
      <c r="B431" s="268">
        <f t="shared" si="46"/>
        <v>4202</v>
      </c>
      <c r="C431" s="268"/>
      <c r="D431" s="284">
        <f t="shared" si="47"/>
        <v>3907</v>
      </c>
      <c r="E431" s="284"/>
      <c r="F431" s="268">
        <v>1362</v>
      </c>
      <c r="G431" s="268"/>
      <c r="H431" s="268">
        <f t="shared" si="48"/>
        <v>1255</v>
      </c>
      <c r="I431" s="268"/>
      <c r="J431" s="268">
        <v>150</v>
      </c>
      <c r="K431" s="268">
        <v>116</v>
      </c>
      <c r="L431" s="268">
        <v>143</v>
      </c>
      <c r="M431" s="268">
        <v>846</v>
      </c>
      <c r="N431" s="268">
        <v>578</v>
      </c>
      <c r="O431" s="268"/>
      <c r="P431" s="268">
        <v>712</v>
      </c>
      <c r="Q431" s="268">
        <v>295</v>
      </c>
    </row>
    <row r="432" spans="1:17" s="263" customFormat="1" ht="9.6" customHeight="1" x14ac:dyDescent="0.25">
      <c r="A432" s="263" t="s">
        <v>42</v>
      </c>
      <c r="B432" s="266">
        <f t="shared" si="46"/>
        <v>6934</v>
      </c>
      <c r="C432" s="266"/>
      <c r="D432" s="283">
        <f t="shared" si="47"/>
        <v>6439</v>
      </c>
      <c r="E432" s="283"/>
      <c r="F432" s="266">
        <v>1887</v>
      </c>
      <c r="G432" s="266"/>
      <c r="H432" s="266">
        <f t="shared" si="48"/>
        <v>2666</v>
      </c>
      <c r="I432" s="290"/>
      <c r="J432" s="266">
        <v>251</v>
      </c>
      <c r="K432" s="266">
        <v>307</v>
      </c>
      <c r="L432" s="266">
        <v>369</v>
      </c>
      <c r="M432" s="266">
        <v>1739</v>
      </c>
      <c r="N432" s="266">
        <v>1259</v>
      </c>
      <c r="O432" s="266"/>
      <c r="P432" s="266">
        <v>627</v>
      </c>
      <c r="Q432" s="266">
        <v>495</v>
      </c>
    </row>
    <row r="433" spans="1:17" s="263" customFormat="1" ht="9" customHeight="1" x14ac:dyDescent="0.25">
      <c r="A433" s="263" t="s">
        <v>43</v>
      </c>
      <c r="B433" s="266">
        <f t="shared" si="46"/>
        <v>2436</v>
      </c>
      <c r="C433" s="266"/>
      <c r="D433" s="283">
        <f t="shared" si="47"/>
        <v>2264</v>
      </c>
      <c r="E433" s="283"/>
      <c r="F433" s="266">
        <v>631</v>
      </c>
      <c r="G433" s="266"/>
      <c r="H433" s="266">
        <f t="shared" si="48"/>
        <v>1103</v>
      </c>
      <c r="I433" s="266"/>
      <c r="J433" s="266">
        <v>204</v>
      </c>
      <c r="K433" s="266">
        <v>143</v>
      </c>
      <c r="L433" s="266">
        <v>107</v>
      </c>
      <c r="M433" s="266">
        <v>649</v>
      </c>
      <c r="N433" s="266">
        <v>282</v>
      </c>
      <c r="O433" s="266"/>
      <c r="P433" s="266">
        <v>248</v>
      </c>
      <c r="Q433" s="266">
        <v>172</v>
      </c>
    </row>
    <row r="434" spans="1:17" s="263" customFormat="1" ht="9" customHeight="1" x14ac:dyDescent="0.25">
      <c r="A434" s="263" t="s">
        <v>44</v>
      </c>
      <c r="B434" s="266">
        <f t="shared" si="46"/>
        <v>1476</v>
      </c>
      <c r="C434" s="266"/>
      <c r="D434" s="283">
        <f t="shared" si="47"/>
        <v>1332</v>
      </c>
      <c r="E434" s="283"/>
      <c r="F434" s="266">
        <v>521</v>
      </c>
      <c r="G434" s="266"/>
      <c r="H434" s="266">
        <f t="shared" si="48"/>
        <v>660</v>
      </c>
      <c r="I434" s="266"/>
      <c r="J434" s="266">
        <v>83</v>
      </c>
      <c r="K434" s="266">
        <v>90</v>
      </c>
      <c r="L434" s="266">
        <v>73</v>
      </c>
      <c r="M434" s="266">
        <v>414</v>
      </c>
      <c r="N434" s="266">
        <v>85</v>
      </c>
      <c r="O434" s="266"/>
      <c r="P434" s="266">
        <v>66</v>
      </c>
      <c r="Q434" s="266">
        <v>144</v>
      </c>
    </row>
    <row r="435" spans="1:17" s="263" customFormat="1" ht="9" customHeight="1" x14ac:dyDescent="0.25">
      <c r="A435" s="267" t="s">
        <v>45</v>
      </c>
      <c r="B435" s="268">
        <f t="shared" si="46"/>
        <v>3199</v>
      </c>
      <c r="C435" s="268"/>
      <c r="D435" s="284">
        <f t="shared" si="47"/>
        <v>2995</v>
      </c>
      <c r="E435" s="284"/>
      <c r="F435" s="268">
        <v>899</v>
      </c>
      <c r="G435" s="268"/>
      <c r="H435" s="268">
        <f t="shared" si="48"/>
        <v>1460</v>
      </c>
      <c r="I435" s="268"/>
      <c r="J435" s="268">
        <v>122</v>
      </c>
      <c r="K435" s="268">
        <v>129</v>
      </c>
      <c r="L435" s="268">
        <v>148</v>
      </c>
      <c r="M435" s="268">
        <v>1061</v>
      </c>
      <c r="N435" s="268">
        <v>283</v>
      </c>
      <c r="O435" s="268"/>
      <c r="P435" s="268">
        <v>353</v>
      </c>
      <c r="Q435" s="268">
        <v>204</v>
      </c>
    </row>
    <row r="436" spans="1:17" s="263" customFormat="1" ht="9" customHeight="1" x14ac:dyDescent="0.25">
      <c r="A436" s="263" t="s">
        <v>46</v>
      </c>
      <c r="B436" s="266">
        <f t="shared" si="46"/>
        <v>4710</v>
      </c>
      <c r="C436" s="266"/>
      <c r="D436" s="283">
        <f t="shared" si="47"/>
        <v>4358</v>
      </c>
      <c r="E436" s="283"/>
      <c r="F436" s="266">
        <v>1387</v>
      </c>
      <c r="G436" s="266"/>
      <c r="H436" s="266">
        <f t="shared" si="48"/>
        <v>2065</v>
      </c>
      <c r="I436" s="266"/>
      <c r="J436" s="266">
        <v>246</v>
      </c>
      <c r="K436" s="266">
        <v>217</v>
      </c>
      <c r="L436" s="266">
        <v>201</v>
      </c>
      <c r="M436" s="266">
        <v>1401</v>
      </c>
      <c r="N436" s="266">
        <v>584</v>
      </c>
      <c r="O436" s="266"/>
      <c r="P436" s="266">
        <v>322</v>
      </c>
      <c r="Q436" s="266">
        <v>352</v>
      </c>
    </row>
    <row r="437" spans="1:17" s="263" customFormat="1" ht="9" customHeight="1" x14ac:dyDescent="0.25">
      <c r="A437" s="263" t="s">
        <v>47</v>
      </c>
      <c r="B437" s="266">
        <f t="shared" si="46"/>
        <v>4374</v>
      </c>
      <c r="C437" s="266"/>
      <c r="D437" s="283">
        <f t="shared" si="47"/>
        <v>3963</v>
      </c>
      <c r="E437" s="283"/>
      <c r="F437" s="266">
        <v>1008</v>
      </c>
      <c r="G437" s="266"/>
      <c r="H437" s="266">
        <f t="shared" si="48"/>
        <v>2159</v>
      </c>
      <c r="I437" s="266"/>
      <c r="J437" s="266">
        <v>232</v>
      </c>
      <c r="K437" s="266">
        <v>212</v>
      </c>
      <c r="L437" s="266">
        <v>183</v>
      </c>
      <c r="M437" s="266">
        <v>1532</v>
      </c>
      <c r="N437" s="266">
        <v>602</v>
      </c>
      <c r="O437" s="266"/>
      <c r="P437" s="266">
        <v>194</v>
      </c>
      <c r="Q437" s="266">
        <v>411</v>
      </c>
    </row>
    <row r="438" spans="1:17" s="263" customFormat="1" ht="9.6" customHeight="1" x14ac:dyDescent="0.25">
      <c r="A438" s="263" t="s">
        <v>48</v>
      </c>
      <c r="B438" s="266">
        <f t="shared" si="46"/>
        <v>4033</v>
      </c>
      <c r="C438" s="266"/>
      <c r="D438" s="283">
        <f t="shared" si="47"/>
        <v>3630</v>
      </c>
      <c r="E438" s="283"/>
      <c r="F438" s="266">
        <v>1510</v>
      </c>
      <c r="G438" s="266"/>
      <c r="H438" s="266">
        <f t="shared" si="48"/>
        <v>1521</v>
      </c>
      <c r="I438" s="290"/>
      <c r="J438" s="266">
        <v>178</v>
      </c>
      <c r="K438" s="266">
        <v>145</v>
      </c>
      <c r="L438" s="266">
        <v>343</v>
      </c>
      <c r="M438" s="266">
        <v>855</v>
      </c>
      <c r="N438" s="266">
        <v>373</v>
      </c>
      <c r="O438" s="266"/>
      <c r="P438" s="266">
        <v>226</v>
      </c>
      <c r="Q438" s="266">
        <v>403</v>
      </c>
    </row>
    <row r="439" spans="1:17" s="263" customFormat="1" ht="9" customHeight="1" x14ac:dyDescent="0.25">
      <c r="A439" s="267" t="s">
        <v>49</v>
      </c>
      <c r="B439" s="268">
        <f t="shared" si="46"/>
        <v>5228</v>
      </c>
      <c r="C439" s="268"/>
      <c r="D439" s="284">
        <f t="shared" si="47"/>
        <v>4742</v>
      </c>
      <c r="E439" s="284"/>
      <c r="F439" s="268">
        <v>1332</v>
      </c>
      <c r="G439" s="268"/>
      <c r="H439" s="268">
        <f t="shared" si="48"/>
        <v>2536</v>
      </c>
      <c r="I439" s="268"/>
      <c r="J439" s="268">
        <v>292</v>
      </c>
      <c r="K439" s="268">
        <v>279</v>
      </c>
      <c r="L439" s="268">
        <v>202</v>
      </c>
      <c r="M439" s="268">
        <v>1763</v>
      </c>
      <c r="N439" s="268">
        <v>555</v>
      </c>
      <c r="O439" s="268"/>
      <c r="P439" s="268">
        <v>319</v>
      </c>
      <c r="Q439" s="268">
        <v>486</v>
      </c>
    </row>
    <row r="440" spans="1:17" s="263" customFormat="1" ht="9" customHeight="1" x14ac:dyDescent="0.25">
      <c r="A440" s="263" t="s">
        <v>50</v>
      </c>
      <c r="B440" s="266">
        <f t="shared" si="46"/>
        <v>1598</v>
      </c>
      <c r="C440" s="266"/>
      <c r="D440" s="283">
        <f t="shared" si="47"/>
        <v>1468</v>
      </c>
      <c r="E440" s="283"/>
      <c r="F440" s="266">
        <v>557</v>
      </c>
      <c r="G440" s="266"/>
      <c r="H440" s="266">
        <f t="shared" si="48"/>
        <v>584</v>
      </c>
      <c r="I440" s="266"/>
      <c r="J440" s="266">
        <v>79</v>
      </c>
      <c r="K440" s="266">
        <v>79</v>
      </c>
      <c r="L440" s="266">
        <v>79</v>
      </c>
      <c r="M440" s="266">
        <v>347</v>
      </c>
      <c r="N440" s="266">
        <v>152</v>
      </c>
      <c r="O440" s="266"/>
      <c r="P440" s="266">
        <v>175</v>
      </c>
      <c r="Q440" s="266">
        <v>130</v>
      </c>
    </row>
    <row r="441" spans="1:17" s="263" customFormat="1" ht="9" customHeight="1" x14ac:dyDescent="0.25">
      <c r="A441" s="263" t="s">
        <v>51</v>
      </c>
      <c r="B441" s="266">
        <f t="shared" si="46"/>
        <v>10566</v>
      </c>
      <c r="C441" s="266"/>
      <c r="D441" s="283">
        <f t="shared" si="47"/>
        <v>9705</v>
      </c>
      <c r="E441" s="283"/>
      <c r="F441" s="266">
        <v>3645</v>
      </c>
      <c r="G441" s="266"/>
      <c r="H441" s="266">
        <f t="shared" si="48"/>
        <v>4284</v>
      </c>
      <c r="I441" s="266"/>
      <c r="J441" s="266">
        <v>471</v>
      </c>
      <c r="K441" s="266">
        <v>456</v>
      </c>
      <c r="L441" s="266">
        <v>539</v>
      </c>
      <c r="M441" s="266">
        <v>2818</v>
      </c>
      <c r="N441" s="266">
        <v>1181</v>
      </c>
      <c r="O441" s="266"/>
      <c r="P441" s="266">
        <v>595</v>
      </c>
      <c r="Q441" s="266">
        <v>861</v>
      </c>
    </row>
    <row r="442" spans="1:17" s="263" customFormat="1" ht="9" customHeight="1" x14ac:dyDescent="0.25">
      <c r="A442" s="263" t="s">
        <v>52</v>
      </c>
      <c r="B442" s="266">
        <f t="shared" si="46"/>
        <v>3228</v>
      </c>
      <c r="C442" s="266"/>
      <c r="D442" s="283">
        <f t="shared" si="47"/>
        <v>2967</v>
      </c>
      <c r="E442" s="283"/>
      <c r="F442" s="266">
        <v>850</v>
      </c>
      <c r="G442" s="266"/>
      <c r="H442" s="266">
        <f t="shared" si="48"/>
        <v>1411</v>
      </c>
      <c r="I442" s="266"/>
      <c r="J442" s="266">
        <v>139</v>
      </c>
      <c r="K442" s="266">
        <v>125</v>
      </c>
      <c r="L442" s="266">
        <v>108</v>
      </c>
      <c r="M442" s="266">
        <v>1039</v>
      </c>
      <c r="N442" s="266">
        <v>509</v>
      </c>
      <c r="O442" s="266"/>
      <c r="P442" s="266">
        <v>197</v>
      </c>
      <c r="Q442" s="266">
        <v>261</v>
      </c>
    </row>
    <row r="443" spans="1:17" s="263" customFormat="1" ht="9" customHeight="1" x14ac:dyDescent="0.25">
      <c r="A443" s="267" t="s">
        <v>53</v>
      </c>
      <c r="B443" s="268">
        <f t="shared" si="46"/>
        <v>1907</v>
      </c>
      <c r="C443" s="268"/>
      <c r="D443" s="284">
        <f t="shared" si="47"/>
        <v>1806</v>
      </c>
      <c r="E443" s="284"/>
      <c r="F443" s="268">
        <v>600</v>
      </c>
      <c r="G443" s="268"/>
      <c r="H443" s="268">
        <f t="shared" si="48"/>
        <v>784</v>
      </c>
      <c r="I443" s="268"/>
      <c r="J443" s="268">
        <v>87</v>
      </c>
      <c r="K443" s="268">
        <v>80</v>
      </c>
      <c r="L443" s="268">
        <v>85</v>
      </c>
      <c r="M443" s="268">
        <v>532</v>
      </c>
      <c r="N443" s="268">
        <v>190</v>
      </c>
      <c r="O443" s="268"/>
      <c r="P443" s="268">
        <v>232</v>
      </c>
      <c r="Q443" s="268">
        <v>101</v>
      </c>
    </row>
    <row r="444" spans="1:17" s="263" customFormat="1" ht="9" customHeight="1" x14ac:dyDescent="0.25">
      <c r="B444" s="266"/>
      <c r="C444" s="266"/>
      <c r="D444" s="283"/>
      <c r="E444" s="283"/>
      <c r="F444" s="266"/>
      <c r="G444" s="266"/>
      <c r="H444" s="266"/>
      <c r="I444" s="266"/>
      <c r="J444" s="266"/>
      <c r="K444" s="266"/>
      <c r="L444" s="266"/>
      <c r="M444" s="266"/>
      <c r="N444" s="266"/>
      <c r="O444" s="266"/>
      <c r="P444" s="266"/>
      <c r="Q444" s="266"/>
    </row>
    <row r="445" spans="1:17" s="263" customFormat="1" ht="9" customHeight="1" x14ac:dyDescent="0.25">
      <c r="A445" s="261">
        <v>2007</v>
      </c>
      <c r="B445" s="266"/>
      <c r="C445" s="266"/>
      <c r="D445" s="266"/>
      <c r="E445" s="266"/>
      <c r="F445" s="271"/>
      <c r="G445" s="266"/>
      <c r="H445" s="266"/>
      <c r="I445" s="266"/>
      <c r="J445" s="271"/>
      <c r="K445" s="271"/>
      <c r="L445" s="271"/>
      <c r="M445" s="266"/>
      <c r="N445" s="266"/>
      <c r="O445" s="266"/>
      <c r="P445" s="266"/>
      <c r="Q445" s="271"/>
    </row>
    <row r="446" spans="1:17" s="263" customFormat="1" ht="9" customHeight="1" x14ac:dyDescent="0.25">
      <c r="A446" s="264" t="s">
        <v>21</v>
      </c>
      <c r="B446" s="262">
        <f>SUM(B448:B479)</f>
        <v>171193</v>
      </c>
      <c r="C446" s="262"/>
      <c r="D446" s="262">
        <f>SUM(D448:D479)</f>
        <v>153597</v>
      </c>
      <c r="E446" s="288"/>
      <c r="F446" s="262">
        <f>SUM(F448:F479)</f>
        <v>46901</v>
      </c>
      <c r="G446" s="262"/>
      <c r="H446" s="262">
        <f>SUM(H448:H479)</f>
        <v>71173</v>
      </c>
      <c r="I446" s="262"/>
      <c r="J446" s="262">
        <f t="shared" ref="J446:Q446" si="49">SUM(J448:J479)</f>
        <v>8064</v>
      </c>
      <c r="K446" s="262">
        <f t="shared" si="49"/>
        <v>8293</v>
      </c>
      <c r="L446" s="262">
        <f t="shared" si="49"/>
        <v>7943</v>
      </c>
      <c r="M446" s="262">
        <f t="shared" si="49"/>
        <v>46873</v>
      </c>
      <c r="N446" s="262">
        <f t="shared" si="49"/>
        <v>25623</v>
      </c>
      <c r="O446" s="262"/>
      <c r="P446" s="262">
        <f t="shared" si="49"/>
        <v>9900</v>
      </c>
      <c r="Q446" s="262">
        <f t="shared" si="49"/>
        <v>17596</v>
      </c>
    </row>
    <row r="447" spans="1:17" s="263" customFormat="1" ht="3.95" customHeight="1" x14ac:dyDescent="0.25">
      <c r="A447" s="264"/>
      <c r="B447" s="262"/>
      <c r="C447" s="262"/>
      <c r="D447" s="282"/>
      <c r="E447" s="282"/>
      <c r="F447" s="262"/>
      <c r="G447" s="262"/>
      <c r="H447" s="262"/>
      <c r="I447" s="262"/>
      <c r="J447" s="262"/>
      <c r="K447" s="262"/>
      <c r="L447" s="262"/>
      <c r="M447" s="262"/>
      <c r="N447" s="262"/>
      <c r="O447" s="262"/>
      <c r="P447" s="262"/>
      <c r="Q447" s="262"/>
    </row>
    <row r="448" spans="1:17" s="263" customFormat="1" ht="9" customHeight="1" x14ac:dyDescent="0.25">
      <c r="A448" s="263" t="s">
        <v>23</v>
      </c>
      <c r="B448" s="266">
        <f t="shared" ref="B448:B479" si="50">SUM(D448+Q448)</f>
        <v>2274</v>
      </c>
      <c r="C448" s="266"/>
      <c r="D448" s="283">
        <f t="shared" ref="D448:D479" si="51">SUM(F448+H448+P448+N448)</f>
        <v>2022</v>
      </c>
      <c r="E448" s="283"/>
      <c r="F448" s="266">
        <v>588</v>
      </c>
      <c r="G448" s="266"/>
      <c r="H448" s="266">
        <f t="shared" ref="H448:H479" si="52">SUM(J448:M448)</f>
        <v>1085</v>
      </c>
      <c r="I448" s="266"/>
      <c r="J448" s="266">
        <v>112</v>
      </c>
      <c r="K448" s="266">
        <v>172</v>
      </c>
      <c r="L448" s="266">
        <v>91</v>
      </c>
      <c r="M448" s="266">
        <v>710</v>
      </c>
      <c r="N448" s="266">
        <v>286</v>
      </c>
      <c r="O448" s="266"/>
      <c r="P448" s="266">
        <v>63</v>
      </c>
      <c r="Q448" s="266">
        <v>252</v>
      </c>
    </row>
    <row r="449" spans="1:17" s="263" customFormat="1" ht="9" customHeight="1" x14ac:dyDescent="0.25">
      <c r="A449" s="263" t="s">
        <v>24</v>
      </c>
      <c r="B449" s="266">
        <f t="shared" si="50"/>
        <v>3910</v>
      </c>
      <c r="C449" s="266"/>
      <c r="D449" s="283">
        <f t="shared" si="51"/>
        <v>3435</v>
      </c>
      <c r="E449" s="283"/>
      <c r="F449" s="266">
        <v>1044</v>
      </c>
      <c r="G449" s="266"/>
      <c r="H449" s="266">
        <f t="shared" si="52"/>
        <v>1933</v>
      </c>
      <c r="I449" s="266"/>
      <c r="J449" s="266">
        <v>215</v>
      </c>
      <c r="K449" s="266">
        <v>234</v>
      </c>
      <c r="L449" s="266">
        <v>168</v>
      </c>
      <c r="M449" s="266">
        <v>1316</v>
      </c>
      <c r="N449" s="266">
        <v>337</v>
      </c>
      <c r="O449" s="266"/>
      <c r="P449" s="266">
        <v>121</v>
      </c>
      <c r="Q449" s="266">
        <v>475</v>
      </c>
    </row>
    <row r="450" spans="1:17" s="263" customFormat="1" ht="9" customHeight="1" x14ac:dyDescent="0.25">
      <c r="A450" s="263" t="s">
        <v>25</v>
      </c>
      <c r="B450" s="266">
        <f t="shared" si="50"/>
        <v>1280</v>
      </c>
      <c r="C450" s="266"/>
      <c r="D450" s="283">
        <f t="shared" si="51"/>
        <v>1101</v>
      </c>
      <c r="E450" s="283"/>
      <c r="F450" s="266">
        <v>382</v>
      </c>
      <c r="G450" s="266"/>
      <c r="H450" s="266">
        <f t="shared" si="52"/>
        <v>585</v>
      </c>
      <c r="I450" s="266"/>
      <c r="J450" s="266">
        <v>71</v>
      </c>
      <c r="K450" s="266">
        <v>64</v>
      </c>
      <c r="L450" s="266">
        <v>48</v>
      </c>
      <c r="M450" s="266">
        <v>402</v>
      </c>
      <c r="N450" s="266">
        <v>79</v>
      </c>
      <c r="O450" s="266"/>
      <c r="P450" s="266">
        <v>55</v>
      </c>
      <c r="Q450" s="266">
        <v>179</v>
      </c>
    </row>
    <row r="451" spans="1:17" s="263" customFormat="1" ht="9" customHeight="1" x14ac:dyDescent="0.25">
      <c r="A451" s="267" t="s">
        <v>26</v>
      </c>
      <c r="B451" s="268">
        <f t="shared" si="50"/>
        <v>1836</v>
      </c>
      <c r="C451" s="268"/>
      <c r="D451" s="284">
        <f t="shared" si="51"/>
        <v>1688</v>
      </c>
      <c r="E451" s="284"/>
      <c r="F451" s="268">
        <v>718</v>
      </c>
      <c r="G451" s="268"/>
      <c r="H451" s="268">
        <f t="shared" si="52"/>
        <v>687</v>
      </c>
      <c r="I451" s="268"/>
      <c r="J451" s="268">
        <v>103</v>
      </c>
      <c r="K451" s="268">
        <v>80</v>
      </c>
      <c r="L451" s="268">
        <v>81</v>
      </c>
      <c r="M451" s="268">
        <v>423</v>
      </c>
      <c r="N451" s="268">
        <v>195</v>
      </c>
      <c r="O451" s="268"/>
      <c r="P451" s="268">
        <v>88</v>
      </c>
      <c r="Q451" s="268">
        <v>148</v>
      </c>
    </row>
    <row r="452" spans="1:17" s="263" customFormat="1" ht="9" customHeight="1" x14ac:dyDescent="0.25">
      <c r="A452" s="263" t="s">
        <v>27</v>
      </c>
      <c r="B452" s="266">
        <f t="shared" si="50"/>
        <v>4573</v>
      </c>
      <c r="C452" s="266"/>
      <c r="D452" s="283">
        <f t="shared" si="51"/>
        <v>3976</v>
      </c>
      <c r="E452" s="283"/>
      <c r="F452" s="266">
        <v>1124</v>
      </c>
      <c r="G452" s="266"/>
      <c r="H452" s="266">
        <f t="shared" si="52"/>
        <v>2166</v>
      </c>
      <c r="I452" s="287"/>
      <c r="J452" s="266">
        <v>256</v>
      </c>
      <c r="K452" s="266">
        <v>252</v>
      </c>
      <c r="L452" s="266">
        <v>167</v>
      </c>
      <c r="M452" s="266">
        <v>1491</v>
      </c>
      <c r="N452" s="266">
        <v>525</v>
      </c>
      <c r="O452" s="266"/>
      <c r="P452" s="266">
        <v>161</v>
      </c>
      <c r="Q452" s="266">
        <v>597</v>
      </c>
    </row>
    <row r="453" spans="1:17" s="263" customFormat="1" ht="9" customHeight="1" x14ac:dyDescent="0.25">
      <c r="A453" s="263" t="s">
        <v>28</v>
      </c>
      <c r="B453" s="266">
        <f t="shared" si="50"/>
        <v>1430</v>
      </c>
      <c r="C453" s="266"/>
      <c r="D453" s="283">
        <f t="shared" si="51"/>
        <v>1273</v>
      </c>
      <c r="E453" s="283"/>
      <c r="F453" s="266">
        <v>367</v>
      </c>
      <c r="G453" s="266"/>
      <c r="H453" s="266">
        <f t="shared" si="52"/>
        <v>642</v>
      </c>
      <c r="I453" s="266"/>
      <c r="J453" s="266">
        <v>88</v>
      </c>
      <c r="K453" s="266">
        <v>83</v>
      </c>
      <c r="L453" s="266">
        <v>69</v>
      </c>
      <c r="M453" s="266">
        <v>402</v>
      </c>
      <c r="N453" s="266">
        <v>149</v>
      </c>
      <c r="O453" s="266"/>
      <c r="P453" s="266">
        <v>115</v>
      </c>
      <c r="Q453" s="266">
        <v>157</v>
      </c>
    </row>
    <row r="454" spans="1:17" s="263" customFormat="1" ht="9.6" customHeight="1" x14ac:dyDescent="0.25">
      <c r="A454" s="263" t="s">
        <v>29</v>
      </c>
      <c r="B454" s="266">
        <f t="shared" si="50"/>
        <v>4513</v>
      </c>
      <c r="C454" s="266"/>
      <c r="D454" s="283">
        <f t="shared" si="51"/>
        <v>4217</v>
      </c>
      <c r="E454" s="283"/>
      <c r="F454" s="266">
        <v>1986</v>
      </c>
      <c r="G454" s="266"/>
      <c r="H454" s="266">
        <f t="shared" si="52"/>
        <v>1548</v>
      </c>
      <c r="J454" s="266">
        <v>171</v>
      </c>
      <c r="K454" s="266">
        <v>170</v>
      </c>
      <c r="L454" s="266">
        <v>269</v>
      </c>
      <c r="M454" s="266">
        <v>938</v>
      </c>
      <c r="N454" s="266">
        <v>313</v>
      </c>
      <c r="O454" s="266"/>
      <c r="P454" s="266">
        <v>370</v>
      </c>
      <c r="Q454" s="266">
        <v>296</v>
      </c>
    </row>
    <row r="455" spans="1:17" s="263" customFormat="1" ht="9" customHeight="1" x14ac:dyDescent="0.25">
      <c r="A455" s="267" t="s">
        <v>30</v>
      </c>
      <c r="B455" s="268">
        <f t="shared" si="50"/>
        <v>4325</v>
      </c>
      <c r="C455" s="268"/>
      <c r="D455" s="284">
        <f t="shared" si="51"/>
        <v>3815</v>
      </c>
      <c r="E455" s="284"/>
      <c r="F455" s="268">
        <v>1370</v>
      </c>
      <c r="G455" s="268"/>
      <c r="H455" s="268">
        <f t="shared" si="52"/>
        <v>1795</v>
      </c>
      <c r="I455" s="268"/>
      <c r="J455" s="268">
        <v>224</v>
      </c>
      <c r="K455" s="268">
        <v>215</v>
      </c>
      <c r="L455" s="268">
        <v>145</v>
      </c>
      <c r="M455" s="268">
        <v>1211</v>
      </c>
      <c r="N455" s="268">
        <v>388</v>
      </c>
      <c r="O455" s="268"/>
      <c r="P455" s="268">
        <v>262</v>
      </c>
      <c r="Q455" s="268">
        <v>510</v>
      </c>
    </row>
    <row r="456" spans="1:17" s="263" customFormat="1" ht="9" customHeight="1" x14ac:dyDescent="0.25">
      <c r="A456" s="263" t="s">
        <v>63</v>
      </c>
      <c r="B456" s="266">
        <f t="shared" si="50"/>
        <v>30998</v>
      </c>
      <c r="C456" s="266"/>
      <c r="D456" s="283">
        <f t="shared" si="51"/>
        <v>27334</v>
      </c>
      <c r="E456" s="266"/>
      <c r="F456" s="266">
        <v>4811</v>
      </c>
      <c r="G456" s="266"/>
      <c r="H456" s="266">
        <f t="shared" si="52"/>
        <v>15044</v>
      </c>
      <c r="I456" s="266"/>
      <c r="J456" s="266">
        <v>1202</v>
      </c>
      <c r="K456" s="266">
        <v>1743</v>
      </c>
      <c r="L456" s="266">
        <v>1310</v>
      </c>
      <c r="M456" s="266">
        <v>10789</v>
      </c>
      <c r="N456" s="266">
        <v>7312</v>
      </c>
      <c r="O456" s="266"/>
      <c r="P456" s="266">
        <v>167</v>
      </c>
      <c r="Q456" s="266">
        <v>3664</v>
      </c>
    </row>
    <row r="457" spans="1:17" s="263" customFormat="1" ht="9" customHeight="1" x14ac:dyDescent="0.25">
      <c r="A457" s="263" t="s">
        <v>31</v>
      </c>
      <c r="B457" s="266">
        <f t="shared" si="50"/>
        <v>2944</v>
      </c>
      <c r="C457" s="266"/>
      <c r="D457" s="283">
        <f t="shared" si="51"/>
        <v>2680</v>
      </c>
      <c r="E457" s="283"/>
      <c r="F457" s="266">
        <v>839</v>
      </c>
      <c r="G457" s="266"/>
      <c r="H457" s="266">
        <f t="shared" si="52"/>
        <v>1174</v>
      </c>
      <c r="I457" s="266"/>
      <c r="J457" s="266">
        <v>137</v>
      </c>
      <c r="K457" s="266">
        <v>156</v>
      </c>
      <c r="L457" s="266">
        <v>129</v>
      </c>
      <c r="M457" s="266">
        <v>752</v>
      </c>
      <c r="N457" s="266">
        <v>474</v>
      </c>
      <c r="O457" s="266"/>
      <c r="P457" s="266">
        <v>193</v>
      </c>
      <c r="Q457" s="266">
        <v>264</v>
      </c>
    </row>
    <row r="458" spans="1:17" s="263" customFormat="1" ht="9" customHeight="1" x14ac:dyDescent="0.25">
      <c r="A458" s="263" t="s">
        <v>32</v>
      </c>
      <c r="B458" s="266">
        <f t="shared" si="50"/>
        <v>6506</v>
      </c>
      <c r="C458" s="266"/>
      <c r="D458" s="283">
        <f t="shared" si="51"/>
        <v>5779</v>
      </c>
      <c r="E458" s="283"/>
      <c r="F458" s="266">
        <v>2031</v>
      </c>
      <c r="G458" s="266"/>
      <c r="H458" s="266">
        <f t="shared" si="52"/>
        <v>2425</v>
      </c>
      <c r="I458" s="266"/>
      <c r="J458" s="266">
        <v>308</v>
      </c>
      <c r="K458" s="266">
        <v>266</v>
      </c>
      <c r="L458" s="266">
        <v>284</v>
      </c>
      <c r="M458" s="266">
        <v>1567</v>
      </c>
      <c r="N458" s="266">
        <v>930</v>
      </c>
      <c r="O458" s="266"/>
      <c r="P458" s="266">
        <v>393</v>
      </c>
      <c r="Q458" s="266">
        <v>727</v>
      </c>
    </row>
    <row r="459" spans="1:17" s="263" customFormat="1" ht="9" customHeight="1" x14ac:dyDescent="0.25">
      <c r="A459" s="267" t="s">
        <v>33</v>
      </c>
      <c r="B459" s="268">
        <f t="shared" si="50"/>
        <v>4441</v>
      </c>
      <c r="C459" s="268"/>
      <c r="D459" s="284">
        <f t="shared" si="51"/>
        <v>4129</v>
      </c>
      <c r="E459" s="284"/>
      <c r="F459" s="268">
        <v>1659</v>
      </c>
      <c r="G459" s="268"/>
      <c r="H459" s="268">
        <f t="shared" si="52"/>
        <v>1593</v>
      </c>
      <c r="I459" s="268"/>
      <c r="J459" s="268">
        <v>227</v>
      </c>
      <c r="K459" s="268">
        <v>173</v>
      </c>
      <c r="L459" s="268">
        <v>182</v>
      </c>
      <c r="M459" s="268">
        <v>1011</v>
      </c>
      <c r="N459" s="268">
        <v>448</v>
      </c>
      <c r="O459" s="268"/>
      <c r="P459" s="268">
        <v>429</v>
      </c>
      <c r="Q459" s="268">
        <v>312</v>
      </c>
    </row>
    <row r="460" spans="1:17" s="263" customFormat="1" ht="9" customHeight="1" x14ac:dyDescent="0.25">
      <c r="A460" s="263" t="s">
        <v>34</v>
      </c>
      <c r="B460" s="266">
        <f t="shared" si="50"/>
        <v>3669</v>
      </c>
      <c r="C460" s="266"/>
      <c r="D460" s="283">
        <f t="shared" si="51"/>
        <v>3271</v>
      </c>
      <c r="E460" s="283"/>
      <c r="F460" s="266">
        <v>1236</v>
      </c>
      <c r="G460" s="266"/>
      <c r="H460" s="266">
        <f t="shared" si="52"/>
        <v>1259</v>
      </c>
      <c r="I460" s="266"/>
      <c r="J460" s="266">
        <v>167</v>
      </c>
      <c r="K460" s="266">
        <v>149</v>
      </c>
      <c r="L460" s="266">
        <v>207</v>
      </c>
      <c r="M460" s="266">
        <v>736</v>
      </c>
      <c r="N460" s="266">
        <v>312</v>
      </c>
      <c r="O460" s="266"/>
      <c r="P460" s="266">
        <v>464</v>
      </c>
      <c r="Q460" s="266">
        <v>398</v>
      </c>
    </row>
    <row r="461" spans="1:17" s="263" customFormat="1" ht="9" customHeight="1" x14ac:dyDescent="0.25">
      <c r="A461" s="263" t="s">
        <v>35</v>
      </c>
      <c r="B461" s="266">
        <f t="shared" si="50"/>
        <v>11168</v>
      </c>
      <c r="C461" s="266"/>
      <c r="D461" s="283">
        <f t="shared" si="51"/>
        <v>9953</v>
      </c>
      <c r="E461" s="283"/>
      <c r="F461" s="266">
        <v>2765</v>
      </c>
      <c r="G461" s="266"/>
      <c r="H461" s="266">
        <f t="shared" si="52"/>
        <v>4338</v>
      </c>
      <c r="I461" s="266"/>
      <c r="J461" s="266">
        <v>528</v>
      </c>
      <c r="K461" s="266">
        <v>467</v>
      </c>
      <c r="L461" s="266">
        <v>433</v>
      </c>
      <c r="M461" s="266">
        <v>2910</v>
      </c>
      <c r="N461" s="266">
        <v>2243</v>
      </c>
      <c r="O461" s="266"/>
      <c r="P461" s="266">
        <v>607</v>
      </c>
      <c r="Q461" s="266">
        <v>1215</v>
      </c>
    </row>
    <row r="462" spans="1:17" s="263" customFormat="1" ht="9" customHeight="1" x14ac:dyDescent="0.25">
      <c r="A462" s="263" t="s">
        <v>36</v>
      </c>
      <c r="B462" s="266">
        <f t="shared" si="50"/>
        <v>13957</v>
      </c>
      <c r="C462" s="266"/>
      <c r="D462" s="283">
        <f t="shared" si="51"/>
        <v>12352</v>
      </c>
      <c r="E462" s="283"/>
      <c r="F462" s="266">
        <v>3913</v>
      </c>
      <c r="G462" s="266"/>
      <c r="H462" s="266">
        <f t="shared" si="52"/>
        <v>5989</v>
      </c>
      <c r="I462" s="266"/>
      <c r="J462" s="266">
        <v>818</v>
      </c>
      <c r="K462" s="266">
        <v>770</v>
      </c>
      <c r="L462" s="266">
        <v>739</v>
      </c>
      <c r="M462" s="266">
        <v>3662</v>
      </c>
      <c r="N462" s="266">
        <v>1640</v>
      </c>
      <c r="O462" s="266"/>
      <c r="P462" s="266">
        <v>810</v>
      </c>
      <c r="Q462" s="266">
        <v>1605</v>
      </c>
    </row>
    <row r="463" spans="1:17" s="263" customFormat="1" ht="9" customHeight="1" x14ac:dyDescent="0.25">
      <c r="A463" s="267" t="s">
        <v>37</v>
      </c>
      <c r="B463" s="268">
        <f t="shared" si="50"/>
        <v>5508</v>
      </c>
      <c r="C463" s="268"/>
      <c r="D463" s="284">
        <f t="shared" si="51"/>
        <v>5134</v>
      </c>
      <c r="E463" s="284"/>
      <c r="F463" s="268">
        <v>1598</v>
      </c>
      <c r="G463" s="268"/>
      <c r="H463" s="268">
        <f t="shared" si="52"/>
        <v>1967</v>
      </c>
      <c r="I463" s="268"/>
      <c r="J463" s="268">
        <v>239</v>
      </c>
      <c r="K463" s="268">
        <v>190</v>
      </c>
      <c r="L463" s="268">
        <v>268</v>
      </c>
      <c r="M463" s="268">
        <v>1270</v>
      </c>
      <c r="N463" s="268">
        <v>797</v>
      </c>
      <c r="O463" s="268"/>
      <c r="P463" s="268">
        <v>772</v>
      </c>
      <c r="Q463" s="268">
        <v>374</v>
      </c>
    </row>
    <row r="464" spans="1:17" s="263" customFormat="1" ht="9" customHeight="1" x14ac:dyDescent="0.25">
      <c r="A464" s="263" t="s">
        <v>38</v>
      </c>
      <c r="B464" s="266">
        <f t="shared" si="50"/>
        <v>2490</v>
      </c>
      <c r="C464" s="266"/>
      <c r="D464" s="283">
        <f t="shared" si="51"/>
        <v>2256</v>
      </c>
      <c r="E464" s="283"/>
      <c r="F464" s="266">
        <v>682</v>
      </c>
      <c r="G464" s="266"/>
      <c r="H464" s="266">
        <f t="shared" si="52"/>
        <v>1181</v>
      </c>
      <c r="I464" s="266"/>
      <c r="J464" s="266">
        <v>138</v>
      </c>
      <c r="K464" s="266">
        <v>149</v>
      </c>
      <c r="L464" s="266">
        <v>123</v>
      </c>
      <c r="M464" s="266">
        <v>771</v>
      </c>
      <c r="N464" s="266">
        <v>217</v>
      </c>
      <c r="O464" s="266"/>
      <c r="P464" s="266">
        <v>176</v>
      </c>
      <c r="Q464" s="266">
        <v>234</v>
      </c>
    </row>
    <row r="465" spans="1:17" s="263" customFormat="1" ht="9" customHeight="1" x14ac:dyDescent="0.25">
      <c r="A465" s="263" t="s">
        <v>39</v>
      </c>
      <c r="B465" s="266">
        <f t="shared" si="50"/>
        <v>2111</v>
      </c>
      <c r="C465" s="266"/>
      <c r="D465" s="283">
        <f t="shared" si="51"/>
        <v>1965</v>
      </c>
      <c r="E465" s="283"/>
      <c r="F465" s="266">
        <v>647</v>
      </c>
      <c r="G465" s="266"/>
      <c r="H465" s="266">
        <f t="shared" si="52"/>
        <v>760</v>
      </c>
      <c r="I465" s="266"/>
      <c r="J465" s="266">
        <v>79</v>
      </c>
      <c r="K465" s="266">
        <v>79</v>
      </c>
      <c r="L465" s="266">
        <v>102</v>
      </c>
      <c r="M465" s="266">
        <v>500</v>
      </c>
      <c r="N465" s="266">
        <v>318</v>
      </c>
      <c r="O465" s="266"/>
      <c r="P465" s="266">
        <v>240</v>
      </c>
      <c r="Q465" s="266">
        <v>146</v>
      </c>
    </row>
    <row r="466" spans="1:17" s="263" customFormat="1" ht="9" customHeight="1" x14ac:dyDescent="0.25">
      <c r="A466" s="263" t="s">
        <v>40</v>
      </c>
      <c r="B466" s="266">
        <f t="shared" si="50"/>
        <v>6563</v>
      </c>
      <c r="C466" s="266"/>
      <c r="D466" s="283">
        <f t="shared" si="51"/>
        <v>5834</v>
      </c>
      <c r="E466" s="283"/>
      <c r="F466" s="266">
        <v>1612</v>
      </c>
      <c r="G466" s="266"/>
      <c r="H466" s="266">
        <f t="shared" si="52"/>
        <v>2811</v>
      </c>
      <c r="I466" s="266"/>
      <c r="J466" s="266">
        <v>297</v>
      </c>
      <c r="K466" s="266">
        <v>298</v>
      </c>
      <c r="L466" s="266">
        <v>258</v>
      </c>
      <c r="M466" s="266">
        <v>1958</v>
      </c>
      <c r="N466" s="266">
        <v>1042</v>
      </c>
      <c r="O466" s="266"/>
      <c r="P466" s="266">
        <v>369</v>
      </c>
      <c r="Q466" s="266">
        <v>729</v>
      </c>
    </row>
    <row r="467" spans="1:17" s="263" customFormat="1" ht="9" customHeight="1" x14ac:dyDescent="0.25">
      <c r="A467" s="267" t="s">
        <v>41</v>
      </c>
      <c r="B467" s="268">
        <f t="shared" si="50"/>
        <v>4173</v>
      </c>
      <c r="C467" s="268"/>
      <c r="D467" s="284">
        <f t="shared" si="51"/>
        <v>3911</v>
      </c>
      <c r="E467" s="284"/>
      <c r="F467" s="268">
        <v>1529</v>
      </c>
      <c r="G467" s="268"/>
      <c r="H467" s="268">
        <f t="shared" si="52"/>
        <v>1356</v>
      </c>
      <c r="I467" s="268"/>
      <c r="J467" s="268">
        <v>138</v>
      </c>
      <c r="K467" s="268">
        <v>146</v>
      </c>
      <c r="L467" s="268">
        <v>159</v>
      </c>
      <c r="M467" s="268">
        <v>913</v>
      </c>
      <c r="N467" s="268">
        <v>519</v>
      </c>
      <c r="O467" s="268"/>
      <c r="P467" s="268">
        <v>507</v>
      </c>
      <c r="Q467" s="268">
        <v>262</v>
      </c>
    </row>
    <row r="468" spans="1:17" s="263" customFormat="1" ht="9.6" customHeight="1" x14ac:dyDescent="0.25">
      <c r="A468" s="263" t="s">
        <v>42</v>
      </c>
      <c r="B468" s="266">
        <f t="shared" si="50"/>
        <v>7158</v>
      </c>
      <c r="C468" s="266"/>
      <c r="D468" s="283">
        <f t="shared" si="51"/>
        <v>6597</v>
      </c>
      <c r="E468" s="283"/>
      <c r="F468" s="266">
        <v>2001</v>
      </c>
      <c r="G468" s="266"/>
      <c r="H468" s="266">
        <f t="shared" si="52"/>
        <v>2593</v>
      </c>
      <c r="I468" s="290"/>
      <c r="J468" s="266">
        <v>262</v>
      </c>
      <c r="K468" s="266">
        <v>321</v>
      </c>
      <c r="L468" s="266">
        <v>444</v>
      </c>
      <c r="M468" s="266">
        <v>1566</v>
      </c>
      <c r="N468" s="266">
        <v>1410</v>
      </c>
      <c r="O468" s="266"/>
      <c r="P468" s="266">
        <v>593</v>
      </c>
      <c r="Q468" s="266">
        <v>561</v>
      </c>
    </row>
    <row r="469" spans="1:17" s="263" customFormat="1" ht="9" customHeight="1" x14ac:dyDescent="0.25">
      <c r="A469" s="263" t="s">
        <v>43</v>
      </c>
      <c r="B469" s="266">
        <f t="shared" si="50"/>
        <v>2497</v>
      </c>
      <c r="C469" s="266"/>
      <c r="D469" s="283">
        <f t="shared" si="51"/>
        <v>2288</v>
      </c>
      <c r="E469" s="283"/>
      <c r="F469" s="266">
        <v>637</v>
      </c>
      <c r="G469" s="266"/>
      <c r="H469" s="266">
        <f t="shared" si="52"/>
        <v>1013</v>
      </c>
      <c r="I469" s="266"/>
      <c r="J469" s="266">
        <v>206</v>
      </c>
      <c r="K469" s="266">
        <v>143</v>
      </c>
      <c r="L469" s="266">
        <v>111</v>
      </c>
      <c r="M469" s="266">
        <v>553</v>
      </c>
      <c r="N469" s="266">
        <v>387</v>
      </c>
      <c r="O469" s="266"/>
      <c r="P469" s="266">
        <v>251</v>
      </c>
      <c r="Q469" s="266">
        <v>209</v>
      </c>
    </row>
    <row r="470" spans="1:17" s="263" customFormat="1" ht="9" customHeight="1" x14ac:dyDescent="0.25">
      <c r="A470" s="263" t="s">
        <v>44</v>
      </c>
      <c r="B470" s="266">
        <f t="shared" si="50"/>
        <v>1636</v>
      </c>
      <c r="C470" s="266"/>
      <c r="D470" s="283">
        <f t="shared" si="51"/>
        <v>1427</v>
      </c>
      <c r="E470" s="283"/>
      <c r="F470" s="266">
        <v>613</v>
      </c>
      <c r="G470" s="266"/>
      <c r="H470" s="266">
        <f t="shared" si="52"/>
        <v>677</v>
      </c>
      <c r="I470" s="266"/>
      <c r="J470" s="266">
        <v>84</v>
      </c>
      <c r="K470" s="266">
        <v>107</v>
      </c>
      <c r="L470" s="266">
        <v>61</v>
      </c>
      <c r="M470" s="266">
        <v>425</v>
      </c>
      <c r="N470" s="266">
        <v>79</v>
      </c>
      <c r="O470" s="266"/>
      <c r="P470" s="266">
        <v>58</v>
      </c>
      <c r="Q470" s="266">
        <v>209</v>
      </c>
    </row>
    <row r="471" spans="1:17" s="263" customFormat="1" ht="9" customHeight="1" x14ac:dyDescent="0.25">
      <c r="A471" s="267" t="s">
        <v>45</v>
      </c>
      <c r="B471" s="268">
        <f t="shared" si="50"/>
        <v>3457</v>
      </c>
      <c r="C471" s="268"/>
      <c r="D471" s="284">
        <f t="shared" si="51"/>
        <v>3195</v>
      </c>
      <c r="E471" s="284"/>
      <c r="F471" s="268">
        <v>1008</v>
      </c>
      <c r="G471" s="268"/>
      <c r="H471" s="268">
        <f t="shared" si="52"/>
        <v>1312</v>
      </c>
      <c r="I471" s="268"/>
      <c r="J471" s="268">
        <v>152</v>
      </c>
      <c r="K471" s="268">
        <v>137</v>
      </c>
      <c r="L471" s="268">
        <v>174</v>
      </c>
      <c r="M471" s="268">
        <v>849</v>
      </c>
      <c r="N471" s="268">
        <v>537</v>
      </c>
      <c r="O471" s="268"/>
      <c r="P471" s="268">
        <v>338</v>
      </c>
      <c r="Q471" s="268">
        <v>262</v>
      </c>
    </row>
    <row r="472" spans="1:17" s="263" customFormat="1" ht="9" customHeight="1" x14ac:dyDescent="0.25">
      <c r="A472" s="263" t="s">
        <v>46</v>
      </c>
      <c r="B472" s="266">
        <f t="shared" si="50"/>
        <v>4890</v>
      </c>
      <c r="C472" s="266"/>
      <c r="D472" s="283">
        <f t="shared" si="51"/>
        <v>4410</v>
      </c>
      <c r="E472" s="283"/>
      <c r="F472" s="266">
        <v>1423</v>
      </c>
      <c r="G472" s="266"/>
      <c r="H472" s="266">
        <f t="shared" si="52"/>
        <v>2037</v>
      </c>
      <c r="I472" s="266"/>
      <c r="J472" s="266">
        <v>244</v>
      </c>
      <c r="K472" s="266">
        <v>225</v>
      </c>
      <c r="L472" s="266">
        <v>226</v>
      </c>
      <c r="M472" s="266">
        <v>1342</v>
      </c>
      <c r="N472" s="266">
        <v>665</v>
      </c>
      <c r="O472" s="266"/>
      <c r="P472" s="266">
        <v>285</v>
      </c>
      <c r="Q472" s="266">
        <v>480</v>
      </c>
    </row>
    <row r="473" spans="1:17" s="263" customFormat="1" ht="9" customHeight="1" x14ac:dyDescent="0.25">
      <c r="A473" s="263" t="s">
        <v>47</v>
      </c>
      <c r="B473" s="266">
        <f t="shared" si="50"/>
        <v>4350</v>
      </c>
      <c r="C473" s="266"/>
      <c r="D473" s="283">
        <f t="shared" si="51"/>
        <v>3846</v>
      </c>
      <c r="E473" s="283"/>
      <c r="F473" s="266">
        <v>1107</v>
      </c>
      <c r="G473" s="266"/>
      <c r="H473" s="266">
        <f t="shared" si="52"/>
        <v>1954</v>
      </c>
      <c r="I473" s="266"/>
      <c r="J473" s="266">
        <v>220</v>
      </c>
      <c r="K473" s="266">
        <v>210</v>
      </c>
      <c r="L473" s="266">
        <v>205</v>
      </c>
      <c r="M473" s="266">
        <v>1319</v>
      </c>
      <c r="N473" s="266">
        <v>597</v>
      </c>
      <c r="O473" s="266"/>
      <c r="P473" s="266">
        <v>188</v>
      </c>
      <c r="Q473" s="266">
        <v>504</v>
      </c>
    </row>
    <row r="474" spans="1:17" s="263" customFormat="1" ht="9.6" customHeight="1" x14ac:dyDescent="0.25">
      <c r="A474" s="263" t="s">
        <v>48</v>
      </c>
      <c r="B474" s="266">
        <f t="shared" si="50"/>
        <v>4683</v>
      </c>
      <c r="C474" s="266"/>
      <c r="D474" s="283">
        <f t="shared" si="51"/>
        <v>4174</v>
      </c>
      <c r="E474" s="283"/>
      <c r="F474" s="266">
        <v>1711</v>
      </c>
      <c r="G474" s="266"/>
      <c r="H474" s="266">
        <f t="shared" si="52"/>
        <v>1801</v>
      </c>
      <c r="I474" s="290"/>
      <c r="J474" s="266">
        <v>192</v>
      </c>
      <c r="K474" s="266">
        <v>192</v>
      </c>
      <c r="L474" s="266">
        <v>374</v>
      </c>
      <c r="M474" s="266">
        <v>1043</v>
      </c>
      <c r="N474" s="266">
        <v>377</v>
      </c>
      <c r="O474" s="266"/>
      <c r="P474" s="266">
        <v>285</v>
      </c>
      <c r="Q474" s="266">
        <v>509</v>
      </c>
    </row>
    <row r="475" spans="1:17" s="263" customFormat="1" ht="9" customHeight="1" x14ac:dyDescent="0.25">
      <c r="A475" s="267" t="s">
        <v>49</v>
      </c>
      <c r="B475" s="268">
        <f t="shared" si="50"/>
        <v>5379</v>
      </c>
      <c r="C475" s="268"/>
      <c r="D475" s="284">
        <f t="shared" si="51"/>
        <v>4766</v>
      </c>
      <c r="E475" s="284"/>
      <c r="F475" s="268">
        <v>1340</v>
      </c>
      <c r="G475" s="268"/>
      <c r="H475" s="268">
        <f t="shared" si="52"/>
        <v>2345</v>
      </c>
      <c r="I475" s="268"/>
      <c r="J475" s="268">
        <v>305</v>
      </c>
      <c r="K475" s="268">
        <v>298</v>
      </c>
      <c r="L475" s="268">
        <v>226</v>
      </c>
      <c r="M475" s="268">
        <v>1516</v>
      </c>
      <c r="N475" s="268">
        <v>775</v>
      </c>
      <c r="O475" s="268"/>
      <c r="P475" s="268">
        <v>306</v>
      </c>
      <c r="Q475" s="268">
        <v>613</v>
      </c>
    </row>
    <row r="476" spans="1:17" s="263" customFormat="1" ht="9" customHeight="1" x14ac:dyDescent="0.25">
      <c r="A476" s="263" t="s">
        <v>50</v>
      </c>
      <c r="B476" s="266">
        <f t="shared" si="50"/>
        <v>1647</v>
      </c>
      <c r="C476" s="266"/>
      <c r="D476" s="283">
        <f t="shared" si="51"/>
        <v>1513</v>
      </c>
      <c r="E476" s="283"/>
      <c r="F476" s="266">
        <v>563</v>
      </c>
      <c r="G476" s="266"/>
      <c r="H476" s="266">
        <f t="shared" si="52"/>
        <v>641</v>
      </c>
      <c r="I476" s="266"/>
      <c r="J476" s="266">
        <v>78</v>
      </c>
      <c r="K476" s="266">
        <v>90</v>
      </c>
      <c r="L476" s="266">
        <v>88</v>
      </c>
      <c r="M476" s="266">
        <v>385</v>
      </c>
      <c r="N476" s="266">
        <v>134</v>
      </c>
      <c r="O476" s="266"/>
      <c r="P476" s="266">
        <v>175</v>
      </c>
      <c r="Q476" s="266">
        <v>134</v>
      </c>
    </row>
    <row r="477" spans="1:17" s="263" customFormat="1" ht="9" customHeight="1" x14ac:dyDescent="0.25">
      <c r="A477" s="263" t="s">
        <v>51</v>
      </c>
      <c r="B477" s="266">
        <f t="shared" si="50"/>
        <v>11391</v>
      </c>
      <c r="C477" s="266"/>
      <c r="D477" s="283">
        <f t="shared" si="51"/>
        <v>10279</v>
      </c>
      <c r="E477" s="283"/>
      <c r="F477" s="266">
        <v>3973</v>
      </c>
      <c r="G477" s="266"/>
      <c r="H477" s="266">
        <f t="shared" si="52"/>
        <v>4430</v>
      </c>
      <c r="I477" s="266"/>
      <c r="J477" s="266">
        <v>547</v>
      </c>
      <c r="K477" s="266">
        <v>482</v>
      </c>
      <c r="L477" s="266">
        <v>595</v>
      </c>
      <c r="M477" s="266">
        <v>2806</v>
      </c>
      <c r="N477" s="266">
        <v>1210</v>
      </c>
      <c r="O477" s="266"/>
      <c r="P477" s="266">
        <v>666</v>
      </c>
      <c r="Q477" s="266">
        <v>1112</v>
      </c>
    </row>
    <row r="478" spans="1:17" s="263" customFormat="1" ht="9" customHeight="1" x14ac:dyDescent="0.25">
      <c r="A478" s="263" t="s">
        <v>52</v>
      </c>
      <c r="B478" s="266">
        <f t="shared" si="50"/>
        <v>3284</v>
      </c>
      <c r="C478" s="266"/>
      <c r="D478" s="283">
        <f t="shared" si="51"/>
        <v>2973</v>
      </c>
      <c r="E478" s="283"/>
      <c r="F478" s="266">
        <v>868</v>
      </c>
      <c r="G478" s="266"/>
      <c r="H478" s="266">
        <f t="shared" si="52"/>
        <v>1248</v>
      </c>
      <c r="I478" s="266"/>
      <c r="J478" s="266">
        <v>151</v>
      </c>
      <c r="K478" s="266">
        <v>133</v>
      </c>
      <c r="L478" s="266">
        <v>116</v>
      </c>
      <c r="M478" s="266">
        <v>848</v>
      </c>
      <c r="N478" s="266">
        <v>673</v>
      </c>
      <c r="O478" s="266"/>
      <c r="P478" s="266">
        <v>184</v>
      </c>
      <c r="Q478" s="266">
        <v>311</v>
      </c>
    </row>
    <row r="479" spans="1:17" s="263" customFormat="1" ht="9" customHeight="1" x14ac:dyDescent="0.25">
      <c r="A479" s="267" t="s">
        <v>53</v>
      </c>
      <c r="B479" s="268">
        <f t="shared" si="50"/>
        <v>2152</v>
      </c>
      <c r="C479" s="268"/>
      <c r="D479" s="284">
        <f t="shared" si="51"/>
        <v>2004</v>
      </c>
      <c r="E479" s="284"/>
      <c r="F479" s="268">
        <v>756</v>
      </c>
      <c r="G479" s="268"/>
      <c r="H479" s="268">
        <f t="shared" si="52"/>
        <v>784</v>
      </c>
      <c r="I479" s="268"/>
      <c r="J479" s="268">
        <v>105</v>
      </c>
      <c r="K479" s="268">
        <v>99</v>
      </c>
      <c r="L479" s="268">
        <v>91</v>
      </c>
      <c r="M479" s="268">
        <v>489</v>
      </c>
      <c r="N479" s="268">
        <v>255</v>
      </c>
      <c r="O479" s="268"/>
      <c r="P479" s="268">
        <v>209</v>
      </c>
      <c r="Q479" s="268">
        <v>148</v>
      </c>
    </row>
    <row r="480" spans="1:17" s="263" customFormat="1" ht="9" customHeight="1" x14ac:dyDescent="0.25">
      <c r="B480" s="266"/>
      <c r="C480" s="266"/>
      <c r="D480" s="283"/>
      <c r="E480" s="283"/>
      <c r="F480" s="266"/>
      <c r="G480" s="266"/>
      <c r="H480" s="266"/>
      <c r="I480" s="266"/>
      <c r="J480" s="266"/>
      <c r="K480" s="266"/>
      <c r="L480" s="266"/>
      <c r="M480" s="266"/>
      <c r="N480" s="266"/>
      <c r="O480" s="266"/>
      <c r="P480" s="266"/>
      <c r="Q480" s="266"/>
    </row>
    <row r="481" spans="1:17" s="263" customFormat="1" ht="9" customHeight="1" x14ac:dyDescent="0.25">
      <c r="A481" s="261">
        <v>2008</v>
      </c>
      <c r="B481" s="266"/>
      <c r="C481" s="266"/>
      <c r="D481" s="266"/>
      <c r="E481" s="266"/>
      <c r="F481" s="271"/>
      <c r="G481" s="266"/>
      <c r="H481" s="266"/>
      <c r="I481" s="266"/>
      <c r="J481" s="271"/>
      <c r="K481" s="271"/>
      <c r="L481" s="271"/>
      <c r="M481" s="266"/>
      <c r="N481" s="266"/>
      <c r="O481" s="266"/>
      <c r="P481" s="266"/>
      <c r="Q481" s="271"/>
    </row>
    <row r="482" spans="1:17" s="263" customFormat="1" ht="9" customHeight="1" x14ac:dyDescent="0.25">
      <c r="A482" s="264" t="s">
        <v>21</v>
      </c>
      <c r="B482" s="262">
        <f>SUM(B484:B515)</f>
        <v>177837</v>
      </c>
      <c r="C482" s="262"/>
      <c r="D482" s="262">
        <f>SUM(D484:D515)</f>
        <v>159949</v>
      </c>
      <c r="E482" s="288"/>
      <c r="F482" s="262">
        <f>SUM(F484:F515)</f>
        <v>48679</v>
      </c>
      <c r="G482" s="262"/>
      <c r="H482" s="262">
        <f>SUM(H484:H515)</f>
        <v>73987</v>
      </c>
      <c r="I482" s="262"/>
      <c r="J482" s="262">
        <f t="shared" ref="J482:Q482" si="53">SUM(J484:J515)</f>
        <v>8421</v>
      </c>
      <c r="K482" s="262">
        <f t="shared" si="53"/>
        <v>8591</v>
      </c>
      <c r="L482" s="262">
        <f t="shared" si="53"/>
        <v>8539</v>
      </c>
      <c r="M482" s="262">
        <f t="shared" si="53"/>
        <v>48436</v>
      </c>
      <c r="N482" s="262">
        <f t="shared" si="53"/>
        <v>26884</v>
      </c>
      <c r="O482" s="262"/>
      <c r="P482" s="262">
        <f t="shared" si="53"/>
        <v>10399</v>
      </c>
      <c r="Q482" s="262">
        <f t="shared" si="53"/>
        <v>17888</v>
      </c>
    </row>
    <row r="483" spans="1:17" s="263" customFormat="1" ht="3.95" customHeight="1" x14ac:dyDescent="0.25">
      <c r="A483" s="264"/>
      <c r="B483" s="262"/>
      <c r="C483" s="262"/>
      <c r="D483" s="282"/>
      <c r="E483" s="282"/>
      <c r="F483" s="262"/>
      <c r="G483" s="262"/>
      <c r="H483" s="262"/>
      <c r="I483" s="262"/>
      <c r="J483" s="262"/>
      <c r="K483" s="262"/>
      <c r="L483" s="262"/>
      <c r="M483" s="262"/>
      <c r="N483" s="262"/>
      <c r="O483" s="262"/>
      <c r="P483" s="262"/>
      <c r="Q483" s="262"/>
    </row>
    <row r="484" spans="1:17" s="263" customFormat="1" ht="9" customHeight="1" x14ac:dyDescent="0.25">
      <c r="A484" s="263" t="s">
        <v>23</v>
      </c>
      <c r="B484" s="266">
        <f t="shared" ref="B484:B515" si="54">SUM(D484+Q484)</f>
        <v>2346</v>
      </c>
      <c r="C484" s="266"/>
      <c r="D484" s="283">
        <f t="shared" ref="D484:D515" si="55">SUM(F484+H484+P484+N484)</f>
        <v>2100</v>
      </c>
      <c r="E484" s="283"/>
      <c r="F484" s="266">
        <v>582</v>
      </c>
      <c r="G484" s="266"/>
      <c r="H484" s="266">
        <f t="shared" ref="H484:H515" si="56">SUM(J484:M484)</f>
        <v>1143</v>
      </c>
      <c r="I484" s="266"/>
      <c r="J484" s="266">
        <v>112</v>
      </c>
      <c r="K484" s="266">
        <v>173</v>
      </c>
      <c r="L484" s="266">
        <v>96</v>
      </c>
      <c r="M484" s="266">
        <v>762</v>
      </c>
      <c r="N484" s="266">
        <v>311</v>
      </c>
      <c r="O484" s="266"/>
      <c r="P484" s="266">
        <v>64</v>
      </c>
      <c r="Q484" s="266">
        <v>246</v>
      </c>
    </row>
    <row r="485" spans="1:17" s="263" customFormat="1" ht="9" customHeight="1" x14ac:dyDescent="0.25">
      <c r="A485" s="263" t="s">
        <v>24</v>
      </c>
      <c r="B485" s="266">
        <f t="shared" si="54"/>
        <v>3943</v>
      </c>
      <c r="C485" s="266"/>
      <c r="D485" s="283">
        <f t="shared" si="55"/>
        <v>3486</v>
      </c>
      <c r="E485" s="283"/>
      <c r="F485" s="266">
        <v>1038</v>
      </c>
      <c r="G485" s="266"/>
      <c r="H485" s="266">
        <f t="shared" si="56"/>
        <v>1956</v>
      </c>
      <c r="I485" s="266"/>
      <c r="J485" s="266">
        <v>246</v>
      </c>
      <c r="K485" s="266">
        <v>241</v>
      </c>
      <c r="L485" s="266">
        <v>175</v>
      </c>
      <c r="M485" s="266">
        <v>1294</v>
      </c>
      <c r="N485" s="266">
        <v>332</v>
      </c>
      <c r="O485" s="266"/>
      <c r="P485" s="266">
        <v>160</v>
      </c>
      <c r="Q485" s="266">
        <v>457</v>
      </c>
    </row>
    <row r="486" spans="1:17" s="263" customFormat="1" ht="9" customHeight="1" x14ac:dyDescent="0.25">
      <c r="A486" s="263" t="s">
        <v>25</v>
      </c>
      <c r="B486" s="266">
        <f t="shared" si="54"/>
        <v>1290</v>
      </c>
      <c r="C486" s="266"/>
      <c r="D486" s="283">
        <f t="shared" si="55"/>
        <v>1155</v>
      </c>
      <c r="E486" s="283"/>
      <c r="F486" s="266">
        <v>400</v>
      </c>
      <c r="G486" s="266"/>
      <c r="H486" s="266">
        <f t="shared" si="56"/>
        <v>613</v>
      </c>
      <c r="I486" s="266"/>
      <c r="J486" s="266">
        <v>70</v>
      </c>
      <c r="K486" s="266">
        <v>64</v>
      </c>
      <c r="L486" s="266">
        <v>55</v>
      </c>
      <c r="M486" s="266">
        <v>424</v>
      </c>
      <c r="N486" s="266">
        <v>83</v>
      </c>
      <c r="O486" s="266"/>
      <c r="P486" s="266">
        <v>59</v>
      </c>
      <c r="Q486" s="266">
        <v>135</v>
      </c>
    </row>
    <row r="487" spans="1:17" s="263" customFormat="1" ht="9" customHeight="1" x14ac:dyDescent="0.25">
      <c r="A487" s="267" t="s">
        <v>26</v>
      </c>
      <c r="B487" s="268">
        <f t="shared" si="54"/>
        <v>1858</v>
      </c>
      <c r="C487" s="268"/>
      <c r="D487" s="284">
        <f t="shared" si="55"/>
        <v>1712</v>
      </c>
      <c r="E487" s="284"/>
      <c r="F487" s="268">
        <v>726</v>
      </c>
      <c r="G487" s="268"/>
      <c r="H487" s="268">
        <f t="shared" si="56"/>
        <v>699</v>
      </c>
      <c r="I487" s="268"/>
      <c r="J487" s="268">
        <v>99</v>
      </c>
      <c r="K487" s="268">
        <v>83</v>
      </c>
      <c r="L487" s="268">
        <v>86</v>
      </c>
      <c r="M487" s="268">
        <v>431</v>
      </c>
      <c r="N487" s="268">
        <v>201</v>
      </c>
      <c r="O487" s="268"/>
      <c r="P487" s="268">
        <v>86</v>
      </c>
      <c r="Q487" s="268">
        <v>146</v>
      </c>
    </row>
    <row r="488" spans="1:17" s="263" customFormat="1" ht="9" customHeight="1" x14ac:dyDescent="0.25">
      <c r="A488" s="263" t="s">
        <v>27</v>
      </c>
      <c r="B488" s="266">
        <f t="shared" si="54"/>
        <v>4726</v>
      </c>
      <c r="C488" s="266"/>
      <c r="D488" s="283">
        <f t="shared" si="55"/>
        <v>4125</v>
      </c>
      <c r="E488" s="283"/>
      <c r="F488" s="266">
        <v>1131</v>
      </c>
      <c r="G488" s="266"/>
      <c r="H488" s="266">
        <f t="shared" si="56"/>
        <v>2247</v>
      </c>
      <c r="I488" s="287"/>
      <c r="J488" s="266">
        <v>266</v>
      </c>
      <c r="K488" s="266">
        <v>261</v>
      </c>
      <c r="L488" s="266">
        <v>162</v>
      </c>
      <c r="M488" s="266">
        <v>1558</v>
      </c>
      <c r="N488" s="266">
        <v>583</v>
      </c>
      <c r="O488" s="266"/>
      <c r="P488" s="266">
        <v>164</v>
      </c>
      <c r="Q488" s="266">
        <v>601</v>
      </c>
    </row>
    <row r="489" spans="1:17" s="263" customFormat="1" ht="9" customHeight="1" x14ac:dyDescent="0.25">
      <c r="A489" s="263" t="s">
        <v>28</v>
      </c>
      <c r="B489" s="266">
        <f t="shared" si="54"/>
        <v>1522</v>
      </c>
      <c r="C489" s="266"/>
      <c r="D489" s="283">
        <f t="shared" si="55"/>
        <v>1357</v>
      </c>
      <c r="E489" s="283"/>
      <c r="F489" s="266">
        <v>393</v>
      </c>
      <c r="G489" s="266"/>
      <c r="H489" s="266">
        <f t="shared" si="56"/>
        <v>684</v>
      </c>
      <c r="I489" s="266"/>
      <c r="J489" s="266">
        <v>89</v>
      </c>
      <c r="K489" s="266">
        <v>82</v>
      </c>
      <c r="L489" s="266">
        <v>72</v>
      </c>
      <c r="M489" s="266">
        <v>441</v>
      </c>
      <c r="N489" s="266">
        <v>170</v>
      </c>
      <c r="O489" s="266"/>
      <c r="P489" s="266">
        <v>110</v>
      </c>
      <c r="Q489" s="266">
        <v>165</v>
      </c>
    </row>
    <row r="490" spans="1:17" s="263" customFormat="1" ht="9.6" customHeight="1" x14ac:dyDescent="0.25">
      <c r="A490" s="263" t="s">
        <v>29</v>
      </c>
      <c r="B490" s="266">
        <f t="shared" si="54"/>
        <v>4513</v>
      </c>
      <c r="C490" s="266"/>
      <c r="D490" s="283">
        <f t="shared" si="55"/>
        <v>4179</v>
      </c>
      <c r="E490" s="283"/>
      <c r="F490" s="266">
        <v>2068</v>
      </c>
      <c r="G490" s="266"/>
      <c r="H490" s="266">
        <f t="shared" si="56"/>
        <v>1515</v>
      </c>
      <c r="J490" s="266">
        <v>167</v>
      </c>
      <c r="K490" s="266">
        <v>185</v>
      </c>
      <c r="L490" s="266">
        <v>263</v>
      </c>
      <c r="M490" s="266">
        <v>900</v>
      </c>
      <c r="N490" s="266">
        <v>248</v>
      </c>
      <c r="O490" s="266"/>
      <c r="P490" s="266">
        <v>348</v>
      </c>
      <c r="Q490" s="266">
        <v>334</v>
      </c>
    </row>
    <row r="491" spans="1:17" s="263" customFormat="1" ht="9" customHeight="1" x14ac:dyDescent="0.25">
      <c r="A491" s="267" t="s">
        <v>30</v>
      </c>
      <c r="B491" s="268">
        <f t="shared" si="54"/>
        <v>4290</v>
      </c>
      <c r="C491" s="268"/>
      <c r="D491" s="284">
        <f t="shared" si="55"/>
        <v>3768</v>
      </c>
      <c r="E491" s="284"/>
      <c r="F491" s="268">
        <v>1403</v>
      </c>
      <c r="G491" s="268"/>
      <c r="H491" s="268">
        <f t="shared" si="56"/>
        <v>1775</v>
      </c>
      <c r="I491" s="268"/>
      <c r="J491" s="268">
        <v>220</v>
      </c>
      <c r="K491" s="268">
        <v>209</v>
      </c>
      <c r="L491" s="268">
        <v>158</v>
      </c>
      <c r="M491" s="268">
        <v>1188</v>
      </c>
      <c r="N491" s="268">
        <v>315</v>
      </c>
      <c r="O491" s="268"/>
      <c r="P491" s="268">
        <v>275</v>
      </c>
      <c r="Q491" s="268">
        <v>522</v>
      </c>
    </row>
    <row r="492" spans="1:17" s="263" customFormat="1" ht="9" customHeight="1" x14ac:dyDescent="0.25">
      <c r="A492" s="263" t="s">
        <v>63</v>
      </c>
      <c r="B492" s="266">
        <f t="shared" si="54"/>
        <v>31224</v>
      </c>
      <c r="C492" s="266"/>
      <c r="D492" s="283">
        <f t="shared" si="55"/>
        <v>27589</v>
      </c>
      <c r="E492" s="266"/>
      <c r="F492" s="266">
        <v>4800</v>
      </c>
      <c r="G492" s="266"/>
      <c r="H492" s="266">
        <f t="shared" si="56"/>
        <v>15043</v>
      </c>
      <c r="I492" s="266"/>
      <c r="J492" s="266">
        <v>1194</v>
      </c>
      <c r="K492" s="266">
        <v>1735</v>
      </c>
      <c r="L492" s="266">
        <v>1308</v>
      </c>
      <c r="M492" s="266">
        <v>10806</v>
      </c>
      <c r="N492" s="266">
        <v>7303</v>
      </c>
      <c r="O492" s="266"/>
      <c r="P492" s="266">
        <v>443</v>
      </c>
      <c r="Q492" s="266">
        <v>3635</v>
      </c>
    </row>
    <row r="493" spans="1:17" s="263" customFormat="1" ht="9" customHeight="1" x14ac:dyDescent="0.25">
      <c r="A493" s="263" t="s">
        <v>31</v>
      </c>
      <c r="B493" s="266">
        <f t="shared" si="54"/>
        <v>3102</v>
      </c>
      <c r="C493" s="266"/>
      <c r="D493" s="283">
        <f t="shared" si="55"/>
        <v>2850</v>
      </c>
      <c r="E493" s="283"/>
      <c r="F493" s="266">
        <v>880</v>
      </c>
      <c r="G493" s="266"/>
      <c r="H493" s="266">
        <f t="shared" si="56"/>
        <v>1201</v>
      </c>
      <c r="I493" s="266"/>
      <c r="J493" s="266">
        <v>137</v>
      </c>
      <c r="K493" s="266">
        <v>159</v>
      </c>
      <c r="L493" s="266">
        <v>139</v>
      </c>
      <c r="M493" s="266">
        <v>766</v>
      </c>
      <c r="N493" s="266">
        <v>572</v>
      </c>
      <c r="O493" s="266"/>
      <c r="P493" s="266">
        <v>197</v>
      </c>
      <c r="Q493" s="266">
        <v>252</v>
      </c>
    </row>
    <row r="494" spans="1:17" s="263" customFormat="1" ht="9" customHeight="1" x14ac:dyDescent="0.25">
      <c r="A494" s="263" t="s">
        <v>32</v>
      </c>
      <c r="B494" s="266">
        <f t="shared" si="54"/>
        <v>6680</v>
      </c>
      <c r="C494" s="266"/>
      <c r="D494" s="283">
        <f t="shared" si="55"/>
        <v>5964</v>
      </c>
      <c r="E494" s="283"/>
      <c r="F494" s="266">
        <v>2049</v>
      </c>
      <c r="G494" s="266"/>
      <c r="H494" s="266">
        <f t="shared" si="56"/>
        <v>2595</v>
      </c>
      <c r="I494" s="266"/>
      <c r="J494" s="266">
        <v>320</v>
      </c>
      <c r="K494" s="266">
        <v>302</v>
      </c>
      <c r="L494" s="266">
        <v>294</v>
      </c>
      <c r="M494" s="266">
        <v>1679</v>
      </c>
      <c r="N494" s="266">
        <v>918</v>
      </c>
      <c r="O494" s="266"/>
      <c r="P494" s="266">
        <v>402</v>
      </c>
      <c r="Q494" s="266">
        <v>716</v>
      </c>
    </row>
    <row r="495" spans="1:17" s="263" customFormat="1" ht="9" customHeight="1" x14ac:dyDescent="0.25">
      <c r="A495" s="267" t="s">
        <v>33</v>
      </c>
      <c r="B495" s="268">
        <f t="shared" si="54"/>
        <v>4491</v>
      </c>
      <c r="C495" s="268"/>
      <c r="D495" s="284">
        <f t="shared" si="55"/>
        <v>4178</v>
      </c>
      <c r="E495" s="284"/>
      <c r="F495" s="268">
        <v>1696</v>
      </c>
      <c r="G495" s="268"/>
      <c r="H495" s="268">
        <f t="shared" si="56"/>
        <v>1648</v>
      </c>
      <c r="I495" s="268"/>
      <c r="J495" s="268">
        <v>252</v>
      </c>
      <c r="K495" s="268">
        <v>184</v>
      </c>
      <c r="L495" s="268">
        <v>187</v>
      </c>
      <c r="M495" s="268">
        <v>1025</v>
      </c>
      <c r="N495" s="268">
        <v>412</v>
      </c>
      <c r="O495" s="268"/>
      <c r="P495" s="268">
        <v>422</v>
      </c>
      <c r="Q495" s="268">
        <v>313</v>
      </c>
    </row>
    <row r="496" spans="1:17" s="263" customFormat="1" ht="9" customHeight="1" x14ac:dyDescent="0.25">
      <c r="A496" s="263" t="s">
        <v>34</v>
      </c>
      <c r="B496" s="266">
        <f t="shared" si="54"/>
        <v>3918</v>
      </c>
      <c r="C496" s="266"/>
      <c r="D496" s="283">
        <f t="shared" si="55"/>
        <v>3506</v>
      </c>
      <c r="E496" s="283"/>
      <c r="F496" s="266">
        <v>1269</v>
      </c>
      <c r="G496" s="266"/>
      <c r="H496" s="266">
        <f t="shared" si="56"/>
        <v>1382</v>
      </c>
      <c r="I496" s="266"/>
      <c r="J496" s="266">
        <v>180</v>
      </c>
      <c r="K496" s="266">
        <v>157</v>
      </c>
      <c r="L496" s="266">
        <v>258</v>
      </c>
      <c r="M496" s="266">
        <v>787</v>
      </c>
      <c r="N496" s="266">
        <v>369</v>
      </c>
      <c r="O496" s="266"/>
      <c r="P496" s="266">
        <v>486</v>
      </c>
      <c r="Q496" s="266">
        <v>412</v>
      </c>
    </row>
    <row r="497" spans="1:17" s="263" customFormat="1" ht="9" customHeight="1" x14ac:dyDescent="0.25">
      <c r="A497" s="263" t="s">
        <v>35</v>
      </c>
      <c r="B497" s="266">
        <f t="shared" si="54"/>
        <v>11621</v>
      </c>
      <c r="C497" s="266"/>
      <c r="D497" s="283">
        <f t="shared" si="55"/>
        <v>10441</v>
      </c>
      <c r="E497" s="283"/>
      <c r="F497" s="266">
        <v>2758</v>
      </c>
      <c r="G497" s="266"/>
      <c r="H497" s="266">
        <f t="shared" si="56"/>
        <v>4636</v>
      </c>
      <c r="I497" s="266"/>
      <c r="J497" s="266">
        <v>582</v>
      </c>
      <c r="K497" s="266">
        <v>496</v>
      </c>
      <c r="L497" s="266">
        <v>430</v>
      </c>
      <c r="M497" s="266">
        <v>3128</v>
      </c>
      <c r="N497" s="266">
        <v>2433</v>
      </c>
      <c r="O497" s="266"/>
      <c r="P497" s="266">
        <v>614</v>
      </c>
      <c r="Q497" s="266">
        <v>1180</v>
      </c>
    </row>
    <row r="498" spans="1:17" s="263" customFormat="1" ht="9" customHeight="1" x14ac:dyDescent="0.25">
      <c r="A498" s="263" t="s">
        <v>36</v>
      </c>
      <c r="B498" s="266">
        <f t="shared" si="54"/>
        <v>15304</v>
      </c>
      <c r="C498" s="266"/>
      <c r="D498" s="283">
        <f t="shared" si="55"/>
        <v>13611</v>
      </c>
      <c r="E498" s="283"/>
      <c r="F498" s="266">
        <v>4363</v>
      </c>
      <c r="G498" s="266"/>
      <c r="H498" s="266">
        <f t="shared" si="56"/>
        <v>6602</v>
      </c>
      <c r="I498" s="266"/>
      <c r="J498" s="266">
        <v>937</v>
      </c>
      <c r="K498" s="266">
        <v>910</v>
      </c>
      <c r="L498" s="266">
        <v>874</v>
      </c>
      <c r="M498" s="266">
        <v>3881</v>
      </c>
      <c r="N498" s="266">
        <v>1830</v>
      </c>
      <c r="O498" s="266"/>
      <c r="P498" s="266">
        <v>816</v>
      </c>
      <c r="Q498" s="266">
        <v>1693</v>
      </c>
    </row>
    <row r="499" spans="1:17" s="263" customFormat="1" ht="9" customHeight="1" x14ac:dyDescent="0.25">
      <c r="A499" s="267" t="s">
        <v>37</v>
      </c>
      <c r="B499" s="268">
        <f t="shared" si="54"/>
        <v>5792</v>
      </c>
      <c r="C499" s="268"/>
      <c r="D499" s="284">
        <f t="shared" si="55"/>
        <v>5359</v>
      </c>
      <c r="E499" s="284"/>
      <c r="F499" s="268">
        <v>1703</v>
      </c>
      <c r="G499" s="268"/>
      <c r="H499" s="268">
        <f t="shared" si="56"/>
        <v>2064</v>
      </c>
      <c r="I499" s="268"/>
      <c r="J499" s="268">
        <v>243</v>
      </c>
      <c r="K499" s="268">
        <v>192</v>
      </c>
      <c r="L499" s="268">
        <v>293</v>
      </c>
      <c r="M499" s="268">
        <v>1336</v>
      </c>
      <c r="N499" s="268">
        <v>828</v>
      </c>
      <c r="O499" s="268"/>
      <c r="P499" s="268">
        <v>764</v>
      </c>
      <c r="Q499" s="268">
        <v>433</v>
      </c>
    </row>
    <row r="500" spans="1:17" s="263" customFormat="1" ht="9" customHeight="1" x14ac:dyDescent="0.25">
      <c r="A500" s="263" t="s">
        <v>38</v>
      </c>
      <c r="B500" s="266">
        <f t="shared" si="54"/>
        <v>2617</v>
      </c>
      <c r="C500" s="266"/>
      <c r="D500" s="283">
        <f t="shared" si="55"/>
        <v>2382</v>
      </c>
      <c r="E500" s="283"/>
      <c r="F500" s="266">
        <v>728</v>
      </c>
      <c r="G500" s="266"/>
      <c r="H500" s="266">
        <f t="shared" si="56"/>
        <v>1266</v>
      </c>
      <c r="I500" s="266"/>
      <c r="J500" s="266">
        <v>159</v>
      </c>
      <c r="K500" s="266">
        <v>159</v>
      </c>
      <c r="L500" s="266">
        <v>135</v>
      </c>
      <c r="M500" s="266">
        <v>813</v>
      </c>
      <c r="N500" s="266">
        <v>202</v>
      </c>
      <c r="O500" s="266"/>
      <c r="P500" s="266">
        <v>186</v>
      </c>
      <c r="Q500" s="266">
        <v>235</v>
      </c>
    </row>
    <row r="501" spans="1:17" s="263" customFormat="1" ht="9" customHeight="1" x14ac:dyDescent="0.25">
      <c r="A501" s="263" t="s">
        <v>39</v>
      </c>
      <c r="B501" s="266">
        <f t="shared" si="54"/>
        <v>2166</v>
      </c>
      <c r="C501" s="266"/>
      <c r="D501" s="283">
        <f t="shared" si="55"/>
        <v>2004</v>
      </c>
      <c r="E501" s="283"/>
      <c r="F501" s="266">
        <v>663</v>
      </c>
      <c r="G501" s="266"/>
      <c r="H501" s="266">
        <f t="shared" si="56"/>
        <v>769</v>
      </c>
      <c r="I501" s="266"/>
      <c r="J501" s="266">
        <v>87</v>
      </c>
      <c r="K501" s="266">
        <v>80</v>
      </c>
      <c r="L501" s="266">
        <v>114</v>
      </c>
      <c r="M501" s="266">
        <v>488</v>
      </c>
      <c r="N501" s="266">
        <v>324</v>
      </c>
      <c r="O501" s="266"/>
      <c r="P501" s="266">
        <v>248</v>
      </c>
      <c r="Q501" s="266">
        <v>162</v>
      </c>
    </row>
    <row r="502" spans="1:17" s="263" customFormat="1" ht="9" customHeight="1" x14ac:dyDescent="0.25">
      <c r="A502" s="263" t="s">
        <v>40</v>
      </c>
      <c r="B502" s="266">
        <f t="shared" si="54"/>
        <v>6676</v>
      </c>
      <c r="C502" s="266"/>
      <c r="D502" s="283">
        <f t="shared" si="55"/>
        <v>5932</v>
      </c>
      <c r="E502" s="283"/>
      <c r="F502" s="266">
        <v>1581</v>
      </c>
      <c r="G502" s="266"/>
      <c r="H502" s="266">
        <f t="shared" si="56"/>
        <v>2867</v>
      </c>
      <c r="I502" s="266"/>
      <c r="J502" s="266">
        <v>309</v>
      </c>
      <c r="K502" s="266">
        <v>302</v>
      </c>
      <c r="L502" s="266">
        <v>258</v>
      </c>
      <c r="M502" s="266">
        <v>1998</v>
      </c>
      <c r="N502" s="266">
        <v>1119</v>
      </c>
      <c r="O502" s="266"/>
      <c r="P502" s="266">
        <v>365</v>
      </c>
      <c r="Q502" s="266">
        <v>744</v>
      </c>
    </row>
    <row r="503" spans="1:17" s="263" customFormat="1" ht="9" customHeight="1" x14ac:dyDescent="0.25">
      <c r="A503" s="267" t="s">
        <v>41</v>
      </c>
      <c r="B503" s="268">
        <f t="shared" si="54"/>
        <v>4817</v>
      </c>
      <c r="C503" s="268"/>
      <c r="D503" s="284">
        <f t="shared" si="55"/>
        <v>4464</v>
      </c>
      <c r="E503" s="284"/>
      <c r="F503" s="268">
        <v>1824</v>
      </c>
      <c r="G503" s="268"/>
      <c r="H503" s="268">
        <f t="shared" si="56"/>
        <v>1465</v>
      </c>
      <c r="I503" s="268"/>
      <c r="J503" s="268">
        <v>156</v>
      </c>
      <c r="K503" s="268">
        <v>154</v>
      </c>
      <c r="L503" s="268">
        <v>215</v>
      </c>
      <c r="M503" s="268">
        <v>940</v>
      </c>
      <c r="N503" s="268">
        <v>600</v>
      </c>
      <c r="O503" s="268"/>
      <c r="P503" s="268">
        <v>575</v>
      </c>
      <c r="Q503" s="268">
        <v>353</v>
      </c>
    </row>
    <row r="504" spans="1:17" s="263" customFormat="1" ht="9.6" customHeight="1" x14ac:dyDescent="0.25">
      <c r="A504" s="263" t="s">
        <v>42</v>
      </c>
      <c r="B504" s="266">
        <f t="shared" si="54"/>
        <v>7654</v>
      </c>
      <c r="C504" s="266"/>
      <c r="D504" s="283">
        <f t="shared" si="55"/>
        <v>7034</v>
      </c>
      <c r="E504" s="283"/>
      <c r="F504" s="266">
        <v>2119</v>
      </c>
      <c r="G504" s="266"/>
      <c r="H504" s="266">
        <f t="shared" si="56"/>
        <v>2782</v>
      </c>
      <c r="I504" s="290"/>
      <c r="J504" s="266">
        <v>274</v>
      </c>
      <c r="K504" s="266">
        <v>344</v>
      </c>
      <c r="L504" s="266">
        <v>464</v>
      </c>
      <c r="M504" s="266">
        <v>1700</v>
      </c>
      <c r="N504" s="266">
        <v>1513</v>
      </c>
      <c r="O504" s="266"/>
      <c r="P504" s="266">
        <v>620</v>
      </c>
      <c r="Q504" s="266">
        <v>620</v>
      </c>
    </row>
    <row r="505" spans="1:17" s="263" customFormat="1" ht="9" customHeight="1" x14ac:dyDescent="0.25">
      <c r="A505" s="263" t="s">
        <v>43</v>
      </c>
      <c r="B505" s="266">
        <f t="shared" si="54"/>
        <v>2616</v>
      </c>
      <c r="C505" s="266"/>
      <c r="D505" s="283">
        <f t="shared" si="55"/>
        <v>2403</v>
      </c>
      <c r="E505" s="283"/>
      <c r="F505" s="266">
        <v>652</v>
      </c>
      <c r="G505" s="266"/>
      <c r="H505" s="266">
        <f t="shared" si="56"/>
        <v>1053</v>
      </c>
      <c r="I505" s="266"/>
      <c r="J505" s="266">
        <v>195</v>
      </c>
      <c r="K505" s="266">
        <v>144</v>
      </c>
      <c r="L505" s="266">
        <v>126</v>
      </c>
      <c r="M505" s="266">
        <v>588</v>
      </c>
      <c r="N505" s="266">
        <v>462</v>
      </c>
      <c r="O505" s="266"/>
      <c r="P505" s="266">
        <v>236</v>
      </c>
      <c r="Q505" s="266">
        <v>213</v>
      </c>
    </row>
    <row r="506" spans="1:17" s="263" customFormat="1" ht="9" customHeight="1" x14ac:dyDescent="0.25">
      <c r="A506" s="263" t="s">
        <v>44</v>
      </c>
      <c r="B506" s="266">
        <f t="shared" si="54"/>
        <v>1673</v>
      </c>
      <c r="C506" s="266"/>
      <c r="D506" s="283">
        <f t="shared" si="55"/>
        <v>1472</v>
      </c>
      <c r="E506" s="283"/>
      <c r="F506" s="266">
        <v>617</v>
      </c>
      <c r="G506" s="266"/>
      <c r="H506" s="266">
        <f t="shared" si="56"/>
        <v>703</v>
      </c>
      <c r="I506" s="266"/>
      <c r="J506" s="266">
        <v>88</v>
      </c>
      <c r="K506" s="266">
        <v>110</v>
      </c>
      <c r="L506" s="266">
        <v>62</v>
      </c>
      <c r="M506" s="266">
        <v>443</v>
      </c>
      <c r="N506" s="266">
        <v>94</v>
      </c>
      <c r="O506" s="266"/>
      <c r="P506" s="266">
        <v>58</v>
      </c>
      <c r="Q506" s="266">
        <v>201</v>
      </c>
    </row>
    <row r="507" spans="1:17" s="263" customFormat="1" ht="9" customHeight="1" x14ac:dyDescent="0.25">
      <c r="A507" s="267" t="s">
        <v>45</v>
      </c>
      <c r="B507" s="268">
        <f t="shared" si="54"/>
        <v>3629</v>
      </c>
      <c r="C507" s="268"/>
      <c r="D507" s="284">
        <f t="shared" si="55"/>
        <v>3325</v>
      </c>
      <c r="E507" s="284"/>
      <c r="F507" s="268">
        <v>991</v>
      </c>
      <c r="G507" s="268"/>
      <c r="H507" s="268">
        <f t="shared" si="56"/>
        <v>1325</v>
      </c>
      <c r="I507" s="268"/>
      <c r="J507" s="268">
        <v>144</v>
      </c>
      <c r="K507" s="268">
        <v>141</v>
      </c>
      <c r="L507" s="268">
        <v>186</v>
      </c>
      <c r="M507" s="268">
        <v>854</v>
      </c>
      <c r="N507" s="268">
        <v>519</v>
      </c>
      <c r="O507" s="268"/>
      <c r="P507" s="268">
        <v>490</v>
      </c>
      <c r="Q507" s="268">
        <v>304</v>
      </c>
    </row>
    <row r="508" spans="1:17" s="263" customFormat="1" ht="9" customHeight="1" x14ac:dyDescent="0.25">
      <c r="A508" s="263" t="s">
        <v>46</v>
      </c>
      <c r="B508" s="266">
        <f t="shared" si="54"/>
        <v>5081</v>
      </c>
      <c r="C508" s="266"/>
      <c r="D508" s="283">
        <f t="shared" si="55"/>
        <v>4569</v>
      </c>
      <c r="E508" s="283"/>
      <c r="F508" s="266">
        <v>1461</v>
      </c>
      <c r="G508" s="266"/>
      <c r="H508" s="266">
        <f t="shared" si="56"/>
        <v>2106</v>
      </c>
      <c r="I508" s="266"/>
      <c r="J508" s="266">
        <v>251</v>
      </c>
      <c r="K508" s="266">
        <v>213</v>
      </c>
      <c r="L508" s="266">
        <v>238</v>
      </c>
      <c r="M508" s="266">
        <v>1404</v>
      </c>
      <c r="N508" s="266">
        <v>711</v>
      </c>
      <c r="O508" s="266"/>
      <c r="P508" s="266">
        <v>291</v>
      </c>
      <c r="Q508" s="266">
        <v>512</v>
      </c>
    </row>
    <row r="509" spans="1:17" s="263" customFormat="1" ht="9" customHeight="1" x14ac:dyDescent="0.25">
      <c r="A509" s="263" t="s">
        <v>47</v>
      </c>
      <c r="B509" s="266">
        <f t="shared" si="54"/>
        <v>4847</v>
      </c>
      <c r="C509" s="266"/>
      <c r="D509" s="283">
        <f t="shared" si="55"/>
        <v>4332</v>
      </c>
      <c r="E509" s="283"/>
      <c r="F509" s="266">
        <v>1204</v>
      </c>
      <c r="G509" s="266"/>
      <c r="H509" s="266">
        <f t="shared" si="56"/>
        <v>2071</v>
      </c>
      <c r="I509" s="266"/>
      <c r="J509" s="266">
        <v>241</v>
      </c>
      <c r="K509" s="266">
        <v>224</v>
      </c>
      <c r="L509" s="266">
        <v>209</v>
      </c>
      <c r="M509" s="266">
        <v>1397</v>
      </c>
      <c r="N509" s="266">
        <v>861</v>
      </c>
      <c r="O509" s="266"/>
      <c r="P509" s="266">
        <v>196</v>
      </c>
      <c r="Q509" s="266">
        <v>515</v>
      </c>
    </row>
    <row r="510" spans="1:17" s="263" customFormat="1" ht="9.6" customHeight="1" x14ac:dyDescent="0.25">
      <c r="A510" s="263" t="s">
        <v>48</v>
      </c>
      <c r="B510" s="266">
        <f t="shared" si="54"/>
        <v>4779</v>
      </c>
      <c r="C510" s="266"/>
      <c r="D510" s="283">
        <f t="shared" si="55"/>
        <v>4335</v>
      </c>
      <c r="E510" s="283"/>
      <c r="F510" s="266">
        <v>1796</v>
      </c>
      <c r="G510" s="266"/>
      <c r="H510" s="266">
        <f t="shared" si="56"/>
        <v>1839</v>
      </c>
      <c r="I510" s="290"/>
      <c r="J510" s="266">
        <v>197</v>
      </c>
      <c r="K510" s="266">
        <v>190</v>
      </c>
      <c r="L510" s="266">
        <v>391</v>
      </c>
      <c r="M510" s="266">
        <v>1061</v>
      </c>
      <c r="N510" s="266">
        <v>397</v>
      </c>
      <c r="O510" s="266"/>
      <c r="P510" s="266">
        <v>303</v>
      </c>
      <c r="Q510" s="266">
        <v>444</v>
      </c>
    </row>
    <row r="511" spans="1:17" s="263" customFormat="1" ht="9" customHeight="1" x14ac:dyDescent="0.25">
      <c r="A511" s="267" t="s">
        <v>49</v>
      </c>
      <c r="B511" s="268">
        <f t="shared" si="54"/>
        <v>5549</v>
      </c>
      <c r="C511" s="268"/>
      <c r="D511" s="284">
        <f t="shared" si="55"/>
        <v>4946</v>
      </c>
      <c r="E511" s="284"/>
      <c r="F511" s="268">
        <v>1433</v>
      </c>
      <c r="G511" s="268"/>
      <c r="H511" s="268">
        <f t="shared" si="56"/>
        <v>2455</v>
      </c>
      <c r="I511" s="268"/>
      <c r="J511" s="268">
        <v>311</v>
      </c>
      <c r="K511" s="268">
        <v>302</v>
      </c>
      <c r="L511" s="268">
        <v>257</v>
      </c>
      <c r="M511" s="268">
        <v>1585</v>
      </c>
      <c r="N511" s="268">
        <v>752</v>
      </c>
      <c r="O511" s="268"/>
      <c r="P511" s="268">
        <v>306</v>
      </c>
      <c r="Q511" s="268">
        <v>603</v>
      </c>
    </row>
    <row r="512" spans="1:17" s="263" customFormat="1" ht="9" customHeight="1" x14ac:dyDescent="0.25">
      <c r="A512" s="263" t="s">
        <v>50</v>
      </c>
      <c r="B512" s="266">
        <f t="shared" si="54"/>
        <v>1659</v>
      </c>
      <c r="C512" s="266"/>
      <c r="D512" s="283">
        <f t="shared" si="55"/>
        <v>1539</v>
      </c>
      <c r="E512" s="283"/>
      <c r="F512" s="266">
        <v>685</v>
      </c>
      <c r="G512" s="266"/>
      <c r="H512" s="266">
        <f t="shared" si="56"/>
        <v>770</v>
      </c>
      <c r="I512" s="266"/>
      <c r="J512" s="266">
        <v>98</v>
      </c>
      <c r="K512" s="266">
        <v>97</v>
      </c>
      <c r="L512" s="266">
        <v>105</v>
      </c>
      <c r="M512" s="266">
        <v>470</v>
      </c>
      <c r="N512" s="266">
        <v>74</v>
      </c>
      <c r="O512" s="266"/>
      <c r="P512" s="266">
        <v>10</v>
      </c>
      <c r="Q512" s="266">
        <v>120</v>
      </c>
    </row>
    <row r="513" spans="1:17" s="263" customFormat="1" ht="9" customHeight="1" x14ac:dyDescent="0.25">
      <c r="A513" s="263" t="s">
        <v>51</v>
      </c>
      <c r="B513" s="266">
        <f t="shared" si="54"/>
        <v>11758</v>
      </c>
      <c r="C513" s="266"/>
      <c r="D513" s="283">
        <f t="shared" si="55"/>
        <v>10650</v>
      </c>
      <c r="E513" s="283"/>
      <c r="F513" s="266">
        <v>4067</v>
      </c>
      <c r="G513" s="266"/>
      <c r="H513" s="266">
        <f t="shared" si="56"/>
        <v>4643</v>
      </c>
      <c r="I513" s="266"/>
      <c r="J513" s="266">
        <v>547</v>
      </c>
      <c r="K513" s="266">
        <v>484</v>
      </c>
      <c r="L513" s="266">
        <v>689</v>
      </c>
      <c r="M513" s="266">
        <v>2923</v>
      </c>
      <c r="N513" s="266">
        <v>1284</v>
      </c>
      <c r="O513" s="266"/>
      <c r="P513" s="266">
        <v>656</v>
      </c>
      <c r="Q513" s="266">
        <v>1108</v>
      </c>
    </row>
    <row r="514" spans="1:17" s="263" customFormat="1" ht="9" customHeight="1" x14ac:dyDescent="0.25">
      <c r="A514" s="263" t="s">
        <v>52</v>
      </c>
      <c r="B514" s="266">
        <f t="shared" si="54"/>
        <v>3403</v>
      </c>
      <c r="C514" s="266"/>
      <c r="D514" s="283">
        <f t="shared" si="55"/>
        <v>3060</v>
      </c>
      <c r="E514" s="283"/>
      <c r="F514" s="266">
        <v>856</v>
      </c>
      <c r="G514" s="266"/>
      <c r="H514" s="266">
        <f t="shared" si="56"/>
        <v>1297</v>
      </c>
      <c r="I514" s="266"/>
      <c r="J514" s="266">
        <v>168</v>
      </c>
      <c r="K514" s="266">
        <v>127</v>
      </c>
      <c r="L514" s="266">
        <v>128</v>
      </c>
      <c r="M514" s="266">
        <v>874</v>
      </c>
      <c r="N514" s="266">
        <v>719</v>
      </c>
      <c r="O514" s="266"/>
      <c r="P514" s="266">
        <v>188</v>
      </c>
      <c r="Q514" s="266">
        <v>343</v>
      </c>
    </row>
    <row r="515" spans="1:17" s="263" customFormat="1" ht="9" customHeight="1" x14ac:dyDescent="0.25">
      <c r="A515" s="267" t="s">
        <v>53</v>
      </c>
      <c r="B515" s="268">
        <f t="shared" si="54"/>
        <v>2293</v>
      </c>
      <c r="C515" s="268"/>
      <c r="D515" s="284">
        <f t="shared" si="55"/>
        <v>2122</v>
      </c>
      <c r="E515" s="284"/>
      <c r="F515" s="268">
        <v>743</v>
      </c>
      <c r="G515" s="268"/>
      <c r="H515" s="268">
        <f t="shared" si="56"/>
        <v>773</v>
      </c>
      <c r="I515" s="268"/>
      <c r="J515" s="268">
        <v>82</v>
      </c>
      <c r="K515" s="268">
        <v>87</v>
      </c>
      <c r="L515" s="268">
        <v>112</v>
      </c>
      <c r="M515" s="268">
        <v>492</v>
      </c>
      <c r="N515" s="268">
        <v>345</v>
      </c>
      <c r="O515" s="268"/>
      <c r="P515" s="268">
        <v>261</v>
      </c>
      <c r="Q515" s="268">
        <v>171</v>
      </c>
    </row>
    <row r="516" spans="1:17" s="263" customFormat="1" ht="9" customHeight="1" x14ac:dyDescent="0.25">
      <c r="A516" s="286"/>
      <c r="B516" s="289"/>
      <c r="C516" s="289"/>
      <c r="D516" s="291"/>
      <c r="E516" s="291"/>
      <c r="F516" s="289"/>
      <c r="G516" s="289"/>
      <c r="H516" s="289"/>
      <c r="I516" s="289"/>
      <c r="J516" s="289"/>
      <c r="K516" s="289"/>
      <c r="L516" s="289"/>
      <c r="M516" s="289"/>
      <c r="N516" s="289"/>
      <c r="O516" s="289"/>
      <c r="P516" s="289"/>
      <c r="Q516" s="289"/>
    </row>
    <row r="517" spans="1:17" s="260" customFormat="1" ht="9.6" customHeight="1" x14ac:dyDescent="0.25">
      <c r="A517" s="261">
        <v>2009</v>
      </c>
      <c r="B517" s="266"/>
      <c r="C517" s="266"/>
      <c r="D517" s="266"/>
      <c r="E517" s="266"/>
      <c r="F517" s="271"/>
      <c r="G517" s="266"/>
      <c r="H517" s="266"/>
      <c r="I517" s="266"/>
      <c r="J517" s="271"/>
      <c r="K517" s="271"/>
      <c r="L517" s="271"/>
      <c r="M517" s="266"/>
      <c r="N517" s="266"/>
      <c r="O517" s="266"/>
      <c r="P517" s="266"/>
      <c r="Q517" s="271"/>
    </row>
    <row r="518" spans="1:17" ht="9.6" customHeight="1" x14ac:dyDescent="0.25">
      <c r="A518" s="264" t="s">
        <v>21</v>
      </c>
      <c r="B518" s="262">
        <f>SUM(B520:B551)</f>
        <v>186289</v>
      </c>
      <c r="C518" s="262"/>
      <c r="D518" s="262">
        <f>SUM(D520:D551)</f>
        <v>167239</v>
      </c>
      <c r="E518" s="288"/>
      <c r="F518" s="262">
        <f>SUM(F520:F551)</f>
        <v>51107</v>
      </c>
      <c r="G518" s="262"/>
      <c r="H518" s="262">
        <f>SUM(H520:H551)</f>
        <v>77054</v>
      </c>
      <c r="I518" s="262"/>
      <c r="J518" s="262">
        <f t="shared" ref="J518:Q518" si="57">SUM(J520:J551)</f>
        <v>8924</v>
      </c>
      <c r="K518" s="262">
        <f t="shared" si="57"/>
        <v>9056</v>
      </c>
      <c r="L518" s="262">
        <f t="shared" si="57"/>
        <v>8959</v>
      </c>
      <c r="M518" s="262">
        <f t="shared" si="57"/>
        <v>50115</v>
      </c>
      <c r="N518" s="262">
        <f t="shared" si="57"/>
        <v>28701</v>
      </c>
      <c r="O518" s="262"/>
      <c r="P518" s="262">
        <f t="shared" si="57"/>
        <v>10377</v>
      </c>
      <c r="Q518" s="262">
        <f t="shared" si="57"/>
        <v>19050</v>
      </c>
    </row>
    <row r="519" spans="1:17" ht="3" customHeight="1" x14ac:dyDescent="0.25">
      <c r="A519" s="264"/>
      <c r="B519" s="262"/>
      <c r="C519" s="262"/>
      <c r="D519" s="282"/>
      <c r="E519" s="282"/>
      <c r="F519" s="262"/>
      <c r="G519" s="262"/>
      <c r="H519" s="262"/>
      <c r="I519" s="262"/>
      <c r="J519" s="262"/>
      <c r="K519" s="262"/>
      <c r="L519" s="262"/>
      <c r="M519" s="262"/>
      <c r="N519" s="262"/>
      <c r="O519" s="262"/>
      <c r="P519" s="262"/>
      <c r="Q519" s="262"/>
    </row>
    <row r="520" spans="1:17" ht="9" customHeight="1" x14ac:dyDescent="0.25">
      <c r="A520" s="263" t="s">
        <v>23</v>
      </c>
      <c r="B520" s="266">
        <f t="shared" ref="B520:B551" si="58">SUM(D520+Q520)</f>
        <v>2405</v>
      </c>
      <c r="C520" s="266"/>
      <c r="D520" s="283">
        <f t="shared" ref="D520:D551" si="59">SUM(F520+H520+P520+N520)</f>
        <v>2154</v>
      </c>
      <c r="E520" s="283"/>
      <c r="F520" s="266">
        <v>587</v>
      </c>
      <c r="G520" s="266"/>
      <c r="H520" s="266">
        <f t="shared" ref="H520:H551" si="60">SUM(J520:M520)</f>
        <v>1187</v>
      </c>
      <c r="I520" s="266"/>
      <c r="J520" s="266">
        <v>111</v>
      </c>
      <c r="K520" s="266">
        <v>181</v>
      </c>
      <c r="L520" s="266">
        <v>100</v>
      </c>
      <c r="M520" s="266">
        <v>795</v>
      </c>
      <c r="N520" s="266">
        <v>320</v>
      </c>
      <c r="O520" s="266"/>
      <c r="P520" s="266">
        <v>60</v>
      </c>
      <c r="Q520" s="266">
        <v>251</v>
      </c>
    </row>
    <row r="521" spans="1:17" ht="9" customHeight="1" x14ac:dyDescent="0.25">
      <c r="A521" s="263" t="s">
        <v>24</v>
      </c>
      <c r="B521" s="266">
        <f t="shared" si="58"/>
        <v>4385</v>
      </c>
      <c r="C521" s="266"/>
      <c r="D521" s="283">
        <f t="shared" si="59"/>
        <v>3834</v>
      </c>
      <c r="E521" s="283"/>
      <c r="F521" s="266">
        <v>1107</v>
      </c>
      <c r="G521" s="266"/>
      <c r="H521" s="266">
        <f t="shared" si="60"/>
        <v>2045</v>
      </c>
      <c r="I521" s="266"/>
      <c r="J521" s="266">
        <v>258</v>
      </c>
      <c r="K521" s="266">
        <v>262</v>
      </c>
      <c r="L521" s="266">
        <v>196</v>
      </c>
      <c r="M521" s="266">
        <v>1329</v>
      </c>
      <c r="N521" s="266">
        <v>506</v>
      </c>
      <c r="O521" s="266"/>
      <c r="P521" s="266">
        <v>176</v>
      </c>
      <c r="Q521" s="266">
        <v>551</v>
      </c>
    </row>
    <row r="522" spans="1:17" ht="9" customHeight="1" x14ac:dyDescent="0.25">
      <c r="A522" s="263" t="s">
        <v>25</v>
      </c>
      <c r="B522" s="266">
        <f t="shared" si="58"/>
        <v>1386</v>
      </c>
      <c r="C522" s="266"/>
      <c r="D522" s="283">
        <f t="shared" si="59"/>
        <v>1240</v>
      </c>
      <c r="E522" s="283"/>
      <c r="F522" s="266">
        <v>454</v>
      </c>
      <c r="G522" s="266"/>
      <c r="H522" s="266">
        <f t="shared" si="60"/>
        <v>639</v>
      </c>
      <c r="I522" s="266"/>
      <c r="J522" s="266">
        <v>79</v>
      </c>
      <c r="K522" s="266">
        <v>69</v>
      </c>
      <c r="L522" s="266">
        <v>55</v>
      </c>
      <c r="M522" s="266">
        <v>436</v>
      </c>
      <c r="N522" s="266">
        <v>88</v>
      </c>
      <c r="O522" s="266"/>
      <c r="P522" s="266">
        <v>59</v>
      </c>
      <c r="Q522" s="266">
        <v>146</v>
      </c>
    </row>
    <row r="523" spans="1:17" ht="9" customHeight="1" x14ac:dyDescent="0.25">
      <c r="A523" s="267" t="s">
        <v>26</v>
      </c>
      <c r="B523" s="268">
        <f t="shared" si="58"/>
        <v>2014</v>
      </c>
      <c r="C523" s="268"/>
      <c r="D523" s="284">
        <f t="shared" si="59"/>
        <v>1840</v>
      </c>
      <c r="E523" s="284"/>
      <c r="F523" s="268">
        <v>767</v>
      </c>
      <c r="G523" s="268"/>
      <c r="H523" s="268">
        <f t="shared" si="60"/>
        <v>749</v>
      </c>
      <c r="I523" s="268"/>
      <c r="J523" s="268">
        <v>101</v>
      </c>
      <c r="K523" s="268">
        <v>86</v>
      </c>
      <c r="L523" s="268">
        <v>96</v>
      </c>
      <c r="M523" s="268">
        <v>466</v>
      </c>
      <c r="N523" s="268">
        <v>235</v>
      </c>
      <c r="O523" s="268"/>
      <c r="P523" s="268">
        <v>89</v>
      </c>
      <c r="Q523" s="268">
        <v>174</v>
      </c>
    </row>
    <row r="524" spans="1:17" ht="9" customHeight="1" x14ac:dyDescent="0.25">
      <c r="A524" s="263" t="s">
        <v>27</v>
      </c>
      <c r="B524" s="266">
        <f t="shared" si="58"/>
        <v>4939</v>
      </c>
      <c r="C524" s="266"/>
      <c r="D524" s="283">
        <f t="shared" si="59"/>
        <v>4300</v>
      </c>
      <c r="E524" s="283"/>
      <c r="F524" s="266">
        <v>1212</v>
      </c>
      <c r="G524" s="266"/>
      <c r="H524" s="266">
        <f t="shared" si="60"/>
        <v>2299</v>
      </c>
      <c r="I524" s="287"/>
      <c r="J524" s="266">
        <v>270</v>
      </c>
      <c r="K524" s="266">
        <v>277</v>
      </c>
      <c r="L524" s="266">
        <v>161</v>
      </c>
      <c r="M524" s="266">
        <v>1591</v>
      </c>
      <c r="N524" s="266">
        <v>611</v>
      </c>
      <c r="O524" s="266"/>
      <c r="P524" s="266">
        <v>178</v>
      </c>
      <c r="Q524" s="266">
        <v>639</v>
      </c>
    </row>
    <row r="525" spans="1:17" ht="9" customHeight="1" x14ac:dyDescent="0.25">
      <c r="A525" s="263" t="s">
        <v>28</v>
      </c>
      <c r="B525" s="266">
        <f t="shared" si="58"/>
        <v>1544</v>
      </c>
      <c r="C525" s="266"/>
      <c r="D525" s="283">
        <f t="shared" si="59"/>
        <v>1372</v>
      </c>
      <c r="E525" s="283"/>
      <c r="F525" s="266">
        <v>396</v>
      </c>
      <c r="G525" s="266"/>
      <c r="H525" s="266">
        <f t="shared" si="60"/>
        <v>685</v>
      </c>
      <c r="I525" s="266"/>
      <c r="J525" s="266">
        <v>87</v>
      </c>
      <c r="K525" s="266">
        <v>81</v>
      </c>
      <c r="L525" s="266">
        <v>74</v>
      </c>
      <c r="M525" s="266">
        <v>443</v>
      </c>
      <c r="N525" s="266">
        <v>178</v>
      </c>
      <c r="O525" s="266"/>
      <c r="P525" s="266">
        <v>113</v>
      </c>
      <c r="Q525" s="266">
        <v>172</v>
      </c>
    </row>
    <row r="526" spans="1:17" ht="9" customHeight="1" x14ac:dyDescent="0.25">
      <c r="A526" s="263" t="s">
        <v>29</v>
      </c>
      <c r="B526" s="266">
        <f t="shared" si="58"/>
        <v>4982</v>
      </c>
      <c r="C526" s="266"/>
      <c r="D526" s="283">
        <f t="shared" si="59"/>
        <v>4567</v>
      </c>
      <c r="E526" s="283"/>
      <c r="F526" s="266">
        <v>2226</v>
      </c>
      <c r="G526" s="266"/>
      <c r="H526" s="266">
        <f t="shared" si="60"/>
        <v>1685</v>
      </c>
      <c r="I526" s="263"/>
      <c r="J526" s="266">
        <v>185</v>
      </c>
      <c r="K526" s="266">
        <v>211</v>
      </c>
      <c r="L526" s="266">
        <v>291</v>
      </c>
      <c r="M526" s="266">
        <v>998</v>
      </c>
      <c r="N526" s="266">
        <v>317</v>
      </c>
      <c r="O526" s="266"/>
      <c r="P526" s="266">
        <v>339</v>
      </c>
      <c r="Q526" s="266">
        <v>415</v>
      </c>
    </row>
    <row r="527" spans="1:17" ht="9" customHeight="1" x14ac:dyDescent="0.25">
      <c r="A527" s="267" t="s">
        <v>30</v>
      </c>
      <c r="B527" s="268">
        <f t="shared" si="58"/>
        <v>4349</v>
      </c>
      <c r="C527" s="268"/>
      <c r="D527" s="284">
        <f t="shared" si="59"/>
        <v>3833</v>
      </c>
      <c r="E527" s="284"/>
      <c r="F527" s="268">
        <v>1436</v>
      </c>
      <c r="G527" s="268"/>
      <c r="H527" s="268">
        <f t="shared" si="60"/>
        <v>1791</v>
      </c>
      <c r="I527" s="268"/>
      <c r="J527" s="268">
        <v>219</v>
      </c>
      <c r="K527" s="268">
        <v>220</v>
      </c>
      <c r="L527" s="268">
        <v>168</v>
      </c>
      <c r="M527" s="268">
        <v>1184</v>
      </c>
      <c r="N527" s="268">
        <v>344</v>
      </c>
      <c r="O527" s="268"/>
      <c r="P527" s="268">
        <v>262</v>
      </c>
      <c r="Q527" s="268">
        <v>516</v>
      </c>
    </row>
    <row r="528" spans="1:17" ht="9" customHeight="1" x14ac:dyDescent="0.25">
      <c r="A528" s="263" t="s">
        <v>63</v>
      </c>
      <c r="B528" s="266">
        <f t="shared" si="58"/>
        <v>32043</v>
      </c>
      <c r="C528" s="266"/>
      <c r="D528" s="283">
        <f t="shared" si="59"/>
        <v>28319</v>
      </c>
      <c r="E528" s="283"/>
      <c r="F528" s="266">
        <v>4796</v>
      </c>
      <c r="G528" s="266"/>
      <c r="H528" s="266">
        <f t="shared" si="60"/>
        <v>15385</v>
      </c>
      <c r="I528" s="266"/>
      <c r="J528" s="266">
        <v>1371</v>
      </c>
      <c r="K528" s="266">
        <v>1794</v>
      </c>
      <c r="L528" s="266">
        <v>1330</v>
      </c>
      <c r="M528" s="266">
        <v>10890</v>
      </c>
      <c r="N528" s="266">
        <v>7571</v>
      </c>
      <c r="O528" s="266"/>
      <c r="P528" s="266">
        <v>567</v>
      </c>
      <c r="Q528" s="266">
        <v>3724</v>
      </c>
    </row>
    <row r="529" spans="1:17" ht="9" customHeight="1" x14ac:dyDescent="0.25">
      <c r="A529" s="263" t="s">
        <v>31</v>
      </c>
      <c r="B529" s="266">
        <f t="shared" si="58"/>
        <v>3354</v>
      </c>
      <c r="C529" s="266"/>
      <c r="D529" s="283">
        <f t="shared" si="59"/>
        <v>3092</v>
      </c>
      <c r="E529" s="283"/>
      <c r="F529" s="266">
        <v>1011</v>
      </c>
      <c r="G529" s="266"/>
      <c r="H529" s="266">
        <f t="shared" si="60"/>
        <v>1253</v>
      </c>
      <c r="I529" s="266"/>
      <c r="J529" s="266">
        <v>146</v>
      </c>
      <c r="K529" s="266">
        <v>160</v>
      </c>
      <c r="L529" s="266">
        <v>147</v>
      </c>
      <c r="M529" s="266">
        <v>800</v>
      </c>
      <c r="N529" s="266">
        <v>622</v>
      </c>
      <c r="O529" s="266"/>
      <c r="P529" s="266">
        <v>206</v>
      </c>
      <c r="Q529" s="266">
        <v>262</v>
      </c>
    </row>
    <row r="530" spans="1:17" ht="9" customHeight="1" x14ac:dyDescent="0.25">
      <c r="A530" s="263" t="s">
        <v>32</v>
      </c>
      <c r="B530" s="266">
        <f t="shared" si="58"/>
        <v>7262</v>
      </c>
      <c r="C530" s="266"/>
      <c r="D530" s="283">
        <f t="shared" si="59"/>
        <v>6492</v>
      </c>
      <c r="E530" s="283"/>
      <c r="F530" s="266">
        <v>2309</v>
      </c>
      <c r="G530" s="266"/>
      <c r="H530" s="266">
        <f t="shared" si="60"/>
        <v>2745</v>
      </c>
      <c r="I530" s="266"/>
      <c r="J530" s="266">
        <v>360</v>
      </c>
      <c r="K530" s="266">
        <v>341</v>
      </c>
      <c r="L530" s="266">
        <v>319</v>
      </c>
      <c r="M530" s="266">
        <v>1725</v>
      </c>
      <c r="N530" s="266">
        <v>1029</v>
      </c>
      <c r="O530" s="266"/>
      <c r="P530" s="266">
        <v>409</v>
      </c>
      <c r="Q530" s="266">
        <v>770</v>
      </c>
    </row>
    <row r="531" spans="1:17" ht="9" customHeight="1" x14ac:dyDescent="0.25">
      <c r="A531" s="267" t="s">
        <v>33</v>
      </c>
      <c r="B531" s="268">
        <f t="shared" si="58"/>
        <v>4778</v>
      </c>
      <c r="C531" s="268"/>
      <c r="D531" s="284">
        <f t="shared" si="59"/>
        <v>4436</v>
      </c>
      <c r="E531" s="284"/>
      <c r="F531" s="268">
        <v>1833</v>
      </c>
      <c r="G531" s="268"/>
      <c r="H531" s="268">
        <f t="shared" si="60"/>
        <v>1750</v>
      </c>
      <c r="I531" s="268"/>
      <c r="J531" s="268">
        <v>255</v>
      </c>
      <c r="K531" s="268">
        <v>198</v>
      </c>
      <c r="L531" s="268">
        <v>229</v>
      </c>
      <c r="M531" s="268">
        <v>1068</v>
      </c>
      <c r="N531" s="268">
        <v>439</v>
      </c>
      <c r="O531" s="268"/>
      <c r="P531" s="268">
        <v>414</v>
      </c>
      <c r="Q531" s="268">
        <v>342</v>
      </c>
    </row>
    <row r="532" spans="1:17" ht="9" customHeight="1" x14ac:dyDescent="0.25">
      <c r="A532" s="263" t="s">
        <v>34</v>
      </c>
      <c r="B532" s="266">
        <f t="shared" si="58"/>
        <v>4050</v>
      </c>
      <c r="C532" s="266"/>
      <c r="D532" s="283">
        <f t="shared" si="59"/>
        <v>3609</v>
      </c>
      <c r="E532" s="283"/>
      <c r="F532" s="266">
        <v>1323</v>
      </c>
      <c r="G532" s="266"/>
      <c r="H532" s="266">
        <f t="shared" si="60"/>
        <v>1435</v>
      </c>
      <c r="I532" s="266"/>
      <c r="J532" s="266">
        <v>182</v>
      </c>
      <c r="K532" s="266">
        <v>163</v>
      </c>
      <c r="L532" s="266">
        <v>268</v>
      </c>
      <c r="M532" s="266">
        <v>822</v>
      </c>
      <c r="N532" s="266">
        <v>373</v>
      </c>
      <c r="O532" s="266"/>
      <c r="P532" s="266">
        <v>478</v>
      </c>
      <c r="Q532" s="266">
        <v>441</v>
      </c>
    </row>
    <row r="533" spans="1:17" ht="9" customHeight="1" x14ac:dyDescent="0.25">
      <c r="A533" s="263" t="s">
        <v>35</v>
      </c>
      <c r="B533" s="266">
        <f t="shared" si="58"/>
        <v>11941</v>
      </c>
      <c r="C533" s="266"/>
      <c r="D533" s="283">
        <f t="shared" si="59"/>
        <v>10714</v>
      </c>
      <c r="E533" s="283"/>
      <c r="F533" s="266">
        <v>2748</v>
      </c>
      <c r="G533" s="266"/>
      <c r="H533" s="266">
        <f t="shared" si="60"/>
        <v>4841</v>
      </c>
      <c r="I533" s="266"/>
      <c r="J533" s="266">
        <v>582</v>
      </c>
      <c r="K533" s="266">
        <v>516</v>
      </c>
      <c r="L533" s="266">
        <v>441</v>
      </c>
      <c r="M533" s="266">
        <v>3302</v>
      </c>
      <c r="N533" s="266">
        <v>2549</v>
      </c>
      <c r="O533" s="266"/>
      <c r="P533" s="266">
        <v>576</v>
      </c>
      <c r="Q533" s="266">
        <v>1227</v>
      </c>
    </row>
    <row r="534" spans="1:17" ht="9" customHeight="1" x14ac:dyDescent="0.25">
      <c r="A534" s="263" t="s">
        <v>36</v>
      </c>
      <c r="B534" s="266">
        <f t="shared" si="58"/>
        <v>16313</v>
      </c>
      <c r="C534" s="266"/>
      <c r="D534" s="283">
        <f t="shared" si="59"/>
        <v>14501</v>
      </c>
      <c r="E534" s="283"/>
      <c r="F534" s="266">
        <v>4705</v>
      </c>
      <c r="G534" s="266"/>
      <c r="H534" s="266">
        <f t="shared" si="60"/>
        <v>7078</v>
      </c>
      <c r="I534" s="266"/>
      <c r="J534" s="266">
        <v>1029</v>
      </c>
      <c r="K534" s="266">
        <v>1003</v>
      </c>
      <c r="L534" s="266">
        <v>903</v>
      </c>
      <c r="M534" s="266">
        <v>4143</v>
      </c>
      <c r="N534" s="266">
        <v>1965</v>
      </c>
      <c r="O534" s="266"/>
      <c r="P534" s="266">
        <v>753</v>
      </c>
      <c r="Q534" s="266">
        <v>1812</v>
      </c>
    </row>
    <row r="535" spans="1:17" ht="9" customHeight="1" x14ac:dyDescent="0.25">
      <c r="A535" s="267" t="s">
        <v>37</v>
      </c>
      <c r="B535" s="268">
        <f t="shared" si="58"/>
        <v>6026</v>
      </c>
      <c r="C535" s="268"/>
      <c r="D535" s="284">
        <f t="shared" si="59"/>
        <v>5546</v>
      </c>
      <c r="E535" s="284"/>
      <c r="F535" s="268">
        <v>1778</v>
      </c>
      <c r="G535" s="268"/>
      <c r="H535" s="268">
        <f t="shared" si="60"/>
        <v>2171</v>
      </c>
      <c r="I535" s="268"/>
      <c r="J535" s="268">
        <v>257</v>
      </c>
      <c r="K535" s="268">
        <v>197</v>
      </c>
      <c r="L535" s="268">
        <v>323</v>
      </c>
      <c r="M535" s="268">
        <v>1394</v>
      </c>
      <c r="N535" s="268">
        <v>856</v>
      </c>
      <c r="O535" s="268"/>
      <c r="P535" s="268">
        <v>741</v>
      </c>
      <c r="Q535" s="268">
        <v>480</v>
      </c>
    </row>
    <row r="536" spans="1:17" ht="9" customHeight="1" x14ac:dyDescent="0.25">
      <c r="A536" s="263" t="s">
        <v>38</v>
      </c>
      <c r="B536" s="266">
        <f t="shared" si="58"/>
        <v>2706</v>
      </c>
      <c r="C536" s="266"/>
      <c r="D536" s="283">
        <f t="shared" si="59"/>
        <v>2454</v>
      </c>
      <c r="E536" s="283"/>
      <c r="F536" s="266">
        <v>743</v>
      </c>
      <c r="G536" s="266"/>
      <c r="H536" s="266">
        <f t="shared" si="60"/>
        <v>1303</v>
      </c>
      <c r="I536" s="266"/>
      <c r="J536" s="266">
        <v>162</v>
      </c>
      <c r="K536" s="266">
        <v>174</v>
      </c>
      <c r="L536" s="266">
        <v>137</v>
      </c>
      <c r="M536" s="266">
        <v>830</v>
      </c>
      <c r="N536" s="266">
        <v>225</v>
      </c>
      <c r="O536" s="266"/>
      <c r="P536" s="266">
        <v>183</v>
      </c>
      <c r="Q536" s="266">
        <v>252</v>
      </c>
    </row>
    <row r="537" spans="1:17" ht="9" customHeight="1" x14ac:dyDescent="0.25">
      <c r="A537" s="263" t="s">
        <v>39</v>
      </c>
      <c r="B537" s="266">
        <f t="shared" si="58"/>
        <v>2304</v>
      </c>
      <c r="C537" s="266"/>
      <c r="D537" s="283">
        <f t="shared" si="59"/>
        <v>2123</v>
      </c>
      <c r="E537" s="283"/>
      <c r="F537" s="266">
        <v>689</v>
      </c>
      <c r="G537" s="266"/>
      <c r="H537" s="266">
        <f t="shared" si="60"/>
        <v>862</v>
      </c>
      <c r="I537" s="266"/>
      <c r="J537" s="266">
        <v>86</v>
      </c>
      <c r="K537" s="266">
        <v>89</v>
      </c>
      <c r="L537" s="266">
        <v>129</v>
      </c>
      <c r="M537" s="266">
        <v>558</v>
      </c>
      <c r="N537" s="266">
        <v>330</v>
      </c>
      <c r="O537" s="266"/>
      <c r="P537" s="266">
        <v>242</v>
      </c>
      <c r="Q537" s="266">
        <v>181</v>
      </c>
    </row>
    <row r="538" spans="1:17" ht="9" customHeight="1" x14ac:dyDescent="0.25">
      <c r="A538" s="263" t="s">
        <v>40</v>
      </c>
      <c r="B538" s="266">
        <f t="shared" si="58"/>
        <v>6800</v>
      </c>
      <c r="C538" s="266"/>
      <c r="D538" s="283">
        <f t="shared" si="59"/>
        <v>6011</v>
      </c>
      <c r="E538" s="283"/>
      <c r="F538" s="266">
        <v>1611</v>
      </c>
      <c r="G538" s="266"/>
      <c r="H538" s="266">
        <f t="shared" si="60"/>
        <v>2829</v>
      </c>
      <c r="I538" s="266"/>
      <c r="J538" s="266">
        <v>312</v>
      </c>
      <c r="K538" s="266">
        <v>285</v>
      </c>
      <c r="L538" s="266">
        <v>259</v>
      </c>
      <c r="M538" s="266">
        <v>1973</v>
      </c>
      <c r="N538" s="266">
        <v>1218</v>
      </c>
      <c r="O538" s="266"/>
      <c r="P538" s="266">
        <v>353</v>
      </c>
      <c r="Q538" s="266">
        <v>789</v>
      </c>
    </row>
    <row r="539" spans="1:17" ht="9" customHeight="1" x14ac:dyDescent="0.25">
      <c r="A539" s="267" t="s">
        <v>41</v>
      </c>
      <c r="B539" s="268">
        <f t="shared" si="58"/>
        <v>5074</v>
      </c>
      <c r="C539" s="268"/>
      <c r="D539" s="284">
        <f t="shared" si="59"/>
        <v>4658</v>
      </c>
      <c r="E539" s="284"/>
      <c r="F539" s="268">
        <v>1936</v>
      </c>
      <c r="G539" s="268"/>
      <c r="H539" s="268">
        <f t="shared" si="60"/>
        <v>1577</v>
      </c>
      <c r="I539" s="268"/>
      <c r="J539" s="268">
        <v>161</v>
      </c>
      <c r="K539" s="268">
        <v>168</v>
      </c>
      <c r="L539" s="268">
        <v>227</v>
      </c>
      <c r="M539" s="268">
        <v>1021</v>
      </c>
      <c r="N539" s="268">
        <v>546</v>
      </c>
      <c r="O539" s="268"/>
      <c r="P539" s="268">
        <v>599</v>
      </c>
      <c r="Q539" s="268">
        <v>416</v>
      </c>
    </row>
    <row r="540" spans="1:17" ht="9" customHeight="1" x14ac:dyDescent="0.25">
      <c r="A540" s="263" t="s">
        <v>42</v>
      </c>
      <c r="B540" s="266">
        <f t="shared" si="58"/>
        <v>7966</v>
      </c>
      <c r="C540" s="266"/>
      <c r="D540" s="283">
        <f t="shared" si="59"/>
        <v>7300</v>
      </c>
      <c r="E540" s="283"/>
      <c r="F540" s="266">
        <v>2232</v>
      </c>
      <c r="G540" s="266"/>
      <c r="H540" s="266">
        <f t="shared" si="60"/>
        <v>2879</v>
      </c>
      <c r="I540" s="290"/>
      <c r="J540" s="266">
        <v>280</v>
      </c>
      <c r="K540" s="266">
        <v>355</v>
      </c>
      <c r="L540" s="266">
        <v>476</v>
      </c>
      <c r="M540" s="266">
        <v>1768</v>
      </c>
      <c r="N540" s="266">
        <v>1569</v>
      </c>
      <c r="O540" s="266"/>
      <c r="P540" s="266">
        <v>620</v>
      </c>
      <c r="Q540" s="266">
        <v>666</v>
      </c>
    </row>
    <row r="541" spans="1:17" ht="9" customHeight="1" x14ac:dyDescent="0.25">
      <c r="A541" s="263" t="s">
        <v>43</v>
      </c>
      <c r="B541" s="266">
        <f t="shared" si="58"/>
        <v>2643</v>
      </c>
      <c r="C541" s="266"/>
      <c r="D541" s="283">
        <f t="shared" si="59"/>
        <v>2410</v>
      </c>
      <c r="E541" s="283"/>
      <c r="F541" s="266">
        <v>639</v>
      </c>
      <c r="G541" s="266"/>
      <c r="H541" s="266">
        <f t="shared" si="60"/>
        <v>1061</v>
      </c>
      <c r="I541" s="266"/>
      <c r="J541" s="266">
        <v>194</v>
      </c>
      <c r="K541" s="266">
        <v>146</v>
      </c>
      <c r="L541" s="266">
        <v>129</v>
      </c>
      <c r="M541" s="266">
        <v>592</v>
      </c>
      <c r="N541" s="266">
        <v>479</v>
      </c>
      <c r="O541" s="266"/>
      <c r="P541" s="266">
        <v>231</v>
      </c>
      <c r="Q541" s="266">
        <v>233</v>
      </c>
    </row>
    <row r="542" spans="1:17" ht="9" customHeight="1" x14ac:dyDescent="0.25">
      <c r="A542" s="263" t="s">
        <v>44</v>
      </c>
      <c r="B542" s="266">
        <f t="shared" si="58"/>
        <v>1812</v>
      </c>
      <c r="C542" s="266"/>
      <c r="D542" s="283">
        <f t="shared" si="59"/>
        <v>1596</v>
      </c>
      <c r="E542" s="283"/>
      <c r="F542" s="266">
        <v>637</v>
      </c>
      <c r="G542" s="266"/>
      <c r="H542" s="266">
        <f t="shared" si="60"/>
        <v>763</v>
      </c>
      <c r="I542" s="266"/>
      <c r="J542" s="266">
        <v>99</v>
      </c>
      <c r="K542" s="266">
        <v>112</v>
      </c>
      <c r="L542" s="266">
        <v>63</v>
      </c>
      <c r="M542" s="266">
        <v>489</v>
      </c>
      <c r="N542" s="266">
        <v>138</v>
      </c>
      <c r="O542" s="266"/>
      <c r="P542" s="266">
        <v>58</v>
      </c>
      <c r="Q542" s="266">
        <v>216</v>
      </c>
    </row>
    <row r="543" spans="1:17" ht="9" customHeight="1" x14ac:dyDescent="0.25">
      <c r="A543" s="267" t="s">
        <v>45</v>
      </c>
      <c r="B543" s="268">
        <f t="shared" si="58"/>
        <v>3991</v>
      </c>
      <c r="C543" s="268"/>
      <c r="D543" s="284">
        <f t="shared" si="59"/>
        <v>3684</v>
      </c>
      <c r="E543" s="284"/>
      <c r="F543" s="268">
        <v>1013</v>
      </c>
      <c r="G543" s="268"/>
      <c r="H543" s="268">
        <f t="shared" si="60"/>
        <v>1397</v>
      </c>
      <c r="I543" s="268"/>
      <c r="J543" s="268">
        <v>167</v>
      </c>
      <c r="K543" s="268">
        <v>150</v>
      </c>
      <c r="L543" s="268">
        <v>186</v>
      </c>
      <c r="M543" s="268">
        <v>894</v>
      </c>
      <c r="N543" s="268">
        <v>780</v>
      </c>
      <c r="O543" s="268"/>
      <c r="P543" s="268">
        <v>494</v>
      </c>
      <c r="Q543" s="268">
        <v>307</v>
      </c>
    </row>
    <row r="544" spans="1:17" ht="9" customHeight="1" x14ac:dyDescent="0.25">
      <c r="A544" s="263" t="s">
        <v>46</v>
      </c>
      <c r="B544" s="266">
        <f t="shared" si="58"/>
        <v>5188</v>
      </c>
      <c r="C544" s="266"/>
      <c r="D544" s="283">
        <f t="shared" si="59"/>
        <v>4681</v>
      </c>
      <c r="E544" s="283"/>
      <c r="F544" s="266">
        <v>1503</v>
      </c>
      <c r="G544" s="266"/>
      <c r="H544" s="266">
        <f t="shared" si="60"/>
        <v>2234</v>
      </c>
      <c r="I544" s="266"/>
      <c r="J544" s="266">
        <v>278</v>
      </c>
      <c r="K544" s="266">
        <v>239</v>
      </c>
      <c r="L544" s="266">
        <v>238</v>
      </c>
      <c r="M544" s="266">
        <v>1479</v>
      </c>
      <c r="N544" s="266">
        <v>655</v>
      </c>
      <c r="O544" s="266"/>
      <c r="P544" s="266">
        <v>289</v>
      </c>
      <c r="Q544" s="266">
        <v>507</v>
      </c>
    </row>
    <row r="545" spans="1:17" ht="9" customHeight="1" x14ac:dyDescent="0.25">
      <c r="A545" s="263" t="s">
        <v>47</v>
      </c>
      <c r="B545" s="266">
        <f t="shared" si="58"/>
        <v>5109</v>
      </c>
      <c r="C545" s="266"/>
      <c r="D545" s="283">
        <f t="shared" si="59"/>
        <v>4476</v>
      </c>
      <c r="E545" s="283"/>
      <c r="F545" s="266">
        <v>1242</v>
      </c>
      <c r="G545" s="266"/>
      <c r="H545" s="266">
        <f t="shared" si="60"/>
        <v>2146</v>
      </c>
      <c r="I545" s="266"/>
      <c r="J545" s="266">
        <v>260</v>
      </c>
      <c r="K545" s="266">
        <v>248</v>
      </c>
      <c r="L545" s="266">
        <v>208</v>
      </c>
      <c r="M545" s="266">
        <v>1430</v>
      </c>
      <c r="N545" s="266">
        <v>891</v>
      </c>
      <c r="O545" s="266"/>
      <c r="P545" s="266">
        <v>197</v>
      </c>
      <c r="Q545" s="266">
        <v>633</v>
      </c>
    </row>
    <row r="546" spans="1:17" ht="9" customHeight="1" x14ac:dyDescent="0.25">
      <c r="A546" s="263" t="s">
        <v>48</v>
      </c>
      <c r="B546" s="266">
        <f t="shared" si="58"/>
        <v>5058</v>
      </c>
      <c r="C546" s="266"/>
      <c r="D546" s="283">
        <f t="shared" si="59"/>
        <v>4565</v>
      </c>
      <c r="E546" s="283"/>
      <c r="F546" s="266">
        <v>1938</v>
      </c>
      <c r="G546" s="266"/>
      <c r="H546" s="266">
        <f t="shared" si="60"/>
        <v>1917</v>
      </c>
      <c r="I546" s="290"/>
      <c r="J546" s="266">
        <v>194</v>
      </c>
      <c r="K546" s="266">
        <v>193</v>
      </c>
      <c r="L546" s="266">
        <v>406</v>
      </c>
      <c r="M546" s="266">
        <v>1124</v>
      </c>
      <c r="N546" s="266">
        <v>393</v>
      </c>
      <c r="O546" s="266"/>
      <c r="P546" s="266">
        <v>317</v>
      </c>
      <c r="Q546" s="266">
        <v>493</v>
      </c>
    </row>
    <row r="547" spans="1:17" ht="9" customHeight="1" x14ac:dyDescent="0.25">
      <c r="A547" s="267" t="s">
        <v>49</v>
      </c>
      <c r="B547" s="268">
        <f t="shared" si="58"/>
        <v>5935</v>
      </c>
      <c r="C547" s="268"/>
      <c r="D547" s="284">
        <f t="shared" si="59"/>
        <v>5312</v>
      </c>
      <c r="E547" s="284"/>
      <c r="F547" s="268">
        <v>1520</v>
      </c>
      <c r="G547" s="268"/>
      <c r="H547" s="268">
        <f t="shared" si="60"/>
        <v>2587</v>
      </c>
      <c r="I547" s="268"/>
      <c r="J547" s="268">
        <v>319</v>
      </c>
      <c r="K547" s="268">
        <v>307</v>
      </c>
      <c r="L547" s="268">
        <v>279</v>
      </c>
      <c r="M547" s="268">
        <v>1682</v>
      </c>
      <c r="N547" s="268">
        <v>896</v>
      </c>
      <c r="O547" s="268"/>
      <c r="P547" s="268">
        <v>309</v>
      </c>
      <c r="Q547" s="268">
        <v>623</v>
      </c>
    </row>
    <row r="548" spans="1:17" ht="9" customHeight="1" x14ac:dyDescent="0.25">
      <c r="A548" s="263" t="s">
        <v>50</v>
      </c>
      <c r="B548" s="266">
        <f t="shared" si="58"/>
        <v>1878</v>
      </c>
      <c r="C548" s="266"/>
      <c r="D548" s="283">
        <f t="shared" si="59"/>
        <v>1739</v>
      </c>
      <c r="E548" s="283"/>
      <c r="F548" s="266">
        <v>739</v>
      </c>
      <c r="G548" s="266"/>
      <c r="H548" s="266">
        <f t="shared" si="60"/>
        <v>896</v>
      </c>
      <c r="I548" s="266"/>
      <c r="J548" s="266">
        <v>100</v>
      </c>
      <c r="K548" s="266">
        <v>109</v>
      </c>
      <c r="L548" s="266">
        <v>126</v>
      </c>
      <c r="M548" s="266">
        <v>561</v>
      </c>
      <c r="N548" s="266">
        <v>79</v>
      </c>
      <c r="O548" s="266"/>
      <c r="P548" s="266">
        <v>25</v>
      </c>
      <c r="Q548" s="266">
        <v>139</v>
      </c>
    </row>
    <row r="549" spans="1:17" ht="9" customHeight="1" x14ac:dyDescent="0.25">
      <c r="A549" s="263" t="s">
        <v>51</v>
      </c>
      <c r="B549" s="266">
        <f t="shared" si="58"/>
        <v>11993</v>
      </c>
      <c r="C549" s="266"/>
      <c r="D549" s="283">
        <f t="shared" si="59"/>
        <v>10891</v>
      </c>
      <c r="E549" s="283"/>
      <c r="F549" s="266">
        <v>4216</v>
      </c>
      <c r="G549" s="266"/>
      <c r="H549" s="266">
        <f t="shared" si="60"/>
        <v>4644</v>
      </c>
      <c r="I549" s="266"/>
      <c r="J549" s="266">
        <v>535</v>
      </c>
      <c r="K549" s="266">
        <v>486</v>
      </c>
      <c r="L549" s="266">
        <v>735</v>
      </c>
      <c r="M549" s="266">
        <v>2888</v>
      </c>
      <c r="N549" s="266">
        <v>1395</v>
      </c>
      <c r="O549" s="266"/>
      <c r="P549" s="266">
        <v>636</v>
      </c>
      <c r="Q549" s="266">
        <v>1102</v>
      </c>
    </row>
    <row r="550" spans="1:17" ht="9" customHeight="1" x14ac:dyDescent="0.25">
      <c r="A550" s="263" t="s">
        <v>52</v>
      </c>
      <c r="B550" s="266">
        <f t="shared" si="58"/>
        <v>3519</v>
      </c>
      <c r="C550" s="266"/>
      <c r="D550" s="283">
        <f t="shared" si="59"/>
        <v>3147</v>
      </c>
      <c r="E550" s="283"/>
      <c r="F550" s="266">
        <v>882</v>
      </c>
      <c r="G550" s="266"/>
      <c r="H550" s="266">
        <f t="shared" si="60"/>
        <v>1289</v>
      </c>
      <c r="I550" s="266"/>
      <c r="J550" s="266">
        <v>170</v>
      </c>
      <c r="K550" s="266">
        <v>127</v>
      </c>
      <c r="L550" s="266">
        <v>131</v>
      </c>
      <c r="M550" s="266">
        <v>861</v>
      </c>
      <c r="N550" s="266">
        <v>786</v>
      </c>
      <c r="O550" s="266"/>
      <c r="P550" s="266">
        <v>190</v>
      </c>
      <c r="Q550" s="266">
        <v>372</v>
      </c>
    </row>
    <row r="551" spans="1:17" ht="9" customHeight="1" x14ac:dyDescent="0.25">
      <c r="A551" s="267" t="s">
        <v>53</v>
      </c>
      <c r="B551" s="268">
        <f t="shared" si="58"/>
        <v>2542</v>
      </c>
      <c r="C551" s="268"/>
      <c r="D551" s="284">
        <f t="shared" si="59"/>
        <v>2343</v>
      </c>
      <c r="E551" s="284"/>
      <c r="F551" s="268">
        <v>879</v>
      </c>
      <c r="G551" s="268"/>
      <c r="H551" s="268">
        <f t="shared" si="60"/>
        <v>932</v>
      </c>
      <c r="I551" s="268"/>
      <c r="J551" s="268">
        <v>115</v>
      </c>
      <c r="K551" s="268">
        <v>109</v>
      </c>
      <c r="L551" s="268">
        <v>129</v>
      </c>
      <c r="M551" s="268">
        <v>579</v>
      </c>
      <c r="N551" s="268">
        <v>318</v>
      </c>
      <c r="O551" s="268"/>
      <c r="P551" s="268">
        <v>214</v>
      </c>
      <c r="Q551" s="268">
        <v>199</v>
      </c>
    </row>
    <row r="552" spans="1:17" s="292" customFormat="1" ht="6.75" customHeight="1" x14ac:dyDescent="0.25">
      <c r="B552" s="293"/>
      <c r="C552" s="293"/>
      <c r="D552" s="293"/>
      <c r="E552" s="293"/>
      <c r="F552" s="293"/>
      <c r="G552" s="293"/>
      <c r="H552" s="293"/>
      <c r="I552" s="293"/>
      <c r="J552" s="293"/>
      <c r="K552" s="293"/>
      <c r="L552" s="293"/>
      <c r="M552" s="293"/>
      <c r="N552" s="293"/>
      <c r="O552" s="293"/>
      <c r="P552" s="293"/>
      <c r="Q552" s="293"/>
    </row>
    <row r="553" spans="1:17" s="292" customFormat="1" ht="9" customHeight="1" x14ac:dyDescent="0.25">
      <c r="A553" s="294" t="s">
        <v>239</v>
      </c>
      <c r="B553" s="295"/>
      <c r="C553" s="295"/>
      <c r="D553" s="295"/>
      <c r="E553" s="295"/>
      <c r="F553" s="295"/>
      <c r="G553" s="295"/>
      <c r="H553" s="295"/>
      <c r="I553" s="295"/>
      <c r="J553" s="295"/>
      <c r="K553" s="295"/>
      <c r="L553" s="295"/>
      <c r="M553" s="295"/>
      <c r="N553" s="295"/>
      <c r="O553" s="295"/>
      <c r="P553" s="295"/>
      <c r="Q553" s="295"/>
    </row>
    <row r="554" spans="1:17" s="292" customFormat="1" ht="9" customHeight="1" x14ac:dyDescent="0.25">
      <c r="A554" s="296" t="s">
        <v>240</v>
      </c>
      <c r="B554" s="295">
        <f>SUM(D554+Q554)</f>
        <v>188909</v>
      </c>
      <c r="C554" s="295"/>
      <c r="D554" s="295">
        <f>SUM(D556:D587)+1701</f>
        <v>170144</v>
      </c>
      <c r="E554" s="297"/>
      <c r="F554" s="295">
        <f>SUM(F556:F587)+59</f>
        <v>52752</v>
      </c>
      <c r="G554" s="295"/>
      <c r="H554" s="295">
        <f>SUM(H556:H587)+938</f>
        <v>79055</v>
      </c>
      <c r="I554" s="295"/>
      <c r="J554" s="295">
        <f>SUM(J556:J587)+70</f>
        <v>8738</v>
      </c>
      <c r="K554" s="295">
        <f>SUM(K556:K587)+61</f>
        <v>9277</v>
      </c>
      <c r="L554" s="295">
        <f>SUM(L556:L587)+391</f>
        <v>9969</v>
      </c>
      <c r="M554" s="295">
        <f>SUM(M556:M587)+416</f>
        <v>51071</v>
      </c>
      <c r="N554" s="295">
        <f>SUM(N556:N587)+619</f>
        <v>28113</v>
      </c>
      <c r="O554" s="295"/>
      <c r="P554" s="295">
        <f>SUM(P556:P587)+85</f>
        <v>10224</v>
      </c>
      <c r="Q554" s="295">
        <f>SUM(Q556:Q587)+94</f>
        <v>18765</v>
      </c>
    </row>
    <row r="555" spans="1:17" s="292" customFormat="1" ht="3.95" customHeight="1" x14ac:dyDescent="0.25">
      <c r="A555" s="296"/>
      <c r="B555" s="295"/>
      <c r="C555" s="295"/>
      <c r="D555" s="298"/>
      <c r="E555" s="298"/>
      <c r="F555" s="295"/>
      <c r="G555" s="295"/>
      <c r="H555" s="295"/>
      <c r="I555" s="295"/>
      <c r="J555" s="295"/>
      <c r="K555" s="295"/>
      <c r="L555" s="295"/>
      <c r="M555" s="295"/>
      <c r="N555" s="295"/>
      <c r="O555" s="295"/>
      <c r="P555" s="295"/>
      <c r="Q555" s="295"/>
    </row>
    <row r="556" spans="1:17" s="292" customFormat="1" ht="9" customHeight="1" x14ac:dyDescent="0.25">
      <c r="A556" s="292" t="s">
        <v>23</v>
      </c>
      <c r="B556" s="293">
        <f t="shared" ref="B556:B587" si="61">SUM(D556+Q556)</f>
        <v>2448</v>
      </c>
      <c r="C556" s="293"/>
      <c r="D556" s="299">
        <f>SUM(F556+H556+P556+N556)</f>
        <v>2194</v>
      </c>
      <c r="E556" s="299"/>
      <c r="F556" s="293">
        <v>621</v>
      </c>
      <c r="G556" s="293"/>
      <c r="H556" s="293">
        <f>SUM(J556:M556)</f>
        <v>1179</v>
      </c>
      <c r="I556" s="293"/>
      <c r="J556" s="293">
        <v>113</v>
      </c>
      <c r="K556" s="293">
        <v>185</v>
      </c>
      <c r="L556" s="293">
        <v>108</v>
      </c>
      <c r="M556" s="293">
        <v>773</v>
      </c>
      <c r="N556" s="293">
        <v>329</v>
      </c>
      <c r="O556" s="293"/>
      <c r="P556" s="293">
        <v>65</v>
      </c>
      <c r="Q556" s="293">
        <v>254</v>
      </c>
    </row>
    <row r="557" spans="1:17" s="292" customFormat="1" ht="9" customHeight="1" x14ac:dyDescent="0.25">
      <c r="A557" s="292" t="s">
        <v>24</v>
      </c>
      <c r="B557" s="293">
        <f t="shared" si="61"/>
        <v>4558</v>
      </c>
      <c r="C557" s="293"/>
      <c r="D557" s="299">
        <f t="shared" ref="D557:D587" si="62">SUM(F557+H557+P557+N557)</f>
        <v>3996</v>
      </c>
      <c r="E557" s="299"/>
      <c r="F557" s="293">
        <v>1136</v>
      </c>
      <c r="G557" s="293"/>
      <c r="H557" s="293">
        <f t="shared" ref="H557:H587" si="63">SUM(J557:M557)</f>
        <v>2072</v>
      </c>
      <c r="I557" s="293"/>
      <c r="J557" s="293">
        <v>263</v>
      </c>
      <c r="K557" s="293">
        <v>268</v>
      </c>
      <c r="L557" s="293">
        <v>209</v>
      </c>
      <c r="M557" s="293">
        <v>1332</v>
      </c>
      <c r="N557" s="293">
        <v>623</v>
      </c>
      <c r="O557" s="293"/>
      <c r="P557" s="293">
        <v>165</v>
      </c>
      <c r="Q557" s="293">
        <v>562</v>
      </c>
    </row>
    <row r="558" spans="1:17" s="292" customFormat="1" ht="9" customHeight="1" x14ac:dyDescent="0.25">
      <c r="A558" s="292" t="s">
        <v>25</v>
      </c>
      <c r="B558" s="293">
        <f t="shared" si="61"/>
        <v>1356</v>
      </c>
      <c r="C558" s="293"/>
      <c r="D558" s="299">
        <f t="shared" si="62"/>
        <v>1197</v>
      </c>
      <c r="E558" s="299"/>
      <c r="F558" s="293">
        <v>472</v>
      </c>
      <c r="G558" s="293"/>
      <c r="H558" s="293">
        <f t="shared" si="63"/>
        <v>612</v>
      </c>
      <c r="I558" s="293"/>
      <c r="J558" s="293">
        <v>81</v>
      </c>
      <c r="K558" s="293">
        <v>68</v>
      </c>
      <c r="L558" s="293">
        <v>58</v>
      </c>
      <c r="M558" s="293">
        <v>405</v>
      </c>
      <c r="N558" s="293">
        <v>52</v>
      </c>
      <c r="O558" s="293"/>
      <c r="P558" s="293">
        <v>61</v>
      </c>
      <c r="Q558" s="293">
        <v>159</v>
      </c>
    </row>
    <row r="559" spans="1:17" s="292" customFormat="1" ht="9" customHeight="1" x14ac:dyDescent="0.25">
      <c r="A559" s="300" t="s">
        <v>26</v>
      </c>
      <c r="B559" s="301">
        <f t="shared" si="61"/>
        <v>2153</v>
      </c>
      <c r="C559" s="301"/>
      <c r="D559" s="302">
        <f t="shared" si="62"/>
        <v>1974</v>
      </c>
      <c r="E559" s="302"/>
      <c r="F559" s="301">
        <v>769</v>
      </c>
      <c r="G559" s="301"/>
      <c r="H559" s="301">
        <f t="shared" si="63"/>
        <v>823</v>
      </c>
      <c r="I559" s="301"/>
      <c r="J559" s="301">
        <v>119</v>
      </c>
      <c r="K559" s="301">
        <v>106</v>
      </c>
      <c r="L559" s="301">
        <v>99</v>
      </c>
      <c r="M559" s="301">
        <v>499</v>
      </c>
      <c r="N559" s="301">
        <v>297</v>
      </c>
      <c r="O559" s="301"/>
      <c r="P559" s="301">
        <v>85</v>
      </c>
      <c r="Q559" s="301">
        <v>179</v>
      </c>
    </row>
    <row r="560" spans="1:17" s="292" customFormat="1" ht="9" customHeight="1" x14ac:dyDescent="0.25">
      <c r="A560" s="292" t="s">
        <v>27</v>
      </c>
      <c r="B560" s="293">
        <f t="shared" si="61"/>
        <v>5049</v>
      </c>
      <c r="C560" s="293"/>
      <c r="D560" s="299">
        <f t="shared" si="62"/>
        <v>4477</v>
      </c>
      <c r="E560" s="299"/>
      <c r="F560" s="293">
        <v>1254</v>
      </c>
      <c r="G560" s="293"/>
      <c r="H560" s="293">
        <f t="shared" si="63"/>
        <v>2386</v>
      </c>
      <c r="I560" s="303"/>
      <c r="J560" s="293">
        <v>237</v>
      </c>
      <c r="K560" s="293">
        <v>257</v>
      </c>
      <c r="L560" s="293">
        <v>203</v>
      </c>
      <c r="M560" s="293">
        <v>1689</v>
      </c>
      <c r="N560" s="293">
        <v>645</v>
      </c>
      <c r="O560" s="293"/>
      <c r="P560" s="293">
        <v>192</v>
      </c>
      <c r="Q560" s="293">
        <v>572</v>
      </c>
    </row>
    <row r="561" spans="1:17" s="292" customFormat="1" ht="9" customHeight="1" x14ac:dyDescent="0.25">
      <c r="A561" s="292" t="s">
        <v>28</v>
      </c>
      <c r="B561" s="293">
        <f t="shared" si="61"/>
        <v>1522</v>
      </c>
      <c r="C561" s="293"/>
      <c r="D561" s="299">
        <f t="shared" si="62"/>
        <v>1369</v>
      </c>
      <c r="E561" s="299"/>
      <c r="F561" s="293">
        <v>420</v>
      </c>
      <c r="G561" s="293"/>
      <c r="H561" s="293">
        <f t="shared" si="63"/>
        <v>653</v>
      </c>
      <c r="I561" s="293"/>
      <c r="J561" s="293">
        <v>87</v>
      </c>
      <c r="K561" s="293">
        <v>79</v>
      </c>
      <c r="L561" s="293">
        <v>76</v>
      </c>
      <c r="M561" s="293">
        <v>411</v>
      </c>
      <c r="N561" s="293">
        <v>187</v>
      </c>
      <c r="O561" s="293"/>
      <c r="P561" s="293">
        <v>109</v>
      </c>
      <c r="Q561" s="293">
        <v>153</v>
      </c>
    </row>
    <row r="562" spans="1:17" s="292" customFormat="1" ht="9" customHeight="1" x14ac:dyDescent="0.25">
      <c r="A562" s="292" t="s">
        <v>29</v>
      </c>
      <c r="B562" s="293">
        <f t="shared" si="61"/>
        <v>4790</v>
      </c>
      <c r="C562" s="293"/>
      <c r="D562" s="299">
        <f t="shared" si="62"/>
        <v>4457</v>
      </c>
      <c r="E562" s="299"/>
      <c r="F562" s="293">
        <v>2244</v>
      </c>
      <c r="G562" s="293"/>
      <c r="H562" s="293">
        <f t="shared" si="63"/>
        <v>1585</v>
      </c>
      <c r="J562" s="293">
        <v>157</v>
      </c>
      <c r="K562" s="293">
        <v>184</v>
      </c>
      <c r="L562" s="293">
        <v>284</v>
      </c>
      <c r="M562" s="293">
        <v>960</v>
      </c>
      <c r="N562" s="293">
        <v>282</v>
      </c>
      <c r="O562" s="293"/>
      <c r="P562" s="293">
        <v>346</v>
      </c>
      <c r="Q562" s="293">
        <v>333</v>
      </c>
    </row>
    <row r="563" spans="1:17" s="292" customFormat="1" ht="9" customHeight="1" x14ac:dyDescent="0.25">
      <c r="A563" s="300" t="s">
        <v>30</v>
      </c>
      <c r="B563" s="301">
        <f t="shared" si="61"/>
        <v>4534</v>
      </c>
      <c r="C563" s="301"/>
      <c r="D563" s="302">
        <f t="shared" si="62"/>
        <v>4057</v>
      </c>
      <c r="E563" s="302"/>
      <c r="F563" s="301">
        <v>1565</v>
      </c>
      <c r="G563" s="301"/>
      <c r="H563" s="301">
        <f t="shared" si="63"/>
        <v>1947</v>
      </c>
      <c r="I563" s="301"/>
      <c r="J563" s="301">
        <v>238</v>
      </c>
      <c r="K563" s="301">
        <v>257</v>
      </c>
      <c r="L563" s="301">
        <v>201</v>
      </c>
      <c r="M563" s="301">
        <v>1251</v>
      </c>
      <c r="N563" s="301">
        <v>377</v>
      </c>
      <c r="O563" s="301"/>
      <c r="P563" s="301">
        <v>168</v>
      </c>
      <c r="Q563" s="301">
        <v>477</v>
      </c>
    </row>
    <row r="564" spans="1:17" s="292" customFormat="1" ht="9" customHeight="1" x14ac:dyDescent="0.25">
      <c r="A564" s="292" t="s">
        <v>63</v>
      </c>
      <c r="B564" s="293">
        <f t="shared" si="61"/>
        <v>32013</v>
      </c>
      <c r="C564" s="293"/>
      <c r="D564" s="299">
        <f t="shared" si="62"/>
        <v>28161</v>
      </c>
      <c r="E564" s="299"/>
      <c r="F564" s="293">
        <v>4828</v>
      </c>
      <c r="G564" s="293"/>
      <c r="H564" s="293">
        <f t="shared" si="63"/>
        <v>16058</v>
      </c>
      <c r="I564" s="293"/>
      <c r="J564" s="293">
        <v>1269</v>
      </c>
      <c r="K564" s="293">
        <v>1870</v>
      </c>
      <c r="L564" s="293">
        <v>1293</v>
      </c>
      <c r="M564" s="293">
        <v>11626</v>
      </c>
      <c r="N564" s="293">
        <v>6548</v>
      </c>
      <c r="O564" s="293"/>
      <c r="P564" s="293">
        <v>727</v>
      </c>
      <c r="Q564" s="293">
        <v>3852</v>
      </c>
    </row>
    <row r="565" spans="1:17" s="292" customFormat="1" ht="9" customHeight="1" x14ac:dyDescent="0.25">
      <c r="A565" s="292" t="s">
        <v>31</v>
      </c>
      <c r="B565" s="293">
        <f t="shared" si="61"/>
        <v>3081</v>
      </c>
      <c r="C565" s="293"/>
      <c r="D565" s="299">
        <f t="shared" si="62"/>
        <v>2818</v>
      </c>
      <c r="E565" s="299"/>
      <c r="F565" s="293">
        <v>935</v>
      </c>
      <c r="G565" s="293"/>
      <c r="H565" s="293">
        <f t="shared" si="63"/>
        <v>1256</v>
      </c>
      <c r="I565" s="293"/>
      <c r="J565" s="293">
        <v>149</v>
      </c>
      <c r="K565" s="293">
        <v>163</v>
      </c>
      <c r="L565" s="293">
        <v>154</v>
      </c>
      <c r="M565" s="293">
        <v>790</v>
      </c>
      <c r="N565" s="293">
        <v>440</v>
      </c>
      <c r="O565" s="293"/>
      <c r="P565" s="293">
        <v>187</v>
      </c>
      <c r="Q565" s="293">
        <v>263</v>
      </c>
    </row>
    <row r="566" spans="1:17" s="292" customFormat="1" ht="9" customHeight="1" x14ac:dyDescent="0.25">
      <c r="A566" s="292" t="s">
        <v>32</v>
      </c>
      <c r="B566" s="293">
        <f t="shared" si="61"/>
        <v>7414</v>
      </c>
      <c r="C566" s="293"/>
      <c r="D566" s="299">
        <f t="shared" si="62"/>
        <v>6668</v>
      </c>
      <c r="E566" s="299"/>
      <c r="F566" s="293">
        <v>2397</v>
      </c>
      <c r="G566" s="293"/>
      <c r="H566" s="293">
        <f t="shared" si="63"/>
        <v>2843</v>
      </c>
      <c r="I566" s="293"/>
      <c r="J566" s="293">
        <v>364</v>
      </c>
      <c r="K566" s="293">
        <v>352</v>
      </c>
      <c r="L566" s="293">
        <v>353</v>
      </c>
      <c r="M566" s="293">
        <v>1774</v>
      </c>
      <c r="N566" s="293">
        <v>1048</v>
      </c>
      <c r="O566" s="293"/>
      <c r="P566" s="293">
        <v>380</v>
      </c>
      <c r="Q566" s="293">
        <v>746</v>
      </c>
    </row>
    <row r="567" spans="1:17" s="292" customFormat="1" ht="9" customHeight="1" x14ac:dyDescent="0.25">
      <c r="A567" s="300" t="s">
        <v>33</v>
      </c>
      <c r="B567" s="301">
        <f t="shared" si="61"/>
        <v>4679</v>
      </c>
      <c r="C567" s="301"/>
      <c r="D567" s="302">
        <f t="shared" si="62"/>
        <v>4389</v>
      </c>
      <c r="E567" s="302"/>
      <c r="F567" s="301">
        <v>1886</v>
      </c>
      <c r="G567" s="301"/>
      <c r="H567" s="301">
        <f t="shared" si="63"/>
        <v>1667</v>
      </c>
      <c r="I567" s="301"/>
      <c r="J567" s="301">
        <v>214</v>
      </c>
      <c r="K567" s="301">
        <v>189</v>
      </c>
      <c r="L567" s="301">
        <v>253</v>
      </c>
      <c r="M567" s="301">
        <v>1011</v>
      </c>
      <c r="N567" s="301">
        <v>445</v>
      </c>
      <c r="O567" s="301"/>
      <c r="P567" s="301">
        <v>391</v>
      </c>
      <c r="Q567" s="301">
        <v>290</v>
      </c>
    </row>
    <row r="568" spans="1:17" s="292" customFormat="1" ht="9" customHeight="1" x14ac:dyDescent="0.25">
      <c r="A568" s="292" t="s">
        <v>34</v>
      </c>
      <c r="B568" s="293">
        <f t="shared" si="61"/>
        <v>4032</v>
      </c>
      <c r="C568" s="293"/>
      <c r="D568" s="299">
        <f t="shared" si="62"/>
        <v>3621</v>
      </c>
      <c r="E568" s="299"/>
      <c r="F568" s="293">
        <v>1442</v>
      </c>
      <c r="G568" s="293"/>
      <c r="H568" s="293">
        <f t="shared" si="63"/>
        <v>1423</v>
      </c>
      <c r="I568" s="293"/>
      <c r="J568" s="293">
        <v>181</v>
      </c>
      <c r="K568" s="293">
        <v>170</v>
      </c>
      <c r="L568" s="293">
        <v>269</v>
      </c>
      <c r="M568" s="293">
        <v>803</v>
      </c>
      <c r="N568" s="293">
        <v>373</v>
      </c>
      <c r="O568" s="293"/>
      <c r="P568" s="293">
        <v>383</v>
      </c>
      <c r="Q568" s="293">
        <v>411</v>
      </c>
    </row>
    <row r="569" spans="1:17" s="292" customFormat="1" ht="9" customHeight="1" x14ac:dyDescent="0.25">
      <c r="A569" s="292" t="s">
        <v>35</v>
      </c>
      <c r="B569" s="293">
        <f t="shared" si="61"/>
        <v>11710</v>
      </c>
      <c r="C569" s="293"/>
      <c r="D569" s="299">
        <f t="shared" si="62"/>
        <v>10534</v>
      </c>
      <c r="E569" s="299"/>
      <c r="F569" s="293">
        <v>2768</v>
      </c>
      <c r="G569" s="293"/>
      <c r="H569" s="293">
        <f t="shared" si="63"/>
        <v>4765</v>
      </c>
      <c r="I569" s="293"/>
      <c r="J569" s="293">
        <v>565</v>
      </c>
      <c r="K569" s="293">
        <v>502</v>
      </c>
      <c r="L569" s="293">
        <v>468</v>
      </c>
      <c r="M569" s="293">
        <v>3230</v>
      </c>
      <c r="N569" s="293">
        <v>2436</v>
      </c>
      <c r="O569" s="293"/>
      <c r="P569" s="293">
        <v>565</v>
      </c>
      <c r="Q569" s="293">
        <v>1176</v>
      </c>
    </row>
    <row r="570" spans="1:17" s="292" customFormat="1" ht="9" customHeight="1" x14ac:dyDescent="0.25">
      <c r="A570" s="292" t="s">
        <v>36</v>
      </c>
      <c r="B570" s="293">
        <f t="shared" si="61"/>
        <v>16963</v>
      </c>
      <c r="C570" s="293"/>
      <c r="D570" s="299">
        <f t="shared" si="62"/>
        <v>15137</v>
      </c>
      <c r="E570" s="299"/>
      <c r="F570" s="293">
        <v>4882</v>
      </c>
      <c r="G570" s="293"/>
      <c r="H570" s="293">
        <f t="shared" si="63"/>
        <v>7560</v>
      </c>
      <c r="I570" s="293"/>
      <c r="J570" s="293">
        <v>1112</v>
      </c>
      <c r="K570" s="293">
        <v>1034</v>
      </c>
      <c r="L570" s="293">
        <v>948</v>
      </c>
      <c r="M570" s="293">
        <v>4466</v>
      </c>
      <c r="N570" s="293">
        <v>1982</v>
      </c>
      <c r="O570" s="293"/>
      <c r="P570" s="293">
        <v>713</v>
      </c>
      <c r="Q570" s="293">
        <v>1826</v>
      </c>
    </row>
    <row r="571" spans="1:17" s="292" customFormat="1" ht="9" customHeight="1" x14ac:dyDescent="0.25">
      <c r="A571" s="300" t="s">
        <v>37</v>
      </c>
      <c r="B571" s="301">
        <f t="shared" si="61"/>
        <v>6048</v>
      </c>
      <c r="C571" s="301"/>
      <c r="D571" s="302">
        <f t="shared" si="62"/>
        <v>5613</v>
      </c>
      <c r="E571" s="302"/>
      <c r="F571" s="301">
        <v>1889</v>
      </c>
      <c r="G571" s="301"/>
      <c r="H571" s="301">
        <f t="shared" si="63"/>
        <v>2162</v>
      </c>
      <c r="I571" s="301"/>
      <c r="J571" s="301">
        <v>255</v>
      </c>
      <c r="K571" s="301">
        <v>203</v>
      </c>
      <c r="L571" s="301">
        <v>363</v>
      </c>
      <c r="M571" s="301">
        <v>1341</v>
      </c>
      <c r="N571" s="301">
        <v>835</v>
      </c>
      <c r="O571" s="301"/>
      <c r="P571" s="301">
        <v>727</v>
      </c>
      <c r="Q571" s="301">
        <v>435</v>
      </c>
    </row>
    <row r="572" spans="1:17" s="292" customFormat="1" ht="9" customHeight="1" x14ac:dyDescent="0.25">
      <c r="A572" s="292" t="s">
        <v>38</v>
      </c>
      <c r="B572" s="293">
        <f t="shared" si="61"/>
        <v>2659</v>
      </c>
      <c r="C572" s="293"/>
      <c r="D572" s="299">
        <f t="shared" si="62"/>
        <v>2406</v>
      </c>
      <c r="E572" s="299"/>
      <c r="F572" s="293">
        <v>787</v>
      </c>
      <c r="G572" s="293"/>
      <c r="H572" s="293">
        <f t="shared" si="63"/>
        <v>1258</v>
      </c>
      <c r="I572" s="293"/>
      <c r="J572" s="293">
        <v>174</v>
      </c>
      <c r="K572" s="293">
        <v>166</v>
      </c>
      <c r="L572" s="293">
        <v>144</v>
      </c>
      <c r="M572" s="293">
        <v>774</v>
      </c>
      <c r="N572" s="293">
        <v>170</v>
      </c>
      <c r="O572" s="293"/>
      <c r="P572" s="293">
        <v>191</v>
      </c>
      <c r="Q572" s="293">
        <v>253</v>
      </c>
    </row>
    <row r="573" spans="1:17" s="292" customFormat="1" ht="9" customHeight="1" x14ac:dyDescent="0.25">
      <c r="A573" s="292" t="s">
        <v>39</v>
      </c>
      <c r="B573" s="293">
        <f t="shared" si="61"/>
        <v>2283</v>
      </c>
      <c r="C573" s="293"/>
      <c r="D573" s="299">
        <f t="shared" si="62"/>
        <v>2113</v>
      </c>
      <c r="E573" s="299"/>
      <c r="F573" s="293">
        <v>703</v>
      </c>
      <c r="G573" s="293"/>
      <c r="H573" s="293">
        <f t="shared" si="63"/>
        <v>830</v>
      </c>
      <c r="I573" s="293"/>
      <c r="J573" s="293">
        <v>83</v>
      </c>
      <c r="K573" s="293">
        <v>87</v>
      </c>
      <c r="L573" s="293">
        <v>146</v>
      </c>
      <c r="M573" s="293">
        <v>514</v>
      </c>
      <c r="N573" s="293">
        <v>334</v>
      </c>
      <c r="O573" s="293"/>
      <c r="P573" s="293">
        <v>246</v>
      </c>
      <c r="Q573" s="293">
        <v>170</v>
      </c>
    </row>
    <row r="574" spans="1:17" s="292" customFormat="1" ht="9" customHeight="1" x14ac:dyDescent="0.25">
      <c r="A574" s="292" t="s">
        <v>40</v>
      </c>
      <c r="B574" s="293">
        <f t="shared" si="61"/>
        <v>7143</v>
      </c>
      <c r="C574" s="293"/>
      <c r="D574" s="299">
        <f t="shared" si="62"/>
        <v>6305</v>
      </c>
      <c r="E574" s="299"/>
      <c r="F574" s="293">
        <v>1624</v>
      </c>
      <c r="G574" s="293"/>
      <c r="H574" s="293">
        <f t="shared" si="63"/>
        <v>3143</v>
      </c>
      <c r="I574" s="293"/>
      <c r="J574" s="293">
        <v>366</v>
      </c>
      <c r="K574" s="293">
        <v>335</v>
      </c>
      <c r="L574" s="293">
        <v>265</v>
      </c>
      <c r="M574" s="293">
        <v>2177</v>
      </c>
      <c r="N574" s="293">
        <v>1177</v>
      </c>
      <c r="O574" s="293"/>
      <c r="P574" s="293">
        <v>361</v>
      </c>
      <c r="Q574" s="293">
        <v>838</v>
      </c>
    </row>
    <row r="575" spans="1:17" s="292" customFormat="1" ht="9" customHeight="1" x14ac:dyDescent="0.25">
      <c r="A575" s="300" t="s">
        <v>41</v>
      </c>
      <c r="B575" s="301">
        <f t="shared" si="61"/>
        <v>5319</v>
      </c>
      <c r="C575" s="301"/>
      <c r="D575" s="302">
        <f t="shared" si="62"/>
        <v>4974</v>
      </c>
      <c r="E575" s="302"/>
      <c r="F575" s="301">
        <v>2261</v>
      </c>
      <c r="G575" s="301"/>
      <c r="H575" s="301">
        <f t="shared" si="63"/>
        <v>1629</v>
      </c>
      <c r="I575" s="301"/>
      <c r="J575" s="301">
        <v>158</v>
      </c>
      <c r="K575" s="301">
        <v>182</v>
      </c>
      <c r="L575" s="301">
        <v>378</v>
      </c>
      <c r="M575" s="301">
        <v>911</v>
      </c>
      <c r="N575" s="301">
        <v>522</v>
      </c>
      <c r="O575" s="301"/>
      <c r="P575" s="301">
        <v>562</v>
      </c>
      <c r="Q575" s="301">
        <v>345</v>
      </c>
    </row>
    <row r="576" spans="1:17" s="292" customFormat="1" ht="9" customHeight="1" x14ac:dyDescent="0.25">
      <c r="A576" s="292" t="s">
        <v>42</v>
      </c>
      <c r="B576" s="293">
        <f t="shared" si="61"/>
        <v>7949</v>
      </c>
      <c r="C576" s="293"/>
      <c r="D576" s="299">
        <f t="shared" si="62"/>
        <v>7291</v>
      </c>
      <c r="E576" s="299"/>
      <c r="F576" s="293">
        <v>2290</v>
      </c>
      <c r="G576" s="293"/>
      <c r="H576" s="293">
        <f t="shared" si="63"/>
        <v>2886</v>
      </c>
      <c r="I576" s="304"/>
      <c r="J576" s="293">
        <v>260</v>
      </c>
      <c r="K576" s="293">
        <v>405</v>
      </c>
      <c r="L576" s="293">
        <v>506</v>
      </c>
      <c r="M576" s="293">
        <v>1715</v>
      </c>
      <c r="N576" s="293">
        <v>1485</v>
      </c>
      <c r="O576" s="293"/>
      <c r="P576" s="293">
        <v>630</v>
      </c>
      <c r="Q576" s="293">
        <v>658</v>
      </c>
    </row>
    <row r="577" spans="1:17" s="292" customFormat="1" ht="9" customHeight="1" x14ac:dyDescent="0.25">
      <c r="A577" s="292" t="s">
        <v>43</v>
      </c>
      <c r="B577" s="293">
        <f t="shared" si="61"/>
        <v>2593</v>
      </c>
      <c r="C577" s="293"/>
      <c r="D577" s="299">
        <f t="shared" si="62"/>
        <v>2351</v>
      </c>
      <c r="E577" s="299"/>
      <c r="F577" s="293">
        <v>670</v>
      </c>
      <c r="G577" s="293"/>
      <c r="H577" s="293">
        <f t="shared" si="63"/>
        <v>985</v>
      </c>
      <c r="I577" s="293"/>
      <c r="J577" s="293">
        <v>146</v>
      </c>
      <c r="K577" s="293">
        <v>143</v>
      </c>
      <c r="L577" s="293">
        <v>133</v>
      </c>
      <c r="M577" s="293">
        <v>563</v>
      </c>
      <c r="N577" s="293">
        <v>462</v>
      </c>
      <c r="O577" s="293"/>
      <c r="P577" s="293">
        <v>234</v>
      </c>
      <c r="Q577" s="293">
        <v>242</v>
      </c>
    </row>
    <row r="578" spans="1:17" s="292" customFormat="1" ht="9" customHeight="1" x14ac:dyDescent="0.25">
      <c r="A578" s="292" t="s">
        <v>44</v>
      </c>
      <c r="B578" s="293">
        <f t="shared" si="61"/>
        <v>2131</v>
      </c>
      <c r="C578" s="293"/>
      <c r="D578" s="299">
        <f t="shared" si="62"/>
        <v>1691</v>
      </c>
      <c r="E578" s="299"/>
      <c r="F578" s="293">
        <v>729</v>
      </c>
      <c r="G578" s="293"/>
      <c r="H578" s="293">
        <f t="shared" si="63"/>
        <v>763</v>
      </c>
      <c r="I578" s="293"/>
      <c r="J578" s="293">
        <v>100</v>
      </c>
      <c r="K578" s="293">
        <v>113</v>
      </c>
      <c r="L578" s="293">
        <v>74</v>
      </c>
      <c r="M578" s="293">
        <v>476</v>
      </c>
      <c r="N578" s="293">
        <v>146</v>
      </c>
      <c r="O578" s="293"/>
      <c r="P578" s="293">
        <v>53</v>
      </c>
      <c r="Q578" s="293">
        <v>440</v>
      </c>
    </row>
    <row r="579" spans="1:17" s="292" customFormat="1" ht="9" customHeight="1" x14ac:dyDescent="0.25">
      <c r="A579" s="300" t="s">
        <v>45</v>
      </c>
      <c r="B579" s="301">
        <f t="shared" si="61"/>
        <v>3902</v>
      </c>
      <c r="C579" s="301"/>
      <c r="D579" s="302">
        <f t="shared" si="62"/>
        <v>3642</v>
      </c>
      <c r="E579" s="302"/>
      <c r="F579" s="301">
        <v>1021</v>
      </c>
      <c r="G579" s="301"/>
      <c r="H579" s="301">
        <f t="shared" si="63"/>
        <v>1366</v>
      </c>
      <c r="I579" s="301"/>
      <c r="J579" s="301">
        <v>142</v>
      </c>
      <c r="K579" s="301">
        <v>156</v>
      </c>
      <c r="L579" s="301">
        <v>229</v>
      </c>
      <c r="M579" s="301">
        <v>839</v>
      </c>
      <c r="N579" s="301">
        <v>762</v>
      </c>
      <c r="O579" s="301"/>
      <c r="P579" s="301">
        <v>493</v>
      </c>
      <c r="Q579" s="301">
        <v>260</v>
      </c>
    </row>
    <row r="580" spans="1:17" s="292" customFormat="1" ht="9" customHeight="1" x14ac:dyDescent="0.25">
      <c r="A580" s="292" t="s">
        <v>46</v>
      </c>
      <c r="B580" s="293">
        <f t="shared" si="61"/>
        <v>5077</v>
      </c>
      <c r="C580" s="293"/>
      <c r="D580" s="299">
        <f t="shared" si="62"/>
        <v>4611</v>
      </c>
      <c r="E580" s="299"/>
      <c r="F580" s="293">
        <v>1505</v>
      </c>
      <c r="G580" s="293"/>
      <c r="H580" s="293">
        <f t="shared" si="63"/>
        <v>2212</v>
      </c>
      <c r="I580" s="293"/>
      <c r="J580" s="293">
        <v>268</v>
      </c>
      <c r="K580" s="293">
        <v>243</v>
      </c>
      <c r="L580" s="293">
        <v>283</v>
      </c>
      <c r="M580" s="293">
        <v>1418</v>
      </c>
      <c r="N580" s="293">
        <v>610</v>
      </c>
      <c r="O580" s="293"/>
      <c r="P580" s="293">
        <v>284</v>
      </c>
      <c r="Q580" s="293">
        <v>466</v>
      </c>
    </row>
    <row r="581" spans="1:17" s="292" customFormat="1" ht="9" customHeight="1" x14ac:dyDescent="0.25">
      <c r="A581" s="292" t="s">
        <v>47</v>
      </c>
      <c r="B581" s="293">
        <f t="shared" si="61"/>
        <v>5312</v>
      </c>
      <c r="C581" s="293"/>
      <c r="D581" s="299">
        <f t="shared" si="62"/>
        <v>4686</v>
      </c>
      <c r="E581" s="299"/>
      <c r="F581" s="293">
        <v>1336</v>
      </c>
      <c r="G581" s="293"/>
      <c r="H581" s="293">
        <f t="shared" si="63"/>
        <v>2188</v>
      </c>
      <c r="I581" s="293"/>
      <c r="J581" s="293">
        <v>245</v>
      </c>
      <c r="K581" s="293">
        <v>215</v>
      </c>
      <c r="L581" s="293">
        <v>234</v>
      </c>
      <c r="M581" s="293">
        <v>1494</v>
      </c>
      <c r="N581" s="293">
        <v>968</v>
      </c>
      <c r="O581" s="293"/>
      <c r="P581" s="293">
        <v>194</v>
      </c>
      <c r="Q581" s="293">
        <v>626</v>
      </c>
    </row>
    <row r="582" spans="1:17" s="292" customFormat="1" ht="9" customHeight="1" x14ac:dyDescent="0.25">
      <c r="A582" s="292" t="s">
        <v>48</v>
      </c>
      <c r="B582" s="293">
        <f t="shared" si="61"/>
        <v>5029</v>
      </c>
      <c r="C582" s="293"/>
      <c r="D582" s="299">
        <f t="shared" si="62"/>
        <v>4567</v>
      </c>
      <c r="E582" s="299"/>
      <c r="F582" s="293">
        <v>2015</v>
      </c>
      <c r="G582" s="293"/>
      <c r="H582" s="293">
        <f t="shared" si="63"/>
        <v>1904</v>
      </c>
      <c r="I582" s="304"/>
      <c r="J582" s="293">
        <v>177</v>
      </c>
      <c r="K582" s="293">
        <v>190</v>
      </c>
      <c r="L582" s="293">
        <v>413</v>
      </c>
      <c r="M582" s="293">
        <v>1124</v>
      </c>
      <c r="N582" s="293">
        <v>384</v>
      </c>
      <c r="O582" s="293"/>
      <c r="P582" s="293">
        <v>264</v>
      </c>
      <c r="Q582" s="293">
        <v>462</v>
      </c>
    </row>
    <row r="583" spans="1:17" s="292" customFormat="1" ht="9" customHeight="1" x14ac:dyDescent="0.25">
      <c r="A583" s="300" t="s">
        <v>49</v>
      </c>
      <c r="B583" s="301">
        <f t="shared" si="61"/>
        <v>5830</v>
      </c>
      <c r="C583" s="301"/>
      <c r="D583" s="302">
        <f t="shared" si="62"/>
        <v>5277</v>
      </c>
      <c r="E583" s="302"/>
      <c r="F583" s="301">
        <v>1543</v>
      </c>
      <c r="G583" s="301"/>
      <c r="H583" s="301">
        <f t="shared" si="63"/>
        <v>2466</v>
      </c>
      <c r="I583" s="301"/>
      <c r="J583" s="301">
        <v>319</v>
      </c>
      <c r="K583" s="301">
        <v>302</v>
      </c>
      <c r="L583" s="301">
        <v>278</v>
      </c>
      <c r="M583" s="301">
        <v>1567</v>
      </c>
      <c r="N583" s="301">
        <v>925</v>
      </c>
      <c r="O583" s="301"/>
      <c r="P583" s="301">
        <v>343</v>
      </c>
      <c r="Q583" s="301">
        <v>553</v>
      </c>
    </row>
    <row r="584" spans="1:17" s="292" customFormat="1" ht="9" customHeight="1" x14ac:dyDescent="0.25">
      <c r="A584" s="292" t="s">
        <v>50</v>
      </c>
      <c r="B584" s="293">
        <f t="shared" si="61"/>
        <v>1737</v>
      </c>
      <c r="C584" s="293"/>
      <c r="D584" s="299">
        <f t="shared" si="62"/>
        <v>1611</v>
      </c>
      <c r="E584" s="299"/>
      <c r="F584" s="293">
        <v>669</v>
      </c>
      <c r="G584" s="293"/>
      <c r="H584" s="293">
        <f t="shared" si="63"/>
        <v>746</v>
      </c>
      <c r="I584" s="293"/>
      <c r="J584" s="293">
        <v>89</v>
      </c>
      <c r="K584" s="293">
        <v>90</v>
      </c>
      <c r="L584" s="293">
        <v>118</v>
      </c>
      <c r="M584" s="293">
        <v>449</v>
      </c>
      <c r="N584" s="293">
        <v>172</v>
      </c>
      <c r="O584" s="293"/>
      <c r="P584" s="293">
        <v>24</v>
      </c>
      <c r="Q584" s="293">
        <v>126</v>
      </c>
    </row>
    <row r="585" spans="1:17" s="292" customFormat="1" ht="9" customHeight="1" x14ac:dyDescent="0.25">
      <c r="A585" s="292" t="s">
        <v>51</v>
      </c>
      <c r="B585" s="293">
        <f t="shared" si="61"/>
        <v>11861</v>
      </c>
      <c r="C585" s="293"/>
      <c r="D585" s="299">
        <f t="shared" si="62"/>
        <v>10822</v>
      </c>
      <c r="E585" s="299"/>
      <c r="F585" s="293">
        <v>4277</v>
      </c>
      <c r="G585" s="293"/>
      <c r="H585" s="293">
        <f t="shared" si="63"/>
        <v>4549</v>
      </c>
      <c r="I585" s="293"/>
      <c r="J585" s="293">
        <v>492</v>
      </c>
      <c r="K585" s="293">
        <v>486</v>
      </c>
      <c r="L585" s="293">
        <v>753</v>
      </c>
      <c r="M585" s="293">
        <v>2818</v>
      </c>
      <c r="N585" s="293">
        <v>1408</v>
      </c>
      <c r="O585" s="293"/>
      <c r="P585" s="293">
        <v>588</v>
      </c>
      <c r="Q585" s="293">
        <v>1039</v>
      </c>
    </row>
    <row r="586" spans="1:17" s="292" customFormat="1" ht="9" customHeight="1" x14ac:dyDescent="0.25">
      <c r="A586" s="292" t="s">
        <v>52</v>
      </c>
      <c r="B586" s="293">
        <f t="shared" si="61"/>
        <v>3421</v>
      </c>
      <c r="C586" s="293"/>
      <c r="D586" s="299">
        <f t="shared" si="62"/>
        <v>3076</v>
      </c>
      <c r="E586" s="299"/>
      <c r="F586" s="293">
        <v>880</v>
      </c>
      <c r="G586" s="293"/>
      <c r="H586" s="293">
        <f t="shared" si="63"/>
        <v>1276</v>
      </c>
      <c r="I586" s="293"/>
      <c r="J586" s="293">
        <v>139</v>
      </c>
      <c r="K586" s="293">
        <v>127</v>
      </c>
      <c r="L586" s="293">
        <v>156</v>
      </c>
      <c r="M586" s="293">
        <v>854</v>
      </c>
      <c r="N586" s="293">
        <v>748</v>
      </c>
      <c r="O586" s="293"/>
      <c r="P586" s="293">
        <v>172</v>
      </c>
      <c r="Q586" s="293">
        <v>345</v>
      </c>
    </row>
    <row r="587" spans="1:17" s="292" customFormat="1" ht="9" customHeight="1" x14ac:dyDescent="0.25">
      <c r="A587" s="300" t="s">
        <v>53</v>
      </c>
      <c r="B587" s="301">
        <f t="shared" si="61"/>
        <v>2518</v>
      </c>
      <c r="C587" s="301"/>
      <c r="D587" s="302">
        <f t="shared" si="62"/>
        <v>2358</v>
      </c>
      <c r="E587" s="302"/>
      <c r="F587" s="301">
        <v>875</v>
      </c>
      <c r="G587" s="301"/>
      <c r="H587" s="301">
        <f t="shared" si="63"/>
        <v>925</v>
      </c>
      <c r="I587" s="301"/>
      <c r="J587" s="301">
        <v>106</v>
      </c>
      <c r="K587" s="301">
        <v>89</v>
      </c>
      <c r="L587" s="301">
        <v>129</v>
      </c>
      <c r="M587" s="301">
        <v>601</v>
      </c>
      <c r="N587" s="301">
        <v>322</v>
      </c>
      <c r="O587" s="301"/>
      <c r="P587" s="301">
        <v>236</v>
      </c>
      <c r="Q587" s="301">
        <v>160</v>
      </c>
    </row>
    <row r="588" spans="1:17" s="292" customFormat="1" ht="9" customHeight="1" x14ac:dyDescent="0.25">
      <c r="A588" s="296"/>
      <c r="B588" s="295"/>
      <c r="C588" s="295"/>
      <c r="D588" s="298"/>
      <c r="E588" s="298"/>
      <c r="F588" s="295"/>
      <c r="G588" s="295"/>
      <c r="H588" s="295"/>
      <c r="I588" s="295"/>
      <c r="J588" s="295"/>
      <c r="K588" s="295"/>
      <c r="L588" s="295"/>
      <c r="M588" s="295"/>
      <c r="N588" s="295"/>
      <c r="O588" s="295"/>
      <c r="P588" s="295"/>
      <c r="Q588" s="295"/>
    </row>
    <row r="589" spans="1:17" s="292" customFormat="1" ht="9" customHeight="1" x14ac:dyDescent="0.25">
      <c r="A589" s="294">
        <v>2011</v>
      </c>
      <c r="B589" s="293"/>
      <c r="C589" s="293"/>
      <c r="D589" s="293"/>
      <c r="E589" s="293"/>
      <c r="F589" s="305"/>
      <c r="G589" s="306"/>
      <c r="H589" s="306"/>
      <c r="I589" s="306"/>
      <c r="J589" s="305"/>
      <c r="K589" s="305"/>
      <c r="L589" s="305"/>
      <c r="M589" s="306"/>
      <c r="N589" s="306"/>
      <c r="O589" s="306"/>
      <c r="P589" s="306"/>
      <c r="Q589" s="305"/>
    </row>
    <row r="590" spans="1:17" s="292" customFormat="1" ht="9" customHeight="1" x14ac:dyDescent="0.25">
      <c r="A590" s="296" t="s">
        <v>241</v>
      </c>
      <c r="B590" s="295">
        <f>SUM(B592:B623)</f>
        <v>202461</v>
      </c>
      <c r="C590" s="297"/>
      <c r="D590" s="295">
        <f>SUM(D592:D623)</f>
        <v>183021</v>
      </c>
      <c r="E590" s="297"/>
      <c r="F590" s="295">
        <f>SUM(F592:F623)</f>
        <v>57961</v>
      </c>
      <c r="G590" s="295"/>
      <c r="H590" s="295">
        <f>SUM(H592:H623)</f>
        <v>84670</v>
      </c>
      <c r="I590" s="295"/>
      <c r="J590" s="295">
        <f t="shared" ref="J590:Q590" si="64">SUM(J592:J623)</f>
        <v>9102</v>
      </c>
      <c r="K590" s="295">
        <f t="shared" si="64"/>
        <v>9966</v>
      </c>
      <c r="L590" s="295">
        <f t="shared" si="64"/>
        <v>10025</v>
      </c>
      <c r="M590" s="295">
        <f t="shared" si="64"/>
        <v>55577</v>
      </c>
      <c r="N590" s="295">
        <f>SUM(N592:N623)+349</f>
        <v>28503</v>
      </c>
      <c r="O590" s="295"/>
      <c r="P590" s="295">
        <f t="shared" si="64"/>
        <v>10075</v>
      </c>
      <c r="Q590" s="295">
        <f t="shared" si="64"/>
        <v>19440</v>
      </c>
    </row>
    <row r="591" spans="1:17" s="292" customFormat="1" ht="3.95" customHeight="1" x14ac:dyDescent="0.25">
      <c r="A591" s="296"/>
      <c r="B591" s="295"/>
      <c r="C591" s="295"/>
      <c r="D591" s="298"/>
      <c r="E591" s="298"/>
      <c r="F591" s="295"/>
      <c r="G591" s="295"/>
      <c r="H591" s="295"/>
      <c r="I591" s="295"/>
      <c r="J591" s="295"/>
      <c r="K591" s="295"/>
      <c r="L591" s="295"/>
      <c r="M591" s="295"/>
      <c r="N591" s="295"/>
      <c r="O591" s="295"/>
      <c r="P591" s="295"/>
      <c r="Q591" s="295"/>
    </row>
    <row r="592" spans="1:17" s="292" customFormat="1" ht="9" customHeight="1" x14ac:dyDescent="0.25">
      <c r="A592" s="292" t="s">
        <v>23</v>
      </c>
      <c r="B592" s="293">
        <v>2474</v>
      </c>
      <c r="C592" s="293"/>
      <c r="D592" s="299">
        <v>2207</v>
      </c>
      <c r="E592" s="299"/>
      <c r="F592" s="293">
        <v>633</v>
      </c>
      <c r="G592" s="293"/>
      <c r="H592" s="293">
        <f>SUM(J592:M592)</f>
        <v>1188</v>
      </c>
      <c r="I592" s="293"/>
      <c r="J592" s="293">
        <v>114</v>
      </c>
      <c r="K592" s="293">
        <v>186</v>
      </c>
      <c r="L592" s="293">
        <v>113</v>
      </c>
      <c r="M592" s="293">
        <v>775</v>
      </c>
      <c r="N592" s="293">
        <v>335</v>
      </c>
      <c r="O592" s="293"/>
      <c r="P592" s="293">
        <v>62</v>
      </c>
      <c r="Q592" s="293">
        <v>267</v>
      </c>
    </row>
    <row r="593" spans="1:17" s="292" customFormat="1" ht="9" customHeight="1" x14ac:dyDescent="0.25">
      <c r="A593" s="292" t="s">
        <v>24</v>
      </c>
      <c r="B593" s="293">
        <v>4902</v>
      </c>
      <c r="C593" s="293"/>
      <c r="D593" s="299">
        <v>4311</v>
      </c>
      <c r="E593" s="299"/>
      <c r="F593" s="293">
        <v>1173</v>
      </c>
      <c r="G593" s="293"/>
      <c r="H593" s="293">
        <f t="shared" ref="H593:H623" si="65">SUM(J593:M593)</f>
        <v>2249</v>
      </c>
      <c r="I593" s="293"/>
      <c r="J593" s="293">
        <v>301</v>
      </c>
      <c r="K593" s="293">
        <v>304</v>
      </c>
      <c r="L593" s="293">
        <v>218</v>
      </c>
      <c r="M593" s="293">
        <v>1426</v>
      </c>
      <c r="N593" s="293">
        <v>651</v>
      </c>
      <c r="O593" s="293"/>
      <c r="P593" s="293">
        <v>176</v>
      </c>
      <c r="Q593" s="293">
        <v>591</v>
      </c>
    </row>
    <row r="594" spans="1:17" s="292" customFormat="1" ht="9" customHeight="1" x14ac:dyDescent="0.25">
      <c r="A594" s="292" t="s">
        <v>25</v>
      </c>
      <c r="B594" s="293">
        <v>1583</v>
      </c>
      <c r="C594" s="293"/>
      <c r="D594" s="299">
        <v>1401</v>
      </c>
      <c r="E594" s="299"/>
      <c r="F594" s="293">
        <v>551</v>
      </c>
      <c r="G594" s="293"/>
      <c r="H594" s="293">
        <f t="shared" si="65"/>
        <v>685</v>
      </c>
      <c r="I594" s="293"/>
      <c r="J594" s="293">
        <v>95</v>
      </c>
      <c r="K594" s="293">
        <v>81</v>
      </c>
      <c r="L594" s="293">
        <v>61</v>
      </c>
      <c r="M594" s="293">
        <v>448</v>
      </c>
      <c r="N594" s="293">
        <v>74</v>
      </c>
      <c r="O594" s="293"/>
      <c r="P594" s="293">
        <v>73</v>
      </c>
      <c r="Q594" s="293">
        <v>182</v>
      </c>
    </row>
    <row r="595" spans="1:17" s="292" customFormat="1" ht="9" customHeight="1" x14ac:dyDescent="0.25">
      <c r="A595" s="300" t="s">
        <v>26</v>
      </c>
      <c r="B595" s="301">
        <v>2124</v>
      </c>
      <c r="C595" s="301"/>
      <c r="D595" s="302">
        <v>1928</v>
      </c>
      <c r="E595" s="302"/>
      <c r="F595" s="301">
        <v>832</v>
      </c>
      <c r="G595" s="301"/>
      <c r="H595" s="301">
        <f t="shared" si="65"/>
        <v>759</v>
      </c>
      <c r="I595" s="301"/>
      <c r="J595" s="301">
        <v>103</v>
      </c>
      <c r="K595" s="301">
        <v>88</v>
      </c>
      <c r="L595" s="301">
        <v>105</v>
      </c>
      <c r="M595" s="301">
        <v>463</v>
      </c>
      <c r="N595" s="301">
        <v>297</v>
      </c>
      <c r="O595" s="301"/>
      <c r="P595" s="301">
        <v>85</v>
      </c>
      <c r="Q595" s="301">
        <v>196</v>
      </c>
    </row>
    <row r="596" spans="1:17" s="292" customFormat="1" ht="9" customHeight="1" x14ac:dyDescent="0.25">
      <c r="A596" s="292" t="s">
        <v>27</v>
      </c>
      <c r="B596" s="293">
        <v>5117</v>
      </c>
      <c r="C596" s="293"/>
      <c r="D596" s="299">
        <v>4530</v>
      </c>
      <c r="E596" s="299"/>
      <c r="F596" s="293">
        <v>1294</v>
      </c>
      <c r="G596" s="293"/>
      <c r="H596" s="293">
        <f t="shared" si="65"/>
        <v>2404</v>
      </c>
      <c r="I596" s="303"/>
      <c r="J596" s="293">
        <v>282</v>
      </c>
      <c r="K596" s="293">
        <v>285</v>
      </c>
      <c r="L596" s="293">
        <v>185</v>
      </c>
      <c r="M596" s="293">
        <v>1652</v>
      </c>
      <c r="N596" s="293">
        <v>633</v>
      </c>
      <c r="O596" s="293"/>
      <c r="P596" s="293">
        <v>179</v>
      </c>
      <c r="Q596" s="293">
        <v>587</v>
      </c>
    </row>
    <row r="597" spans="1:17" s="292" customFormat="1" ht="9" customHeight="1" x14ac:dyDescent="0.25">
      <c r="A597" s="292" t="s">
        <v>28</v>
      </c>
      <c r="B597" s="293">
        <v>1587</v>
      </c>
      <c r="C597" s="293"/>
      <c r="D597" s="299">
        <v>1426</v>
      </c>
      <c r="E597" s="299"/>
      <c r="F597" s="293">
        <v>453</v>
      </c>
      <c r="G597" s="293"/>
      <c r="H597" s="293">
        <f t="shared" si="65"/>
        <v>670</v>
      </c>
      <c r="I597" s="293"/>
      <c r="J597" s="293">
        <v>87</v>
      </c>
      <c r="K597" s="293">
        <v>79</v>
      </c>
      <c r="L597" s="293">
        <v>83</v>
      </c>
      <c r="M597" s="293">
        <v>421</v>
      </c>
      <c r="N597" s="293">
        <v>188</v>
      </c>
      <c r="O597" s="293"/>
      <c r="P597" s="293">
        <v>114</v>
      </c>
      <c r="Q597" s="293">
        <v>161</v>
      </c>
    </row>
    <row r="598" spans="1:17" s="292" customFormat="1" ht="9" customHeight="1" x14ac:dyDescent="0.25">
      <c r="A598" s="292" t="s">
        <v>29</v>
      </c>
      <c r="B598" s="293">
        <v>5518</v>
      </c>
      <c r="C598" s="293"/>
      <c r="D598" s="299">
        <v>5128</v>
      </c>
      <c r="E598" s="299"/>
      <c r="F598" s="293">
        <v>2615</v>
      </c>
      <c r="G598" s="293"/>
      <c r="H598" s="293">
        <f t="shared" si="65"/>
        <v>1838</v>
      </c>
      <c r="J598" s="293">
        <v>181</v>
      </c>
      <c r="K598" s="293">
        <v>239</v>
      </c>
      <c r="L598" s="293">
        <v>325</v>
      </c>
      <c r="M598" s="293">
        <v>1093</v>
      </c>
      <c r="N598" s="293">
        <v>368</v>
      </c>
      <c r="O598" s="293"/>
      <c r="P598" s="293">
        <v>327</v>
      </c>
      <c r="Q598" s="293">
        <v>390</v>
      </c>
    </row>
    <row r="599" spans="1:17" s="292" customFormat="1" ht="9" customHeight="1" x14ac:dyDescent="0.25">
      <c r="A599" s="300" t="s">
        <v>30</v>
      </c>
      <c r="B599" s="301">
        <v>5324</v>
      </c>
      <c r="C599" s="301"/>
      <c r="D599" s="302">
        <v>4771</v>
      </c>
      <c r="E599" s="302"/>
      <c r="F599" s="301">
        <v>1656</v>
      </c>
      <c r="G599" s="301"/>
      <c r="H599" s="301">
        <f t="shared" si="65"/>
        <v>2275</v>
      </c>
      <c r="I599" s="301"/>
      <c r="J599" s="301">
        <v>268</v>
      </c>
      <c r="K599" s="301">
        <v>286</v>
      </c>
      <c r="L599" s="301">
        <v>212</v>
      </c>
      <c r="M599" s="301">
        <v>1509</v>
      </c>
      <c r="N599" s="301">
        <v>450</v>
      </c>
      <c r="O599" s="301"/>
      <c r="P599" s="301">
        <v>244</v>
      </c>
      <c r="Q599" s="301">
        <v>553</v>
      </c>
    </row>
    <row r="600" spans="1:17" s="292" customFormat="1" ht="9" customHeight="1" x14ac:dyDescent="0.25">
      <c r="A600" s="292" t="s">
        <v>63</v>
      </c>
      <c r="B600" s="293">
        <v>34245</v>
      </c>
      <c r="C600" s="293"/>
      <c r="D600" s="299">
        <v>30795</v>
      </c>
      <c r="E600" s="299"/>
      <c r="F600" s="293">
        <v>5425</v>
      </c>
      <c r="G600" s="293"/>
      <c r="H600" s="293">
        <f t="shared" si="65"/>
        <v>17193</v>
      </c>
      <c r="I600" s="293"/>
      <c r="J600" s="293">
        <v>1440</v>
      </c>
      <c r="K600" s="293">
        <v>1962</v>
      </c>
      <c r="L600" s="293">
        <v>1435</v>
      </c>
      <c r="M600" s="293">
        <v>12356</v>
      </c>
      <c r="N600" s="293">
        <v>6712</v>
      </c>
      <c r="O600" s="293"/>
      <c r="P600" s="293">
        <v>841</v>
      </c>
      <c r="Q600" s="293">
        <v>3450</v>
      </c>
    </row>
    <row r="601" spans="1:17" s="292" customFormat="1" ht="9" customHeight="1" x14ac:dyDescent="0.25">
      <c r="A601" s="292" t="s">
        <v>31</v>
      </c>
      <c r="B601" s="293">
        <v>3225</v>
      </c>
      <c r="C601" s="293"/>
      <c r="D601" s="299">
        <v>2954</v>
      </c>
      <c r="E601" s="299"/>
      <c r="F601" s="293">
        <v>1009</v>
      </c>
      <c r="G601" s="293"/>
      <c r="H601" s="293">
        <f t="shared" si="65"/>
        <v>1329</v>
      </c>
      <c r="I601" s="293"/>
      <c r="J601" s="293">
        <v>149</v>
      </c>
      <c r="K601" s="293">
        <v>175</v>
      </c>
      <c r="L601" s="293">
        <v>168</v>
      </c>
      <c r="M601" s="293">
        <v>837</v>
      </c>
      <c r="N601" s="293">
        <v>457</v>
      </c>
      <c r="O601" s="293"/>
      <c r="P601" s="293">
        <v>137</v>
      </c>
      <c r="Q601" s="293">
        <v>271</v>
      </c>
    </row>
    <row r="602" spans="1:17" s="292" customFormat="1" ht="9" customHeight="1" x14ac:dyDescent="0.25">
      <c r="A602" s="292" t="s">
        <v>32</v>
      </c>
      <c r="B602" s="293">
        <v>8062</v>
      </c>
      <c r="C602" s="293"/>
      <c r="D602" s="299">
        <v>7236</v>
      </c>
      <c r="E602" s="299"/>
      <c r="F602" s="293">
        <v>2727</v>
      </c>
      <c r="G602" s="293"/>
      <c r="H602" s="293">
        <f t="shared" si="65"/>
        <v>2967</v>
      </c>
      <c r="I602" s="293"/>
      <c r="J602" s="293">
        <v>391</v>
      </c>
      <c r="K602" s="293">
        <v>371</v>
      </c>
      <c r="L602" s="293">
        <v>343</v>
      </c>
      <c r="M602" s="293">
        <v>1862</v>
      </c>
      <c r="N602" s="293">
        <v>1080</v>
      </c>
      <c r="O602" s="293"/>
      <c r="P602" s="293">
        <v>378</v>
      </c>
      <c r="Q602" s="293">
        <v>826</v>
      </c>
    </row>
    <row r="603" spans="1:17" s="292" customFormat="1" ht="9" customHeight="1" x14ac:dyDescent="0.25">
      <c r="A603" s="300" t="s">
        <v>33</v>
      </c>
      <c r="B603" s="301">
        <v>4975</v>
      </c>
      <c r="C603" s="301"/>
      <c r="D603" s="302">
        <v>4628</v>
      </c>
      <c r="E603" s="302"/>
      <c r="F603" s="301">
        <v>2025</v>
      </c>
      <c r="G603" s="301"/>
      <c r="H603" s="301">
        <f t="shared" si="65"/>
        <v>1786</v>
      </c>
      <c r="I603" s="301"/>
      <c r="J603" s="301">
        <v>226</v>
      </c>
      <c r="K603" s="301">
        <v>201</v>
      </c>
      <c r="L603" s="301">
        <v>282</v>
      </c>
      <c r="M603" s="301">
        <v>1077</v>
      </c>
      <c r="N603" s="301">
        <v>437</v>
      </c>
      <c r="O603" s="301"/>
      <c r="P603" s="301">
        <v>383</v>
      </c>
      <c r="Q603" s="301">
        <v>347</v>
      </c>
    </row>
    <row r="604" spans="1:17" s="292" customFormat="1" ht="9" customHeight="1" x14ac:dyDescent="0.25">
      <c r="A604" s="292" t="s">
        <v>34</v>
      </c>
      <c r="B604" s="293">
        <v>4258</v>
      </c>
      <c r="C604" s="293"/>
      <c r="D604" s="299">
        <v>3803</v>
      </c>
      <c r="E604" s="299"/>
      <c r="F604" s="293">
        <v>1587</v>
      </c>
      <c r="G604" s="293"/>
      <c r="H604" s="293">
        <f t="shared" si="65"/>
        <v>1475</v>
      </c>
      <c r="I604" s="293"/>
      <c r="J604" s="293">
        <v>106</v>
      </c>
      <c r="K604" s="293">
        <v>180</v>
      </c>
      <c r="L604" s="293">
        <v>153</v>
      </c>
      <c r="M604" s="293">
        <v>1036</v>
      </c>
      <c r="N604" s="293">
        <v>355</v>
      </c>
      <c r="O604" s="293"/>
      <c r="P604" s="293">
        <v>391</v>
      </c>
      <c r="Q604" s="293">
        <v>455</v>
      </c>
    </row>
    <row r="605" spans="1:17" s="292" customFormat="1" ht="9" customHeight="1" x14ac:dyDescent="0.25">
      <c r="A605" s="292" t="s">
        <v>35</v>
      </c>
      <c r="B605" s="293">
        <v>12706</v>
      </c>
      <c r="C605" s="293"/>
      <c r="D605" s="299">
        <v>11473</v>
      </c>
      <c r="E605" s="299"/>
      <c r="F605" s="293">
        <v>2979</v>
      </c>
      <c r="G605" s="293"/>
      <c r="H605" s="293">
        <f t="shared" si="65"/>
        <v>5226</v>
      </c>
      <c r="I605" s="293"/>
      <c r="J605" s="293">
        <v>634</v>
      </c>
      <c r="K605" s="293">
        <v>600</v>
      </c>
      <c r="L605" s="293">
        <v>485</v>
      </c>
      <c r="M605" s="293">
        <v>3507</v>
      </c>
      <c r="N605" s="293">
        <v>2435</v>
      </c>
      <c r="O605" s="293"/>
      <c r="P605" s="293">
        <v>628</v>
      </c>
      <c r="Q605" s="293">
        <v>1233</v>
      </c>
    </row>
    <row r="606" spans="1:17" s="292" customFormat="1" ht="9" customHeight="1" x14ac:dyDescent="0.25">
      <c r="A606" s="292" t="s">
        <v>36</v>
      </c>
      <c r="B606" s="293">
        <v>18732</v>
      </c>
      <c r="C606" s="293"/>
      <c r="D606" s="299">
        <v>16825</v>
      </c>
      <c r="E606" s="299"/>
      <c r="F606" s="293">
        <v>5488</v>
      </c>
      <c r="G606" s="293"/>
      <c r="H606" s="293">
        <f t="shared" si="65"/>
        <v>8287</v>
      </c>
      <c r="I606" s="293"/>
      <c r="J606" s="293">
        <v>905</v>
      </c>
      <c r="K606" s="293">
        <v>1089</v>
      </c>
      <c r="L606" s="293">
        <v>1100</v>
      </c>
      <c r="M606" s="293">
        <v>5193</v>
      </c>
      <c r="N606" s="293">
        <v>2083</v>
      </c>
      <c r="O606" s="293"/>
      <c r="P606" s="293">
        <v>789</v>
      </c>
      <c r="Q606" s="293">
        <v>1907</v>
      </c>
    </row>
    <row r="607" spans="1:17" s="292" customFormat="1" ht="9" customHeight="1" x14ac:dyDescent="0.25">
      <c r="A607" s="300" t="s">
        <v>37</v>
      </c>
      <c r="B607" s="301">
        <v>7040</v>
      </c>
      <c r="C607" s="301"/>
      <c r="D607" s="302">
        <v>6451</v>
      </c>
      <c r="E607" s="302"/>
      <c r="F607" s="301">
        <v>2217</v>
      </c>
      <c r="G607" s="301"/>
      <c r="H607" s="301">
        <f t="shared" si="65"/>
        <v>2765</v>
      </c>
      <c r="I607" s="301"/>
      <c r="J607" s="301">
        <v>283</v>
      </c>
      <c r="K607" s="301">
        <v>221</v>
      </c>
      <c r="L607" s="301">
        <v>583</v>
      </c>
      <c r="M607" s="301">
        <v>1678</v>
      </c>
      <c r="N607" s="301">
        <v>821</v>
      </c>
      <c r="O607" s="301"/>
      <c r="P607" s="301">
        <v>661</v>
      </c>
      <c r="Q607" s="301">
        <v>589</v>
      </c>
    </row>
    <row r="608" spans="1:17" s="292" customFormat="1" ht="9" customHeight="1" x14ac:dyDescent="0.25">
      <c r="A608" s="292" t="s">
        <v>38</v>
      </c>
      <c r="B608" s="293">
        <v>2939</v>
      </c>
      <c r="C608" s="293"/>
      <c r="D608" s="299">
        <v>2673</v>
      </c>
      <c r="E608" s="299"/>
      <c r="F608" s="293">
        <v>870</v>
      </c>
      <c r="G608" s="293"/>
      <c r="H608" s="293">
        <f t="shared" si="65"/>
        <v>1417</v>
      </c>
      <c r="I608" s="293"/>
      <c r="J608" s="293">
        <v>192</v>
      </c>
      <c r="K608" s="293">
        <v>183</v>
      </c>
      <c r="L608" s="293">
        <v>160</v>
      </c>
      <c r="M608" s="293">
        <v>882</v>
      </c>
      <c r="N608" s="293">
        <v>174</v>
      </c>
      <c r="O608" s="293"/>
      <c r="P608" s="293">
        <v>212</v>
      </c>
      <c r="Q608" s="293">
        <v>266</v>
      </c>
    </row>
    <row r="609" spans="1:17" s="292" customFormat="1" ht="9" customHeight="1" x14ac:dyDescent="0.25">
      <c r="A609" s="292" t="s">
        <v>39</v>
      </c>
      <c r="B609" s="293">
        <v>2404</v>
      </c>
      <c r="C609" s="293"/>
      <c r="D609" s="299">
        <v>2225</v>
      </c>
      <c r="E609" s="299"/>
      <c r="F609" s="293">
        <v>816</v>
      </c>
      <c r="G609" s="293"/>
      <c r="H609" s="293">
        <f t="shared" si="65"/>
        <v>857</v>
      </c>
      <c r="I609" s="293"/>
      <c r="J609" s="293">
        <v>90</v>
      </c>
      <c r="K609" s="293">
        <v>90</v>
      </c>
      <c r="L609" s="293">
        <v>125</v>
      </c>
      <c r="M609" s="293">
        <v>552</v>
      </c>
      <c r="N609" s="293">
        <v>339</v>
      </c>
      <c r="O609" s="293"/>
      <c r="P609" s="293">
        <v>199</v>
      </c>
      <c r="Q609" s="293">
        <v>179</v>
      </c>
    </row>
    <row r="610" spans="1:17" s="292" customFormat="1" ht="9" customHeight="1" x14ac:dyDescent="0.25">
      <c r="A610" s="292" t="s">
        <v>40</v>
      </c>
      <c r="B610" s="293">
        <v>7411</v>
      </c>
      <c r="C610" s="293"/>
      <c r="D610" s="299">
        <v>6565</v>
      </c>
      <c r="E610" s="299"/>
      <c r="F610" s="293">
        <v>1710</v>
      </c>
      <c r="G610" s="293"/>
      <c r="H610" s="293">
        <f t="shared" si="65"/>
        <v>3226</v>
      </c>
      <c r="I610" s="293"/>
      <c r="J610" s="293">
        <v>381</v>
      </c>
      <c r="K610" s="293">
        <v>349</v>
      </c>
      <c r="L610" s="293">
        <v>260</v>
      </c>
      <c r="M610" s="293">
        <v>2236</v>
      </c>
      <c r="N610" s="293">
        <v>1166</v>
      </c>
      <c r="O610" s="293"/>
      <c r="P610" s="293">
        <v>360</v>
      </c>
      <c r="Q610" s="293">
        <v>846</v>
      </c>
    </row>
    <row r="611" spans="1:17" s="292" customFormat="1" ht="9" customHeight="1" x14ac:dyDescent="0.25">
      <c r="A611" s="300" t="s">
        <v>41</v>
      </c>
      <c r="B611" s="301">
        <v>5837</v>
      </c>
      <c r="C611" s="301"/>
      <c r="D611" s="302">
        <v>5441</v>
      </c>
      <c r="E611" s="302"/>
      <c r="F611" s="301">
        <v>2593</v>
      </c>
      <c r="G611" s="301"/>
      <c r="H611" s="301">
        <f t="shared" si="65"/>
        <v>1770</v>
      </c>
      <c r="I611" s="301"/>
      <c r="J611" s="301">
        <v>174</v>
      </c>
      <c r="K611" s="301">
        <v>195</v>
      </c>
      <c r="L611" s="301">
        <v>372</v>
      </c>
      <c r="M611" s="301">
        <v>1029</v>
      </c>
      <c r="N611" s="301">
        <v>572</v>
      </c>
      <c r="O611" s="301"/>
      <c r="P611" s="301">
        <v>517</v>
      </c>
      <c r="Q611" s="301">
        <v>396</v>
      </c>
    </row>
    <row r="612" spans="1:17" s="292" customFormat="1" ht="9" customHeight="1" x14ac:dyDescent="0.25">
      <c r="A612" s="292" t="s">
        <v>42</v>
      </c>
      <c r="B612" s="293">
        <v>8123</v>
      </c>
      <c r="C612" s="293"/>
      <c r="D612" s="299">
        <v>7473</v>
      </c>
      <c r="E612" s="299"/>
      <c r="F612" s="293">
        <v>2357</v>
      </c>
      <c r="G612" s="293"/>
      <c r="H612" s="293">
        <f t="shared" si="65"/>
        <v>3027</v>
      </c>
      <c r="I612" s="304"/>
      <c r="J612" s="293">
        <v>298</v>
      </c>
      <c r="K612" s="293">
        <v>398</v>
      </c>
      <c r="L612" s="293">
        <v>517</v>
      </c>
      <c r="M612" s="293">
        <v>1814</v>
      </c>
      <c r="N612" s="293">
        <v>1486</v>
      </c>
      <c r="O612" s="293"/>
      <c r="P612" s="293">
        <v>659</v>
      </c>
      <c r="Q612" s="293">
        <v>650</v>
      </c>
    </row>
    <row r="613" spans="1:17" s="292" customFormat="1" ht="9" customHeight="1" x14ac:dyDescent="0.25">
      <c r="A613" s="292" t="s">
        <v>43</v>
      </c>
      <c r="B613" s="293">
        <v>2835</v>
      </c>
      <c r="C613" s="293"/>
      <c r="D613" s="299">
        <v>2591</v>
      </c>
      <c r="E613" s="299"/>
      <c r="F613" s="293">
        <v>781</v>
      </c>
      <c r="G613" s="293"/>
      <c r="H613" s="293">
        <f t="shared" si="65"/>
        <v>1103</v>
      </c>
      <c r="I613" s="293"/>
      <c r="J613" s="293">
        <v>193</v>
      </c>
      <c r="K613" s="293">
        <v>175</v>
      </c>
      <c r="L613" s="293">
        <v>147</v>
      </c>
      <c r="M613" s="293">
        <v>588</v>
      </c>
      <c r="N613" s="293">
        <v>473</v>
      </c>
      <c r="O613" s="293"/>
      <c r="P613" s="293">
        <v>219</v>
      </c>
      <c r="Q613" s="293">
        <v>244</v>
      </c>
    </row>
    <row r="614" spans="1:17" s="292" customFormat="1" ht="9" customHeight="1" x14ac:dyDescent="0.25">
      <c r="A614" s="292" t="s">
        <v>44</v>
      </c>
      <c r="B614" s="293">
        <v>2298</v>
      </c>
      <c r="C614" s="293"/>
      <c r="D614" s="299">
        <v>2027</v>
      </c>
      <c r="E614" s="299"/>
      <c r="F614" s="293">
        <v>753</v>
      </c>
      <c r="G614" s="293"/>
      <c r="H614" s="293">
        <f t="shared" si="65"/>
        <v>1064</v>
      </c>
      <c r="I614" s="293"/>
      <c r="J614" s="293">
        <v>147</v>
      </c>
      <c r="K614" s="293">
        <v>144</v>
      </c>
      <c r="L614" s="293">
        <v>88</v>
      </c>
      <c r="M614" s="293">
        <v>685</v>
      </c>
      <c r="N614" s="293">
        <v>132</v>
      </c>
      <c r="O614" s="293"/>
      <c r="P614" s="293">
        <v>49</v>
      </c>
      <c r="Q614" s="293">
        <v>271</v>
      </c>
    </row>
    <row r="615" spans="1:17" s="292" customFormat="1" ht="9" customHeight="1" x14ac:dyDescent="0.25">
      <c r="A615" s="300" t="s">
        <v>45</v>
      </c>
      <c r="B615" s="301">
        <v>5301</v>
      </c>
      <c r="C615" s="301"/>
      <c r="D615" s="302">
        <v>4761</v>
      </c>
      <c r="E615" s="302"/>
      <c r="F615" s="301">
        <v>1147</v>
      </c>
      <c r="G615" s="301"/>
      <c r="H615" s="301">
        <f t="shared" si="65"/>
        <v>2080</v>
      </c>
      <c r="I615" s="301"/>
      <c r="J615" s="301">
        <v>188</v>
      </c>
      <c r="K615" s="301">
        <v>202</v>
      </c>
      <c r="L615" s="301">
        <v>83</v>
      </c>
      <c r="M615" s="301">
        <v>1607</v>
      </c>
      <c r="N615" s="301">
        <v>681</v>
      </c>
      <c r="O615" s="301"/>
      <c r="P615" s="301">
        <v>212</v>
      </c>
      <c r="Q615" s="301">
        <v>540</v>
      </c>
    </row>
    <row r="616" spans="1:17" s="292" customFormat="1" ht="9" customHeight="1" x14ac:dyDescent="0.25">
      <c r="A616" s="292" t="s">
        <v>46</v>
      </c>
      <c r="B616" s="293">
        <v>5301</v>
      </c>
      <c r="C616" s="293"/>
      <c r="D616" s="299">
        <v>4871</v>
      </c>
      <c r="E616" s="299"/>
      <c r="F616" s="293">
        <v>1648</v>
      </c>
      <c r="G616" s="293"/>
      <c r="H616" s="293">
        <f t="shared" si="65"/>
        <v>2366</v>
      </c>
      <c r="I616" s="293"/>
      <c r="J616" s="293">
        <v>273</v>
      </c>
      <c r="K616" s="293">
        <v>277</v>
      </c>
      <c r="L616" s="293">
        <v>305</v>
      </c>
      <c r="M616" s="293">
        <v>1511</v>
      </c>
      <c r="N616" s="293">
        <v>612</v>
      </c>
      <c r="O616" s="293"/>
      <c r="P616" s="293">
        <v>248</v>
      </c>
      <c r="Q616" s="293">
        <v>430</v>
      </c>
    </row>
    <row r="617" spans="1:17" s="292" customFormat="1" ht="9" customHeight="1" x14ac:dyDescent="0.25">
      <c r="A617" s="292" t="s">
        <v>47</v>
      </c>
      <c r="B617" s="293">
        <v>5412</v>
      </c>
      <c r="C617" s="293"/>
      <c r="D617" s="299">
        <v>4788</v>
      </c>
      <c r="E617" s="299"/>
      <c r="F617" s="293">
        <v>1508</v>
      </c>
      <c r="G617" s="293"/>
      <c r="H617" s="293">
        <f t="shared" si="65"/>
        <v>2124</v>
      </c>
      <c r="I617" s="293"/>
      <c r="J617" s="293">
        <v>256</v>
      </c>
      <c r="K617" s="293">
        <v>221</v>
      </c>
      <c r="L617" s="293">
        <v>211</v>
      </c>
      <c r="M617" s="293">
        <v>1436</v>
      </c>
      <c r="N617" s="293">
        <v>953</v>
      </c>
      <c r="O617" s="293"/>
      <c r="P617" s="293">
        <v>195</v>
      </c>
      <c r="Q617" s="293">
        <v>624</v>
      </c>
    </row>
    <row r="618" spans="1:17" s="292" customFormat="1" ht="9" customHeight="1" x14ac:dyDescent="0.25">
      <c r="A618" s="292" t="s">
        <v>48</v>
      </c>
      <c r="B618" s="293">
        <v>5035</v>
      </c>
      <c r="C618" s="293"/>
      <c r="D618" s="299">
        <v>4571</v>
      </c>
      <c r="E618" s="299"/>
      <c r="F618" s="293">
        <v>2075</v>
      </c>
      <c r="G618" s="293"/>
      <c r="H618" s="293">
        <f t="shared" si="65"/>
        <v>1894</v>
      </c>
      <c r="I618" s="304"/>
      <c r="J618" s="293">
        <v>182</v>
      </c>
      <c r="K618" s="293">
        <v>187</v>
      </c>
      <c r="L618" s="293">
        <v>376</v>
      </c>
      <c r="M618" s="293">
        <v>1149</v>
      </c>
      <c r="N618" s="293">
        <v>349</v>
      </c>
      <c r="O618" s="293"/>
      <c r="P618" s="293">
        <v>243</v>
      </c>
      <c r="Q618" s="293">
        <v>464</v>
      </c>
    </row>
    <row r="619" spans="1:17" s="292" customFormat="1" ht="9" customHeight="1" x14ac:dyDescent="0.25">
      <c r="A619" s="300" t="s">
        <v>49</v>
      </c>
      <c r="B619" s="301">
        <v>6479</v>
      </c>
      <c r="C619" s="301"/>
      <c r="D619" s="302">
        <v>5836</v>
      </c>
      <c r="E619" s="302"/>
      <c r="F619" s="301">
        <v>1770</v>
      </c>
      <c r="G619" s="301"/>
      <c r="H619" s="301">
        <f t="shared" si="65"/>
        <v>2684</v>
      </c>
      <c r="I619" s="301"/>
      <c r="J619" s="301">
        <v>338</v>
      </c>
      <c r="K619" s="301">
        <v>332</v>
      </c>
      <c r="L619" s="301">
        <v>300</v>
      </c>
      <c r="M619" s="301">
        <v>1714</v>
      </c>
      <c r="N619" s="301">
        <v>1006</v>
      </c>
      <c r="O619" s="301"/>
      <c r="P619" s="301">
        <v>335</v>
      </c>
      <c r="Q619" s="301">
        <v>643</v>
      </c>
    </row>
    <row r="620" spans="1:17" s="292" customFormat="1" ht="9" customHeight="1" x14ac:dyDescent="0.25">
      <c r="A620" s="292" t="s">
        <v>50</v>
      </c>
      <c r="B620" s="293">
        <v>2305</v>
      </c>
      <c r="C620" s="293"/>
      <c r="D620" s="299">
        <v>2143</v>
      </c>
      <c r="E620" s="299"/>
      <c r="F620" s="293">
        <v>871</v>
      </c>
      <c r="G620" s="293"/>
      <c r="H620" s="293">
        <f t="shared" si="65"/>
        <v>898</v>
      </c>
      <c r="I620" s="293"/>
      <c r="J620" s="293">
        <v>128</v>
      </c>
      <c r="K620" s="293">
        <v>130</v>
      </c>
      <c r="L620" s="293">
        <v>156</v>
      </c>
      <c r="M620" s="293">
        <v>484</v>
      </c>
      <c r="N620" s="293">
        <v>219</v>
      </c>
      <c r="O620" s="293"/>
      <c r="P620" s="293">
        <v>156</v>
      </c>
      <c r="Q620" s="293">
        <v>162</v>
      </c>
    </row>
    <row r="621" spans="1:17" s="292" customFormat="1" ht="9" customHeight="1" x14ac:dyDescent="0.25">
      <c r="A621" s="292" t="s">
        <v>51</v>
      </c>
      <c r="B621" s="293">
        <v>12248</v>
      </c>
      <c r="C621" s="293"/>
      <c r="D621" s="299">
        <v>11162</v>
      </c>
      <c r="E621" s="299"/>
      <c r="F621" s="293">
        <v>4523</v>
      </c>
      <c r="G621" s="293"/>
      <c r="H621" s="293">
        <f t="shared" si="65"/>
        <v>4635</v>
      </c>
      <c r="I621" s="293"/>
      <c r="J621" s="293">
        <v>499</v>
      </c>
      <c r="K621" s="293">
        <v>490</v>
      </c>
      <c r="L621" s="293">
        <v>790</v>
      </c>
      <c r="M621" s="293">
        <v>2856</v>
      </c>
      <c r="N621" s="293">
        <v>1441</v>
      </c>
      <c r="O621" s="293"/>
      <c r="P621" s="293">
        <v>511</v>
      </c>
      <c r="Q621" s="293">
        <v>1086</v>
      </c>
    </row>
    <row r="622" spans="1:17" s="292" customFormat="1" ht="9" customHeight="1" x14ac:dyDescent="0.25">
      <c r="A622" s="292" t="s">
        <v>52</v>
      </c>
      <c r="B622" s="293">
        <v>3944</v>
      </c>
      <c r="C622" s="293"/>
      <c r="D622" s="299">
        <v>3519</v>
      </c>
      <c r="E622" s="299"/>
      <c r="F622" s="293">
        <v>935</v>
      </c>
      <c r="G622" s="293"/>
      <c r="H622" s="293">
        <f t="shared" si="65"/>
        <v>1499</v>
      </c>
      <c r="I622" s="293"/>
      <c r="J622" s="293">
        <v>144</v>
      </c>
      <c r="K622" s="293">
        <v>132</v>
      </c>
      <c r="L622" s="293">
        <v>169</v>
      </c>
      <c r="M622" s="293">
        <v>1054</v>
      </c>
      <c r="N622" s="293">
        <v>772</v>
      </c>
      <c r="O622" s="293"/>
      <c r="P622" s="293">
        <v>262</v>
      </c>
      <c r="Q622" s="293">
        <v>425</v>
      </c>
    </row>
    <row r="623" spans="1:17" s="292" customFormat="1" ht="9" customHeight="1" x14ac:dyDescent="0.25">
      <c r="A623" s="300" t="s">
        <v>53</v>
      </c>
      <c r="B623" s="301">
        <v>2717</v>
      </c>
      <c r="C623" s="301"/>
      <c r="D623" s="302">
        <v>2508</v>
      </c>
      <c r="E623" s="302"/>
      <c r="F623" s="301">
        <v>940</v>
      </c>
      <c r="G623" s="301"/>
      <c r="H623" s="301">
        <f t="shared" si="65"/>
        <v>930</v>
      </c>
      <c r="I623" s="301"/>
      <c r="J623" s="301">
        <v>54</v>
      </c>
      <c r="K623" s="301">
        <v>114</v>
      </c>
      <c r="L623" s="301">
        <v>115</v>
      </c>
      <c r="M623" s="301">
        <v>647</v>
      </c>
      <c r="N623" s="301">
        <v>403</v>
      </c>
      <c r="O623" s="301"/>
      <c r="P623" s="301">
        <v>230</v>
      </c>
      <c r="Q623" s="301">
        <v>209</v>
      </c>
    </row>
    <row r="624" spans="1:17" s="292" customFormat="1" ht="9" customHeight="1" x14ac:dyDescent="0.25">
      <c r="A624" s="296"/>
      <c r="B624" s="293"/>
      <c r="C624" s="293"/>
      <c r="D624" s="299"/>
      <c r="E624" s="299"/>
      <c r="F624" s="293"/>
      <c r="G624" s="293"/>
      <c r="H624" s="293"/>
      <c r="I624" s="293"/>
      <c r="J624" s="293"/>
      <c r="K624" s="293"/>
      <c r="L624" s="293"/>
      <c r="M624" s="293"/>
      <c r="N624" s="293"/>
      <c r="O624" s="293"/>
      <c r="P624" s="293"/>
      <c r="Q624" s="293"/>
    </row>
    <row r="625" spans="1:17" s="292" customFormat="1" ht="9" customHeight="1" x14ac:dyDescent="0.25">
      <c r="A625" s="294">
        <v>2012</v>
      </c>
      <c r="B625" s="293"/>
      <c r="C625" s="293"/>
      <c r="D625" s="293"/>
      <c r="E625" s="293"/>
      <c r="F625" s="305"/>
      <c r="G625" s="306"/>
      <c r="H625" s="306"/>
      <c r="I625" s="306"/>
      <c r="J625" s="305"/>
      <c r="K625" s="305"/>
      <c r="L625" s="305"/>
      <c r="M625" s="306"/>
      <c r="N625" s="306"/>
      <c r="O625" s="306"/>
      <c r="P625" s="306"/>
      <c r="Q625" s="305"/>
    </row>
    <row r="626" spans="1:17" s="292" customFormat="1" ht="9" customHeight="1" x14ac:dyDescent="0.25">
      <c r="A626" s="296" t="s">
        <v>241</v>
      </c>
      <c r="B626" s="295">
        <f>SUM(B628:B659)</f>
        <v>203688</v>
      </c>
      <c r="C626" s="297"/>
      <c r="D626" s="295">
        <f>SUM(D628:D659)</f>
        <v>183889</v>
      </c>
      <c r="E626" s="297"/>
      <c r="F626" s="295">
        <f>SUM(F628:F659)</f>
        <v>58927</v>
      </c>
      <c r="G626" s="295"/>
      <c r="H626" s="295">
        <f>SUM(H628:H659)</f>
        <v>84792</v>
      </c>
      <c r="I626" s="295"/>
      <c r="J626" s="295">
        <f>SUM(J628:J659)</f>
        <v>9694</v>
      </c>
      <c r="K626" s="295">
        <f t="shared" ref="K626:Q626" si="66">SUM(K628:K659)</f>
        <v>10003</v>
      </c>
      <c r="L626" s="295">
        <f t="shared" si="66"/>
        <v>10279</v>
      </c>
      <c r="M626" s="295">
        <f t="shared" si="66"/>
        <v>54817</v>
      </c>
      <c r="N626" s="295">
        <f t="shared" si="66"/>
        <v>29851</v>
      </c>
      <c r="O626" s="295"/>
      <c r="P626" s="295">
        <f t="shared" si="66"/>
        <v>10321</v>
      </c>
      <c r="Q626" s="295">
        <f t="shared" si="66"/>
        <v>19799</v>
      </c>
    </row>
    <row r="627" spans="1:17" s="292" customFormat="1" ht="3.95" customHeight="1" x14ac:dyDescent="0.25">
      <c r="A627" s="296"/>
      <c r="B627" s="295"/>
      <c r="C627" s="295"/>
      <c r="D627" s="298"/>
      <c r="E627" s="298"/>
      <c r="F627" s="295"/>
      <c r="G627" s="295"/>
      <c r="H627" s="295"/>
      <c r="I627" s="295"/>
      <c r="J627" s="295"/>
      <c r="K627" s="295"/>
      <c r="L627" s="295"/>
      <c r="M627" s="295"/>
      <c r="N627" s="295"/>
      <c r="O627" s="295"/>
      <c r="P627" s="295"/>
      <c r="Q627" s="295"/>
    </row>
    <row r="628" spans="1:17" s="292" customFormat="1" ht="9" customHeight="1" x14ac:dyDescent="0.25">
      <c r="A628" s="292" t="s">
        <v>23</v>
      </c>
      <c r="B628" s="293">
        <f t="shared" ref="B628:B659" si="67">SUM(D628+Q628)</f>
        <v>2543</v>
      </c>
      <c r="C628" s="293"/>
      <c r="D628" s="299">
        <f>SUM(F628+H628+P628+N628)</f>
        <v>2259</v>
      </c>
      <c r="E628" s="299"/>
      <c r="F628" s="293">
        <v>660</v>
      </c>
      <c r="G628" s="293"/>
      <c r="H628" s="293">
        <f>SUM(J628:M628)</f>
        <v>1197</v>
      </c>
      <c r="I628" s="293"/>
      <c r="J628" s="293">
        <v>119</v>
      </c>
      <c r="K628" s="293">
        <v>172</v>
      </c>
      <c r="L628" s="293">
        <v>115</v>
      </c>
      <c r="M628" s="293">
        <v>791</v>
      </c>
      <c r="N628" s="293">
        <v>331</v>
      </c>
      <c r="O628" s="293"/>
      <c r="P628" s="293">
        <v>71</v>
      </c>
      <c r="Q628" s="293">
        <v>284</v>
      </c>
    </row>
    <row r="629" spans="1:17" s="292" customFormat="1" ht="9" customHeight="1" x14ac:dyDescent="0.25">
      <c r="A629" s="292" t="s">
        <v>24</v>
      </c>
      <c r="B629" s="293">
        <f t="shared" si="67"/>
        <v>5252</v>
      </c>
      <c r="C629" s="293"/>
      <c r="D629" s="299">
        <f t="shared" ref="D629:D659" si="68">SUM(F629+H629+P629+N629)</f>
        <v>4653</v>
      </c>
      <c r="E629" s="299"/>
      <c r="F629" s="293">
        <v>1257</v>
      </c>
      <c r="G629" s="293"/>
      <c r="H629" s="293">
        <f t="shared" ref="H629:H659" si="69">SUM(J629:M629)</f>
        <v>2410</v>
      </c>
      <c r="I629" s="293"/>
      <c r="J629" s="293">
        <v>309</v>
      </c>
      <c r="K629" s="293">
        <v>317</v>
      </c>
      <c r="L629" s="293">
        <v>219</v>
      </c>
      <c r="M629" s="293">
        <v>1565</v>
      </c>
      <c r="N629" s="293">
        <v>820</v>
      </c>
      <c r="O629" s="293"/>
      <c r="P629" s="293">
        <v>166</v>
      </c>
      <c r="Q629" s="293">
        <v>599</v>
      </c>
    </row>
    <row r="630" spans="1:17" s="292" customFormat="1" ht="9" customHeight="1" x14ac:dyDescent="0.25">
      <c r="A630" s="292" t="s">
        <v>25</v>
      </c>
      <c r="B630" s="293">
        <f t="shared" si="67"/>
        <v>1658</v>
      </c>
      <c r="C630" s="293"/>
      <c r="D630" s="299">
        <f t="shared" si="68"/>
        <v>1478</v>
      </c>
      <c r="E630" s="299"/>
      <c r="F630" s="293">
        <v>566</v>
      </c>
      <c r="G630" s="293"/>
      <c r="H630" s="293">
        <f t="shared" si="69"/>
        <v>725</v>
      </c>
      <c r="I630" s="293"/>
      <c r="J630" s="293">
        <v>99</v>
      </c>
      <c r="K630" s="293">
        <v>84</v>
      </c>
      <c r="L630" s="293">
        <v>65</v>
      </c>
      <c r="M630" s="293">
        <v>477</v>
      </c>
      <c r="N630" s="293">
        <v>102</v>
      </c>
      <c r="O630" s="293"/>
      <c r="P630" s="293">
        <v>85</v>
      </c>
      <c r="Q630" s="293">
        <v>180</v>
      </c>
    </row>
    <row r="631" spans="1:17" s="292" customFormat="1" ht="9" customHeight="1" x14ac:dyDescent="0.25">
      <c r="A631" s="300" t="s">
        <v>26</v>
      </c>
      <c r="B631" s="301">
        <f t="shared" si="67"/>
        <v>2017</v>
      </c>
      <c r="C631" s="301"/>
      <c r="D631" s="302">
        <f t="shared" si="68"/>
        <v>1829</v>
      </c>
      <c r="E631" s="302"/>
      <c r="F631" s="301">
        <v>755</v>
      </c>
      <c r="G631" s="301"/>
      <c r="H631" s="301">
        <f t="shared" si="69"/>
        <v>745</v>
      </c>
      <c r="I631" s="301"/>
      <c r="J631" s="301">
        <v>102</v>
      </c>
      <c r="K631" s="301">
        <v>88</v>
      </c>
      <c r="L631" s="301">
        <v>86</v>
      </c>
      <c r="M631" s="301">
        <v>469</v>
      </c>
      <c r="N631" s="301">
        <v>244</v>
      </c>
      <c r="O631" s="301"/>
      <c r="P631" s="301">
        <v>85</v>
      </c>
      <c r="Q631" s="301">
        <v>188</v>
      </c>
    </row>
    <row r="632" spans="1:17" s="292" customFormat="1" ht="9" customHeight="1" x14ac:dyDescent="0.25">
      <c r="A632" s="292" t="s">
        <v>27</v>
      </c>
      <c r="B632" s="293">
        <f t="shared" si="67"/>
        <v>5002</v>
      </c>
      <c r="C632" s="293"/>
      <c r="D632" s="299">
        <f t="shared" si="68"/>
        <v>4446</v>
      </c>
      <c r="E632" s="299"/>
      <c r="F632" s="293">
        <v>1277</v>
      </c>
      <c r="G632" s="293"/>
      <c r="H632" s="293">
        <f t="shared" si="69"/>
        <v>2428</v>
      </c>
      <c r="I632" s="303"/>
      <c r="J632" s="293">
        <v>293</v>
      </c>
      <c r="K632" s="293">
        <v>295</v>
      </c>
      <c r="L632" s="293">
        <v>190</v>
      </c>
      <c r="M632" s="293">
        <v>1650</v>
      </c>
      <c r="N632" s="293">
        <v>556</v>
      </c>
      <c r="O632" s="293"/>
      <c r="P632" s="293">
        <v>185</v>
      </c>
      <c r="Q632" s="293">
        <v>556</v>
      </c>
    </row>
    <row r="633" spans="1:17" s="292" customFormat="1" ht="9" customHeight="1" x14ac:dyDescent="0.25">
      <c r="A633" s="292" t="s">
        <v>28</v>
      </c>
      <c r="B633" s="293">
        <f t="shared" si="67"/>
        <v>1627</v>
      </c>
      <c r="C633" s="293"/>
      <c r="D633" s="299">
        <f t="shared" si="68"/>
        <v>1452</v>
      </c>
      <c r="E633" s="299"/>
      <c r="F633" s="293">
        <v>436</v>
      </c>
      <c r="G633" s="293"/>
      <c r="H633" s="293">
        <f t="shared" si="69"/>
        <v>706</v>
      </c>
      <c r="I633" s="293"/>
      <c r="J633" s="293">
        <v>89</v>
      </c>
      <c r="K633" s="293">
        <v>82</v>
      </c>
      <c r="L633" s="293">
        <v>76</v>
      </c>
      <c r="M633" s="293">
        <v>459</v>
      </c>
      <c r="N633" s="293">
        <v>193</v>
      </c>
      <c r="O633" s="293"/>
      <c r="P633" s="293">
        <v>117</v>
      </c>
      <c r="Q633" s="293">
        <v>175</v>
      </c>
    </row>
    <row r="634" spans="1:17" s="292" customFormat="1" ht="9.6" customHeight="1" x14ac:dyDescent="0.25">
      <c r="A634" s="292" t="s">
        <v>29</v>
      </c>
      <c r="B634" s="293">
        <f t="shared" si="67"/>
        <v>5918</v>
      </c>
      <c r="C634" s="293"/>
      <c r="D634" s="299">
        <f>SUM(F634+H634+P634+N634)-2</f>
        <v>5498</v>
      </c>
      <c r="E634" s="299"/>
      <c r="F634" s="293">
        <v>2808</v>
      </c>
      <c r="G634" s="293"/>
      <c r="H634" s="293">
        <f t="shared" si="69"/>
        <v>1961</v>
      </c>
      <c r="J634" s="293">
        <v>191</v>
      </c>
      <c r="K634" s="293">
        <v>252</v>
      </c>
      <c r="L634" s="293">
        <v>325</v>
      </c>
      <c r="M634" s="293">
        <v>1193</v>
      </c>
      <c r="N634" s="293">
        <v>402</v>
      </c>
      <c r="O634" s="293"/>
      <c r="P634" s="293">
        <v>329</v>
      </c>
      <c r="Q634" s="293">
        <v>420</v>
      </c>
    </row>
    <row r="635" spans="1:17" s="292" customFormat="1" ht="9" customHeight="1" x14ac:dyDescent="0.25">
      <c r="A635" s="300" t="s">
        <v>30</v>
      </c>
      <c r="B635" s="301">
        <f t="shared" si="67"/>
        <v>5392</v>
      </c>
      <c r="C635" s="301"/>
      <c r="D635" s="302">
        <f t="shared" si="68"/>
        <v>4831</v>
      </c>
      <c r="E635" s="302"/>
      <c r="F635" s="301">
        <v>1683</v>
      </c>
      <c r="G635" s="301"/>
      <c r="H635" s="301">
        <f t="shared" si="69"/>
        <v>2267</v>
      </c>
      <c r="I635" s="301"/>
      <c r="J635" s="301">
        <v>276</v>
      </c>
      <c r="K635" s="301">
        <v>296</v>
      </c>
      <c r="L635" s="301">
        <v>221</v>
      </c>
      <c r="M635" s="301">
        <v>1474</v>
      </c>
      <c r="N635" s="301">
        <v>611</v>
      </c>
      <c r="O635" s="301"/>
      <c r="P635" s="301">
        <v>270</v>
      </c>
      <c r="Q635" s="301">
        <v>561</v>
      </c>
    </row>
    <row r="636" spans="1:17" s="292" customFormat="1" ht="9" customHeight="1" x14ac:dyDescent="0.25">
      <c r="A636" s="292" t="s">
        <v>63</v>
      </c>
      <c r="B636" s="293">
        <f t="shared" si="67"/>
        <v>34089</v>
      </c>
      <c r="C636" s="293"/>
      <c r="D636" s="299">
        <f t="shared" si="68"/>
        <v>30330</v>
      </c>
      <c r="E636" s="299"/>
      <c r="F636" s="293">
        <v>5558</v>
      </c>
      <c r="G636" s="293"/>
      <c r="H636" s="293">
        <f t="shared" si="69"/>
        <v>17065</v>
      </c>
      <c r="I636" s="293"/>
      <c r="J636" s="293">
        <v>1454</v>
      </c>
      <c r="K636" s="293">
        <v>1844</v>
      </c>
      <c r="L636" s="293">
        <v>1352</v>
      </c>
      <c r="M636" s="293">
        <v>12415</v>
      </c>
      <c r="N636" s="293">
        <v>6791</v>
      </c>
      <c r="O636" s="293"/>
      <c r="P636" s="293">
        <v>916</v>
      </c>
      <c r="Q636" s="293">
        <v>3759</v>
      </c>
    </row>
    <row r="637" spans="1:17" s="292" customFormat="1" ht="9" customHeight="1" x14ac:dyDescent="0.25">
      <c r="A637" s="292" t="s">
        <v>31</v>
      </c>
      <c r="B637" s="293">
        <f t="shared" si="67"/>
        <v>3436</v>
      </c>
      <c r="C637" s="293"/>
      <c r="D637" s="299">
        <f t="shared" si="68"/>
        <v>3159</v>
      </c>
      <c r="E637" s="299"/>
      <c r="F637" s="293">
        <v>1028</v>
      </c>
      <c r="G637" s="293"/>
      <c r="H637" s="293">
        <f t="shared" si="69"/>
        <v>1400</v>
      </c>
      <c r="I637" s="293"/>
      <c r="J637" s="293">
        <v>142</v>
      </c>
      <c r="K637" s="293">
        <v>198</v>
      </c>
      <c r="L637" s="293">
        <v>181</v>
      </c>
      <c r="M637" s="293">
        <v>879</v>
      </c>
      <c r="N637" s="293">
        <v>572</v>
      </c>
      <c r="O637" s="293"/>
      <c r="P637" s="293">
        <v>159</v>
      </c>
      <c r="Q637" s="293">
        <v>277</v>
      </c>
    </row>
    <row r="638" spans="1:17" s="292" customFormat="1" ht="9" customHeight="1" x14ac:dyDescent="0.25">
      <c r="A638" s="292" t="s">
        <v>32</v>
      </c>
      <c r="B638" s="293">
        <f t="shared" si="67"/>
        <v>8169</v>
      </c>
      <c r="C638" s="293"/>
      <c r="D638" s="299">
        <f t="shared" si="68"/>
        <v>7315</v>
      </c>
      <c r="E638" s="299"/>
      <c r="F638" s="293">
        <v>2583</v>
      </c>
      <c r="G638" s="293"/>
      <c r="H638" s="293">
        <f t="shared" si="69"/>
        <v>3156</v>
      </c>
      <c r="I638" s="293"/>
      <c r="J638" s="293">
        <v>395</v>
      </c>
      <c r="K638" s="293">
        <v>397</v>
      </c>
      <c r="L638" s="293">
        <v>369</v>
      </c>
      <c r="M638" s="293">
        <v>1995</v>
      </c>
      <c r="N638" s="293">
        <v>1164</v>
      </c>
      <c r="O638" s="293"/>
      <c r="P638" s="293">
        <v>412</v>
      </c>
      <c r="Q638" s="293">
        <v>854</v>
      </c>
    </row>
    <row r="639" spans="1:17" s="292" customFormat="1" ht="9" customHeight="1" x14ac:dyDescent="0.25">
      <c r="A639" s="300" t="s">
        <v>33</v>
      </c>
      <c r="B639" s="301">
        <f t="shared" si="67"/>
        <v>5060</v>
      </c>
      <c r="C639" s="301"/>
      <c r="D639" s="302">
        <f t="shared" si="68"/>
        <v>4712</v>
      </c>
      <c r="E639" s="302"/>
      <c r="F639" s="301">
        <v>2105</v>
      </c>
      <c r="G639" s="301"/>
      <c r="H639" s="301">
        <f t="shared" si="69"/>
        <v>1815</v>
      </c>
      <c r="I639" s="301"/>
      <c r="J639" s="301">
        <v>230</v>
      </c>
      <c r="K639" s="301">
        <v>203</v>
      </c>
      <c r="L639" s="301">
        <v>292</v>
      </c>
      <c r="M639" s="301">
        <v>1090</v>
      </c>
      <c r="N639" s="301">
        <v>477</v>
      </c>
      <c r="O639" s="301"/>
      <c r="P639" s="301">
        <v>315</v>
      </c>
      <c r="Q639" s="301">
        <v>348</v>
      </c>
    </row>
    <row r="640" spans="1:17" s="292" customFormat="1" ht="9" customHeight="1" x14ac:dyDescent="0.25">
      <c r="A640" s="292" t="s">
        <v>34</v>
      </c>
      <c r="B640" s="293">
        <f t="shared" si="67"/>
        <v>4455</v>
      </c>
      <c r="C640" s="293"/>
      <c r="D640" s="299">
        <f t="shared" si="68"/>
        <v>4015</v>
      </c>
      <c r="E640" s="299"/>
      <c r="F640" s="293">
        <v>1664</v>
      </c>
      <c r="G640" s="293"/>
      <c r="H640" s="293">
        <f t="shared" si="69"/>
        <v>1534</v>
      </c>
      <c r="I640" s="293"/>
      <c r="J640" s="293">
        <v>188</v>
      </c>
      <c r="K640" s="293">
        <v>170</v>
      </c>
      <c r="L640" s="293">
        <v>313</v>
      </c>
      <c r="M640" s="293">
        <v>863</v>
      </c>
      <c r="N640" s="293">
        <v>359</v>
      </c>
      <c r="O640" s="293"/>
      <c r="P640" s="293">
        <v>458</v>
      </c>
      <c r="Q640" s="293">
        <v>440</v>
      </c>
    </row>
    <row r="641" spans="1:17" s="292" customFormat="1" ht="9" customHeight="1" x14ac:dyDescent="0.25">
      <c r="A641" s="292" t="s">
        <v>35</v>
      </c>
      <c r="B641" s="293">
        <f t="shared" si="67"/>
        <v>13207</v>
      </c>
      <c r="C641" s="293"/>
      <c r="D641" s="299">
        <f t="shared" si="68"/>
        <v>11908</v>
      </c>
      <c r="E641" s="299"/>
      <c r="F641" s="293">
        <v>3041</v>
      </c>
      <c r="G641" s="293"/>
      <c r="H641" s="293">
        <f t="shared" si="69"/>
        <v>5386</v>
      </c>
      <c r="I641" s="293"/>
      <c r="J641" s="293">
        <v>657</v>
      </c>
      <c r="K641" s="293">
        <v>627</v>
      </c>
      <c r="L641" s="293">
        <v>502</v>
      </c>
      <c r="M641" s="293">
        <v>3600</v>
      </c>
      <c r="N641" s="293">
        <v>2858</v>
      </c>
      <c r="O641" s="293"/>
      <c r="P641" s="293">
        <v>623</v>
      </c>
      <c r="Q641" s="293">
        <v>1299</v>
      </c>
    </row>
    <row r="642" spans="1:17" s="292" customFormat="1" ht="9" customHeight="1" x14ac:dyDescent="0.25">
      <c r="A642" s="292" t="s">
        <v>36</v>
      </c>
      <c r="B642" s="293">
        <f t="shared" si="67"/>
        <v>19551</v>
      </c>
      <c r="C642" s="293"/>
      <c r="D642" s="299">
        <f t="shared" si="68"/>
        <v>17489</v>
      </c>
      <c r="E642" s="299"/>
      <c r="F642" s="293">
        <v>5678</v>
      </c>
      <c r="G642" s="293"/>
      <c r="H642" s="293">
        <f t="shared" si="69"/>
        <v>8808</v>
      </c>
      <c r="I642" s="293"/>
      <c r="J642" s="293">
        <v>1291</v>
      </c>
      <c r="K642" s="293">
        <v>1198</v>
      </c>
      <c r="L642" s="293">
        <v>1183</v>
      </c>
      <c r="M642" s="293">
        <v>5136</v>
      </c>
      <c r="N642" s="293">
        <v>2239</v>
      </c>
      <c r="O642" s="293"/>
      <c r="P642" s="293">
        <v>764</v>
      </c>
      <c r="Q642" s="293">
        <v>2062</v>
      </c>
    </row>
    <row r="643" spans="1:17" s="292" customFormat="1" ht="9" customHeight="1" x14ac:dyDescent="0.25">
      <c r="A643" s="300" t="s">
        <v>37</v>
      </c>
      <c r="B643" s="301">
        <f t="shared" si="67"/>
        <v>7166</v>
      </c>
      <c r="C643" s="301"/>
      <c r="D643" s="302">
        <f t="shared" si="68"/>
        <v>6618</v>
      </c>
      <c r="E643" s="302"/>
      <c r="F643" s="301">
        <v>2310</v>
      </c>
      <c r="G643" s="301"/>
      <c r="H643" s="301">
        <f t="shared" si="69"/>
        <v>2531</v>
      </c>
      <c r="I643" s="301"/>
      <c r="J643" s="301">
        <v>315</v>
      </c>
      <c r="K643" s="301">
        <v>236</v>
      </c>
      <c r="L643" s="301">
        <v>484</v>
      </c>
      <c r="M643" s="301">
        <v>1496</v>
      </c>
      <c r="N643" s="301">
        <v>1072</v>
      </c>
      <c r="O643" s="301"/>
      <c r="P643" s="301">
        <v>705</v>
      </c>
      <c r="Q643" s="301">
        <v>548</v>
      </c>
    </row>
    <row r="644" spans="1:17" s="292" customFormat="1" ht="9" customHeight="1" x14ac:dyDescent="0.25">
      <c r="A644" s="292" t="s">
        <v>38</v>
      </c>
      <c r="B644" s="293">
        <f t="shared" si="67"/>
        <v>3038</v>
      </c>
      <c r="C644" s="293"/>
      <c r="D644" s="299">
        <f t="shared" si="68"/>
        <v>2749</v>
      </c>
      <c r="E644" s="299"/>
      <c r="F644" s="293">
        <v>855</v>
      </c>
      <c r="G644" s="293"/>
      <c r="H644" s="293">
        <f t="shared" si="69"/>
        <v>1497</v>
      </c>
      <c r="I644" s="293"/>
      <c r="J644" s="293">
        <v>201</v>
      </c>
      <c r="K644" s="293">
        <v>184</v>
      </c>
      <c r="L644" s="293">
        <v>156</v>
      </c>
      <c r="M644" s="293">
        <v>956</v>
      </c>
      <c r="N644" s="293">
        <v>186</v>
      </c>
      <c r="O644" s="293"/>
      <c r="P644" s="293">
        <v>211</v>
      </c>
      <c r="Q644" s="293">
        <v>289</v>
      </c>
    </row>
    <row r="645" spans="1:17" s="292" customFormat="1" ht="9" customHeight="1" x14ac:dyDescent="0.25">
      <c r="A645" s="292" t="s">
        <v>39</v>
      </c>
      <c r="B645" s="293">
        <f t="shared" si="67"/>
        <v>2446</v>
      </c>
      <c r="C645" s="293"/>
      <c r="D645" s="299">
        <f t="shared" si="68"/>
        <v>2250</v>
      </c>
      <c r="E645" s="299"/>
      <c r="F645" s="293">
        <v>850</v>
      </c>
      <c r="G645" s="293"/>
      <c r="H645" s="293">
        <f t="shared" si="69"/>
        <v>921</v>
      </c>
      <c r="I645" s="293"/>
      <c r="J645" s="293">
        <v>95</v>
      </c>
      <c r="K645" s="293">
        <v>92</v>
      </c>
      <c r="L645" s="293">
        <v>132</v>
      </c>
      <c r="M645" s="293">
        <v>602</v>
      </c>
      <c r="N645" s="293">
        <v>294</v>
      </c>
      <c r="O645" s="293"/>
      <c r="P645" s="293">
        <v>185</v>
      </c>
      <c r="Q645" s="293">
        <v>196</v>
      </c>
    </row>
    <row r="646" spans="1:17" s="292" customFormat="1" ht="9" customHeight="1" x14ac:dyDescent="0.25">
      <c r="A646" s="292" t="s">
        <v>40</v>
      </c>
      <c r="B646" s="293">
        <f t="shared" si="67"/>
        <v>7064</v>
      </c>
      <c r="C646" s="293"/>
      <c r="D646" s="299">
        <f t="shared" si="68"/>
        <v>6220</v>
      </c>
      <c r="E646" s="299"/>
      <c r="F646" s="293">
        <v>1638</v>
      </c>
      <c r="G646" s="293"/>
      <c r="H646" s="293">
        <f t="shared" si="69"/>
        <v>2923</v>
      </c>
      <c r="I646" s="293"/>
      <c r="J646" s="293">
        <v>355</v>
      </c>
      <c r="K646" s="293">
        <v>318</v>
      </c>
      <c r="L646" s="293">
        <v>260</v>
      </c>
      <c r="M646" s="293">
        <v>1990</v>
      </c>
      <c r="N646" s="293">
        <v>1296</v>
      </c>
      <c r="O646" s="293"/>
      <c r="P646" s="293">
        <v>363</v>
      </c>
      <c r="Q646" s="293">
        <v>844</v>
      </c>
    </row>
    <row r="647" spans="1:17" s="292" customFormat="1" ht="9" customHeight="1" x14ac:dyDescent="0.25">
      <c r="A647" s="300" t="s">
        <v>41</v>
      </c>
      <c r="B647" s="301">
        <f t="shared" si="67"/>
        <v>6045</v>
      </c>
      <c r="C647" s="301"/>
      <c r="D647" s="302">
        <f t="shared" si="68"/>
        <v>5618</v>
      </c>
      <c r="E647" s="302"/>
      <c r="F647" s="301">
        <v>2699</v>
      </c>
      <c r="G647" s="301"/>
      <c r="H647" s="301">
        <f t="shared" si="69"/>
        <v>1839</v>
      </c>
      <c r="I647" s="301"/>
      <c r="J647" s="301">
        <v>185</v>
      </c>
      <c r="K647" s="301">
        <v>208</v>
      </c>
      <c r="L647" s="301">
        <v>369</v>
      </c>
      <c r="M647" s="301">
        <v>1077</v>
      </c>
      <c r="N647" s="301">
        <v>654</v>
      </c>
      <c r="O647" s="301"/>
      <c r="P647" s="301">
        <v>426</v>
      </c>
      <c r="Q647" s="301">
        <v>427</v>
      </c>
    </row>
    <row r="648" spans="1:17" s="292" customFormat="1" ht="9.6" customHeight="1" x14ac:dyDescent="0.25">
      <c r="A648" s="292" t="s">
        <v>42</v>
      </c>
      <c r="B648" s="293">
        <f t="shared" si="67"/>
        <v>8524</v>
      </c>
      <c r="C648" s="293"/>
      <c r="D648" s="299">
        <f t="shared" si="68"/>
        <v>7819</v>
      </c>
      <c r="E648" s="299"/>
      <c r="F648" s="293">
        <v>2449</v>
      </c>
      <c r="G648" s="293"/>
      <c r="H648" s="293">
        <f t="shared" si="69"/>
        <v>3109</v>
      </c>
      <c r="I648" s="304"/>
      <c r="J648" s="293">
        <v>291</v>
      </c>
      <c r="K648" s="293">
        <v>350</v>
      </c>
      <c r="L648" s="293">
        <v>535</v>
      </c>
      <c r="M648" s="293">
        <v>1933</v>
      </c>
      <c r="N648" s="293">
        <v>1566</v>
      </c>
      <c r="O648" s="293"/>
      <c r="P648" s="293">
        <v>695</v>
      </c>
      <c r="Q648" s="293">
        <v>705</v>
      </c>
    </row>
    <row r="649" spans="1:17" s="292" customFormat="1" ht="9" customHeight="1" x14ac:dyDescent="0.25">
      <c r="A649" s="292" t="s">
        <v>43</v>
      </c>
      <c r="B649" s="293">
        <f t="shared" si="67"/>
        <v>3136</v>
      </c>
      <c r="C649" s="293"/>
      <c r="D649" s="299">
        <f t="shared" si="68"/>
        <v>2876</v>
      </c>
      <c r="E649" s="299"/>
      <c r="F649" s="293">
        <v>859</v>
      </c>
      <c r="G649" s="293"/>
      <c r="H649" s="293">
        <f t="shared" si="69"/>
        <v>1194</v>
      </c>
      <c r="I649" s="293"/>
      <c r="J649" s="293">
        <v>198</v>
      </c>
      <c r="K649" s="293">
        <v>184</v>
      </c>
      <c r="L649" s="293">
        <v>149</v>
      </c>
      <c r="M649" s="293">
        <v>663</v>
      </c>
      <c r="N649" s="293">
        <v>514</v>
      </c>
      <c r="O649" s="293"/>
      <c r="P649" s="293">
        <v>309</v>
      </c>
      <c r="Q649" s="293">
        <v>260</v>
      </c>
    </row>
    <row r="650" spans="1:17" s="292" customFormat="1" ht="9" customHeight="1" x14ac:dyDescent="0.25">
      <c r="A650" s="292" t="s">
        <v>44</v>
      </c>
      <c r="B650" s="293">
        <f t="shared" si="67"/>
        <v>2328</v>
      </c>
      <c r="C650" s="293"/>
      <c r="D650" s="299">
        <f t="shared" si="68"/>
        <v>2024</v>
      </c>
      <c r="E650" s="299"/>
      <c r="F650" s="293">
        <v>778</v>
      </c>
      <c r="G650" s="293"/>
      <c r="H650" s="293">
        <f t="shared" si="69"/>
        <v>1090</v>
      </c>
      <c r="I650" s="293"/>
      <c r="J650" s="293">
        <v>152</v>
      </c>
      <c r="K650" s="293">
        <v>149</v>
      </c>
      <c r="L650" s="293">
        <v>97</v>
      </c>
      <c r="M650" s="293">
        <v>692</v>
      </c>
      <c r="N650" s="293">
        <v>129</v>
      </c>
      <c r="O650" s="293"/>
      <c r="P650" s="293">
        <v>27</v>
      </c>
      <c r="Q650" s="293">
        <v>304</v>
      </c>
    </row>
    <row r="651" spans="1:17" s="292" customFormat="1" ht="9" customHeight="1" x14ac:dyDescent="0.25">
      <c r="A651" s="300" t="s">
        <v>45</v>
      </c>
      <c r="B651" s="301">
        <f t="shared" si="67"/>
        <v>4338</v>
      </c>
      <c r="C651" s="301"/>
      <c r="D651" s="302">
        <f t="shared" si="68"/>
        <v>4017</v>
      </c>
      <c r="E651" s="302"/>
      <c r="F651" s="301">
        <v>1141</v>
      </c>
      <c r="G651" s="301"/>
      <c r="H651" s="301">
        <f t="shared" si="69"/>
        <v>1574</v>
      </c>
      <c r="I651" s="301"/>
      <c r="J651" s="301">
        <v>187</v>
      </c>
      <c r="K651" s="301">
        <v>205</v>
      </c>
      <c r="L651" s="301">
        <v>246</v>
      </c>
      <c r="M651" s="301">
        <v>936</v>
      </c>
      <c r="N651" s="301">
        <v>768</v>
      </c>
      <c r="O651" s="301"/>
      <c r="P651" s="301">
        <v>534</v>
      </c>
      <c r="Q651" s="301">
        <v>321</v>
      </c>
    </row>
    <row r="652" spans="1:17" s="292" customFormat="1" ht="9" customHeight="1" x14ac:dyDescent="0.25">
      <c r="A652" s="292" t="s">
        <v>46</v>
      </c>
      <c r="B652" s="293">
        <f t="shared" si="67"/>
        <v>5078</v>
      </c>
      <c r="C652" s="293"/>
      <c r="D652" s="299">
        <f t="shared" si="68"/>
        <v>4629</v>
      </c>
      <c r="E652" s="299"/>
      <c r="F652" s="293">
        <v>1735</v>
      </c>
      <c r="G652" s="293"/>
      <c r="H652" s="293">
        <f>SUM(J652:M652)-1</f>
        <v>2167</v>
      </c>
      <c r="I652" s="293"/>
      <c r="J652" s="293">
        <v>252</v>
      </c>
      <c r="K652" s="293">
        <v>259</v>
      </c>
      <c r="L652" s="293">
        <v>297</v>
      </c>
      <c r="M652" s="293">
        <v>1360</v>
      </c>
      <c r="N652" s="293">
        <v>491</v>
      </c>
      <c r="O652" s="293"/>
      <c r="P652" s="293">
        <v>236</v>
      </c>
      <c r="Q652" s="293">
        <v>449</v>
      </c>
    </row>
    <row r="653" spans="1:17" s="292" customFormat="1" ht="9" customHeight="1" x14ac:dyDescent="0.25">
      <c r="A653" s="292" t="s">
        <v>47</v>
      </c>
      <c r="B653" s="293">
        <f t="shared" si="67"/>
        <v>5002</v>
      </c>
      <c r="C653" s="293"/>
      <c r="D653" s="299">
        <f t="shared" si="68"/>
        <v>4507</v>
      </c>
      <c r="E653" s="299"/>
      <c r="F653" s="293">
        <v>1374</v>
      </c>
      <c r="G653" s="293"/>
      <c r="H653" s="293">
        <f t="shared" si="69"/>
        <v>1890</v>
      </c>
      <c r="I653" s="293"/>
      <c r="J653" s="293">
        <v>230</v>
      </c>
      <c r="K653" s="293">
        <v>200</v>
      </c>
      <c r="L653" s="293">
        <v>158</v>
      </c>
      <c r="M653" s="293">
        <v>1302</v>
      </c>
      <c r="N653" s="293">
        <v>1061</v>
      </c>
      <c r="O653" s="293"/>
      <c r="P653" s="293">
        <v>182</v>
      </c>
      <c r="Q653" s="293">
        <v>495</v>
      </c>
    </row>
    <row r="654" spans="1:17" s="292" customFormat="1" ht="9.6" customHeight="1" x14ac:dyDescent="0.25">
      <c r="A654" s="292" t="s">
        <v>48</v>
      </c>
      <c r="B654" s="293">
        <f t="shared" si="67"/>
        <v>4649</v>
      </c>
      <c r="C654" s="293"/>
      <c r="D654" s="299">
        <f t="shared" si="68"/>
        <v>4213</v>
      </c>
      <c r="E654" s="299"/>
      <c r="F654" s="293">
        <v>1929</v>
      </c>
      <c r="G654" s="293"/>
      <c r="H654" s="293">
        <f t="shared" si="69"/>
        <v>1727</v>
      </c>
      <c r="I654" s="304"/>
      <c r="J654" s="293">
        <v>170</v>
      </c>
      <c r="K654" s="293">
        <v>172</v>
      </c>
      <c r="L654" s="293">
        <v>371</v>
      </c>
      <c r="M654" s="293">
        <v>1014</v>
      </c>
      <c r="N654" s="293">
        <v>339</v>
      </c>
      <c r="O654" s="293"/>
      <c r="P654" s="293">
        <v>218</v>
      </c>
      <c r="Q654" s="293">
        <v>436</v>
      </c>
    </row>
    <row r="655" spans="1:17" s="292" customFormat="1" ht="9" customHeight="1" x14ac:dyDescent="0.25">
      <c r="A655" s="300" t="s">
        <v>49</v>
      </c>
      <c r="B655" s="301">
        <f t="shared" si="67"/>
        <v>6529</v>
      </c>
      <c r="C655" s="301"/>
      <c r="D655" s="302">
        <f t="shared" si="68"/>
        <v>5871</v>
      </c>
      <c r="E655" s="302"/>
      <c r="F655" s="301">
        <v>1843</v>
      </c>
      <c r="G655" s="301"/>
      <c r="H655" s="301">
        <f t="shared" si="69"/>
        <v>2747</v>
      </c>
      <c r="I655" s="301"/>
      <c r="J655" s="301">
        <v>342</v>
      </c>
      <c r="K655" s="301">
        <v>347</v>
      </c>
      <c r="L655" s="301">
        <v>307</v>
      </c>
      <c r="M655" s="301">
        <v>1751</v>
      </c>
      <c r="N655" s="301">
        <v>1021</v>
      </c>
      <c r="O655" s="301"/>
      <c r="P655" s="301">
        <v>260</v>
      </c>
      <c r="Q655" s="301">
        <v>658</v>
      </c>
    </row>
    <row r="656" spans="1:17" s="292" customFormat="1" ht="9" customHeight="1" x14ac:dyDescent="0.25">
      <c r="A656" s="292" t="s">
        <v>50</v>
      </c>
      <c r="B656" s="293">
        <f t="shared" si="67"/>
        <v>2297</v>
      </c>
      <c r="C656" s="293"/>
      <c r="D656" s="299">
        <f t="shared" si="68"/>
        <v>2137</v>
      </c>
      <c r="E656" s="299"/>
      <c r="F656" s="293">
        <v>893</v>
      </c>
      <c r="G656" s="293"/>
      <c r="H656" s="293">
        <f t="shared" si="69"/>
        <v>909</v>
      </c>
      <c r="I656" s="293"/>
      <c r="J656" s="293">
        <v>129</v>
      </c>
      <c r="K656" s="293">
        <v>120</v>
      </c>
      <c r="L656" s="293">
        <v>155</v>
      </c>
      <c r="M656" s="293">
        <v>505</v>
      </c>
      <c r="N656" s="293">
        <v>199</v>
      </c>
      <c r="O656" s="293"/>
      <c r="P656" s="293">
        <v>136</v>
      </c>
      <c r="Q656" s="293">
        <v>160</v>
      </c>
    </row>
    <row r="657" spans="1:24" s="292" customFormat="1" ht="9" customHeight="1" x14ac:dyDescent="0.25">
      <c r="A657" s="292" t="s">
        <v>51</v>
      </c>
      <c r="B657" s="293">
        <f t="shared" si="67"/>
        <v>11965</v>
      </c>
      <c r="C657" s="293"/>
      <c r="D657" s="299">
        <f t="shared" si="68"/>
        <v>10892</v>
      </c>
      <c r="E657" s="299"/>
      <c r="F657" s="293">
        <v>4623</v>
      </c>
      <c r="G657" s="293"/>
      <c r="H657" s="293">
        <f t="shared" si="69"/>
        <v>4572</v>
      </c>
      <c r="I657" s="293"/>
      <c r="J657" s="293">
        <v>507</v>
      </c>
      <c r="K657" s="293">
        <v>490</v>
      </c>
      <c r="L657" s="293">
        <v>760</v>
      </c>
      <c r="M657" s="293">
        <v>2815</v>
      </c>
      <c r="N657" s="293">
        <v>1279</v>
      </c>
      <c r="O657" s="293"/>
      <c r="P657" s="293">
        <v>418</v>
      </c>
      <c r="Q657" s="293">
        <v>1073</v>
      </c>
    </row>
    <row r="658" spans="1:24" s="292" customFormat="1" ht="9" customHeight="1" x14ac:dyDescent="0.25">
      <c r="A658" s="292" t="s">
        <v>52</v>
      </c>
      <c r="B658" s="293">
        <f t="shared" si="67"/>
        <v>3967</v>
      </c>
      <c r="C658" s="293"/>
      <c r="D658" s="299">
        <f t="shared" si="68"/>
        <v>3543</v>
      </c>
      <c r="E658" s="299"/>
      <c r="F658" s="293">
        <v>912</v>
      </c>
      <c r="G658" s="293"/>
      <c r="H658" s="293">
        <f t="shared" si="69"/>
        <v>1550</v>
      </c>
      <c r="I658" s="293"/>
      <c r="J658" s="293">
        <v>135</v>
      </c>
      <c r="K658" s="293">
        <v>150</v>
      </c>
      <c r="L658" s="293">
        <v>163</v>
      </c>
      <c r="M658" s="293">
        <v>1102</v>
      </c>
      <c r="N658" s="293">
        <v>828</v>
      </c>
      <c r="O658" s="293"/>
      <c r="P658" s="293">
        <v>253</v>
      </c>
      <c r="Q658" s="293">
        <v>424</v>
      </c>
    </row>
    <row r="659" spans="1:24" s="292" customFormat="1" ht="9" customHeight="1" x14ac:dyDescent="0.25">
      <c r="A659" s="300" t="s">
        <v>53</v>
      </c>
      <c r="B659" s="301">
        <f t="shared" si="67"/>
        <v>2740</v>
      </c>
      <c r="C659" s="301"/>
      <c r="D659" s="302">
        <f t="shared" si="68"/>
        <v>2532</v>
      </c>
      <c r="E659" s="302"/>
      <c r="F659" s="301">
        <v>940</v>
      </c>
      <c r="G659" s="301"/>
      <c r="H659" s="301">
        <f t="shared" si="69"/>
        <v>949</v>
      </c>
      <c r="I659" s="301"/>
      <c r="J659" s="301">
        <v>115</v>
      </c>
      <c r="K659" s="301">
        <v>116</v>
      </c>
      <c r="L659" s="301">
        <v>151</v>
      </c>
      <c r="M659" s="301">
        <v>567</v>
      </c>
      <c r="N659" s="301">
        <v>435</v>
      </c>
      <c r="O659" s="301"/>
      <c r="P659" s="301">
        <v>208</v>
      </c>
      <c r="Q659" s="301">
        <v>208</v>
      </c>
    </row>
    <row r="660" spans="1:24" s="292" customFormat="1" ht="9" customHeight="1" x14ac:dyDescent="0.25">
      <c r="A660" s="296"/>
      <c r="B660" s="293"/>
      <c r="C660" s="293"/>
      <c r="D660" s="299"/>
      <c r="E660" s="299"/>
      <c r="F660" s="293"/>
      <c r="G660" s="293"/>
      <c r="H660" s="293"/>
      <c r="I660" s="293"/>
      <c r="J660" s="293"/>
      <c r="K660" s="293"/>
      <c r="L660" s="293"/>
      <c r="M660" s="293"/>
      <c r="N660" s="293"/>
      <c r="O660" s="293"/>
      <c r="P660" s="293"/>
      <c r="Q660" s="293"/>
    </row>
    <row r="661" spans="1:24" s="292" customFormat="1" ht="9" customHeight="1" x14ac:dyDescent="0.25">
      <c r="A661" s="294">
        <v>2013</v>
      </c>
      <c r="B661" s="293"/>
      <c r="C661" s="293"/>
      <c r="D661" s="293"/>
      <c r="E661" s="293"/>
      <c r="F661" s="305"/>
      <c r="G661" s="306"/>
      <c r="H661" s="306"/>
      <c r="I661" s="306"/>
      <c r="J661" s="305"/>
      <c r="K661" s="305"/>
      <c r="L661" s="305"/>
      <c r="M661" s="306"/>
      <c r="N661" s="306"/>
      <c r="P661" s="306"/>
      <c r="Q661" s="306"/>
    </row>
    <row r="662" spans="1:24" s="292" customFormat="1" ht="9" customHeight="1" x14ac:dyDescent="0.25">
      <c r="A662" s="296" t="s">
        <v>21</v>
      </c>
      <c r="B662" s="295">
        <f>SUM(B664:B695)</f>
        <v>212265</v>
      </c>
      <c r="C662" s="297"/>
      <c r="D662" s="295">
        <f>SUM(D664:D695)</f>
        <v>194601</v>
      </c>
      <c r="E662" s="297"/>
      <c r="F662" s="295">
        <f>SUM(F664:F695)</f>
        <v>60374</v>
      </c>
      <c r="G662" s="295"/>
      <c r="H662" s="295">
        <f>SUM(H664:H695)</f>
        <v>91935</v>
      </c>
      <c r="I662" s="295"/>
      <c r="J662" s="295">
        <f>SUM(J664:J695)</f>
        <v>9996</v>
      </c>
      <c r="K662" s="295">
        <f>SUM(K664:K695)</f>
        <v>10491</v>
      </c>
      <c r="L662" s="295">
        <f>SUM(L664:L695)</f>
        <v>10742</v>
      </c>
      <c r="M662" s="295">
        <f>SUM(M664:M695)</f>
        <v>60706</v>
      </c>
      <c r="N662" s="295">
        <f>SUM(N664:N695)</f>
        <v>31802</v>
      </c>
      <c r="O662" s="295"/>
      <c r="P662" s="295">
        <f>SUM(P664:P695)</f>
        <v>10490</v>
      </c>
      <c r="Q662" s="295">
        <f>SUM(Q664:Q695)</f>
        <v>17664</v>
      </c>
      <c r="T662" s="299"/>
      <c r="V662" s="299"/>
      <c r="X662" s="299"/>
    </row>
    <row r="663" spans="1:24" s="292" customFormat="1" ht="3.95" customHeight="1" x14ac:dyDescent="0.25">
      <c r="A663" s="296"/>
      <c r="B663" s="295"/>
      <c r="C663" s="295"/>
      <c r="D663" s="298"/>
      <c r="E663" s="298"/>
      <c r="F663" s="295"/>
      <c r="G663" s="295"/>
      <c r="H663" s="295"/>
      <c r="I663" s="295"/>
      <c r="J663" s="295"/>
      <c r="K663" s="295"/>
      <c r="L663" s="295"/>
      <c r="M663" s="295"/>
      <c r="N663" s="295"/>
      <c r="O663" s="295"/>
      <c r="P663" s="295"/>
      <c r="Q663" s="295"/>
      <c r="T663" s="299"/>
      <c r="V663" s="299"/>
      <c r="X663" s="299"/>
    </row>
    <row r="664" spans="1:24" s="292" customFormat="1" ht="9" customHeight="1" x14ac:dyDescent="0.25">
      <c r="A664" s="292" t="s">
        <v>23</v>
      </c>
      <c r="B664" s="293">
        <f t="shared" ref="B664:B695" si="70">SUM(D664+Q664)</f>
        <v>2606</v>
      </c>
      <c r="C664" s="293"/>
      <c r="D664" s="299">
        <f t="shared" ref="D664:D670" si="71">SUM(F664+H664+P664+N664)</f>
        <v>2369</v>
      </c>
      <c r="E664" s="299"/>
      <c r="F664" s="293">
        <v>686</v>
      </c>
      <c r="G664" s="293"/>
      <c r="H664" s="293">
        <f>SUM(J664:M664)</f>
        <v>1236</v>
      </c>
      <c r="I664" s="293"/>
      <c r="J664" s="293">
        <v>119</v>
      </c>
      <c r="K664" s="293">
        <v>179</v>
      </c>
      <c r="L664" s="293">
        <v>114</v>
      </c>
      <c r="M664" s="293">
        <v>824</v>
      </c>
      <c r="N664" s="293">
        <v>382</v>
      </c>
      <c r="O664" s="293"/>
      <c r="P664" s="293">
        <v>65</v>
      </c>
      <c r="Q664" s="293">
        <v>237</v>
      </c>
      <c r="T664" s="299"/>
      <c r="V664" s="299"/>
      <c r="X664" s="299"/>
    </row>
    <row r="665" spans="1:24" s="292" customFormat="1" ht="9" customHeight="1" x14ac:dyDescent="0.25">
      <c r="A665" s="292" t="s">
        <v>24</v>
      </c>
      <c r="B665" s="293">
        <f t="shared" si="70"/>
        <v>5353</v>
      </c>
      <c r="C665" s="293"/>
      <c r="D665" s="299">
        <f t="shared" si="71"/>
        <v>4838</v>
      </c>
      <c r="E665" s="299"/>
      <c r="F665" s="293">
        <v>1244</v>
      </c>
      <c r="G665" s="293"/>
      <c r="H665" s="293">
        <f t="shared" ref="H665:H687" si="72">SUM(J665:M665)</f>
        <v>2537</v>
      </c>
      <c r="I665" s="293"/>
      <c r="J665" s="293">
        <v>310</v>
      </c>
      <c r="K665" s="293">
        <v>318</v>
      </c>
      <c r="L665" s="293">
        <v>220</v>
      </c>
      <c r="M665" s="293">
        <v>1689</v>
      </c>
      <c r="N665" s="293">
        <v>875</v>
      </c>
      <c r="O665" s="293"/>
      <c r="P665" s="293">
        <v>182</v>
      </c>
      <c r="Q665" s="293">
        <v>515</v>
      </c>
      <c r="T665" s="299"/>
      <c r="V665" s="299"/>
      <c r="X665" s="299"/>
    </row>
    <row r="666" spans="1:24" s="292" customFormat="1" ht="9" customHeight="1" x14ac:dyDescent="0.25">
      <c r="A666" s="292" t="s">
        <v>25</v>
      </c>
      <c r="B666" s="293">
        <f t="shared" si="70"/>
        <v>1700</v>
      </c>
      <c r="C666" s="293"/>
      <c r="D666" s="299">
        <f t="shared" si="71"/>
        <v>1545</v>
      </c>
      <c r="E666" s="299"/>
      <c r="F666" s="293">
        <v>555</v>
      </c>
      <c r="G666" s="293"/>
      <c r="H666" s="293">
        <f t="shared" si="72"/>
        <v>792</v>
      </c>
      <c r="I666" s="293"/>
      <c r="J666" s="293">
        <v>104</v>
      </c>
      <c r="K666" s="293">
        <v>90</v>
      </c>
      <c r="L666" s="293">
        <v>65</v>
      </c>
      <c r="M666" s="293">
        <v>533</v>
      </c>
      <c r="N666" s="293">
        <v>121</v>
      </c>
      <c r="O666" s="293"/>
      <c r="P666" s="293">
        <v>77</v>
      </c>
      <c r="Q666" s="293">
        <v>155</v>
      </c>
      <c r="T666" s="299"/>
      <c r="V666" s="299"/>
      <c r="X666" s="299"/>
    </row>
    <row r="667" spans="1:24" s="292" customFormat="1" ht="9" customHeight="1" x14ac:dyDescent="0.25">
      <c r="A667" s="300" t="s">
        <v>26</v>
      </c>
      <c r="B667" s="301">
        <f t="shared" si="70"/>
        <v>2071</v>
      </c>
      <c r="C667" s="301"/>
      <c r="D667" s="302">
        <f t="shared" si="71"/>
        <v>1895</v>
      </c>
      <c r="E667" s="302"/>
      <c r="F667" s="301">
        <v>786</v>
      </c>
      <c r="G667" s="301"/>
      <c r="H667" s="301">
        <f t="shared" si="72"/>
        <v>802</v>
      </c>
      <c r="I667" s="301"/>
      <c r="J667" s="301">
        <v>105</v>
      </c>
      <c r="K667" s="301">
        <v>92</v>
      </c>
      <c r="L667" s="301">
        <v>97</v>
      </c>
      <c r="M667" s="301">
        <v>508</v>
      </c>
      <c r="N667" s="301">
        <v>222</v>
      </c>
      <c r="O667" s="301"/>
      <c r="P667" s="301">
        <v>85</v>
      </c>
      <c r="Q667" s="301">
        <v>176</v>
      </c>
      <c r="T667" s="299"/>
      <c r="V667" s="299"/>
      <c r="X667" s="299"/>
    </row>
    <row r="668" spans="1:24" s="292" customFormat="1" ht="9" customHeight="1" x14ac:dyDescent="0.25">
      <c r="A668" s="292" t="s">
        <v>27</v>
      </c>
      <c r="B668" s="293">
        <f t="shared" si="70"/>
        <v>5469</v>
      </c>
      <c r="C668" s="293"/>
      <c r="D668" s="299">
        <f t="shared" si="71"/>
        <v>4946</v>
      </c>
      <c r="E668" s="299"/>
      <c r="F668" s="293">
        <v>1399</v>
      </c>
      <c r="G668" s="293"/>
      <c r="H668" s="293">
        <f t="shared" si="72"/>
        <v>2716</v>
      </c>
      <c r="I668" s="303"/>
      <c r="J668" s="293">
        <v>297</v>
      </c>
      <c r="K668" s="293">
        <v>321</v>
      </c>
      <c r="L668" s="293">
        <v>239</v>
      </c>
      <c r="M668" s="293">
        <v>1859</v>
      </c>
      <c r="N668" s="293">
        <v>683</v>
      </c>
      <c r="O668" s="293"/>
      <c r="P668" s="293">
        <v>148</v>
      </c>
      <c r="Q668" s="293">
        <v>523</v>
      </c>
      <c r="T668" s="299"/>
      <c r="V668" s="299"/>
      <c r="X668" s="299"/>
    </row>
    <row r="669" spans="1:24" s="292" customFormat="1" ht="9" customHeight="1" x14ac:dyDescent="0.25">
      <c r="A669" s="292" t="s">
        <v>28</v>
      </c>
      <c r="B669" s="293">
        <f t="shared" si="70"/>
        <v>1653</v>
      </c>
      <c r="C669" s="293"/>
      <c r="D669" s="299">
        <f t="shared" si="71"/>
        <v>1494</v>
      </c>
      <c r="E669" s="299"/>
      <c r="F669" s="293">
        <v>449</v>
      </c>
      <c r="G669" s="293"/>
      <c r="H669" s="293">
        <f t="shared" si="72"/>
        <v>751</v>
      </c>
      <c r="I669" s="293"/>
      <c r="J669" s="293">
        <v>94</v>
      </c>
      <c r="K669" s="293">
        <v>84</v>
      </c>
      <c r="L669" s="293">
        <v>79</v>
      </c>
      <c r="M669" s="293">
        <v>494</v>
      </c>
      <c r="N669" s="293">
        <v>178</v>
      </c>
      <c r="O669" s="293"/>
      <c r="P669" s="293">
        <v>116</v>
      </c>
      <c r="Q669" s="293">
        <v>159</v>
      </c>
      <c r="T669" s="299"/>
      <c r="V669" s="299"/>
      <c r="X669" s="299"/>
    </row>
    <row r="670" spans="1:24" s="292" customFormat="1" ht="9.6" customHeight="1" x14ac:dyDescent="0.25">
      <c r="A670" s="292" t="s">
        <v>29</v>
      </c>
      <c r="B670" s="293">
        <f t="shared" si="70"/>
        <v>6652</v>
      </c>
      <c r="C670" s="293"/>
      <c r="D670" s="299">
        <f t="shared" si="71"/>
        <v>6277</v>
      </c>
      <c r="E670" s="299"/>
      <c r="F670" s="293">
        <v>3176</v>
      </c>
      <c r="G670" s="293"/>
      <c r="H670" s="293">
        <f t="shared" si="72"/>
        <v>2310</v>
      </c>
      <c r="J670" s="293">
        <v>224</v>
      </c>
      <c r="K670" s="293">
        <v>267</v>
      </c>
      <c r="L670" s="293">
        <v>377</v>
      </c>
      <c r="M670" s="293">
        <v>1442</v>
      </c>
      <c r="N670" s="293">
        <v>471</v>
      </c>
      <c r="O670" s="293"/>
      <c r="P670" s="293">
        <v>320</v>
      </c>
      <c r="Q670" s="293">
        <v>375</v>
      </c>
      <c r="T670" s="299"/>
      <c r="V670" s="299"/>
      <c r="X670" s="299"/>
    </row>
    <row r="671" spans="1:24" s="292" customFormat="1" ht="9" customHeight="1" x14ac:dyDescent="0.25">
      <c r="A671" s="300" t="s">
        <v>30</v>
      </c>
      <c r="B671" s="301">
        <f t="shared" si="70"/>
        <v>5444</v>
      </c>
      <c r="C671" s="301"/>
      <c r="D671" s="302">
        <f t="shared" ref="D671:D695" si="73">SUM(F671+H671+P671+N671)</f>
        <v>4939</v>
      </c>
      <c r="E671" s="302"/>
      <c r="F671" s="301">
        <v>1685</v>
      </c>
      <c r="G671" s="301"/>
      <c r="H671" s="301">
        <f t="shared" si="72"/>
        <v>2451</v>
      </c>
      <c r="I671" s="301"/>
      <c r="J671" s="301">
        <v>277</v>
      </c>
      <c r="K671" s="301">
        <v>299</v>
      </c>
      <c r="L671" s="301">
        <v>222</v>
      </c>
      <c r="M671" s="301">
        <v>1653</v>
      </c>
      <c r="N671" s="301">
        <v>565</v>
      </c>
      <c r="O671" s="301"/>
      <c r="P671" s="301">
        <v>238</v>
      </c>
      <c r="Q671" s="301">
        <v>505</v>
      </c>
      <c r="T671" s="299"/>
      <c r="V671" s="299"/>
      <c r="X671" s="299"/>
    </row>
    <row r="672" spans="1:24" s="292" customFormat="1" ht="9" customHeight="1" x14ac:dyDescent="0.25">
      <c r="A672" s="292" t="s">
        <v>63</v>
      </c>
      <c r="B672" s="293">
        <f t="shared" si="70"/>
        <v>35620</v>
      </c>
      <c r="C672" s="293"/>
      <c r="D672" s="299">
        <f t="shared" si="73"/>
        <v>32397</v>
      </c>
      <c r="E672" s="299"/>
      <c r="F672" s="293">
        <v>5607</v>
      </c>
      <c r="G672" s="293"/>
      <c r="H672" s="293">
        <f t="shared" si="72"/>
        <v>18606</v>
      </c>
      <c r="I672" s="293"/>
      <c r="J672" s="293">
        <v>1523</v>
      </c>
      <c r="K672" s="293">
        <v>1962</v>
      </c>
      <c r="L672" s="293">
        <v>1426</v>
      </c>
      <c r="M672" s="293">
        <v>13695</v>
      </c>
      <c r="N672" s="293">
        <v>7468</v>
      </c>
      <c r="O672" s="293"/>
      <c r="P672" s="293">
        <v>716</v>
      </c>
      <c r="Q672" s="293">
        <v>3223</v>
      </c>
      <c r="T672" s="299"/>
      <c r="V672" s="299"/>
      <c r="X672" s="299"/>
    </row>
    <row r="673" spans="1:24" s="292" customFormat="1" ht="9" customHeight="1" x14ac:dyDescent="0.25">
      <c r="A673" s="292" t="s">
        <v>31</v>
      </c>
      <c r="B673" s="293">
        <f t="shared" si="70"/>
        <v>3423</v>
      </c>
      <c r="C673" s="293"/>
      <c r="D673" s="299">
        <f t="shared" si="73"/>
        <v>3184</v>
      </c>
      <c r="E673" s="299"/>
      <c r="F673" s="293">
        <v>1031</v>
      </c>
      <c r="G673" s="293"/>
      <c r="H673" s="293">
        <f t="shared" si="72"/>
        <v>1415</v>
      </c>
      <c r="I673" s="293"/>
      <c r="J673" s="293">
        <v>135</v>
      </c>
      <c r="K673" s="293">
        <v>185</v>
      </c>
      <c r="L673" s="293">
        <v>165</v>
      </c>
      <c r="M673" s="293">
        <v>930</v>
      </c>
      <c r="N673" s="293">
        <v>541</v>
      </c>
      <c r="O673" s="293"/>
      <c r="P673" s="293">
        <v>197</v>
      </c>
      <c r="Q673" s="293">
        <v>239</v>
      </c>
      <c r="T673" s="299"/>
      <c r="V673" s="299"/>
      <c r="X673" s="299"/>
    </row>
    <row r="674" spans="1:24" s="292" customFormat="1" ht="9" customHeight="1" x14ac:dyDescent="0.25">
      <c r="A674" s="292" t="s">
        <v>32</v>
      </c>
      <c r="B674" s="293">
        <f t="shared" si="70"/>
        <v>8441</v>
      </c>
      <c r="C674" s="293"/>
      <c r="D674" s="299">
        <f t="shared" si="73"/>
        <v>7634</v>
      </c>
      <c r="E674" s="299"/>
      <c r="F674" s="293">
        <v>2631</v>
      </c>
      <c r="G674" s="293"/>
      <c r="H674" s="293">
        <f t="shared" si="72"/>
        <v>3304</v>
      </c>
      <c r="I674" s="293"/>
      <c r="J674" s="293">
        <v>396</v>
      </c>
      <c r="K674" s="293">
        <v>413</v>
      </c>
      <c r="L674" s="293">
        <v>370</v>
      </c>
      <c r="M674" s="293">
        <v>2125</v>
      </c>
      <c r="N674" s="293">
        <v>1245</v>
      </c>
      <c r="O674" s="293"/>
      <c r="P674" s="293">
        <v>454</v>
      </c>
      <c r="Q674" s="293">
        <v>807</v>
      </c>
      <c r="T674" s="299"/>
      <c r="V674" s="299"/>
      <c r="X674" s="299"/>
    </row>
    <row r="675" spans="1:24" s="292" customFormat="1" ht="9" customHeight="1" x14ac:dyDescent="0.25">
      <c r="A675" s="300" t="s">
        <v>33</v>
      </c>
      <c r="B675" s="301">
        <f t="shared" si="70"/>
        <v>5189</v>
      </c>
      <c r="C675" s="301"/>
      <c r="D675" s="302">
        <f t="shared" si="73"/>
        <v>4885</v>
      </c>
      <c r="E675" s="302"/>
      <c r="F675" s="301">
        <v>2234</v>
      </c>
      <c r="G675" s="301"/>
      <c r="H675" s="301">
        <f t="shared" si="72"/>
        <v>1917</v>
      </c>
      <c r="I675" s="301"/>
      <c r="J675" s="301">
        <v>229</v>
      </c>
      <c r="K675" s="301">
        <v>206</v>
      </c>
      <c r="L675" s="301">
        <v>327</v>
      </c>
      <c r="M675" s="301">
        <v>1155</v>
      </c>
      <c r="N675" s="301">
        <v>447</v>
      </c>
      <c r="O675" s="301"/>
      <c r="P675" s="301">
        <v>287</v>
      </c>
      <c r="Q675" s="301">
        <v>304</v>
      </c>
      <c r="T675" s="299"/>
      <c r="V675" s="299"/>
      <c r="X675" s="299"/>
    </row>
    <row r="676" spans="1:24" s="292" customFormat="1" ht="9" customHeight="1" x14ac:dyDescent="0.25">
      <c r="A676" s="292" t="s">
        <v>34</v>
      </c>
      <c r="B676" s="293">
        <f t="shared" si="70"/>
        <v>4506</v>
      </c>
      <c r="C676" s="293"/>
      <c r="D676" s="299">
        <f t="shared" si="73"/>
        <v>4125</v>
      </c>
      <c r="E676" s="299"/>
      <c r="F676" s="293">
        <v>1661</v>
      </c>
      <c r="G676" s="293"/>
      <c r="H676" s="293">
        <f t="shared" si="72"/>
        <v>1614</v>
      </c>
      <c r="I676" s="293"/>
      <c r="J676" s="293">
        <v>193</v>
      </c>
      <c r="K676" s="293">
        <v>174</v>
      </c>
      <c r="L676" s="293">
        <v>313</v>
      </c>
      <c r="M676" s="293">
        <v>934</v>
      </c>
      <c r="N676" s="293">
        <v>387</v>
      </c>
      <c r="O676" s="293"/>
      <c r="P676" s="293">
        <v>463</v>
      </c>
      <c r="Q676" s="293">
        <v>381</v>
      </c>
      <c r="T676" s="299"/>
      <c r="V676" s="299"/>
      <c r="X676" s="299"/>
    </row>
    <row r="677" spans="1:24" s="292" customFormat="1" ht="9" customHeight="1" x14ac:dyDescent="0.25">
      <c r="A677" s="292" t="s">
        <v>35</v>
      </c>
      <c r="B677" s="293">
        <f t="shared" si="70"/>
        <v>13840</v>
      </c>
      <c r="C677" s="293"/>
      <c r="D677" s="299">
        <f t="shared" si="73"/>
        <v>12685</v>
      </c>
      <c r="E677" s="299"/>
      <c r="F677" s="293">
        <v>3118</v>
      </c>
      <c r="G677" s="293"/>
      <c r="H677" s="293">
        <f t="shared" si="72"/>
        <v>5773</v>
      </c>
      <c r="I677" s="293"/>
      <c r="J677" s="293">
        <v>666</v>
      </c>
      <c r="K677" s="293">
        <v>636</v>
      </c>
      <c r="L677" s="293">
        <v>556</v>
      </c>
      <c r="M677" s="293">
        <v>3915</v>
      </c>
      <c r="N677" s="293">
        <v>3181</v>
      </c>
      <c r="O677" s="293"/>
      <c r="P677" s="293">
        <v>613</v>
      </c>
      <c r="Q677" s="293">
        <v>1155</v>
      </c>
      <c r="T677" s="299"/>
      <c r="V677" s="299"/>
      <c r="X677" s="299"/>
    </row>
    <row r="678" spans="1:24" s="292" customFormat="1" ht="9" customHeight="1" x14ac:dyDescent="0.25">
      <c r="A678" s="292" t="s">
        <v>36</v>
      </c>
      <c r="B678" s="293">
        <f t="shared" si="70"/>
        <v>20637</v>
      </c>
      <c r="C678" s="293"/>
      <c r="D678" s="299">
        <f t="shared" si="73"/>
        <v>18712</v>
      </c>
      <c r="E678" s="299"/>
      <c r="F678" s="293">
        <v>5928</v>
      </c>
      <c r="G678" s="293"/>
      <c r="H678" s="293">
        <f t="shared" si="72"/>
        <v>9586</v>
      </c>
      <c r="I678" s="293"/>
      <c r="J678" s="293">
        <v>1360</v>
      </c>
      <c r="K678" s="293">
        <v>1281</v>
      </c>
      <c r="L678" s="293">
        <v>1217</v>
      </c>
      <c r="M678" s="293">
        <v>5728</v>
      </c>
      <c r="N678" s="293">
        <v>2426</v>
      </c>
      <c r="O678" s="293"/>
      <c r="P678" s="293">
        <v>772</v>
      </c>
      <c r="Q678" s="293">
        <v>1925</v>
      </c>
      <c r="T678" s="299"/>
      <c r="V678" s="299"/>
      <c r="X678" s="299"/>
    </row>
    <row r="679" spans="1:24" s="292" customFormat="1" ht="9" customHeight="1" x14ac:dyDescent="0.25">
      <c r="A679" s="300" t="s">
        <v>37</v>
      </c>
      <c r="B679" s="301">
        <f t="shared" si="70"/>
        <v>7544</v>
      </c>
      <c r="C679" s="301"/>
      <c r="D679" s="302">
        <f t="shared" si="73"/>
        <v>6960</v>
      </c>
      <c r="E679" s="302"/>
      <c r="F679" s="301">
        <v>2336</v>
      </c>
      <c r="G679" s="301"/>
      <c r="H679" s="301">
        <f t="shared" si="72"/>
        <v>2689</v>
      </c>
      <c r="I679" s="301"/>
      <c r="J679" s="301">
        <v>327</v>
      </c>
      <c r="K679" s="301">
        <v>238</v>
      </c>
      <c r="L679" s="301">
        <v>516</v>
      </c>
      <c r="M679" s="301">
        <v>1608</v>
      </c>
      <c r="N679" s="301">
        <v>1109</v>
      </c>
      <c r="O679" s="301"/>
      <c r="P679" s="301">
        <v>826</v>
      </c>
      <c r="Q679" s="301">
        <v>584</v>
      </c>
      <c r="T679" s="299"/>
      <c r="V679" s="299"/>
      <c r="X679" s="299"/>
    </row>
    <row r="680" spans="1:24" s="292" customFormat="1" ht="9" customHeight="1" x14ac:dyDescent="0.25">
      <c r="A680" s="292" t="s">
        <v>38</v>
      </c>
      <c r="B680" s="293">
        <f t="shared" si="70"/>
        <v>3273</v>
      </c>
      <c r="C680" s="293"/>
      <c r="D680" s="299">
        <f t="shared" si="73"/>
        <v>3021</v>
      </c>
      <c r="E680" s="299"/>
      <c r="F680" s="293">
        <v>984</v>
      </c>
      <c r="G680" s="293"/>
      <c r="H680" s="293">
        <f t="shared" si="72"/>
        <v>1609</v>
      </c>
      <c r="I680" s="293"/>
      <c r="J680" s="293">
        <v>206</v>
      </c>
      <c r="K680" s="293">
        <v>193</v>
      </c>
      <c r="L680" s="293">
        <v>166</v>
      </c>
      <c r="M680" s="293">
        <v>1044</v>
      </c>
      <c r="N680" s="293">
        <v>258</v>
      </c>
      <c r="O680" s="293"/>
      <c r="P680" s="293">
        <v>170</v>
      </c>
      <c r="Q680" s="293">
        <v>252</v>
      </c>
      <c r="T680" s="299"/>
      <c r="V680" s="299"/>
      <c r="X680" s="299"/>
    </row>
    <row r="681" spans="1:24" s="292" customFormat="1" ht="9" customHeight="1" x14ac:dyDescent="0.25">
      <c r="A681" s="292" t="s">
        <v>39</v>
      </c>
      <c r="B681" s="293">
        <f t="shared" si="70"/>
        <v>2558</v>
      </c>
      <c r="C681" s="293"/>
      <c r="D681" s="299">
        <f t="shared" si="73"/>
        <v>2371</v>
      </c>
      <c r="E681" s="299"/>
      <c r="F681" s="293">
        <v>937</v>
      </c>
      <c r="G681" s="293"/>
      <c r="H681" s="293">
        <f t="shared" si="72"/>
        <v>885</v>
      </c>
      <c r="I681" s="293"/>
      <c r="J681" s="293">
        <v>91</v>
      </c>
      <c r="K681" s="293">
        <v>82</v>
      </c>
      <c r="L681" s="293">
        <v>129</v>
      </c>
      <c r="M681" s="293">
        <v>583</v>
      </c>
      <c r="N681" s="293">
        <v>370</v>
      </c>
      <c r="O681" s="293"/>
      <c r="P681" s="293">
        <v>179</v>
      </c>
      <c r="Q681" s="293">
        <v>187</v>
      </c>
      <c r="T681" s="299"/>
      <c r="V681" s="299"/>
      <c r="X681" s="299"/>
    </row>
    <row r="682" spans="1:24" s="292" customFormat="1" ht="9" customHeight="1" x14ac:dyDescent="0.25">
      <c r="A682" s="292" t="s">
        <v>40</v>
      </c>
      <c r="B682" s="293">
        <f t="shared" si="70"/>
        <v>8482</v>
      </c>
      <c r="C682" s="293"/>
      <c r="D682" s="299">
        <f t="shared" si="73"/>
        <v>7718</v>
      </c>
      <c r="E682" s="299"/>
      <c r="F682" s="293">
        <v>1765</v>
      </c>
      <c r="G682" s="293"/>
      <c r="H682" s="293">
        <f t="shared" si="72"/>
        <v>3846</v>
      </c>
      <c r="I682" s="293"/>
      <c r="J682" s="293">
        <v>394</v>
      </c>
      <c r="K682" s="293">
        <v>407</v>
      </c>
      <c r="L682" s="293">
        <v>259</v>
      </c>
      <c r="M682" s="293">
        <v>2786</v>
      </c>
      <c r="N682" s="293">
        <v>1652</v>
      </c>
      <c r="O682" s="293"/>
      <c r="P682" s="293">
        <v>455</v>
      </c>
      <c r="Q682" s="293">
        <v>764</v>
      </c>
      <c r="T682" s="299"/>
      <c r="V682" s="299"/>
      <c r="X682" s="299"/>
    </row>
    <row r="683" spans="1:24" s="292" customFormat="1" ht="9" customHeight="1" x14ac:dyDescent="0.25">
      <c r="A683" s="300" t="s">
        <v>41</v>
      </c>
      <c r="B683" s="301">
        <f t="shared" si="70"/>
        <v>6180</v>
      </c>
      <c r="C683" s="301"/>
      <c r="D683" s="302">
        <f t="shared" si="73"/>
        <v>5749</v>
      </c>
      <c r="E683" s="302"/>
      <c r="F683" s="301">
        <v>2773</v>
      </c>
      <c r="G683" s="301"/>
      <c r="H683" s="301">
        <f t="shared" si="72"/>
        <v>2006</v>
      </c>
      <c r="I683" s="301"/>
      <c r="J683" s="301">
        <v>189</v>
      </c>
      <c r="K683" s="301">
        <v>226</v>
      </c>
      <c r="L683" s="301">
        <v>391</v>
      </c>
      <c r="M683" s="301">
        <v>1200</v>
      </c>
      <c r="N683" s="301">
        <v>535</v>
      </c>
      <c r="O683" s="301"/>
      <c r="P683" s="301">
        <v>435</v>
      </c>
      <c r="Q683" s="301">
        <v>431</v>
      </c>
      <c r="T683" s="299"/>
      <c r="V683" s="299"/>
      <c r="X683" s="299"/>
    </row>
    <row r="684" spans="1:24" s="292" customFormat="1" ht="9.6" customHeight="1" x14ac:dyDescent="0.25">
      <c r="A684" s="292" t="s">
        <v>42</v>
      </c>
      <c r="B684" s="293">
        <f t="shared" si="70"/>
        <v>8258</v>
      </c>
      <c r="C684" s="293"/>
      <c r="D684" s="299">
        <f t="shared" si="73"/>
        <v>7667</v>
      </c>
      <c r="E684" s="299"/>
      <c r="F684" s="293">
        <v>2463</v>
      </c>
      <c r="G684" s="293"/>
      <c r="H684" s="293">
        <f t="shared" si="72"/>
        <v>3016</v>
      </c>
      <c r="I684" s="304"/>
      <c r="J684" s="293">
        <v>262</v>
      </c>
      <c r="K684" s="293">
        <v>350</v>
      </c>
      <c r="L684" s="293">
        <v>495</v>
      </c>
      <c r="M684" s="293">
        <v>1909</v>
      </c>
      <c r="N684" s="293">
        <v>1505</v>
      </c>
      <c r="O684" s="293"/>
      <c r="P684" s="293">
        <v>683</v>
      </c>
      <c r="Q684" s="293">
        <v>591</v>
      </c>
      <c r="T684" s="299"/>
      <c r="V684" s="299"/>
      <c r="X684" s="299"/>
    </row>
    <row r="685" spans="1:24" s="292" customFormat="1" ht="9" customHeight="1" x14ac:dyDescent="0.25">
      <c r="A685" s="292" t="s">
        <v>43</v>
      </c>
      <c r="B685" s="293">
        <f t="shared" si="70"/>
        <v>3224</v>
      </c>
      <c r="C685" s="293"/>
      <c r="D685" s="299">
        <f t="shared" si="73"/>
        <v>2992</v>
      </c>
      <c r="E685" s="299"/>
      <c r="F685" s="293">
        <v>904</v>
      </c>
      <c r="G685" s="293"/>
      <c r="H685" s="293">
        <f t="shared" si="72"/>
        <v>1240</v>
      </c>
      <c r="I685" s="293"/>
      <c r="J685" s="293">
        <v>195</v>
      </c>
      <c r="K685" s="293">
        <v>186</v>
      </c>
      <c r="L685" s="293">
        <v>146</v>
      </c>
      <c r="M685" s="293">
        <v>713</v>
      </c>
      <c r="N685" s="293">
        <v>539</v>
      </c>
      <c r="O685" s="293"/>
      <c r="P685" s="293">
        <v>309</v>
      </c>
      <c r="Q685" s="293">
        <v>232</v>
      </c>
      <c r="T685" s="299"/>
      <c r="V685" s="299"/>
      <c r="X685" s="299"/>
    </row>
    <row r="686" spans="1:24" s="292" customFormat="1" ht="9" customHeight="1" x14ac:dyDescent="0.25">
      <c r="A686" s="292" t="s">
        <v>44</v>
      </c>
      <c r="B686" s="293">
        <f t="shared" si="70"/>
        <v>2316</v>
      </c>
      <c r="C686" s="293"/>
      <c r="D686" s="299">
        <f t="shared" si="73"/>
        <v>2085</v>
      </c>
      <c r="E686" s="299"/>
      <c r="F686" s="293">
        <v>742</v>
      </c>
      <c r="G686" s="293"/>
      <c r="H686" s="293">
        <f t="shared" si="72"/>
        <v>1160</v>
      </c>
      <c r="I686" s="293"/>
      <c r="J686" s="293">
        <v>145</v>
      </c>
      <c r="K686" s="293">
        <v>150</v>
      </c>
      <c r="L686" s="293">
        <v>114</v>
      </c>
      <c r="M686" s="293">
        <v>751</v>
      </c>
      <c r="N686" s="293">
        <v>164</v>
      </c>
      <c r="O686" s="293"/>
      <c r="P686" s="293">
        <v>19</v>
      </c>
      <c r="Q686" s="293">
        <v>231</v>
      </c>
      <c r="T686" s="299"/>
      <c r="V686" s="299"/>
      <c r="X686" s="299"/>
    </row>
    <row r="687" spans="1:24" s="292" customFormat="1" ht="9" customHeight="1" x14ac:dyDescent="0.25">
      <c r="A687" s="300" t="s">
        <v>45</v>
      </c>
      <c r="B687" s="301">
        <f t="shared" si="70"/>
        <v>4418</v>
      </c>
      <c r="C687" s="301"/>
      <c r="D687" s="302">
        <f t="shared" si="73"/>
        <v>4146</v>
      </c>
      <c r="E687" s="302"/>
      <c r="F687" s="301">
        <v>1165</v>
      </c>
      <c r="G687" s="301"/>
      <c r="H687" s="301">
        <f t="shared" si="72"/>
        <v>1669</v>
      </c>
      <c r="I687" s="301"/>
      <c r="J687" s="301">
        <v>193</v>
      </c>
      <c r="K687" s="301">
        <v>207</v>
      </c>
      <c r="L687" s="301">
        <v>254</v>
      </c>
      <c r="M687" s="301">
        <v>1015</v>
      </c>
      <c r="N687" s="301">
        <v>753</v>
      </c>
      <c r="O687" s="301"/>
      <c r="P687" s="301">
        <v>559</v>
      </c>
      <c r="Q687" s="301">
        <v>272</v>
      </c>
      <c r="T687" s="299"/>
      <c r="V687" s="299"/>
      <c r="X687" s="299"/>
    </row>
    <row r="688" spans="1:24" s="292" customFormat="1" ht="9" customHeight="1" x14ac:dyDescent="0.25">
      <c r="A688" s="292" t="s">
        <v>46</v>
      </c>
      <c r="B688" s="293">
        <f t="shared" si="70"/>
        <v>5136</v>
      </c>
      <c r="C688" s="293"/>
      <c r="D688" s="299">
        <f t="shared" si="73"/>
        <v>4769</v>
      </c>
      <c r="E688" s="299"/>
      <c r="F688" s="293">
        <v>1743</v>
      </c>
      <c r="G688" s="293"/>
      <c r="H688" s="293">
        <f>SUM(J688:M688)</f>
        <v>2322</v>
      </c>
      <c r="I688" s="293"/>
      <c r="J688" s="293">
        <v>259</v>
      </c>
      <c r="K688" s="293">
        <v>271</v>
      </c>
      <c r="L688" s="293">
        <v>313</v>
      </c>
      <c r="M688" s="293">
        <v>1479</v>
      </c>
      <c r="N688" s="293">
        <v>464</v>
      </c>
      <c r="O688" s="293"/>
      <c r="P688" s="293">
        <v>240</v>
      </c>
      <c r="Q688" s="293">
        <v>367</v>
      </c>
      <c r="T688" s="299"/>
      <c r="V688" s="299"/>
      <c r="X688" s="299"/>
    </row>
    <row r="689" spans="1:24" s="292" customFormat="1" ht="9" customHeight="1" x14ac:dyDescent="0.25">
      <c r="A689" s="292" t="s">
        <v>47</v>
      </c>
      <c r="B689" s="293">
        <f t="shared" si="70"/>
        <v>5347</v>
      </c>
      <c r="C689" s="293"/>
      <c r="D689" s="299">
        <f t="shared" si="73"/>
        <v>4878</v>
      </c>
      <c r="E689" s="299"/>
      <c r="F689" s="293">
        <v>1307</v>
      </c>
      <c r="G689" s="293"/>
      <c r="H689" s="293">
        <f t="shared" ref="H689:H695" si="74">SUM(J689:M689)</f>
        <v>2307</v>
      </c>
      <c r="I689" s="293"/>
      <c r="J689" s="293">
        <v>265</v>
      </c>
      <c r="K689" s="293">
        <v>229</v>
      </c>
      <c r="L689" s="293">
        <v>174</v>
      </c>
      <c r="M689" s="293">
        <v>1639</v>
      </c>
      <c r="N689" s="293">
        <v>1070</v>
      </c>
      <c r="O689" s="293"/>
      <c r="P689" s="293">
        <v>194</v>
      </c>
      <c r="Q689" s="293">
        <v>469</v>
      </c>
      <c r="T689" s="299"/>
      <c r="V689" s="299"/>
      <c r="X689" s="299"/>
    </row>
    <row r="690" spans="1:24" s="292" customFormat="1" ht="9.6" customHeight="1" x14ac:dyDescent="0.25">
      <c r="A690" s="292" t="s">
        <v>48</v>
      </c>
      <c r="B690" s="293">
        <f t="shared" si="70"/>
        <v>4683</v>
      </c>
      <c r="C690" s="293"/>
      <c r="D690" s="299">
        <f t="shared" si="73"/>
        <v>4288</v>
      </c>
      <c r="E690" s="299"/>
      <c r="F690" s="293">
        <v>1801</v>
      </c>
      <c r="G690" s="293"/>
      <c r="H690" s="293">
        <f t="shared" si="74"/>
        <v>1813</v>
      </c>
      <c r="I690" s="304"/>
      <c r="J690" s="293">
        <v>167</v>
      </c>
      <c r="K690" s="293">
        <v>193</v>
      </c>
      <c r="L690" s="293">
        <v>389</v>
      </c>
      <c r="M690" s="293">
        <v>1064</v>
      </c>
      <c r="N690" s="293">
        <v>335</v>
      </c>
      <c r="O690" s="293"/>
      <c r="P690" s="293">
        <v>339</v>
      </c>
      <c r="Q690" s="293">
        <v>395</v>
      </c>
      <c r="T690" s="299"/>
      <c r="V690" s="299"/>
      <c r="X690" s="299"/>
    </row>
    <row r="691" spans="1:24" s="292" customFormat="1" ht="9" customHeight="1" x14ac:dyDescent="0.25">
      <c r="A691" s="300" t="s">
        <v>49</v>
      </c>
      <c r="B691" s="301">
        <f t="shared" si="70"/>
        <v>6772</v>
      </c>
      <c r="C691" s="301"/>
      <c r="D691" s="302">
        <f t="shared" si="73"/>
        <v>6214</v>
      </c>
      <c r="E691" s="302"/>
      <c r="F691" s="301">
        <v>1887</v>
      </c>
      <c r="G691" s="301"/>
      <c r="H691" s="301">
        <f t="shared" si="74"/>
        <v>2933</v>
      </c>
      <c r="I691" s="301"/>
      <c r="J691" s="301">
        <v>363</v>
      </c>
      <c r="K691" s="301">
        <v>361</v>
      </c>
      <c r="L691" s="301">
        <v>319</v>
      </c>
      <c r="M691" s="301">
        <v>1890</v>
      </c>
      <c r="N691" s="301">
        <v>1133</v>
      </c>
      <c r="O691" s="301"/>
      <c r="P691" s="301">
        <v>261</v>
      </c>
      <c r="Q691" s="301">
        <v>558</v>
      </c>
      <c r="T691" s="299"/>
      <c r="V691" s="299"/>
      <c r="X691" s="299"/>
    </row>
    <row r="692" spans="1:24" s="292" customFormat="1" ht="9" customHeight="1" x14ac:dyDescent="0.25">
      <c r="A692" s="292" t="s">
        <v>50</v>
      </c>
      <c r="B692" s="293">
        <f t="shared" si="70"/>
        <v>2349</v>
      </c>
      <c r="C692" s="293"/>
      <c r="D692" s="299">
        <f t="shared" si="73"/>
        <v>2159</v>
      </c>
      <c r="E692" s="299"/>
      <c r="F692" s="293">
        <v>878</v>
      </c>
      <c r="G692" s="293"/>
      <c r="H692" s="293">
        <f t="shared" si="74"/>
        <v>952</v>
      </c>
      <c r="I692" s="293"/>
      <c r="J692" s="293">
        <v>131</v>
      </c>
      <c r="K692" s="293">
        <v>119</v>
      </c>
      <c r="L692" s="293">
        <v>147</v>
      </c>
      <c r="M692" s="293">
        <v>555</v>
      </c>
      <c r="N692" s="293">
        <v>170</v>
      </c>
      <c r="O692" s="293"/>
      <c r="P692" s="293">
        <v>159</v>
      </c>
      <c r="Q692" s="293">
        <v>190</v>
      </c>
      <c r="T692" s="299"/>
      <c r="V692" s="299"/>
      <c r="X692" s="299"/>
    </row>
    <row r="693" spans="1:24" s="292" customFormat="1" ht="9" customHeight="1" x14ac:dyDescent="0.25">
      <c r="A693" s="292" t="s">
        <v>51</v>
      </c>
      <c r="B693" s="293">
        <f t="shared" si="70"/>
        <v>12196</v>
      </c>
      <c r="C693" s="293"/>
      <c r="D693" s="299">
        <f t="shared" si="73"/>
        <v>11235</v>
      </c>
      <c r="E693" s="299"/>
      <c r="F693" s="293">
        <v>4535</v>
      </c>
      <c r="G693" s="293"/>
      <c r="H693" s="293">
        <f t="shared" si="74"/>
        <v>4960</v>
      </c>
      <c r="I693" s="293"/>
      <c r="J693" s="293">
        <v>497</v>
      </c>
      <c r="K693" s="293">
        <v>505</v>
      </c>
      <c r="L693" s="293">
        <v>833</v>
      </c>
      <c r="M693" s="293">
        <v>3125</v>
      </c>
      <c r="N693" s="293">
        <v>1285</v>
      </c>
      <c r="O693" s="293"/>
      <c r="P693" s="293">
        <v>455</v>
      </c>
      <c r="Q693" s="293">
        <v>961</v>
      </c>
      <c r="T693" s="299"/>
      <c r="V693" s="299"/>
      <c r="X693" s="299"/>
    </row>
    <row r="694" spans="1:24" s="292" customFormat="1" ht="9" customHeight="1" x14ac:dyDescent="0.25">
      <c r="A694" s="292" t="s">
        <v>52</v>
      </c>
      <c r="B694" s="293">
        <f t="shared" si="70"/>
        <v>4119</v>
      </c>
      <c r="C694" s="293"/>
      <c r="D694" s="299">
        <f t="shared" si="73"/>
        <v>3780</v>
      </c>
      <c r="E694" s="299"/>
      <c r="F694" s="293">
        <v>924</v>
      </c>
      <c r="G694" s="293"/>
      <c r="H694" s="293">
        <f t="shared" si="74"/>
        <v>1706</v>
      </c>
      <c r="I694" s="293"/>
      <c r="J694" s="293">
        <v>162</v>
      </c>
      <c r="K694" s="293">
        <v>155</v>
      </c>
      <c r="L694" s="293">
        <v>154</v>
      </c>
      <c r="M694" s="293">
        <v>1235</v>
      </c>
      <c r="N694" s="293">
        <v>873</v>
      </c>
      <c r="O694" s="293"/>
      <c r="P694" s="293">
        <v>277</v>
      </c>
      <c r="Q694" s="293">
        <v>339</v>
      </c>
      <c r="T694" s="299"/>
      <c r="V694" s="299"/>
      <c r="X694" s="299"/>
    </row>
    <row r="695" spans="1:24" s="292" customFormat="1" ht="9" customHeight="1" x14ac:dyDescent="0.25">
      <c r="A695" s="300" t="s">
        <v>53</v>
      </c>
      <c r="B695" s="301">
        <f t="shared" si="70"/>
        <v>2806</v>
      </c>
      <c r="C695" s="301"/>
      <c r="D695" s="302">
        <f t="shared" si="73"/>
        <v>2644</v>
      </c>
      <c r="E695" s="302"/>
      <c r="F695" s="301">
        <v>1040</v>
      </c>
      <c r="G695" s="301"/>
      <c r="H695" s="301">
        <f t="shared" si="74"/>
        <v>1012</v>
      </c>
      <c r="I695" s="301"/>
      <c r="J695" s="301">
        <v>118</v>
      </c>
      <c r="K695" s="301">
        <v>112</v>
      </c>
      <c r="L695" s="301">
        <v>156</v>
      </c>
      <c r="M695" s="301">
        <v>626</v>
      </c>
      <c r="N695" s="301">
        <v>395</v>
      </c>
      <c r="O695" s="301"/>
      <c r="P695" s="301">
        <v>197</v>
      </c>
      <c r="Q695" s="301">
        <v>162</v>
      </c>
      <c r="T695" s="299"/>
      <c r="V695" s="299"/>
      <c r="X695" s="299"/>
    </row>
    <row r="696" spans="1:24" s="292" customFormat="1" ht="9" customHeight="1" x14ac:dyDescent="0.25">
      <c r="A696" s="296"/>
      <c r="B696" s="293"/>
      <c r="C696" s="293"/>
      <c r="D696" s="299"/>
      <c r="E696" s="299"/>
      <c r="F696" s="293"/>
      <c r="G696" s="293"/>
      <c r="H696" s="293"/>
      <c r="I696" s="293"/>
      <c r="J696" s="293"/>
      <c r="K696" s="293"/>
      <c r="L696" s="293"/>
      <c r="M696" s="293"/>
      <c r="N696" s="293"/>
      <c r="O696" s="293"/>
      <c r="P696" s="293"/>
      <c r="Q696" s="293"/>
    </row>
    <row r="697" spans="1:24" s="292" customFormat="1" ht="9" customHeight="1" x14ac:dyDescent="0.25">
      <c r="A697" s="294" t="s">
        <v>195</v>
      </c>
      <c r="B697" s="293"/>
      <c r="C697" s="293"/>
      <c r="D697" s="293"/>
      <c r="E697" s="293"/>
      <c r="F697" s="305"/>
      <c r="G697" s="306"/>
      <c r="H697" s="306"/>
      <c r="I697" s="306"/>
      <c r="J697" s="305"/>
      <c r="K697" s="305"/>
      <c r="L697" s="305"/>
      <c r="M697" s="306"/>
      <c r="N697" s="306"/>
      <c r="P697" s="306"/>
      <c r="Q697" s="306"/>
    </row>
    <row r="698" spans="1:24" s="292" customFormat="1" ht="9" customHeight="1" x14ac:dyDescent="0.25">
      <c r="A698" s="296" t="s">
        <v>21</v>
      </c>
      <c r="B698" s="295">
        <f>SUM(B700:B731)</f>
        <v>222923</v>
      </c>
      <c r="C698" s="297"/>
      <c r="D698" s="295">
        <f>SUM(D700:D731)</f>
        <v>204781</v>
      </c>
      <c r="E698" s="297"/>
      <c r="F698" s="295">
        <f>SUM(F700:F731)</f>
        <v>62715</v>
      </c>
      <c r="G698" s="295"/>
      <c r="H698" s="295">
        <f>SUM(H700:H731)</f>
        <v>96649</v>
      </c>
      <c r="I698" s="295"/>
      <c r="J698" s="295">
        <f>SUM(J700:J731)</f>
        <v>10236</v>
      </c>
      <c r="K698" s="295">
        <f>SUM(K700:K731)</f>
        <v>10723</v>
      </c>
      <c r="L698" s="295">
        <f>SUM(L700:L731)</f>
        <v>11485</v>
      </c>
      <c r="M698" s="295">
        <f>SUM(M700:M731)</f>
        <v>64205</v>
      </c>
      <c r="N698" s="295">
        <f>SUM(N700:N731)</f>
        <v>34774</v>
      </c>
      <c r="O698" s="295"/>
      <c r="P698" s="295">
        <f>SUM(P700:P731)</f>
        <v>10643</v>
      </c>
      <c r="Q698" s="295">
        <f>SUM(Q700:Q731)</f>
        <v>18142</v>
      </c>
      <c r="T698" s="299"/>
      <c r="V698" s="299"/>
      <c r="X698" s="299"/>
    </row>
    <row r="699" spans="1:24" s="292" customFormat="1" ht="3.95" customHeight="1" x14ac:dyDescent="0.25">
      <c r="A699" s="296"/>
      <c r="B699" s="295"/>
      <c r="C699" s="295"/>
      <c r="D699" s="298"/>
      <c r="E699" s="298"/>
      <c r="F699" s="295"/>
      <c r="G699" s="295"/>
      <c r="H699" s="295"/>
      <c r="I699" s="295"/>
      <c r="J699" s="295"/>
      <c r="K699" s="295"/>
      <c r="L699" s="295"/>
      <c r="M699" s="295"/>
      <c r="N699" s="295"/>
      <c r="O699" s="295"/>
      <c r="P699" s="295"/>
      <c r="Q699" s="295"/>
      <c r="T699" s="299"/>
      <c r="V699" s="299"/>
      <c r="X699" s="299"/>
    </row>
    <row r="700" spans="1:24" s="292" customFormat="1" ht="9" customHeight="1" x14ac:dyDescent="0.25">
      <c r="A700" s="292" t="s">
        <v>23</v>
      </c>
      <c r="B700" s="293">
        <f t="shared" ref="B700:B731" si="75">SUM(D700+Q700)</f>
        <v>2707</v>
      </c>
      <c r="C700" s="293"/>
      <c r="D700" s="299">
        <f t="shared" ref="D700:D731" si="76">SUM(F700+H700+P700+N700)</f>
        <v>2464</v>
      </c>
      <c r="E700" s="299"/>
      <c r="F700" s="293">
        <v>671</v>
      </c>
      <c r="G700" s="293"/>
      <c r="H700" s="293">
        <f>SUM(J700:M700)</f>
        <v>1317</v>
      </c>
      <c r="I700" s="293"/>
      <c r="J700" s="293">
        <v>121</v>
      </c>
      <c r="K700" s="293">
        <v>186</v>
      </c>
      <c r="L700" s="293">
        <v>119</v>
      </c>
      <c r="M700" s="293">
        <v>891</v>
      </c>
      <c r="N700" s="293">
        <v>402</v>
      </c>
      <c r="O700" s="293"/>
      <c r="P700" s="293">
        <v>74</v>
      </c>
      <c r="Q700" s="293">
        <v>243</v>
      </c>
      <c r="T700" s="299"/>
      <c r="V700" s="299"/>
      <c r="X700" s="299"/>
    </row>
    <row r="701" spans="1:24" s="292" customFormat="1" ht="9" customHeight="1" x14ac:dyDescent="0.25">
      <c r="A701" s="292" t="s">
        <v>24</v>
      </c>
      <c r="B701" s="293">
        <f t="shared" si="75"/>
        <v>5460</v>
      </c>
      <c r="C701" s="293"/>
      <c r="D701" s="299">
        <f t="shared" si="76"/>
        <v>4943</v>
      </c>
      <c r="E701" s="299"/>
      <c r="F701" s="293">
        <v>1244</v>
      </c>
      <c r="G701" s="293"/>
      <c r="H701" s="293">
        <f t="shared" ref="H701:H723" si="77">SUM(J701:M701)</f>
        <v>2551</v>
      </c>
      <c r="I701" s="293"/>
      <c r="J701" s="293">
        <v>290</v>
      </c>
      <c r="K701" s="293">
        <v>314</v>
      </c>
      <c r="L701" s="293">
        <v>214</v>
      </c>
      <c r="M701" s="293">
        <v>1733</v>
      </c>
      <c r="N701" s="293">
        <v>935</v>
      </c>
      <c r="O701" s="293"/>
      <c r="P701" s="293">
        <v>213</v>
      </c>
      <c r="Q701" s="293">
        <v>517</v>
      </c>
      <c r="T701" s="299"/>
      <c r="V701" s="299"/>
      <c r="X701" s="299"/>
    </row>
    <row r="702" spans="1:24" s="292" customFormat="1" ht="9" customHeight="1" x14ac:dyDescent="0.25">
      <c r="A702" s="292" t="s">
        <v>25</v>
      </c>
      <c r="B702" s="293">
        <f t="shared" si="75"/>
        <v>1748</v>
      </c>
      <c r="C702" s="293"/>
      <c r="D702" s="299">
        <f t="shared" si="76"/>
        <v>1615</v>
      </c>
      <c r="E702" s="299"/>
      <c r="F702" s="293">
        <v>565</v>
      </c>
      <c r="G702" s="293"/>
      <c r="H702" s="293">
        <f t="shared" si="77"/>
        <v>839</v>
      </c>
      <c r="I702" s="293"/>
      <c r="J702" s="293">
        <v>114</v>
      </c>
      <c r="K702" s="293">
        <v>95</v>
      </c>
      <c r="L702" s="293">
        <v>67</v>
      </c>
      <c r="M702" s="293">
        <v>563</v>
      </c>
      <c r="N702" s="293">
        <v>114</v>
      </c>
      <c r="O702" s="293"/>
      <c r="P702" s="293">
        <v>97</v>
      </c>
      <c r="Q702" s="293">
        <v>133</v>
      </c>
      <c r="T702" s="299"/>
      <c r="V702" s="299"/>
      <c r="X702" s="299"/>
    </row>
    <row r="703" spans="1:24" s="292" customFormat="1" ht="9" customHeight="1" x14ac:dyDescent="0.25">
      <c r="A703" s="300" t="s">
        <v>26</v>
      </c>
      <c r="B703" s="301">
        <f t="shared" si="75"/>
        <v>2093</v>
      </c>
      <c r="C703" s="301"/>
      <c r="D703" s="302">
        <f t="shared" si="76"/>
        <v>1912</v>
      </c>
      <c r="E703" s="302"/>
      <c r="F703" s="301">
        <v>792</v>
      </c>
      <c r="G703" s="301"/>
      <c r="H703" s="301">
        <f t="shared" si="77"/>
        <v>809</v>
      </c>
      <c r="I703" s="301"/>
      <c r="J703" s="301">
        <v>105</v>
      </c>
      <c r="K703" s="301">
        <v>92</v>
      </c>
      <c r="L703" s="301">
        <v>93</v>
      </c>
      <c r="M703" s="301">
        <v>519</v>
      </c>
      <c r="N703" s="301">
        <v>234</v>
      </c>
      <c r="O703" s="301"/>
      <c r="P703" s="301">
        <v>77</v>
      </c>
      <c r="Q703" s="301">
        <v>181</v>
      </c>
      <c r="T703" s="299"/>
      <c r="V703" s="299"/>
      <c r="X703" s="299"/>
    </row>
    <row r="704" spans="1:24" s="292" customFormat="1" ht="9" customHeight="1" x14ac:dyDescent="0.25">
      <c r="A704" s="292" t="s">
        <v>27</v>
      </c>
      <c r="B704" s="293">
        <f t="shared" si="75"/>
        <v>5502</v>
      </c>
      <c r="C704" s="293"/>
      <c r="D704" s="299">
        <f t="shared" si="76"/>
        <v>4980</v>
      </c>
      <c r="E704" s="299"/>
      <c r="F704" s="293">
        <v>1400</v>
      </c>
      <c r="G704" s="293"/>
      <c r="H704" s="293">
        <f t="shared" si="77"/>
        <v>2719</v>
      </c>
      <c r="I704" s="303"/>
      <c r="J704" s="293">
        <v>302</v>
      </c>
      <c r="K704" s="293">
        <v>329</v>
      </c>
      <c r="L704" s="293">
        <v>225</v>
      </c>
      <c r="M704" s="293">
        <v>1863</v>
      </c>
      <c r="N704" s="293">
        <v>719</v>
      </c>
      <c r="O704" s="293"/>
      <c r="P704" s="293">
        <v>142</v>
      </c>
      <c r="Q704" s="293">
        <v>522</v>
      </c>
      <c r="T704" s="299"/>
      <c r="V704" s="299"/>
      <c r="X704" s="299"/>
    </row>
    <row r="705" spans="1:24" s="292" customFormat="1" ht="9" customHeight="1" x14ac:dyDescent="0.25">
      <c r="A705" s="292" t="s">
        <v>28</v>
      </c>
      <c r="B705" s="293">
        <f t="shared" si="75"/>
        <v>1716</v>
      </c>
      <c r="C705" s="293"/>
      <c r="D705" s="299">
        <f t="shared" si="76"/>
        <v>1535</v>
      </c>
      <c r="E705" s="299"/>
      <c r="F705" s="293">
        <v>468</v>
      </c>
      <c r="G705" s="293"/>
      <c r="H705" s="293">
        <f t="shared" si="77"/>
        <v>768</v>
      </c>
      <c r="I705" s="293"/>
      <c r="J705" s="293">
        <v>94</v>
      </c>
      <c r="K705" s="293">
        <v>86</v>
      </c>
      <c r="L705" s="293">
        <v>79</v>
      </c>
      <c r="M705" s="293">
        <v>509</v>
      </c>
      <c r="N705" s="293">
        <v>186</v>
      </c>
      <c r="O705" s="293"/>
      <c r="P705" s="293">
        <v>113</v>
      </c>
      <c r="Q705" s="293">
        <v>181</v>
      </c>
      <c r="T705" s="299"/>
      <c r="V705" s="299"/>
      <c r="X705" s="299"/>
    </row>
    <row r="706" spans="1:24" s="292" customFormat="1" ht="9.6" customHeight="1" x14ac:dyDescent="0.25">
      <c r="A706" s="292" t="s">
        <v>29</v>
      </c>
      <c r="B706" s="293">
        <f t="shared" si="75"/>
        <v>6881</v>
      </c>
      <c r="C706" s="293"/>
      <c r="D706" s="299">
        <f t="shared" si="76"/>
        <v>6502</v>
      </c>
      <c r="E706" s="299"/>
      <c r="F706" s="293">
        <v>3227</v>
      </c>
      <c r="G706" s="293"/>
      <c r="H706" s="293">
        <f t="shared" si="77"/>
        <v>2445</v>
      </c>
      <c r="J706" s="293">
        <v>225</v>
      </c>
      <c r="K706" s="293">
        <v>295</v>
      </c>
      <c r="L706" s="293">
        <v>388</v>
      </c>
      <c r="M706" s="293">
        <v>1537</v>
      </c>
      <c r="N706" s="293">
        <v>489</v>
      </c>
      <c r="O706" s="293"/>
      <c r="P706" s="293">
        <v>341</v>
      </c>
      <c r="Q706" s="293">
        <v>379</v>
      </c>
      <c r="T706" s="299"/>
      <c r="V706" s="299"/>
      <c r="X706" s="299"/>
    </row>
    <row r="707" spans="1:24" s="292" customFormat="1" ht="9" customHeight="1" x14ac:dyDescent="0.25">
      <c r="A707" s="300" t="s">
        <v>30</v>
      </c>
      <c r="B707" s="301">
        <f t="shared" si="75"/>
        <v>5573</v>
      </c>
      <c r="C707" s="301"/>
      <c r="D707" s="302">
        <f t="shared" si="76"/>
        <v>5071</v>
      </c>
      <c r="E707" s="302"/>
      <c r="F707" s="301">
        <v>1684</v>
      </c>
      <c r="G707" s="301"/>
      <c r="H707" s="301">
        <f t="shared" si="77"/>
        <v>2519</v>
      </c>
      <c r="I707" s="301"/>
      <c r="J707" s="301">
        <v>284</v>
      </c>
      <c r="K707" s="301">
        <v>316</v>
      </c>
      <c r="L707" s="301">
        <v>233</v>
      </c>
      <c r="M707" s="301">
        <v>1686</v>
      </c>
      <c r="N707" s="301">
        <v>630</v>
      </c>
      <c r="O707" s="301"/>
      <c r="P707" s="301">
        <v>238</v>
      </c>
      <c r="Q707" s="301">
        <v>502</v>
      </c>
      <c r="T707" s="299"/>
      <c r="V707" s="299"/>
      <c r="X707" s="299"/>
    </row>
    <row r="708" spans="1:24" s="292" customFormat="1" ht="9" customHeight="1" x14ac:dyDescent="0.25">
      <c r="A708" s="292" t="s">
        <v>63</v>
      </c>
      <c r="B708" s="293">
        <f t="shared" si="75"/>
        <v>36191</v>
      </c>
      <c r="C708" s="293"/>
      <c r="D708" s="299">
        <f t="shared" si="76"/>
        <v>33108</v>
      </c>
      <c r="E708" s="299"/>
      <c r="F708" s="293">
        <v>5685</v>
      </c>
      <c r="G708" s="293"/>
      <c r="H708" s="293">
        <f t="shared" si="77"/>
        <v>19212</v>
      </c>
      <c r="I708" s="293"/>
      <c r="J708" s="293">
        <v>1511</v>
      </c>
      <c r="K708" s="293">
        <v>1870</v>
      </c>
      <c r="L708" s="293">
        <v>1518</v>
      </c>
      <c r="M708" s="293">
        <v>14313</v>
      </c>
      <c r="N708" s="293">
        <v>7902</v>
      </c>
      <c r="O708" s="293"/>
      <c r="P708" s="293">
        <v>309</v>
      </c>
      <c r="Q708" s="293">
        <v>3083</v>
      </c>
      <c r="T708" s="299"/>
      <c r="V708" s="299"/>
      <c r="X708" s="299"/>
    </row>
    <row r="709" spans="1:24" s="292" customFormat="1" ht="9" customHeight="1" x14ac:dyDescent="0.25">
      <c r="A709" s="292" t="s">
        <v>31</v>
      </c>
      <c r="B709" s="293">
        <f t="shared" si="75"/>
        <v>3639</v>
      </c>
      <c r="C709" s="293"/>
      <c r="D709" s="299">
        <f t="shared" si="76"/>
        <v>3341</v>
      </c>
      <c r="E709" s="299"/>
      <c r="F709" s="293">
        <v>984</v>
      </c>
      <c r="G709" s="293"/>
      <c r="H709" s="293">
        <f t="shared" si="77"/>
        <v>1495</v>
      </c>
      <c r="I709" s="293"/>
      <c r="J709" s="293">
        <v>152</v>
      </c>
      <c r="K709" s="293">
        <v>198</v>
      </c>
      <c r="L709" s="293">
        <v>171</v>
      </c>
      <c r="M709" s="293">
        <v>974</v>
      </c>
      <c r="N709" s="293">
        <v>655</v>
      </c>
      <c r="O709" s="293"/>
      <c r="P709" s="293">
        <v>207</v>
      </c>
      <c r="Q709" s="293">
        <v>298</v>
      </c>
      <c r="T709" s="299"/>
      <c r="V709" s="299"/>
      <c r="X709" s="299"/>
    </row>
    <row r="710" spans="1:24" s="292" customFormat="1" ht="9" customHeight="1" x14ac:dyDescent="0.25">
      <c r="A710" s="292" t="s">
        <v>32</v>
      </c>
      <c r="B710" s="293">
        <f t="shared" si="75"/>
        <v>8732</v>
      </c>
      <c r="C710" s="293"/>
      <c r="D710" s="299">
        <f t="shared" si="76"/>
        <v>7891</v>
      </c>
      <c r="E710" s="299"/>
      <c r="F710" s="293">
        <v>2664</v>
      </c>
      <c r="G710" s="293"/>
      <c r="H710" s="293">
        <f t="shared" si="77"/>
        <v>3497</v>
      </c>
      <c r="I710" s="293"/>
      <c r="J710" s="293">
        <v>424</v>
      </c>
      <c r="K710" s="293">
        <v>435</v>
      </c>
      <c r="L710" s="293">
        <v>388</v>
      </c>
      <c r="M710" s="293">
        <v>2250</v>
      </c>
      <c r="N710" s="293">
        <v>1346</v>
      </c>
      <c r="O710" s="293"/>
      <c r="P710" s="293">
        <v>384</v>
      </c>
      <c r="Q710" s="293">
        <v>841</v>
      </c>
      <c r="T710" s="299"/>
      <c r="V710" s="299"/>
      <c r="X710" s="299"/>
    </row>
    <row r="711" spans="1:24" s="292" customFormat="1" ht="9" customHeight="1" x14ac:dyDescent="0.25">
      <c r="A711" s="300" t="s">
        <v>33</v>
      </c>
      <c r="B711" s="301">
        <f t="shared" si="75"/>
        <v>6043</v>
      </c>
      <c r="C711" s="301"/>
      <c r="D711" s="302">
        <f t="shared" si="76"/>
        <v>5760</v>
      </c>
      <c r="E711" s="302"/>
      <c r="F711" s="301">
        <v>2884</v>
      </c>
      <c r="G711" s="301"/>
      <c r="H711" s="301">
        <f t="shared" si="77"/>
        <v>2102</v>
      </c>
      <c r="I711" s="301"/>
      <c r="J711" s="301">
        <v>231</v>
      </c>
      <c r="K711" s="301">
        <v>207</v>
      </c>
      <c r="L711" s="301">
        <v>462</v>
      </c>
      <c r="M711" s="301">
        <v>1202</v>
      </c>
      <c r="N711" s="301">
        <v>517</v>
      </c>
      <c r="O711" s="301"/>
      <c r="P711" s="301">
        <v>257</v>
      </c>
      <c r="Q711" s="301">
        <v>283</v>
      </c>
      <c r="T711" s="299"/>
      <c r="V711" s="299"/>
      <c r="X711" s="299"/>
    </row>
    <row r="712" spans="1:24" s="292" customFormat="1" ht="9" customHeight="1" x14ac:dyDescent="0.25">
      <c r="A712" s="292" t="s">
        <v>34</v>
      </c>
      <c r="B712" s="293">
        <f t="shared" si="75"/>
        <v>4660</v>
      </c>
      <c r="C712" s="293"/>
      <c r="D712" s="299">
        <f t="shared" si="76"/>
        <v>4286</v>
      </c>
      <c r="E712" s="299"/>
      <c r="F712" s="293">
        <v>1745</v>
      </c>
      <c r="G712" s="293"/>
      <c r="H712" s="293">
        <f t="shared" si="77"/>
        <v>1625</v>
      </c>
      <c r="I712" s="293"/>
      <c r="J712" s="293">
        <v>196</v>
      </c>
      <c r="K712" s="293">
        <v>188</v>
      </c>
      <c r="L712" s="293">
        <v>306</v>
      </c>
      <c r="M712" s="293">
        <v>935</v>
      </c>
      <c r="N712" s="293">
        <v>413</v>
      </c>
      <c r="O712" s="293"/>
      <c r="P712" s="293">
        <v>503</v>
      </c>
      <c r="Q712" s="293">
        <v>374</v>
      </c>
      <c r="T712" s="299"/>
      <c r="V712" s="299"/>
      <c r="X712" s="299"/>
    </row>
    <row r="713" spans="1:24" s="292" customFormat="1" ht="9" customHeight="1" x14ac:dyDescent="0.25">
      <c r="A713" s="292" t="s">
        <v>35</v>
      </c>
      <c r="B713" s="293">
        <f t="shared" si="75"/>
        <v>15083</v>
      </c>
      <c r="C713" s="293"/>
      <c r="D713" s="299">
        <f t="shared" si="76"/>
        <v>13916</v>
      </c>
      <c r="E713" s="299"/>
      <c r="F713" s="293">
        <v>3193</v>
      </c>
      <c r="G713" s="293"/>
      <c r="H713" s="293">
        <f t="shared" si="77"/>
        <v>5849</v>
      </c>
      <c r="I713" s="293"/>
      <c r="J713" s="293">
        <v>671</v>
      </c>
      <c r="K713" s="293">
        <v>641</v>
      </c>
      <c r="L713" s="293">
        <v>583</v>
      </c>
      <c r="M713" s="293">
        <v>3954</v>
      </c>
      <c r="N713" s="293">
        <v>4147</v>
      </c>
      <c r="O713" s="293"/>
      <c r="P713" s="293">
        <v>727</v>
      </c>
      <c r="Q713" s="293">
        <v>1167</v>
      </c>
      <c r="T713" s="299"/>
      <c r="V713" s="299"/>
      <c r="X713" s="299"/>
    </row>
    <row r="714" spans="1:24" s="292" customFormat="1" ht="9" customHeight="1" x14ac:dyDescent="0.25">
      <c r="A714" s="292" t="s">
        <v>36</v>
      </c>
      <c r="B714" s="293">
        <f t="shared" si="75"/>
        <v>21770</v>
      </c>
      <c r="C714" s="293"/>
      <c r="D714" s="299">
        <f t="shared" si="76"/>
        <v>19741</v>
      </c>
      <c r="E714" s="299"/>
      <c r="F714" s="293">
        <v>6161</v>
      </c>
      <c r="G714" s="293"/>
      <c r="H714" s="293">
        <f t="shared" si="77"/>
        <v>10254</v>
      </c>
      <c r="I714" s="293"/>
      <c r="J714" s="293">
        <v>1406</v>
      </c>
      <c r="K714" s="293">
        <v>1343</v>
      </c>
      <c r="L714" s="293">
        <v>1324</v>
      </c>
      <c r="M714" s="293">
        <v>6181</v>
      </c>
      <c r="N714" s="293">
        <v>2516</v>
      </c>
      <c r="O714" s="293"/>
      <c r="P714" s="293">
        <v>810</v>
      </c>
      <c r="Q714" s="293">
        <v>2029</v>
      </c>
      <c r="T714" s="299"/>
      <c r="V714" s="299"/>
      <c r="X714" s="299"/>
    </row>
    <row r="715" spans="1:24" s="292" customFormat="1" ht="9" customHeight="1" x14ac:dyDescent="0.25">
      <c r="A715" s="300" t="s">
        <v>37</v>
      </c>
      <c r="B715" s="301">
        <f t="shared" si="75"/>
        <v>7519</v>
      </c>
      <c r="C715" s="301"/>
      <c r="D715" s="302">
        <f t="shared" si="76"/>
        <v>6912</v>
      </c>
      <c r="E715" s="302"/>
      <c r="F715" s="301">
        <v>2266</v>
      </c>
      <c r="G715" s="301"/>
      <c r="H715" s="301">
        <f t="shared" si="77"/>
        <v>2820</v>
      </c>
      <c r="I715" s="301"/>
      <c r="J715" s="301">
        <v>326</v>
      </c>
      <c r="K715" s="301">
        <v>239</v>
      </c>
      <c r="L715" s="301">
        <v>534</v>
      </c>
      <c r="M715" s="301">
        <v>1721</v>
      </c>
      <c r="N715" s="301">
        <v>1092</v>
      </c>
      <c r="O715" s="301"/>
      <c r="P715" s="301">
        <v>734</v>
      </c>
      <c r="Q715" s="301">
        <v>607</v>
      </c>
      <c r="T715" s="299"/>
      <c r="V715" s="299"/>
      <c r="X715" s="299"/>
    </row>
    <row r="716" spans="1:24" s="292" customFormat="1" ht="9" customHeight="1" x14ac:dyDescent="0.25">
      <c r="A716" s="292" t="s">
        <v>38</v>
      </c>
      <c r="B716" s="293">
        <f t="shared" si="75"/>
        <v>3409</v>
      </c>
      <c r="C716" s="293"/>
      <c r="D716" s="299">
        <f t="shared" si="76"/>
        <v>3144</v>
      </c>
      <c r="E716" s="299"/>
      <c r="F716" s="293">
        <v>1029</v>
      </c>
      <c r="G716" s="293"/>
      <c r="H716" s="293">
        <f t="shared" si="77"/>
        <v>1605</v>
      </c>
      <c r="I716" s="293"/>
      <c r="J716" s="293">
        <v>199</v>
      </c>
      <c r="K716" s="293">
        <v>197</v>
      </c>
      <c r="L716" s="293">
        <v>171</v>
      </c>
      <c r="M716" s="293">
        <v>1038</v>
      </c>
      <c r="N716" s="293">
        <v>324</v>
      </c>
      <c r="O716" s="293"/>
      <c r="P716" s="293">
        <v>186</v>
      </c>
      <c r="Q716" s="293">
        <v>265</v>
      </c>
      <c r="T716" s="299"/>
      <c r="V716" s="299"/>
      <c r="X716" s="299"/>
    </row>
    <row r="717" spans="1:24" s="292" customFormat="1" ht="9" customHeight="1" x14ac:dyDescent="0.25">
      <c r="A717" s="292" t="s">
        <v>39</v>
      </c>
      <c r="B717" s="293">
        <f t="shared" si="75"/>
        <v>2561</v>
      </c>
      <c r="C717" s="293"/>
      <c r="D717" s="299">
        <f t="shared" si="76"/>
        <v>2374</v>
      </c>
      <c r="E717" s="299"/>
      <c r="F717" s="293">
        <v>865</v>
      </c>
      <c r="G717" s="293"/>
      <c r="H717" s="293">
        <f t="shared" si="77"/>
        <v>939</v>
      </c>
      <c r="I717" s="293"/>
      <c r="J717" s="293">
        <v>90</v>
      </c>
      <c r="K717" s="293">
        <v>81</v>
      </c>
      <c r="L717" s="293">
        <v>129</v>
      </c>
      <c r="M717" s="293">
        <v>639</v>
      </c>
      <c r="N717" s="293">
        <v>385</v>
      </c>
      <c r="O717" s="293"/>
      <c r="P717" s="293">
        <v>185</v>
      </c>
      <c r="Q717" s="293">
        <v>187</v>
      </c>
      <c r="T717" s="299"/>
      <c r="V717" s="299"/>
      <c r="X717" s="299"/>
    </row>
    <row r="718" spans="1:24" s="292" customFormat="1" ht="9" customHeight="1" x14ac:dyDescent="0.25">
      <c r="A718" s="292" t="s">
        <v>40</v>
      </c>
      <c r="B718" s="293">
        <f t="shared" si="75"/>
        <v>8942</v>
      </c>
      <c r="C718" s="293"/>
      <c r="D718" s="299">
        <f t="shared" si="76"/>
        <v>8102</v>
      </c>
      <c r="E718" s="299"/>
      <c r="F718" s="293">
        <v>1815</v>
      </c>
      <c r="G718" s="293"/>
      <c r="H718" s="293">
        <f t="shared" si="77"/>
        <v>4022</v>
      </c>
      <c r="I718" s="293"/>
      <c r="J718" s="293">
        <v>410</v>
      </c>
      <c r="K718" s="293">
        <v>411</v>
      </c>
      <c r="L718" s="293">
        <v>290</v>
      </c>
      <c r="M718" s="293">
        <v>2911</v>
      </c>
      <c r="N718" s="293">
        <v>1726</v>
      </c>
      <c r="O718" s="293"/>
      <c r="P718" s="293">
        <v>539</v>
      </c>
      <c r="Q718" s="293">
        <v>840</v>
      </c>
      <c r="T718" s="299"/>
      <c r="V718" s="299"/>
      <c r="X718" s="299"/>
    </row>
    <row r="719" spans="1:24" s="292" customFormat="1" ht="9" customHeight="1" x14ac:dyDescent="0.25">
      <c r="A719" s="300" t="s">
        <v>41</v>
      </c>
      <c r="B719" s="301">
        <f t="shared" si="75"/>
        <v>6526</v>
      </c>
      <c r="C719" s="301"/>
      <c r="D719" s="302">
        <f t="shared" si="76"/>
        <v>6143</v>
      </c>
      <c r="E719" s="302"/>
      <c r="F719" s="301">
        <v>2801</v>
      </c>
      <c r="G719" s="301"/>
      <c r="H719" s="301">
        <f t="shared" si="77"/>
        <v>2191</v>
      </c>
      <c r="I719" s="301"/>
      <c r="J719" s="301">
        <v>194</v>
      </c>
      <c r="K719" s="301">
        <v>240</v>
      </c>
      <c r="L719" s="301">
        <v>415</v>
      </c>
      <c r="M719" s="301">
        <v>1342</v>
      </c>
      <c r="N719" s="301">
        <v>680</v>
      </c>
      <c r="O719" s="301"/>
      <c r="P719" s="301">
        <v>471</v>
      </c>
      <c r="Q719" s="301">
        <v>383</v>
      </c>
      <c r="T719" s="299"/>
      <c r="V719" s="299"/>
      <c r="X719" s="299"/>
    </row>
    <row r="720" spans="1:24" s="292" customFormat="1" ht="9.6" customHeight="1" x14ac:dyDescent="0.25">
      <c r="A720" s="292" t="s">
        <v>42</v>
      </c>
      <c r="B720" s="293">
        <f t="shared" si="75"/>
        <v>9753</v>
      </c>
      <c r="C720" s="293"/>
      <c r="D720" s="299">
        <f t="shared" si="76"/>
        <v>9049</v>
      </c>
      <c r="E720" s="299"/>
      <c r="F720" s="293">
        <v>2828</v>
      </c>
      <c r="G720" s="293"/>
      <c r="H720" s="293">
        <f t="shared" si="77"/>
        <v>3617</v>
      </c>
      <c r="I720" s="304"/>
      <c r="J720" s="293">
        <v>328</v>
      </c>
      <c r="K720" s="293">
        <v>405</v>
      </c>
      <c r="L720" s="293">
        <v>562</v>
      </c>
      <c r="M720" s="293">
        <v>2322</v>
      </c>
      <c r="N720" s="293">
        <v>1895</v>
      </c>
      <c r="O720" s="293"/>
      <c r="P720" s="293">
        <v>709</v>
      </c>
      <c r="Q720" s="293">
        <v>704</v>
      </c>
      <c r="T720" s="299"/>
      <c r="V720" s="299"/>
      <c r="X720" s="299"/>
    </row>
    <row r="721" spans="1:24" s="292" customFormat="1" ht="9" customHeight="1" x14ac:dyDescent="0.25">
      <c r="A721" s="292" t="s">
        <v>43</v>
      </c>
      <c r="B721" s="293">
        <f t="shared" si="75"/>
        <v>3209</v>
      </c>
      <c r="C721" s="293"/>
      <c r="D721" s="299">
        <f t="shared" si="76"/>
        <v>2974</v>
      </c>
      <c r="E721" s="299"/>
      <c r="F721" s="293">
        <v>911</v>
      </c>
      <c r="G721" s="293"/>
      <c r="H721" s="293">
        <f t="shared" si="77"/>
        <v>1281</v>
      </c>
      <c r="I721" s="293"/>
      <c r="J721" s="293">
        <v>184</v>
      </c>
      <c r="K721" s="293">
        <v>154</v>
      </c>
      <c r="L721" s="293">
        <v>154</v>
      </c>
      <c r="M721" s="293">
        <v>789</v>
      </c>
      <c r="N721" s="293">
        <v>486</v>
      </c>
      <c r="O721" s="293"/>
      <c r="P721" s="293">
        <v>296</v>
      </c>
      <c r="Q721" s="293">
        <v>235</v>
      </c>
      <c r="T721" s="299"/>
      <c r="V721" s="299"/>
      <c r="X721" s="299"/>
    </row>
    <row r="722" spans="1:24" s="292" customFormat="1" ht="9" customHeight="1" x14ac:dyDescent="0.25">
      <c r="A722" s="292" t="s">
        <v>44</v>
      </c>
      <c r="B722" s="293">
        <f t="shared" si="75"/>
        <v>2515</v>
      </c>
      <c r="C722" s="293"/>
      <c r="D722" s="299">
        <f t="shared" si="76"/>
        <v>2268</v>
      </c>
      <c r="E722" s="299"/>
      <c r="F722" s="293">
        <v>790</v>
      </c>
      <c r="G722" s="293"/>
      <c r="H722" s="293">
        <f t="shared" si="77"/>
        <v>1204</v>
      </c>
      <c r="I722" s="293"/>
      <c r="J722" s="293">
        <v>155</v>
      </c>
      <c r="K722" s="293">
        <v>157</v>
      </c>
      <c r="L722" s="293">
        <v>127</v>
      </c>
      <c r="M722" s="293">
        <v>765</v>
      </c>
      <c r="N722" s="293">
        <v>217</v>
      </c>
      <c r="O722" s="293"/>
      <c r="P722" s="293">
        <v>57</v>
      </c>
      <c r="Q722" s="293">
        <v>247</v>
      </c>
      <c r="T722" s="299"/>
      <c r="V722" s="299"/>
      <c r="X722" s="299"/>
    </row>
    <row r="723" spans="1:24" s="292" customFormat="1" ht="9" customHeight="1" x14ac:dyDescent="0.25">
      <c r="A723" s="300" t="s">
        <v>45</v>
      </c>
      <c r="B723" s="301">
        <f t="shared" si="75"/>
        <v>4495</v>
      </c>
      <c r="C723" s="301"/>
      <c r="D723" s="302">
        <f t="shared" si="76"/>
        <v>4228</v>
      </c>
      <c r="E723" s="302"/>
      <c r="F723" s="301">
        <v>1172</v>
      </c>
      <c r="G723" s="301"/>
      <c r="H723" s="301">
        <f t="shared" si="77"/>
        <v>1708</v>
      </c>
      <c r="I723" s="301"/>
      <c r="J723" s="301">
        <v>192</v>
      </c>
      <c r="K723" s="301">
        <v>205</v>
      </c>
      <c r="L723" s="301">
        <v>264</v>
      </c>
      <c r="M723" s="301">
        <v>1047</v>
      </c>
      <c r="N723" s="301">
        <v>769</v>
      </c>
      <c r="O723" s="301"/>
      <c r="P723" s="301">
        <v>579</v>
      </c>
      <c r="Q723" s="301">
        <v>267</v>
      </c>
      <c r="T723" s="299"/>
      <c r="V723" s="299"/>
      <c r="X723" s="299"/>
    </row>
    <row r="724" spans="1:24" s="292" customFormat="1" ht="9" customHeight="1" x14ac:dyDescent="0.25">
      <c r="A724" s="292" t="s">
        <v>46</v>
      </c>
      <c r="B724" s="293">
        <f t="shared" si="75"/>
        <v>5827</v>
      </c>
      <c r="C724" s="293"/>
      <c r="D724" s="299">
        <f t="shared" si="76"/>
        <v>5417</v>
      </c>
      <c r="E724" s="299"/>
      <c r="F724" s="293">
        <v>1825</v>
      </c>
      <c r="G724" s="293"/>
      <c r="H724" s="293">
        <f>SUM(J724:M724)</f>
        <v>2586</v>
      </c>
      <c r="I724" s="293"/>
      <c r="J724" s="293">
        <v>277</v>
      </c>
      <c r="K724" s="293">
        <v>259</v>
      </c>
      <c r="L724" s="293">
        <v>332</v>
      </c>
      <c r="M724" s="293">
        <v>1718</v>
      </c>
      <c r="N724" s="293">
        <v>651</v>
      </c>
      <c r="O724" s="293"/>
      <c r="P724" s="293">
        <v>355</v>
      </c>
      <c r="Q724" s="293">
        <v>410</v>
      </c>
      <c r="T724" s="299"/>
      <c r="V724" s="299"/>
      <c r="X724" s="299"/>
    </row>
    <row r="725" spans="1:24" s="292" customFormat="1" ht="9" customHeight="1" x14ac:dyDescent="0.25">
      <c r="A725" s="292" t="s">
        <v>47</v>
      </c>
      <c r="B725" s="293">
        <f t="shared" si="75"/>
        <v>5930</v>
      </c>
      <c r="C725" s="293"/>
      <c r="D725" s="299">
        <f t="shared" si="76"/>
        <v>5337</v>
      </c>
      <c r="E725" s="299"/>
      <c r="F725" s="293">
        <v>1517</v>
      </c>
      <c r="G725" s="293"/>
      <c r="H725" s="293">
        <f t="shared" ref="H725:H731" si="78">SUM(J725:M725)</f>
        <v>2667</v>
      </c>
      <c r="I725" s="293"/>
      <c r="J725" s="293">
        <v>285</v>
      </c>
      <c r="K725" s="293">
        <v>275</v>
      </c>
      <c r="L725" s="293">
        <v>232</v>
      </c>
      <c r="M725" s="293">
        <v>1875</v>
      </c>
      <c r="N725" s="293">
        <v>892</v>
      </c>
      <c r="O725" s="293"/>
      <c r="P725" s="293">
        <v>261</v>
      </c>
      <c r="Q725" s="293">
        <v>593</v>
      </c>
      <c r="T725" s="299"/>
      <c r="V725" s="299"/>
      <c r="X725" s="299"/>
    </row>
    <row r="726" spans="1:24" s="292" customFormat="1" ht="9.6" customHeight="1" x14ac:dyDescent="0.25">
      <c r="A726" s="292" t="s">
        <v>48</v>
      </c>
      <c r="B726" s="293">
        <f t="shared" si="75"/>
        <v>5155</v>
      </c>
      <c r="C726" s="293"/>
      <c r="D726" s="299">
        <f t="shared" si="76"/>
        <v>4727</v>
      </c>
      <c r="E726" s="299"/>
      <c r="F726" s="293">
        <v>1929</v>
      </c>
      <c r="G726" s="293"/>
      <c r="H726" s="293">
        <f t="shared" si="78"/>
        <v>2064</v>
      </c>
      <c r="I726" s="304"/>
      <c r="J726" s="293">
        <v>181</v>
      </c>
      <c r="K726" s="293">
        <v>207</v>
      </c>
      <c r="L726" s="293">
        <v>405</v>
      </c>
      <c r="M726" s="293">
        <v>1271</v>
      </c>
      <c r="N726" s="293">
        <v>369</v>
      </c>
      <c r="O726" s="293"/>
      <c r="P726" s="293">
        <v>365</v>
      </c>
      <c r="Q726" s="293">
        <v>428</v>
      </c>
      <c r="T726" s="299"/>
      <c r="V726" s="299"/>
      <c r="X726" s="299"/>
    </row>
    <row r="727" spans="1:24" s="292" customFormat="1" ht="9" customHeight="1" x14ac:dyDescent="0.25">
      <c r="A727" s="300" t="s">
        <v>49</v>
      </c>
      <c r="B727" s="301">
        <f t="shared" si="75"/>
        <v>6955</v>
      </c>
      <c r="C727" s="301"/>
      <c r="D727" s="302">
        <f t="shared" si="76"/>
        <v>6436</v>
      </c>
      <c r="E727" s="302"/>
      <c r="F727" s="301">
        <v>2024</v>
      </c>
      <c r="G727" s="301"/>
      <c r="H727" s="301">
        <f t="shared" si="78"/>
        <v>2991</v>
      </c>
      <c r="I727" s="301"/>
      <c r="J727" s="301">
        <v>346</v>
      </c>
      <c r="K727" s="301">
        <v>353</v>
      </c>
      <c r="L727" s="301">
        <v>340</v>
      </c>
      <c r="M727" s="301">
        <v>1952</v>
      </c>
      <c r="N727" s="301">
        <v>1118</v>
      </c>
      <c r="O727" s="301"/>
      <c r="P727" s="301">
        <v>303</v>
      </c>
      <c r="Q727" s="301">
        <v>519</v>
      </c>
      <c r="T727" s="299"/>
      <c r="V727" s="299"/>
      <c r="X727" s="299"/>
    </row>
    <row r="728" spans="1:24" s="292" customFormat="1" ht="9" customHeight="1" x14ac:dyDescent="0.25">
      <c r="A728" s="292" t="s">
        <v>50</v>
      </c>
      <c r="B728" s="293">
        <f t="shared" si="75"/>
        <v>2406</v>
      </c>
      <c r="C728" s="293"/>
      <c r="D728" s="299">
        <f t="shared" si="76"/>
        <v>2236</v>
      </c>
      <c r="E728" s="299"/>
      <c r="F728" s="293">
        <v>918</v>
      </c>
      <c r="G728" s="293"/>
      <c r="H728" s="293">
        <f t="shared" si="78"/>
        <v>958</v>
      </c>
      <c r="I728" s="293"/>
      <c r="J728" s="293">
        <v>134</v>
      </c>
      <c r="K728" s="293">
        <v>119</v>
      </c>
      <c r="L728" s="293">
        <v>149</v>
      </c>
      <c r="M728" s="293">
        <v>556</v>
      </c>
      <c r="N728" s="293">
        <v>200</v>
      </c>
      <c r="O728" s="293"/>
      <c r="P728" s="293">
        <v>160</v>
      </c>
      <c r="Q728" s="293">
        <v>170</v>
      </c>
      <c r="T728" s="299"/>
      <c r="V728" s="299"/>
      <c r="X728" s="299"/>
    </row>
    <row r="729" spans="1:24" s="292" customFormat="1" ht="9" customHeight="1" x14ac:dyDescent="0.25">
      <c r="A729" s="292" t="s">
        <v>51</v>
      </c>
      <c r="B729" s="293">
        <f t="shared" si="75"/>
        <v>12574</v>
      </c>
      <c r="C729" s="293"/>
      <c r="D729" s="299">
        <f t="shared" si="76"/>
        <v>11588</v>
      </c>
      <c r="E729" s="299"/>
      <c r="F729" s="293">
        <v>4626</v>
      </c>
      <c r="G729" s="293"/>
      <c r="H729" s="293">
        <f t="shared" si="78"/>
        <v>5095</v>
      </c>
      <c r="I729" s="293"/>
      <c r="J729" s="293">
        <v>507</v>
      </c>
      <c r="K729" s="293">
        <v>538</v>
      </c>
      <c r="L729" s="293">
        <v>862</v>
      </c>
      <c r="M729" s="293">
        <v>3188</v>
      </c>
      <c r="N729" s="293">
        <v>1396</v>
      </c>
      <c r="O729" s="293"/>
      <c r="P729" s="293">
        <v>471</v>
      </c>
      <c r="Q729" s="293">
        <v>986</v>
      </c>
      <c r="T729" s="299"/>
      <c r="V729" s="299"/>
      <c r="X729" s="299"/>
    </row>
    <row r="730" spans="1:24" s="292" customFormat="1" ht="9" customHeight="1" x14ac:dyDescent="0.25">
      <c r="A730" s="292" t="s">
        <v>52</v>
      </c>
      <c r="B730" s="293">
        <f t="shared" si="75"/>
        <v>4360</v>
      </c>
      <c r="C730" s="293"/>
      <c r="D730" s="299">
        <f t="shared" si="76"/>
        <v>3968</v>
      </c>
      <c r="E730" s="299"/>
      <c r="F730" s="293">
        <v>983</v>
      </c>
      <c r="G730" s="293"/>
      <c r="H730" s="293">
        <f t="shared" si="78"/>
        <v>1799</v>
      </c>
      <c r="I730" s="293"/>
      <c r="J730" s="293">
        <v>166</v>
      </c>
      <c r="K730" s="293">
        <v>170</v>
      </c>
      <c r="L730" s="293">
        <v>176</v>
      </c>
      <c r="M730" s="293">
        <v>1287</v>
      </c>
      <c r="N730" s="293">
        <v>920</v>
      </c>
      <c r="O730" s="293"/>
      <c r="P730" s="293">
        <v>266</v>
      </c>
      <c r="Q730" s="293">
        <v>392</v>
      </c>
      <c r="T730" s="299"/>
      <c r="V730" s="299"/>
      <c r="X730" s="299"/>
    </row>
    <row r="731" spans="1:24" s="292" customFormat="1" ht="9" customHeight="1" x14ac:dyDescent="0.25">
      <c r="A731" s="300" t="s">
        <v>53</v>
      </c>
      <c r="B731" s="301">
        <f t="shared" si="75"/>
        <v>2989</v>
      </c>
      <c r="C731" s="301"/>
      <c r="D731" s="302">
        <f t="shared" si="76"/>
        <v>2813</v>
      </c>
      <c r="E731" s="302"/>
      <c r="F731" s="301">
        <v>1049</v>
      </c>
      <c r="G731" s="301"/>
      <c r="H731" s="301">
        <f t="shared" si="78"/>
        <v>1101</v>
      </c>
      <c r="I731" s="301"/>
      <c r="J731" s="301">
        <v>136</v>
      </c>
      <c r="K731" s="301">
        <v>118</v>
      </c>
      <c r="L731" s="301">
        <v>173</v>
      </c>
      <c r="M731" s="301">
        <v>674</v>
      </c>
      <c r="N731" s="301">
        <v>449</v>
      </c>
      <c r="O731" s="301"/>
      <c r="P731" s="301">
        <v>214</v>
      </c>
      <c r="Q731" s="301">
        <v>176</v>
      </c>
      <c r="T731" s="299"/>
      <c r="V731" s="299"/>
      <c r="X731" s="299"/>
    </row>
    <row r="732" spans="1:24" s="292" customFormat="1" ht="9" customHeight="1" x14ac:dyDescent="0.25">
      <c r="A732" s="296"/>
      <c r="B732" s="293"/>
      <c r="C732" s="293"/>
      <c r="D732" s="299"/>
      <c r="E732" s="299"/>
      <c r="F732" s="293"/>
      <c r="G732" s="293"/>
      <c r="H732" s="293"/>
      <c r="I732" s="293"/>
      <c r="J732" s="293"/>
      <c r="K732" s="293"/>
      <c r="L732" s="293"/>
      <c r="M732" s="293"/>
      <c r="N732" s="293"/>
      <c r="O732" s="293"/>
      <c r="P732" s="293"/>
      <c r="Q732" s="293"/>
    </row>
    <row r="733" spans="1:24" s="292" customFormat="1" ht="9" customHeight="1" x14ac:dyDescent="0.25">
      <c r="A733" s="294">
        <v>2015</v>
      </c>
      <c r="B733" s="293"/>
      <c r="C733" s="293"/>
      <c r="D733" s="293"/>
      <c r="E733" s="293"/>
      <c r="F733" s="305"/>
      <c r="G733" s="306"/>
      <c r="H733" s="306"/>
      <c r="I733" s="306"/>
      <c r="J733" s="305"/>
      <c r="K733" s="305"/>
      <c r="L733" s="305"/>
      <c r="M733" s="306"/>
      <c r="N733" s="306"/>
      <c r="P733" s="306"/>
      <c r="Q733" s="306"/>
    </row>
    <row r="734" spans="1:24" s="292" customFormat="1" ht="9" customHeight="1" x14ac:dyDescent="0.25">
      <c r="A734" s="296" t="s">
        <v>21</v>
      </c>
      <c r="B734" s="295">
        <f>SUM(B736:B767)</f>
        <v>233206</v>
      </c>
      <c r="C734" s="297"/>
      <c r="D734" s="295">
        <f>SUM(D736:D767)</f>
        <v>217756</v>
      </c>
      <c r="E734" s="297"/>
      <c r="F734" s="295">
        <f>SUM(F736:F767)</f>
        <v>67732</v>
      </c>
      <c r="G734" s="295"/>
      <c r="H734" s="295">
        <f>SUM(H736:H767)</f>
        <v>102198</v>
      </c>
      <c r="I734" s="295"/>
      <c r="J734" s="295">
        <f>SUM(J736:J767)</f>
        <v>10518</v>
      </c>
      <c r="K734" s="295">
        <f>SUM(K736:K767)</f>
        <v>11367</v>
      </c>
      <c r="L734" s="295">
        <f>SUM(L736:L767)</f>
        <v>11906</v>
      </c>
      <c r="M734" s="295">
        <f>SUM(M736:M767)</f>
        <v>68407</v>
      </c>
      <c r="N734" s="295">
        <f>SUM(N736:N767)</f>
        <v>35614</v>
      </c>
      <c r="O734" s="295"/>
      <c r="P734" s="295">
        <f>SUM(P736:P767)</f>
        <v>12212</v>
      </c>
      <c r="Q734" s="295">
        <f>SUM(Q736:Q767)</f>
        <v>15450</v>
      </c>
      <c r="T734" s="299"/>
      <c r="V734" s="299"/>
      <c r="X734" s="299"/>
    </row>
    <row r="735" spans="1:24" s="292" customFormat="1" ht="3.95" customHeight="1" x14ac:dyDescent="0.25">
      <c r="A735" s="296"/>
      <c r="B735" s="295"/>
      <c r="C735" s="295"/>
      <c r="D735" s="298"/>
      <c r="E735" s="298"/>
      <c r="F735" s="295"/>
      <c r="G735" s="295"/>
      <c r="H735" s="295"/>
      <c r="I735" s="295"/>
      <c r="J735" s="295"/>
      <c r="K735" s="295"/>
      <c r="L735" s="295"/>
      <c r="M735" s="295"/>
      <c r="N735" s="295"/>
      <c r="O735" s="295"/>
      <c r="P735" s="295"/>
      <c r="Q735" s="295"/>
      <c r="T735" s="299"/>
      <c r="V735" s="299"/>
      <c r="X735" s="299"/>
    </row>
    <row r="736" spans="1:24" s="292" customFormat="1" ht="9" customHeight="1" x14ac:dyDescent="0.25">
      <c r="A736" s="292" t="s">
        <v>23</v>
      </c>
      <c r="B736" s="293">
        <f t="shared" ref="B736:B767" si="79">SUM(D736+Q736)</f>
        <v>2779</v>
      </c>
      <c r="C736" s="293"/>
      <c r="D736" s="299">
        <f t="shared" ref="D736:D767" si="80">SUM(F736+H736+P736+N736)</f>
        <v>2589</v>
      </c>
      <c r="E736" s="299"/>
      <c r="F736" s="293">
        <v>720</v>
      </c>
      <c r="G736" s="293"/>
      <c r="H736" s="293">
        <f>SUM(J736:M736)</f>
        <v>1349</v>
      </c>
      <c r="I736" s="293"/>
      <c r="J736" s="293">
        <v>123</v>
      </c>
      <c r="K736" s="293">
        <v>193</v>
      </c>
      <c r="L736" s="293">
        <v>122</v>
      </c>
      <c r="M736" s="293">
        <v>911</v>
      </c>
      <c r="N736" s="293">
        <v>349</v>
      </c>
      <c r="O736" s="293"/>
      <c r="P736" s="293">
        <v>171</v>
      </c>
      <c r="Q736" s="293">
        <v>190</v>
      </c>
      <c r="T736" s="299"/>
      <c r="V736" s="299"/>
      <c r="X736" s="299"/>
    </row>
    <row r="737" spans="1:24" s="292" customFormat="1" ht="9" customHeight="1" x14ac:dyDescent="0.25">
      <c r="A737" s="292" t="s">
        <v>24</v>
      </c>
      <c r="B737" s="293">
        <f t="shared" si="79"/>
        <v>5798</v>
      </c>
      <c r="C737" s="293"/>
      <c r="D737" s="299">
        <f t="shared" si="80"/>
        <v>5361</v>
      </c>
      <c r="E737" s="299"/>
      <c r="F737" s="293">
        <v>1410</v>
      </c>
      <c r="G737" s="293"/>
      <c r="H737" s="293">
        <f t="shared" ref="H737:H767" si="81">SUM(J737:M737)</f>
        <v>2744</v>
      </c>
      <c r="I737" s="293"/>
      <c r="J737" s="293">
        <v>286</v>
      </c>
      <c r="K737" s="293">
        <v>339</v>
      </c>
      <c r="L737" s="293">
        <v>224</v>
      </c>
      <c r="M737" s="293">
        <v>1895</v>
      </c>
      <c r="N737" s="293">
        <v>937</v>
      </c>
      <c r="O737" s="293"/>
      <c r="P737" s="293">
        <v>270</v>
      </c>
      <c r="Q737" s="293">
        <v>437</v>
      </c>
      <c r="T737" s="299"/>
      <c r="V737" s="299"/>
      <c r="X737" s="299"/>
    </row>
    <row r="738" spans="1:24" s="292" customFormat="1" ht="9" customHeight="1" x14ac:dyDescent="0.25">
      <c r="A738" s="292" t="s">
        <v>25</v>
      </c>
      <c r="B738" s="293">
        <f t="shared" si="79"/>
        <v>1834</v>
      </c>
      <c r="C738" s="293"/>
      <c r="D738" s="299">
        <f t="shared" si="80"/>
        <v>1703</v>
      </c>
      <c r="E738" s="299"/>
      <c r="F738" s="293">
        <v>603</v>
      </c>
      <c r="G738" s="293"/>
      <c r="H738" s="293">
        <f t="shared" si="81"/>
        <v>903</v>
      </c>
      <c r="I738" s="293"/>
      <c r="J738" s="293">
        <v>120</v>
      </c>
      <c r="K738" s="293">
        <v>93</v>
      </c>
      <c r="L738" s="293">
        <v>79</v>
      </c>
      <c r="M738" s="293">
        <v>611</v>
      </c>
      <c r="N738" s="293">
        <v>118</v>
      </c>
      <c r="O738" s="293"/>
      <c r="P738" s="293">
        <v>79</v>
      </c>
      <c r="Q738" s="293">
        <v>131</v>
      </c>
      <c r="T738" s="299"/>
      <c r="V738" s="299"/>
      <c r="X738" s="299"/>
    </row>
    <row r="739" spans="1:24" s="292" customFormat="1" ht="9" customHeight="1" x14ac:dyDescent="0.25">
      <c r="A739" s="300" t="s">
        <v>26</v>
      </c>
      <c r="B739" s="301">
        <f t="shared" si="79"/>
        <v>2026</v>
      </c>
      <c r="C739" s="301"/>
      <c r="D739" s="302">
        <f t="shared" si="80"/>
        <v>1875</v>
      </c>
      <c r="E739" s="302"/>
      <c r="F739" s="301">
        <v>663</v>
      </c>
      <c r="G739" s="301"/>
      <c r="H739" s="301">
        <f t="shared" si="81"/>
        <v>860</v>
      </c>
      <c r="I739" s="301"/>
      <c r="J739" s="301">
        <v>114</v>
      </c>
      <c r="K739" s="301">
        <v>97</v>
      </c>
      <c r="L739" s="301">
        <v>102</v>
      </c>
      <c r="M739" s="301">
        <v>547</v>
      </c>
      <c r="N739" s="301">
        <v>250</v>
      </c>
      <c r="O739" s="301"/>
      <c r="P739" s="301">
        <v>102</v>
      </c>
      <c r="Q739" s="301">
        <v>151</v>
      </c>
      <c r="T739" s="299"/>
      <c r="V739" s="299"/>
      <c r="X739" s="299"/>
    </row>
    <row r="740" spans="1:24" s="292" customFormat="1" ht="9" customHeight="1" x14ac:dyDescent="0.25">
      <c r="A740" s="292" t="s">
        <v>27</v>
      </c>
      <c r="B740" s="293">
        <f t="shared" si="79"/>
        <v>5858</v>
      </c>
      <c r="C740" s="293"/>
      <c r="D740" s="299">
        <f t="shared" si="80"/>
        <v>5433</v>
      </c>
      <c r="E740" s="299"/>
      <c r="F740" s="293">
        <v>1474</v>
      </c>
      <c r="G740" s="293"/>
      <c r="H740" s="293">
        <f t="shared" si="81"/>
        <v>3004</v>
      </c>
      <c r="I740" s="303"/>
      <c r="J740" s="293">
        <v>286</v>
      </c>
      <c r="K740" s="293">
        <v>317</v>
      </c>
      <c r="L740" s="293">
        <v>195</v>
      </c>
      <c r="M740" s="293">
        <v>2206</v>
      </c>
      <c r="N740" s="293">
        <v>785</v>
      </c>
      <c r="O740" s="293"/>
      <c r="P740" s="293">
        <v>170</v>
      </c>
      <c r="Q740" s="293">
        <v>425</v>
      </c>
      <c r="T740" s="299"/>
      <c r="V740" s="299"/>
      <c r="X740" s="299"/>
    </row>
    <row r="741" spans="1:24" s="292" customFormat="1" ht="9" customHeight="1" x14ac:dyDescent="0.25">
      <c r="A741" s="292" t="s">
        <v>28</v>
      </c>
      <c r="B741" s="293">
        <f t="shared" si="79"/>
        <v>1804</v>
      </c>
      <c r="C741" s="293"/>
      <c r="D741" s="299">
        <f t="shared" si="80"/>
        <v>1666</v>
      </c>
      <c r="E741" s="299"/>
      <c r="F741" s="293">
        <v>469</v>
      </c>
      <c r="G741" s="293"/>
      <c r="H741" s="293">
        <f t="shared" si="81"/>
        <v>890</v>
      </c>
      <c r="I741" s="293"/>
      <c r="J741" s="293">
        <v>101</v>
      </c>
      <c r="K741" s="293">
        <v>86</v>
      </c>
      <c r="L741" s="293">
        <v>76</v>
      </c>
      <c r="M741" s="293">
        <v>627</v>
      </c>
      <c r="N741" s="293">
        <v>197</v>
      </c>
      <c r="O741" s="293"/>
      <c r="P741" s="293">
        <v>110</v>
      </c>
      <c r="Q741" s="293">
        <v>138</v>
      </c>
      <c r="T741" s="299"/>
      <c r="V741" s="299"/>
      <c r="X741" s="299"/>
    </row>
    <row r="742" spans="1:24" s="292" customFormat="1" ht="9.6" customHeight="1" x14ac:dyDescent="0.25">
      <c r="A742" s="292" t="s">
        <v>29</v>
      </c>
      <c r="B742" s="293">
        <f t="shared" si="79"/>
        <v>7148</v>
      </c>
      <c r="C742" s="293"/>
      <c r="D742" s="299">
        <f t="shared" si="80"/>
        <v>6792</v>
      </c>
      <c r="E742" s="299"/>
      <c r="F742" s="293">
        <v>3308</v>
      </c>
      <c r="G742" s="293"/>
      <c r="H742" s="293">
        <f t="shared" si="81"/>
        <v>2592</v>
      </c>
      <c r="J742" s="293">
        <v>234</v>
      </c>
      <c r="K742" s="293">
        <v>307</v>
      </c>
      <c r="L742" s="293">
        <v>424</v>
      </c>
      <c r="M742" s="293">
        <v>1627</v>
      </c>
      <c r="N742" s="293">
        <v>489</v>
      </c>
      <c r="O742" s="293"/>
      <c r="P742" s="293">
        <v>403</v>
      </c>
      <c r="Q742" s="293">
        <v>356</v>
      </c>
      <c r="T742" s="299"/>
      <c r="V742" s="299"/>
      <c r="X742" s="299"/>
    </row>
    <row r="743" spans="1:24" s="292" customFormat="1" ht="9" customHeight="1" x14ac:dyDescent="0.25">
      <c r="A743" s="300" t="s">
        <v>30</v>
      </c>
      <c r="B743" s="301">
        <f t="shared" si="79"/>
        <v>6155</v>
      </c>
      <c r="C743" s="301"/>
      <c r="D743" s="302">
        <f t="shared" si="80"/>
        <v>5662</v>
      </c>
      <c r="E743" s="302"/>
      <c r="F743" s="301">
        <v>1840</v>
      </c>
      <c r="G743" s="301"/>
      <c r="H743" s="301">
        <f t="shared" si="81"/>
        <v>2884</v>
      </c>
      <c r="I743" s="301"/>
      <c r="J743" s="301">
        <v>301</v>
      </c>
      <c r="K743" s="301">
        <v>333</v>
      </c>
      <c r="L743" s="301">
        <v>242</v>
      </c>
      <c r="M743" s="301">
        <v>2008</v>
      </c>
      <c r="N743" s="301">
        <v>689</v>
      </c>
      <c r="O743" s="301"/>
      <c r="P743" s="301">
        <v>249</v>
      </c>
      <c r="Q743" s="301">
        <v>493</v>
      </c>
      <c r="T743" s="299"/>
      <c r="V743" s="299"/>
      <c r="X743" s="299"/>
    </row>
    <row r="744" spans="1:24" s="292" customFormat="1" ht="9" customHeight="1" x14ac:dyDescent="0.25">
      <c r="A744" s="292" t="s">
        <v>63</v>
      </c>
      <c r="B744" s="293">
        <f t="shared" si="79"/>
        <v>37170</v>
      </c>
      <c r="C744" s="293"/>
      <c r="D744" s="299">
        <f t="shared" si="80"/>
        <v>34733</v>
      </c>
      <c r="E744" s="299"/>
      <c r="F744" s="293">
        <v>6683</v>
      </c>
      <c r="G744" s="293"/>
      <c r="H744" s="293">
        <f t="shared" si="81"/>
        <v>19469</v>
      </c>
      <c r="I744" s="293"/>
      <c r="J744" s="293">
        <v>1519</v>
      </c>
      <c r="K744" s="293">
        <v>1918</v>
      </c>
      <c r="L744" s="293">
        <v>1587</v>
      </c>
      <c r="M744" s="293">
        <v>14445</v>
      </c>
      <c r="N744" s="293">
        <v>7857</v>
      </c>
      <c r="O744" s="293"/>
      <c r="P744" s="293">
        <v>724</v>
      </c>
      <c r="Q744" s="293">
        <v>2437</v>
      </c>
      <c r="T744" s="299"/>
      <c r="V744" s="299"/>
      <c r="X744" s="299"/>
    </row>
    <row r="745" spans="1:24" s="292" customFormat="1" ht="9" customHeight="1" x14ac:dyDescent="0.25">
      <c r="A745" s="292" t="s">
        <v>31</v>
      </c>
      <c r="B745" s="293">
        <f t="shared" si="79"/>
        <v>3734</v>
      </c>
      <c r="C745" s="293"/>
      <c r="D745" s="299">
        <f t="shared" si="80"/>
        <v>3504</v>
      </c>
      <c r="E745" s="299"/>
      <c r="F745" s="293">
        <v>1082</v>
      </c>
      <c r="G745" s="293"/>
      <c r="H745" s="293">
        <f t="shared" si="81"/>
        <v>1612</v>
      </c>
      <c r="I745" s="293"/>
      <c r="J745" s="293">
        <v>153</v>
      </c>
      <c r="K745" s="293">
        <v>194</v>
      </c>
      <c r="L745" s="293">
        <v>174</v>
      </c>
      <c r="M745" s="293">
        <v>1091</v>
      </c>
      <c r="N745" s="293">
        <v>553</v>
      </c>
      <c r="O745" s="293"/>
      <c r="P745" s="293">
        <v>257</v>
      </c>
      <c r="Q745" s="293">
        <v>230</v>
      </c>
      <c r="T745" s="299"/>
      <c r="V745" s="299"/>
      <c r="X745" s="299"/>
    </row>
    <row r="746" spans="1:24" s="292" customFormat="1" ht="9" customHeight="1" x14ac:dyDescent="0.25">
      <c r="A746" s="292" t="s">
        <v>32</v>
      </c>
      <c r="B746" s="293">
        <f t="shared" si="79"/>
        <v>9029</v>
      </c>
      <c r="C746" s="293"/>
      <c r="D746" s="299">
        <f t="shared" si="80"/>
        <v>8355</v>
      </c>
      <c r="E746" s="299"/>
      <c r="F746" s="293">
        <v>2856</v>
      </c>
      <c r="G746" s="293"/>
      <c r="H746" s="293">
        <f t="shared" si="81"/>
        <v>3765</v>
      </c>
      <c r="I746" s="293"/>
      <c r="J746" s="293">
        <v>426</v>
      </c>
      <c r="K746" s="293">
        <v>512</v>
      </c>
      <c r="L746" s="293">
        <v>411</v>
      </c>
      <c r="M746" s="293">
        <v>2416</v>
      </c>
      <c r="N746" s="293">
        <v>1348</v>
      </c>
      <c r="O746" s="293"/>
      <c r="P746" s="293">
        <v>386</v>
      </c>
      <c r="Q746" s="293">
        <v>674</v>
      </c>
      <c r="T746" s="299"/>
      <c r="V746" s="299"/>
      <c r="X746" s="299"/>
    </row>
    <row r="747" spans="1:24" s="292" customFormat="1" ht="9" customHeight="1" x14ac:dyDescent="0.25">
      <c r="A747" s="300" t="s">
        <v>33</v>
      </c>
      <c r="B747" s="301">
        <f t="shared" si="79"/>
        <v>6386</v>
      </c>
      <c r="C747" s="301"/>
      <c r="D747" s="302">
        <f t="shared" si="80"/>
        <v>6134</v>
      </c>
      <c r="E747" s="302"/>
      <c r="F747" s="301">
        <v>3055</v>
      </c>
      <c r="G747" s="301"/>
      <c r="H747" s="301">
        <f t="shared" si="81"/>
        <v>2322</v>
      </c>
      <c r="I747" s="301"/>
      <c r="J747" s="301">
        <v>265</v>
      </c>
      <c r="K747" s="301">
        <v>242</v>
      </c>
      <c r="L747" s="301">
        <v>513</v>
      </c>
      <c r="M747" s="301">
        <v>1302</v>
      </c>
      <c r="N747" s="301">
        <v>469</v>
      </c>
      <c r="O747" s="301"/>
      <c r="P747" s="301">
        <v>288</v>
      </c>
      <c r="Q747" s="301">
        <v>252</v>
      </c>
      <c r="T747" s="299"/>
      <c r="V747" s="299"/>
      <c r="X747" s="299"/>
    </row>
    <row r="748" spans="1:24" s="292" customFormat="1" ht="9" customHeight="1" x14ac:dyDescent="0.25">
      <c r="A748" s="292" t="s">
        <v>34</v>
      </c>
      <c r="B748" s="293">
        <f t="shared" si="79"/>
        <v>4748</v>
      </c>
      <c r="C748" s="293"/>
      <c r="D748" s="299">
        <f t="shared" si="80"/>
        <v>4504</v>
      </c>
      <c r="E748" s="299"/>
      <c r="F748" s="293">
        <v>1838</v>
      </c>
      <c r="G748" s="293"/>
      <c r="H748" s="293">
        <f t="shared" si="81"/>
        <v>1726</v>
      </c>
      <c r="I748" s="293"/>
      <c r="J748" s="293">
        <v>201</v>
      </c>
      <c r="K748" s="293">
        <v>195</v>
      </c>
      <c r="L748" s="293">
        <v>314</v>
      </c>
      <c r="M748" s="293">
        <v>1016</v>
      </c>
      <c r="N748" s="293">
        <v>411</v>
      </c>
      <c r="O748" s="293"/>
      <c r="P748" s="293">
        <v>529</v>
      </c>
      <c r="Q748" s="293">
        <v>244</v>
      </c>
      <c r="T748" s="299"/>
      <c r="V748" s="299"/>
      <c r="X748" s="299"/>
    </row>
    <row r="749" spans="1:24" s="292" customFormat="1" ht="9" customHeight="1" x14ac:dyDescent="0.25">
      <c r="A749" s="292" t="s">
        <v>35</v>
      </c>
      <c r="B749" s="293">
        <f t="shared" si="79"/>
        <v>16108</v>
      </c>
      <c r="C749" s="293"/>
      <c r="D749" s="299">
        <f t="shared" si="80"/>
        <v>15109</v>
      </c>
      <c r="E749" s="299"/>
      <c r="F749" s="293">
        <v>3459</v>
      </c>
      <c r="G749" s="293"/>
      <c r="H749" s="293">
        <f t="shared" si="81"/>
        <v>6323</v>
      </c>
      <c r="I749" s="293"/>
      <c r="J749" s="293">
        <v>685</v>
      </c>
      <c r="K749" s="293">
        <v>737</v>
      </c>
      <c r="L749" s="293">
        <v>644</v>
      </c>
      <c r="M749" s="293">
        <v>4257</v>
      </c>
      <c r="N749" s="293">
        <v>4213</v>
      </c>
      <c r="O749" s="293"/>
      <c r="P749" s="293">
        <v>1114</v>
      </c>
      <c r="Q749" s="293">
        <v>999</v>
      </c>
      <c r="T749" s="299"/>
      <c r="V749" s="299"/>
      <c r="X749" s="299"/>
    </row>
    <row r="750" spans="1:24" s="292" customFormat="1" ht="9" customHeight="1" x14ac:dyDescent="0.25">
      <c r="A750" s="292" t="s">
        <v>36</v>
      </c>
      <c r="B750" s="293">
        <f t="shared" si="79"/>
        <v>23196</v>
      </c>
      <c r="C750" s="293"/>
      <c r="D750" s="299">
        <f t="shared" si="80"/>
        <v>21214</v>
      </c>
      <c r="E750" s="299"/>
      <c r="F750" s="293">
        <v>6829</v>
      </c>
      <c r="G750" s="293"/>
      <c r="H750" s="293">
        <f t="shared" si="81"/>
        <v>10759</v>
      </c>
      <c r="I750" s="293"/>
      <c r="J750" s="293">
        <v>1394</v>
      </c>
      <c r="K750" s="293">
        <v>1372</v>
      </c>
      <c r="L750" s="293">
        <v>1366</v>
      </c>
      <c r="M750" s="293">
        <v>6627</v>
      </c>
      <c r="N750" s="293">
        <v>2789</v>
      </c>
      <c r="O750" s="293"/>
      <c r="P750" s="293">
        <v>837</v>
      </c>
      <c r="Q750" s="293">
        <v>1982</v>
      </c>
      <c r="T750" s="299"/>
      <c r="V750" s="299"/>
      <c r="X750" s="299"/>
    </row>
    <row r="751" spans="1:24" s="292" customFormat="1" ht="9" customHeight="1" x14ac:dyDescent="0.25">
      <c r="A751" s="300" t="s">
        <v>37</v>
      </c>
      <c r="B751" s="301">
        <f t="shared" si="79"/>
        <v>7582</v>
      </c>
      <c r="C751" s="301"/>
      <c r="D751" s="302">
        <f t="shared" si="80"/>
        <v>7158</v>
      </c>
      <c r="E751" s="302"/>
      <c r="F751" s="301">
        <v>2503</v>
      </c>
      <c r="G751" s="301"/>
      <c r="H751" s="301">
        <f t="shared" si="81"/>
        <v>3002</v>
      </c>
      <c r="I751" s="301"/>
      <c r="J751" s="301">
        <v>333</v>
      </c>
      <c r="K751" s="301">
        <v>251</v>
      </c>
      <c r="L751" s="301">
        <v>559</v>
      </c>
      <c r="M751" s="301">
        <v>1859</v>
      </c>
      <c r="N751" s="301">
        <v>1103</v>
      </c>
      <c r="O751" s="301"/>
      <c r="P751" s="301">
        <v>550</v>
      </c>
      <c r="Q751" s="301">
        <v>424</v>
      </c>
      <c r="T751" s="299"/>
      <c r="V751" s="299"/>
      <c r="X751" s="299"/>
    </row>
    <row r="752" spans="1:24" s="292" customFormat="1" ht="9" customHeight="1" x14ac:dyDescent="0.25">
      <c r="A752" s="292" t="s">
        <v>38</v>
      </c>
      <c r="B752" s="293">
        <f t="shared" si="79"/>
        <v>3423</v>
      </c>
      <c r="C752" s="293"/>
      <c r="D752" s="299">
        <f t="shared" si="80"/>
        <v>3215</v>
      </c>
      <c r="E752" s="299"/>
      <c r="F752" s="293">
        <v>1045</v>
      </c>
      <c r="G752" s="293"/>
      <c r="H752" s="293">
        <f t="shared" si="81"/>
        <v>1669</v>
      </c>
      <c r="I752" s="293"/>
      <c r="J752" s="293">
        <v>201</v>
      </c>
      <c r="K752" s="293">
        <v>214</v>
      </c>
      <c r="L752" s="293">
        <v>174</v>
      </c>
      <c r="M752" s="293">
        <v>1080</v>
      </c>
      <c r="N752" s="293">
        <v>294</v>
      </c>
      <c r="O752" s="293"/>
      <c r="P752" s="293">
        <v>207</v>
      </c>
      <c r="Q752" s="293">
        <v>208</v>
      </c>
      <c r="T752" s="299"/>
      <c r="V752" s="299"/>
      <c r="X752" s="299"/>
    </row>
    <row r="753" spans="1:24" s="292" customFormat="1" ht="9" customHeight="1" x14ac:dyDescent="0.25">
      <c r="A753" s="292" t="s">
        <v>39</v>
      </c>
      <c r="B753" s="293">
        <f t="shared" si="79"/>
        <v>2611</v>
      </c>
      <c r="C753" s="293"/>
      <c r="D753" s="299">
        <f t="shared" si="80"/>
        <v>2461</v>
      </c>
      <c r="E753" s="299"/>
      <c r="F753" s="293">
        <v>919</v>
      </c>
      <c r="G753" s="293"/>
      <c r="H753" s="293">
        <f t="shared" si="81"/>
        <v>949</v>
      </c>
      <c r="I753" s="293"/>
      <c r="J753" s="293">
        <v>90</v>
      </c>
      <c r="K753" s="293">
        <v>88</v>
      </c>
      <c r="L753" s="293">
        <v>122</v>
      </c>
      <c r="M753" s="293">
        <v>649</v>
      </c>
      <c r="N753" s="293">
        <v>353</v>
      </c>
      <c r="O753" s="293"/>
      <c r="P753" s="293">
        <v>240</v>
      </c>
      <c r="Q753" s="293">
        <v>150</v>
      </c>
      <c r="T753" s="299"/>
      <c r="V753" s="299"/>
      <c r="X753" s="299"/>
    </row>
    <row r="754" spans="1:24" s="292" customFormat="1" ht="9" customHeight="1" x14ac:dyDescent="0.25">
      <c r="A754" s="292" t="s">
        <v>40</v>
      </c>
      <c r="B754" s="293">
        <f t="shared" si="79"/>
        <v>9390</v>
      </c>
      <c r="C754" s="293"/>
      <c r="D754" s="299">
        <f t="shared" si="80"/>
        <v>8682</v>
      </c>
      <c r="E754" s="299"/>
      <c r="F754" s="293">
        <v>2092</v>
      </c>
      <c r="G754" s="293"/>
      <c r="H754" s="293">
        <f t="shared" si="81"/>
        <v>4232</v>
      </c>
      <c r="I754" s="293"/>
      <c r="J754" s="293">
        <v>424</v>
      </c>
      <c r="K754" s="293">
        <v>452</v>
      </c>
      <c r="L754" s="293">
        <v>292</v>
      </c>
      <c r="M754" s="293">
        <v>3064</v>
      </c>
      <c r="N754" s="293">
        <v>1825</v>
      </c>
      <c r="O754" s="293"/>
      <c r="P754" s="293">
        <v>533</v>
      </c>
      <c r="Q754" s="293">
        <v>708</v>
      </c>
      <c r="T754" s="299"/>
      <c r="V754" s="299"/>
      <c r="X754" s="299"/>
    </row>
    <row r="755" spans="1:24" s="292" customFormat="1" ht="9" customHeight="1" x14ac:dyDescent="0.25">
      <c r="A755" s="300" t="s">
        <v>41</v>
      </c>
      <c r="B755" s="301">
        <f t="shared" si="79"/>
        <v>6511</v>
      </c>
      <c r="C755" s="301"/>
      <c r="D755" s="302">
        <f t="shared" si="80"/>
        <v>6188</v>
      </c>
      <c r="E755" s="302"/>
      <c r="F755" s="301">
        <v>2859</v>
      </c>
      <c r="G755" s="301"/>
      <c r="H755" s="301">
        <f t="shared" si="81"/>
        <v>2192</v>
      </c>
      <c r="I755" s="301"/>
      <c r="J755" s="301">
        <v>202</v>
      </c>
      <c r="K755" s="301">
        <v>254</v>
      </c>
      <c r="L755" s="301">
        <v>381</v>
      </c>
      <c r="M755" s="301">
        <v>1355</v>
      </c>
      <c r="N755" s="301">
        <v>675</v>
      </c>
      <c r="O755" s="301"/>
      <c r="P755" s="301">
        <v>462</v>
      </c>
      <c r="Q755" s="301">
        <v>323</v>
      </c>
      <c r="T755" s="299"/>
      <c r="V755" s="299"/>
      <c r="X755" s="299"/>
    </row>
    <row r="756" spans="1:24" s="292" customFormat="1" ht="9.6" customHeight="1" x14ac:dyDescent="0.25">
      <c r="A756" s="292" t="s">
        <v>42</v>
      </c>
      <c r="B756" s="293">
        <f t="shared" si="79"/>
        <v>10071</v>
      </c>
      <c r="C756" s="293"/>
      <c r="D756" s="299">
        <f t="shared" si="80"/>
        <v>9494</v>
      </c>
      <c r="E756" s="299"/>
      <c r="F756" s="293">
        <v>2980</v>
      </c>
      <c r="G756" s="293"/>
      <c r="H756" s="293">
        <f t="shared" si="81"/>
        <v>3844</v>
      </c>
      <c r="I756" s="304"/>
      <c r="J756" s="293">
        <v>332</v>
      </c>
      <c r="K756" s="293">
        <v>405</v>
      </c>
      <c r="L756" s="293">
        <v>593</v>
      </c>
      <c r="M756" s="293">
        <v>2514</v>
      </c>
      <c r="N756" s="293">
        <v>1997</v>
      </c>
      <c r="O756" s="293"/>
      <c r="P756" s="293">
        <v>673</v>
      </c>
      <c r="Q756" s="293">
        <v>577</v>
      </c>
      <c r="T756" s="299"/>
      <c r="V756" s="299"/>
      <c r="X756" s="299"/>
    </row>
    <row r="757" spans="1:24" s="292" customFormat="1" ht="9" customHeight="1" x14ac:dyDescent="0.25">
      <c r="A757" s="292" t="s">
        <v>43</v>
      </c>
      <c r="B757" s="293">
        <f t="shared" si="79"/>
        <v>3287</v>
      </c>
      <c r="C757" s="293"/>
      <c r="D757" s="299">
        <f t="shared" si="80"/>
        <v>3119</v>
      </c>
      <c r="E757" s="299"/>
      <c r="F757" s="293">
        <v>967</v>
      </c>
      <c r="G757" s="293"/>
      <c r="H757" s="293">
        <f t="shared" si="81"/>
        <v>1341</v>
      </c>
      <c r="I757" s="293"/>
      <c r="J757" s="293">
        <v>191</v>
      </c>
      <c r="K757" s="293">
        <v>162</v>
      </c>
      <c r="L757" s="293">
        <v>163</v>
      </c>
      <c r="M757" s="293">
        <v>825</v>
      </c>
      <c r="N757" s="293">
        <v>498</v>
      </c>
      <c r="O757" s="293"/>
      <c r="P757" s="293">
        <v>313</v>
      </c>
      <c r="Q757" s="293">
        <v>168</v>
      </c>
      <c r="T757" s="299"/>
      <c r="V757" s="299"/>
      <c r="X757" s="299"/>
    </row>
    <row r="758" spans="1:24" s="292" customFormat="1" ht="9" customHeight="1" x14ac:dyDescent="0.25">
      <c r="A758" s="292" t="s">
        <v>44</v>
      </c>
      <c r="B758" s="293">
        <f t="shared" si="79"/>
        <v>2575</v>
      </c>
      <c r="C758" s="293"/>
      <c r="D758" s="299">
        <f t="shared" si="80"/>
        <v>2342</v>
      </c>
      <c r="E758" s="299"/>
      <c r="F758" s="293">
        <v>813</v>
      </c>
      <c r="G758" s="293"/>
      <c r="H758" s="293">
        <f t="shared" si="81"/>
        <v>1239</v>
      </c>
      <c r="I758" s="293"/>
      <c r="J758" s="293">
        <v>158</v>
      </c>
      <c r="K758" s="293">
        <v>168</v>
      </c>
      <c r="L758" s="293">
        <v>129</v>
      </c>
      <c r="M758" s="293">
        <v>784</v>
      </c>
      <c r="N758" s="293">
        <v>208</v>
      </c>
      <c r="O758" s="293"/>
      <c r="P758" s="293">
        <v>82</v>
      </c>
      <c r="Q758" s="293">
        <v>233</v>
      </c>
      <c r="T758" s="299"/>
      <c r="V758" s="299"/>
      <c r="X758" s="299"/>
    </row>
    <row r="759" spans="1:24" s="292" customFormat="1" ht="9" customHeight="1" x14ac:dyDescent="0.25">
      <c r="A759" s="300" t="s">
        <v>45</v>
      </c>
      <c r="B759" s="301">
        <f t="shared" si="79"/>
        <v>4563</v>
      </c>
      <c r="C759" s="301"/>
      <c r="D759" s="302">
        <f t="shared" si="80"/>
        <v>4363</v>
      </c>
      <c r="E759" s="302"/>
      <c r="F759" s="301">
        <v>1205</v>
      </c>
      <c r="G759" s="301"/>
      <c r="H759" s="301">
        <f t="shared" si="81"/>
        <v>1805</v>
      </c>
      <c r="I759" s="301"/>
      <c r="J759" s="301">
        <v>195</v>
      </c>
      <c r="K759" s="301">
        <v>217</v>
      </c>
      <c r="L759" s="301">
        <v>265</v>
      </c>
      <c r="M759" s="301">
        <v>1128</v>
      </c>
      <c r="N759" s="301">
        <v>782</v>
      </c>
      <c r="O759" s="301"/>
      <c r="P759" s="301">
        <v>571</v>
      </c>
      <c r="Q759" s="301">
        <v>200</v>
      </c>
      <c r="T759" s="299"/>
      <c r="V759" s="299"/>
      <c r="X759" s="299"/>
    </row>
    <row r="760" spans="1:24" s="292" customFormat="1" ht="9" customHeight="1" x14ac:dyDescent="0.25">
      <c r="A760" s="292" t="s">
        <v>46</v>
      </c>
      <c r="B760" s="293">
        <f t="shared" si="79"/>
        <v>5933</v>
      </c>
      <c r="C760" s="293"/>
      <c r="D760" s="299">
        <f t="shared" si="80"/>
        <v>5572</v>
      </c>
      <c r="E760" s="299"/>
      <c r="F760" s="293">
        <v>1923</v>
      </c>
      <c r="G760" s="293"/>
      <c r="H760" s="293">
        <f t="shared" si="81"/>
        <v>2647</v>
      </c>
      <c r="I760" s="293"/>
      <c r="J760" s="293">
        <v>277</v>
      </c>
      <c r="K760" s="293">
        <v>263</v>
      </c>
      <c r="L760" s="293">
        <v>331</v>
      </c>
      <c r="M760" s="293">
        <v>1776</v>
      </c>
      <c r="N760" s="293">
        <v>673</v>
      </c>
      <c r="O760" s="293"/>
      <c r="P760" s="293">
        <v>329</v>
      </c>
      <c r="Q760" s="293">
        <v>361</v>
      </c>
      <c r="T760" s="299"/>
      <c r="V760" s="299"/>
      <c r="X760" s="299"/>
    </row>
    <row r="761" spans="1:24" s="292" customFormat="1" ht="9" customHeight="1" x14ac:dyDescent="0.25">
      <c r="A761" s="292" t="s">
        <v>47</v>
      </c>
      <c r="B761" s="293">
        <f t="shared" si="79"/>
        <v>6524</v>
      </c>
      <c r="C761" s="293"/>
      <c r="D761" s="299">
        <f t="shared" si="80"/>
        <v>5990</v>
      </c>
      <c r="E761" s="299"/>
      <c r="F761" s="293">
        <v>1800</v>
      </c>
      <c r="G761" s="293"/>
      <c r="H761" s="293">
        <f t="shared" si="81"/>
        <v>2918</v>
      </c>
      <c r="I761" s="293"/>
      <c r="J761" s="293">
        <v>320</v>
      </c>
      <c r="K761" s="293">
        <v>319</v>
      </c>
      <c r="L761" s="293">
        <v>240</v>
      </c>
      <c r="M761" s="293">
        <v>2039</v>
      </c>
      <c r="N761" s="293">
        <v>946</v>
      </c>
      <c r="O761" s="293"/>
      <c r="P761" s="293">
        <v>326</v>
      </c>
      <c r="Q761" s="293">
        <v>534</v>
      </c>
      <c r="T761" s="299"/>
      <c r="V761" s="299"/>
      <c r="X761" s="299"/>
    </row>
    <row r="762" spans="1:24" s="292" customFormat="1" ht="9.6" customHeight="1" x14ac:dyDescent="0.25">
      <c r="A762" s="292" t="s">
        <v>48</v>
      </c>
      <c r="B762" s="293">
        <f t="shared" si="79"/>
        <v>5335</v>
      </c>
      <c r="C762" s="293"/>
      <c r="D762" s="299">
        <f t="shared" si="80"/>
        <v>4976</v>
      </c>
      <c r="E762" s="299"/>
      <c r="F762" s="293">
        <v>2068</v>
      </c>
      <c r="G762" s="293"/>
      <c r="H762" s="293">
        <f t="shared" si="81"/>
        <v>2026</v>
      </c>
      <c r="I762" s="304"/>
      <c r="J762" s="293">
        <v>179</v>
      </c>
      <c r="K762" s="293">
        <v>226</v>
      </c>
      <c r="L762" s="293">
        <v>403</v>
      </c>
      <c r="M762" s="293">
        <v>1218</v>
      </c>
      <c r="N762" s="293">
        <v>502</v>
      </c>
      <c r="O762" s="293"/>
      <c r="P762" s="293">
        <v>380</v>
      </c>
      <c r="Q762" s="293">
        <v>359</v>
      </c>
      <c r="T762" s="299"/>
      <c r="V762" s="299"/>
      <c r="X762" s="299"/>
    </row>
    <row r="763" spans="1:24" s="292" customFormat="1" ht="9" customHeight="1" x14ac:dyDescent="0.25">
      <c r="A763" s="300" t="s">
        <v>49</v>
      </c>
      <c r="B763" s="301">
        <f t="shared" si="79"/>
        <v>7548</v>
      </c>
      <c r="C763" s="301"/>
      <c r="D763" s="302">
        <f t="shared" si="80"/>
        <v>7063</v>
      </c>
      <c r="E763" s="302"/>
      <c r="F763" s="301">
        <v>2193</v>
      </c>
      <c r="G763" s="301"/>
      <c r="H763" s="301">
        <f t="shared" si="81"/>
        <v>3178</v>
      </c>
      <c r="I763" s="301"/>
      <c r="J763" s="301">
        <v>369</v>
      </c>
      <c r="K763" s="301">
        <v>371</v>
      </c>
      <c r="L763" s="301">
        <v>351</v>
      </c>
      <c r="M763" s="301">
        <v>2087</v>
      </c>
      <c r="N763" s="301">
        <v>1232</v>
      </c>
      <c r="O763" s="301"/>
      <c r="P763" s="301">
        <v>460</v>
      </c>
      <c r="Q763" s="301">
        <v>485</v>
      </c>
      <c r="T763" s="299"/>
      <c r="V763" s="299"/>
      <c r="X763" s="299"/>
    </row>
    <row r="764" spans="1:24" s="292" customFormat="1" ht="9" customHeight="1" x14ac:dyDescent="0.25">
      <c r="A764" s="292" t="s">
        <v>50</v>
      </c>
      <c r="B764" s="293">
        <f t="shared" si="79"/>
        <v>2436</v>
      </c>
      <c r="C764" s="293"/>
      <c r="D764" s="299">
        <f t="shared" si="80"/>
        <v>2294</v>
      </c>
      <c r="E764" s="299"/>
      <c r="F764" s="293">
        <v>940</v>
      </c>
      <c r="G764" s="293"/>
      <c r="H764" s="293">
        <f t="shared" si="81"/>
        <v>989</v>
      </c>
      <c r="I764" s="293"/>
      <c r="J764" s="293">
        <v>124</v>
      </c>
      <c r="K764" s="293">
        <v>116</v>
      </c>
      <c r="L764" s="293">
        <v>168</v>
      </c>
      <c r="M764" s="293">
        <v>581</v>
      </c>
      <c r="N764" s="293">
        <v>190</v>
      </c>
      <c r="O764" s="293"/>
      <c r="P764" s="293">
        <v>175</v>
      </c>
      <c r="Q764" s="293">
        <v>142</v>
      </c>
      <c r="T764" s="299"/>
      <c r="V764" s="299"/>
      <c r="X764" s="299"/>
    </row>
    <row r="765" spans="1:24" s="292" customFormat="1" ht="9" customHeight="1" x14ac:dyDescent="0.25">
      <c r="A765" s="292" t="s">
        <v>51</v>
      </c>
      <c r="B765" s="293">
        <f t="shared" si="79"/>
        <v>13670</v>
      </c>
      <c r="C765" s="293"/>
      <c r="D765" s="299">
        <f t="shared" si="80"/>
        <v>12776</v>
      </c>
      <c r="E765" s="299"/>
      <c r="F765" s="293">
        <v>4885</v>
      </c>
      <c r="G765" s="293"/>
      <c r="H765" s="293">
        <f t="shared" si="81"/>
        <v>5784</v>
      </c>
      <c r="I765" s="293"/>
      <c r="J765" s="293">
        <v>582</v>
      </c>
      <c r="K765" s="293">
        <v>576</v>
      </c>
      <c r="L765" s="293">
        <v>900</v>
      </c>
      <c r="M765" s="293">
        <v>3726</v>
      </c>
      <c r="N765" s="293">
        <v>1471</v>
      </c>
      <c r="O765" s="293"/>
      <c r="P765" s="293">
        <v>636</v>
      </c>
      <c r="Q765" s="293">
        <v>894</v>
      </c>
      <c r="T765" s="299"/>
      <c r="V765" s="299"/>
      <c r="X765" s="299"/>
    </row>
    <row r="766" spans="1:24" s="292" customFormat="1" ht="9" customHeight="1" x14ac:dyDescent="0.25">
      <c r="A766" s="292" t="s">
        <v>52</v>
      </c>
      <c r="B766" s="293">
        <f t="shared" si="79"/>
        <v>4826</v>
      </c>
      <c r="C766" s="293"/>
      <c r="D766" s="299">
        <f t="shared" si="80"/>
        <v>4442</v>
      </c>
      <c r="E766" s="299"/>
      <c r="F766" s="293">
        <v>1172</v>
      </c>
      <c r="G766" s="293"/>
      <c r="H766" s="293">
        <f t="shared" si="81"/>
        <v>2033</v>
      </c>
      <c r="I766" s="293"/>
      <c r="J766" s="293">
        <v>196</v>
      </c>
      <c r="K766" s="293">
        <v>223</v>
      </c>
      <c r="L766" s="293">
        <v>189</v>
      </c>
      <c r="M766" s="293">
        <v>1425</v>
      </c>
      <c r="N766" s="293">
        <v>962</v>
      </c>
      <c r="O766" s="293"/>
      <c r="P766" s="293">
        <v>275</v>
      </c>
      <c r="Q766" s="293">
        <v>384</v>
      </c>
      <c r="T766" s="299"/>
      <c r="V766" s="299"/>
      <c r="X766" s="299"/>
    </row>
    <row r="767" spans="1:24" s="292" customFormat="1" ht="9" customHeight="1" x14ac:dyDescent="0.25">
      <c r="A767" s="300" t="s">
        <v>53</v>
      </c>
      <c r="B767" s="301">
        <f t="shared" si="79"/>
        <v>3148</v>
      </c>
      <c r="C767" s="301"/>
      <c r="D767" s="302">
        <f t="shared" si="80"/>
        <v>2987</v>
      </c>
      <c r="E767" s="302"/>
      <c r="F767" s="301">
        <v>1079</v>
      </c>
      <c r="G767" s="301"/>
      <c r="H767" s="301">
        <f t="shared" si="81"/>
        <v>1148</v>
      </c>
      <c r="I767" s="301"/>
      <c r="J767" s="301">
        <v>137</v>
      </c>
      <c r="K767" s="301">
        <v>127</v>
      </c>
      <c r="L767" s="301">
        <v>173</v>
      </c>
      <c r="M767" s="301">
        <v>711</v>
      </c>
      <c r="N767" s="301">
        <v>449</v>
      </c>
      <c r="O767" s="301"/>
      <c r="P767" s="301">
        <v>311</v>
      </c>
      <c r="Q767" s="301">
        <v>161</v>
      </c>
      <c r="T767" s="299"/>
      <c r="V767" s="299"/>
      <c r="X767" s="299"/>
    </row>
    <row r="768" spans="1:24" s="292" customFormat="1" ht="9" customHeight="1" x14ac:dyDescent="0.25">
      <c r="A768" s="296"/>
      <c r="B768" s="293"/>
      <c r="C768" s="293"/>
      <c r="D768" s="299"/>
      <c r="E768" s="299"/>
      <c r="F768" s="293"/>
      <c r="G768" s="293"/>
      <c r="H768" s="293"/>
      <c r="I768" s="293"/>
      <c r="J768" s="293"/>
      <c r="K768" s="293"/>
      <c r="L768" s="293"/>
      <c r="M768" s="293"/>
      <c r="N768" s="293"/>
      <c r="O768" s="293"/>
      <c r="P768" s="293"/>
      <c r="Q768" s="293"/>
    </row>
    <row r="769" spans="1:24" s="292" customFormat="1" ht="9" customHeight="1" x14ac:dyDescent="0.25">
      <c r="A769" s="294">
        <v>2016</v>
      </c>
      <c r="B769" s="293"/>
      <c r="C769" s="293"/>
      <c r="D769" s="293"/>
      <c r="E769" s="293"/>
      <c r="F769" s="305"/>
      <c r="G769" s="306"/>
      <c r="H769" s="306"/>
      <c r="I769" s="306"/>
      <c r="J769" s="305"/>
      <c r="K769" s="305"/>
      <c r="L769" s="305"/>
      <c r="M769" s="306"/>
      <c r="N769" s="306"/>
      <c r="P769" s="306"/>
      <c r="Q769" s="306"/>
    </row>
    <row r="770" spans="1:24" s="292" customFormat="1" ht="9" customHeight="1" x14ac:dyDescent="0.25">
      <c r="A770" s="296" t="s">
        <v>21</v>
      </c>
      <c r="B770" s="295">
        <f>SUM(B772:B803)</f>
        <v>240036</v>
      </c>
      <c r="C770" s="297"/>
      <c r="D770" s="295">
        <f>SUM(D772:D803)</f>
        <v>224648</v>
      </c>
      <c r="E770" s="297"/>
      <c r="F770" s="295">
        <f>SUM(F772:F803)</f>
        <v>69520</v>
      </c>
      <c r="G770" s="295"/>
      <c r="H770" s="295">
        <f>SUM(H772:H803)</f>
        <v>102222</v>
      </c>
      <c r="I770" s="295"/>
      <c r="J770" s="295">
        <f>SUM(J772:J803)</f>
        <v>10694</v>
      </c>
      <c r="K770" s="295">
        <f>SUM(K772:K803)</f>
        <v>11102</v>
      </c>
      <c r="L770" s="295">
        <f>SUM(L772:L803)</f>
        <v>11642</v>
      </c>
      <c r="M770" s="295">
        <f>SUM(M772:M803)</f>
        <v>68784</v>
      </c>
      <c r="N770" s="295">
        <f>SUM(N772:N803)</f>
        <v>40611</v>
      </c>
      <c r="O770" s="295"/>
      <c r="P770" s="295">
        <f>SUM(P772:P803)</f>
        <v>12295</v>
      </c>
      <c r="Q770" s="295">
        <f>SUM(Q772:Q803)</f>
        <v>15388</v>
      </c>
      <c r="T770" s="299"/>
      <c r="V770" s="299"/>
      <c r="X770" s="299"/>
    </row>
    <row r="771" spans="1:24" s="292" customFormat="1" ht="3.95" customHeight="1" x14ac:dyDescent="0.25">
      <c r="A771" s="296"/>
      <c r="B771" s="295"/>
      <c r="C771" s="295"/>
      <c r="D771" s="298"/>
      <c r="E771" s="298"/>
      <c r="F771" s="295"/>
      <c r="G771" s="295"/>
      <c r="H771" s="295"/>
      <c r="I771" s="295"/>
      <c r="J771" s="295"/>
      <c r="K771" s="295"/>
      <c r="L771" s="295"/>
      <c r="M771" s="295"/>
      <c r="N771" s="295"/>
      <c r="O771" s="295"/>
      <c r="P771" s="295"/>
      <c r="Q771" s="295"/>
      <c r="T771" s="299"/>
      <c r="V771" s="299"/>
      <c r="X771" s="299"/>
    </row>
    <row r="772" spans="1:24" s="292" customFormat="1" ht="9" customHeight="1" x14ac:dyDescent="0.25">
      <c r="A772" s="292" t="s">
        <v>23</v>
      </c>
      <c r="B772" s="293">
        <f t="shared" ref="B772:B803" si="82">SUM(D772+Q772)</f>
        <v>2910</v>
      </c>
      <c r="C772" s="293"/>
      <c r="D772" s="299">
        <f t="shared" ref="D772:D803" si="83">SUM(F772+H772+P772+N772)</f>
        <v>2715</v>
      </c>
      <c r="E772" s="299"/>
      <c r="F772" s="293">
        <v>747</v>
      </c>
      <c r="G772" s="293"/>
      <c r="H772" s="293">
        <f>SUM(J772:M772)</f>
        <v>1335</v>
      </c>
      <c r="I772" s="293"/>
      <c r="J772" s="293">
        <v>118</v>
      </c>
      <c r="K772" s="293">
        <v>190</v>
      </c>
      <c r="L772" s="293">
        <v>122</v>
      </c>
      <c r="M772" s="293">
        <v>905</v>
      </c>
      <c r="N772" s="293">
        <v>488</v>
      </c>
      <c r="O772" s="293"/>
      <c r="P772" s="293">
        <v>145</v>
      </c>
      <c r="Q772" s="293">
        <v>195</v>
      </c>
      <c r="T772" s="299"/>
      <c r="V772" s="299"/>
      <c r="X772" s="299"/>
    </row>
    <row r="773" spans="1:24" s="292" customFormat="1" ht="9" customHeight="1" x14ac:dyDescent="0.25">
      <c r="A773" s="292" t="s">
        <v>24</v>
      </c>
      <c r="B773" s="293">
        <f t="shared" si="82"/>
        <v>5978</v>
      </c>
      <c r="C773" s="293"/>
      <c r="D773" s="299">
        <f t="shared" si="83"/>
        <v>5567</v>
      </c>
      <c r="E773" s="299"/>
      <c r="F773" s="293">
        <v>1477</v>
      </c>
      <c r="G773" s="293"/>
      <c r="H773" s="293">
        <f t="shared" ref="H773:H803" si="84">SUM(J773:M773)</f>
        <v>2624</v>
      </c>
      <c r="I773" s="293"/>
      <c r="J773" s="293">
        <v>277</v>
      </c>
      <c r="K773" s="293">
        <v>302</v>
      </c>
      <c r="L773" s="293">
        <v>214</v>
      </c>
      <c r="M773" s="293">
        <v>1831</v>
      </c>
      <c r="N773" s="293">
        <v>1090</v>
      </c>
      <c r="O773" s="293"/>
      <c r="P773" s="293">
        <v>376</v>
      </c>
      <c r="Q773" s="293">
        <v>411</v>
      </c>
      <c r="T773" s="299"/>
      <c r="V773" s="299"/>
      <c r="X773" s="299"/>
    </row>
    <row r="774" spans="1:24" s="292" customFormat="1" ht="9" customHeight="1" x14ac:dyDescent="0.25">
      <c r="A774" s="292" t="s">
        <v>25</v>
      </c>
      <c r="B774" s="293">
        <f t="shared" si="82"/>
        <v>1951</v>
      </c>
      <c r="C774" s="293"/>
      <c r="D774" s="299">
        <f t="shared" si="83"/>
        <v>1816</v>
      </c>
      <c r="E774" s="299"/>
      <c r="F774" s="293">
        <v>623</v>
      </c>
      <c r="G774" s="293"/>
      <c r="H774" s="293">
        <f t="shared" si="84"/>
        <v>904</v>
      </c>
      <c r="I774" s="293"/>
      <c r="J774" s="293">
        <v>116</v>
      </c>
      <c r="K774" s="293">
        <v>98</v>
      </c>
      <c r="L774" s="293">
        <v>72</v>
      </c>
      <c r="M774" s="293">
        <v>618</v>
      </c>
      <c r="N774" s="293">
        <v>196</v>
      </c>
      <c r="O774" s="293"/>
      <c r="P774" s="293">
        <v>93</v>
      </c>
      <c r="Q774" s="293">
        <v>135</v>
      </c>
      <c r="T774" s="299"/>
      <c r="V774" s="299"/>
      <c r="X774" s="299"/>
    </row>
    <row r="775" spans="1:24" s="292" customFormat="1" ht="9" customHeight="1" x14ac:dyDescent="0.25">
      <c r="A775" s="300" t="s">
        <v>26</v>
      </c>
      <c r="B775" s="301">
        <f t="shared" si="82"/>
        <v>2133</v>
      </c>
      <c r="C775" s="301"/>
      <c r="D775" s="302">
        <f t="shared" si="83"/>
        <v>1982</v>
      </c>
      <c r="E775" s="302"/>
      <c r="F775" s="301">
        <v>735</v>
      </c>
      <c r="G775" s="301"/>
      <c r="H775" s="301">
        <f t="shared" si="84"/>
        <v>875</v>
      </c>
      <c r="I775" s="301"/>
      <c r="J775" s="301">
        <v>116</v>
      </c>
      <c r="K775" s="301">
        <v>92</v>
      </c>
      <c r="L775" s="301">
        <v>115</v>
      </c>
      <c r="M775" s="301">
        <v>552</v>
      </c>
      <c r="N775" s="301">
        <v>261</v>
      </c>
      <c r="O775" s="301"/>
      <c r="P775" s="301">
        <v>111</v>
      </c>
      <c r="Q775" s="301">
        <v>151</v>
      </c>
      <c r="T775" s="299"/>
      <c r="V775" s="299"/>
      <c r="X775" s="299"/>
    </row>
    <row r="776" spans="1:24" s="292" customFormat="1" ht="9" customHeight="1" x14ac:dyDescent="0.25">
      <c r="A776" s="292" t="s">
        <v>27</v>
      </c>
      <c r="B776" s="293">
        <f t="shared" si="82"/>
        <v>5894</v>
      </c>
      <c r="C776" s="293"/>
      <c r="D776" s="299">
        <f t="shared" si="83"/>
        <v>5471</v>
      </c>
      <c r="E776" s="299"/>
      <c r="F776" s="293">
        <v>1511</v>
      </c>
      <c r="G776" s="293"/>
      <c r="H776" s="293">
        <f t="shared" si="84"/>
        <v>2775</v>
      </c>
      <c r="I776" s="303"/>
      <c r="J776" s="293">
        <v>288</v>
      </c>
      <c r="K776" s="293">
        <v>311</v>
      </c>
      <c r="L776" s="293">
        <v>198</v>
      </c>
      <c r="M776" s="293">
        <v>1978</v>
      </c>
      <c r="N776" s="293">
        <v>1008</v>
      </c>
      <c r="O776" s="293"/>
      <c r="P776" s="293">
        <v>177</v>
      </c>
      <c r="Q776" s="293">
        <v>423</v>
      </c>
      <c r="T776" s="299"/>
      <c r="V776" s="299"/>
      <c r="X776" s="299"/>
    </row>
    <row r="777" spans="1:24" s="292" customFormat="1" ht="9" customHeight="1" x14ac:dyDescent="0.25">
      <c r="A777" s="292" t="s">
        <v>28</v>
      </c>
      <c r="B777" s="293">
        <f t="shared" si="82"/>
        <v>1944</v>
      </c>
      <c r="C777" s="293"/>
      <c r="D777" s="299">
        <f t="shared" si="83"/>
        <v>1794</v>
      </c>
      <c r="E777" s="299"/>
      <c r="F777" s="293">
        <v>510</v>
      </c>
      <c r="G777" s="293"/>
      <c r="H777" s="293">
        <f t="shared" si="84"/>
        <v>876</v>
      </c>
      <c r="I777" s="293"/>
      <c r="J777" s="293">
        <v>107</v>
      </c>
      <c r="K777" s="293">
        <v>93</v>
      </c>
      <c r="L777" s="293">
        <v>69</v>
      </c>
      <c r="M777" s="293">
        <v>607</v>
      </c>
      <c r="N777" s="293">
        <v>271</v>
      </c>
      <c r="O777" s="293"/>
      <c r="P777" s="293">
        <v>137</v>
      </c>
      <c r="Q777" s="293">
        <v>150</v>
      </c>
      <c r="T777" s="299"/>
      <c r="V777" s="299"/>
      <c r="X777" s="299"/>
    </row>
    <row r="778" spans="1:24" s="292" customFormat="1" ht="9.6" customHeight="1" x14ac:dyDescent="0.25">
      <c r="A778" s="292" t="s">
        <v>29</v>
      </c>
      <c r="B778" s="293">
        <f t="shared" si="82"/>
        <v>7840</v>
      </c>
      <c r="C778" s="293"/>
      <c r="D778" s="299">
        <f t="shared" si="83"/>
        <v>7453</v>
      </c>
      <c r="E778" s="299"/>
      <c r="F778" s="293">
        <v>3509</v>
      </c>
      <c r="G778" s="293"/>
      <c r="H778" s="293">
        <f t="shared" si="84"/>
        <v>2840</v>
      </c>
      <c r="J778" s="293">
        <v>235</v>
      </c>
      <c r="K778" s="293">
        <v>338</v>
      </c>
      <c r="L778" s="293">
        <v>420</v>
      </c>
      <c r="M778" s="293">
        <v>1847</v>
      </c>
      <c r="N778" s="293">
        <v>631</v>
      </c>
      <c r="O778" s="293"/>
      <c r="P778" s="293">
        <v>473</v>
      </c>
      <c r="Q778" s="293">
        <v>387</v>
      </c>
      <c r="T778" s="299"/>
      <c r="V778" s="299"/>
      <c r="X778" s="299"/>
    </row>
    <row r="779" spans="1:24" s="292" customFormat="1" ht="9" customHeight="1" x14ac:dyDescent="0.25">
      <c r="A779" s="300" t="s">
        <v>30</v>
      </c>
      <c r="B779" s="301">
        <f t="shared" si="82"/>
        <v>6381</v>
      </c>
      <c r="C779" s="301"/>
      <c r="D779" s="302">
        <f t="shared" si="83"/>
        <v>6002</v>
      </c>
      <c r="E779" s="302"/>
      <c r="F779" s="301">
        <v>1849</v>
      </c>
      <c r="G779" s="301"/>
      <c r="H779" s="301">
        <f t="shared" si="84"/>
        <v>2804</v>
      </c>
      <c r="I779" s="301"/>
      <c r="J779" s="301">
        <v>307</v>
      </c>
      <c r="K779" s="301">
        <v>323</v>
      </c>
      <c r="L779" s="301">
        <v>249</v>
      </c>
      <c r="M779" s="301">
        <v>1925</v>
      </c>
      <c r="N779" s="301">
        <v>1053</v>
      </c>
      <c r="O779" s="301"/>
      <c r="P779" s="301">
        <v>296</v>
      </c>
      <c r="Q779" s="301">
        <v>379</v>
      </c>
      <c r="T779" s="299"/>
      <c r="V779" s="299"/>
      <c r="X779" s="299"/>
    </row>
    <row r="780" spans="1:24" s="292" customFormat="1" ht="9" customHeight="1" x14ac:dyDescent="0.25">
      <c r="A780" s="292" t="s">
        <v>63</v>
      </c>
      <c r="B780" s="293">
        <f t="shared" si="82"/>
        <v>37680</v>
      </c>
      <c r="C780" s="293"/>
      <c r="D780" s="299">
        <f t="shared" si="83"/>
        <v>35141</v>
      </c>
      <c r="E780" s="299"/>
      <c r="F780" s="293">
        <v>6800</v>
      </c>
      <c r="G780" s="293"/>
      <c r="H780" s="293">
        <f t="shared" si="84"/>
        <v>19337</v>
      </c>
      <c r="I780" s="293"/>
      <c r="J780" s="293">
        <v>1532</v>
      </c>
      <c r="K780" s="293">
        <v>1770</v>
      </c>
      <c r="L780" s="293">
        <v>1432</v>
      </c>
      <c r="M780" s="293">
        <v>14603</v>
      </c>
      <c r="N780" s="293">
        <v>8255</v>
      </c>
      <c r="O780" s="293"/>
      <c r="P780" s="293">
        <v>749</v>
      </c>
      <c r="Q780" s="293">
        <v>2539</v>
      </c>
      <c r="T780" s="299"/>
      <c r="V780" s="299"/>
      <c r="X780" s="299"/>
    </row>
    <row r="781" spans="1:24" s="292" customFormat="1" ht="9" customHeight="1" x14ac:dyDescent="0.25">
      <c r="A781" s="292" t="s">
        <v>31</v>
      </c>
      <c r="B781" s="293">
        <f t="shared" si="82"/>
        <v>3834</v>
      </c>
      <c r="C781" s="293"/>
      <c r="D781" s="299">
        <f t="shared" si="83"/>
        <v>3612</v>
      </c>
      <c r="E781" s="299"/>
      <c r="F781" s="293">
        <v>1086</v>
      </c>
      <c r="G781" s="293"/>
      <c r="H781" s="293">
        <f t="shared" si="84"/>
        <v>1617</v>
      </c>
      <c r="I781" s="293"/>
      <c r="J781" s="293">
        <v>164</v>
      </c>
      <c r="K781" s="293">
        <v>170</v>
      </c>
      <c r="L781" s="293">
        <v>170</v>
      </c>
      <c r="M781" s="293">
        <v>1113</v>
      </c>
      <c r="N781" s="293">
        <v>628</v>
      </c>
      <c r="O781" s="293"/>
      <c r="P781" s="293">
        <v>281</v>
      </c>
      <c r="Q781" s="293">
        <v>222</v>
      </c>
      <c r="T781" s="299"/>
      <c r="V781" s="299"/>
      <c r="X781" s="299"/>
    </row>
    <row r="782" spans="1:24" s="292" customFormat="1" ht="9" customHeight="1" x14ac:dyDescent="0.25">
      <c r="A782" s="292" t="s">
        <v>32</v>
      </c>
      <c r="B782" s="293">
        <f t="shared" si="82"/>
        <v>9270</v>
      </c>
      <c r="C782" s="293"/>
      <c r="D782" s="299">
        <f t="shared" si="83"/>
        <v>8615</v>
      </c>
      <c r="E782" s="299"/>
      <c r="F782" s="293">
        <v>3057</v>
      </c>
      <c r="G782" s="293"/>
      <c r="H782" s="293">
        <f t="shared" si="84"/>
        <v>3849</v>
      </c>
      <c r="I782" s="293"/>
      <c r="J782" s="293">
        <v>433</v>
      </c>
      <c r="K782" s="293">
        <v>506</v>
      </c>
      <c r="L782" s="293">
        <v>410</v>
      </c>
      <c r="M782" s="293">
        <v>2500</v>
      </c>
      <c r="N782" s="293">
        <v>1336</v>
      </c>
      <c r="O782" s="293"/>
      <c r="P782" s="293">
        <v>373</v>
      </c>
      <c r="Q782" s="293">
        <v>655</v>
      </c>
      <c r="T782" s="299"/>
      <c r="V782" s="299"/>
      <c r="X782" s="299"/>
    </row>
    <row r="783" spans="1:24" s="292" customFormat="1" ht="9" customHeight="1" x14ac:dyDescent="0.25">
      <c r="A783" s="300" t="s">
        <v>33</v>
      </c>
      <c r="B783" s="301">
        <f t="shared" si="82"/>
        <v>6599</v>
      </c>
      <c r="C783" s="301"/>
      <c r="D783" s="302">
        <f t="shared" si="83"/>
        <v>6324</v>
      </c>
      <c r="E783" s="302"/>
      <c r="F783" s="301">
        <v>3128</v>
      </c>
      <c r="G783" s="301"/>
      <c r="H783" s="301">
        <f t="shared" si="84"/>
        <v>2346</v>
      </c>
      <c r="I783" s="301"/>
      <c r="J783" s="301">
        <v>304</v>
      </c>
      <c r="K783" s="301">
        <v>244</v>
      </c>
      <c r="L783" s="301">
        <v>500</v>
      </c>
      <c r="M783" s="301">
        <v>1298</v>
      </c>
      <c r="N783" s="301">
        <v>548</v>
      </c>
      <c r="O783" s="301"/>
      <c r="P783" s="301">
        <v>302</v>
      </c>
      <c r="Q783" s="301">
        <v>275</v>
      </c>
      <c r="T783" s="299"/>
      <c r="V783" s="299"/>
      <c r="X783" s="299"/>
    </row>
    <row r="784" spans="1:24" s="292" customFormat="1" ht="9" customHeight="1" x14ac:dyDescent="0.25">
      <c r="A784" s="292" t="s">
        <v>34</v>
      </c>
      <c r="B784" s="293">
        <f t="shared" si="82"/>
        <v>4845</v>
      </c>
      <c r="C784" s="293"/>
      <c r="D784" s="299">
        <f t="shared" si="83"/>
        <v>4603</v>
      </c>
      <c r="E784" s="299"/>
      <c r="F784" s="293">
        <v>1956</v>
      </c>
      <c r="G784" s="293"/>
      <c r="H784" s="293">
        <f t="shared" si="84"/>
        <v>1699</v>
      </c>
      <c r="I784" s="293"/>
      <c r="J784" s="293">
        <v>202</v>
      </c>
      <c r="K784" s="293">
        <v>197</v>
      </c>
      <c r="L784" s="293">
        <v>314</v>
      </c>
      <c r="M784" s="293">
        <v>986</v>
      </c>
      <c r="N784" s="293">
        <v>452</v>
      </c>
      <c r="O784" s="293"/>
      <c r="P784" s="293">
        <v>496</v>
      </c>
      <c r="Q784" s="293">
        <v>242</v>
      </c>
      <c r="T784" s="299"/>
      <c r="V784" s="299"/>
      <c r="X784" s="299"/>
    </row>
    <row r="785" spans="1:24" s="292" customFormat="1" ht="9" customHeight="1" x14ac:dyDescent="0.25">
      <c r="A785" s="292" t="s">
        <v>35</v>
      </c>
      <c r="B785" s="293">
        <f t="shared" si="82"/>
        <v>16159</v>
      </c>
      <c r="C785" s="293"/>
      <c r="D785" s="299">
        <f t="shared" si="83"/>
        <v>15225</v>
      </c>
      <c r="E785" s="299"/>
      <c r="F785" s="293">
        <v>3630</v>
      </c>
      <c r="G785" s="293"/>
      <c r="H785" s="293">
        <f t="shared" si="84"/>
        <v>6188</v>
      </c>
      <c r="I785" s="293"/>
      <c r="J785" s="293">
        <v>683</v>
      </c>
      <c r="K785" s="293">
        <v>697</v>
      </c>
      <c r="L785" s="293">
        <v>619</v>
      </c>
      <c r="M785" s="293">
        <v>4189</v>
      </c>
      <c r="N785" s="293">
        <v>4368</v>
      </c>
      <c r="O785" s="293"/>
      <c r="P785" s="293">
        <v>1039</v>
      </c>
      <c r="Q785" s="293">
        <v>934</v>
      </c>
      <c r="T785" s="299"/>
      <c r="V785" s="299"/>
      <c r="X785" s="299"/>
    </row>
    <row r="786" spans="1:24" s="292" customFormat="1" ht="9" customHeight="1" x14ac:dyDescent="0.25">
      <c r="A786" s="292" t="s">
        <v>36</v>
      </c>
      <c r="B786" s="293">
        <f t="shared" si="82"/>
        <v>24555</v>
      </c>
      <c r="C786" s="293"/>
      <c r="D786" s="299">
        <f t="shared" si="83"/>
        <v>22579</v>
      </c>
      <c r="E786" s="299"/>
      <c r="F786" s="293">
        <v>6832</v>
      </c>
      <c r="G786" s="293"/>
      <c r="H786" s="293">
        <f t="shared" si="84"/>
        <v>11276</v>
      </c>
      <c r="I786" s="293"/>
      <c r="J786" s="293">
        <v>1491</v>
      </c>
      <c r="K786" s="293">
        <v>1387</v>
      </c>
      <c r="L786" s="293">
        <v>1439</v>
      </c>
      <c r="M786" s="293">
        <v>6959</v>
      </c>
      <c r="N786" s="293">
        <v>3578</v>
      </c>
      <c r="O786" s="293"/>
      <c r="P786" s="293">
        <v>893</v>
      </c>
      <c r="Q786" s="293">
        <v>1976</v>
      </c>
      <c r="T786" s="299"/>
      <c r="V786" s="299"/>
      <c r="X786" s="299"/>
    </row>
    <row r="787" spans="1:24" s="292" customFormat="1" ht="9" customHeight="1" x14ac:dyDescent="0.25">
      <c r="A787" s="300" t="s">
        <v>37</v>
      </c>
      <c r="B787" s="301">
        <f t="shared" si="82"/>
        <v>7803</v>
      </c>
      <c r="C787" s="301"/>
      <c r="D787" s="302">
        <f t="shared" si="83"/>
        <v>7196</v>
      </c>
      <c r="E787" s="302"/>
      <c r="F787" s="301">
        <v>2492</v>
      </c>
      <c r="G787" s="301"/>
      <c r="H787" s="301">
        <f t="shared" si="84"/>
        <v>3024</v>
      </c>
      <c r="I787" s="301"/>
      <c r="J787" s="301">
        <v>338</v>
      </c>
      <c r="K787" s="301">
        <v>250</v>
      </c>
      <c r="L787" s="301">
        <v>562</v>
      </c>
      <c r="M787" s="301">
        <v>1874</v>
      </c>
      <c r="N787" s="301">
        <v>1200</v>
      </c>
      <c r="O787" s="301"/>
      <c r="P787" s="301">
        <v>480</v>
      </c>
      <c r="Q787" s="301">
        <v>607</v>
      </c>
      <c r="T787" s="299"/>
      <c r="V787" s="299"/>
      <c r="X787" s="299"/>
    </row>
    <row r="788" spans="1:24" s="292" customFormat="1" ht="9" customHeight="1" x14ac:dyDescent="0.25">
      <c r="A788" s="292" t="s">
        <v>38</v>
      </c>
      <c r="B788" s="293">
        <f t="shared" si="82"/>
        <v>3624</v>
      </c>
      <c r="C788" s="293"/>
      <c r="D788" s="299">
        <f t="shared" si="83"/>
        <v>3376</v>
      </c>
      <c r="E788" s="299"/>
      <c r="F788" s="293">
        <v>1071</v>
      </c>
      <c r="G788" s="293"/>
      <c r="H788" s="293">
        <f t="shared" si="84"/>
        <v>1625</v>
      </c>
      <c r="I788" s="293"/>
      <c r="J788" s="293">
        <v>189</v>
      </c>
      <c r="K788" s="293">
        <v>203</v>
      </c>
      <c r="L788" s="293">
        <v>163</v>
      </c>
      <c r="M788" s="293">
        <v>1070</v>
      </c>
      <c r="N788" s="293">
        <v>465</v>
      </c>
      <c r="O788" s="293"/>
      <c r="P788" s="293">
        <v>215</v>
      </c>
      <c r="Q788" s="293">
        <v>248</v>
      </c>
      <c r="T788" s="299"/>
      <c r="V788" s="299"/>
      <c r="X788" s="299"/>
    </row>
    <row r="789" spans="1:24" s="292" customFormat="1" ht="9" customHeight="1" x14ac:dyDescent="0.25">
      <c r="A789" s="292" t="s">
        <v>39</v>
      </c>
      <c r="B789" s="293">
        <f t="shared" si="82"/>
        <v>2605</v>
      </c>
      <c r="C789" s="293"/>
      <c r="D789" s="299">
        <f t="shared" si="83"/>
        <v>2483</v>
      </c>
      <c r="E789" s="299"/>
      <c r="F789" s="293">
        <v>969</v>
      </c>
      <c r="G789" s="293"/>
      <c r="H789" s="293">
        <f t="shared" si="84"/>
        <v>892</v>
      </c>
      <c r="I789" s="293"/>
      <c r="J789" s="293">
        <v>84</v>
      </c>
      <c r="K789" s="293">
        <v>80</v>
      </c>
      <c r="L789" s="293">
        <v>100</v>
      </c>
      <c r="M789" s="293">
        <v>628</v>
      </c>
      <c r="N789" s="293">
        <v>399</v>
      </c>
      <c r="O789" s="293"/>
      <c r="P789" s="293">
        <v>223</v>
      </c>
      <c r="Q789" s="293">
        <v>122</v>
      </c>
      <c r="T789" s="299"/>
      <c r="V789" s="299"/>
      <c r="X789" s="299"/>
    </row>
    <row r="790" spans="1:24" s="292" customFormat="1" ht="9" customHeight="1" x14ac:dyDescent="0.25">
      <c r="A790" s="292" t="s">
        <v>40</v>
      </c>
      <c r="B790" s="293">
        <f t="shared" si="82"/>
        <v>9515</v>
      </c>
      <c r="C790" s="293"/>
      <c r="D790" s="299">
        <f t="shared" si="83"/>
        <v>8966</v>
      </c>
      <c r="E790" s="299"/>
      <c r="F790" s="293">
        <v>2237</v>
      </c>
      <c r="G790" s="293"/>
      <c r="H790" s="293">
        <f t="shared" si="84"/>
        <v>4023</v>
      </c>
      <c r="I790" s="293"/>
      <c r="J790" s="293">
        <v>421</v>
      </c>
      <c r="K790" s="293">
        <v>421</v>
      </c>
      <c r="L790" s="293">
        <v>292</v>
      </c>
      <c r="M790" s="293">
        <v>2889</v>
      </c>
      <c r="N790" s="293">
        <v>2194</v>
      </c>
      <c r="O790" s="293"/>
      <c r="P790" s="293">
        <v>512</v>
      </c>
      <c r="Q790" s="293">
        <v>549</v>
      </c>
      <c r="T790" s="299"/>
      <c r="V790" s="299"/>
      <c r="X790" s="299"/>
    </row>
    <row r="791" spans="1:24" s="292" customFormat="1" ht="9" customHeight="1" x14ac:dyDescent="0.25">
      <c r="A791" s="300" t="s">
        <v>41</v>
      </c>
      <c r="B791" s="301">
        <f t="shared" si="82"/>
        <v>6948</v>
      </c>
      <c r="C791" s="301"/>
      <c r="D791" s="302">
        <f t="shared" si="83"/>
        <v>6601</v>
      </c>
      <c r="E791" s="302"/>
      <c r="F791" s="301">
        <v>2945</v>
      </c>
      <c r="G791" s="301"/>
      <c r="H791" s="301">
        <f t="shared" si="84"/>
        <v>2333</v>
      </c>
      <c r="I791" s="301"/>
      <c r="J791" s="301">
        <v>202</v>
      </c>
      <c r="K791" s="301">
        <v>255</v>
      </c>
      <c r="L791" s="301">
        <v>400</v>
      </c>
      <c r="M791" s="301">
        <v>1476</v>
      </c>
      <c r="N791" s="301">
        <v>834</v>
      </c>
      <c r="O791" s="301"/>
      <c r="P791" s="301">
        <v>489</v>
      </c>
      <c r="Q791" s="301">
        <v>347</v>
      </c>
      <c r="T791" s="299"/>
      <c r="V791" s="299"/>
      <c r="X791" s="299"/>
    </row>
    <row r="792" spans="1:24" s="292" customFormat="1" ht="9.6" customHeight="1" x14ac:dyDescent="0.25">
      <c r="A792" s="292" t="s">
        <v>42</v>
      </c>
      <c r="B792" s="293">
        <f t="shared" si="82"/>
        <v>10461</v>
      </c>
      <c r="C792" s="293"/>
      <c r="D792" s="299">
        <f t="shared" si="83"/>
        <v>9755</v>
      </c>
      <c r="E792" s="299"/>
      <c r="F792" s="293">
        <v>3061</v>
      </c>
      <c r="G792" s="293"/>
      <c r="H792" s="293">
        <f t="shared" si="84"/>
        <v>3820</v>
      </c>
      <c r="I792" s="304"/>
      <c r="J792" s="293">
        <v>337</v>
      </c>
      <c r="K792" s="293">
        <v>405</v>
      </c>
      <c r="L792" s="293">
        <v>562</v>
      </c>
      <c r="M792" s="293">
        <v>2516</v>
      </c>
      <c r="N792" s="293">
        <v>2129</v>
      </c>
      <c r="O792" s="293"/>
      <c r="P792" s="293">
        <v>745</v>
      </c>
      <c r="Q792" s="293">
        <v>706</v>
      </c>
      <c r="T792" s="299"/>
      <c r="V792" s="299"/>
      <c r="X792" s="299"/>
    </row>
    <row r="793" spans="1:24" s="292" customFormat="1" ht="9" customHeight="1" x14ac:dyDescent="0.25">
      <c r="A793" s="292" t="s">
        <v>43</v>
      </c>
      <c r="B793" s="293">
        <f t="shared" si="82"/>
        <v>3367</v>
      </c>
      <c r="C793" s="293"/>
      <c r="D793" s="299">
        <f t="shared" si="83"/>
        <v>3186</v>
      </c>
      <c r="E793" s="299"/>
      <c r="F793" s="293">
        <v>989</v>
      </c>
      <c r="G793" s="293"/>
      <c r="H793" s="293">
        <f t="shared" si="84"/>
        <v>1371</v>
      </c>
      <c r="I793" s="293"/>
      <c r="J793" s="293">
        <v>196</v>
      </c>
      <c r="K793" s="293">
        <v>163</v>
      </c>
      <c r="L793" s="293">
        <v>169</v>
      </c>
      <c r="M793" s="293">
        <v>843</v>
      </c>
      <c r="N793" s="293">
        <v>541</v>
      </c>
      <c r="O793" s="293"/>
      <c r="P793" s="293">
        <v>285</v>
      </c>
      <c r="Q793" s="293">
        <v>181</v>
      </c>
      <c r="T793" s="299"/>
      <c r="V793" s="299"/>
      <c r="X793" s="299"/>
    </row>
    <row r="794" spans="1:24" s="292" customFormat="1" ht="9" customHeight="1" x14ac:dyDescent="0.25">
      <c r="A794" s="292" t="s">
        <v>44</v>
      </c>
      <c r="B794" s="293">
        <f t="shared" si="82"/>
        <v>2724</v>
      </c>
      <c r="C794" s="293"/>
      <c r="D794" s="299">
        <f t="shared" si="83"/>
        <v>2522</v>
      </c>
      <c r="E794" s="299"/>
      <c r="F794" s="293">
        <v>852</v>
      </c>
      <c r="G794" s="293"/>
      <c r="H794" s="293">
        <f t="shared" si="84"/>
        <v>1229</v>
      </c>
      <c r="I794" s="293"/>
      <c r="J794" s="293">
        <v>155</v>
      </c>
      <c r="K794" s="293">
        <v>169</v>
      </c>
      <c r="L794" s="293">
        <v>124</v>
      </c>
      <c r="M794" s="293">
        <v>781</v>
      </c>
      <c r="N794" s="293">
        <v>306</v>
      </c>
      <c r="O794" s="293"/>
      <c r="P794" s="293">
        <v>135</v>
      </c>
      <c r="Q794" s="293">
        <v>202</v>
      </c>
      <c r="T794" s="299"/>
      <c r="V794" s="299"/>
      <c r="X794" s="299"/>
    </row>
    <row r="795" spans="1:24" s="292" customFormat="1" ht="9" customHeight="1" x14ac:dyDescent="0.25">
      <c r="A795" s="300" t="s">
        <v>45</v>
      </c>
      <c r="B795" s="301">
        <f t="shared" si="82"/>
        <v>4824</v>
      </c>
      <c r="C795" s="301"/>
      <c r="D795" s="302">
        <f t="shared" si="83"/>
        <v>4626</v>
      </c>
      <c r="E795" s="302"/>
      <c r="F795" s="301">
        <v>1341</v>
      </c>
      <c r="G795" s="301"/>
      <c r="H795" s="301">
        <f t="shared" si="84"/>
        <v>1856</v>
      </c>
      <c r="I795" s="301"/>
      <c r="J795" s="301">
        <v>204</v>
      </c>
      <c r="K795" s="301">
        <v>229</v>
      </c>
      <c r="L795" s="301">
        <v>268</v>
      </c>
      <c r="M795" s="301">
        <v>1155</v>
      </c>
      <c r="N795" s="301">
        <v>1043</v>
      </c>
      <c r="O795" s="301"/>
      <c r="P795" s="301">
        <v>386</v>
      </c>
      <c r="Q795" s="301">
        <v>198</v>
      </c>
      <c r="T795" s="299"/>
      <c r="V795" s="299"/>
      <c r="X795" s="299"/>
    </row>
    <row r="796" spans="1:24" s="292" customFormat="1" ht="9" customHeight="1" x14ac:dyDescent="0.25">
      <c r="A796" s="292" t="s">
        <v>46</v>
      </c>
      <c r="B796" s="293">
        <f t="shared" si="82"/>
        <v>6365</v>
      </c>
      <c r="C796" s="293"/>
      <c r="D796" s="299">
        <f t="shared" si="83"/>
        <v>6053</v>
      </c>
      <c r="E796" s="299"/>
      <c r="F796" s="293">
        <v>1901</v>
      </c>
      <c r="G796" s="293"/>
      <c r="H796" s="293">
        <f t="shared" si="84"/>
        <v>2775</v>
      </c>
      <c r="I796" s="293"/>
      <c r="J796" s="293">
        <v>293</v>
      </c>
      <c r="K796" s="293">
        <v>277</v>
      </c>
      <c r="L796" s="293">
        <v>330</v>
      </c>
      <c r="M796" s="293">
        <v>1875</v>
      </c>
      <c r="N796" s="293">
        <v>1053</v>
      </c>
      <c r="O796" s="293"/>
      <c r="P796" s="293">
        <v>324</v>
      </c>
      <c r="Q796" s="293">
        <v>312</v>
      </c>
      <c r="T796" s="299"/>
      <c r="V796" s="299"/>
      <c r="X796" s="299"/>
    </row>
    <row r="797" spans="1:24" s="292" customFormat="1" ht="9" customHeight="1" x14ac:dyDescent="0.25">
      <c r="A797" s="292" t="s">
        <v>47</v>
      </c>
      <c r="B797" s="293">
        <f t="shared" si="82"/>
        <v>6416</v>
      </c>
      <c r="C797" s="293"/>
      <c r="D797" s="299">
        <f t="shared" si="83"/>
        <v>5893</v>
      </c>
      <c r="E797" s="299"/>
      <c r="F797" s="293">
        <v>1573</v>
      </c>
      <c r="G797" s="293"/>
      <c r="H797" s="293">
        <f t="shared" si="84"/>
        <v>2941</v>
      </c>
      <c r="I797" s="293"/>
      <c r="J797" s="293">
        <v>320</v>
      </c>
      <c r="K797" s="293">
        <v>294</v>
      </c>
      <c r="L797" s="293">
        <v>232</v>
      </c>
      <c r="M797" s="293">
        <v>2095</v>
      </c>
      <c r="N797" s="293">
        <v>1058</v>
      </c>
      <c r="O797" s="293"/>
      <c r="P797" s="293">
        <v>321</v>
      </c>
      <c r="Q797" s="293">
        <v>523</v>
      </c>
      <c r="T797" s="299"/>
      <c r="V797" s="299"/>
      <c r="X797" s="299"/>
    </row>
    <row r="798" spans="1:24" s="292" customFormat="1" ht="9.6" customHeight="1" x14ac:dyDescent="0.25">
      <c r="A798" s="292" t="s">
        <v>48</v>
      </c>
      <c r="B798" s="293">
        <f t="shared" si="82"/>
        <v>5512</v>
      </c>
      <c r="C798" s="293"/>
      <c r="D798" s="299">
        <f t="shared" si="83"/>
        <v>5112</v>
      </c>
      <c r="E798" s="299"/>
      <c r="F798" s="293">
        <v>2108</v>
      </c>
      <c r="G798" s="293"/>
      <c r="H798" s="293">
        <f t="shared" si="84"/>
        <v>2036</v>
      </c>
      <c r="I798" s="304"/>
      <c r="J798" s="293">
        <v>185</v>
      </c>
      <c r="K798" s="293">
        <v>228</v>
      </c>
      <c r="L798" s="293">
        <v>386</v>
      </c>
      <c r="M798" s="293">
        <v>1237</v>
      </c>
      <c r="N798" s="293">
        <v>574</v>
      </c>
      <c r="O798" s="293"/>
      <c r="P798" s="293">
        <v>394</v>
      </c>
      <c r="Q798" s="293">
        <v>400</v>
      </c>
      <c r="T798" s="299"/>
      <c r="V798" s="299"/>
      <c r="X798" s="299"/>
    </row>
    <row r="799" spans="1:24" s="292" customFormat="1" ht="9" customHeight="1" x14ac:dyDescent="0.25">
      <c r="A799" s="300" t="s">
        <v>49</v>
      </c>
      <c r="B799" s="301">
        <f t="shared" si="82"/>
        <v>7493</v>
      </c>
      <c r="C799" s="301"/>
      <c r="D799" s="302">
        <f t="shared" si="83"/>
        <v>7021</v>
      </c>
      <c r="E799" s="302"/>
      <c r="F799" s="301">
        <v>2276</v>
      </c>
      <c r="G799" s="301"/>
      <c r="H799" s="301">
        <f t="shared" si="84"/>
        <v>3199</v>
      </c>
      <c r="I799" s="301"/>
      <c r="J799" s="301">
        <v>381</v>
      </c>
      <c r="K799" s="301">
        <v>378</v>
      </c>
      <c r="L799" s="301">
        <v>343</v>
      </c>
      <c r="M799" s="301">
        <v>2097</v>
      </c>
      <c r="N799" s="301">
        <v>1116</v>
      </c>
      <c r="O799" s="301"/>
      <c r="P799" s="301">
        <v>430</v>
      </c>
      <c r="Q799" s="301">
        <v>472</v>
      </c>
      <c r="T799" s="299"/>
      <c r="V799" s="299"/>
      <c r="X799" s="299"/>
    </row>
    <row r="800" spans="1:24" s="292" customFormat="1" ht="9" customHeight="1" x14ac:dyDescent="0.25">
      <c r="A800" s="292" t="s">
        <v>50</v>
      </c>
      <c r="B800" s="293">
        <f t="shared" si="82"/>
        <v>2478</v>
      </c>
      <c r="C800" s="293"/>
      <c r="D800" s="299">
        <f t="shared" si="83"/>
        <v>2336</v>
      </c>
      <c r="E800" s="299"/>
      <c r="F800" s="293">
        <v>945</v>
      </c>
      <c r="G800" s="293"/>
      <c r="H800" s="293">
        <f t="shared" si="84"/>
        <v>1009</v>
      </c>
      <c r="I800" s="293"/>
      <c r="J800" s="293">
        <v>132</v>
      </c>
      <c r="K800" s="293">
        <v>120</v>
      </c>
      <c r="L800" s="293">
        <v>150</v>
      </c>
      <c r="M800" s="293">
        <v>607</v>
      </c>
      <c r="N800" s="293">
        <v>200</v>
      </c>
      <c r="O800" s="293"/>
      <c r="P800" s="293">
        <v>182</v>
      </c>
      <c r="Q800" s="293">
        <v>142</v>
      </c>
      <c r="T800" s="299"/>
      <c r="V800" s="299"/>
      <c r="X800" s="299"/>
    </row>
    <row r="801" spans="1:24" s="292" customFormat="1" ht="9" customHeight="1" x14ac:dyDescent="0.25">
      <c r="A801" s="292" t="s">
        <v>51</v>
      </c>
      <c r="B801" s="293">
        <f t="shared" si="82"/>
        <v>13756</v>
      </c>
      <c r="C801" s="293"/>
      <c r="D801" s="299">
        <f t="shared" si="83"/>
        <v>12906</v>
      </c>
      <c r="E801" s="299"/>
      <c r="F801" s="293">
        <v>5031</v>
      </c>
      <c r="G801" s="293"/>
      <c r="H801" s="293">
        <f t="shared" si="84"/>
        <v>5384</v>
      </c>
      <c r="I801" s="293"/>
      <c r="J801" s="293">
        <v>542</v>
      </c>
      <c r="K801" s="293">
        <v>545</v>
      </c>
      <c r="L801" s="293">
        <v>859</v>
      </c>
      <c r="M801" s="293">
        <v>3438</v>
      </c>
      <c r="N801" s="293">
        <v>1843</v>
      </c>
      <c r="O801" s="293"/>
      <c r="P801" s="293">
        <v>648</v>
      </c>
      <c r="Q801" s="293">
        <v>850</v>
      </c>
      <c r="T801" s="299"/>
      <c r="V801" s="299"/>
      <c r="X801" s="299"/>
    </row>
    <row r="802" spans="1:24" s="292" customFormat="1" ht="9" customHeight="1" x14ac:dyDescent="0.25">
      <c r="A802" s="292" t="s">
        <v>52</v>
      </c>
      <c r="B802" s="293">
        <f t="shared" si="82"/>
        <v>5000</v>
      </c>
      <c r="C802" s="293"/>
      <c r="D802" s="299">
        <f t="shared" si="83"/>
        <v>4710</v>
      </c>
      <c r="E802" s="299"/>
      <c r="F802" s="293">
        <v>1213</v>
      </c>
      <c r="G802" s="293"/>
      <c r="H802" s="293">
        <f t="shared" si="84"/>
        <v>2163</v>
      </c>
      <c r="I802" s="293"/>
      <c r="J802" s="293">
        <v>195</v>
      </c>
      <c r="K802" s="293">
        <v>238</v>
      </c>
      <c r="L802" s="293">
        <v>184</v>
      </c>
      <c r="M802" s="293">
        <v>1546</v>
      </c>
      <c r="N802" s="293">
        <v>1040</v>
      </c>
      <c r="O802" s="293"/>
      <c r="P802" s="293">
        <v>294</v>
      </c>
      <c r="Q802" s="293">
        <v>290</v>
      </c>
      <c r="T802" s="299"/>
      <c r="V802" s="299"/>
      <c r="X802" s="299"/>
    </row>
    <row r="803" spans="1:24" s="292" customFormat="1" ht="9" customHeight="1" x14ac:dyDescent="0.25">
      <c r="A803" s="300" t="s">
        <v>53</v>
      </c>
      <c r="B803" s="301">
        <f t="shared" si="82"/>
        <v>3172</v>
      </c>
      <c r="C803" s="301"/>
      <c r="D803" s="302">
        <f t="shared" si="83"/>
        <v>3007</v>
      </c>
      <c r="E803" s="302"/>
      <c r="F803" s="301">
        <v>1066</v>
      </c>
      <c r="G803" s="301"/>
      <c r="H803" s="301">
        <f t="shared" si="84"/>
        <v>1197</v>
      </c>
      <c r="I803" s="301"/>
      <c r="J803" s="301">
        <v>147</v>
      </c>
      <c r="K803" s="301">
        <v>129</v>
      </c>
      <c r="L803" s="301">
        <v>175</v>
      </c>
      <c r="M803" s="301">
        <v>746</v>
      </c>
      <c r="N803" s="301">
        <v>453</v>
      </c>
      <c r="O803" s="301"/>
      <c r="P803" s="301">
        <v>291</v>
      </c>
      <c r="Q803" s="301">
        <v>165</v>
      </c>
      <c r="T803" s="299"/>
      <c r="V803" s="299"/>
      <c r="X803" s="299"/>
    </row>
    <row r="804" spans="1:24" s="292" customFormat="1" ht="9" customHeight="1" x14ac:dyDescent="0.25">
      <c r="A804" s="296"/>
      <c r="B804" s="293"/>
      <c r="C804" s="293"/>
      <c r="D804" s="299"/>
      <c r="E804" s="299"/>
      <c r="F804" s="293"/>
      <c r="G804" s="293"/>
      <c r="H804" s="293"/>
      <c r="I804" s="293"/>
      <c r="J804" s="293"/>
      <c r="K804" s="293"/>
      <c r="L804" s="293"/>
      <c r="M804" s="293"/>
      <c r="N804" s="293"/>
      <c r="O804" s="293"/>
      <c r="P804" s="293"/>
      <c r="Q804" s="293"/>
    </row>
    <row r="805" spans="1:24" s="292" customFormat="1" ht="9" customHeight="1" x14ac:dyDescent="0.25">
      <c r="A805" s="294" t="s">
        <v>56</v>
      </c>
      <c r="B805" s="293"/>
      <c r="C805" s="293"/>
      <c r="D805" s="293"/>
      <c r="E805" s="293"/>
      <c r="F805" s="305"/>
      <c r="G805" s="306"/>
      <c r="H805" s="306"/>
      <c r="I805" s="306"/>
      <c r="J805" s="305"/>
      <c r="K805" s="305"/>
      <c r="L805" s="305"/>
      <c r="M805" s="306"/>
      <c r="N805" s="306"/>
      <c r="P805" s="306"/>
      <c r="Q805" s="306"/>
    </row>
    <row r="806" spans="1:24" s="292" customFormat="1" ht="9" customHeight="1" x14ac:dyDescent="0.25">
      <c r="A806" s="296" t="s">
        <v>21</v>
      </c>
      <c r="B806" s="295">
        <f>SUM(B808:B839)</f>
        <v>244632</v>
      </c>
      <c r="C806" s="297"/>
      <c r="D806" s="295">
        <f>SUM(D808:D839)</f>
        <v>228785</v>
      </c>
      <c r="E806" s="297"/>
      <c r="F806" s="295">
        <f>SUM(F808:F839)</f>
        <v>68883</v>
      </c>
      <c r="G806" s="295"/>
      <c r="H806" s="295">
        <f>SUM(H808:H839)</f>
        <v>104290</v>
      </c>
      <c r="I806" s="295"/>
      <c r="J806" s="295">
        <f>SUM(J808:J839)</f>
        <v>10798</v>
      </c>
      <c r="K806" s="295">
        <f>SUM(K808:K839)</f>
        <v>11214</v>
      </c>
      <c r="L806" s="295">
        <f>SUM(L808:L839)</f>
        <v>12017</v>
      </c>
      <c r="M806" s="295">
        <f>SUM(M808:M839)</f>
        <v>70261</v>
      </c>
      <c r="N806" s="295">
        <f>SUM(N808:N839)</f>
        <v>42344</v>
      </c>
      <c r="O806" s="295"/>
      <c r="P806" s="295">
        <f>SUM(P808:P839)</f>
        <v>13268</v>
      </c>
      <c r="Q806" s="295">
        <f>SUM(Q808:Q839)</f>
        <v>15847</v>
      </c>
      <c r="T806" s="299"/>
      <c r="V806" s="299"/>
      <c r="X806" s="299"/>
    </row>
    <row r="807" spans="1:24" s="292" customFormat="1" ht="3.95" customHeight="1" x14ac:dyDescent="0.25">
      <c r="A807" s="296"/>
      <c r="B807" s="295"/>
      <c r="C807" s="295"/>
      <c r="D807" s="298"/>
      <c r="E807" s="298"/>
      <c r="F807" s="295"/>
      <c r="G807" s="295"/>
      <c r="H807" s="295"/>
      <c r="I807" s="295"/>
      <c r="J807" s="295"/>
      <c r="K807" s="295"/>
      <c r="L807" s="295"/>
      <c r="M807" s="295"/>
      <c r="N807" s="295"/>
      <c r="O807" s="295"/>
      <c r="P807" s="295"/>
      <c r="Q807" s="295"/>
      <c r="T807" s="299"/>
      <c r="V807" s="299"/>
      <c r="X807" s="299"/>
    </row>
    <row r="808" spans="1:24" s="292" customFormat="1" ht="9" customHeight="1" x14ac:dyDescent="0.25">
      <c r="A808" s="292" t="s">
        <v>23</v>
      </c>
      <c r="B808" s="293">
        <f t="shared" ref="B808:B839" si="85">SUM(D808+Q808)</f>
        <v>3222</v>
      </c>
      <c r="C808" s="293"/>
      <c r="D808" s="299">
        <f t="shared" ref="D808:D839" si="86">SUM(F808+H808+P808+N808)</f>
        <v>3011</v>
      </c>
      <c r="E808" s="299"/>
      <c r="F808" s="293">
        <v>722</v>
      </c>
      <c r="G808" s="293"/>
      <c r="H808" s="293">
        <f>SUM(J808:M808)</f>
        <v>1596</v>
      </c>
      <c r="I808" s="293"/>
      <c r="J808" s="293">
        <v>137</v>
      </c>
      <c r="K808" s="293">
        <v>201</v>
      </c>
      <c r="L808" s="293">
        <v>164</v>
      </c>
      <c r="M808" s="293">
        <v>1094</v>
      </c>
      <c r="N808" s="293">
        <v>554</v>
      </c>
      <c r="O808" s="293"/>
      <c r="P808" s="293">
        <v>139</v>
      </c>
      <c r="Q808" s="293">
        <v>211</v>
      </c>
      <c r="T808" s="299"/>
      <c r="V808" s="299"/>
      <c r="X808" s="299"/>
    </row>
    <row r="809" spans="1:24" s="292" customFormat="1" ht="9" customHeight="1" x14ac:dyDescent="0.25">
      <c r="A809" s="292" t="s">
        <v>24</v>
      </c>
      <c r="B809" s="293">
        <f t="shared" si="85"/>
        <v>6105</v>
      </c>
      <c r="C809" s="293"/>
      <c r="D809" s="299">
        <f t="shared" si="86"/>
        <v>5663</v>
      </c>
      <c r="E809" s="299"/>
      <c r="F809" s="293">
        <v>1419</v>
      </c>
      <c r="G809" s="293"/>
      <c r="H809" s="293">
        <f t="shared" ref="H809:H839" si="87">SUM(J809:M809)</f>
        <v>2670</v>
      </c>
      <c r="I809" s="293"/>
      <c r="J809" s="293">
        <v>283</v>
      </c>
      <c r="K809" s="293">
        <v>319</v>
      </c>
      <c r="L809" s="293">
        <v>216</v>
      </c>
      <c r="M809" s="293">
        <v>1852</v>
      </c>
      <c r="N809" s="293">
        <v>1192</v>
      </c>
      <c r="O809" s="293"/>
      <c r="P809" s="293">
        <v>382</v>
      </c>
      <c r="Q809" s="293">
        <v>442</v>
      </c>
      <c r="T809" s="299"/>
      <c r="V809" s="299"/>
      <c r="X809" s="299"/>
    </row>
    <row r="810" spans="1:24" s="292" customFormat="1" ht="9" customHeight="1" x14ac:dyDescent="0.25">
      <c r="A810" s="292" t="s">
        <v>25</v>
      </c>
      <c r="B810" s="293">
        <f t="shared" si="85"/>
        <v>1941</v>
      </c>
      <c r="C810" s="293"/>
      <c r="D810" s="299">
        <f t="shared" si="86"/>
        <v>1805</v>
      </c>
      <c r="E810" s="299"/>
      <c r="F810" s="293">
        <v>555</v>
      </c>
      <c r="G810" s="293"/>
      <c r="H810" s="293">
        <f t="shared" si="87"/>
        <v>964</v>
      </c>
      <c r="I810" s="293"/>
      <c r="J810" s="293">
        <v>125</v>
      </c>
      <c r="K810" s="293">
        <v>105</v>
      </c>
      <c r="L810" s="293">
        <v>76</v>
      </c>
      <c r="M810" s="293">
        <v>658</v>
      </c>
      <c r="N810" s="293">
        <v>204</v>
      </c>
      <c r="O810" s="293"/>
      <c r="P810" s="293">
        <v>82</v>
      </c>
      <c r="Q810" s="293">
        <v>136</v>
      </c>
      <c r="T810" s="299"/>
      <c r="V810" s="299"/>
      <c r="X810" s="299"/>
    </row>
    <row r="811" spans="1:24" s="292" customFormat="1" ht="9" customHeight="1" x14ac:dyDescent="0.25">
      <c r="A811" s="300" t="s">
        <v>26</v>
      </c>
      <c r="B811" s="301">
        <f t="shared" si="85"/>
        <v>2122</v>
      </c>
      <c r="C811" s="301"/>
      <c r="D811" s="302">
        <f t="shared" si="86"/>
        <v>1975</v>
      </c>
      <c r="E811" s="302"/>
      <c r="F811" s="301">
        <v>704</v>
      </c>
      <c r="G811" s="301"/>
      <c r="H811" s="301">
        <f t="shared" si="87"/>
        <v>867</v>
      </c>
      <c r="I811" s="301"/>
      <c r="J811" s="301">
        <v>109</v>
      </c>
      <c r="K811" s="301">
        <v>92</v>
      </c>
      <c r="L811" s="301">
        <v>109</v>
      </c>
      <c r="M811" s="301">
        <v>557</v>
      </c>
      <c r="N811" s="301">
        <v>301</v>
      </c>
      <c r="O811" s="301"/>
      <c r="P811" s="301">
        <v>103</v>
      </c>
      <c r="Q811" s="301">
        <v>147</v>
      </c>
      <c r="T811" s="299"/>
      <c r="V811" s="299"/>
      <c r="X811" s="299"/>
    </row>
    <row r="812" spans="1:24" s="292" customFormat="1" ht="9" customHeight="1" x14ac:dyDescent="0.25">
      <c r="A812" s="292" t="s">
        <v>27</v>
      </c>
      <c r="B812" s="293">
        <f t="shared" si="85"/>
        <v>6093</v>
      </c>
      <c r="C812" s="293"/>
      <c r="D812" s="299">
        <f t="shared" si="86"/>
        <v>5632</v>
      </c>
      <c r="E812" s="299"/>
      <c r="F812" s="293">
        <v>1436</v>
      </c>
      <c r="G812" s="293"/>
      <c r="H812" s="293">
        <f t="shared" si="87"/>
        <v>2973</v>
      </c>
      <c r="I812" s="303"/>
      <c r="J812" s="293">
        <v>312</v>
      </c>
      <c r="K812" s="293">
        <v>333</v>
      </c>
      <c r="L812" s="293">
        <v>218</v>
      </c>
      <c r="M812" s="293">
        <v>2110</v>
      </c>
      <c r="N812" s="293">
        <v>1031</v>
      </c>
      <c r="O812" s="293"/>
      <c r="P812" s="293">
        <v>192</v>
      </c>
      <c r="Q812" s="293">
        <v>461</v>
      </c>
      <c r="T812" s="299"/>
      <c r="V812" s="299"/>
      <c r="X812" s="299"/>
    </row>
    <row r="813" spans="1:24" s="292" customFormat="1" ht="9" customHeight="1" x14ac:dyDescent="0.25">
      <c r="A813" s="292" t="s">
        <v>28</v>
      </c>
      <c r="B813" s="293">
        <f t="shared" si="85"/>
        <v>2011</v>
      </c>
      <c r="C813" s="293"/>
      <c r="D813" s="299">
        <f t="shared" si="86"/>
        <v>1852</v>
      </c>
      <c r="E813" s="299"/>
      <c r="F813" s="293">
        <v>527</v>
      </c>
      <c r="G813" s="293"/>
      <c r="H813" s="293">
        <f t="shared" si="87"/>
        <v>884</v>
      </c>
      <c r="I813" s="293"/>
      <c r="J813" s="293">
        <v>103</v>
      </c>
      <c r="K813" s="293">
        <v>92</v>
      </c>
      <c r="L813" s="293">
        <v>72</v>
      </c>
      <c r="M813" s="293">
        <v>617</v>
      </c>
      <c r="N813" s="293">
        <v>300</v>
      </c>
      <c r="O813" s="293"/>
      <c r="P813" s="293">
        <v>141</v>
      </c>
      <c r="Q813" s="293">
        <v>159</v>
      </c>
      <c r="T813" s="299"/>
      <c r="V813" s="299"/>
      <c r="X813" s="299"/>
    </row>
    <row r="814" spans="1:24" s="292" customFormat="1" ht="9.6" customHeight="1" x14ac:dyDescent="0.25">
      <c r="A814" s="292" t="s">
        <v>29</v>
      </c>
      <c r="B814" s="293">
        <f t="shared" si="85"/>
        <v>8358</v>
      </c>
      <c r="C814" s="293"/>
      <c r="D814" s="299">
        <f t="shared" si="86"/>
        <v>7940</v>
      </c>
      <c r="E814" s="299"/>
      <c r="F814" s="293">
        <v>3712</v>
      </c>
      <c r="G814" s="293"/>
      <c r="H814" s="293">
        <f t="shared" si="87"/>
        <v>2993</v>
      </c>
      <c r="J814" s="293">
        <v>254</v>
      </c>
      <c r="K814" s="293">
        <v>356</v>
      </c>
      <c r="L814" s="293">
        <v>446</v>
      </c>
      <c r="M814" s="293">
        <v>1937</v>
      </c>
      <c r="N814" s="293">
        <v>746</v>
      </c>
      <c r="O814" s="293"/>
      <c r="P814" s="293">
        <v>489</v>
      </c>
      <c r="Q814" s="293">
        <v>418</v>
      </c>
      <c r="T814" s="299"/>
      <c r="V814" s="299"/>
      <c r="X814" s="299"/>
    </row>
    <row r="815" spans="1:24" s="292" customFormat="1" ht="9" customHeight="1" x14ac:dyDescent="0.25">
      <c r="A815" s="300" t="s">
        <v>30</v>
      </c>
      <c r="B815" s="301">
        <f t="shared" si="85"/>
        <v>6370</v>
      </c>
      <c r="C815" s="301"/>
      <c r="D815" s="302">
        <f t="shared" si="86"/>
        <v>5936</v>
      </c>
      <c r="E815" s="302"/>
      <c r="F815" s="301">
        <v>1784</v>
      </c>
      <c r="G815" s="301"/>
      <c r="H815" s="301">
        <f t="shared" si="87"/>
        <v>2825</v>
      </c>
      <c r="I815" s="301"/>
      <c r="J815" s="301">
        <v>300</v>
      </c>
      <c r="K815" s="301">
        <v>325</v>
      </c>
      <c r="L815" s="301">
        <v>260</v>
      </c>
      <c r="M815" s="301">
        <v>1940</v>
      </c>
      <c r="N815" s="301">
        <v>1029</v>
      </c>
      <c r="O815" s="301"/>
      <c r="P815" s="301">
        <v>298</v>
      </c>
      <c r="Q815" s="301">
        <v>434</v>
      </c>
      <c r="T815" s="299"/>
      <c r="V815" s="299"/>
      <c r="X815" s="299"/>
    </row>
    <row r="816" spans="1:24" s="292" customFormat="1" ht="9" customHeight="1" x14ac:dyDescent="0.25">
      <c r="A816" s="292" t="s">
        <v>63</v>
      </c>
      <c r="B816" s="293">
        <f t="shared" si="85"/>
        <v>38454</v>
      </c>
      <c r="C816" s="293"/>
      <c r="D816" s="299">
        <f t="shared" si="86"/>
        <v>35808</v>
      </c>
      <c r="E816" s="299"/>
      <c r="F816" s="293">
        <v>6247</v>
      </c>
      <c r="G816" s="293"/>
      <c r="H816" s="293">
        <f t="shared" si="87"/>
        <v>19675</v>
      </c>
      <c r="I816" s="293"/>
      <c r="J816" s="293">
        <v>1501</v>
      </c>
      <c r="K816" s="293">
        <v>1698</v>
      </c>
      <c r="L816" s="293">
        <v>1565</v>
      </c>
      <c r="M816" s="293">
        <v>14911</v>
      </c>
      <c r="N816" s="293">
        <v>9076</v>
      </c>
      <c r="O816" s="293"/>
      <c r="P816" s="293">
        <v>810</v>
      </c>
      <c r="Q816" s="293">
        <v>2646</v>
      </c>
      <c r="T816" s="299"/>
      <c r="V816" s="299"/>
      <c r="X816" s="299"/>
    </row>
    <row r="817" spans="1:24" s="292" customFormat="1" ht="9" customHeight="1" x14ac:dyDescent="0.25">
      <c r="A817" s="292" t="s">
        <v>31</v>
      </c>
      <c r="B817" s="293">
        <f t="shared" si="85"/>
        <v>3858</v>
      </c>
      <c r="C817" s="293"/>
      <c r="D817" s="299">
        <f t="shared" si="86"/>
        <v>3627</v>
      </c>
      <c r="E817" s="299"/>
      <c r="F817" s="293">
        <v>1089</v>
      </c>
      <c r="G817" s="293"/>
      <c r="H817" s="293">
        <f t="shared" si="87"/>
        <v>1603</v>
      </c>
      <c r="I817" s="293"/>
      <c r="J817" s="293">
        <v>156</v>
      </c>
      <c r="K817" s="293">
        <v>165</v>
      </c>
      <c r="L817" s="293">
        <v>170</v>
      </c>
      <c r="M817" s="293">
        <v>1112</v>
      </c>
      <c r="N817" s="293">
        <v>666</v>
      </c>
      <c r="O817" s="293"/>
      <c r="P817" s="293">
        <v>269</v>
      </c>
      <c r="Q817" s="293">
        <v>231</v>
      </c>
      <c r="T817" s="299"/>
      <c r="V817" s="299"/>
      <c r="X817" s="299"/>
    </row>
    <row r="818" spans="1:24" s="292" customFormat="1" ht="9" customHeight="1" x14ac:dyDescent="0.25">
      <c r="A818" s="292" t="s">
        <v>32</v>
      </c>
      <c r="B818" s="293">
        <f t="shared" si="85"/>
        <v>9800</v>
      </c>
      <c r="C818" s="293"/>
      <c r="D818" s="299">
        <f t="shared" si="86"/>
        <v>9103</v>
      </c>
      <c r="E818" s="299"/>
      <c r="F818" s="293">
        <v>3148</v>
      </c>
      <c r="G818" s="293"/>
      <c r="H818" s="293">
        <f t="shared" si="87"/>
        <v>4068</v>
      </c>
      <c r="I818" s="293"/>
      <c r="J818" s="293">
        <v>431</v>
      </c>
      <c r="K818" s="293">
        <v>514</v>
      </c>
      <c r="L818" s="293">
        <v>426</v>
      </c>
      <c r="M818" s="293">
        <v>2697</v>
      </c>
      <c r="N818" s="293">
        <v>1495</v>
      </c>
      <c r="O818" s="293"/>
      <c r="P818" s="293">
        <v>392</v>
      </c>
      <c r="Q818" s="293">
        <v>697</v>
      </c>
      <c r="T818" s="299"/>
      <c r="V818" s="299"/>
      <c r="X818" s="299"/>
    </row>
    <row r="819" spans="1:24" s="292" customFormat="1" ht="9" customHeight="1" x14ac:dyDescent="0.25">
      <c r="A819" s="300" t="s">
        <v>33</v>
      </c>
      <c r="B819" s="301">
        <f t="shared" si="85"/>
        <v>7111</v>
      </c>
      <c r="C819" s="301"/>
      <c r="D819" s="302">
        <f t="shared" si="86"/>
        <v>6786</v>
      </c>
      <c r="E819" s="302"/>
      <c r="F819" s="301">
        <v>3237</v>
      </c>
      <c r="G819" s="301"/>
      <c r="H819" s="301">
        <f t="shared" si="87"/>
        <v>2525</v>
      </c>
      <c r="I819" s="301"/>
      <c r="J819" s="301">
        <v>332</v>
      </c>
      <c r="K819" s="301">
        <v>274</v>
      </c>
      <c r="L819" s="301">
        <v>577</v>
      </c>
      <c r="M819" s="301">
        <v>1342</v>
      </c>
      <c r="N819" s="301">
        <v>708</v>
      </c>
      <c r="O819" s="301"/>
      <c r="P819" s="301">
        <v>316</v>
      </c>
      <c r="Q819" s="301">
        <v>325</v>
      </c>
      <c r="T819" s="299"/>
      <c r="V819" s="299"/>
      <c r="X819" s="299"/>
    </row>
    <row r="820" spans="1:24" s="292" customFormat="1" ht="9" customHeight="1" x14ac:dyDescent="0.25">
      <c r="A820" s="292" t="s">
        <v>34</v>
      </c>
      <c r="B820" s="293">
        <f t="shared" si="85"/>
        <v>4912</v>
      </c>
      <c r="C820" s="293"/>
      <c r="D820" s="299">
        <f t="shared" si="86"/>
        <v>4666</v>
      </c>
      <c r="E820" s="299"/>
      <c r="F820" s="293">
        <v>1914</v>
      </c>
      <c r="G820" s="293"/>
      <c r="H820" s="293">
        <f t="shared" si="87"/>
        <v>1764</v>
      </c>
      <c r="I820" s="293"/>
      <c r="J820" s="293">
        <v>212</v>
      </c>
      <c r="K820" s="293">
        <v>200</v>
      </c>
      <c r="L820" s="293">
        <v>316</v>
      </c>
      <c r="M820" s="293">
        <v>1036</v>
      </c>
      <c r="N820" s="293">
        <v>499</v>
      </c>
      <c r="O820" s="293"/>
      <c r="P820" s="293">
        <v>489</v>
      </c>
      <c r="Q820" s="293">
        <v>246</v>
      </c>
      <c r="T820" s="299"/>
      <c r="V820" s="299"/>
      <c r="X820" s="299"/>
    </row>
    <row r="821" spans="1:24" s="292" customFormat="1" ht="9" customHeight="1" x14ac:dyDescent="0.25">
      <c r="A821" s="292" t="s">
        <v>35</v>
      </c>
      <c r="B821" s="293">
        <f t="shared" si="85"/>
        <v>15993</v>
      </c>
      <c r="C821" s="293"/>
      <c r="D821" s="299">
        <f t="shared" si="86"/>
        <v>15069</v>
      </c>
      <c r="E821" s="299"/>
      <c r="F821" s="293">
        <v>3512</v>
      </c>
      <c r="G821" s="293"/>
      <c r="H821" s="293">
        <f t="shared" si="87"/>
        <v>6290</v>
      </c>
      <c r="I821" s="293"/>
      <c r="J821" s="293">
        <v>683</v>
      </c>
      <c r="K821" s="293">
        <v>691</v>
      </c>
      <c r="L821" s="293">
        <v>622</v>
      </c>
      <c r="M821" s="293">
        <v>4294</v>
      </c>
      <c r="N821" s="293">
        <v>4200</v>
      </c>
      <c r="O821" s="293"/>
      <c r="P821" s="293">
        <v>1067</v>
      </c>
      <c r="Q821" s="293">
        <v>924</v>
      </c>
      <c r="T821" s="299"/>
      <c r="V821" s="299"/>
      <c r="X821" s="299"/>
    </row>
    <row r="822" spans="1:24" s="292" customFormat="1" ht="9" customHeight="1" x14ac:dyDescent="0.25">
      <c r="A822" s="292" t="s">
        <v>36</v>
      </c>
      <c r="B822" s="293">
        <f t="shared" si="85"/>
        <v>22957</v>
      </c>
      <c r="C822" s="293"/>
      <c r="D822" s="299">
        <f t="shared" si="86"/>
        <v>21208</v>
      </c>
      <c r="E822" s="299"/>
      <c r="F822" s="293">
        <v>6516</v>
      </c>
      <c r="G822" s="293"/>
      <c r="H822" s="293">
        <f t="shared" si="87"/>
        <v>10776</v>
      </c>
      <c r="I822" s="293"/>
      <c r="J822" s="293">
        <v>1430</v>
      </c>
      <c r="K822" s="293">
        <v>1339</v>
      </c>
      <c r="L822" s="293">
        <v>1340</v>
      </c>
      <c r="M822" s="293">
        <v>6667</v>
      </c>
      <c r="N822" s="293">
        <v>2795</v>
      </c>
      <c r="O822" s="293"/>
      <c r="P822" s="293">
        <v>1121</v>
      </c>
      <c r="Q822" s="293">
        <v>1749</v>
      </c>
      <c r="T822" s="299"/>
      <c r="V822" s="299"/>
      <c r="X822" s="299"/>
    </row>
    <row r="823" spans="1:24" s="292" customFormat="1" ht="9" customHeight="1" x14ac:dyDescent="0.25">
      <c r="A823" s="300" t="s">
        <v>37</v>
      </c>
      <c r="B823" s="301">
        <f t="shared" si="85"/>
        <v>7950</v>
      </c>
      <c r="C823" s="301"/>
      <c r="D823" s="302">
        <f t="shared" si="86"/>
        <v>7317</v>
      </c>
      <c r="E823" s="302"/>
      <c r="F823" s="301">
        <v>2486</v>
      </c>
      <c r="G823" s="301"/>
      <c r="H823" s="301">
        <f t="shared" si="87"/>
        <v>3108</v>
      </c>
      <c r="I823" s="301"/>
      <c r="J823" s="301">
        <v>326</v>
      </c>
      <c r="K823" s="301">
        <v>250</v>
      </c>
      <c r="L823" s="301">
        <v>571</v>
      </c>
      <c r="M823" s="301">
        <v>1961</v>
      </c>
      <c r="N823" s="301">
        <v>1169</v>
      </c>
      <c r="O823" s="301"/>
      <c r="P823" s="301">
        <v>554</v>
      </c>
      <c r="Q823" s="301">
        <v>633</v>
      </c>
      <c r="T823" s="299"/>
      <c r="V823" s="299"/>
      <c r="X823" s="299"/>
    </row>
    <row r="824" spans="1:24" s="292" customFormat="1" ht="9" customHeight="1" x14ac:dyDescent="0.25">
      <c r="A824" s="292" t="s">
        <v>38</v>
      </c>
      <c r="B824" s="293">
        <f t="shared" si="85"/>
        <v>3716</v>
      </c>
      <c r="C824" s="293"/>
      <c r="D824" s="299">
        <f t="shared" si="86"/>
        <v>3467</v>
      </c>
      <c r="E824" s="299"/>
      <c r="F824" s="293">
        <v>1069</v>
      </c>
      <c r="G824" s="293"/>
      <c r="H824" s="293">
        <f t="shared" si="87"/>
        <v>1665</v>
      </c>
      <c r="I824" s="293"/>
      <c r="J824" s="293">
        <v>187</v>
      </c>
      <c r="K824" s="293">
        <v>203</v>
      </c>
      <c r="L824" s="293">
        <v>163</v>
      </c>
      <c r="M824" s="293">
        <v>1112</v>
      </c>
      <c r="N824" s="293">
        <v>490</v>
      </c>
      <c r="O824" s="293"/>
      <c r="P824" s="293">
        <v>243</v>
      </c>
      <c r="Q824" s="293">
        <v>249</v>
      </c>
      <c r="T824" s="299"/>
      <c r="V824" s="299"/>
      <c r="X824" s="299"/>
    </row>
    <row r="825" spans="1:24" s="292" customFormat="1" ht="9" customHeight="1" x14ac:dyDescent="0.25">
      <c r="A825" s="292" t="s">
        <v>39</v>
      </c>
      <c r="B825" s="293">
        <f t="shared" si="85"/>
        <v>2633</v>
      </c>
      <c r="C825" s="293"/>
      <c r="D825" s="299">
        <f t="shared" si="86"/>
        <v>2489</v>
      </c>
      <c r="E825" s="299"/>
      <c r="F825" s="293">
        <v>995</v>
      </c>
      <c r="G825" s="293"/>
      <c r="H825" s="293">
        <f t="shared" si="87"/>
        <v>883</v>
      </c>
      <c r="I825" s="293"/>
      <c r="J825" s="293">
        <v>82</v>
      </c>
      <c r="K825" s="293">
        <v>77</v>
      </c>
      <c r="L825" s="293">
        <v>116</v>
      </c>
      <c r="M825" s="293">
        <v>608</v>
      </c>
      <c r="N825" s="293">
        <v>395</v>
      </c>
      <c r="O825" s="293"/>
      <c r="P825" s="293">
        <v>216</v>
      </c>
      <c r="Q825" s="293">
        <v>144</v>
      </c>
      <c r="T825" s="299"/>
      <c r="V825" s="299"/>
      <c r="X825" s="299"/>
    </row>
    <row r="826" spans="1:24" s="292" customFormat="1" ht="9" customHeight="1" x14ac:dyDescent="0.25">
      <c r="A826" s="292" t="s">
        <v>40</v>
      </c>
      <c r="B826" s="293">
        <f t="shared" si="85"/>
        <v>9870</v>
      </c>
      <c r="C826" s="293"/>
      <c r="D826" s="299">
        <f t="shared" si="86"/>
        <v>9286</v>
      </c>
      <c r="E826" s="299"/>
      <c r="F826" s="293">
        <v>2116</v>
      </c>
      <c r="G826" s="293"/>
      <c r="H826" s="293">
        <f t="shared" si="87"/>
        <v>4174</v>
      </c>
      <c r="I826" s="293"/>
      <c r="J826" s="293">
        <v>430</v>
      </c>
      <c r="K826" s="293">
        <v>426</v>
      </c>
      <c r="L826" s="293">
        <v>289</v>
      </c>
      <c r="M826" s="293">
        <v>3029</v>
      </c>
      <c r="N826" s="293">
        <v>2322</v>
      </c>
      <c r="O826" s="293"/>
      <c r="P826" s="293">
        <v>674</v>
      </c>
      <c r="Q826" s="293">
        <v>584</v>
      </c>
      <c r="T826" s="299"/>
      <c r="V826" s="299"/>
      <c r="X826" s="299"/>
    </row>
    <row r="827" spans="1:24" s="292" customFormat="1" ht="9" customHeight="1" x14ac:dyDescent="0.25">
      <c r="A827" s="300" t="s">
        <v>41</v>
      </c>
      <c r="B827" s="301">
        <f t="shared" si="85"/>
        <v>6937</v>
      </c>
      <c r="C827" s="301"/>
      <c r="D827" s="302">
        <f t="shared" si="86"/>
        <v>6564</v>
      </c>
      <c r="E827" s="302"/>
      <c r="F827" s="301">
        <v>2860</v>
      </c>
      <c r="G827" s="301"/>
      <c r="H827" s="301">
        <f t="shared" si="87"/>
        <v>2417</v>
      </c>
      <c r="I827" s="301"/>
      <c r="J827" s="301">
        <v>221</v>
      </c>
      <c r="K827" s="301">
        <v>254</v>
      </c>
      <c r="L827" s="301">
        <v>425</v>
      </c>
      <c r="M827" s="301">
        <v>1517</v>
      </c>
      <c r="N827" s="301">
        <v>804</v>
      </c>
      <c r="O827" s="301"/>
      <c r="P827" s="301">
        <v>483</v>
      </c>
      <c r="Q827" s="301">
        <v>373</v>
      </c>
      <c r="T827" s="299"/>
      <c r="V827" s="299"/>
      <c r="X827" s="299"/>
    </row>
    <row r="828" spans="1:24" s="292" customFormat="1" ht="9.6" customHeight="1" x14ac:dyDescent="0.25">
      <c r="A828" s="292" t="s">
        <v>42</v>
      </c>
      <c r="B828" s="293">
        <f t="shared" si="85"/>
        <v>10831</v>
      </c>
      <c r="C828" s="293"/>
      <c r="D828" s="299">
        <f t="shared" si="86"/>
        <v>10137</v>
      </c>
      <c r="E828" s="299"/>
      <c r="F828" s="293">
        <v>3149</v>
      </c>
      <c r="G828" s="293"/>
      <c r="H828" s="293">
        <f t="shared" si="87"/>
        <v>3978</v>
      </c>
      <c r="I828" s="304"/>
      <c r="J828" s="293">
        <v>355</v>
      </c>
      <c r="K828" s="293">
        <v>437</v>
      </c>
      <c r="L828" s="293">
        <v>560</v>
      </c>
      <c r="M828" s="293">
        <v>2626</v>
      </c>
      <c r="N828" s="293">
        <v>2185</v>
      </c>
      <c r="O828" s="293"/>
      <c r="P828" s="293">
        <v>825</v>
      </c>
      <c r="Q828" s="293">
        <v>694</v>
      </c>
      <c r="T828" s="299"/>
      <c r="V828" s="299"/>
      <c r="X828" s="299"/>
    </row>
    <row r="829" spans="1:24" s="292" customFormat="1" ht="9" customHeight="1" x14ac:dyDescent="0.25">
      <c r="A829" s="292" t="s">
        <v>43</v>
      </c>
      <c r="B829" s="293">
        <f t="shared" si="85"/>
        <v>3586</v>
      </c>
      <c r="C829" s="293"/>
      <c r="D829" s="299">
        <f t="shared" si="86"/>
        <v>3380</v>
      </c>
      <c r="E829" s="299"/>
      <c r="F829" s="293">
        <v>1019</v>
      </c>
      <c r="G829" s="293"/>
      <c r="H829" s="293">
        <f t="shared" si="87"/>
        <v>1474</v>
      </c>
      <c r="I829" s="293"/>
      <c r="J829" s="293">
        <v>208</v>
      </c>
      <c r="K829" s="293">
        <v>212</v>
      </c>
      <c r="L829" s="293">
        <v>181</v>
      </c>
      <c r="M829" s="293">
        <v>873</v>
      </c>
      <c r="N829" s="293">
        <v>574</v>
      </c>
      <c r="O829" s="293"/>
      <c r="P829" s="293">
        <v>313</v>
      </c>
      <c r="Q829" s="293">
        <v>206</v>
      </c>
      <c r="T829" s="299"/>
      <c r="V829" s="299"/>
      <c r="X829" s="299"/>
    </row>
    <row r="830" spans="1:24" s="292" customFormat="1" ht="9" customHeight="1" x14ac:dyDescent="0.25">
      <c r="A830" s="292" t="s">
        <v>44</v>
      </c>
      <c r="B830" s="293">
        <f t="shared" si="85"/>
        <v>2829</v>
      </c>
      <c r="C830" s="293"/>
      <c r="D830" s="299">
        <f t="shared" si="86"/>
        <v>2616</v>
      </c>
      <c r="E830" s="299"/>
      <c r="F830" s="293">
        <v>882</v>
      </c>
      <c r="G830" s="293"/>
      <c r="H830" s="293">
        <f t="shared" si="87"/>
        <v>1276</v>
      </c>
      <c r="I830" s="293"/>
      <c r="J830" s="293">
        <v>159</v>
      </c>
      <c r="K830" s="293">
        <v>169</v>
      </c>
      <c r="L830" s="293">
        <v>135</v>
      </c>
      <c r="M830" s="293">
        <v>813</v>
      </c>
      <c r="N830" s="293">
        <v>336</v>
      </c>
      <c r="O830" s="293"/>
      <c r="P830" s="293">
        <v>122</v>
      </c>
      <c r="Q830" s="293">
        <v>213</v>
      </c>
      <c r="T830" s="299"/>
      <c r="V830" s="299"/>
      <c r="X830" s="299"/>
    </row>
    <row r="831" spans="1:24" s="292" customFormat="1" ht="9" customHeight="1" x14ac:dyDescent="0.25">
      <c r="A831" s="300" t="s">
        <v>45</v>
      </c>
      <c r="B831" s="301">
        <f t="shared" si="85"/>
        <v>4861</v>
      </c>
      <c r="C831" s="301"/>
      <c r="D831" s="302">
        <f t="shared" si="86"/>
        <v>4639</v>
      </c>
      <c r="E831" s="302"/>
      <c r="F831" s="301">
        <v>1354</v>
      </c>
      <c r="G831" s="301"/>
      <c r="H831" s="301">
        <f t="shared" si="87"/>
        <v>1837</v>
      </c>
      <c r="I831" s="301"/>
      <c r="J831" s="301">
        <v>204</v>
      </c>
      <c r="K831" s="301">
        <v>224</v>
      </c>
      <c r="L831" s="301">
        <v>273</v>
      </c>
      <c r="M831" s="301">
        <v>1136</v>
      </c>
      <c r="N831" s="301">
        <v>1039</v>
      </c>
      <c r="O831" s="301"/>
      <c r="P831" s="301">
        <v>409</v>
      </c>
      <c r="Q831" s="301">
        <v>222</v>
      </c>
      <c r="T831" s="299"/>
      <c r="V831" s="299"/>
      <c r="X831" s="299"/>
    </row>
    <row r="832" spans="1:24" s="292" customFormat="1" ht="9" customHeight="1" x14ac:dyDescent="0.25">
      <c r="A832" s="292" t="s">
        <v>46</v>
      </c>
      <c r="B832" s="293">
        <f t="shared" si="85"/>
        <v>6814</v>
      </c>
      <c r="C832" s="293"/>
      <c r="D832" s="299">
        <f t="shared" si="86"/>
        <v>6475</v>
      </c>
      <c r="E832" s="299"/>
      <c r="F832" s="293">
        <v>1931</v>
      </c>
      <c r="G832" s="293"/>
      <c r="H832" s="293">
        <f t="shared" si="87"/>
        <v>2921</v>
      </c>
      <c r="I832" s="293"/>
      <c r="J832" s="293">
        <v>301</v>
      </c>
      <c r="K832" s="293">
        <v>294</v>
      </c>
      <c r="L832" s="293">
        <v>361</v>
      </c>
      <c r="M832" s="293">
        <v>1965</v>
      </c>
      <c r="N832" s="293">
        <v>1197</v>
      </c>
      <c r="O832" s="293"/>
      <c r="P832" s="293">
        <v>426</v>
      </c>
      <c r="Q832" s="293">
        <v>339</v>
      </c>
      <c r="T832" s="299"/>
      <c r="V832" s="299"/>
      <c r="X832" s="299"/>
    </row>
    <row r="833" spans="1:24" s="292" customFormat="1" ht="9" customHeight="1" x14ac:dyDescent="0.25">
      <c r="A833" s="292" t="s">
        <v>47</v>
      </c>
      <c r="B833" s="293">
        <f t="shared" si="85"/>
        <v>6959</v>
      </c>
      <c r="C833" s="293"/>
      <c r="D833" s="299">
        <f t="shared" si="86"/>
        <v>6480</v>
      </c>
      <c r="E833" s="299"/>
      <c r="F833" s="293">
        <v>1685</v>
      </c>
      <c r="G833" s="293"/>
      <c r="H833" s="293">
        <f t="shared" si="87"/>
        <v>3131</v>
      </c>
      <c r="I833" s="293"/>
      <c r="J833" s="293">
        <v>359</v>
      </c>
      <c r="K833" s="293">
        <v>328</v>
      </c>
      <c r="L833" s="293">
        <v>235</v>
      </c>
      <c r="M833" s="293">
        <v>2209</v>
      </c>
      <c r="N833" s="293">
        <v>1365</v>
      </c>
      <c r="O833" s="293"/>
      <c r="P833" s="293">
        <v>299</v>
      </c>
      <c r="Q833" s="293">
        <v>479</v>
      </c>
      <c r="T833" s="299"/>
      <c r="V833" s="299"/>
      <c r="X833" s="299"/>
    </row>
    <row r="834" spans="1:24" s="292" customFormat="1" ht="9.6" customHeight="1" x14ac:dyDescent="0.25">
      <c r="A834" s="292" t="s">
        <v>48</v>
      </c>
      <c r="B834" s="293">
        <f t="shared" si="85"/>
        <v>5740</v>
      </c>
      <c r="C834" s="293"/>
      <c r="D834" s="299">
        <f t="shared" si="86"/>
        <v>5314</v>
      </c>
      <c r="E834" s="299"/>
      <c r="F834" s="293">
        <v>2159</v>
      </c>
      <c r="G834" s="293"/>
      <c r="H834" s="293">
        <f t="shared" si="87"/>
        <v>2009</v>
      </c>
      <c r="I834" s="304"/>
      <c r="J834" s="293">
        <v>206</v>
      </c>
      <c r="K834" s="293">
        <v>211</v>
      </c>
      <c r="L834" s="293">
        <v>404</v>
      </c>
      <c r="M834" s="293">
        <v>1188</v>
      </c>
      <c r="N834" s="293">
        <v>720</v>
      </c>
      <c r="O834" s="293"/>
      <c r="P834" s="293">
        <v>426</v>
      </c>
      <c r="Q834" s="293">
        <v>426</v>
      </c>
      <c r="T834" s="299"/>
      <c r="V834" s="299"/>
      <c r="X834" s="299"/>
    </row>
    <row r="835" spans="1:24" s="292" customFormat="1" ht="9" customHeight="1" x14ac:dyDescent="0.25">
      <c r="A835" s="300" t="s">
        <v>49</v>
      </c>
      <c r="B835" s="301">
        <f t="shared" si="85"/>
        <v>7712</v>
      </c>
      <c r="C835" s="301"/>
      <c r="D835" s="302">
        <f t="shared" si="86"/>
        <v>7226</v>
      </c>
      <c r="E835" s="302"/>
      <c r="F835" s="301">
        <v>2245</v>
      </c>
      <c r="G835" s="301"/>
      <c r="H835" s="301">
        <f t="shared" si="87"/>
        <v>3144</v>
      </c>
      <c r="I835" s="301"/>
      <c r="J835" s="301">
        <v>372</v>
      </c>
      <c r="K835" s="301">
        <v>382</v>
      </c>
      <c r="L835" s="301">
        <v>317</v>
      </c>
      <c r="M835" s="301">
        <v>2073</v>
      </c>
      <c r="N835" s="301">
        <v>1307</v>
      </c>
      <c r="O835" s="301"/>
      <c r="P835" s="301">
        <v>530</v>
      </c>
      <c r="Q835" s="301">
        <v>486</v>
      </c>
      <c r="T835" s="299"/>
      <c r="V835" s="299"/>
      <c r="X835" s="299"/>
    </row>
    <row r="836" spans="1:24" s="292" customFormat="1" ht="9" customHeight="1" x14ac:dyDescent="0.25">
      <c r="A836" s="292" t="s">
        <v>50</v>
      </c>
      <c r="B836" s="293">
        <f t="shared" si="85"/>
        <v>2493</v>
      </c>
      <c r="C836" s="293"/>
      <c r="D836" s="299">
        <f t="shared" si="86"/>
        <v>2347</v>
      </c>
      <c r="E836" s="299"/>
      <c r="F836" s="293">
        <v>952</v>
      </c>
      <c r="G836" s="293"/>
      <c r="H836" s="293">
        <f t="shared" si="87"/>
        <v>1018</v>
      </c>
      <c r="I836" s="293"/>
      <c r="J836" s="293">
        <v>134</v>
      </c>
      <c r="K836" s="293">
        <v>117</v>
      </c>
      <c r="L836" s="293">
        <v>150</v>
      </c>
      <c r="M836" s="293">
        <v>617</v>
      </c>
      <c r="N836" s="293">
        <v>201</v>
      </c>
      <c r="O836" s="293"/>
      <c r="P836" s="293">
        <v>176</v>
      </c>
      <c r="Q836" s="293">
        <v>146</v>
      </c>
      <c r="T836" s="299"/>
      <c r="V836" s="299"/>
      <c r="X836" s="299"/>
    </row>
    <row r="837" spans="1:24" s="292" customFormat="1" ht="9" customHeight="1" x14ac:dyDescent="0.25">
      <c r="A837" s="292" t="s">
        <v>51</v>
      </c>
      <c r="B837" s="293">
        <f t="shared" si="85"/>
        <v>13924</v>
      </c>
      <c r="C837" s="293"/>
      <c r="D837" s="299">
        <f t="shared" si="86"/>
        <v>13044</v>
      </c>
      <c r="E837" s="299"/>
      <c r="F837" s="293">
        <v>5086</v>
      </c>
      <c r="G837" s="293"/>
      <c r="H837" s="293">
        <f t="shared" si="87"/>
        <v>5388</v>
      </c>
      <c r="I837" s="293"/>
      <c r="J837" s="293">
        <v>545</v>
      </c>
      <c r="K837" s="293">
        <v>560</v>
      </c>
      <c r="L837" s="293">
        <v>880</v>
      </c>
      <c r="M837" s="293">
        <v>3403</v>
      </c>
      <c r="N837" s="293">
        <v>1871</v>
      </c>
      <c r="O837" s="293"/>
      <c r="P837" s="293">
        <v>699</v>
      </c>
      <c r="Q837" s="293">
        <v>880</v>
      </c>
      <c r="T837" s="299"/>
      <c r="V837" s="299"/>
      <c r="X837" s="299"/>
    </row>
    <row r="838" spans="1:24" s="292" customFormat="1" ht="9" customHeight="1" x14ac:dyDescent="0.25">
      <c r="A838" s="292" t="s">
        <v>52</v>
      </c>
      <c r="B838" s="293">
        <f t="shared" si="85"/>
        <v>5218</v>
      </c>
      <c r="C838" s="293"/>
      <c r="D838" s="299">
        <f t="shared" si="86"/>
        <v>4866</v>
      </c>
      <c r="E838" s="299"/>
      <c r="F838" s="293">
        <v>1265</v>
      </c>
      <c r="G838" s="293"/>
      <c r="H838" s="293">
        <f t="shared" si="87"/>
        <v>2156</v>
      </c>
      <c r="I838" s="293"/>
      <c r="J838" s="293">
        <v>196</v>
      </c>
      <c r="K838" s="293">
        <v>224</v>
      </c>
      <c r="L838" s="293">
        <v>195</v>
      </c>
      <c r="M838" s="293">
        <v>1541</v>
      </c>
      <c r="N838" s="293">
        <v>1129</v>
      </c>
      <c r="O838" s="293"/>
      <c r="P838" s="293">
        <v>316</v>
      </c>
      <c r="Q838" s="293">
        <v>352</v>
      </c>
      <c r="T838" s="299"/>
      <c r="V838" s="299"/>
      <c r="X838" s="299"/>
    </row>
    <row r="839" spans="1:24" s="292" customFormat="1" ht="9" customHeight="1" x14ac:dyDescent="0.25">
      <c r="A839" s="300" t="s">
        <v>53</v>
      </c>
      <c r="B839" s="301">
        <f t="shared" si="85"/>
        <v>3252</v>
      </c>
      <c r="C839" s="301"/>
      <c r="D839" s="302">
        <f t="shared" si="86"/>
        <v>3057</v>
      </c>
      <c r="E839" s="302"/>
      <c r="F839" s="301">
        <v>1108</v>
      </c>
      <c r="G839" s="301"/>
      <c r="H839" s="301">
        <f t="shared" si="87"/>
        <v>1238</v>
      </c>
      <c r="I839" s="301"/>
      <c r="J839" s="301">
        <v>145</v>
      </c>
      <c r="K839" s="301">
        <v>142</v>
      </c>
      <c r="L839" s="301">
        <v>185</v>
      </c>
      <c r="M839" s="301">
        <v>766</v>
      </c>
      <c r="N839" s="301">
        <v>444</v>
      </c>
      <c r="O839" s="301"/>
      <c r="P839" s="301">
        <v>267</v>
      </c>
      <c r="Q839" s="301">
        <v>195</v>
      </c>
      <c r="T839" s="299"/>
      <c r="V839" s="299"/>
      <c r="X839" s="299"/>
    </row>
    <row r="840" spans="1:24" ht="3" customHeight="1" x14ac:dyDescent="0.25">
      <c r="A840" s="257"/>
      <c r="B840" s="257"/>
      <c r="C840" s="257"/>
      <c r="D840" s="257"/>
      <c r="E840" s="257"/>
      <c r="F840" s="257"/>
      <c r="G840" s="257"/>
      <c r="H840" s="257"/>
      <c r="I840" s="257"/>
      <c r="J840" s="257"/>
      <c r="K840" s="257"/>
      <c r="L840" s="257"/>
      <c r="M840" s="257"/>
      <c r="N840" s="257"/>
      <c r="O840" s="257"/>
      <c r="P840" s="257"/>
      <c r="Q840" s="257"/>
    </row>
    <row r="841" spans="1:24" ht="3" customHeight="1" x14ac:dyDescent="0.25">
      <c r="A841" s="307"/>
    </row>
    <row r="842" spans="1:24" ht="9.6" customHeight="1" x14ac:dyDescent="0.15">
      <c r="A842" s="273" t="s">
        <v>242</v>
      </c>
    </row>
    <row r="843" spans="1:24" ht="9.6" customHeight="1" x14ac:dyDescent="0.15">
      <c r="A843" s="273" t="s">
        <v>243</v>
      </c>
    </row>
    <row r="844" spans="1:24" ht="9.6" customHeight="1" x14ac:dyDescent="0.15">
      <c r="A844" s="273" t="s">
        <v>244</v>
      </c>
    </row>
    <row r="845" spans="1:24" ht="9.6" customHeight="1" x14ac:dyDescent="0.15">
      <c r="A845" s="273" t="s">
        <v>245</v>
      </c>
    </row>
    <row r="846" spans="1:24" ht="9" customHeight="1" x14ac:dyDescent="0.15">
      <c r="A846" s="308" t="s">
        <v>246</v>
      </c>
    </row>
    <row r="847" spans="1:24" ht="9" customHeight="1" x14ac:dyDescent="0.15">
      <c r="A847" s="308" t="s">
        <v>247</v>
      </c>
      <c r="B847" s="260"/>
      <c r="C847" s="260"/>
      <c r="D847" s="260"/>
      <c r="E847" s="260"/>
      <c r="F847" s="260"/>
      <c r="G847" s="260"/>
      <c r="H847" s="260"/>
      <c r="I847" s="260"/>
      <c r="J847" s="260"/>
      <c r="K847" s="260"/>
      <c r="L847" s="260"/>
      <c r="M847" s="260"/>
      <c r="N847" s="260"/>
      <c r="O847" s="260"/>
      <c r="P847" s="260"/>
      <c r="Q847" s="260"/>
    </row>
    <row r="848" spans="1:24" ht="9" customHeight="1" x14ac:dyDescent="0.15">
      <c r="A848" s="308" t="s">
        <v>248</v>
      </c>
      <c r="B848" s="260"/>
      <c r="C848" s="260"/>
      <c r="D848" s="260"/>
      <c r="E848" s="260"/>
      <c r="F848" s="260"/>
      <c r="G848" s="260"/>
      <c r="H848" s="260"/>
      <c r="I848" s="260"/>
      <c r="J848" s="260"/>
      <c r="K848" s="260"/>
      <c r="L848" s="260"/>
      <c r="M848" s="260"/>
      <c r="N848" s="260"/>
      <c r="O848" s="260"/>
      <c r="P848" s="260"/>
      <c r="Q848" s="260"/>
    </row>
    <row r="849" spans="1:17" ht="9" customHeight="1" x14ac:dyDescent="0.15">
      <c r="A849" s="308" t="s">
        <v>249</v>
      </c>
      <c r="B849" s="260"/>
      <c r="C849" s="260"/>
      <c r="D849" s="260"/>
      <c r="E849" s="260"/>
      <c r="F849" s="260"/>
      <c r="G849" s="260"/>
      <c r="H849" s="260"/>
      <c r="I849" s="260"/>
      <c r="J849" s="260"/>
      <c r="K849" s="260"/>
      <c r="L849" s="260"/>
      <c r="M849" s="260"/>
      <c r="N849" s="260"/>
      <c r="O849" s="260"/>
      <c r="P849" s="260"/>
      <c r="Q849" s="260"/>
    </row>
    <row r="850" spans="1:17" ht="9" customHeight="1" x14ac:dyDescent="0.15">
      <c r="A850" s="308" t="s">
        <v>250</v>
      </c>
      <c r="B850" s="260"/>
      <c r="C850" s="260"/>
      <c r="D850" s="260"/>
      <c r="E850" s="260"/>
      <c r="F850" s="260"/>
      <c r="G850" s="260"/>
      <c r="H850" s="260"/>
      <c r="I850" s="260"/>
      <c r="J850" s="260"/>
      <c r="K850" s="260"/>
      <c r="L850" s="260"/>
      <c r="M850" s="260"/>
      <c r="N850" s="260"/>
      <c r="O850" s="260"/>
      <c r="P850" s="260"/>
      <c r="Q850" s="260"/>
    </row>
    <row r="851" spans="1:17" s="310" customFormat="1" ht="9.6" customHeight="1" x14ac:dyDescent="0.15">
      <c r="A851" s="309" t="s">
        <v>251</v>
      </c>
    </row>
    <row r="852" spans="1:17" s="310" customFormat="1" ht="9.6" customHeight="1" x14ac:dyDescent="0.15">
      <c r="A852" s="309" t="s">
        <v>252</v>
      </c>
    </row>
    <row r="853" spans="1:17" ht="9" customHeight="1" x14ac:dyDescent="0.15">
      <c r="A853" s="311" t="s">
        <v>202</v>
      </c>
      <c r="B853" s="260"/>
      <c r="C853" s="260"/>
      <c r="D853" s="260"/>
      <c r="E853" s="260"/>
      <c r="F853" s="260"/>
      <c r="G853" s="260"/>
      <c r="H853" s="260"/>
      <c r="I853" s="260"/>
      <c r="J853" s="260"/>
      <c r="K853" s="260"/>
      <c r="L853" s="260"/>
      <c r="M853" s="260"/>
      <c r="N853" s="260"/>
      <c r="O853" s="260"/>
      <c r="P853" s="260"/>
      <c r="Q853" s="260"/>
    </row>
    <row r="854" spans="1:17" ht="9" customHeight="1" x14ac:dyDescent="0.25">
      <c r="A854" s="225" t="s">
        <v>512</v>
      </c>
      <c r="B854" s="250"/>
      <c r="C854" s="250"/>
      <c r="D854" s="250"/>
      <c r="E854" s="250"/>
      <c r="F854" s="250"/>
      <c r="G854" s="250"/>
      <c r="H854" s="250"/>
      <c r="I854" s="250"/>
      <c r="J854" s="260"/>
      <c r="K854" s="260"/>
      <c r="L854" s="260"/>
      <c r="M854" s="260"/>
      <c r="N854" s="260"/>
      <c r="O854" s="260"/>
      <c r="P854" s="260"/>
      <c r="Q854" s="260"/>
    </row>
    <row r="855" spans="1:17" ht="9" customHeight="1" x14ac:dyDescent="0.25">
      <c r="A855" s="225" t="s">
        <v>203</v>
      </c>
      <c r="B855" s="250"/>
      <c r="C855" s="250"/>
      <c r="D855" s="250"/>
      <c r="E855" s="250"/>
      <c r="F855" s="250"/>
      <c r="G855" s="250"/>
      <c r="H855" s="250"/>
      <c r="I855" s="250"/>
      <c r="J855" s="260"/>
      <c r="K855" s="260"/>
      <c r="L855" s="260"/>
      <c r="M855" s="260"/>
      <c r="N855" s="260"/>
      <c r="O855" s="260"/>
      <c r="P855" s="260"/>
      <c r="Q855" s="260"/>
    </row>
    <row r="856" spans="1:17" s="310" customFormat="1" ht="9.6" hidden="1" customHeight="1" x14ac:dyDescent="0.15">
      <c r="A856" s="309"/>
    </row>
    <row r="857" spans="1:17" s="310" customFormat="1" ht="9.6" hidden="1" customHeight="1" x14ac:dyDescent="0.15">
      <c r="A857" s="309"/>
    </row>
  </sheetData>
  <sheetProtection sheet="1" objects="1" scenarios="1"/>
  <mergeCells count="9">
    <mergeCell ref="P1:Q1"/>
    <mergeCell ref="A5:A10"/>
    <mergeCell ref="Q5:Q7"/>
    <mergeCell ref="E7:F10"/>
    <mergeCell ref="N7:N9"/>
    <mergeCell ref="P7:P9"/>
    <mergeCell ref="J9:J10"/>
    <mergeCell ref="K9:K10"/>
    <mergeCell ref="L9:L10"/>
  </mergeCells>
  <hyperlinks>
    <hyperlink ref="P1" location="Índice!A1" display="Índice!A1"/>
    <hyperlink ref="P1:Q1" location="Índice!A1" tooltip="Ir a Índice" display="Índice!A1"/>
  </hyperlinks>
  <printOptions horizontalCentered="1" verticalCentered="1" gridLinesSet="0"/>
  <pageMargins left="0.39370078740157483" right="0.39370078740157483" top="0.39370078740157483" bottom="0.39370078740157483" header="0.39370078740157483" footer="0.39370078740157483"/>
  <pageSetup orientation="portrait" r:id="rId1"/>
  <headerFooter>
    <oddHeader>&amp;L&amp;"Arial,Normal"&amp;10&amp;K000080INEGI. Anuario estadístico y geográfico por entidad federativa 2019.</oddHeader>
  </headerFooter>
  <rowBreaks count="11" manualBreakCount="11">
    <brk id="84" max="16" man="1"/>
    <brk id="156" max="16" man="1"/>
    <brk id="228" max="16" man="1"/>
    <brk id="300" max="16" man="1"/>
    <brk id="372" max="16" man="1"/>
    <brk id="444" max="16" man="1"/>
    <brk id="516" max="16" man="1"/>
    <brk id="588" max="16" man="1"/>
    <brk id="660" max="16" man="1"/>
    <brk id="732" max="16" man="1"/>
    <brk id="804" max="16" man="1"/>
  </rowBreak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49"/>
  <sheetViews>
    <sheetView showGridLines="0" showRowColHeaders="0" zoomScale="130" zoomScaleNormal="130" workbookViewId="0">
      <pane xSplit="1" ySplit="8" topLeftCell="B9" activePane="bottomRight" state="frozen"/>
      <selection activeCell="B5" sqref="B5"/>
      <selection pane="topRight" activeCell="B5" sqref="B5"/>
      <selection pane="bottomLeft" activeCell="B5" sqref="B5"/>
      <selection pane="bottomRight"/>
    </sheetView>
  </sheetViews>
  <sheetFormatPr baseColWidth="10" defaultColWidth="0" defaultRowHeight="11.25" customHeight="1" zeroHeight="1" x14ac:dyDescent="0.25"/>
  <cols>
    <col min="1" max="1" width="19.28515625" style="258" customWidth="1"/>
    <col min="2" max="2" width="10" style="258" customWidth="1"/>
    <col min="3" max="3" width="4.5703125" style="258" customWidth="1"/>
    <col min="4" max="4" width="5.42578125" style="258" customWidth="1"/>
    <col min="5" max="8" width="11.28515625" style="258" customWidth="1"/>
    <col min="9" max="9" width="11.28515625" style="336" customWidth="1"/>
    <col min="10" max="10" width="0.85546875" style="258" customWidth="1"/>
    <col min="11" max="16384" width="11.5703125" style="258" hidden="1"/>
  </cols>
  <sheetData>
    <row r="1" spans="1:11" s="256" customFormat="1" ht="12" customHeight="1" x14ac:dyDescent="0.2">
      <c r="A1" s="312" t="s">
        <v>253</v>
      </c>
      <c r="B1" s="313"/>
      <c r="C1" s="313"/>
      <c r="D1" s="255"/>
      <c r="E1" s="255"/>
      <c r="F1" s="255"/>
      <c r="G1" s="255"/>
      <c r="H1" s="255"/>
      <c r="I1" s="754" t="s">
        <v>254</v>
      </c>
    </row>
    <row r="2" spans="1:11" s="256" customFormat="1" ht="12" customHeight="1" x14ac:dyDescent="0.25">
      <c r="A2" s="56" t="s">
        <v>185</v>
      </c>
      <c r="B2" s="314"/>
      <c r="C2" s="314"/>
      <c r="D2" s="255"/>
      <c r="E2" s="255"/>
      <c r="F2" s="255"/>
      <c r="G2" s="255"/>
      <c r="H2" s="255"/>
      <c r="I2" s="315"/>
    </row>
    <row r="3" spans="1:11" ht="3" customHeight="1" x14ac:dyDescent="0.25">
      <c r="A3" s="257"/>
      <c r="B3" s="257"/>
      <c r="C3" s="257"/>
      <c r="D3" s="257"/>
      <c r="E3" s="257"/>
      <c r="F3" s="257"/>
      <c r="G3" s="257"/>
      <c r="H3" s="257"/>
      <c r="I3" s="316"/>
    </row>
    <row r="4" spans="1:11" ht="3" customHeight="1" x14ac:dyDescent="0.25">
      <c r="A4" s="259"/>
      <c r="B4" s="259"/>
      <c r="C4" s="259"/>
      <c r="D4" s="259"/>
      <c r="E4" s="259"/>
      <c r="F4" s="259"/>
      <c r="G4" s="259"/>
      <c r="H4" s="259"/>
      <c r="I4" s="317"/>
    </row>
    <row r="5" spans="1:11" s="260" customFormat="1" ht="8.65" customHeight="1" x14ac:dyDescent="0.15">
      <c r="A5" s="813" t="s">
        <v>4</v>
      </c>
      <c r="B5" s="318" t="s">
        <v>13</v>
      </c>
      <c r="C5" s="756"/>
      <c r="D5" s="275" t="s">
        <v>255</v>
      </c>
      <c r="E5" s="275"/>
      <c r="F5" s="275"/>
      <c r="G5" s="275"/>
      <c r="H5" s="275"/>
      <c r="I5" s="319" t="s">
        <v>256</v>
      </c>
    </row>
    <row r="6" spans="1:11" s="260" customFormat="1" ht="9.6" customHeight="1" x14ac:dyDescent="0.15">
      <c r="A6" s="813"/>
      <c r="B6" s="765"/>
      <c r="C6" s="765"/>
      <c r="D6" s="756" t="s">
        <v>13</v>
      </c>
      <c r="E6" s="756" t="s">
        <v>257</v>
      </c>
      <c r="F6" s="756" t="s">
        <v>258</v>
      </c>
      <c r="G6" s="818" t="s">
        <v>259</v>
      </c>
      <c r="H6" s="756" t="s">
        <v>260</v>
      </c>
      <c r="I6" s="319"/>
    </row>
    <row r="7" spans="1:11" s="260" customFormat="1" ht="8.65" customHeight="1" x14ac:dyDescent="0.15">
      <c r="A7" s="813"/>
      <c r="B7" s="765"/>
      <c r="C7" s="765"/>
      <c r="D7" s="320"/>
      <c r="E7" s="318"/>
      <c r="F7" s="318"/>
      <c r="G7" s="811"/>
      <c r="H7" s="756" t="s">
        <v>261</v>
      </c>
      <c r="I7" s="319"/>
    </row>
    <row r="8" spans="1:11" ht="3" customHeight="1" x14ac:dyDescent="0.2">
      <c r="A8" s="257"/>
      <c r="B8" s="257"/>
      <c r="C8" s="257"/>
      <c r="D8" s="321"/>
      <c r="E8" s="321"/>
      <c r="F8" s="321"/>
      <c r="G8" s="321"/>
      <c r="H8" s="321"/>
      <c r="I8" s="322"/>
    </row>
    <row r="9" spans="1:11" ht="3" customHeight="1" x14ac:dyDescent="0.25">
      <c r="A9" s="259"/>
      <c r="B9" s="259"/>
      <c r="C9" s="259"/>
      <c r="D9" s="259"/>
      <c r="E9" s="259"/>
      <c r="F9" s="259"/>
      <c r="G9" s="259"/>
      <c r="H9" s="259"/>
      <c r="I9" s="317"/>
    </row>
    <row r="10" spans="1:11" s="263" customFormat="1" ht="9" customHeight="1" x14ac:dyDescent="0.25">
      <c r="A10" s="261">
        <v>1995</v>
      </c>
      <c r="B10" s="323"/>
      <c r="C10" s="323"/>
      <c r="D10" s="262"/>
      <c r="E10" s="262"/>
      <c r="F10" s="262"/>
      <c r="G10" s="262"/>
      <c r="H10" s="262"/>
      <c r="I10" s="271"/>
      <c r="J10" s="324"/>
      <c r="K10" s="324"/>
    </row>
    <row r="11" spans="1:11" s="265" customFormat="1" ht="9" customHeight="1" x14ac:dyDescent="0.25">
      <c r="A11" s="264" t="s">
        <v>21</v>
      </c>
      <c r="B11" s="325">
        <f>SUM(B13:B44)</f>
        <v>197931</v>
      </c>
      <c r="C11" s="325"/>
      <c r="D11" s="325">
        <f t="shared" ref="D11:I11" si="0">SUM(D13:D44)</f>
        <v>168159</v>
      </c>
      <c r="E11" s="262">
        <f t="shared" si="0"/>
        <v>67934</v>
      </c>
      <c r="F11" s="262">
        <f t="shared" si="0"/>
        <v>64802</v>
      </c>
      <c r="G11" s="262">
        <f t="shared" si="0"/>
        <v>19893</v>
      </c>
      <c r="H11" s="262">
        <f t="shared" si="0"/>
        <v>15530</v>
      </c>
      <c r="I11" s="262">
        <f t="shared" si="0"/>
        <v>29772</v>
      </c>
      <c r="J11" s="325"/>
    </row>
    <row r="12" spans="1:11" s="265" customFormat="1" ht="3.95" customHeight="1" x14ac:dyDescent="0.25">
      <c r="A12" s="264"/>
      <c r="B12" s="264"/>
      <c r="C12" s="264"/>
      <c r="D12" s="325"/>
      <c r="E12" s="262"/>
      <c r="F12" s="262"/>
      <c r="G12" s="262"/>
      <c r="H12" s="262"/>
      <c r="I12" s="262"/>
      <c r="J12" s="325"/>
    </row>
    <row r="13" spans="1:11" s="263" customFormat="1" ht="9" customHeight="1" x14ac:dyDescent="0.25">
      <c r="A13" s="263" t="s">
        <v>23</v>
      </c>
      <c r="B13" s="326">
        <f>SUM(D13+I13)</f>
        <v>2029</v>
      </c>
      <c r="D13" s="326">
        <f>SUM(E13:H13)</f>
        <v>1710</v>
      </c>
      <c r="E13" s="326">
        <v>805</v>
      </c>
      <c r="F13" s="266">
        <v>573</v>
      </c>
      <c r="G13" s="266">
        <v>234</v>
      </c>
      <c r="H13" s="266">
        <v>98</v>
      </c>
      <c r="I13" s="266">
        <v>319</v>
      </c>
      <c r="J13" s="327"/>
    </row>
    <row r="14" spans="1:11" s="263" customFormat="1" ht="9" customHeight="1" x14ac:dyDescent="0.25">
      <c r="A14" s="263" t="s">
        <v>24</v>
      </c>
      <c r="B14" s="326">
        <f t="shared" ref="B14:B44" si="1">SUM(D14+I14)</f>
        <v>4452</v>
      </c>
      <c r="D14" s="326">
        <f t="shared" ref="D14:D44" si="2">SUM(E14:H14)</f>
        <v>3735</v>
      </c>
      <c r="E14" s="326">
        <v>1561</v>
      </c>
      <c r="F14" s="266">
        <v>1499</v>
      </c>
      <c r="G14" s="266">
        <v>436</v>
      </c>
      <c r="H14" s="266">
        <v>239</v>
      </c>
      <c r="I14" s="266">
        <v>717</v>
      </c>
      <c r="J14" s="327"/>
    </row>
    <row r="15" spans="1:11" s="263" customFormat="1" ht="9" customHeight="1" x14ac:dyDescent="0.25">
      <c r="A15" s="263" t="s">
        <v>25</v>
      </c>
      <c r="B15" s="326">
        <f t="shared" si="1"/>
        <v>1346</v>
      </c>
      <c r="D15" s="326">
        <f t="shared" si="2"/>
        <v>1186</v>
      </c>
      <c r="E15" s="326">
        <v>477</v>
      </c>
      <c r="F15" s="266">
        <v>493</v>
      </c>
      <c r="G15" s="266">
        <v>93</v>
      </c>
      <c r="H15" s="266">
        <v>123</v>
      </c>
      <c r="I15" s="266">
        <v>160</v>
      </c>
      <c r="J15" s="327"/>
    </row>
    <row r="16" spans="1:11" s="263" customFormat="1" ht="9" customHeight="1" x14ac:dyDescent="0.25">
      <c r="A16" s="267" t="s">
        <v>26</v>
      </c>
      <c r="B16" s="328">
        <f t="shared" si="1"/>
        <v>1404</v>
      </c>
      <c r="C16" s="267"/>
      <c r="D16" s="328">
        <f t="shared" si="2"/>
        <v>1219</v>
      </c>
      <c r="E16" s="328">
        <v>531</v>
      </c>
      <c r="F16" s="268">
        <v>499</v>
      </c>
      <c r="G16" s="268">
        <v>77</v>
      </c>
      <c r="H16" s="268">
        <v>112</v>
      </c>
      <c r="I16" s="268">
        <v>185</v>
      </c>
      <c r="J16" s="327"/>
    </row>
    <row r="17" spans="1:10" s="263" customFormat="1" ht="9" customHeight="1" x14ac:dyDescent="0.25">
      <c r="A17" s="263" t="s">
        <v>27</v>
      </c>
      <c r="B17" s="326">
        <f t="shared" si="1"/>
        <v>6811</v>
      </c>
      <c r="D17" s="326">
        <f t="shared" si="2"/>
        <v>5725</v>
      </c>
      <c r="E17" s="326">
        <v>2002</v>
      </c>
      <c r="F17" s="266">
        <v>2349</v>
      </c>
      <c r="G17" s="266">
        <v>762</v>
      </c>
      <c r="H17" s="266">
        <v>612</v>
      </c>
      <c r="I17" s="266">
        <v>1086</v>
      </c>
      <c r="J17" s="327"/>
    </row>
    <row r="18" spans="1:10" s="263" customFormat="1" ht="8.85" customHeight="1" x14ac:dyDescent="0.25">
      <c r="A18" s="263" t="s">
        <v>28</v>
      </c>
      <c r="B18" s="326">
        <f t="shared" si="1"/>
        <v>1403</v>
      </c>
      <c r="D18" s="326">
        <f t="shared" si="2"/>
        <v>1181</v>
      </c>
      <c r="E18" s="326">
        <v>302</v>
      </c>
      <c r="F18" s="266">
        <v>625</v>
      </c>
      <c r="G18" s="266">
        <v>100</v>
      </c>
      <c r="H18" s="266">
        <v>154</v>
      </c>
      <c r="I18" s="266">
        <v>222</v>
      </c>
      <c r="J18" s="327"/>
    </row>
    <row r="19" spans="1:10" s="263" customFormat="1" ht="9" customHeight="1" x14ac:dyDescent="0.25">
      <c r="A19" s="263" t="s">
        <v>29</v>
      </c>
      <c r="B19" s="326">
        <f t="shared" si="1"/>
        <v>4575</v>
      </c>
      <c r="D19" s="326">
        <f t="shared" si="2"/>
        <v>4054</v>
      </c>
      <c r="E19" s="326">
        <v>2419</v>
      </c>
      <c r="F19" s="266">
        <v>885</v>
      </c>
      <c r="G19" s="266">
        <v>161</v>
      </c>
      <c r="H19" s="266">
        <v>589</v>
      </c>
      <c r="I19" s="266">
        <v>521</v>
      </c>
      <c r="J19" s="327"/>
    </row>
    <row r="20" spans="1:10" s="263" customFormat="1" ht="8.85" customHeight="1" x14ac:dyDescent="0.25">
      <c r="A20" s="267" t="s">
        <v>30</v>
      </c>
      <c r="B20" s="328">
        <f t="shared" si="1"/>
        <v>5978</v>
      </c>
      <c r="C20" s="267"/>
      <c r="D20" s="328">
        <f t="shared" si="2"/>
        <v>4935</v>
      </c>
      <c r="E20" s="328">
        <v>2455</v>
      </c>
      <c r="F20" s="268">
        <v>1659</v>
      </c>
      <c r="G20" s="268">
        <v>552</v>
      </c>
      <c r="H20" s="268">
        <v>269</v>
      </c>
      <c r="I20" s="268">
        <v>1043</v>
      </c>
      <c r="J20" s="327"/>
    </row>
    <row r="21" spans="1:10" s="263" customFormat="1" ht="8.85" customHeight="1" x14ac:dyDescent="0.25">
      <c r="A21" s="263" t="s">
        <v>63</v>
      </c>
      <c r="B21" s="326">
        <f t="shared" si="1"/>
        <v>47544</v>
      </c>
      <c r="D21" s="326">
        <f t="shared" si="2"/>
        <v>40565</v>
      </c>
      <c r="E21" s="326">
        <v>13324</v>
      </c>
      <c r="F21" s="266">
        <v>18636</v>
      </c>
      <c r="G21" s="266">
        <v>6488</v>
      </c>
      <c r="H21" s="266">
        <v>2117</v>
      </c>
      <c r="I21" s="266">
        <v>6979</v>
      </c>
      <c r="J21" s="327"/>
    </row>
    <row r="22" spans="1:10" s="263" customFormat="1" ht="9" customHeight="1" x14ac:dyDescent="0.25">
      <c r="A22" s="263" t="s">
        <v>31</v>
      </c>
      <c r="B22" s="326">
        <f t="shared" si="1"/>
        <v>3239</v>
      </c>
      <c r="D22" s="326">
        <f t="shared" si="2"/>
        <v>2835</v>
      </c>
      <c r="E22" s="326">
        <v>1235</v>
      </c>
      <c r="F22" s="266">
        <v>1028</v>
      </c>
      <c r="G22" s="266">
        <v>341</v>
      </c>
      <c r="H22" s="266">
        <v>231</v>
      </c>
      <c r="I22" s="266">
        <v>404</v>
      </c>
      <c r="J22" s="327"/>
    </row>
    <row r="23" spans="1:10" s="263" customFormat="1" ht="9" customHeight="1" x14ac:dyDescent="0.25">
      <c r="A23" s="263" t="s">
        <v>32</v>
      </c>
      <c r="B23" s="326">
        <f t="shared" si="1"/>
        <v>6250</v>
      </c>
      <c r="D23" s="326">
        <f t="shared" si="2"/>
        <v>5281</v>
      </c>
      <c r="E23" s="326">
        <v>2292</v>
      </c>
      <c r="F23" s="266">
        <v>1972</v>
      </c>
      <c r="G23" s="266">
        <v>596</v>
      </c>
      <c r="H23" s="266">
        <v>421</v>
      </c>
      <c r="I23" s="266">
        <v>969</v>
      </c>
      <c r="J23" s="327"/>
    </row>
    <row r="24" spans="1:10" s="263" customFormat="1" ht="8.85" customHeight="1" x14ac:dyDescent="0.25">
      <c r="A24" s="267" t="s">
        <v>33</v>
      </c>
      <c r="B24" s="328">
        <f t="shared" si="1"/>
        <v>4097</v>
      </c>
      <c r="C24" s="267"/>
      <c r="D24" s="328">
        <f t="shared" si="2"/>
        <v>3620</v>
      </c>
      <c r="E24" s="328">
        <v>1323</v>
      </c>
      <c r="F24" s="268">
        <v>1584</v>
      </c>
      <c r="G24" s="268">
        <v>298</v>
      </c>
      <c r="H24" s="268">
        <v>415</v>
      </c>
      <c r="I24" s="268">
        <v>477</v>
      </c>
      <c r="J24" s="327"/>
    </row>
    <row r="25" spans="1:10" s="263" customFormat="1" ht="9" customHeight="1" x14ac:dyDescent="0.25">
      <c r="A25" s="263" t="s">
        <v>34</v>
      </c>
      <c r="B25" s="326">
        <f t="shared" si="1"/>
        <v>3232</v>
      </c>
      <c r="D25" s="326">
        <f t="shared" si="2"/>
        <v>2881</v>
      </c>
      <c r="E25" s="326">
        <v>1425</v>
      </c>
      <c r="F25" s="266">
        <v>894</v>
      </c>
      <c r="G25" s="266">
        <v>193</v>
      </c>
      <c r="H25" s="266">
        <v>369</v>
      </c>
      <c r="I25" s="266">
        <v>351</v>
      </c>
      <c r="J25" s="327"/>
    </row>
    <row r="26" spans="1:10" s="263" customFormat="1" ht="8.85" customHeight="1" x14ac:dyDescent="0.25">
      <c r="A26" s="263" t="s">
        <v>35</v>
      </c>
      <c r="B26" s="326">
        <f t="shared" si="1"/>
        <v>13386</v>
      </c>
      <c r="D26" s="326">
        <f t="shared" si="2"/>
        <v>11437</v>
      </c>
      <c r="E26" s="326">
        <v>4623</v>
      </c>
      <c r="F26" s="266">
        <v>4320</v>
      </c>
      <c r="G26" s="266">
        <v>1483</v>
      </c>
      <c r="H26" s="266">
        <v>1011</v>
      </c>
      <c r="I26" s="266">
        <v>1949</v>
      </c>
      <c r="J26" s="327"/>
    </row>
    <row r="27" spans="1:10" s="263" customFormat="1" ht="8.85" customHeight="1" x14ac:dyDescent="0.25">
      <c r="A27" s="263" t="s">
        <v>36</v>
      </c>
      <c r="B27" s="326">
        <f t="shared" si="1"/>
        <v>15107</v>
      </c>
      <c r="D27" s="326">
        <f t="shared" si="2"/>
        <v>12091</v>
      </c>
      <c r="E27" s="326">
        <v>5191</v>
      </c>
      <c r="F27" s="266">
        <v>4165</v>
      </c>
      <c r="G27" s="266">
        <v>1207</v>
      </c>
      <c r="H27" s="266">
        <v>1528</v>
      </c>
      <c r="I27" s="266">
        <v>3016</v>
      </c>
      <c r="J27" s="327"/>
    </row>
    <row r="28" spans="1:10" s="263" customFormat="1" ht="9" customHeight="1" x14ac:dyDescent="0.25">
      <c r="A28" s="267" t="s">
        <v>37</v>
      </c>
      <c r="B28" s="328">
        <f t="shared" si="1"/>
        <v>4688</v>
      </c>
      <c r="C28" s="267"/>
      <c r="D28" s="328">
        <f t="shared" si="2"/>
        <v>4169</v>
      </c>
      <c r="E28" s="328">
        <v>1412</v>
      </c>
      <c r="F28" s="268">
        <v>1807</v>
      </c>
      <c r="G28" s="268">
        <v>354</v>
      </c>
      <c r="H28" s="268">
        <v>596</v>
      </c>
      <c r="I28" s="268">
        <v>519</v>
      </c>
      <c r="J28" s="327"/>
    </row>
    <row r="29" spans="1:10" s="263" customFormat="1" ht="8.85" customHeight="1" x14ac:dyDescent="0.25">
      <c r="A29" s="263" t="s">
        <v>38</v>
      </c>
      <c r="B29" s="326">
        <f t="shared" si="1"/>
        <v>2703</v>
      </c>
      <c r="D29" s="326">
        <f t="shared" si="2"/>
        <v>2366</v>
      </c>
      <c r="E29" s="326">
        <v>785</v>
      </c>
      <c r="F29" s="266">
        <v>1035</v>
      </c>
      <c r="G29" s="266">
        <v>258</v>
      </c>
      <c r="H29" s="266">
        <v>288</v>
      </c>
      <c r="I29" s="266">
        <v>337</v>
      </c>
      <c r="J29" s="327"/>
    </row>
    <row r="30" spans="1:10" s="263" customFormat="1" ht="9" customHeight="1" x14ac:dyDescent="0.25">
      <c r="A30" s="263" t="s">
        <v>39</v>
      </c>
      <c r="B30" s="326">
        <f t="shared" si="1"/>
        <v>2032</v>
      </c>
      <c r="D30" s="326">
        <f t="shared" si="2"/>
        <v>1783</v>
      </c>
      <c r="E30" s="326">
        <v>604</v>
      </c>
      <c r="F30" s="266">
        <v>751</v>
      </c>
      <c r="G30" s="266">
        <v>159</v>
      </c>
      <c r="H30" s="266">
        <v>269</v>
      </c>
      <c r="I30" s="266">
        <v>249</v>
      </c>
      <c r="J30" s="327"/>
    </row>
    <row r="31" spans="1:10" s="263" customFormat="1" ht="8.85" customHeight="1" x14ac:dyDescent="0.25">
      <c r="A31" s="263" t="s">
        <v>40</v>
      </c>
      <c r="B31" s="326">
        <f t="shared" si="1"/>
        <v>10660</v>
      </c>
      <c r="D31" s="326">
        <f t="shared" si="2"/>
        <v>8918</v>
      </c>
      <c r="E31" s="326">
        <v>3149</v>
      </c>
      <c r="F31" s="266">
        <v>3237</v>
      </c>
      <c r="G31" s="266">
        <v>1461</v>
      </c>
      <c r="H31" s="266">
        <v>1071</v>
      </c>
      <c r="I31" s="266">
        <v>1742</v>
      </c>
      <c r="J31" s="327"/>
    </row>
    <row r="32" spans="1:10" s="263" customFormat="1" ht="8.85" customHeight="1" x14ac:dyDescent="0.25">
      <c r="A32" s="267" t="s">
        <v>41</v>
      </c>
      <c r="B32" s="328">
        <f t="shared" si="1"/>
        <v>4017</v>
      </c>
      <c r="C32" s="267"/>
      <c r="D32" s="328">
        <f t="shared" si="2"/>
        <v>3631</v>
      </c>
      <c r="E32" s="328">
        <v>1893</v>
      </c>
      <c r="F32" s="268">
        <v>995</v>
      </c>
      <c r="G32" s="268">
        <v>268</v>
      </c>
      <c r="H32" s="268">
        <v>475</v>
      </c>
      <c r="I32" s="268">
        <v>386</v>
      </c>
      <c r="J32" s="327"/>
    </row>
    <row r="33" spans="1:10" s="263" customFormat="1" ht="8.85" customHeight="1" x14ac:dyDescent="0.25">
      <c r="A33" s="263" t="s">
        <v>42</v>
      </c>
      <c r="B33" s="326">
        <f t="shared" si="1"/>
        <v>6464</v>
      </c>
      <c r="D33" s="326">
        <f t="shared" si="2"/>
        <v>5637</v>
      </c>
      <c r="E33" s="326">
        <v>2621</v>
      </c>
      <c r="F33" s="266">
        <v>1772</v>
      </c>
      <c r="G33" s="266">
        <v>578</v>
      </c>
      <c r="H33" s="266">
        <v>666</v>
      </c>
      <c r="I33" s="266">
        <v>827</v>
      </c>
      <c r="J33" s="327"/>
    </row>
    <row r="34" spans="1:10" s="263" customFormat="1" ht="9" customHeight="1" x14ac:dyDescent="0.25">
      <c r="A34" s="263" t="s">
        <v>43</v>
      </c>
      <c r="B34" s="326">
        <f t="shared" si="1"/>
        <v>2386</v>
      </c>
      <c r="D34" s="326">
        <f t="shared" si="2"/>
        <v>2000</v>
      </c>
      <c r="E34" s="326">
        <v>868</v>
      </c>
      <c r="F34" s="266">
        <v>678</v>
      </c>
      <c r="G34" s="266">
        <v>249</v>
      </c>
      <c r="H34" s="266">
        <v>205</v>
      </c>
      <c r="I34" s="266">
        <v>386</v>
      </c>
      <c r="J34" s="327"/>
    </row>
    <row r="35" spans="1:10" s="263" customFormat="1" ht="8.85" customHeight="1" x14ac:dyDescent="0.25">
      <c r="A35" s="263" t="s">
        <v>44</v>
      </c>
      <c r="B35" s="326">
        <f t="shared" si="1"/>
        <v>1402</v>
      </c>
      <c r="D35" s="326">
        <f t="shared" si="2"/>
        <v>1201</v>
      </c>
      <c r="E35" s="326">
        <v>598</v>
      </c>
      <c r="F35" s="266">
        <v>433</v>
      </c>
      <c r="G35" s="266">
        <v>64</v>
      </c>
      <c r="H35" s="266">
        <v>106</v>
      </c>
      <c r="I35" s="266">
        <v>201</v>
      </c>
      <c r="J35" s="327"/>
    </row>
    <row r="36" spans="1:10" s="263" customFormat="1" ht="8.85" customHeight="1" x14ac:dyDescent="0.25">
      <c r="A36" s="267" t="s">
        <v>45</v>
      </c>
      <c r="B36" s="328">
        <f t="shared" si="1"/>
        <v>4064</v>
      </c>
      <c r="C36" s="267"/>
      <c r="D36" s="328">
        <f t="shared" si="2"/>
        <v>3146</v>
      </c>
      <c r="E36" s="328">
        <v>1563</v>
      </c>
      <c r="F36" s="268">
        <v>900</v>
      </c>
      <c r="G36" s="268">
        <v>259</v>
      </c>
      <c r="H36" s="268">
        <v>424</v>
      </c>
      <c r="I36" s="268">
        <v>918</v>
      </c>
      <c r="J36" s="327"/>
    </row>
    <row r="37" spans="1:10" s="263" customFormat="1" ht="8.85" customHeight="1" x14ac:dyDescent="0.25">
      <c r="A37" s="263" t="s">
        <v>46</v>
      </c>
      <c r="B37" s="326">
        <f t="shared" si="1"/>
        <v>5793</v>
      </c>
      <c r="D37" s="326">
        <f t="shared" si="2"/>
        <v>4794</v>
      </c>
      <c r="E37" s="326">
        <v>1740</v>
      </c>
      <c r="F37" s="266">
        <v>1944</v>
      </c>
      <c r="G37" s="266">
        <v>503</v>
      </c>
      <c r="H37" s="266">
        <v>607</v>
      </c>
      <c r="I37" s="266">
        <v>999</v>
      </c>
      <c r="J37" s="327"/>
    </row>
    <row r="38" spans="1:10" s="263" customFormat="1" ht="8.85" customHeight="1" x14ac:dyDescent="0.25">
      <c r="A38" s="263" t="s">
        <v>47</v>
      </c>
      <c r="B38" s="326">
        <f t="shared" si="1"/>
        <v>5691</v>
      </c>
      <c r="D38" s="326">
        <f t="shared" si="2"/>
        <v>4823</v>
      </c>
      <c r="E38" s="326">
        <v>2246</v>
      </c>
      <c r="F38" s="266">
        <v>1632</v>
      </c>
      <c r="G38" s="266">
        <v>448</v>
      </c>
      <c r="H38" s="266">
        <v>497</v>
      </c>
      <c r="I38" s="266">
        <v>868</v>
      </c>
      <c r="J38" s="327"/>
    </row>
    <row r="39" spans="1:10" s="263" customFormat="1" ht="8.85" customHeight="1" x14ac:dyDescent="0.25">
      <c r="A39" s="263" t="s">
        <v>48</v>
      </c>
      <c r="B39" s="326">
        <f t="shared" si="1"/>
        <v>3855</v>
      </c>
      <c r="D39" s="326">
        <f t="shared" si="2"/>
        <v>3424</v>
      </c>
      <c r="E39" s="326">
        <v>2084</v>
      </c>
      <c r="F39" s="266">
        <v>935</v>
      </c>
      <c r="G39" s="266">
        <v>166</v>
      </c>
      <c r="H39" s="266">
        <v>239</v>
      </c>
      <c r="I39" s="266">
        <v>431</v>
      </c>
      <c r="J39" s="327"/>
    </row>
    <row r="40" spans="1:10" s="263" customFormat="1" ht="8.85" customHeight="1" x14ac:dyDescent="0.25">
      <c r="A40" s="267" t="s">
        <v>49</v>
      </c>
      <c r="B40" s="328">
        <f t="shared" si="1"/>
        <v>6481</v>
      </c>
      <c r="C40" s="267"/>
      <c r="D40" s="328">
        <f t="shared" si="2"/>
        <v>5454</v>
      </c>
      <c r="E40" s="328">
        <v>2001</v>
      </c>
      <c r="F40" s="268">
        <v>2285</v>
      </c>
      <c r="G40" s="268">
        <v>672</v>
      </c>
      <c r="H40" s="268">
        <v>496</v>
      </c>
      <c r="I40" s="268">
        <v>1027</v>
      </c>
      <c r="J40" s="327"/>
    </row>
    <row r="41" spans="1:10" s="263" customFormat="1" ht="8.85" customHeight="1" x14ac:dyDescent="0.25">
      <c r="A41" s="263" t="s">
        <v>50</v>
      </c>
      <c r="B41" s="326">
        <f t="shared" si="1"/>
        <v>1363</v>
      </c>
      <c r="D41" s="326">
        <f t="shared" si="2"/>
        <v>1155</v>
      </c>
      <c r="E41" s="326">
        <v>401</v>
      </c>
      <c r="F41" s="266">
        <v>502</v>
      </c>
      <c r="G41" s="266">
        <v>78</v>
      </c>
      <c r="H41" s="266">
        <v>174</v>
      </c>
      <c r="I41" s="266">
        <v>208</v>
      </c>
      <c r="J41" s="327"/>
    </row>
    <row r="42" spans="1:10" s="263" customFormat="1" ht="8.85" customHeight="1" x14ac:dyDescent="0.25">
      <c r="A42" s="263" t="s">
        <v>51</v>
      </c>
      <c r="B42" s="326">
        <f t="shared" si="1"/>
        <v>10153</v>
      </c>
      <c r="D42" s="326">
        <f t="shared" si="2"/>
        <v>8552</v>
      </c>
      <c r="E42" s="326">
        <v>3987</v>
      </c>
      <c r="F42" s="266">
        <v>3094</v>
      </c>
      <c r="G42" s="266">
        <v>837</v>
      </c>
      <c r="H42" s="266">
        <v>634</v>
      </c>
      <c r="I42" s="266">
        <v>1601</v>
      </c>
      <c r="J42" s="327"/>
    </row>
    <row r="43" spans="1:10" s="263" customFormat="1" ht="8.85" customHeight="1" x14ac:dyDescent="0.25">
      <c r="A43" s="263" t="s">
        <v>52</v>
      </c>
      <c r="B43" s="326">
        <f t="shared" si="1"/>
        <v>3451</v>
      </c>
      <c r="D43" s="326">
        <f t="shared" si="2"/>
        <v>2976</v>
      </c>
      <c r="E43" s="326">
        <v>1266</v>
      </c>
      <c r="F43" s="266">
        <v>981</v>
      </c>
      <c r="G43" s="266">
        <v>410</v>
      </c>
      <c r="H43" s="266">
        <v>319</v>
      </c>
      <c r="I43" s="266">
        <v>475</v>
      </c>
      <c r="J43" s="327"/>
    </row>
    <row r="44" spans="1:10" s="263" customFormat="1" ht="8.85" customHeight="1" x14ac:dyDescent="0.25">
      <c r="A44" s="267" t="s">
        <v>53</v>
      </c>
      <c r="B44" s="328">
        <f t="shared" si="1"/>
        <v>1875</v>
      </c>
      <c r="C44" s="267"/>
      <c r="D44" s="328">
        <f t="shared" si="2"/>
        <v>1675</v>
      </c>
      <c r="E44" s="328">
        <v>751</v>
      </c>
      <c r="F44" s="268">
        <v>640</v>
      </c>
      <c r="G44" s="268">
        <v>108</v>
      </c>
      <c r="H44" s="268">
        <v>176</v>
      </c>
      <c r="I44" s="268">
        <v>200</v>
      </c>
      <c r="J44" s="327"/>
    </row>
    <row r="45" spans="1:10" s="263" customFormat="1" ht="9" customHeight="1" x14ac:dyDescent="0.25">
      <c r="A45" s="286"/>
      <c r="B45" s="286"/>
      <c r="C45" s="286"/>
      <c r="D45" s="329"/>
      <c r="E45" s="289"/>
      <c r="F45" s="289"/>
      <c r="G45" s="289"/>
      <c r="H45" s="289"/>
      <c r="I45" s="289"/>
      <c r="J45" s="330"/>
    </row>
    <row r="46" spans="1:10" s="263" customFormat="1" ht="9" customHeight="1" x14ac:dyDescent="0.25">
      <c r="A46" s="261">
        <v>1996</v>
      </c>
      <c r="B46" s="261"/>
      <c r="C46" s="261"/>
      <c r="D46" s="262"/>
      <c r="E46" s="262"/>
      <c r="F46" s="262"/>
      <c r="G46" s="262"/>
      <c r="H46" s="262"/>
      <c r="I46" s="271"/>
    </row>
    <row r="47" spans="1:10" s="263" customFormat="1" ht="9" customHeight="1" x14ac:dyDescent="0.25">
      <c r="A47" s="264" t="s">
        <v>21</v>
      </c>
      <c r="B47" s="325">
        <f>SUM(B49:B80)</f>
        <v>201326</v>
      </c>
      <c r="C47" s="325"/>
      <c r="D47" s="325">
        <f t="shared" ref="D47:I47" si="3">SUM(D49:D80)</f>
        <v>171144</v>
      </c>
      <c r="E47" s="325">
        <f t="shared" si="3"/>
        <v>68361</v>
      </c>
      <c r="F47" s="325">
        <f t="shared" si="3"/>
        <v>67352</v>
      </c>
      <c r="G47" s="325">
        <f t="shared" si="3"/>
        <v>20961</v>
      </c>
      <c r="H47" s="325">
        <f t="shared" si="3"/>
        <v>14470</v>
      </c>
      <c r="I47" s="325">
        <f t="shared" si="3"/>
        <v>30182</v>
      </c>
    </row>
    <row r="48" spans="1:10" s="263" customFormat="1" ht="3.95" customHeight="1" x14ac:dyDescent="0.25">
      <c r="A48" s="265"/>
      <c r="B48" s="325"/>
      <c r="C48" s="265"/>
      <c r="D48" s="325"/>
      <c r="E48" s="325"/>
      <c r="F48" s="325"/>
      <c r="G48" s="325"/>
      <c r="H48" s="325"/>
      <c r="I48" s="325"/>
    </row>
    <row r="49" spans="1:9" s="263" customFormat="1" ht="9" customHeight="1" x14ac:dyDescent="0.25">
      <c r="A49" s="263" t="s">
        <v>23</v>
      </c>
      <c r="B49" s="326">
        <f>SUM(D49+I49)</f>
        <v>2122</v>
      </c>
      <c r="D49" s="326">
        <f>SUM(E49:H49)</f>
        <v>1791</v>
      </c>
      <c r="E49" s="266">
        <v>797</v>
      </c>
      <c r="F49" s="266">
        <v>639</v>
      </c>
      <c r="G49" s="266">
        <v>247</v>
      </c>
      <c r="H49" s="266">
        <v>108</v>
      </c>
      <c r="I49" s="326">
        <v>331</v>
      </c>
    </row>
    <row r="50" spans="1:9" s="263" customFormat="1" ht="9" customHeight="1" x14ac:dyDescent="0.25">
      <c r="A50" s="263" t="s">
        <v>24</v>
      </c>
      <c r="B50" s="326">
        <f t="shared" ref="B50:B80" si="4">SUM(D50+I50)</f>
        <v>4541</v>
      </c>
      <c r="D50" s="326">
        <f t="shared" ref="D50:D80" si="5">SUM(E50:H50)</f>
        <v>3819</v>
      </c>
      <c r="E50" s="266">
        <v>1571</v>
      </c>
      <c r="F50" s="266">
        <v>1555</v>
      </c>
      <c r="G50" s="266">
        <v>451</v>
      </c>
      <c r="H50" s="266">
        <v>242</v>
      </c>
      <c r="I50" s="326">
        <v>722</v>
      </c>
    </row>
    <row r="51" spans="1:9" s="263" customFormat="1" ht="9" customHeight="1" x14ac:dyDescent="0.25">
      <c r="A51" s="263" t="s">
        <v>25</v>
      </c>
      <c r="B51" s="326">
        <f t="shared" si="4"/>
        <v>1381</v>
      </c>
      <c r="D51" s="326">
        <f t="shared" si="5"/>
        <v>1203</v>
      </c>
      <c r="E51" s="266">
        <v>521</v>
      </c>
      <c r="F51" s="266">
        <v>517</v>
      </c>
      <c r="G51" s="266">
        <v>93</v>
      </c>
      <c r="H51" s="266">
        <v>72</v>
      </c>
      <c r="I51" s="326">
        <v>178</v>
      </c>
    </row>
    <row r="52" spans="1:9" s="263" customFormat="1" ht="9" customHeight="1" x14ac:dyDescent="0.25">
      <c r="A52" s="267" t="s">
        <v>26</v>
      </c>
      <c r="B52" s="328">
        <f t="shared" si="4"/>
        <v>1430</v>
      </c>
      <c r="C52" s="267"/>
      <c r="D52" s="328">
        <f t="shared" si="5"/>
        <v>1238</v>
      </c>
      <c r="E52" s="268">
        <v>539</v>
      </c>
      <c r="F52" s="268">
        <v>532</v>
      </c>
      <c r="G52" s="268">
        <v>82</v>
      </c>
      <c r="H52" s="268">
        <v>85</v>
      </c>
      <c r="I52" s="328">
        <v>192</v>
      </c>
    </row>
    <row r="53" spans="1:9" s="263" customFormat="1" ht="9" customHeight="1" x14ac:dyDescent="0.25">
      <c r="A53" s="263" t="s">
        <v>27</v>
      </c>
      <c r="B53" s="326">
        <f t="shared" si="4"/>
        <v>6953</v>
      </c>
      <c r="D53" s="326">
        <f t="shared" si="5"/>
        <v>5815</v>
      </c>
      <c r="E53" s="266">
        <v>1982</v>
      </c>
      <c r="F53" s="266">
        <v>2361</v>
      </c>
      <c r="G53" s="266">
        <v>897</v>
      </c>
      <c r="H53" s="266">
        <v>575</v>
      </c>
      <c r="I53" s="326">
        <v>1138</v>
      </c>
    </row>
    <row r="54" spans="1:9" s="263" customFormat="1" ht="9" customHeight="1" x14ac:dyDescent="0.25">
      <c r="A54" s="263" t="s">
        <v>28</v>
      </c>
      <c r="B54" s="326">
        <f t="shared" si="4"/>
        <v>1360</v>
      </c>
      <c r="D54" s="326">
        <f t="shared" si="5"/>
        <v>1175</v>
      </c>
      <c r="E54" s="266">
        <v>310</v>
      </c>
      <c r="F54" s="266">
        <v>626</v>
      </c>
      <c r="G54" s="266">
        <v>92</v>
      </c>
      <c r="H54" s="266">
        <v>147</v>
      </c>
      <c r="I54" s="326">
        <v>185</v>
      </c>
    </row>
    <row r="55" spans="1:9" s="263" customFormat="1" ht="9" customHeight="1" x14ac:dyDescent="0.25">
      <c r="A55" s="263" t="s">
        <v>29</v>
      </c>
      <c r="B55" s="326">
        <f t="shared" si="4"/>
        <v>4736</v>
      </c>
      <c r="D55" s="326">
        <f t="shared" si="5"/>
        <v>4242</v>
      </c>
      <c r="E55" s="266">
        <v>2551</v>
      </c>
      <c r="F55" s="266">
        <v>1146</v>
      </c>
      <c r="G55" s="266">
        <v>177</v>
      </c>
      <c r="H55" s="266">
        <v>368</v>
      </c>
      <c r="I55" s="326">
        <v>494</v>
      </c>
    </row>
    <row r="56" spans="1:9" s="263" customFormat="1" ht="9" customHeight="1" x14ac:dyDescent="0.25">
      <c r="A56" s="267" t="s">
        <v>30</v>
      </c>
      <c r="B56" s="328">
        <f t="shared" si="4"/>
        <v>6041</v>
      </c>
      <c r="C56" s="267"/>
      <c r="D56" s="328">
        <f t="shared" si="5"/>
        <v>4879</v>
      </c>
      <c r="E56" s="268">
        <v>2346</v>
      </c>
      <c r="F56" s="268">
        <v>1659</v>
      </c>
      <c r="G56" s="268">
        <v>575</v>
      </c>
      <c r="H56" s="268">
        <v>299</v>
      </c>
      <c r="I56" s="328">
        <v>1162</v>
      </c>
    </row>
    <row r="57" spans="1:9" s="263" customFormat="1" ht="9" customHeight="1" x14ac:dyDescent="0.25">
      <c r="A57" s="263" t="s">
        <v>63</v>
      </c>
      <c r="B57" s="326">
        <f t="shared" si="4"/>
        <v>46173</v>
      </c>
      <c r="D57" s="326">
        <f t="shared" si="5"/>
        <v>39410</v>
      </c>
      <c r="E57" s="266">
        <v>12279</v>
      </c>
      <c r="F57" s="266">
        <v>18529</v>
      </c>
      <c r="G57" s="266">
        <v>6708</v>
      </c>
      <c r="H57" s="266">
        <v>1894</v>
      </c>
      <c r="I57" s="326">
        <v>6763</v>
      </c>
    </row>
    <row r="58" spans="1:9" s="263" customFormat="1" ht="9" customHeight="1" x14ac:dyDescent="0.25">
      <c r="A58" s="263" t="s">
        <v>31</v>
      </c>
      <c r="B58" s="326">
        <f t="shared" si="4"/>
        <v>3260</v>
      </c>
      <c r="D58" s="326">
        <f t="shared" si="5"/>
        <v>2844</v>
      </c>
      <c r="E58" s="266">
        <v>1219</v>
      </c>
      <c r="F58" s="266">
        <v>1105</v>
      </c>
      <c r="G58" s="266">
        <v>336</v>
      </c>
      <c r="H58" s="266">
        <v>184</v>
      </c>
      <c r="I58" s="263">
        <v>416</v>
      </c>
    </row>
    <row r="59" spans="1:9" s="263" customFormat="1" ht="9" customHeight="1" x14ac:dyDescent="0.25">
      <c r="A59" s="263" t="s">
        <v>32</v>
      </c>
      <c r="B59" s="326">
        <f t="shared" si="4"/>
        <v>6450</v>
      </c>
      <c r="D59" s="326">
        <f t="shared" si="5"/>
        <v>5333</v>
      </c>
      <c r="E59" s="266">
        <v>2411</v>
      </c>
      <c r="F59" s="266">
        <v>1934</v>
      </c>
      <c r="G59" s="266">
        <v>618</v>
      </c>
      <c r="H59" s="266">
        <v>370</v>
      </c>
      <c r="I59" s="326">
        <v>1117</v>
      </c>
    </row>
    <row r="60" spans="1:9" s="263" customFormat="1" ht="9" customHeight="1" x14ac:dyDescent="0.25">
      <c r="A60" s="267" t="s">
        <v>33</v>
      </c>
      <c r="B60" s="328">
        <f t="shared" si="4"/>
        <v>4318</v>
      </c>
      <c r="C60" s="267"/>
      <c r="D60" s="328">
        <f t="shared" si="5"/>
        <v>3840</v>
      </c>
      <c r="E60" s="268">
        <v>1363</v>
      </c>
      <c r="F60" s="268">
        <v>1711</v>
      </c>
      <c r="G60" s="268">
        <v>294</v>
      </c>
      <c r="H60" s="268">
        <v>472</v>
      </c>
      <c r="I60" s="328">
        <v>478</v>
      </c>
    </row>
    <row r="61" spans="1:9" s="263" customFormat="1" ht="9" customHeight="1" x14ac:dyDescent="0.25">
      <c r="A61" s="263" t="s">
        <v>34</v>
      </c>
      <c r="B61" s="326">
        <f t="shared" si="4"/>
        <v>3290</v>
      </c>
      <c r="D61" s="326">
        <f t="shared" si="5"/>
        <v>2930</v>
      </c>
      <c r="E61" s="266">
        <v>1410</v>
      </c>
      <c r="F61" s="266">
        <v>1003</v>
      </c>
      <c r="G61" s="266">
        <v>201</v>
      </c>
      <c r="H61" s="266">
        <v>316</v>
      </c>
      <c r="I61" s="326">
        <v>360</v>
      </c>
    </row>
    <row r="62" spans="1:9" s="263" customFormat="1" ht="9" customHeight="1" x14ac:dyDescent="0.25">
      <c r="A62" s="263" t="s">
        <v>35</v>
      </c>
      <c r="B62" s="326">
        <f t="shared" si="4"/>
        <v>13898</v>
      </c>
      <c r="D62" s="326">
        <f t="shared" si="5"/>
        <v>11734</v>
      </c>
      <c r="E62" s="266">
        <v>5002</v>
      </c>
      <c r="F62" s="266">
        <v>4475</v>
      </c>
      <c r="G62" s="266">
        <v>1474</v>
      </c>
      <c r="H62" s="266">
        <v>783</v>
      </c>
      <c r="I62" s="326">
        <v>2164</v>
      </c>
    </row>
    <row r="63" spans="1:9" s="263" customFormat="1" ht="9" customHeight="1" x14ac:dyDescent="0.25">
      <c r="A63" s="263" t="s">
        <v>36</v>
      </c>
      <c r="B63" s="326">
        <f t="shared" si="4"/>
        <v>15538</v>
      </c>
      <c r="D63" s="326">
        <f t="shared" si="5"/>
        <v>12483</v>
      </c>
      <c r="E63" s="266">
        <v>5304</v>
      </c>
      <c r="F63" s="266">
        <v>4295</v>
      </c>
      <c r="G63" s="266">
        <v>1270</v>
      </c>
      <c r="H63" s="266">
        <v>1614</v>
      </c>
      <c r="I63" s="326">
        <v>3055</v>
      </c>
    </row>
    <row r="64" spans="1:9" s="263" customFormat="1" ht="9" customHeight="1" x14ac:dyDescent="0.25">
      <c r="A64" s="267" t="s">
        <v>37</v>
      </c>
      <c r="B64" s="328">
        <f t="shared" si="4"/>
        <v>4768</v>
      </c>
      <c r="C64" s="267"/>
      <c r="D64" s="328">
        <f t="shared" si="5"/>
        <v>4237</v>
      </c>
      <c r="E64" s="268">
        <v>1370</v>
      </c>
      <c r="F64" s="268">
        <v>1940</v>
      </c>
      <c r="G64" s="268">
        <v>355</v>
      </c>
      <c r="H64" s="268">
        <v>572</v>
      </c>
      <c r="I64" s="328">
        <v>531</v>
      </c>
    </row>
    <row r="65" spans="1:9" s="263" customFormat="1" ht="9" customHeight="1" x14ac:dyDescent="0.25">
      <c r="A65" s="263" t="s">
        <v>38</v>
      </c>
      <c r="B65" s="326">
        <f t="shared" si="4"/>
        <v>3031</v>
      </c>
      <c r="D65" s="326">
        <f t="shared" si="5"/>
        <v>2480</v>
      </c>
      <c r="E65" s="266">
        <v>838</v>
      </c>
      <c r="F65" s="266">
        <v>1114</v>
      </c>
      <c r="G65" s="266">
        <v>293</v>
      </c>
      <c r="H65" s="266">
        <v>235</v>
      </c>
      <c r="I65" s="326">
        <v>551</v>
      </c>
    </row>
    <row r="66" spans="1:9" s="263" customFormat="1" ht="9" customHeight="1" x14ac:dyDescent="0.25">
      <c r="A66" s="263" t="s">
        <v>39</v>
      </c>
      <c r="B66" s="326">
        <f t="shared" si="4"/>
        <v>2133</v>
      </c>
      <c r="D66" s="326">
        <f t="shared" si="5"/>
        <v>1910</v>
      </c>
      <c r="E66" s="266">
        <v>610</v>
      </c>
      <c r="F66" s="266">
        <v>878</v>
      </c>
      <c r="G66" s="266">
        <v>162</v>
      </c>
      <c r="H66" s="266">
        <v>260</v>
      </c>
      <c r="I66" s="326">
        <v>223</v>
      </c>
    </row>
    <row r="67" spans="1:9" s="263" customFormat="1" ht="9" customHeight="1" x14ac:dyDescent="0.25">
      <c r="A67" s="263" t="s">
        <v>40</v>
      </c>
      <c r="B67" s="326">
        <f t="shared" si="4"/>
        <v>10990</v>
      </c>
      <c r="D67" s="326">
        <f t="shared" si="5"/>
        <v>9242</v>
      </c>
      <c r="E67" s="266">
        <v>3380</v>
      </c>
      <c r="F67" s="266">
        <v>3274</v>
      </c>
      <c r="G67" s="266">
        <v>1514</v>
      </c>
      <c r="H67" s="266">
        <v>1074</v>
      </c>
      <c r="I67" s="326">
        <v>1748</v>
      </c>
    </row>
    <row r="68" spans="1:9" s="263" customFormat="1" ht="9" customHeight="1" x14ac:dyDescent="0.25">
      <c r="A68" s="267" t="s">
        <v>41</v>
      </c>
      <c r="B68" s="328">
        <f t="shared" si="4"/>
        <v>4134</v>
      </c>
      <c r="C68" s="267"/>
      <c r="D68" s="328">
        <f t="shared" si="5"/>
        <v>3766</v>
      </c>
      <c r="E68" s="268">
        <v>1994</v>
      </c>
      <c r="F68" s="268">
        <v>1111</v>
      </c>
      <c r="G68" s="268">
        <v>285</v>
      </c>
      <c r="H68" s="268">
        <v>376</v>
      </c>
      <c r="I68" s="328">
        <v>368</v>
      </c>
    </row>
    <row r="69" spans="1:9" s="263" customFormat="1" ht="9" customHeight="1" x14ac:dyDescent="0.25">
      <c r="A69" s="263" t="s">
        <v>42</v>
      </c>
      <c r="B69" s="326">
        <f t="shared" si="4"/>
        <v>7079</v>
      </c>
      <c r="D69" s="326">
        <f t="shared" si="5"/>
        <v>6227</v>
      </c>
      <c r="E69" s="266">
        <v>2597</v>
      </c>
      <c r="F69" s="266">
        <v>2042</v>
      </c>
      <c r="G69" s="266">
        <v>829</v>
      </c>
      <c r="H69" s="266">
        <v>759</v>
      </c>
      <c r="I69" s="326">
        <v>852</v>
      </c>
    </row>
    <row r="70" spans="1:9" s="263" customFormat="1" ht="9" customHeight="1" x14ac:dyDescent="0.25">
      <c r="A70" s="263" t="s">
        <v>43</v>
      </c>
      <c r="B70" s="326">
        <f t="shared" si="4"/>
        <v>2474</v>
      </c>
      <c r="D70" s="326">
        <f t="shared" si="5"/>
        <v>2079</v>
      </c>
      <c r="E70" s="266">
        <v>871</v>
      </c>
      <c r="F70" s="266">
        <v>720</v>
      </c>
      <c r="G70" s="266">
        <v>248</v>
      </c>
      <c r="H70" s="266">
        <v>240</v>
      </c>
      <c r="I70" s="326">
        <v>395</v>
      </c>
    </row>
    <row r="71" spans="1:9" s="263" customFormat="1" ht="9" customHeight="1" x14ac:dyDescent="0.25">
      <c r="A71" s="263" t="s">
        <v>44</v>
      </c>
      <c r="B71" s="326">
        <f t="shared" si="4"/>
        <v>1517</v>
      </c>
      <c r="D71" s="326">
        <f t="shared" si="5"/>
        <v>1300</v>
      </c>
      <c r="E71" s="266">
        <v>680</v>
      </c>
      <c r="F71" s="266">
        <v>439</v>
      </c>
      <c r="G71" s="266">
        <v>91</v>
      </c>
      <c r="H71" s="266">
        <v>90</v>
      </c>
      <c r="I71" s="326">
        <v>217</v>
      </c>
    </row>
    <row r="72" spans="1:9" s="263" customFormat="1" ht="9" customHeight="1" x14ac:dyDescent="0.25">
      <c r="A72" s="267" t="s">
        <v>45</v>
      </c>
      <c r="B72" s="328">
        <f t="shared" si="4"/>
        <v>4161</v>
      </c>
      <c r="C72" s="267"/>
      <c r="D72" s="328">
        <f t="shared" si="5"/>
        <v>3304</v>
      </c>
      <c r="E72" s="268">
        <v>1590</v>
      </c>
      <c r="F72" s="268">
        <v>1099</v>
      </c>
      <c r="G72" s="268">
        <v>271</v>
      </c>
      <c r="H72" s="268">
        <v>344</v>
      </c>
      <c r="I72" s="328">
        <v>857</v>
      </c>
    </row>
    <row r="73" spans="1:9" s="263" customFormat="1" ht="9" customHeight="1" x14ac:dyDescent="0.25">
      <c r="A73" s="263" t="s">
        <v>46</v>
      </c>
      <c r="B73" s="326">
        <f t="shared" si="4"/>
        <v>5944</v>
      </c>
      <c r="D73" s="326">
        <f t="shared" si="5"/>
        <v>4980</v>
      </c>
      <c r="E73" s="266">
        <v>1684</v>
      </c>
      <c r="F73" s="266">
        <v>2097</v>
      </c>
      <c r="G73" s="266">
        <v>527</v>
      </c>
      <c r="H73" s="266">
        <v>672</v>
      </c>
      <c r="I73" s="326">
        <v>964</v>
      </c>
    </row>
    <row r="74" spans="1:9" s="263" customFormat="1" ht="9" customHeight="1" x14ac:dyDescent="0.25">
      <c r="A74" s="263" t="s">
        <v>47</v>
      </c>
      <c r="B74" s="326">
        <f t="shared" si="4"/>
        <v>5664</v>
      </c>
      <c r="D74" s="326">
        <f t="shared" si="5"/>
        <v>4859</v>
      </c>
      <c r="E74" s="266">
        <v>2291</v>
      </c>
      <c r="F74" s="266">
        <v>1622</v>
      </c>
      <c r="G74" s="266">
        <v>443</v>
      </c>
      <c r="H74" s="266">
        <v>503</v>
      </c>
      <c r="I74" s="326">
        <v>805</v>
      </c>
    </row>
    <row r="75" spans="1:9" s="263" customFormat="1" ht="9" customHeight="1" x14ac:dyDescent="0.25">
      <c r="A75" s="263" t="s">
        <v>48</v>
      </c>
      <c r="B75" s="326">
        <f t="shared" si="4"/>
        <v>3934</v>
      </c>
      <c r="D75" s="326">
        <f t="shared" si="5"/>
        <v>3553</v>
      </c>
      <c r="E75" s="266">
        <v>2099</v>
      </c>
      <c r="F75" s="266">
        <v>1043</v>
      </c>
      <c r="G75" s="266">
        <v>189</v>
      </c>
      <c r="H75" s="266">
        <v>222</v>
      </c>
      <c r="I75" s="326">
        <v>381</v>
      </c>
    </row>
    <row r="76" spans="1:9" s="263" customFormat="1" ht="9" customHeight="1" x14ac:dyDescent="0.25">
      <c r="A76" s="267" t="s">
        <v>49</v>
      </c>
      <c r="B76" s="328">
        <f t="shared" si="4"/>
        <v>6434</v>
      </c>
      <c r="C76" s="267"/>
      <c r="D76" s="328">
        <f t="shared" si="5"/>
        <v>5455</v>
      </c>
      <c r="E76" s="268">
        <v>2058</v>
      </c>
      <c r="F76" s="268">
        <v>2281</v>
      </c>
      <c r="G76" s="268">
        <v>730</v>
      </c>
      <c r="H76" s="268">
        <v>386</v>
      </c>
      <c r="I76" s="328">
        <v>979</v>
      </c>
    </row>
    <row r="77" spans="1:9" s="263" customFormat="1" ht="9" customHeight="1" x14ac:dyDescent="0.25">
      <c r="A77" s="263" t="s">
        <v>50</v>
      </c>
      <c r="B77" s="326">
        <f t="shared" si="4"/>
        <v>1416</v>
      </c>
      <c r="D77" s="326">
        <f t="shared" si="5"/>
        <v>1217</v>
      </c>
      <c r="E77" s="266">
        <v>386</v>
      </c>
      <c r="F77" s="266">
        <v>557</v>
      </c>
      <c r="G77" s="266">
        <v>82</v>
      </c>
      <c r="H77" s="266">
        <v>192</v>
      </c>
      <c r="I77" s="326">
        <v>199</v>
      </c>
    </row>
    <row r="78" spans="1:9" s="263" customFormat="1" ht="9" customHeight="1" x14ac:dyDescent="0.25">
      <c r="A78" s="263" t="s">
        <v>51</v>
      </c>
      <c r="B78" s="326">
        <f t="shared" si="4"/>
        <v>10479</v>
      </c>
      <c r="D78" s="326">
        <f t="shared" si="5"/>
        <v>8847</v>
      </c>
      <c r="E78" s="266">
        <v>4057</v>
      </c>
      <c r="F78" s="266">
        <v>3292</v>
      </c>
      <c r="G78" s="266">
        <v>891</v>
      </c>
      <c r="H78" s="266">
        <v>607</v>
      </c>
      <c r="I78" s="326">
        <v>1632</v>
      </c>
    </row>
    <row r="79" spans="1:9" s="263" customFormat="1" ht="9" customHeight="1" x14ac:dyDescent="0.25">
      <c r="A79" s="263" t="s">
        <v>52</v>
      </c>
      <c r="B79" s="326">
        <f t="shared" si="4"/>
        <v>3702</v>
      </c>
      <c r="D79" s="326">
        <f t="shared" si="5"/>
        <v>3183</v>
      </c>
      <c r="E79" s="266">
        <v>1509</v>
      </c>
      <c r="F79" s="266">
        <v>1000</v>
      </c>
      <c r="G79" s="266">
        <v>408</v>
      </c>
      <c r="H79" s="266">
        <v>266</v>
      </c>
      <c r="I79" s="326">
        <v>519</v>
      </c>
    </row>
    <row r="80" spans="1:9" s="263" customFormat="1" ht="9" customHeight="1" x14ac:dyDescent="0.25">
      <c r="A80" s="267" t="s">
        <v>53</v>
      </c>
      <c r="B80" s="328">
        <f t="shared" si="4"/>
        <v>1975</v>
      </c>
      <c r="C80" s="267"/>
      <c r="D80" s="328">
        <f t="shared" si="5"/>
        <v>1769</v>
      </c>
      <c r="E80" s="268">
        <v>742</v>
      </c>
      <c r="F80" s="268">
        <v>756</v>
      </c>
      <c r="G80" s="268">
        <v>128</v>
      </c>
      <c r="H80" s="268">
        <v>143</v>
      </c>
      <c r="I80" s="328">
        <v>206</v>
      </c>
    </row>
    <row r="81" spans="1:9" s="263" customFormat="1" ht="9" customHeight="1" x14ac:dyDescent="0.25">
      <c r="B81" s="326"/>
      <c r="D81" s="326"/>
      <c r="E81" s="266"/>
      <c r="F81" s="266"/>
      <c r="G81" s="266"/>
      <c r="H81" s="266"/>
      <c r="I81" s="289"/>
    </row>
    <row r="82" spans="1:9" s="263" customFormat="1" ht="9" customHeight="1" x14ac:dyDescent="0.25">
      <c r="A82" s="261">
        <v>1997</v>
      </c>
      <c r="B82" s="326"/>
      <c r="C82" s="261"/>
      <c r="D82" s="262"/>
      <c r="E82" s="262"/>
      <c r="F82" s="262"/>
      <c r="G82" s="262"/>
      <c r="H82" s="262"/>
      <c r="I82" s="271"/>
    </row>
    <row r="83" spans="1:9" s="263" customFormat="1" ht="9" customHeight="1" x14ac:dyDescent="0.25">
      <c r="A83" s="264" t="s">
        <v>21</v>
      </c>
      <c r="B83" s="325">
        <f t="shared" ref="B83:I83" si="6">SUM(B85:B116)</f>
        <v>207968</v>
      </c>
      <c r="C83" s="264"/>
      <c r="D83" s="325">
        <f t="shared" si="6"/>
        <v>172294</v>
      </c>
      <c r="E83" s="325">
        <f t="shared" si="6"/>
        <v>65507</v>
      </c>
      <c r="F83" s="325">
        <f t="shared" si="6"/>
        <v>68623</v>
      </c>
      <c r="G83" s="325">
        <f t="shared" si="6"/>
        <v>22100</v>
      </c>
      <c r="H83" s="325">
        <f t="shared" si="6"/>
        <v>16064</v>
      </c>
      <c r="I83" s="325">
        <f t="shared" si="6"/>
        <v>35674</v>
      </c>
    </row>
    <row r="84" spans="1:9" s="263" customFormat="1" ht="3.95" customHeight="1" x14ac:dyDescent="0.25">
      <c r="A84" s="265"/>
      <c r="B84" s="326"/>
      <c r="C84" s="265"/>
      <c r="D84" s="325"/>
      <c r="E84" s="325"/>
      <c r="F84" s="325"/>
      <c r="G84" s="325"/>
      <c r="H84" s="325"/>
      <c r="I84" s="325"/>
    </row>
    <row r="85" spans="1:9" s="263" customFormat="1" ht="9" customHeight="1" x14ac:dyDescent="0.25">
      <c r="A85" s="263" t="s">
        <v>23</v>
      </c>
      <c r="B85" s="326">
        <f>SUM(D85+I85)</f>
        <v>2385</v>
      </c>
      <c r="D85" s="326">
        <f>SUM(E85:H85)</f>
        <v>2005</v>
      </c>
      <c r="E85" s="326">
        <v>843</v>
      </c>
      <c r="F85" s="326">
        <v>678</v>
      </c>
      <c r="G85" s="326">
        <v>268</v>
      </c>
      <c r="H85" s="266">
        <v>216</v>
      </c>
      <c r="I85" s="326">
        <v>380</v>
      </c>
    </row>
    <row r="86" spans="1:9" s="263" customFormat="1" ht="9" customHeight="1" x14ac:dyDescent="0.25">
      <c r="A86" s="263" t="s">
        <v>24</v>
      </c>
      <c r="B86" s="326">
        <f t="shared" ref="B86:B116" si="7">SUM(D86+I86)</f>
        <v>4694</v>
      </c>
      <c r="D86" s="326">
        <f t="shared" ref="D86:D116" si="8">SUM(E86:H86)</f>
        <v>3869</v>
      </c>
      <c r="E86" s="326">
        <v>1573</v>
      </c>
      <c r="F86" s="326">
        <v>1470</v>
      </c>
      <c r="G86" s="326">
        <v>545</v>
      </c>
      <c r="H86" s="266">
        <v>281</v>
      </c>
      <c r="I86" s="326">
        <v>825</v>
      </c>
    </row>
    <row r="87" spans="1:9" s="263" customFormat="1" ht="9" customHeight="1" x14ac:dyDescent="0.25">
      <c r="A87" s="263" t="s">
        <v>25</v>
      </c>
      <c r="B87" s="326">
        <f t="shared" si="7"/>
        <v>1528</v>
      </c>
      <c r="D87" s="326">
        <f t="shared" si="8"/>
        <v>1317</v>
      </c>
      <c r="E87" s="326">
        <v>527</v>
      </c>
      <c r="F87" s="326">
        <v>597</v>
      </c>
      <c r="G87" s="326">
        <v>99</v>
      </c>
      <c r="H87" s="266">
        <v>94</v>
      </c>
      <c r="I87" s="326">
        <v>211</v>
      </c>
    </row>
    <row r="88" spans="1:9" s="263" customFormat="1" ht="9" customHeight="1" x14ac:dyDescent="0.25">
      <c r="A88" s="267" t="s">
        <v>26</v>
      </c>
      <c r="B88" s="328">
        <f t="shared" si="7"/>
        <v>1540</v>
      </c>
      <c r="C88" s="267"/>
      <c r="D88" s="328">
        <f t="shared" si="8"/>
        <v>1264</v>
      </c>
      <c r="E88" s="328">
        <v>514</v>
      </c>
      <c r="F88" s="328">
        <v>527</v>
      </c>
      <c r="G88" s="328">
        <v>103</v>
      </c>
      <c r="H88" s="268">
        <v>120</v>
      </c>
      <c r="I88" s="328">
        <v>276</v>
      </c>
    </row>
    <row r="89" spans="1:9" s="263" customFormat="1" ht="9" customHeight="1" x14ac:dyDescent="0.25">
      <c r="A89" s="263" t="s">
        <v>27</v>
      </c>
      <c r="B89" s="326">
        <f t="shared" si="7"/>
        <v>7087</v>
      </c>
      <c r="D89" s="326">
        <f t="shared" si="8"/>
        <v>5818</v>
      </c>
      <c r="E89" s="326">
        <v>1886</v>
      </c>
      <c r="F89" s="326">
        <v>2452</v>
      </c>
      <c r="G89" s="326">
        <v>872</v>
      </c>
      <c r="H89" s="266">
        <v>608</v>
      </c>
      <c r="I89" s="326">
        <v>1269</v>
      </c>
    </row>
    <row r="90" spans="1:9" s="263" customFormat="1" ht="9" customHeight="1" x14ac:dyDescent="0.25">
      <c r="A90" s="263" t="s">
        <v>28</v>
      </c>
      <c r="B90" s="326">
        <f t="shared" si="7"/>
        <v>1463</v>
      </c>
      <c r="D90" s="326">
        <f t="shared" si="8"/>
        <v>1229</v>
      </c>
      <c r="E90" s="326">
        <v>286</v>
      </c>
      <c r="F90" s="326">
        <v>700</v>
      </c>
      <c r="G90" s="326">
        <v>110</v>
      </c>
      <c r="H90" s="266">
        <v>133</v>
      </c>
      <c r="I90" s="326">
        <v>234</v>
      </c>
    </row>
    <row r="91" spans="1:9" s="263" customFormat="1" ht="9" customHeight="1" x14ac:dyDescent="0.25">
      <c r="A91" s="263" t="s">
        <v>29</v>
      </c>
      <c r="B91" s="326">
        <f t="shared" si="7"/>
        <v>5091</v>
      </c>
      <c r="D91" s="326">
        <f t="shared" si="8"/>
        <v>4306</v>
      </c>
      <c r="E91" s="326">
        <v>2470</v>
      </c>
      <c r="F91" s="326">
        <v>1065</v>
      </c>
      <c r="G91" s="326">
        <v>183</v>
      </c>
      <c r="H91" s="266">
        <v>588</v>
      </c>
      <c r="I91" s="326">
        <v>785</v>
      </c>
    </row>
    <row r="92" spans="1:9" s="263" customFormat="1" ht="9" customHeight="1" x14ac:dyDescent="0.25">
      <c r="A92" s="267" t="s">
        <v>30</v>
      </c>
      <c r="B92" s="328">
        <f t="shared" si="7"/>
        <v>6265</v>
      </c>
      <c r="C92" s="267"/>
      <c r="D92" s="328">
        <f t="shared" si="8"/>
        <v>5047</v>
      </c>
      <c r="E92" s="328">
        <v>2336</v>
      </c>
      <c r="F92" s="328">
        <v>1757</v>
      </c>
      <c r="G92" s="328">
        <v>619</v>
      </c>
      <c r="H92" s="268">
        <v>335</v>
      </c>
      <c r="I92" s="328">
        <v>1218</v>
      </c>
    </row>
    <row r="93" spans="1:9" s="263" customFormat="1" ht="9" customHeight="1" x14ac:dyDescent="0.25">
      <c r="A93" s="263" t="s">
        <v>63</v>
      </c>
      <c r="B93" s="326">
        <f t="shared" si="7"/>
        <v>48867</v>
      </c>
      <c r="D93" s="326">
        <f t="shared" si="8"/>
        <v>39935</v>
      </c>
      <c r="E93" s="326">
        <v>12278</v>
      </c>
      <c r="F93" s="326">
        <v>18482</v>
      </c>
      <c r="G93" s="326">
        <v>6868</v>
      </c>
      <c r="H93" s="266">
        <v>2307</v>
      </c>
      <c r="I93" s="326">
        <v>8932</v>
      </c>
    </row>
    <row r="94" spans="1:9" s="263" customFormat="1" ht="9" customHeight="1" x14ac:dyDescent="0.25">
      <c r="A94" s="263" t="s">
        <v>31</v>
      </c>
      <c r="B94" s="326">
        <f t="shared" si="7"/>
        <v>3392</v>
      </c>
      <c r="D94" s="326">
        <f t="shared" si="8"/>
        <v>2882</v>
      </c>
      <c r="E94" s="326">
        <v>1125</v>
      </c>
      <c r="F94" s="326">
        <v>1127</v>
      </c>
      <c r="G94" s="326">
        <v>392</v>
      </c>
      <c r="H94" s="266">
        <v>238</v>
      </c>
      <c r="I94" s="263">
        <v>510</v>
      </c>
    </row>
    <row r="95" spans="1:9" s="263" customFormat="1" ht="9" customHeight="1" x14ac:dyDescent="0.25">
      <c r="A95" s="263" t="s">
        <v>32</v>
      </c>
      <c r="B95" s="326">
        <f t="shared" si="7"/>
        <v>6682</v>
      </c>
      <c r="D95" s="326">
        <f t="shared" si="8"/>
        <v>5542</v>
      </c>
      <c r="E95" s="326">
        <v>2314</v>
      </c>
      <c r="F95" s="326">
        <v>2141</v>
      </c>
      <c r="G95" s="326">
        <v>678</v>
      </c>
      <c r="H95" s="266">
        <v>409</v>
      </c>
      <c r="I95" s="326">
        <v>1140</v>
      </c>
    </row>
    <row r="96" spans="1:9" s="263" customFormat="1" ht="9" customHeight="1" x14ac:dyDescent="0.25">
      <c r="A96" s="267" t="s">
        <v>33</v>
      </c>
      <c r="B96" s="328">
        <f t="shared" si="7"/>
        <v>4530</v>
      </c>
      <c r="C96" s="267"/>
      <c r="D96" s="328">
        <f t="shared" si="8"/>
        <v>3908</v>
      </c>
      <c r="E96" s="328">
        <v>1252</v>
      </c>
      <c r="F96" s="328">
        <v>1880</v>
      </c>
      <c r="G96" s="328">
        <v>327</v>
      </c>
      <c r="H96" s="268">
        <v>449</v>
      </c>
      <c r="I96" s="328">
        <v>622</v>
      </c>
    </row>
    <row r="97" spans="1:9" s="263" customFormat="1" ht="9" customHeight="1" x14ac:dyDescent="0.25">
      <c r="A97" s="263" t="s">
        <v>34</v>
      </c>
      <c r="B97" s="326">
        <f t="shared" si="7"/>
        <v>3521</v>
      </c>
      <c r="D97" s="326">
        <f t="shared" si="8"/>
        <v>3096</v>
      </c>
      <c r="E97" s="326">
        <v>1442</v>
      </c>
      <c r="F97" s="326">
        <v>1048</v>
      </c>
      <c r="G97" s="326">
        <v>238</v>
      </c>
      <c r="H97" s="266">
        <v>368</v>
      </c>
      <c r="I97" s="326">
        <v>425</v>
      </c>
    </row>
    <row r="98" spans="1:9" s="263" customFormat="1" ht="9" customHeight="1" x14ac:dyDescent="0.25">
      <c r="A98" s="263" t="s">
        <v>35</v>
      </c>
      <c r="B98" s="326">
        <f t="shared" si="7"/>
        <v>12656</v>
      </c>
      <c r="D98" s="326">
        <f t="shared" si="8"/>
        <v>10306</v>
      </c>
      <c r="E98" s="326">
        <v>3676</v>
      </c>
      <c r="F98" s="326">
        <v>4437</v>
      </c>
      <c r="G98" s="326">
        <v>1583</v>
      </c>
      <c r="H98" s="266">
        <v>610</v>
      </c>
      <c r="I98" s="326">
        <v>2350</v>
      </c>
    </row>
    <row r="99" spans="1:9" s="263" customFormat="1" ht="9" customHeight="1" x14ac:dyDescent="0.25">
      <c r="A99" s="263" t="s">
        <v>36</v>
      </c>
      <c r="B99" s="326">
        <f t="shared" si="7"/>
        <v>15921</v>
      </c>
      <c r="D99" s="326">
        <f t="shared" si="8"/>
        <v>12660</v>
      </c>
      <c r="E99" s="326">
        <v>5351</v>
      </c>
      <c r="F99" s="326">
        <v>4204</v>
      </c>
      <c r="G99" s="326">
        <v>1244</v>
      </c>
      <c r="H99" s="266">
        <v>1861</v>
      </c>
      <c r="I99" s="326">
        <v>3261</v>
      </c>
    </row>
    <row r="100" spans="1:9" s="263" customFormat="1" ht="9" customHeight="1" x14ac:dyDescent="0.25">
      <c r="A100" s="267" t="s">
        <v>37</v>
      </c>
      <c r="B100" s="328">
        <f t="shared" si="7"/>
        <v>4932</v>
      </c>
      <c r="C100" s="267"/>
      <c r="D100" s="328">
        <f t="shared" si="8"/>
        <v>4306</v>
      </c>
      <c r="E100" s="328">
        <v>1357</v>
      </c>
      <c r="F100" s="328">
        <v>1956</v>
      </c>
      <c r="G100" s="328">
        <v>416</v>
      </c>
      <c r="H100" s="268">
        <v>577</v>
      </c>
      <c r="I100" s="328">
        <v>626</v>
      </c>
    </row>
    <row r="101" spans="1:9" s="263" customFormat="1" ht="9" customHeight="1" x14ac:dyDescent="0.25">
      <c r="A101" s="263" t="s">
        <v>38</v>
      </c>
      <c r="B101" s="326">
        <f t="shared" si="7"/>
        <v>3093</v>
      </c>
      <c r="D101" s="326">
        <f t="shared" si="8"/>
        <v>2503</v>
      </c>
      <c r="E101" s="326">
        <v>800</v>
      </c>
      <c r="F101" s="326">
        <v>1093</v>
      </c>
      <c r="G101" s="326">
        <v>336</v>
      </c>
      <c r="H101" s="266">
        <v>274</v>
      </c>
      <c r="I101" s="326">
        <v>590</v>
      </c>
    </row>
    <row r="102" spans="1:9" s="263" customFormat="1" ht="9" customHeight="1" x14ac:dyDescent="0.25">
      <c r="A102" s="263" t="s">
        <v>39</v>
      </c>
      <c r="B102" s="326">
        <f t="shared" si="7"/>
        <v>2167</v>
      </c>
      <c r="D102" s="326">
        <f t="shared" si="8"/>
        <v>1874</v>
      </c>
      <c r="E102" s="326">
        <v>592</v>
      </c>
      <c r="F102" s="326">
        <v>851</v>
      </c>
      <c r="G102" s="326">
        <v>219</v>
      </c>
      <c r="H102" s="266">
        <v>212</v>
      </c>
      <c r="I102" s="326">
        <v>293</v>
      </c>
    </row>
    <row r="103" spans="1:9" s="263" customFormat="1" ht="9" customHeight="1" x14ac:dyDescent="0.25">
      <c r="A103" s="263" t="s">
        <v>40</v>
      </c>
      <c r="B103" s="326">
        <f t="shared" si="7"/>
        <v>11184</v>
      </c>
      <c r="D103" s="326">
        <f t="shared" si="8"/>
        <v>9216</v>
      </c>
      <c r="E103" s="326">
        <v>3166</v>
      </c>
      <c r="F103" s="326">
        <v>3387</v>
      </c>
      <c r="G103" s="326">
        <v>1630</v>
      </c>
      <c r="H103" s="266">
        <v>1033</v>
      </c>
      <c r="I103" s="326">
        <v>1968</v>
      </c>
    </row>
    <row r="104" spans="1:9" s="263" customFormat="1" ht="9" customHeight="1" x14ac:dyDescent="0.25">
      <c r="A104" s="267" t="s">
        <v>41</v>
      </c>
      <c r="B104" s="328">
        <f t="shared" si="7"/>
        <v>4485</v>
      </c>
      <c r="C104" s="267"/>
      <c r="D104" s="328">
        <f t="shared" si="8"/>
        <v>3943</v>
      </c>
      <c r="E104" s="328">
        <v>1969</v>
      </c>
      <c r="F104" s="328">
        <v>1152</v>
      </c>
      <c r="G104" s="328">
        <v>286</v>
      </c>
      <c r="H104" s="268">
        <v>536</v>
      </c>
      <c r="I104" s="328">
        <v>542</v>
      </c>
    </row>
    <row r="105" spans="1:9" s="263" customFormat="1" ht="9" customHeight="1" x14ac:dyDescent="0.25">
      <c r="A105" s="263" t="s">
        <v>42</v>
      </c>
      <c r="B105" s="326">
        <f t="shared" si="7"/>
        <v>7083</v>
      </c>
      <c r="D105" s="326">
        <f t="shared" si="8"/>
        <v>6127</v>
      </c>
      <c r="E105" s="326">
        <v>2381</v>
      </c>
      <c r="F105" s="326">
        <v>2089</v>
      </c>
      <c r="G105" s="326">
        <v>708</v>
      </c>
      <c r="H105" s="266">
        <v>949</v>
      </c>
      <c r="I105" s="326">
        <v>956</v>
      </c>
    </row>
    <row r="106" spans="1:9" s="263" customFormat="1" ht="9" customHeight="1" x14ac:dyDescent="0.25">
      <c r="A106" s="263" t="s">
        <v>43</v>
      </c>
      <c r="B106" s="326">
        <f t="shared" si="7"/>
        <v>2581</v>
      </c>
      <c r="D106" s="326">
        <f t="shared" si="8"/>
        <v>2128</v>
      </c>
      <c r="E106" s="326">
        <v>916</v>
      </c>
      <c r="F106" s="326">
        <v>745</v>
      </c>
      <c r="G106" s="326">
        <v>266</v>
      </c>
      <c r="H106" s="266">
        <v>201</v>
      </c>
      <c r="I106" s="326">
        <v>453</v>
      </c>
    </row>
    <row r="107" spans="1:9" s="263" customFormat="1" ht="9" customHeight="1" x14ac:dyDescent="0.25">
      <c r="A107" s="263" t="s">
        <v>44</v>
      </c>
      <c r="B107" s="326">
        <f t="shared" si="7"/>
        <v>1594</v>
      </c>
      <c r="D107" s="326">
        <f t="shared" si="8"/>
        <v>1310</v>
      </c>
      <c r="E107" s="326">
        <v>658</v>
      </c>
      <c r="F107" s="326">
        <v>433</v>
      </c>
      <c r="G107" s="326">
        <v>103</v>
      </c>
      <c r="H107" s="266">
        <v>116</v>
      </c>
      <c r="I107" s="326">
        <v>284</v>
      </c>
    </row>
    <row r="108" spans="1:9" s="263" customFormat="1" ht="9" customHeight="1" x14ac:dyDescent="0.25">
      <c r="A108" s="267" t="s">
        <v>45</v>
      </c>
      <c r="B108" s="328">
        <f t="shared" si="7"/>
        <v>3988</v>
      </c>
      <c r="C108" s="267"/>
      <c r="D108" s="328">
        <f t="shared" si="8"/>
        <v>3327</v>
      </c>
      <c r="E108" s="328">
        <v>1575</v>
      </c>
      <c r="F108" s="328">
        <v>1110</v>
      </c>
      <c r="G108" s="328">
        <v>283</v>
      </c>
      <c r="H108" s="268">
        <v>359</v>
      </c>
      <c r="I108" s="328">
        <v>661</v>
      </c>
    </row>
    <row r="109" spans="1:9" s="263" customFormat="1" ht="9" customHeight="1" x14ac:dyDescent="0.25">
      <c r="A109" s="263" t="s">
        <v>46</v>
      </c>
      <c r="B109" s="326">
        <f t="shared" si="7"/>
        <v>5946</v>
      </c>
      <c r="D109" s="326">
        <f t="shared" si="8"/>
        <v>4864</v>
      </c>
      <c r="E109" s="326">
        <v>1538</v>
      </c>
      <c r="F109" s="326">
        <v>2141</v>
      </c>
      <c r="G109" s="326">
        <v>563</v>
      </c>
      <c r="H109" s="266">
        <v>622</v>
      </c>
      <c r="I109" s="326">
        <v>1082</v>
      </c>
    </row>
    <row r="110" spans="1:9" s="263" customFormat="1" ht="9" customHeight="1" x14ac:dyDescent="0.25">
      <c r="A110" s="263" t="s">
        <v>47</v>
      </c>
      <c r="B110" s="326">
        <f t="shared" si="7"/>
        <v>5816</v>
      </c>
      <c r="D110" s="326">
        <f t="shared" si="8"/>
        <v>4848</v>
      </c>
      <c r="E110" s="326">
        <v>2175</v>
      </c>
      <c r="F110" s="326">
        <v>1729</v>
      </c>
      <c r="G110" s="326">
        <v>510</v>
      </c>
      <c r="H110" s="266">
        <v>434</v>
      </c>
      <c r="I110" s="326">
        <v>968</v>
      </c>
    </row>
    <row r="111" spans="1:9" s="263" customFormat="1" ht="9" customHeight="1" x14ac:dyDescent="0.25">
      <c r="A111" s="263" t="s">
        <v>48</v>
      </c>
      <c r="B111" s="326">
        <f t="shared" si="7"/>
        <v>4274</v>
      </c>
      <c r="D111" s="326">
        <f t="shared" si="8"/>
        <v>3615</v>
      </c>
      <c r="E111" s="326">
        <v>2060</v>
      </c>
      <c r="F111" s="326">
        <v>1074</v>
      </c>
      <c r="G111" s="326">
        <v>229</v>
      </c>
      <c r="H111" s="266">
        <v>252</v>
      </c>
      <c r="I111" s="326">
        <v>659</v>
      </c>
    </row>
    <row r="112" spans="1:9" s="263" customFormat="1" ht="9" customHeight="1" x14ac:dyDescent="0.25">
      <c r="A112" s="267" t="s">
        <v>49</v>
      </c>
      <c r="B112" s="328">
        <f t="shared" si="7"/>
        <v>6532</v>
      </c>
      <c r="C112" s="267"/>
      <c r="D112" s="328">
        <f t="shared" si="8"/>
        <v>5437</v>
      </c>
      <c r="E112" s="328">
        <v>1856</v>
      </c>
      <c r="F112" s="328">
        <v>2331</v>
      </c>
      <c r="G112" s="328">
        <v>793</v>
      </c>
      <c r="H112" s="268">
        <v>457</v>
      </c>
      <c r="I112" s="328">
        <v>1095</v>
      </c>
    </row>
    <row r="113" spans="1:9" s="263" customFormat="1" ht="9" customHeight="1" x14ac:dyDescent="0.25">
      <c r="A113" s="263" t="s">
        <v>50</v>
      </c>
      <c r="B113" s="326">
        <f t="shared" si="7"/>
        <v>1442</v>
      </c>
      <c r="D113" s="326">
        <f t="shared" si="8"/>
        <v>1185</v>
      </c>
      <c r="E113" s="326">
        <v>381</v>
      </c>
      <c r="F113" s="326">
        <v>551</v>
      </c>
      <c r="G113" s="326">
        <v>96</v>
      </c>
      <c r="H113" s="266">
        <v>157</v>
      </c>
      <c r="I113" s="326">
        <v>257</v>
      </c>
    </row>
    <row r="114" spans="1:9" s="263" customFormat="1" ht="9" customHeight="1" x14ac:dyDescent="0.25">
      <c r="A114" s="263" t="s">
        <v>51</v>
      </c>
      <c r="B114" s="326">
        <f t="shared" si="7"/>
        <v>11404</v>
      </c>
      <c r="D114" s="326">
        <f t="shared" si="8"/>
        <v>9467</v>
      </c>
      <c r="E114" s="326">
        <v>4068</v>
      </c>
      <c r="F114" s="326">
        <v>3633</v>
      </c>
      <c r="G114" s="326">
        <v>953</v>
      </c>
      <c r="H114" s="266">
        <v>813</v>
      </c>
      <c r="I114" s="326">
        <v>1937</v>
      </c>
    </row>
    <row r="115" spans="1:9" s="263" customFormat="1" ht="9" customHeight="1" x14ac:dyDescent="0.25">
      <c r="A115" s="263" t="s">
        <v>52</v>
      </c>
      <c r="B115" s="326">
        <f t="shared" si="7"/>
        <v>3712</v>
      </c>
      <c r="D115" s="326">
        <f t="shared" si="8"/>
        <v>3134</v>
      </c>
      <c r="E115" s="326">
        <v>1424</v>
      </c>
      <c r="F115" s="326">
        <v>994</v>
      </c>
      <c r="G115" s="326">
        <v>416</v>
      </c>
      <c r="H115" s="266">
        <v>300</v>
      </c>
      <c r="I115" s="326">
        <v>578</v>
      </c>
    </row>
    <row r="116" spans="1:9" s="263" customFormat="1" ht="9" customHeight="1" x14ac:dyDescent="0.25">
      <c r="A116" s="267" t="s">
        <v>53</v>
      </c>
      <c r="B116" s="328">
        <f t="shared" si="7"/>
        <v>2113</v>
      </c>
      <c r="C116" s="267"/>
      <c r="D116" s="328">
        <f t="shared" si="8"/>
        <v>1826</v>
      </c>
      <c r="E116" s="328">
        <v>718</v>
      </c>
      <c r="F116" s="328">
        <v>789</v>
      </c>
      <c r="G116" s="328">
        <v>164</v>
      </c>
      <c r="H116" s="268">
        <v>155</v>
      </c>
      <c r="I116" s="328">
        <v>287</v>
      </c>
    </row>
    <row r="117" spans="1:9" s="263" customFormat="1" ht="9" customHeight="1" x14ac:dyDescent="0.25">
      <c r="D117" s="326"/>
      <c r="E117" s="326"/>
      <c r="F117" s="326"/>
      <c r="G117" s="326"/>
      <c r="H117" s="266"/>
      <c r="I117" s="289"/>
    </row>
    <row r="118" spans="1:9" s="263" customFormat="1" ht="9" customHeight="1" x14ac:dyDescent="0.25">
      <c r="A118" s="261">
        <v>1998</v>
      </c>
      <c r="B118" s="261"/>
      <c r="C118" s="261"/>
      <c r="D118" s="262"/>
      <c r="E118" s="262"/>
      <c r="F118" s="262"/>
      <c r="G118" s="262"/>
      <c r="H118" s="262"/>
      <c r="I118" s="271"/>
    </row>
    <row r="119" spans="1:9" s="263" customFormat="1" ht="9" customHeight="1" x14ac:dyDescent="0.25">
      <c r="A119" s="264" t="s">
        <v>21</v>
      </c>
      <c r="B119" s="325">
        <f>SUM(B121:B152)</f>
        <v>215276</v>
      </c>
      <c r="C119" s="264"/>
      <c r="D119" s="325">
        <f t="shared" ref="D119:I119" si="9">SUM(D121:D152)</f>
        <v>178429</v>
      </c>
      <c r="E119" s="325">
        <f t="shared" si="9"/>
        <v>66612</v>
      </c>
      <c r="F119" s="325">
        <f t="shared" si="9"/>
        <v>72646</v>
      </c>
      <c r="G119" s="325">
        <f t="shared" si="9"/>
        <v>22710</v>
      </c>
      <c r="H119" s="325">
        <f t="shared" si="9"/>
        <v>16461</v>
      </c>
      <c r="I119" s="325">
        <f t="shared" si="9"/>
        <v>36847</v>
      </c>
    </row>
    <row r="120" spans="1:9" s="263" customFormat="1" ht="3.95" customHeight="1" x14ac:dyDescent="0.25">
      <c r="A120" s="264"/>
      <c r="B120" s="325"/>
      <c r="C120" s="264"/>
      <c r="D120" s="325"/>
      <c r="E120" s="325"/>
      <c r="F120" s="325"/>
      <c r="G120" s="325"/>
      <c r="H120" s="325"/>
      <c r="I120" s="325"/>
    </row>
    <row r="121" spans="1:9" s="263" customFormat="1" ht="9" customHeight="1" x14ac:dyDescent="0.25">
      <c r="A121" s="263" t="s">
        <v>23</v>
      </c>
      <c r="B121" s="326">
        <f>SUM(D121+I121)</f>
        <v>2554</v>
      </c>
      <c r="D121" s="326">
        <f>SUM(E121:H121)</f>
        <v>2094</v>
      </c>
      <c r="E121" s="326">
        <v>941</v>
      </c>
      <c r="F121" s="326">
        <v>702</v>
      </c>
      <c r="G121" s="326">
        <v>273</v>
      </c>
      <c r="H121" s="266">
        <v>178</v>
      </c>
      <c r="I121" s="326">
        <v>460</v>
      </c>
    </row>
    <row r="122" spans="1:9" s="263" customFormat="1" ht="9" customHeight="1" x14ac:dyDescent="0.25">
      <c r="A122" s="263" t="s">
        <v>24</v>
      </c>
      <c r="B122" s="326">
        <f t="shared" ref="B122:B152" si="10">SUM(D122+I122)</f>
        <v>4991</v>
      </c>
      <c r="D122" s="326">
        <f t="shared" ref="D122:D152" si="11">SUM(E122:H122)</f>
        <v>4036</v>
      </c>
      <c r="E122" s="326">
        <v>1528</v>
      </c>
      <c r="F122" s="326">
        <v>1696</v>
      </c>
      <c r="G122" s="326">
        <v>546</v>
      </c>
      <c r="H122" s="266">
        <v>266</v>
      </c>
      <c r="I122" s="326">
        <v>955</v>
      </c>
    </row>
    <row r="123" spans="1:9" s="263" customFormat="1" ht="9" customHeight="1" x14ac:dyDescent="0.25">
      <c r="A123" s="263" t="s">
        <v>25</v>
      </c>
      <c r="B123" s="326">
        <f t="shared" si="10"/>
        <v>1620</v>
      </c>
      <c r="D123" s="326">
        <f t="shared" si="11"/>
        <v>1351</v>
      </c>
      <c r="E123" s="326">
        <v>516</v>
      </c>
      <c r="F123" s="326">
        <v>633</v>
      </c>
      <c r="G123" s="326">
        <v>105</v>
      </c>
      <c r="H123" s="266">
        <v>97</v>
      </c>
      <c r="I123" s="326">
        <v>269</v>
      </c>
    </row>
    <row r="124" spans="1:9" s="263" customFormat="1" ht="9" customHeight="1" x14ac:dyDescent="0.25">
      <c r="A124" s="267" t="s">
        <v>26</v>
      </c>
      <c r="B124" s="328">
        <f t="shared" si="10"/>
        <v>1762</v>
      </c>
      <c r="C124" s="267"/>
      <c r="D124" s="328">
        <f t="shared" si="11"/>
        <v>1453</v>
      </c>
      <c r="E124" s="328">
        <v>673</v>
      </c>
      <c r="F124" s="328">
        <v>563</v>
      </c>
      <c r="G124" s="328">
        <v>110</v>
      </c>
      <c r="H124" s="268">
        <v>107</v>
      </c>
      <c r="I124" s="328">
        <v>309</v>
      </c>
    </row>
    <row r="125" spans="1:9" s="263" customFormat="1" ht="9" customHeight="1" x14ac:dyDescent="0.25">
      <c r="A125" s="263" t="s">
        <v>27</v>
      </c>
      <c r="B125" s="326">
        <f t="shared" si="10"/>
        <v>7199</v>
      </c>
      <c r="D125" s="326">
        <f t="shared" si="11"/>
        <v>5949</v>
      </c>
      <c r="E125" s="326">
        <v>1873</v>
      </c>
      <c r="F125" s="326">
        <v>2536</v>
      </c>
      <c r="G125" s="326">
        <v>932</v>
      </c>
      <c r="H125" s="266">
        <v>608</v>
      </c>
      <c r="I125" s="326">
        <v>1250</v>
      </c>
    </row>
    <row r="126" spans="1:9" s="263" customFormat="1" ht="9" customHeight="1" x14ac:dyDescent="0.25">
      <c r="A126" s="263" t="s">
        <v>28</v>
      </c>
      <c r="B126" s="326">
        <f t="shared" si="10"/>
        <v>1529</v>
      </c>
      <c r="D126" s="326">
        <f t="shared" si="11"/>
        <v>1256</v>
      </c>
      <c r="E126" s="326">
        <v>258</v>
      </c>
      <c r="F126" s="326">
        <v>756</v>
      </c>
      <c r="G126" s="326">
        <v>119</v>
      </c>
      <c r="H126" s="266">
        <v>123</v>
      </c>
      <c r="I126" s="326">
        <v>273</v>
      </c>
    </row>
    <row r="127" spans="1:9" s="263" customFormat="1" ht="9" customHeight="1" x14ac:dyDescent="0.25">
      <c r="A127" s="263" t="s">
        <v>29</v>
      </c>
      <c r="B127" s="326">
        <f t="shared" si="10"/>
        <v>5359</v>
      </c>
      <c r="D127" s="326">
        <f t="shared" si="11"/>
        <v>4517</v>
      </c>
      <c r="E127" s="326">
        <v>2514</v>
      </c>
      <c r="F127" s="326">
        <v>1271</v>
      </c>
      <c r="G127" s="326">
        <v>180</v>
      </c>
      <c r="H127" s="266">
        <v>552</v>
      </c>
      <c r="I127" s="326">
        <v>842</v>
      </c>
    </row>
    <row r="128" spans="1:9" s="263" customFormat="1" ht="9" customHeight="1" x14ac:dyDescent="0.25">
      <c r="A128" s="267" t="s">
        <v>30</v>
      </c>
      <c r="B128" s="328">
        <f t="shared" si="10"/>
        <v>6528</v>
      </c>
      <c r="C128" s="267"/>
      <c r="D128" s="328">
        <f t="shared" si="11"/>
        <v>5247</v>
      </c>
      <c r="E128" s="328">
        <v>2428</v>
      </c>
      <c r="F128" s="328">
        <v>1899</v>
      </c>
      <c r="G128" s="328">
        <v>603</v>
      </c>
      <c r="H128" s="268">
        <v>317</v>
      </c>
      <c r="I128" s="328">
        <v>1281</v>
      </c>
    </row>
    <row r="129" spans="1:9" s="263" customFormat="1" ht="9" customHeight="1" x14ac:dyDescent="0.25">
      <c r="A129" s="263" t="s">
        <v>63</v>
      </c>
      <c r="B129" s="326">
        <f t="shared" si="10"/>
        <v>49303</v>
      </c>
      <c r="D129" s="326">
        <f t="shared" si="11"/>
        <v>40621</v>
      </c>
      <c r="E129" s="326">
        <v>12626</v>
      </c>
      <c r="F129" s="326">
        <v>18308</v>
      </c>
      <c r="G129" s="326">
        <v>6955</v>
      </c>
      <c r="H129" s="266">
        <v>2732</v>
      </c>
      <c r="I129" s="326">
        <v>8682</v>
      </c>
    </row>
    <row r="130" spans="1:9" s="263" customFormat="1" ht="9" customHeight="1" x14ac:dyDescent="0.25">
      <c r="A130" s="263" t="s">
        <v>31</v>
      </c>
      <c r="B130" s="326">
        <f t="shared" si="10"/>
        <v>3490</v>
      </c>
      <c r="D130" s="326">
        <f t="shared" si="11"/>
        <v>2978</v>
      </c>
      <c r="E130" s="326">
        <v>1096</v>
      </c>
      <c r="F130" s="326">
        <v>1214</v>
      </c>
      <c r="G130" s="326">
        <v>365</v>
      </c>
      <c r="H130" s="266">
        <v>303</v>
      </c>
      <c r="I130" s="263">
        <v>512</v>
      </c>
    </row>
    <row r="131" spans="1:9" s="263" customFormat="1" ht="9" customHeight="1" x14ac:dyDescent="0.25">
      <c r="A131" s="263" t="s">
        <v>32</v>
      </c>
      <c r="B131" s="326">
        <f t="shared" si="10"/>
        <v>7030</v>
      </c>
      <c r="D131" s="326">
        <f t="shared" si="11"/>
        <v>5681</v>
      </c>
      <c r="E131" s="326">
        <v>2328</v>
      </c>
      <c r="F131" s="326">
        <v>2256</v>
      </c>
      <c r="G131" s="326">
        <v>679</v>
      </c>
      <c r="H131" s="266">
        <v>418</v>
      </c>
      <c r="I131" s="326">
        <v>1349</v>
      </c>
    </row>
    <row r="132" spans="1:9" s="263" customFormat="1" ht="9" customHeight="1" x14ac:dyDescent="0.25">
      <c r="A132" s="267" t="s">
        <v>33</v>
      </c>
      <c r="B132" s="328">
        <f t="shared" si="10"/>
        <v>5053</v>
      </c>
      <c r="C132" s="267"/>
      <c r="D132" s="328">
        <f t="shared" si="11"/>
        <v>4215</v>
      </c>
      <c r="E132" s="328">
        <v>1226</v>
      </c>
      <c r="F132" s="328">
        <v>2224</v>
      </c>
      <c r="G132" s="328">
        <v>389</v>
      </c>
      <c r="H132" s="268">
        <v>376</v>
      </c>
      <c r="I132" s="328">
        <v>838</v>
      </c>
    </row>
    <row r="133" spans="1:9" s="263" customFormat="1" ht="9" customHeight="1" x14ac:dyDescent="0.25">
      <c r="A133" s="263" t="s">
        <v>34</v>
      </c>
      <c r="B133" s="326">
        <f t="shared" si="10"/>
        <v>3704</v>
      </c>
      <c r="D133" s="326">
        <f t="shared" si="11"/>
        <v>3254</v>
      </c>
      <c r="E133" s="326">
        <v>1563</v>
      </c>
      <c r="F133" s="326">
        <v>1068</v>
      </c>
      <c r="G133" s="326">
        <v>247</v>
      </c>
      <c r="H133" s="266">
        <v>376</v>
      </c>
      <c r="I133" s="326">
        <v>450</v>
      </c>
    </row>
    <row r="134" spans="1:9" s="263" customFormat="1" ht="9" customHeight="1" x14ac:dyDescent="0.25">
      <c r="A134" s="263" t="s">
        <v>35</v>
      </c>
      <c r="B134" s="326">
        <f t="shared" si="10"/>
        <v>13756</v>
      </c>
      <c r="D134" s="326">
        <f t="shared" si="11"/>
        <v>11459</v>
      </c>
      <c r="E134" s="326">
        <v>3786</v>
      </c>
      <c r="F134" s="326">
        <v>5144</v>
      </c>
      <c r="G134" s="326">
        <v>1718</v>
      </c>
      <c r="H134" s="266">
        <v>811</v>
      </c>
      <c r="I134" s="326">
        <v>2297</v>
      </c>
    </row>
    <row r="135" spans="1:9" s="263" customFormat="1" ht="9" customHeight="1" x14ac:dyDescent="0.25">
      <c r="A135" s="263" t="s">
        <v>36</v>
      </c>
      <c r="B135" s="326">
        <f t="shared" si="10"/>
        <v>16892</v>
      </c>
      <c r="D135" s="326">
        <f t="shared" si="11"/>
        <v>13477</v>
      </c>
      <c r="E135" s="326">
        <v>5396</v>
      </c>
      <c r="F135" s="326">
        <v>4781</v>
      </c>
      <c r="G135" s="326">
        <v>1480</v>
      </c>
      <c r="H135" s="266">
        <v>1820</v>
      </c>
      <c r="I135" s="326">
        <v>3415</v>
      </c>
    </row>
    <row r="136" spans="1:9" s="263" customFormat="1" ht="9" customHeight="1" x14ac:dyDescent="0.25">
      <c r="A136" s="267" t="s">
        <v>37</v>
      </c>
      <c r="B136" s="328">
        <f t="shared" si="10"/>
        <v>5544</v>
      </c>
      <c r="C136" s="267"/>
      <c r="D136" s="328">
        <f t="shared" si="11"/>
        <v>4793</v>
      </c>
      <c r="E136" s="328">
        <v>1404</v>
      </c>
      <c r="F136" s="328">
        <v>2198</v>
      </c>
      <c r="G136" s="328">
        <v>455</v>
      </c>
      <c r="H136" s="268">
        <v>736</v>
      </c>
      <c r="I136" s="328">
        <v>751</v>
      </c>
    </row>
    <row r="137" spans="1:9" s="263" customFormat="1" ht="9" customHeight="1" x14ac:dyDescent="0.25">
      <c r="A137" s="263" t="s">
        <v>38</v>
      </c>
      <c r="B137" s="326">
        <f t="shared" si="10"/>
        <v>3080</v>
      </c>
      <c r="D137" s="326">
        <f t="shared" si="11"/>
        <v>2654</v>
      </c>
      <c r="E137" s="326">
        <v>797</v>
      </c>
      <c r="F137" s="326">
        <v>1250</v>
      </c>
      <c r="G137" s="326">
        <v>348</v>
      </c>
      <c r="H137" s="266">
        <v>259</v>
      </c>
      <c r="I137" s="326">
        <v>426</v>
      </c>
    </row>
    <row r="138" spans="1:9" s="263" customFormat="1" ht="9" customHeight="1" x14ac:dyDescent="0.25">
      <c r="A138" s="263" t="s">
        <v>39</v>
      </c>
      <c r="B138" s="326">
        <f t="shared" si="10"/>
        <v>2219</v>
      </c>
      <c r="D138" s="326">
        <f t="shared" si="11"/>
        <v>1912</v>
      </c>
      <c r="E138" s="326">
        <v>552</v>
      </c>
      <c r="F138" s="326">
        <v>921</v>
      </c>
      <c r="G138" s="326">
        <v>266</v>
      </c>
      <c r="H138" s="266">
        <v>173</v>
      </c>
      <c r="I138" s="326">
        <v>307</v>
      </c>
    </row>
    <row r="139" spans="1:9" s="263" customFormat="1" ht="9" customHeight="1" x14ac:dyDescent="0.25">
      <c r="A139" s="263" t="s">
        <v>40</v>
      </c>
      <c r="B139" s="326">
        <f t="shared" si="10"/>
        <v>11415</v>
      </c>
      <c r="D139" s="326">
        <f t="shared" si="11"/>
        <v>9275</v>
      </c>
      <c r="E139" s="326">
        <v>3233</v>
      </c>
      <c r="F139" s="326">
        <v>3397</v>
      </c>
      <c r="G139" s="326">
        <v>1601</v>
      </c>
      <c r="H139" s="266">
        <v>1044</v>
      </c>
      <c r="I139" s="326">
        <v>2140</v>
      </c>
    </row>
    <row r="140" spans="1:9" s="263" customFormat="1" ht="9" customHeight="1" x14ac:dyDescent="0.25">
      <c r="A140" s="267" t="s">
        <v>41</v>
      </c>
      <c r="B140" s="328">
        <f t="shared" si="10"/>
        <v>4637</v>
      </c>
      <c r="C140" s="267"/>
      <c r="D140" s="328">
        <f t="shared" si="11"/>
        <v>4056</v>
      </c>
      <c r="E140" s="328">
        <v>1994</v>
      </c>
      <c r="F140" s="328">
        <v>1297</v>
      </c>
      <c r="G140" s="328">
        <v>321</v>
      </c>
      <c r="H140" s="268">
        <v>444</v>
      </c>
      <c r="I140" s="328">
        <v>581</v>
      </c>
    </row>
    <row r="141" spans="1:9" s="263" customFormat="1" ht="9" customHeight="1" x14ac:dyDescent="0.25">
      <c r="A141" s="263" t="s">
        <v>42</v>
      </c>
      <c r="B141" s="326">
        <f t="shared" si="10"/>
        <v>7046</v>
      </c>
      <c r="D141" s="326">
        <f t="shared" si="11"/>
        <v>6013</v>
      </c>
      <c r="E141" s="326">
        <v>2308</v>
      </c>
      <c r="F141" s="326">
        <v>2111</v>
      </c>
      <c r="G141" s="326">
        <v>671</v>
      </c>
      <c r="H141" s="266">
        <v>923</v>
      </c>
      <c r="I141" s="326">
        <v>1033</v>
      </c>
    </row>
    <row r="142" spans="1:9" s="263" customFormat="1" ht="9" customHeight="1" x14ac:dyDescent="0.25">
      <c r="A142" s="263" t="s">
        <v>43</v>
      </c>
      <c r="B142" s="326">
        <f t="shared" si="10"/>
        <v>2727</v>
      </c>
      <c r="D142" s="326">
        <f t="shared" si="11"/>
        <v>2272</v>
      </c>
      <c r="E142" s="326">
        <v>1008</v>
      </c>
      <c r="F142" s="326">
        <v>840</v>
      </c>
      <c r="G142" s="326">
        <v>273</v>
      </c>
      <c r="H142" s="266">
        <v>151</v>
      </c>
      <c r="I142" s="326">
        <v>455</v>
      </c>
    </row>
    <row r="143" spans="1:9" s="263" customFormat="1" ht="9" customHeight="1" x14ac:dyDescent="0.25">
      <c r="A143" s="263" t="s">
        <v>44</v>
      </c>
      <c r="B143" s="326">
        <f t="shared" si="10"/>
        <v>1645</v>
      </c>
      <c r="D143" s="326">
        <f t="shared" si="11"/>
        <v>1369</v>
      </c>
      <c r="E143" s="326">
        <v>649</v>
      </c>
      <c r="F143" s="326">
        <v>489</v>
      </c>
      <c r="G143" s="326">
        <v>104</v>
      </c>
      <c r="H143" s="266">
        <v>127</v>
      </c>
      <c r="I143" s="326">
        <v>276</v>
      </c>
    </row>
    <row r="144" spans="1:9" s="263" customFormat="1" ht="9" customHeight="1" x14ac:dyDescent="0.25">
      <c r="A144" s="267" t="s">
        <v>45</v>
      </c>
      <c r="B144" s="328">
        <f t="shared" si="10"/>
        <v>3602</v>
      </c>
      <c r="C144" s="267"/>
      <c r="D144" s="328">
        <f t="shared" si="11"/>
        <v>3052</v>
      </c>
      <c r="E144" s="328">
        <v>1427</v>
      </c>
      <c r="F144" s="328">
        <v>1053</v>
      </c>
      <c r="G144" s="328">
        <v>272</v>
      </c>
      <c r="H144" s="268">
        <v>300</v>
      </c>
      <c r="I144" s="328">
        <v>550</v>
      </c>
    </row>
    <row r="145" spans="1:9" s="263" customFormat="1" ht="9" customHeight="1" x14ac:dyDescent="0.25">
      <c r="A145" s="263" t="s">
        <v>46</v>
      </c>
      <c r="B145" s="326">
        <f t="shared" si="10"/>
        <v>5863</v>
      </c>
      <c r="D145" s="326">
        <f t="shared" si="11"/>
        <v>4787</v>
      </c>
      <c r="E145" s="326">
        <v>1567</v>
      </c>
      <c r="F145" s="326">
        <v>2137</v>
      </c>
      <c r="G145" s="326">
        <v>540</v>
      </c>
      <c r="H145" s="266">
        <v>543</v>
      </c>
      <c r="I145" s="326">
        <v>1076</v>
      </c>
    </row>
    <row r="146" spans="1:9" s="263" customFormat="1" ht="9" customHeight="1" x14ac:dyDescent="0.25">
      <c r="A146" s="263" t="s">
        <v>47</v>
      </c>
      <c r="B146" s="326">
        <f t="shared" si="10"/>
        <v>5955</v>
      </c>
      <c r="D146" s="326">
        <f t="shared" si="11"/>
        <v>5020</v>
      </c>
      <c r="E146" s="326">
        <v>2153</v>
      </c>
      <c r="F146" s="326">
        <v>1877</v>
      </c>
      <c r="G146" s="326">
        <v>499</v>
      </c>
      <c r="H146" s="266">
        <v>491</v>
      </c>
      <c r="I146" s="326">
        <v>935</v>
      </c>
    </row>
    <row r="147" spans="1:9" s="263" customFormat="1" ht="9" customHeight="1" x14ac:dyDescent="0.25">
      <c r="A147" s="263" t="s">
        <v>48</v>
      </c>
      <c r="B147" s="326">
        <f t="shared" si="10"/>
        <v>4368</v>
      </c>
      <c r="D147" s="326">
        <f t="shared" si="11"/>
        <v>3762</v>
      </c>
      <c r="E147" s="326">
        <v>2037</v>
      </c>
      <c r="F147" s="326">
        <v>1212</v>
      </c>
      <c r="G147" s="326">
        <v>228</v>
      </c>
      <c r="H147" s="266">
        <v>285</v>
      </c>
      <c r="I147" s="326">
        <v>606</v>
      </c>
    </row>
    <row r="148" spans="1:9" s="263" customFormat="1" ht="9" customHeight="1" x14ac:dyDescent="0.25">
      <c r="A148" s="267" t="s">
        <v>49</v>
      </c>
      <c r="B148" s="328">
        <f t="shared" si="10"/>
        <v>6703</v>
      </c>
      <c r="C148" s="267"/>
      <c r="D148" s="328">
        <f t="shared" si="11"/>
        <v>5600</v>
      </c>
      <c r="E148" s="328">
        <v>1971</v>
      </c>
      <c r="F148" s="328">
        <v>2424</v>
      </c>
      <c r="G148" s="328">
        <v>775</v>
      </c>
      <c r="H148" s="268">
        <v>430</v>
      </c>
      <c r="I148" s="328">
        <v>1103</v>
      </c>
    </row>
    <row r="149" spans="1:9" s="263" customFormat="1" ht="9" customHeight="1" x14ac:dyDescent="0.25">
      <c r="A149" s="263" t="s">
        <v>50</v>
      </c>
      <c r="B149" s="326">
        <f t="shared" si="10"/>
        <v>1584</v>
      </c>
      <c r="D149" s="326">
        <f t="shared" si="11"/>
        <v>1293</v>
      </c>
      <c r="E149" s="326">
        <v>397</v>
      </c>
      <c r="F149" s="326">
        <v>575</v>
      </c>
      <c r="G149" s="326">
        <v>104</v>
      </c>
      <c r="H149" s="266">
        <v>217</v>
      </c>
      <c r="I149" s="326">
        <v>291</v>
      </c>
    </row>
    <row r="150" spans="1:9" s="263" customFormat="1" ht="9" customHeight="1" x14ac:dyDescent="0.25">
      <c r="A150" s="263" t="s">
        <v>51</v>
      </c>
      <c r="B150" s="326">
        <f t="shared" si="10"/>
        <v>12010</v>
      </c>
      <c r="D150" s="326">
        <f t="shared" si="11"/>
        <v>9802</v>
      </c>
      <c r="E150" s="326">
        <v>4152</v>
      </c>
      <c r="F150" s="326">
        <v>3956</v>
      </c>
      <c r="G150" s="326">
        <v>971</v>
      </c>
      <c r="H150" s="266">
        <v>723</v>
      </c>
      <c r="I150" s="326">
        <v>2208</v>
      </c>
    </row>
    <row r="151" spans="1:9" s="263" customFormat="1" ht="9" customHeight="1" x14ac:dyDescent="0.25">
      <c r="A151" s="263" t="s">
        <v>52</v>
      </c>
      <c r="B151" s="326">
        <f t="shared" si="10"/>
        <v>3862</v>
      </c>
      <c r="D151" s="326">
        <f t="shared" si="11"/>
        <v>3282</v>
      </c>
      <c r="E151" s="326">
        <v>1488</v>
      </c>
      <c r="F151" s="326">
        <v>1031</v>
      </c>
      <c r="G151" s="326">
        <v>438</v>
      </c>
      <c r="H151" s="266">
        <v>325</v>
      </c>
      <c r="I151" s="326">
        <v>580</v>
      </c>
    </row>
    <row r="152" spans="1:9" s="263" customFormat="1" ht="9" customHeight="1" x14ac:dyDescent="0.25">
      <c r="A152" s="267" t="s">
        <v>53</v>
      </c>
      <c r="B152" s="328">
        <f t="shared" si="10"/>
        <v>2246</v>
      </c>
      <c r="C152" s="267"/>
      <c r="D152" s="328">
        <f t="shared" si="11"/>
        <v>1899</v>
      </c>
      <c r="E152" s="328">
        <v>723</v>
      </c>
      <c r="F152" s="328">
        <v>827</v>
      </c>
      <c r="G152" s="328">
        <v>143</v>
      </c>
      <c r="H152" s="268">
        <v>206</v>
      </c>
      <c r="I152" s="328">
        <v>347</v>
      </c>
    </row>
    <row r="153" spans="1:9" s="263" customFormat="1" ht="9" customHeight="1" x14ac:dyDescent="0.25">
      <c r="D153" s="262"/>
      <c r="E153" s="262"/>
      <c r="F153" s="262"/>
      <c r="G153" s="262"/>
      <c r="H153" s="262"/>
      <c r="I153" s="271"/>
    </row>
    <row r="154" spans="1:9" s="263" customFormat="1" ht="9" customHeight="1" x14ac:dyDescent="0.25">
      <c r="A154" s="261">
        <v>1999</v>
      </c>
      <c r="B154" s="261"/>
      <c r="C154" s="261"/>
      <c r="D154" s="262"/>
      <c r="E154" s="262"/>
      <c r="F154" s="262"/>
      <c r="G154" s="262"/>
      <c r="H154" s="262"/>
      <c r="I154" s="271"/>
    </row>
    <row r="155" spans="1:9" s="263" customFormat="1" ht="9" customHeight="1" x14ac:dyDescent="0.25">
      <c r="A155" s="264" t="s">
        <v>21</v>
      </c>
      <c r="B155" s="325">
        <f>SUM(B157:B188)</f>
        <v>222229</v>
      </c>
      <c r="C155" s="264"/>
      <c r="D155" s="325">
        <f t="shared" ref="D155:I155" si="12">SUM(D157:D188)</f>
        <v>184264</v>
      </c>
      <c r="E155" s="325">
        <f t="shared" si="12"/>
        <v>67887</v>
      </c>
      <c r="F155" s="325">
        <f t="shared" si="12"/>
        <v>75116</v>
      </c>
      <c r="G155" s="325">
        <f t="shared" si="12"/>
        <v>23641</v>
      </c>
      <c r="H155" s="325">
        <f t="shared" si="12"/>
        <v>17620</v>
      </c>
      <c r="I155" s="325">
        <f t="shared" si="12"/>
        <v>37965</v>
      </c>
    </row>
    <row r="156" spans="1:9" s="263" customFormat="1" ht="3.95" customHeight="1" x14ac:dyDescent="0.25">
      <c r="A156" s="264"/>
      <c r="B156" s="325"/>
      <c r="C156" s="264"/>
      <c r="D156" s="325"/>
      <c r="E156" s="325"/>
      <c r="F156" s="325"/>
      <c r="G156" s="325"/>
      <c r="H156" s="325"/>
      <c r="I156" s="325"/>
    </row>
    <row r="157" spans="1:9" s="263" customFormat="1" ht="9" customHeight="1" x14ac:dyDescent="0.25">
      <c r="A157" s="263" t="s">
        <v>23</v>
      </c>
      <c r="B157" s="326">
        <f>SUM(E157:I157)</f>
        <v>2580</v>
      </c>
      <c r="D157" s="326">
        <f>SUM(E157:H157)</f>
        <v>2100</v>
      </c>
      <c r="E157" s="326">
        <v>847</v>
      </c>
      <c r="F157" s="326">
        <v>775</v>
      </c>
      <c r="G157" s="326">
        <v>283</v>
      </c>
      <c r="H157" s="266">
        <v>195</v>
      </c>
      <c r="I157" s="326">
        <v>480</v>
      </c>
    </row>
    <row r="158" spans="1:9" s="263" customFormat="1" ht="9" customHeight="1" x14ac:dyDescent="0.25">
      <c r="A158" s="263" t="s">
        <v>24</v>
      </c>
      <c r="B158" s="326">
        <f t="shared" ref="B158:B188" si="13">SUM(E158:I158)</f>
        <v>5210</v>
      </c>
      <c r="D158" s="326">
        <f t="shared" ref="D158:D188" si="14">SUM(E158:H158)</f>
        <v>4199</v>
      </c>
      <c r="E158" s="326">
        <v>1553</v>
      </c>
      <c r="F158" s="326">
        <v>1706</v>
      </c>
      <c r="G158" s="326">
        <v>603</v>
      </c>
      <c r="H158" s="266">
        <v>337</v>
      </c>
      <c r="I158" s="326">
        <v>1011</v>
      </c>
    </row>
    <row r="159" spans="1:9" s="263" customFormat="1" ht="9" customHeight="1" x14ac:dyDescent="0.25">
      <c r="A159" s="263" t="s">
        <v>25</v>
      </c>
      <c r="B159" s="326">
        <f t="shared" si="13"/>
        <v>1694</v>
      </c>
      <c r="D159" s="326">
        <f t="shared" si="14"/>
        <v>1400</v>
      </c>
      <c r="E159" s="326">
        <v>531</v>
      </c>
      <c r="F159" s="326">
        <v>693</v>
      </c>
      <c r="G159" s="326">
        <v>99</v>
      </c>
      <c r="H159" s="266">
        <v>77</v>
      </c>
      <c r="I159" s="326">
        <v>294</v>
      </c>
    </row>
    <row r="160" spans="1:9" s="263" customFormat="1" ht="9" customHeight="1" x14ac:dyDescent="0.25">
      <c r="A160" s="267" t="s">
        <v>26</v>
      </c>
      <c r="B160" s="328">
        <f t="shared" si="13"/>
        <v>1737</v>
      </c>
      <c r="C160" s="267"/>
      <c r="D160" s="328">
        <f t="shared" si="14"/>
        <v>1438</v>
      </c>
      <c r="E160" s="328">
        <v>632</v>
      </c>
      <c r="F160" s="328">
        <v>561</v>
      </c>
      <c r="G160" s="328">
        <v>121</v>
      </c>
      <c r="H160" s="268">
        <v>124</v>
      </c>
      <c r="I160" s="328">
        <v>299</v>
      </c>
    </row>
    <row r="161" spans="1:9" s="263" customFormat="1" ht="9" customHeight="1" x14ac:dyDescent="0.25">
      <c r="A161" s="263" t="s">
        <v>27</v>
      </c>
      <c r="B161" s="326">
        <f t="shared" si="13"/>
        <v>7406</v>
      </c>
      <c r="D161" s="326">
        <f t="shared" si="14"/>
        <v>6087</v>
      </c>
      <c r="E161" s="326">
        <v>1895</v>
      </c>
      <c r="F161" s="326">
        <v>2568</v>
      </c>
      <c r="G161" s="326">
        <v>970</v>
      </c>
      <c r="H161" s="266">
        <v>654</v>
      </c>
      <c r="I161" s="326">
        <v>1319</v>
      </c>
    </row>
    <row r="162" spans="1:9" s="263" customFormat="1" ht="9" customHeight="1" x14ac:dyDescent="0.25">
      <c r="A162" s="263" t="s">
        <v>28</v>
      </c>
      <c r="B162" s="326">
        <f t="shared" si="13"/>
        <v>1515</v>
      </c>
      <c r="D162" s="326">
        <f t="shared" si="14"/>
        <v>1265</v>
      </c>
      <c r="E162" s="326">
        <v>204</v>
      </c>
      <c r="F162" s="326">
        <v>820</v>
      </c>
      <c r="G162" s="326">
        <v>132</v>
      </c>
      <c r="H162" s="266">
        <v>109</v>
      </c>
      <c r="I162" s="326">
        <v>250</v>
      </c>
    </row>
    <row r="163" spans="1:9" s="263" customFormat="1" ht="9" customHeight="1" x14ac:dyDescent="0.25">
      <c r="A163" s="263" t="s">
        <v>29</v>
      </c>
      <c r="B163" s="326">
        <f t="shared" si="13"/>
        <v>5454</v>
      </c>
      <c r="D163" s="326">
        <f t="shared" si="14"/>
        <v>4576</v>
      </c>
      <c r="E163" s="326">
        <v>2514</v>
      </c>
      <c r="F163" s="326">
        <v>1323</v>
      </c>
      <c r="G163" s="326">
        <v>209</v>
      </c>
      <c r="H163" s="266">
        <v>530</v>
      </c>
      <c r="I163" s="326">
        <v>878</v>
      </c>
    </row>
    <row r="164" spans="1:9" s="263" customFormat="1" ht="9" customHeight="1" x14ac:dyDescent="0.25">
      <c r="A164" s="267" t="s">
        <v>30</v>
      </c>
      <c r="B164" s="328">
        <f t="shared" si="13"/>
        <v>6686</v>
      </c>
      <c r="C164" s="267"/>
      <c r="D164" s="328">
        <f t="shared" si="14"/>
        <v>5336</v>
      </c>
      <c r="E164" s="328">
        <v>2426</v>
      </c>
      <c r="F164" s="328">
        <v>1949</v>
      </c>
      <c r="G164" s="328">
        <v>637</v>
      </c>
      <c r="H164" s="268">
        <v>324</v>
      </c>
      <c r="I164" s="328">
        <v>1350</v>
      </c>
    </row>
    <row r="165" spans="1:9" s="263" customFormat="1" ht="9" customHeight="1" x14ac:dyDescent="0.25">
      <c r="A165" s="263" t="s">
        <v>63</v>
      </c>
      <c r="B165" s="326">
        <f t="shared" si="13"/>
        <v>49521</v>
      </c>
      <c r="D165" s="326">
        <f t="shared" si="14"/>
        <v>40797</v>
      </c>
      <c r="E165" s="326">
        <v>12612</v>
      </c>
      <c r="F165" s="326">
        <v>17921</v>
      </c>
      <c r="G165" s="326">
        <v>7212</v>
      </c>
      <c r="H165" s="326">
        <v>3052</v>
      </c>
      <c r="I165" s="326">
        <v>8724</v>
      </c>
    </row>
    <row r="166" spans="1:9" s="263" customFormat="1" ht="9" customHeight="1" x14ac:dyDescent="0.25">
      <c r="A166" s="263" t="s">
        <v>31</v>
      </c>
      <c r="B166" s="326">
        <f t="shared" si="13"/>
        <v>3726</v>
      </c>
      <c r="D166" s="326">
        <f t="shared" si="14"/>
        <v>3138</v>
      </c>
      <c r="E166" s="326">
        <v>1155</v>
      </c>
      <c r="F166" s="326">
        <v>1324</v>
      </c>
      <c r="G166" s="326">
        <v>389</v>
      </c>
      <c r="H166" s="326">
        <v>270</v>
      </c>
      <c r="I166" s="326">
        <v>588</v>
      </c>
    </row>
    <row r="167" spans="1:9" s="263" customFormat="1" ht="9" customHeight="1" x14ac:dyDescent="0.25">
      <c r="A167" s="263" t="s">
        <v>32</v>
      </c>
      <c r="B167" s="326">
        <f t="shared" si="13"/>
        <v>7300</v>
      </c>
      <c r="D167" s="326">
        <f t="shared" si="14"/>
        <v>5941</v>
      </c>
      <c r="E167" s="326">
        <v>2501</v>
      </c>
      <c r="F167" s="326">
        <v>2293</v>
      </c>
      <c r="G167" s="326">
        <v>687</v>
      </c>
      <c r="H167" s="326">
        <v>460</v>
      </c>
      <c r="I167" s="326">
        <v>1359</v>
      </c>
    </row>
    <row r="168" spans="1:9" s="263" customFormat="1" ht="9" customHeight="1" x14ac:dyDescent="0.25">
      <c r="A168" s="267" t="s">
        <v>33</v>
      </c>
      <c r="B168" s="328">
        <f t="shared" si="13"/>
        <v>5098</v>
      </c>
      <c r="C168" s="267"/>
      <c r="D168" s="328">
        <f t="shared" si="14"/>
        <v>4335</v>
      </c>
      <c r="E168" s="328">
        <v>1185</v>
      </c>
      <c r="F168" s="328">
        <v>2384</v>
      </c>
      <c r="G168" s="328">
        <v>401</v>
      </c>
      <c r="H168" s="328">
        <v>365</v>
      </c>
      <c r="I168" s="328">
        <v>763</v>
      </c>
    </row>
    <row r="169" spans="1:9" s="263" customFormat="1" ht="9" customHeight="1" x14ac:dyDescent="0.25">
      <c r="A169" s="263" t="s">
        <v>34</v>
      </c>
      <c r="B169" s="326">
        <f t="shared" si="13"/>
        <v>3890</v>
      </c>
      <c r="D169" s="326">
        <f t="shared" si="14"/>
        <v>3324</v>
      </c>
      <c r="E169" s="326">
        <v>1578</v>
      </c>
      <c r="F169" s="326">
        <v>1134</v>
      </c>
      <c r="G169" s="326">
        <v>264</v>
      </c>
      <c r="H169" s="326">
        <v>348</v>
      </c>
      <c r="I169" s="326">
        <v>566</v>
      </c>
    </row>
    <row r="170" spans="1:9" s="263" customFormat="1" ht="9" customHeight="1" x14ac:dyDescent="0.25">
      <c r="A170" s="263" t="s">
        <v>35</v>
      </c>
      <c r="B170" s="326">
        <f t="shared" si="13"/>
        <v>14788</v>
      </c>
      <c r="D170" s="326">
        <f t="shared" si="14"/>
        <v>12207</v>
      </c>
      <c r="E170" s="326">
        <v>4373</v>
      </c>
      <c r="F170" s="326">
        <v>5199</v>
      </c>
      <c r="G170" s="326">
        <v>1774</v>
      </c>
      <c r="H170" s="326">
        <v>861</v>
      </c>
      <c r="I170" s="326">
        <v>2581</v>
      </c>
    </row>
    <row r="171" spans="1:9" s="263" customFormat="1" ht="9" customHeight="1" x14ac:dyDescent="0.25">
      <c r="A171" s="263" t="s">
        <v>36</v>
      </c>
      <c r="B171" s="326">
        <f t="shared" si="13"/>
        <v>17799</v>
      </c>
      <c r="D171" s="326">
        <f t="shared" si="14"/>
        <v>14346</v>
      </c>
      <c r="E171" s="326">
        <v>5628</v>
      </c>
      <c r="F171" s="326">
        <v>5072</v>
      </c>
      <c r="G171" s="326">
        <v>1563</v>
      </c>
      <c r="H171" s="326">
        <v>2083</v>
      </c>
      <c r="I171" s="326">
        <v>3453</v>
      </c>
    </row>
    <row r="172" spans="1:9" s="263" customFormat="1" ht="9" customHeight="1" x14ac:dyDescent="0.25">
      <c r="A172" s="267" t="s">
        <v>37</v>
      </c>
      <c r="B172" s="328">
        <f t="shared" si="13"/>
        <v>5569</v>
      </c>
      <c r="C172" s="267"/>
      <c r="D172" s="328">
        <f t="shared" si="14"/>
        <v>4846</v>
      </c>
      <c r="E172" s="328">
        <v>1402</v>
      </c>
      <c r="F172" s="328">
        <v>2331</v>
      </c>
      <c r="G172" s="328">
        <v>459</v>
      </c>
      <c r="H172" s="328">
        <v>654</v>
      </c>
      <c r="I172" s="328">
        <v>723</v>
      </c>
    </row>
    <row r="173" spans="1:9" s="263" customFormat="1" ht="9" customHeight="1" x14ac:dyDescent="0.25">
      <c r="A173" s="263" t="s">
        <v>38</v>
      </c>
      <c r="B173" s="326">
        <f t="shared" si="13"/>
        <v>3114</v>
      </c>
      <c r="D173" s="326">
        <f t="shared" si="14"/>
        <v>2648</v>
      </c>
      <c r="E173" s="326">
        <v>670</v>
      </c>
      <c r="F173" s="326">
        <v>1331</v>
      </c>
      <c r="G173" s="326">
        <v>362</v>
      </c>
      <c r="H173" s="326">
        <v>285</v>
      </c>
      <c r="I173" s="326">
        <v>466</v>
      </c>
    </row>
    <row r="174" spans="1:9" s="263" customFormat="1" ht="9" customHeight="1" x14ac:dyDescent="0.25">
      <c r="A174" s="263" t="s">
        <v>39</v>
      </c>
      <c r="B174" s="326">
        <f t="shared" si="13"/>
        <v>2252</v>
      </c>
      <c r="D174" s="326">
        <f t="shared" si="14"/>
        <v>1958</v>
      </c>
      <c r="E174" s="326">
        <v>581</v>
      </c>
      <c r="F174" s="326">
        <v>1008</v>
      </c>
      <c r="G174" s="326">
        <v>258</v>
      </c>
      <c r="H174" s="326">
        <v>111</v>
      </c>
      <c r="I174" s="326">
        <v>294</v>
      </c>
    </row>
    <row r="175" spans="1:9" s="263" customFormat="1" ht="9" customHeight="1" x14ac:dyDescent="0.25">
      <c r="A175" s="263" t="s">
        <v>40</v>
      </c>
      <c r="B175" s="326">
        <f t="shared" si="13"/>
        <v>11232</v>
      </c>
      <c r="D175" s="326">
        <f t="shared" si="14"/>
        <v>9275</v>
      </c>
      <c r="E175" s="326">
        <v>3158</v>
      </c>
      <c r="F175" s="326">
        <v>3427</v>
      </c>
      <c r="G175" s="326">
        <v>1603</v>
      </c>
      <c r="H175" s="326">
        <v>1087</v>
      </c>
      <c r="I175" s="326">
        <v>1957</v>
      </c>
    </row>
    <row r="176" spans="1:9" s="263" customFormat="1" ht="9" customHeight="1" x14ac:dyDescent="0.25">
      <c r="A176" s="267" t="s">
        <v>41</v>
      </c>
      <c r="B176" s="328">
        <f t="shared" si="13"/>
        <v>5019</v>
      </c>
      <c r="C176" s="267"/>
      <c r="D176" s="328">
        <f t="shared" si="14"/>
        <v>4365</v>
      </c>
      <c r="E176" s="328">
        <v>1999</v>
      </c>
      <c r="F176" s="328">
        <v>1461</v>
      </c>
      <c r="G176" s="328">
        <v>330</v>
      </c>
      <c r="H176" s="328">
        <v>575</v>
      </c>
      <c r="I176" s="328">
        <v>654</v>
      </c>
    </row>
    <row r="177" spans="1:9" s="263" customFormat="1" ht="9" customHeight="1" x14ac:dyDescent="0.25">
      <c r="A177" s="263" t="s">
        <v>42</v>
      </c>
      <c r="B177" s="326">
        <f t="shared" si="13"/>
        <v>7615</v>
      </c>
      <c r="D177" s="326">
        <f t="shared" si="14"/>
        <v>6612</v>
      </c>
      <c r="E177" s="326">
        <v>2557</v>
      </c>
      <c r="F177" s="326">
        <v>2325</v>
      </c>
      <c r="G177" s="326">
        <v>752</v>
      </c>
      <c r="H177" s="326">
        <v>978</v>
      </c>
      <c r="I177" s="326">
        <v>1003</v>
      </c>
    </row>
    <row r="178" spans="1:9" s="263" customFormat="1" ht="9" customHeight="1" x14ac:dyDescent="0.25">
      <c r="A178" s="263" t="s">
        <v>43</v>
      </c>
      <c r="B178" s="326">
        <f t="shared" si="13"/>
        <v>2904</v>
      </c>
      <c r="D178" s="326">
        <f t="shared" si="14"/>
        <v>2408</v>
      </c>
      <c r="E178" s="326">
        <v>1054</v>
      </c>
      <c r="F178" s="326">
        <v>898</v>
      </c>
      <c r="G178" s="326">
        <v>305</v>
      </c>
      <c r="H178" s="326">
        <v>151</v>
      </c>
      <c r="I178" s="326">
        <v>496</v>
      </c>
    </row>
    <row r="179" spans="1:9" s="263" customFormat="1" ht="9" customHeight="1" x14ac:dyDescent="0.25">
      <c r="A179" s="263" t="s">
        <v>44</v>
      </c>
      <c r="B179" s="326">
        <f t="shared" si="13"/>
        <v>1919</v>
      </c>
      <c r="D179" s="326">
        <f t="shared" si="14"/>
        <v>1576</v>
      </c>
      <c r="E179" s="326">
        <v>685</v>
      </c>
      <c r="F179" s="326">
        <v>633</v>
      </c>
      <c r="G179" s="326">
        <v>122</v>
      </c>
      <c r="H179" s="326">
        <v>136</v>
      </c>
      <c r="I179" s="326">
        <v>343</v>
      </c>
    </row>
    <row r="180" spans="1:9" s="263" customFormat="1" ht="9" customHeight="1" x14ac:dyDescent="0.25">
      <c r="A180" s="267" t="s">
        <v>45</v>
      </c>
      <c r="B180" s="328">
        <f t="shared" si="13"/>
        <v>4168</v>
      </c>
      <c r="C180" s="267"/>
      <c r="D180" s="328">
        <f t="shared" si="14"/>
        <v>3568</v>
      </c>
      <c r="E180" s="328">
        <v>1658</v>
      </c>
      <c r="F180" s="328">
        <v>1192</v>
      </c>
      <c r="G180" s="328">
        <v>289</v>
      </c>
      <c r="H180" s="328">
        <v>429</v>
      </c>
      <c r="I180" s="328">
        <v>600</v>
      </c>
    </row>
    <row r="181" spans="1:9" s="263" customFormat="1" ht="9" customHeight="1" x14ac:dyDescent="0.25">
      <c r="A181" s="263" t="s">
        <v>46</v>
      </c>
      <c r="B181" s="326">
        <f t="shared" si="13"/>
        <v>6050</v>
      </c>
      <c r="D181" s="326">
        <f t="shared" si="14"/>
        <v>4891</v>
      </c>
      <c r="E181" s="326">
        <v>1594</v>
      </c>
      <c r="F181" s="326">
        <v>2200</v>
      </c>
      <c r="G181" s="326">
        <v>549</v>
      </c>
      <c r="H181" s="326">
        <v>548</v>
      </c>
      <c r="I181" s="326">
        <v>1159</v>
      </c>
    </row>
    <row r="182" spans="1:9" s="263" customFormat="1" ht="9" customHeight="1" x14ac:dyDescent="0.25">
      <c r="A182" s="263" t="s">
        <v>47</v>
      </c>
      <c r="B182" s="326">
        <f t="shared" si="13"/>
        <v>6106</v>
      </c>
      <c r="D182" s="326">
        <f t="shared" si="14"/>
        <v>5148</v>
      </c>
      <c r="E182" s="326">
        <v>2071</v>
      </c>
      <c r="F182" s="326">
        <v>2057</v>
      </c>
      <c r="G182" s="326">
        <v>506</v>
      </c>
      <c r="H182" s="326">
        <v>514</v>
      </c>
      <c r="I182" s="326">
        <v>958</v>
      </c>
    </row>
    <row r="183" spans="1:9" s="263" customFormat="1" ht="9" customHeight="1" x14ac:dyDescent="0.25">
      <c r="A183" s="263" t="s">
        <v>48</v>
      </c>
      <c r="B183" s="326">
        <f t="shared" si="13"/>
        <v>4746</v>
      </c>
      <c r="D183" s="326">
        <f t="shared" si="14"/>
        <v>3970</v>
      </c>
      <c r="E183" s="326">
        <v>2109</v>
      </c>
      <c r="F183" s="326">
        <v>1311</v>
      </c>
      <c r="G183" s="326">
        <v>244</v>
      </c>
      <c r="H183" s="326">
        <v>306</v>
      </c>
      <c r="I183" s="326">
        <v>776</v>
      </c>
    </row>
    <row r="184" spans="1:9" s="263" customFormat="1" ht="9" customHeight="1" x14ac:dyDescent="0.25">
      <c r="A184" s="267" t="s">
        <v>49</v>
      </c>
      <c r="B184" s="328">
        <f t="shared" si="13"/>
        <v>6985</v>
      </c>
      <c r="C184" s="267"/>
      <c r="D184" s="328">
        <f t="shared" si="14"/>
        <v>5818</v>
      </c>
      <c r="E184" s="328">
        <v>1923</v>
      </c>
      <c r="F184" s="328">
        <v>2606</v>
      </c>
      <c r="G184" s="328">
        <v>839</v>
      </c>
      <c r="H184" s="328">
        <v>450</v>
      </c>
      <c r="I184" s="328">
        <v>1167</v>
      </c>
    </row>
    <row r="185" spans="1:9" s="263" customFormat="1" ht="9" customHeight="1" x14ac:dyDescent="0.25">
      <c r="A185" s="263" t="s">
        <v>50</v>
      </c>
      <c r="B185" s="326">
        <f t="shared" si="13"/>
        <v>1597</v>
      </c>
      <c r="D185" s="326">
        <f t="shared" si="14"/>
        <v>1321</v>
      </c>
      <c r="E185" s="326">
        <v>393</v>
      </c>
      <c r="F185" s="326">
        <v>623</v>
      </c>
      <c r="G185" s="326">
        <v>109</v>
      </c>
      <c r="H185" s="326">
        <v>196</v>
      </c>
      <c r="I185" s="326">
        <v>276</v>
      </c>
    </row>
    <row r="186" spans="1:9" s="263" customFormat="1" ht="9" customHeight="1" x14ac:dyDescent="0.25">
      <c r="A186" s="263" t="s">
        <v>51</v>
      </c>
      <c r="B186" s="326">
        <f t="shared" si="13"/>
        <v>12219</v>
      </c>
      <c r="D186" s="326">
        <f t="shared" si="14"/>
        <v>10026</v>
      </c>
      <c r="E186" s="326">
        <v>4122</v>
      </c>
      <c r="F186" s="326">
        <v>4136</v>
      </c>
      <c r="G186" s="326">
        <v>982</v>
      </c>
      <c r="H186" s="326">
        <v>786</v>
      </c>
      <c r="I186" s="326">
        <v>2193</v>
      </c>
    </row>
    <row r="187" spans="1:9" s="263" customFormat="1" ht="9" customHeight="1" x14ac:dyDescent="0.25">
      <c r="A187" s="263" t="s">
        <v>52</v>
      </c>
      <c r="B187" s="326">
        <f t="shared" si="13"/>
        <v>4001</v>
      </c>
      <c r="D187" s="326">
        <f t="shared" si="14"/>
        <v>3365</v>
      </c>
      <c r="E187" s="326">
        <v>1499</v>
      </c>
      <c r="F187" s="326">
        <v>1027</v>
      </c>
      <c r="G187" s="326">
        <v>439</v>
      </c>
      <c r="H187" s="326">
        <v>400</v>
      </c>
      <c r="I187" s="326">
        <v>636</v>
      </c>
    </row>
    <row r="188" spans="1:9" s="263" customFormat="1" ht="9" customHeight="1" x14ac:dyDescent="0.25">
      <c r="A188" s="267" t="s">
        <v>53</v>
      </c>
      <c r="B188" s="328">
        <f t="shared" si="13"/>
        <v>2329</v>
      </c>
      <c r="C188" s="267"/>
      <c r="D188" s="328">
        <f t="shared" si="14"/>
        <v>1980</v>
      </c>
      <c r="E188" s="328">
        <v>778</v>
      </c>
      <c r="F188" s="328">
        <v>828</v>
      </c>
      <c r="G188" s="328">
        <v>149</v>
      </c>
      <c r="H188" s="328">
        <v>225</v>
      </c>
      <c r="I188" s="328">
        <v>349</v>
      </c>
    </row>
    <row r="189" spans="1:9" s="263" customFormat="1" ht="9" customHeight="1" x14ac:dyDescent="0.25">
      <c r="D189" s="262"/>
      <c r="E189" s="262"/>
      <c r="F189" s="262"/>
      <c r="G189" s="262"/>
      <c r="H189" s="262"/>
      <c r="I189" s="271"/>
    </row>
    <row r="190" spans="1:9" s="263" customFormat="1" ht="9" customHeight="1" x14ac:dyDescent="0.25">
      <c r="A190" s="261">
        <v>2000</v>
      </c>
      <c r="B190" s="261"/>
      <c r="C190" s="261"/>
      <c r="D190" s="262"/>
      <c r="E190" s="262"/>
      <c r="F190" s="262"/>
      <c r="G190" s="262"/>
      <c r="H190" s="262"/>
      <c r="I190" s="271"/>
    </row>
    <row r="191" spans="1:9" s="263" customFormat="1" ht="9" customHeight="1" x14ac:dyDescent="0.25">
      <c r="A191" s="264" t="s">
        <v>21</v>
      </c>
      <c r="B191" s="325">
        <f>SUM(B193:B224)</f>
        <v>227096</v>
      </c>
      <c r="C191" s="264"/>
      <c r="D191" s="325">
        <f t="shared" ref="D191:I191" si="15">SUM(D193:D224)</f>
        <v>190335</v>
      </c>
      <c r="E191" s="325">
        <f t="shared" si="15"/>
        <v>59922</v>
      </c>
      <c r="F191" s="325">
        <f t="shared" si="15"/>
        <v>61831</v>
      </c>
      <c r="G191" s="325">
        <f t="shared" si="15"/>
        <v>25681</v>
      </c>
      <c r="H191" s="325">
        <f t="shared" si="15"/>
        <v>42901</v>
      </c>
      <c r="I191" s="325">
        <f t="shared" si="15"/>
        <v>36761</v>
      </c>
    </row>
    <row r="192" spans="1:9" s="263" customFormat="1" ht="3.95" customHeight="1" x14ac:dyDescent="0.25">
      <c r="A192" s="264"/>
      <c r="B192" s="325"/>
      <c r="C192" s="264"/>
      <c r="D192" s="325"/>
      <c r="E192" s="325"/>
      <c r="F192" s="325"/>
      <c r="G192" s="325"/>
      <c r="H192" s="325"/>
      <c r="I192" s="325"/>
    </row>
    <row r="193" spans="1:9" s="263" customFormat="1" ht="9" customHeight="1" x14ac:dyDescent="0.25">
      <c r="A193" s="263" t="s">
        <v>23</v>
      </c>
      <c r="B193" s="326">
        <f>SUM(E193:I193)</f>
        <v>2631</v>
      </c>
      <c r="D193" s="326">
        <f>SUM(E193:H193)</f>
        <v>2200</v>
      </c>
      <c r="E193" s="326">
        <v>759</v>
      </c>
      <c r="F193" s="326">
        <v>558</v>
      </c>
      <c r="G193" s="326">
        <v>453</v>
      </c>
      <c r="H193" s="266">
        <v>430</v>
      </c>
      <c r="I193" s="326">
        <v>431</v>
      </c>
    </row>
    <row r="194" spans="1:9" s="263" customFormat="1" ht="9" customHeight="1" x14ac:dyDescent="0.25">
      <c r="A194" s="263" t="s">
        <v>24</v>
      </c>
      <c r="B194" s="326">
        <f t="shared" ref="B194:B224" si="16">SUM(E194:I194)</f>
        <v>5555</v>
      </c>
      <c r="D194" s="326">
        <f t="shared" ref="D194:D224" si="17">SUM(E194:H194)</f>
        <v>4468</v>
      </c>
      <c r="E194" s="326">
        <v>1390</v>
      </c>
      <c r="F194" s="326">
        <v>1575</v>
      </c>
      <c r="G194" s="326">
        <v>728</v>
      </c>
      <c r="H194" s="266">
        <v>775</v>
      </c>
      <c r="I194" s="326">
        <v>1087</v>
      </c>
    </row>
    <row r="195" spans="1:9" s="263" customFormat="1" ht="9" customHeight="1" x14ac:dyDescent="0.25">
      <c r="A195" s="263" t="s">
        <v>25</v>
      </c>
      <c r="B195" s="326">
        <f t="shared" si="16"/>
        <v>1634</v>
      </c>
      <c r="D195" s="326">
        <f t="shared" si="17"/>
        <v>1387</v>
      </c>
      <c r="E195" s="326">
        <v>518</v>
      </c>
      <c r="F195" s="326">
        <v>504</v>
      </c>
      <c r="G195" s="326">
        <v>170</v>
      </c>
      <c r="H195" s="266">
        <v>195</v>
      </c>
      <c r="I195" s="326">
        <v>247</v>
      </c>
    </row>
    <row r="196" spans="1:9" s="263" customFormat="1" ht="9" customHeight="1" x14ac:dyDescent="0.25">
      <c r="A196" s="267" t="s">
        <v>26</v>
      </c>
      <c r="B196" s="328">
        <f t="shared" si="16"/>
        <v>1808</v>
      </c>
      <c r="C196" s="267"/>
      <c r="D196" s="328">
        <f t="shared" si="17"/>
        <v>1559</v>
      </c>
      <c r="E196" s="328">
        <v>588</v>
      </c>
      <c r="F196" s="328">
        <v>519</v>
      </c>
      <c r="G196" s="328">
        <v>120</v>
      </c>
      <c r="H196" s="268">
        <v>332</v>
      </c>
      <c r="I196" s="328">
        <v>249</v>
      </c>
    </row>
    <row r="197" spans="1:9" s="263" customFormat="1" ht="9" customHeight="1" x14ac:dyDescent="0.25">
      <c r="A197" s="263" t="s">
        <v>27</v>
      </c>
      <c r="B197" s="326">
        <f t="shared" si="16"/>
        <v>7380</v>
      </c>
      <c r="D197" s="326">
        <f t="shared" si="17"/>
        <v>6114</v>
      </c>
      <c r="E197" s="326">
        <v>1881</v>
      </c>
      <c r="F197" s="326">
        <v>1740</v>
      </c>
      <c r="G197" s="326">
        <v>782</v>
      </c>
      <c r="H197" s="266">
        <v>1711</v>
      </c>
      <c r="I197" s="326">
        <v>1266</v>
      </c>
    </row>
    <row r="198" spans="1:9" s="263" customFormat="1" ht="9" customHeight="1" x14ac:dyDescent="0.25">
      <c r="A198" s="263" t="s">
        <v>28</v>
      </c>
      <c r="B198" s="326">
        <f t="shared" si="16"/>
        <v>1513</v>
      </c>
      <c r="D198" s="326">
        <f t="shared" si="17"/>
        <v>1266</v>
      </c>
      <c r="E198" s="326">
        <v>427</v>
      </c>
      <c r="F198" s="326">
        <v>474</v>
      </c>
      <c r="G198" s="326">
        <v>150</v>
      </c>
      <c r="H198" s="266">
        <v>215</v>
      </c>
      <c r="I198" s="326">
        <v>247</v>
      </c>
    </row>
    <row r="199" spans="1:9" s="263" customFormat="1" ht="9" customHeight="1" x14ac:dyDescent="0.25">
      <c r="A199" s="263" t="s">
        <v>29</v>
      </c>
      <c r="B199" s="326">
        <f t="shared" si="16"/>
        <v>5680</v>
      </c>
      <c r="D199" s="326">
        <f t="shared" si="17"/>
        <v>4826</v>
      </c>
      <c r="E199" s="326">
        <v>2681</v>
      </c>
      <c r="F199" s="326">
        <v>1164</v>
      </c>
      <c r="G199" s="326">
        <v>225</v>
      </c>
      <c r="H199" s="266">
        <v>756</v>
      </c>
      <c r="I199" s="326">
        <v>854</v>
      </c>
    </row>
    <row r="200" spans="1:9" s="263" customFormat="1" ht="9" customHeight="1" x14ac:dyDescent="0.25">
      <c r="A200" s="267" t="s">
        <v>30</v>
      </c>
      <c r="B200" s="328">
        <f t="shared" si="16"/>
        <v>6692</v>
      </c>
      <c r="C200" s="267"/>
      <c r="D200" s="328">
        <f t="shared" si="17"/>
        <v>5469</v>
      </c>
      <c r="E200" s="328">
        <v>2377</v>
      </c>
      <c r="F200" s="328">
        <v>1449</v>
      </c>
      <c r="G200" s="328">
        <v>1005</v>
      </c>
      <c r="H200" s="268">
        <v>638</v>
      </c>
      <c r="I200" s="328">
        <v>1223</v>
      </c>
    </row>
    <row r="201" spans="1:9" s="263" customFormat="1" ht="9" customHeight="1" x14ac:dyDescent="0.25">
      <c r="A201" s="263" t="s">
        <v>63</v>
      </c>
      <c r="B201" s="326">
        <f t="shared" si="16"/>
        <v>51514</v>
      </c>
      <c r="D201" s="326">
        <f t="shared" si="17"/>
        <v>42525</v>
      </c>
      <c r="E201" s="326">
        <v>9607</v>
      </c>
      <c r="F201" s="326">
        <v>15129</v>
      </c>
      <c r="G201" s="326">
        <v>6955</v>
      </c>
      <c r="H201" s="266">
        <v>10834</v>
      </c>
      <c r="I201" s="326">
        <v>8989</v>
      </c>
    </row>
    <row r="202" spans="1:9" s="263" customFormat="1" ht="9" customHeight="1" x14ac:dyDescent="0.25">
      <c r="A202" s="263" t="s">
        <v>31</v>
      </c>
      <c r="B202" s="326">
        <f t="shared" si="16"/>
        <v>3717</v>
      </c>
      <c r="D202" s="326">
        <f t="shared" si="17"/>
        <v>3156</v>
      </c>
      <c r="E202" s="326">
        <v>1402</v>
      </c>
      <c r="F202" s="326">
        <v>885</v>
      </c>
      <c r="G202" s="326">
        <v>456</v>
      </c>
      <c r="H202" s="266">
        <v>413</v>
      </c>
      <c r="I202" s="326">
        <v>561</v>
      </c>
    </row>
    <row r="203" spans="1:9" s="263" customFormat="1" ht="9" customHeight="1" x14ac:dyDescent="0.25">
      <c r="A203" s="263" t="s">
        <v>32</v>
      </c>
      <c r="B203" s="326">
        <f t="shared" si="16"/>
        <v>7366</v>
      </c>
      <c r="D203" s="326">
        <f t="shared" si="17"/>
        <v>6081</v>
      </c>
      <c r="E203" s="326">
        <v>1911</v>
      </c>
      <c r="F203" s="326">
        <v>1824</v>
      </c>
      <c r="G203" s="326">
        <v>984</v>
      </c>
      <c r="H203" s="266">
        <v>1362</v>
      </c>
      <c r="I203" s="326">
        <v>1285</v>
      </c>
    </row>
    <row r="204" spans="1:9" s="263" customFormat="1" ht="9" customHeight="1" x14ac:dyDescent="0.25">
      <c r="A204" s="267" t="s">
        <v>33</v>
      </c>
      <c r="B204" s="328">
        <f t="shared" si="16"/>
        <v>5133</v>
      </c>
      <c r="C204" s="267"/>
      <c r="D204" s="328">
        <f t="shared" si="17"/>
        <v>4473</v>
      </c>
      <c r="E204" s="328">
        <v>1088</v>
      </c>
      <c r="F204" s="328">
        <v>2359</v>
      </c>
      <c r="G204" s="328">
        <v>420</v>
      </c>
      <c r="H204" s="268">
        <v>606</v>
      </c>
      <c r="I204" s="328">
        <v>660</v>
      </c>
    </row>
    <row r="205" spans="1:9" s="263" customFormat="1" ht="9" customHeight="1" x14ac:dyDescent="0.25">
      <c r="A205" s="263" t="s">
        <v>34</v>
      </c>
      <c r="B205" s="326">
        <f t="shared" si="16"/>
        <v>4112</v>
      </c>
      <c r="D205" s="326">
        <f t="shared" si="17"/>
        <v>3669</v>
      </c>
      <c r="E205" s="326">
        <v>1688</v>
      </c>
      <c r="F205" s="326">
        <v>887</v>
      </c>
      <c r="G205" s="326">
        <v>347</v>
      </c>
      <c r="H205" s="266">
        <v>747</v>
      </c>
      <c r="I205" s="326">
        <v>443</v>
      </c>
    </row>
    <row r="206" spans="1:9" s="263" customFormat="1" ht="9" customHeight="1" x14ac:dyDescent="0.25">
      <c r="A206" s="263" t="s">
        <v>35</v>
      </c>
      <c r="B206" s="326">
        <f t="shared" si="16"/>
        <v>14993</v>
      </c>
      <c r="D206" s="326">
        <f t="shared" si="17"/>
        <v>12675</v>
      </c>
      <c r="E206" s="326">
        <v>4497</v>
      </c>
      <c r="F206" s="326">
        <v>3962</v>
      </c>
      <c r="G206" s="326">
        <v>1941</v>
      </c>
      <c r="H206" s="266">
        <v>2275</v>
      </c>
      <c r="I206" s="326">
        <v>2318</v>
      </c>
    </row>
    <row r="207" spans="1:9" s="263" customFormat="1" ht="9" customHeight="1" x14ac:dyDescent="0.25">
      <c r="A207" s="263" t="s">
        <v>36</v>
      </c>
      <c r="B207" s="326">
        <f t="shared" si="16"/>
        <v>17997</v>
      </c>
      <c r="D207" s="326">
        <f t="shared" si="17"/>
        <v>14398</v>
      </c>
      <c r="E207" s="326">
        <v>4440</v>
      </c>
      <c r="F207" s="326">
        <v>3852</v>
      </c>
      <c r="G207" s="326">
        <v>1752</v>
      </c>
      <c r="H207" s="266">
        <v>4354</v>
      </c>
      <c r="I207" s="326">
        <v>3599</v>
      </c>
    </row>
    <row r="208" spans="1:9" s="263" customFormat="1" ht="9" customHeight="1" x14ac:dyDescent="0.25">
      <c r="A208" s="267" t="s">
        <v>37</v>
      </c>
      <c r="B208" s="328">
        <f t="shared" si="16"/>
        <v>5655</v>
      </c>
      <c r="C208" s="267"/>
      <c r="D208" s="328">
        <f t="shared" si="17"/>
        <v>5030</v>
      </c>
      <c r="E208" s="328">
        <v>1324</v>
      </c>
      <c r="F208" s="328">
        <v>1722</v>
      </c>
      <c r="G208" s="328">
        <v>788</v>
      </c>
      <c r="H208" s="268">
        <v>1196</v>
      </c>
      <c r="I208" s="328">
        <v>625</v>
      </c>
    </row>
    <row r="209" spans="1:9" s="263" customFormat="1" ht="9" customHeight="1" x14ac:dyDescent="0.25">
      <c r="A209" s="263" t="s">
        <v>38</v>
      </c>
      <c r="B209" s="326">
        <f t="shared" si="16"/>
        <v>3145</v>
      </c>
      <c r="D209" s="326">
        <f t="shared" si="17"/>
        <v>2711</v>
      </c>
      <c r="E209" s="326">
        <v>509</v>
      </c>
      <c r="F209" s="326">
        <v>1033</v>
      </c>
      <c r="G209" s="326">
        <v>478</v>
      </c>
      <c r="H209" s="266">
        <v>691</v>
      </c>
      <c r="I209" s="326">
        <v>434</v>
      </c>
    </row>
    <row r="210" spans="1:9" s="263" customFormat="1" ht="9" customHeight="1" x14ac:dyDescent="0.25">
      <c r="A210" s="263" t="s">
        <v>39</v>
      </c>
      <c r="B210" s="326">
        <f t="shared" si="16"/>
        <v>2252</v>
      </c>
      <c r="D210" s="326">
        <f t="shared" si="17"/>
        <v>1970</v>
      </c>
      <c r="E210" s="326">
        <v>507</v>
      </c>
      <c r="F210" s="326">
        <v>886</v>
      </c>
      <c r="G210" s="326">
        <v>265</v>
      </c>
      <c r="H210" s="266">
        <v>312</v>
      </c>
      <c r="I210" s="326">
        <v>282</v>
      </c>
    </row>
    <row r="211" spans="1:9" s="263" customFormat="1" ht="9" customHeight="1" x14ac:dyDescent="0.25">
      <c r="A211" s="263" t="s">
        <v>40</v>
      </c>
      <c r="B211" s="326">
        <f t="shared" si="16"/>
        <v>10935</v>
      </c>
      <c r="D211" s="326">
        <f t="shared" si="17"/>
        <v>9147</v>
      </c>
      <c r="E211" s="326">
        <v>2305</v>
      </c>
      <c r="F211" s="326">
        <v>2677</v>
      </c>
      <c r="G211" s="326">
        <v>1716</v>
      </c>
      <c r="H211" s="266">
        <v>2449</v>
      </c>
      <c r="I211" s="326">
        <v>1788</v>
      </c>
    </row>
    <row r="212" spans="1:9" s="263" customFormat="1" ht="9" customHeight="1" x14ac:dyDescent="0.25">
      <c r="A212" s="267" t="s">
        <v>41</v>
      </c>
      <c r="B212" s="328">
        <f t="shared" si="16"/>
        <v>5035</v>
      </c>
      <c r="C212" s="267"/>
      <c r="D212" s="328">
        <f t="shared" si="17"/>
        <v>4460</v>
      </c>
      <c r="E212" s="328">
        <v>1716</v>
      </c>
      <c r="F212" s="328">
        <v>1502</v>
      </c>
      <c r="G212" s="328">
        <v>288</v>
      </c>
      <c r="H212" s="268">
        <v>954</v>
      </c>
      <c r="I212" s="328">
        <v>575</v>
      </c>
    </row>
    <row r="213" spans="1:9" s="263" customFormat="1" ht="9" customHeight="1" x14ac:dyDescent="0.25">
      <c r="A213" s="263" t="s">
        <v>42</v>
      </c>
      <c r="B213" s="326">
        <f t="shared" si="16"/>
        <v>8056</v>
      </c>
      <c r="D213" s="326">
        <f t="shared" si="17"/>
        <v>6908</v>
      </c>
      <c r="E213" s="326">
        <v>2068</v>
      </c>
      <c r="F213" s="326">
        <v>2153</v>
      </c>
      <c r="G213" s="326">
        <v>880</v>
      </c>
      <c r="H213" s="266">
        <v>1807</v>
      </c>
      <c r="I213" s="326">
        <v>1148</v>
      </c>
    </row>
    <row r="214" spans="1:9" s="263" customFormat="1" ht="9" customHeight="1" x14ac:dyDescent="0.25">
      <c r="A214" s="263" t="s">
        <v>43</v>
      </c>
      <c r="B214" s="326">
        <f t="shared" si="16"/>
        <v>3029</v>
      </c>
      <c r="D214" s="326">
        <f t="shared" si="17"/>
        <v>2502</v>
      </c>
      <c r="E214" s="326">
        <v>1074</v>
      </c>
      <c r="F214" s="326">
        <v>563</v>
      </c>
      <c r="G214" s="326">
        <v>283</v>
      </c>
      <c r="H214" s="266">
        <v>582</v>
      </c>
      <c r="I214" s="326">
        <v>527</v>
      </c>
    </row>
    <row r="215" spans="1:9" s="263" customFormat="1" ht="9" customHeight="1" x14ac:dyDescent="0.25">
      <c r="A215" s="263" t="s">
        <v>44</v>
      </c>
      <c r="B215" s="326">
        <f t="shared" si="16"/>
        <v>1968</v>
      </c>
      <c r="D215" s="326">
        <f t="shared" si="17"/>
        <v>1628</v>
      </c>
      <c r="E215" s="326">
        <v>586</v>
      </c>
      <c r="F215" s="326">
        <v>457</v>
      </c>
      <c r="G215" s="326">
        <v>179</v>
      </c>
      <c r="H215" s="266">
        <v>406</v>
      </c>
      <c r="I215" s="326">
        <v>340</v>
      </c>
    </row>
    <row r="216" spans="1:9" s="263" customFormat="1" ht="9" customHeight="1" x14ac:dyDescent="0.25">
      <c r="A216" s="267" t="s">
        <v>45</v>
      </c>
      <c r="B216" s="328">
        <f t="shared" si="16"/>
        <v>4062</v>
      </c>
      <c r="C216" s="267"/>
      <c r="D216" s="328">
        <f t="shared" si="17"/>
        <v>3508</v>
      </c>
      <c r="E216" s="328">
        <v>1442</v>
      </c>
      <c r="F216" s="328">
        <v>1146</v>
      </c>
      <c r="G216" s="328">
        <v>349</v>
      </c>
      <c r="H216" s="268">
        <v>571</v>
      </c>
      <c r="I216" s="328">
        <v>554</v>
      </c>
    </row>
    <row r="217" spans="1:9" s="263" customFormat="1" ht="9" customHeight="1" x14ac:dyDescent="0.25">
      <c r="A217" s="263" t="s">
        <v>46</v>
      </c>
      <c r="B217" s="326">
        <f t="shared" si="16"/>
        <v>5959</v>
      </c>
      <c r="D217" s="326">
        <f t="shared" si="17"/>
        <v>4921</v>
      </c>
      <c r="E217" s="326">
        <v>1440</v>
      </c>
      <c r="F217" s="326">
        <v>1822</v>
      </c>
      <c r="G217" s="326">
        <v>597</v>
      </c>
      <c r="H217" s="266">
        <v>1062</v>
      </c>
      <c r="I217" s="326">
        <v>1038</v>
      </c>
    </row>
    <row r="218" spans="1:9" s="263" customFormat="1" ht="9" customHeight="1" x14ac:dyDescent="0.25">
      <c r="A218" s="263" t="s">
        <v>47</v>
      </c>
      <c r="B218" s="326">
        <f t="shared" si="16"/>
        <v>6314</v>
      </c>
      <c r="D218" s="326">
        <f t="shared" si="17"/>
        <v>5345</v>
      </c>
      <c r="E218" s="326">
        <v>1680</v>
      </c>
      <c r="F218" s="326">
        <v>1796</v>
      </c>
      <c r="G218" s="326">
        <v>673</v>
      </c>
      <c r="H218" s="266">
        <v>1196</v>
      </c>
      <c r="I218" s="326">
        <v>969</v>
      </c>
    </row>
    <row r="219" spans="1:9" s="263" customFormat="1" ht="9" customHeight="1" x14ac:dyDescent="0.25">
      <c r="A219" s="263" t="s">
        <v>48</v>
      </c>
      <c r="B219" s="326">
        <f t="shared" si="16"/>
        <v>4777</v>
      </c>
      <c r="D219" s="326">
        <f t="shared" si="17"/>
        <v>4131</v>
      </c>
      <c r="E219" s="326">
        <v>1929</v>
      </c>
      <c r="F219" s="326">
        <v>1453</v>
      </c>
      <c r="G219" s="326">
        <v>241</v>
      </c>
      <c r="H219" s="266">
        <v>508</v>
      </c>
      <c r="I219" s="326">
        <v>646</v>
      </c>
    </row>
    <row r="220" spans="1:9" s="263" customFormat="1" ht="9" customHeight="1" x14ac:dyDescent="0.25">
      <c r="A220" s="267" t="s">
        <v>49</v>
      </c>
      <c r="B220" s="328">
        <f t="shared" si="16"/>
        <v>7382</v>
      </c>
      <c r="C220" s="267"/>
      <c r="D220" s="328">
        <f t="shared" si="17"/>
        <v>6191</v>
      </c>
      <c r="E220" s="328">
        <v>1783</v>
      </c>
      <c r="F220" s="328">
        <v>2173</v>
      </c>
      <c r="G220" s="328">
        <v>1051</v>
      </c>
      <c r="H220" s="268">
        <v>1184</v>
      </c>
      <c r="I220" s="328">
        <v>1191</v>
      </c>
    </row>
    <row r="221" spans="1:9" s="263" customFormat="1" ht="9" customHeight="1" x14ac:dyDescent="0.25">
      <c r="A221" s="263" t="s">
        <v>50</v>
      </c>
      <c r="B221" s="326">
        <f t="shared" si="16"/>
        <v>1742</v>
      </c>
      <c r="D221" s="326">
        <f t="shared" si="17"/>
        <v>1467</v>
      </c>
      <c r="E221" s="326">
        <v>373</v>
      </c>
      <c r="F221" s="326">
        <v>515</v>
      </c>
      <c r="G221" s="326">
        <v>267</v>
      </c>
      <c r="H221" s="266">
        <v>312</v>
      </c>
      <c r="I221" s="326">
        <v>275</v>
      </c>
    </row>
    <row r="222" spans="1:9" s="263" customFormat="1" ht="9" customHeight="1" x14ac:dyDescent="0.25">
      <c r="A222" s="263" t="s">
        <v>51</v>
      </c>
      <c r="B222" s="326">
        <f t="shared" si="16"/>
        <v>12393</v>
      </c>
      <c r="D222" s="326">
        <f t="shared" si="17"/>
        <v>10436</v>
      </c>
      <c r="E222" s="326">
        <v>4003</v>
      </c>
      <c r="F222" s="326">
        <v>3374</v>
      </c>
      <c r="G222" s="326">
        <v>679</v>
      </c>
      <c r="H222" s="266">
        <v>2380</v>
      </c>
      <c r="I222" s="326">
        <v>1957</v>
      </c>
    </row>
    <row r="223" spans="1:9" s="263" customFormat="1" ht="9" customHeight="1" x14ac:dyDescent="0.25">
      <c r="A223" s="263" t="s">
        <v>52</v>
      </c>
      <c r="B223" s="326">
        <f t="shared" si="16"/>
        <v>4192</v>
      </c>
      <c r="D223" s="326">
        <f t="shared" si="17"/>
        <v>3613</v>
      </c>
      <c r="E223" s="326">
        <v>1279</v>
      </c>
      <c r="F223" s="326">
        <v>901</v>
      </c>
      <c r="G223" s="326">
        <v>303</v>
      </c>
      <c r="H223" s="266">
        <v>1130</v>
      </c>
      <c r="I223" s="326">
        <v>579</v>
      </c>
    </row>
    <row r="224" spans="1:9" s="263" customFormat="1" ht="9" customHeight="1" x14ac:dyDescent="0.25">
      <c r="A224" s="267" t="s">
        <v>53</v>
      </c>
      <c r="B224" s="328">
        <f t="shared" si="16"/>
        <v>2475</v>
      </c>
      <c r="C224" s="267"/>
      <c r="D224" s="328">
        <f t="shared" si="17"/>
        <v>2101</v>
      </c>
      <c r="E224" s="328">
        <v>650</v>
      </c>
      <c r="F224" s="328">
        <v>777</v>
      </c>
      <c r="G224" s="328">
        <v>156</v>
      </c>
      <c r="H224" s="268">
        <v>518</v>
      </c>
      <c r="I224" s="328">
        <v>374</v>
      </c>
    </row>
    <row r="225" spans="1:9" s="263" customFormat="1" ht="9" customHeight="1" x14ac:dyDescent="0.25">
      <c r="D225" s="326"/>
      <c r="E225" s="326"/>
      <c r="F225" s="326"/>
      <c r="G225" s="326"/>
      <c r="H225" s="266"/>
      <c r="I225" s="289"/>
    </row>
    <row r="226" spans="1:9" s="263" customFormat="1" ht="9" customHeight="1" x14ac:dyDescent="0.25">
      <c r="A226" s="261">
        <v>2001</v>
      </c>
      <c r="B226" s="261"/>
      <c r="C226" s="261"/>
      <c r="D226" s="262"/>
      <c r="E226" s="262"/>
      <c r="F226" s="262"/>
      <c r="G226" s="262"/>
      <c r="H226" s="262"/>
      <c r="I226" s="271"/>
    </row>
    <row r="227" spans="1:9" s="263" customFormat="1" ht="9" customHeight="1" x14ac:dyDescent="0.25">
      <c r="A227" s="264" t="s">
        <v>21</v>
      </c>
      <c r="B227" s="325">
        <f>SUM(B229:B260)</f>
        <v>228696</v>
      </c>
      <c r="C227" s="264"/>
      <c r="D227" s="325">
        <f t="shared" ref="D227:I227" si="18">SUM(D229:D260)</f>
        <v>192046</v>
      </c>
      <c r="E227" s="325">
        <f t="shared" si="18"/>
        <v>67617</v>
      </c>
      <c r="F227" s="325">
        <f t="shared" si="18"/>
        <v>78768</v>
      </c>
      <c r="G227" s="325">
        <f t="shared" si="18"/>
        <v>20984</v>
      </c>
      <c r="H227" s="325">
        <f t="shared" si="18"/>
        <v>24677</v>
      </c>
      <c r="I227" s="325">
        <f t="shared" si="18"/>
        <v>36650</v>
      </c>
    </row>
    <row r="228" spans="1:9" s="263" customFormat="1" ht="3.95" customHeight="1" x14ac:dyDescent="0.25">
      <c r="A228" s="264"/>
      <c r="B228" s="325"/>
      <c r="C228" s="264"/>
      <c r="D228" s="325"/>
      <c r="E228" s="325"/>
      <c r="F228" s="325"/>
      <c r="G228" s="325"/>
      <c r="H228" s="325"/>
      <c r="I228" s="325"/>
    </row>
    <row r="229" spans="1:9" s="263" customFormat="1" ht="9" customHeight="1" x14ac:dyDescent="0.25">
      <c r="A229" s="263" t="s">
        <v>23</v>
      </c>
      <c r="B229" s="326">
        <f>SUM(D229+I229)</f>
        <v>2717</v>
      </c>
      <c r="D229" s="326">
        <f>SUM(E229:H229)</f>
        <v>2269</v>
      </c>
      <c r="E229" s="326">
        <v>946</v>
      </c>
      <c r="F229" s="326">
        <v>823</v>
      </c>
      <c r="G229" s="326">
        <v>257</v>
      </c>
      <c r="H229" s="266">
        <v>243</v>
      </c>
      <c r="I229" s="326">
        <v>448</v>
      </c>
    </row>
    <row r="230" spans="1:9" s="263" customFormat="1" ht="9" customHeight="1" x14ac:dyDescent="0.25">
      <c r="A230" s="263" t="s">
        <v>24</v>
      </c>
      <c r="B230" s="326">
        <f t="shared" ref="B230:B260" si="19">SUM(D230+I230)</f>
        <v>5679</v>
      </c>
      <c r="D230" s="326">
        <f t="shared" ref="D230:D260" si="20">SUM(E230:H230)</f>
        <v>4561</v>
      </c>
      <c r="E230" s="326">
        <v>1549</v>
      </c>
      <c r="F230" s="326">
        <v>2059</v>
      </c>
      <c r="G230" s="326">
        <v>514</v>
      </c>
      <c r="H230" s="266">
        <v>439</v>
      </c>
      <c r="I230" s="326">
        <v>1118</v>
      </c>
    </row>
    <row r="231" spans="1:9" s="263" customFormat="1" ht="9" customHeight="1" x14ac:dyDescent="0.25">
      <c r="A231" s="263" t="s">
        <v>25</v>
      </c>
      <c r="B231" s="326">
        <f t="shared" si="19"/>
        <v>1636</v>
      </c>
      <c r="D231" s="326">
        <f t="shared" si="20"/>
        <v>1381</v>
      </c>
      <c r="E231" s="326">
        <v>521</v>
      </c>
      <c r="F231" s="326">
        <v>658</v>
      </c>
      <c r="G231" s="326">
        <v>101</v>
      </c>
      <c r="H231" s="266">
        <v>101</v>
      </c>
      <c r="I231" s="326">
        <v>255</v>
      </c>
    </row>
    <row r="232" spans="1:9" s="263" customFormat="1" ht="9" customHeight="1" x14ac:dyDescent="0.25">
      <c r="A232" s="267" t="s">
        <v>26</v>
      </c>
      <c r="B232" s="328">
        <f t="shared" si="19"/>
        <v>1821</v>
      </c>
      <c r="C232" s="267"/>
      <c r="D232" s="328">
        <f t="shared" si="20"/>
        <v>1575</v>
      </c>
      <c r="E232" s="328">
        <v>659</v>
      </c>
      <c r="F232" s="328">
        <v>626</v>
      </c>
      <c r="G232" s="328">
        <v>118</v>
      </c>
      <c r="H232" s="268">
        <v>172</v>
      </c>
      <c r="I232" s="328">
        <v>246</v>
      </c>
    </row>
    <row r="233" spans="1:9" s="263" customFormat="1" ht="9" customHeight="1" x14ac:dyDescent="0.25">
      <c r="A233" s="263" t="s">
        <v>27</v>
      </c>
      <c r="B233" s="326">
        <f t="shared" si="19"/>
        <v>7293</v>
      </c>
      <c r="D233" s="326">
        <f t="shared" si="20"/>
        <v>6003</v>
      </c>
      <c r="E233" s="326">
        <v>1919</v>
      </c>
      <c r="F233" s="326">
        <v>2446</v>
      </c>
      <c r="G233" s="326">
        <v>799</v>
      </c>
      <c r="H233" s="266">
        <v>839</v>
      </c>
      <c r="I233" s="326">
        <v>1290</v>
      </c>
    </row>
    <row r="234" spans="1:9" s="263" customFormat="1" ht="9" customHeight="1" x14ac:dyDescent="0.25">
      <c r="A234" s="263" t="s">
        <v>28</v>
      </c>
      <c r="B234" s="326">
        <f t="shared" si="19"/>
        <v>1559</v>
      </c>
      <c r="D234" s="326">
        <f t="shared" si="20"/>
        <v>1309</v>
      </c>
      <c r="E234" s="326">
        <v>211</v>
      </c>
      <c r="F234" s="326">
        <v>772</v>
      </c>
      <c r="G234" s="326">
        <v>147</v>
      </c>
      <c r="H234" s="266">
        <v>179</v>
      </c>
      <c r="I234" s="326">
        <v>250</v>
      </c>
    </row>
    <row r="235" spans="1:9" s="263" customFormat="1" ht="9" customHeight="1" x14ac:dyDescent="0.25">
      <c r="A235" s="263" t="s">
        <v>29</v>
      </c>
      <c r="B235" s="326">
        <f t="shared" si="19"/>
        <v>5720</v>
      </c>
      <c r="D235" s="326">
        <f t="shared" si="20"/>
        <v>4887</v>
      </c>
      <c r="E235" s="326">
        <v>2521</v>
      </c>
      <c r="F235" s="326">
        <v>1562</v>
      </c>
      <c r="G235" s="326">
        <v>206</v>
      </c>
      <c r="H235" s="266">
        <v>598</v>
      </c>
      <c r="I235" s="326">
        <v>833</v>
      </c>
    </row>
    <row r="236" spans="1:9" s="263" customFormat="1" ht="9" customHeight="1" x14ac:dyDescent="0.25">
      <c r="A236" s="267" t="s">
        <v>30</v>
      </c>
      <c r="B236" s="328">
        <f t="shared" si="19"/>
        <v>6811</v>
      </c>
      <c r="C236" s="267"/>
      <c r="D236" s="328">
        <f t="shared" si="20"/>
        <v>5593</v>
      </c>
      <c r="E236" s="328">
        <v>2512</v>
      </c>
      <c r="F236" s="328">
        <v>1975</v>
      </c>
      <c r="G236" s="328">
        <v>522</v>
      </c>
      <c r="H236" s="268">
        <v>584</v>
      </c>
      <c r="I236" s="328">
        <v>1218</v>
      </c>
    </row>
    <row r="237" spans="1:9" s="263" customFormat="1" ht="9" customHeight="1" x14ac:dyDescent="0.25">
      <c r="A237" s="263" t="s">
        <v>63</v>
      </c>
      <c r="B237" s="326">
        <f t="shared" si="19"/>
        <v>50771</v>
      </c>
      <c r="D237" s="326">
        <f t="shared" si="20"/>
        <v>42050</v>
      </c>
      <c r="E237" s="326">
        <v>11961</v>
      </c>
      <c r="F237" s="326">
        <v>18194</v>
      </c>
      <c r="G237" s="326">
        <v>6777</v>
      </c>
      <c r="H237" s="266">
        <v>5118</v>
      </c>
      <c r="I237" s="326">
        <v>8721</v>
      </c>
    </row>
    <row r="238" spans="1:9" s="263" customFormat="1" ht="9" customHeight="1" x14ac:dyDescent="0.25">
      <c r="A238" s="263" t="s">
        <v>31</v>
      </c>
      <c r="B238" s="326">
        <f t="shared" si="19"/>
        <v>3677</v>
      </c>
      <c r="D238" s="326">
        <f t="shared" si="20"/>
        <v>3129</v>
      </c>
      <c r="E238" s="326">
        <v>1144</v>
      </c>
      <c r="F238" s="326">
        <v>1256</v>
      </c>
      <c r="G238" s="326">
        <v>332</v>
      </c>
      <c r="H238" s="266">
        <v>397</v>
      </c>
      <c r="I238" s="326">
        <v>548</v>
      </c>
    </row>
    <row r="239" spans="1:9" s="263" customFormat="1" ht="9" customHeight="1" x14ac:dyDescent="0.25">
      <c r="A239" s="263" t="s">
        <v>32</v>
      </c>
      <c r="B239" s="326">
        <f t="shared" si="19"/>
        <v>7407</v>
      </c>
      <c r="D239" s="326">
        <f t="shared" si="20"/>
        <v>6105</v>
      </c>
      <c r="E239" s="326">
        <v>2466</v>
      </c>
      <c r="F239" s="326">
        <v>2436</v>
      </c>
      <c r="G239" s="326">
        <v>584</v>
      </c>
      <c r="H239" s="266">
        <v>619</v>
      </c>
      <c r="I239" s="326">
        <v>1302</v>
      </c>
    </row>
    <row r="240" spans="1:9" s="263" customFormat="1" ht="9" customHeight="1" x14ac:dyDescent="0.25">
      <c r="A240" s="267" t="s">
        <v>33</v>
      </c>
      <c r="B240" s="328">
        <f t="shared" si="19"/>
        <v>5357</v>
      </c>
      <c r="C240" s="267"/>
      <c r="D240" s="328">
        <f t="shared" si="20"/>
        <v>4660</v>
      </c>
      <c r="E240" s="328">
        <v>1152</v>
      </c>
      <c r="F240" s="328">
        <v>2504</v>
      </c>
      <c r="G240" s="328">
        <v>445</v>
      </c>
      <c r="H240" s="268">
        <v>559</v>
      </c>
      <c r="I240" s="328">
        <v>697</v>
      </c>
    </row>
    <row r="241" spans="1:9" s="263" customFormat="1" ht="9" customHeight="1" x14ac:dyDescent="0.25">
      <c r="A241" s="263" t="s">
        <v>34</v>
      </c>
      <c r="B241" s="326">
        <f t="shared" si="19"/>
        <v>4159</v>
      </c>
      <c r="D241" s="326">
        <f t="shared" si="20"/>
        <v>3712</v>
      </c>
      <c r="E241" s="326">
        <v>1629</v>
      </c>
      <c r="F241" s="326">
        <v>1247</v>
      </c>
      <c r="G241" s="326">
        <v>295</v>
      </c>
      <c r="H241" s="266">
        <v>541</v>
      </c>
      <c r="I241" s="326">
        <v>447</v>
      </c>
    </row>
    <row r="242" spans="1:9" s="263" customFormat="1" ht="9" customHeight="1" x14ac:dyDescent="0.25">
      <c r="A242" s="263" t="s">
        <v>35</v>
      </c>
      <c r="B242" s="326">
        <f t="shared" si="19"/>
        <v>15289</v>
      </c>
      <c r="D242" s="326">
        <f t="shared" si="20"/>
        <v>12911</v>
      </c>
      <c r="E242" s="326">
        <v>4559</v>
      </c>
      <c r="F242" s="326">
        <v>5519</v>
      </c>
      <c r="G242" s="326">
        <v>1395</v>
      </c>
      <c r="H242" s="266">
        <v>1438</v>
      </c>
      <c r="I242" s="326">
        <v>2378</v>
      </c>
    </row>
    <row r="243" spans="1:9" s="263" customFormat="1" ht="9" customHeight="1" x14ac:dyDescent="0.25">
      <c r="A243" s="263" t="s">
        <v>36</v>
      </c>
      <c r="B243" s="326">
        <f t="shared" si="19"/>
        <v>18261</v>
      </c>
      <c r="D243" s="326">
        <f t="shared" si="20"/>
        <v>14619</v>
      </c>
      <c r="E243" s="326">
        <v>5296</v>
      </c>
      <c r="F243" s="326">
        <v>5501</v>
      </c>
      <c r="G243" s="326">
        <v>1162</v>
      </c>
      <c r="H243" s="266">
        <v>2660</v>
      </c>
      <c r="I243" s="326">
        <v>3642</v>
      </c>
    </row>
    <row r="244" spans="1:9" s="263" customFormat="1" ht="9" customHeight="1" x14ac:dyDescent="0.25">
      <c r="A244" s="267" t="s">
        <v>37</v>
      </c>
      <c r="B244" s="328">
        <f t="shared" si="19"/>
        <v>5892</v>
      </c>
      <c r="C244" s="267"/>
      <c r="D244" s="328">
        <f t="shared" si="20"/>
        <v>5249</v>
      </c>
      <c r="E244" s="328">
        <v>1338</v>
      </c>
      <c r="F244" s="328">
        <v>2621</v>
      </c>
      <c r="G244" s="328">
        <v>480</v>
      </c>
      <c r="H244" s="268">
        <v>810</v>
      </c>
      <c r="I244" s="328">
        <v>643</v>
      </c>
    </row>
    <row r="245" spans="1:9" s="263" customFormat="1" ht="9" customHeight="1" x14ac:dyDescent="0.25">
      <c r="A245" s="263" t="s">
        <v>38</v>
      </c>
      <c r="B245" s="326">
        <f t="shared" si="19"/>
        <v>3173</v>
      </c>
      <c r="D245" s="326">
        <f t="shared" si="20"/>
        <v>2723</v>
      </c>
      <c r="E245" s="326">
        <v>619</v>
      </c>
      <c r="F245" s="326">
        <v>1371</v>
      </c>
      <c r="G245" s="326">
        <v>293</v>
      </c>
      <c r="H245" s="266">
        <v>440</v>
      </c>
      <c r="I245" s="326">
        <v>450</v>
      </c>
    </row>
    <row r="246" spans="1:9" s="263" customFormat="1" ht="9" customHeight="1" x14ac:dyDescent="0.25">
      <c r="A246" s="263" t="s">
        <v>39</v>
      </c>
      <c r="B246" s="326">
        <f t="shared" si="19"/>
        <v>2239</v>
      </c>
      <c r="D246" s="326">
        <f t="shared" si="20"/>
        <v>1957</v>
      </c>
      <c r="E246" s="326">
        <v>574</v>
      </c>
      <c r="F246" s="326">
        <v>999</v>
      </c>
      <c r="G246" s="326">
        <v>238</v>
      </c>
      <c r="H246" s="266">
        <v>146</v>
      </c>
      <c r="I246" s="326">
        <v>282</v>
      </c>
    </row>
    <row r="247" spans="1:9" s="263" customFormat="1" ht="9" customHeight="1" x14ac:dyDescent="0.25">
      <c r="A247" s="263" t="s">
        <v>40</v>
      </c>
      <c r="B247" s="326">
        <f t="shared" si="19"/>
        <v>11284</v>
      </c>
      <c r="D247" s="326">
        <f t="shared" si="20"/>
        <v>9287</v>
      </c>
      <c r="E247" s="326">
        <v>2980</v>
      </c>
      <c r="F247" s="326">
        <v>3503</v>
      </c>
      <c r="G247" s="326">
        <v>1350</v>
      </c>
      <c r="H247" s="266">
        <v>1454</v>
      </c>
      <c r="I247" s="326">
        <v>1997</v>
      </c>
    </row>
    <row r="248" spans="1:9" s="263" customFormat="1" ht="9" customHeight="1" x14ac:dyDescent="0.25">
      <c r="A248" s="267" t="s">
        <v>41</v>
      </c>
      <c r="B248" s="328">
        <f t="shared" si="19"/>
        <v>5154</v>
      </c>
      <c r="C248" s="267"/>
      <c r="D248" s="328">
        <f t="shared" si="20"/>
        <v>4587</v>
      </c>
      <c r="E248" s="328">
        <v>1865</v>
      </c>
      <c r="F248" s="328">
        <v>1652</v>
      </c>
      <c r="G248" s="328">
        <v>342</v>
      </c>
      <c r="H248" s="268">
        <v>728</v>
      </c>
      <c r="I248" s="328">
        <v>567</v>
      </c>
    </row>
    <row r="249" spans="1:9" s="263" customFormat="1" ht="9" customHeight="1" x14ac:dyDescent="0.25">
      <c r="A249" s="263" t="s">
        <v>42</v>
      </c>
      <c r="B249" s="326">
        <f t="shared" si="19"/>
        <v>7837</v>
      </c>
      <c r="D249" s="326">
        <f t="shared" si="20"/>
        <v>6948</v>
      </c>
      <c r="E249" s="326">
        <v>2623</v>
      </c>
      <c r="F249" s="326">
        <v>2401</v>
      </c>
      <c r="G249" s="326">
        <v>720</v>
      </c>
      <c r="H249" s="266">
        <v>1204</v>
      </c>
      <c r="I249" s="326">
        <v>889</v>
      </c>
    </row>
    <row r="250" spans="1:9" s="263" customFormat="1" ht="9" customHeight="1" x14ac:dyDescent="0.25">
      <c r="A250" s="263" t="s">
        <v>43</v>
      </c>
      <c r="B250" s="326">
        <f t="shared" si="19"/>
        <v>2989</v>
      </c>
      <c r="D250" s="326">
        <f t="shared" si="20"/>
        <v>2474</v>
      </c>
      <c r="E250" s="326">
        <v>1067</v>
      </c>
      <c r="F250" s="326">
        <v>896</v>
      </c>
      <c r="G250" s="326">
        <v>281</v>
      </c>
      <c r="H250" s="266">
        <v>230</v>
      </c>
      <c r="I250" s="326">
        <v>515</v>
      </c>
    </row>
    <row r="251" spans="1:9" s="263" customFormat="1" ht="9" customHeight="1" x14ac:dyDescent="0.25">
      <c r="A251" s="263" t="s">
        <v>44</v>
      </c>
      <c r="B251" s="326">
        <f t="shared" si="19"/>
        <v>1975</v>
      </c>
      <c r="D251" s="326">
        <f t="shared" si="20"/>
        <v>1636</v>
      </c>
      <c r="E251" s="326">
        <v>682</v>
      </c>
      <c r="F251" s="326">
        <v>671</v>
      </c>
      <c r="G251" s="326">
        <v>127</v>
      </c>
      <c r="H251" s="266">
        <v>156</v>
      </c>
      <c r="I251" s="326">
        <v>339</v>
      </c>
    </row>
    <row r="252" spans="1:9" s="263" customFormat="1" ht="9" customHeight="1" x14ac:dyDescent="0.25">
      <c r="A252" s="267" t="s">
        <v>45</v>
      </c>
      <c r="B252" s="328">
        <f t="shared" si="19"/>
        <v>4134</v>
      </c>
      <c r="C252" s="267"/>
      <c r="D252" s="328">
        <f t="shared" si="20"/>
        <v>3576</v>
      </c>
      <c r="E252" s="328">
        <v>1615</v>
      </c>
      <c r="F252" s="328">
        <v>1332</v>
      </c>
      <c r="G252" s="328">
        <v>221</v>
      </c>
      <c r="H252" s="268">
        <v>408</v>
      </c>
      <c r="I252" s="328">
        <v>558</v>
      </c>
    </row>
    <row r="253" spans="1:9" s="263" customFormat="1" ht="9" customHeight="1" x14ac:dyDescent="0.25">
      <c r="A253" s="263" t="s">
        <v>46</v>
      </c>
      <c r="B253" s="326">
        <f t="shared" si="19"/>
        <v>6166</v>
      </c>
      <c r="D253" s="326">
        <f t="shared" si="20"/>
        <v>5131</v>
      </c>
      <c r="E253" s="326">
        <v>1739</v>
      </c>
      <c r="F253" s="326">
        <v>2225</v>
      </c>
      <c r="G253" s="326">
        <v>423</v>
      </c>
      <c r="H253" s="266">
        <v>744</v>
      </c>
      <c r="I253" s="326">
        <v>1035</v>
      </c>
    </row>
    <row r="254" spans="1:9" s="263" customFormat="1" ht="9" customHeight="1" x14ac:dyDescent="0.25">
      <c r="A254" s="263" t="s">
        <v>47</v>
      </c>
      <c r="B254" s="326">
        <f t="shared" si="19"/>
        <v>6238</v>
      </c>
      <c r="D254" s="326">
        <f t="shared" si="20"/>
        <v>5319</v>
      </c>
      <c r="E254" s="326">
        <v>2090</v>
      </c>
      <c r="F254" s="326">
        <v>2166</v>
      </c>
      <c r="G254" s="326">
        <v>447</v>
      </c>
      <c r="H254" s="266">
        <v>616</v>
      </c>
      <c r="I254" s="326">
        <v>919</v>
      </c>
    </row>
    <row r="255" spans="1:9" s="263" customFormat="1" ht="9" customHeight="1" x14ac:dyDescent="0.25">
      <c r="A255" s="263" t="s">
        <v>48</v>
      </c>
      <c r="B255" s="326">
        <f t="shared" si="19"/>
        <v>4889</v>
      </c>
      <c r="D255" s="326">
        <f t="shared" si="20"/>
        <v>4156</v>
      </c>
      <c r="E255" s="326">
        <v>2082</v>
      </c>
      <c r="F255" s="326">
        <v>1429</v>
      </c>
      <c r="G255" s="326">
        <v>265</v>
      </c>
      <c r="H255" s="266">
        <v>380</v>
      </c>
      <c r="I255" s="326">
        <v>733</v>
      </c>
    </row>
    <row r="256" spans="1:9" s="263" customFormat="1" ht="9" customHeight="1" x14ac:dyDescent="0.25">
      <c r="A256" s="267" t="s">
        <v>49</v>
      </c>
      <c r="B256" s="328">
        <f t="shared" si="19"/>
        <v>7544</v>
      </c>
      <c r="C256" s="267"/>
      <c r="D256" s="328">
        <f t="shared" si="20"/>
        <v>6332</v>
      </c>
      <c r="E256" s="328">
        <v>2143</v>
      </c>
      <c r="F256" s="328">
        <v>2795</v>
      </c>
      <c r="G256" s="328">
        <v>706</v>
      </c>
      <c r="H256" s="268">
        <v>688</v>
      </c>
      <c r="I256" s="328">
        <v>1212</v>
      </c>
    </row>
    <row r="257" spans="1:9" s="263" customFormat="1" ht="9" customHeight="1" x14ac:dyDescent="0.25">
      <c r="A257" s="263" t="s">
        <v>50</v>
      </c>
      <c r="B257" s="326">
        <f t="shared" si="19"/>
        <v>1897</v>
      </c>
      <c r="D257" s="326">
        <f t="shared" si="20"/>
        <v>1613</v>
      </c>
      <c r="E257" s="326">
        <v>474</v>
      </c>
      <c r="F257" s="326">
        <v>738</v>
      </c>
      <c r="G257" s="326">
        <v>118</v>
      </c>
      <c r="H257" s="266">
        <v>283</v>
      </c>
      <c r="I257" s="326">
        <v>284</v>
      </c>
    </row>
    <row r="258" spans="1:9" s="263" customFormat="1" ht="9" customHeight="1" x14ac:dyDescent="0.25">
      <c r="A258" s="263" t="s">
        <v>51</v>
      </c>
      <c r="B258" s="326">
        <f t="shared" si="19"/>
        <v>12462</v>
      </c>
      <c r="D258" s="326">
        <f t="shared" si="20"/>
        <v>10521</v>
      </c>
      <c r="E258" s="326">
        <v>4312</v>
      </c>
      <c r="F258" s="326">
        <v>4302</v>
      </c>
      <c r="G258" s="326">
        <v>818</v>
      </c>
      <c r="H258" s="266">
        <v>1089</v>
      </c>
      <c r="I258" s="326">
        <v>1941</v>
      </c>
    </row>
    <row r="259" spans="1:9" s="263" customFormat="1" ht="9" customHeight="1" x14ac:dyDescent="0.25">
      <c r="A259" s="263" t="s">
        <v>52</v>
      </c>
      <c r="B259" s="326">
        <f t="shared" si="19"/>
        <v>4260</v>
      </c>
      <c r="D259" s="326">
        <f t="shared" si="20"/>
        <v>3656</v>
      </c>
      <c r="E259" s="326">
        <v>1603</v>
      </c>
      <c r="F259" s="326">
        <v>1150</v>
      </c>
      <c r="G259" s="326">
        <v>359</v>
      </c>
      <c r="H259" s="266">
        <v>544</v>
      </c>
      <c r="I259" s="326">
        <v>604</v>
      </c>
    </row>
    <row r="260" spans="1:9" s="263" customFormat="1" ht="9" customHeight="1" x14ac:dyDescent="0.25">
      <c r="A260" s="267" t="s">
        <v>53</v>
      </c>
      <c r="B260" s="328">
        <f t="shared" si="19"/>
        <v>2406</v>
      </c>
      <c r="C260" s="267"/>
      <c r="D260" s="328">
        <f t="shared" si="20"/>
        <v>2117</v>
      </c>
      <c r="E260" s="328">
        <v>766</v>
      </c>
      <c r="F260" s="328">
        <v>939</v>
      </c>
      <c r="G260" s="328">
        <v>142</v>
      </c>
      <c r="H260" s="268">
        <v>270</v>
      </c>
      <c r="I260" s="328">
        <v>289</v>
      </c>
    </row>
    <row r="261" spans="1:9" s="263" customFormat="1" ht="9" customHeight="1" x14ac:dyDescent="0.25">
      <c r="D261" s="326"/>
      <c r="E261" s="326"/>
      <c r="F261" s="326"/>
      <c r="G261" s="326"/>
      <c r="H261" s="266"/>
      <c r="I261" s="289"/>
    </row>
    <row r="262" spans="1:9" s="263" customFormat="1" ht="9" customHeight="1" x14ac:dyDescent="0.25">
      <c r="A262" s="261">
        <v>2002</v>
      </c>
      <c r="B262" s="261"/>
      <c r="C262" s="261"/>
      <c r="D262" s="262"/>
      <c r="E262" s="262"/>
      <c r="F262" s="262"/>
      <c r="G262" s="262"/>
      <c r="H262" s="262"/>
      <c r="I262" s="271"/>
    </row>
    <row r="263" spans="1:9" s="263" customFormat="1" ht="9" customHeight="1" x14ac:dyDescent="0.25">
      <c r="A263" s="264" t="s">
        <v>21</v>
      </c>
      <c r="B263" s="325">
        <f>SUM(B265:B296)</f>
        <v>230664</v>
      </c>
      <c r="C263" s="264"/>
      <c r="D263" s="325">
        <f t="shared" ref="D263:I263" si="21">SUM(D265:D296)</f>
        <v>192828</v>
      </c>
      <c r="E263" s="325">
        <f t="shared" si="21"/>
        <v>67335</v>
      </c>
      <c r="F263" s="325">
        <f t="shared" si="21"/>
        <v>79816</v>
      </c>
      <c r="G263" s="325">
        <f t="shared" si="21"/>
        <v>20935</v>
      </c>
      <c r="H263" s="325">
        <f t="shared" si="21"/>
        <v>24742</v>
      </c>
      <c r="I263" s="325">
        <f t="shared" si="21"/>
        <v>37836</v>
      </c>
    </row>
    <row r="264" spans="1:9" s="263" customFormat="1" ht="3.95" customHeight="1" x14ac:dyDescent="0.25">
      <c r="A264" s="264"/>
      <c r="B264" s="325"/>
      <c r="C264" s="264"/>
      <c r="D264" s="325"/>
      <c r="E264" s="325"/>
      <c r="F264" s="325"/>
      <c r="G264" s="325"/>
      <c r="H264" s="325"/>
      <c r="I264" s="325"/>
    </row>
    <row r="265" spans="1:9" s="263" customFormat="1" ht="9" customHeight="1" x14ac:dyDescent="0.25">
      <c r="A265" s="263" t="s">
        <v>23</v>
      </c>
      <c r="B265" s="326">
        <f>SUM(D265+I265)</f>
        <v>2839</v>
      </c>
      <c r="D265" s="326">
        <f>SUM(E265:H265)</f>
        <v>2393</v>
      </c>
      <c r="E265" s="326">
        <v>945</v>
      </c>
      <c r="F265" s="326">
        <v>862</v>
      </c>
      <c r="G265" s="326">
        <v>259</v>
      </c>
      <c r="H265" s="266">
        <v>327</v>
      </c>
      <c r="I265" s="326">
        <v>446</v>
      </c>
    </row>
    <row r="266" spans="1:9" s="263" customFormat="1" ht="9" customHeight="1" x14ac:dyDescent="0.25">
      <c r="A266" s="263" t="s">
        <v>24</v>
      </c>
      <c r="B266" s="326">
        <f t="shared" ref="B266:B296" si="22">SUM(D266+I266)</f>
        <v>5775</v>
      </c>
      <c r="D266" s="326">
        <f t="shared" ref="D266:D296" si="23">SUM(E266:H266)</f>
        <v>4640</v>
      </c>
      <c r="E266" s="326">
        <v>1566</v>
      </c>
      <c r="F266" s="326">
        <v>2078</v>
      </c>
      <c r="G266" s="326">
        <v>502</v>
      </c>
      <c r="H266" s="266">
        <v>494</v>
      </c>
      <c r="I266" s="326">
        <v>1135</v>
      </c>
    </row>
    <row r="267" spans="1:9" s="263" customFormat="1" ht="9" customHeight="1" x14ac:dyDescent="0.25">
      <c r="A267" s="263" t="s">
        <v>25</v>
      </c>
      <c r="B267" s="326">
        <f t="shared" si="22"/>
        <v>1641</v>
      </c>
      <c r="D267" s="326">
        <f t="shared" si="23"/>
        <v>1379</v>
      </c>
      <c r="E267" s="326">
        <v>524</v>
      </c>
      <c r="F267" s="326">
        <v>644</v>
      </c>
      <c r="G267" s="326">
        <v>98</v>
      </c>
      <c r="H267" s="266">
        <v>113</v>
      </c>
      <c r="I267" s="326">
        <v>262</v>
      </c>
    </row>
    <row r="268" spans="1:9" s="263" customFormat="1" ht="9" customHeight="1" x14ac:dyDescent="0.25">
      <c r="A268" s="267" t="s">
        <v>26</v>
      </c>
      <c r="B268" s="328">
        <f t="shared" si="22"/>
        <v>1827</v>
      </c>
      <c r="C268" s="267"/>
      <c r="D268" s="328">
        <f t="shared" si="23"/>
        <v>1561</v>
      </c>
      <c r="E268" s="328">
        <v>646</v>
      </c>
      <c r="F268" s="328">
        <v>627</v>
      </c>
      <c r="G268" s="328">
        <v>120</v>
      </c>
      <c r="H268" s="268">
        <v>168</v>
      </c>
      <c r="I268" s="328">
        <v>266</v>
      </c>
    </row>
    <row r="269" spans="1:9" s="263" customFormat="1" ht="9" customHeight="1" x14ac:dyDescent="0.25">
      <c r="A269" s="263" t="s">
        <v>27</v>
      </c>
      <c r="B269" s="326">
        <f t="shared" si="22"/>
        <v>6980</v>
      </c>
      <c r="D269" s="326">
        <f t="shared" si="23"/>
        <v>5718</v>
      </c>
      <c r="E269" s="326">
        <v>1807</v>
      </c>
      <c r="F269" s="326">
        <v>2342</v>
      </c>
      <c r="G269" s="326">
        <v>705</v>
      </c>
      <c r="H269" s="266">
        <v>864</v>
      </c>
      <c r="I269" s="326">
        <v>1262</v>
      </c>
    </row>
    <row r="270" spans="1:9" s="263" customFormat="1" ht="9" customHeight="1" x14ac:dyDescent="0.25">
      <c r="A270" s="263" t="s">
        <v>28</v>
      </c>
      <c r="B270" s="326">
        <f t="shared" si="22"/>
        <v>1644</v>
      </c>
      <c r="D270" s="326">
        <f t="shared" si="23"/>
        <v>1414</v>
      </c>
      <c r="E270" s="326">
        <v>233</v>
      </c>
      <c r="F270" s="326">
        <v>837</v>
      </c>
      <c r="G270" s="326">
        <v>143</v>
      </c>
      <c r="H270" s="266">
        <v>201</v>
      </c>
      <c r="I270" s="326">
        <v>230</v>
      </c>
    </row>
    <row r="271" spans="1:9" s="263" customFormat="1" ht="9" customHeight="1" x14ac:dyDescent="0.25">
      <c r="A271" s="263" t="s">
        <v>29</v>
      </c>
      <c r="B271" s="326">
        <f t="shared" si="22"/>
        <v>5811</v>
      </c>
      <c r="D271" s="326">
        <f t="shared" si="23"/>
        <v>5017</v>
      </c>
      <c r="E271" s="326">
        <v>2525</v>
      </c>
      <c r="F271" s="326">
        <v>1617</v>
      </c>
      <c r="G271" s="326">
        <v>216</v>
      </c>
      <c r="H271" s="266">
        <v>659</v>
      </c>
      <c r="I271" s="326">
        <v>794</v>
      </c>
    </row>
    <row r="272" spans="1:9" s="263" customFormat="1" ht="9" customHeight="1" x14ac:dyDescent="0.25">
      <c r="A272" s="267" t="s">
        <v>30</v>
      </c>
      <c r="B272" s="328">
        <f t="shared" si="22"/>
        <v>6893</v>
      </c>
      <c r="C272" s="267"/>
      <c r="D272" s="328">
        <f t="shared" si="23"/>
        <v>5590</v>
      </c>
      <c r="E272" s="328">
        <v>2472</v>
      </c>
      <c r="F272" s="328">
        <v>2033</v>
      </c>
      <c r="G272" s="328">
        <v>511</v>
      </c>
      <c r="H272" s="268">
        <v>574</v>
      </c>
      <c r="I272" s="328">
        <v>1303</v>
      </c>
    </row>
    <row r="273" spans="1:9" s="263" customFormat="1" ht="9" customHeight="1" x14ac:dyDescent="0.25">
      <c r="A273" s="263" t="s">
        <v>63</v>
      </c>
      <c r="B273" s="326">
        <f t="shared" si="22"/>
        <v>50997</v>
      </c>
      <c r="D273" s="326">
        <f t="shared" si="23"/>
        <v>42048</v>
      </c>
      <c r="E273" s="326">
        <v>11716</v>
      </c>
      <c r="F273" s="326">
        <v>18434</v>
      </c>
      <c r="G273" s="326">
        <v>6738</v>
      </c>
      <c r="H273" s="266">
        <v>5160</v>
      </c>
      <c r="I273" s="326">
        <v>8949</v>
      </c>
    </row>
    <row r="274" spans="1:9" s="263" customFormat="1" ht="9" customHeight="1" x14ac:dyDescent="0.25">
      <c r="A274" s="263" t="s">
        <v>31</v>
      </c>
      <c r="B274" s="326">
        <f t="shared" si="22"/>
        <v>3780</v>
      </c>
      <c r="D274" s="326">
        <f t="shared" si="23"/>
        <v>3237</v>
      </c>
      <c r="E274" s="326">
        <v>1178</v>
      </c>
      <c r="F274" s="326">
        <v>1307</v>
      </c>
      <c r="G274" s="326">
        <v>418</v>
      </c>
      <c r="H274" s="266">
        <v>334</v>
      </c>
      <c r="I274" s="326">
        <v>543</v>
      </c>
    </row>
    <row r="275" spans="1:9" s="263" customFormat="1" ht="9" customHeight="1" x14ac:dyDescent="0.25">
      <c r="A275" s="263" t="s">
        <v>32</v>
      </c>
      <c r="B275" s="326">
        <f t="shared" si="22"/>
        <v>7604</v>
      </c>
      <c r="D275" s="326">
        <f t="shared" si="23"/>
        <v>6262</v>
      </c>
      <c r="E275" s="326">
        <v>2471</v>
      </c>
      <c r="F275" s="326">
        <v>2602</v>
      </c>
      <c r="G275" s="326">
        <v>585</v>
      </c>
      <c r="H275" s="266">
        <v>604</v>
      </c>
      <c r="I275" s="326">
        <v>1342</v>
      </c>
    </row>
    <row r="276" spans="1:9" s="263" customFormat="1" ht="9" customHeight="1" x14ac:dyDescent="0.25">
      <c r="A276" s="267" t="s">
        <v>33</v>
      </c>
      <c r="B276" s="328">
        <f t="shared" si="22"/>
        <v>5492</v>
      </c>
      <c r="C276" s="267"/>
      <c r="D276" s="328">
        <f t="shared" si="23"/>
        <v>4749</v>
      </c>
      <c r="E276" s="328">
        <v>1144</v>
      </c>
      <c r="F276" s="328">
        <v>2527</v>
      </c>
      <c r="G276" s="328">
        <v>469</v>
      </c>
      <c r="H276" s="268">
        <v>609</v>
      </c>
      <c r="I276" s="328">
        <v>743</v>
      </c>
    </row>
    <row r="277" spans="1:9" s="263" customFormat="1" ht="9" customHeight="1" x14ac:dyDescent="0.25">
      <c r="A277" s="263" t="s">
        <v>34</v>
      </c>
      <c r="B277" s="326">
        <f t="shared" si="22"/>
        <v>4211</v>
      </c>
      <c r="D277" s="326">
        <f t="shared" si="23"/>
        <v>3743</v>
      </c>
      <c r="E277" s="326">
        <v>1641</v>
      </c>
      <c r="F277" s="326">
        <v>1257</v>
      </c>
      <c r="G277" s="326">
        <v>290</v>
      </c>
      <c r="H277" s="266">
        <v>555</v>
      </c>
      <c r="I277" s="326">
        <v>468</v>
      </c>
    </row>
    <row r="278" spans="1:9" s="263" customFormat="1" ht="9" customHeight="1" x14ac:dyDescent="0.25">
      <c r="A278" s="263" t="s">
        <v>35</v>
      </c>
      <c r="B278" s="326">
        <f t="shared" si="22"/>
        <v>15361</v>
      </c>
      <c r="D278" s="326">
        <f t="shared" si="23"/>
        <v>12795</v>
      </c>
      <c r="E278" s="326">
        <v>4481</v>
      </c>
      <c r="F278" s="326">
        <v>5537</v>
      </c>
      <c r="G278" s="326">
        <v>1377</v>
      </c>
      <c r="H278" s="266">
        <v>1400</v>
      </c>
      <c r="I278" s="326">
        <v>2566</v>
      </c>
    </row>
    <row r="279" spans="1:9" s="263" customFormat="1" ht="9" customHeight="1" x14ac:dyDescent="0.25">
      <c r="A279" s="263" t="s">
        <v>36</v>
      </c>
      <c r="B279" s="326">
        <f t="shared" si="22"/>
        <v>18454</v>
      </c>
      <c r="D279" s="326">
        <f t="shared" si="23"/>
        <v>14689</v>
      </c>
      <c r="E279" s="326">
        <v>5431</v>
      </c>
      <c r="F279" s="326">
        <v>5516</v>
      </c>
      <c r="G279" s="326">
        <v>1167</v>
      </c>
      <c r="H279" s="266">
        <v>2575</v>
      </c>
      <c r="I279" s="326">
        <v>3765</v>
      </c>
    </row>
    <row r="280" spans="1:9" s="263" customFormat="1" ht="9" customHeight="1" x14ac:dyDescent="0.25">
      <c r="A280" s="267" t="s">
        <v>37</v>
      </c>
      <c r="B280" s="328">
        <f t="shared" si="22"/>
        <v>6135</v>
      </c>
      <c r="C280" s="267"/>
      <c r="D280" s="328">
        <f t="shared" si="23"/>
        <v>5394</v>
      </c>
      <c r="E280" s="328">
        <v>1376</v>
      </c>
      <c r="F280" s="328">
        <v>2714</v>
      </c>
      <c r="G280" s="328">
        <v>489</v>
      </c>
      <c r="H280" s="268">
        <v>815</v>
      </c>
      <c r="I280" s="328">
        <v>741</v>
      </c>
    </row>
    <row r="281" spans="1:9" s="263" customFormat="1" ht="9" customHeight="1" x14ac:dyDescent="0.25">
      <c r="A281" s="263" t="s">
        <v>38</v>
      </c>
      <c r="B281" s="326">
        <f t="shared" si="22"/>
        <v>3171</v>
      </c>
      <c r="D281" s="326">
        <f t="shared" si="23"/>
        <v>2714</v>
      </c>
      <c r="E281" s="326">
        <v>576</v>
      </c>
      <c r="F281" s="326">
        <v>1373</v>
      </c>
      <c r="G281" s="326">
        <v>345</v>
      </c>
      <c r="H281" s="266">
        <v>420</v>
      </c>
      <c r="I281" s="326">
        <v>457</v>
      </c>
    </row>
    <row r="282" spans="1:9" s="263" customFormat="1" ht="9" customHeight="1" x14ac:dyDescent="0.25">
      <c r="A282" s="263" t="s">
        <v>39</v>
      </c>
      <c r="B282" s="326">
        <f t="shared" si="22"/>
        <v>2249</v>
      </c>
      <c r="D282" s="326">
        <f t="shared" si="23"/>
        <v>1963</v>
      </c>
      <c r="E282" s="326">
        <v>506</v>
      </c>
      <c r="F282" s="326">
        <v>1056</v>
      </c>
      <c r="G282" s="326">
        <v>229</v>
      </c>
      <c r="H282" s="266">
        <v>172</v>
      </c>
      <c r="I282" s="326">
        <v>286</v>
      </c>
    </row>
    <row r="283" spans="1:9" s="263" customFormat="1" ht="9" customHeight="1" x14ac:dyDescent="0.25">
      <c r="A283" s="263" t="s">
        <v>40</v>
      </c>
      <c r="B283" s="326">
        <f t="shared" si="22"/>
        <v>9982</v>
      </c>
      <c r="D283" s="326">
        <f t="shared" si="23"/>
        <v>8175</v>
      </c>
      <c r="E283" s="326">
        <v>2813</v>
      </c>
      <c r="F283" s="326">
        <v>3106</v>
      </c>
      <c r="G283" s="326">
        <v>1187</v>
      </c>
      <c r="H283" s="266">
        <v>1069</v>
      </c>
      <c r="I283" s="326">
        <v>1807</v>
      </c>
    </row>
    <row r="284" spans="1:9" s="263" customFormat="1" ht="9" customHeight="1" x14ac:dyDescent="0.25">
      <c r="A284" s="267" t="s">
        <v>41</v>
      </c>
      <c r="B284" s="328">
        <f t="shared" si="22"/>
        <v>5260</v>
      </c>
      <c r="C284" s="267"/>
      <c r="D284" s="328">
        <f t="shared" si="23"/>
        <v>4631</v>
      </c>
      <c r="E284" s="328">
        <v>1938</v>
      </c>
      <c r="F284" s="328">
        <v>1609</v>
      </c>
      <c r="G284" s="328">
        <v>348</v>
      </c>
      <c r="H284" s="268">
        <v>736</v>
      </c>
      <c r="I284" s="328">
        <v>629</v>
      </c>
    </row>
    <row r="285" spans="1:9" s="263" customFormat="1" ht="9" customHeight="1" x14ac:dyDescent="0.25">
      <c r="A285" s="263" t="s">
        <v>42</v>
      </c>
      <c r="B285" s="326">
        <f t="shared" si="22"/>
        <v>8513</v>
      </c>
      <c r="D285" s="326">
        <f t="shared" si="23"/>
        <v>7209</v>
      </c>
      <c r="E285" s="326">
        <v>2709</v>
      </c>
      <c r="F285" s="326">
        <v>2565</v>
      </c>
      <c r="G285" s="326">
        <v>738</v>
      </c>
      <c r="H285" s="266">
        <v>1197</v>
      </c>
      <c r="I285" s="326">
        <v>1304</v>
      </c>
    </row>
    <row r="286" spans="1:9" s="263" customFormat="1" ht="9" customHeight="1" x14ac:dyDescent="0.25">
      <c r="A286" s="263" t="s">
        <v>43</v>
      </c>
      <c r="B286" s="326">
        <f t="shared" si="22"/>
        <v>3021</v>
      </c>
      <c r="D286" s="326">
        <f t="shared" si="23"/>
        <v>2490</v>
      </c>
      <c r="E286" s="326">
        <v>1026</v>
      </c>
      <c r="F286" s="326">
        <v>984</v>
      </c>
      <c r="G286" s="326">
        <v>257</v>
      </c>
      <c r="H286" s="266">
        <v>223</v>
      </c>
      <c r="I286" s="326">
        <v>531</v>
      </c>
    </row>
    <row r="287" spans="1:9" s="263" customFormat="1" ht="9" customHeight="1" x14ac:dyDescent="0.25">
      <c r="A287" s="263" t="s">
        <v>44</v>
      </c>
      <c r="B287" s="326">
        <f t="shared" si="22"/>
        <v>1974</v>
      </c>
      <c r="D287" s="326">
        <f t="shared" si="23"/>
        <v>1655</v>
      </c>
      <c r="E287" s="326">
        <v>670</v>
      </c>
      <c r="F287" s="326">
        <v>683</v>
      </c>
      <c r="G287" s="326">
        <v>141</v>
      </c>
      <c r="H287" s="266">
        <v>161</v>
      </c>
      <c r="I287" s="326">
        <v>319</v>
      </c>
    </row>
    <row r="288" spans="1:9" s="263" customFormat="1" ht="9" customHeight="1" x14ac:dyDescent="0.25">
      <c r="A288" s="267" t="s">
        <v>45</v>
      </c>
      <c r="B288" s="328">
        <f t="shared" si="22"/>
        <v>4450</v>
      </c>
      <c r="C288" s="267"/>
      <c r="D288" s="328">
        <f t="shared" si="23"/>
        <v>3831</v>
      </c>
      <c r="E288" s="328">
        <v>1583</v>
      </c>
      <c r="F288" s="328">
        <v>1474</v>
      </c>
      <c r="G288" s="328">
        <v>251</v>
      </c>
      <c r="H288" s="268">
        <v>523</v>
      </c>
      <c r="I288" s="328">
        <v>619</v>
      </c>
    </row>
    <row r="289" spans="1:11" s="263" customFormat="1" ht="9" customHeight="1" x14ac:dyDescent="0.25">
      <c r="A289" s="263" t="s">
        <v>46</v>
      </c>
      <c r="B289" s="326">
        <f t="shared" si="22"/>
        <v>6034</v>
      </c>
      <c r="D289" s="326">
        <f t="shared" si="23"/>
        <v>5046</v>
      </c>
      <c r="E289" s="326">
        <v>1697</v>
      </c>
      <c r="F289" s="326">
        <v>2179</v>
      </c>
      <c r="G289" s="326">
        <v>414</v>
      </c>
      <c r="H289" s="266">
        <v>756</v>
      </c>
      <c r="I289" s="326">
        <v>988</v>
      </c>
    </row>
    <row r="290" spans="1:11" s="263" customFormat="1" ht="9" customHeight="1" x14ac:dyDescent="0.25">
      <c r="A290" s="263" t="s">
        <v>47</v>
      </c>
      <c r="B290" s="326">
        <f t="shared" si="22"/>
        <v>6451</v>
      </c>
      <c r="D290" s="326">
        <f t="shared" si="23"/>
        <v>5499</v>
      </c>
      <c r="E290" s="326">
        <v>2165</v>
      </c>
      <c r="F290" s="326">
        <v>2200</v>
      </c>
      <c r="G290" s="326">
        <v>459</v>
      </c>
      <c r="H290" s="266">
        <v>675</v>
      </c>
      <c r="I290" s="326">
        <v>952</v>
      </c>
    </row>
    <row r="291" spans="1:11" s="263" customFormat="1" ht="9" customHeight="1" x14ac:dyDescent="0.25">
      <c r="A291" s="263" t="s">
        <v>48</v>
      </c>
      <c r="B291" s="326">
        <f t="shared" si="22"/>
        <v>4967</v>
      </c>
      <c r="D291" s="326">
        <f t="shared" si="23"/>
        <v>4225</v>
      </c>
      <c r="E291" s="326">
        <v>2017</v>
      </c>
      <c r="F291" s="326">
        <v>1532</v>
      </c>
      <c r="G291" s="326">
        <v>285</v>
      </c>
      <c r="H291" s="266">
        <v>391</v>
      </c>
      <c r="I291" s="326">
        <v>742</v>
      </c>
    </row>
    <row r="292" spans="1:11" s="263" customFormat="1" ht="9" customHeight="1" x14ac:dyDescent="0.25">
      <c r="A292" s="267" t="s">
        <v>49</v>
      </c>
      <c r="B292" s="328">
        <f t="shared" si="22"/>
        <v>7652</v>
      </c>
      <c r="C292" s="267"/>
      <c r="D292" s="328">
        <f t="shared" si="23"/>
        <v>6408</v>
      </c>
      <c r="E292" s="328">
        <v>2248</v>
      </c>
      <c r="F292" s="328">
        <v>2775</v>
      </c>
      <c r="G292" s="328">
        <v>680</v>
      </c>
      <c r="H292" s="268">
        <v>705</v>
      </c>
      <c r="I292" s="328">
        <v>1244</v>
      </c>
    </row>
    <row r="293" spans="1:11" s="263" customFormat="1" ht="9" customHeight="1" x14ac:dyDescent="0.25">
      <c r="A293" s="263" t="s">
        <v>50</v>
      </c>
      <c r="B293" s="326">
        <f t="shared" si="22"/>
        <v>1904</v>
      </c>
      <c r="D293" s="326">
        <f t="shared" si="23"/>
        <v>1640</v>
      </c>
      <c r="E293" s="326">
        <v>452</v>
      </c>
      <c r="F293" s="326">
        <v>776</v>
      </c>
      <c r="G293" s="326">
        <v>138</v>
      </c>
      <c r="H293" s="266">
        <v>274</v>
      </c>
      <c r="I293" s="326">
        <v>264</v>
      </c>
    </row>
    <row r="294" spans="1:11" s="263" customFormat="1" ht="9" customHeight="1" x14ac:dyDescent="0.25">
      <c r="A294" s="263" t="s">
        <v>51</v>
      </c>
      <c r="B294" s="326">
        <f t="shared" si="22"/>
        <v>12765</v>
      </c>
      <c r="D294" s="326">
        <f t="shared" si="23"/>
        <v>10825</v>
      </c>
      <c r="E294" s="326">
        <v>4382</v>
      </c>
      <c r="F294" s="326">
        <v>4467</v>
      </c>
      <c r="G294" s="326">
        <v>845</v>
      </c>
      <c r="H294" s="266">
        <v>1131</v>
      </c>
      <c r="I294" s="326">
        <v>1940</v>
      </c>
    </row>
    <row r="295" spans="1:11" s="263" customFormat="1" ht="9" customHeight="1" x14ac:dyDescent="0.25">
      <c r="A295" s="263" t="s">
        <v>52</v>
      </c>
      <c r="B295" s="326">
        <f t="shared" si="22"/>
        <v>4281</v>
      </c>
      <c r="D295" s="326">
        <f t="shared" si="23"/>
        <v>3655</v>
      </c>
      <c r="E295" s="326">
        <v>1597</v>
      </c>
      <c r="F295" s="326">
        <v>1161</v>
      </c>
      <c r="G295" s="326">
        <v>364</v>
      </c>
      <c r="H295" s="266">
        <v>533</v>
      </c>
      <c r="I295" s="326">
        <v>626</v>
      </c>
    </row>
    <row r="296" spans="1:11" s="263" customFormat="1" ht="9" customHeight="1" x14ac:dyDescent="0.25">
      <c r="A296" s="267" t="s">
        <v>53</v>
      </c>
      <c r="B296" s="328">
        <f t="shared" si="22"/>
        <v>2546</v>
      </c>
      <c r="C296" s="267"/>
      <c r="D296" s="328">
        <f t="shared" si="23"/>
        <v>2233</v>
      </c>
      <c r="E296" s="328">
        <v>800</v>
      </c>
      <c r="F296" s="328">
        <v>942</v>
      </c>
      <c r="G296" s="328">
        <v>167</v>
      </c>
      <c r="H296" s="268">
        <v>324</v>
      </c>
      <c r="I296" s="328">
        <v>313</v>
      </c>
    </row>
    <row r="297" spans="1:11" s="263" customFormat="1" ht="9" customHeight="1" x14ac:dyDescent="0.25">
      <c r="D297" s="326"/>
      <c r="E297" s="326"/>
      <c r="F297" s="326"/>
      <c r="G297" s="326"/>
      <c r="H297" s="266"/>
      <c r="I297" s="289"/>
    </row>
    <row r="298" spans="1:11" s="263" customFormat="1" ht="9" customHeight="1" x14ac:dyDescent="0.25">
      <c r="A298" s="261">
        <v>2003</v>
      </c>
      <c r="B298" s="261"/>
      <c r="C298" s="261"/>
      <c r="D298" s="262"/>
      <c r="E298" s="271"/>
      <c r="F298" s="271"/>
      <c r="G298" s="271"/>
      <c r="H298" s="271"/>
      <c r="I298" s="271"/>
    </row>
    <row r="299" spans="1:11" s="263" customFormat="1" ht="9" customHeight="1" x14ac:dyDescent="0.25">
      <c r="A299" s="264" t="s">
        <v>21</v>
      </c>
      <c r="B299" s="325">
        <f>SUM(B301:B332)</f>
        <v>298788</v>
      </c>
      <c r="C299" s="264"/>
      <c r="D299" s="325">
        <f t="shared" ref="D299:I299" si="24">SUM(D301:D332)</f>
        <v>189747</v>
      </c>
      <c r="E299" s="325">
        <f t="shared" si="24"/>
        <v>65440</v>
      </c>
      <c r="F299" s="325">
        <f t="shared" si="24"/>
        <v>79369</v>
      </c>
      <c r="G299" s="325">
        <f t="shared" si="24"/>
        <v>21215</v>
      </c>
      <c r="H299" s="325">
        <f t="shared" si="24"/>
        <v>23723</v>
      </c>
      <c r="I299" s="325">
        <f t="shared" si="24"/>
        <v>109041</v>
      </c>
    </row>
    <row r="300" spans="1:11" s="263" customFormat="1" ht="3.95" customHeight="1" x14ac:dyDescent="0.25">
      <c r="A300" s="264"/>
      <c r="B300" s="325"/>
      <c r="C300" s="264"/>
      <c r="D300" s="325"/>
      <c r="E300" s="325"/>
      <c r="F300" s="325"/>
      <c r="G300" s="325"/>
      <c r="H300" s="325"/>
      <c r="I300" s="325"/>
    </row>
    <row r="301" spans="1:11" s="263" customFormat="1" ht="9" customHeight="1" x14ac:dyDescent="0.25">
      <c r="A301" s="263" t="s">
        <v>23</v>
      </c>
      <c r="B301" s="326">
        <f>SUM(D301,I301)</f>
        <v>3832</v>
      </c>
      <c r="D301" s="326">
        <f>SUM(E301:H301)</f>
        <v>2419</v>
      </c>
      <c r="E301" s="326">
        <v>921</v>
      </c>
      <c r="F301" s="326">
        <v>921</v>
      </c>
      <c r="G301" s="326">
        <v>258</v>
      </c>
      <c r="H301" s="266">
        <v>319</v>
      </c>
      <c r="I301" s="326">
        <v>1413</v>
      </c>
      <c r="K301" s="326"/>
    </row>
    <row r="302" spans="1:11" s="263" customFormat="1" ht="9" customHeight="1" x14ac:dyDescent="0.25">
      <c r="A302" s="263" t="s">
        <v>24</v>
      </c>
      <c r="B302" s="326">
        <f t="shared" ref="B302:B332" si="25">SUM(D302,I302)</f>
        <v>6493</v>
      </c>
      <c r="D302" s="326">
        <f>SUM(E302:H302)</f>
        <v>4703</v>
      </c>
      <c r="E302" s="326">
        <v>1554</v>
      </c>
      <c r="F302" s="326">
        <v>2137</v>
      </c>
      <c r="G302" s="326">
        <v>518</v>
      </c>
      <c r="H302" s="266">
        <v>494</v>
      </c>
      <c r="I302" s="326">
        <v>1790</v>
      </c>
      <c r="K302" s="326"/>
    </row>
    <row r="303" spans="1:11" s="263" customFormat="1" ht="9" customHeight="1" x14ac:dyDescent="0.25">
      <c r="A303" s="263" t="s">
        <v>25</v>
      </c>
      <c r="B303" s="326">
        <f t="shared" si="25"/>
        <v>2463</v>
      </c>
      <c r="D303" s="326">
        <f t="shared" ref="D303:D332" si="26">SUM(E303:H303)</f>
        <v>1427</v>
      </c>
      <c r="E303" s="326">
        <v>538</v>
      </c>
      <c r="F303" s="326">
        <v>667</v>
      </c>
      <c r="G303" s="326">
        <v>96</v>
      </c>
      <c r="H303" s="266">
        <v>126</v>
      </c>
      <c r="I303" s="326">
        <v>1036</v>
      </c>
      <c r="K303" s="326"/>
    </row>
    <row r="304" spans="1:11" s="263" customFormat="1" ht="9" customHeight="1" x14ac:dyDescent="0.25">
      <c r="A304" s="267" t="s">
        <v>26</v>
      </c>
      <c r="B304" s="328">
        <f t="shared" si="25"/>
        <v>2666</v>
      </c>
      <c r="C304" s="267"/>
      <c r="D304" s="328">
        <f t="shared" si="26"/>
        <v>1678</v>
      </c>
      <c r="E304" s="328">
        <v>706</v>
      </c>
      <c r="F304" s="328">
        <v>679</v>
      </c>
      <c r="G304" s="328">
        <v>120</v>
      </c>
      <c r="H304" s="268">
        <v>173</v>
      </c>
      <c r="I304" s="328">
        <v>988</v>
      </c>
      <c r="K304" s="326"/>
    </row>
    <row r="305" spans="1:11" s="263" customFormat="1" ht="9" customHeight="1" x14ac:dyDescent="0.25">
      <c r="A305" s="263" t="s">
        <v>27</v>
      </c>
      <c r="B305" s="326">
        <f t="shared" si="25"/>
        <v>7799</v>
      </c>
      <c r="D305" s="326">
        <f t="shared" si="26"/>
        <v>5705</v>
      </c>
      <c r="E305" s="326">
        <v>1745</v>
      </c>
      <c r="F305" s="326">
        <v>2394</v>
      </c>
      <c r="G305" s="326">
        <v>726</v>
      </c>
      <c r="H305" s="266">
        <v>840</v>
      </c>
      <c r="I305" s="326">
        <v>2094</v>
      </c>
      <c r="K305" s="326"/>
    </row>
    <row r="306" spans="1:11" s="263" customFormat="1" ht="9" customHeight="1" x14ac:dyDescent="0.25">
      <c r="A306" s="263" t="s">
        <v>28</v>
      </c>
      <c r="B306" s="326">
        <f t="shared" si="25"/>
        <v>2243</v>
      </c>
      <c r="D306" s="326">
        <f t="shared" si="26"/>
        <v>1502</v>
      </c>
      <c r="E306" s="326">
        <v>260</v>
      </c>
      <c r="F306" s="326">
        <v>883</v>
      </c>
      <c r="G306" s="326">
        <v>147</v>
      </c>
      <c r="H306" s="266">
        <v>212</v>
      </c>
      <c r="I306" s="326">
        <v>741</v>
      </c>
      <c r="K306" s="326"/>
    </row>
    <row r="307" spans="1:11" s="263" customFormat="1" ht="9" customHeight="1" x14ac:dyDescent="0.25">
      <c r="A307" s="263" t="s">
        <v>29</v>
      </c>
      <c r="B307" s="326">
        <f t="shared" si="25"/>
        <v>7668</v>
      </c>
      <c r="D307" s="326">
        <f t="shared" si="26"/>
        <v>5059</v>
      </c>
      <c r="E307" s="326">
        <v>2505</v>
      </c>
      <c r="F307" s="326">
        <v>1666</v>
      </c>
      <c r="G307" s="326">
        <v>229</v>
      </c>
      <c r="H307" s="266">
        <v>659</v>
      </c>
      <c r="I307" s="326">
        <v>2609</v>
      </c>
      <c r="K307" s="326"/>
    </row>
    <row r="308" spans="1:11" s="263" customFormat="1" ht="9" customHeight="1" x14ac:dyDescent="0.25">
      <c r="A308" s="267" t="s">
        <v>30</v>
      </c>
      <c r="B308" s="328">
        <f t="shared" si="25"/>
        <v>8207</v>
      </c>
      <c r="C308" s="267"/>
      <c r="D308" s="328">
        <f t="shared" si="26"/>
        <v>5670</v>
      </c>
      <c r="E308" s="328">
        <v>2469</v>
      </c>
      <c r="F308" s="328">
        <v>2115</v>
      </c>
      <c r="G308" s="328">
        <v>522</v>
      </c>
      <c r="H308" s="268">
        <v>564</v>
      </c>
      <c r="I308" s="328">
        <v>2537</v>
      </c>
      <c r="K308" s="326"/>
    </row>
    <row r="309" spans="1:11" s="263" customFormat="1" ht="9" customHeight="1" x14ac:dyDescent="0.25">
      <c r="A309" s="263" t="s">
        <v>63</v>
      </c>
      <c r="B309" s="326">
        <f t="shared" si="25"/>
        <v>73514</v>
      </c>
      <c r="D309" s="326">
        <f t="shared" si="26"/>
        <v>41461</v>
      </c>
      <c r="E309" s="326">
        <v>11245</v>
      </c>
      <c r="F309" s="326">
        <v>18506</v>
      </c>
      <c r="G309" s="326">
        <v>6824</v>
      </c>
      <c r="H309" s="266">
        <v>4886</v>
      </c>
      <c r="I309" s="326">
        <v>32053</v>
      </c>
      <c r="K309" s="326"/>
    </row>
    <row r="310" spans="1:11" s="263" customFormat="1" ht="9" customHeight="1" x14ac:dyDescent="0.25">
      <c r="A310" s="263" t="s">
        <v>31</v>
      </c>
      <c r="B310" s="326">
        <f t="shared" si="25"/>
        <v>4881</v>
      </c>
      <c r="D310" s="326">
        <f t="shared" si="26"/>
        <v>3265</v>
      </c>
      <c r="E310" s="326">
        <v>1180</v>
      </c>
      <c r="F310" s="326">
        <v>1324</v>
      </c>
      <c r="G310" s="326">
        <v>425</v>
      </c>
      <c r="H310" s="266">
        <v>336</v>
      </c>
      <c r="I310" s="326">
        <v>1616</v>
      </c>
      <c r="K310" s="326"/>
    </row>
    <row r="311" spans="1:11" s="263" customFormat="1" ht="9" customHeight="1" x14ac:dyDescent="0.25">
      <c r="A311" s="263" t="s">
        <v>32</v>
      </c>
      <c r="B311" s="326">
        <f t="shared" si="25"/>
        <v>9379</v>
      </c>
      <c r="D311" s="326">
        <f t="shared" si="26"/>
        <v>6444</v>
      </c>
      <c r="E311" s="326">
        <v>2326</v>
      </c>
      <c r="F311" s="326">
        <v>2864</v>
      </c>
      <c r="G311" s="326">
        <v>657</v>
      </c>
      <c r="H311" s="266">
        <v>597</v>
      </c>
      <c r="I311" s="326">
        <v>2935</v>
      </c>
      <c r="K311" s="326"/>
    </row>
    <row r="312" spans="1:11" s="263" customFormat="1" ht="9" customHeight="1" x14ac:dyDescent="0.25">
      <c r="A312" s="267" t="s">
        <v>33</v>
      </c>
      <c r="B312" s="328">
        <f t="shared" si="25"/>
        <v>6597</v>
      </c>
      <c r="C312" s="267"/>
      <c r="D312" s="328">
        <f t="shared" si="26"/>
        <v>4215</v>
      </c>
      <c r="E312" s="328">
        <v>991</v>
      </c>
      <c r="F312" s="328">
        <v>2235</v>
      </c>
      <c r="G312" s="328">
        <v>424</v>
      </c>
      <c r="H312" s="268">
        <v>565</v>
      </c>
      <c r="I312" s="328">
        <v>2382</v>
      </c>
      <c r="K312" s="326"/>
    </row>
    <row r="313" spans="1:11" s="263" customFormat="1" ht="9" customHeight="1" x14ac:dyDescent="0.25">
      <c r="A313" s="263" t="s">
        <v>34</v>
      </c>
      <c r="B313" s="326">
        <f t="shared" si="25"/>
        <v>4833</v>
      </c>
      <c r="D313" s="326">
        <f t="shared" si="26"/>
        <v>3240</v>
      </c>
      <c r="E313" s="326">
        <v>1432</v>
      </c>
      <c r="F313" s="326">
        <v>1117</v>
      </c>
      <c r="G313" s="326">
        <v>265</v>
      </c>
      <c r="H313" s="266">
        <v>426</v>
      </c>
      <c r="I313" s="326">
        <v>1593</v>
      </c>
      <c r="K313" s="326"/>
    </row>
    <row r="314" spans="1:11" s="263" customFormat="1" ht="9" customHeight="1" x14ac:dyDescent="0.25">
      <c r="A314" s="263" t="s">
        <v>35</v>
      </c>
      <c r="B314" s="326">
        <f t="shared" si="25"/>
        <v>19358</v>
      </c>
      <c r="D314" s="326">
        <f t="shared" si="26"/>
        <v>12881</v>
      </c>
      <c r="E314" s="326">
        <v>4530</v>
      </c>
      <c r="F314" s="326">
        <v>5603</v>
      </c>
      <c r="G314" s="326">
        <v>1352</v>
      </c>
      <c r="H314" s="266">
        <v>1396</v>
      </c>
      <c r="I314" s="326">
        <v>6477</v>
      </c>
      <c r="K314" s="326"/>
    </row>
    <row r="315" spans="1:11" s="263" customFormat="1" ht="9" customHeight="1" x14ac:dyDescent="0.25">
      <c r="A315" s="263" t="s">
        <v>36</v>
      </c>
      <c r="B315" s="326">
        <f t="shared" si="25"/>
        <v>26230</v>
      </c>
      <c r="D315" s="326">
        <f t="shared" si="26"/>
        <v>14844</v>
      </c>
      <c r="E315" s="326">
        <v>5331</v>
      </c>
      <c r="F315" s="326">
        <v>5634</v>
      </c>
      <c r="G315" s="326">
        <v>1396</v>
      </c>
      <c r="H315" s="266">
        <v>2483</v>
      </c>
      <c r="I315" s="326">
        <v>11386</v>
      </c>
      <c r="K315" s="326"/>
    </row>
    <row r="316" spans="1:11" s="263" customFormat="1" ht="9" customHeight="1" x14ac:dyDescent="0.25">
      <c r="A316" s="267" t="s">
        <v>37</v>
      </c>
      <c r="B316" s="328">
        <f t="shared" si="25"/>
        <v>5468</v>
      </c>
      <c r="C316" s="267"/>
      <c r="D316" s="328">
        <f t="shared" si="26"/>
        <v>3897</v>
      </c>
      <c r="E316" s="328">
        <v>1234</v>
      </c>
      <c r="F316" s="328">
        <v>1812</v>
      </c>
      <c r="G316" s="328">
        <v>370</v>
      </c>
      <c r="H316" s="268">
        <v>481</v>
      </c>
      <c r="I316" s="328">
        <v>1571</v>
      </c>
      <c r="K316" s="326"/>
    </row>
    <row r="317" spans="1:11" s="263" customFormat="1" ht="9" customHeight="1" x14ac:dyDescent="0.25">
      <c r="A317" s="263" t="s">
        <v>38</v>
      </c>
      <c r="B317" s="326">
        <f t="shared" si="25"/>
        <v>4278</v>
      </c>
      <c r="D317" s="326">
        <f t="shared" si="26"/>
        <v>2819</v>
      </c>
      <c r="E317" s="326">
        <v>631</v>
      </c>
      <c r="F317" s="326">
        <v>1421</v>
      </c>
      <c r="G317" s="326">
        <v>353</v>
      </c>
      <c r="H317" s="266">
        <v>414</v>
      </c>
      <c r="I317" s="326">
        <v>1459</v>
      </c>
      <c r="K317" s="326"/>
    </row>
    <row r="318" spans="1:11" s="263" customFormat="1" ht="9" customHeight="1" x14ac:dyDescent="0.25">
      <c r="A318" s="263" t="s">
        <v>39</v>
      </c>
      <c r="B318" s="326">
        <f t="shared" si="25"/>
        <v>2791</v>
      </c>
      <c r="D318" s="326">
        <f t="shared" si="26"/>
        <v>1966</v>
      </c>
      <c r="E318" s="326">
        <v>498</v>
      </c>
      <c r="F318" s="326">
        <v>1033</v>
      </c>
      <c r="G318" s="326">
        <v>228</v>
      </c>
      <c r="H318" s="266">
        <v>207</v>
      </c>
      <c r="I318" s="326">
        <v>825</v>
      </c>
      <c r="K318" s="326"/>
    </row>
    <row r="319" spans="1:11" s="263" customFormat="1" ht="9" customHeight="1" x14ac:dyDescent="0.25">
      <c r="A319" s="263" t="s">
        <v>40</v>
      </c>
      <c r="B319" s="326">
        <f t="shared" si="25"/>
        <v>11405</v>
      </c>
      <c r="D319" s="326">
        <f t="shared" si="26"/>
        <v>8277</v>
      </c>
      <c r="E319" s="326">
        <v>2790</v>
      </c>
      <c r="F319" s="326">
        <v>3201</v>
      </c>
      <c r="G319" s="326">
        <v>1223</v>
      </c>
      <c r="H319" s="266">
        <v>1063</v>
      </c>
      <c r="I319" s="326">
        <v>3128</v>
      </c>
      <c r="K319" s="326"/>
    </row>
    <row r="320" spans="1:11" s="263" customFormat="1" ht="9" customHeight="1" x14ac:dyDescent="0.25">
      <c r="A320" s="267" t="s">
        <v>41</v>
      </c>
      <c r="B320" s="328">
        <f t="shared" si="25"/>
        <v>7163</v>
      </c>
      <c r="C320" s="267"/>
      <c r="D320" s="328">
        <f t="shared" si="26"/>
        <v>4789</v>
      </c>
      <c r="E320" s="328">
        <v>1956</v>
      </c>
      <c r="F320" s="328">
        <v>1678</v>
      </c>
      <c r="G320" s="328">
        <v>386</v>
      </c>
      <c r="H320" s="268">
        <v>769</v>
      </c>
      <c r="I320" s="328">
        <v>2374</v>
      </c>
      <c r="K320" s="326"/>
    </row>
    <row r="321" spans="1:11" s="263" customFormat="1" ht="9" customHeight="1" x14ac:dyDescent="0.25">
      <c r="A321" s="263" t="s">
        <v>42</v>
      </c>
      <c r="B321" s="326">
        <f t="shared" si="25"/>
        <v>9935</v>
      </c>
      <c r="D321" s="326">
        <f t="shared" si="26"/>
        <v>7047</v>
      </c>
      <c r="E321" s="326">
        <v>2685</v>
      </c>
      <c r="F321" s="326">
        <v>2511</v>
      </c>
      <c r="G321" s="326">
        <v>602</v>
      </c>
      <c r="H321" s="266">
        <v>1249</v>
      </c>
      <c r="I321" s="326">
        <v>2888</v>
      </c>
      <c r="K321" s="326"/>
    </row>
    <row r="322" spans="1:11" s="263" customFormat="1" ht="9" customHeight="1" x14ac:dyDescent="0.25">
      <c r="A322" s="263" t="s">
        <v>43</v>
      </c>
      <c r="B322" s="326">
        <f t="shared" si="25"/>
        <v>3474</v>
      </c>
      <c r="D322" s="326">
        <f t="shared" si="26"/>
        <v>2339</v>
      </c>
      <c r="E322" s="326">
        <v>958</v>
      </c>
      <c r="F322" s="326">
        <v>912</v>
      </c>
      <c r="G322" s="326">
        <v>241</v>
      </c>
      <c r="H322" s="266">
        <v>228</v>
      </c>
      <c r="I322" s="326">
        <v>1135</v>
      </c>
      <c r="K322" s="326"/>
    </row>
    <row r="323" spans="1:11" s="263" customFormat="1" ht="9" customHeight="1" x14ac:dyDescent="0.25">
      <c r="A323" s="263" t="s">
        <v>44</v>
      </c>
      <c r="B323" s="326">
        <f t="shared" si="25"/>
        <v>2235</v>
      </c>
      <c r="D323" s="326">
        <f t="shared" si="26"/>
        <v>1605</v>
      </c>
      <c r="E323" s="326">
        <v>630</v>
      </c>
      <c r="F323" s="326">
        <v>694</v>
      </c>
      <c r="G323" s="326">
        <v>148</v>
      </c>
      <c r="H323" s="266">
        <v>133</v>
      </c>
      <c r="I323" s="326">
        <v>630</v>
      </c>
      <c r="K323" s="326"/>
    </row>
    <row r="324" spans="1:11" s="263" customFormat="1" ht="9" customHeight="1" x14ac:dyDescent="0.25">
      <c r="A324" s="267" t="s">
        <v>45</v>
      </c>
      <c r="B324" s="328">
        <f t="shared" si="25"/>
        <v>6147</v>
      </c>
      <c r="C324" s="267"/>
      <c r="D324" s="328">
        <f t="shared" si="26"/>
        <v>3895</v>
      </c>
      <c r="E324" s="328">
        <v>1591</v>
      </c>
      <c r="F324" s="328">
        <v>1524</v>
      </c>
      <c r="G324" s="328">
        <v>255</v>
      </c>
      <c r="H324" s="268">
        <v>525</v>
      </c>
      <c r="I324" s="328">
        <v>2252</v>
      </c>
      <c r="K324" s="326"/>
    </row>
    <row r="325" spans="1:11" s="263" customFormat="1" ht="9" customHeight="1" x14ac:dyDescent="0.25">
      <c r="A325" s="263" t="s">
        <v>46</v>
      </c>
      <c r="B325" s="326">
        <f t="shared" si="25"/>
        <v>7618</v>
      </c>
      <c r="D325" s="326">
        <f t="shared" si="26"/>
        <v>5052</v>
      </c>
      <c r="E325" s="326">
        <v>1683</v>
      </c>
      <c r="F325" s="326">
        <v>2218</v>
      </c>
      <c r="G325" s="326">
        <v>440</v>
      </c>
      <c r="H325" s="266">
        <v>711</v>
      </c>
      <c r="I325" s="326">
        <v>2566</v>
      </c>
      <c r="K325" s="326"/>
    </row>
    <row r="326" spans="1:11" s="263" customFormat="1" ht="9" customHeight="1" x14ac:dyDescent="0.25">
      <c r="A326" s="263" t="s">
        <v>47</v>
      </c>
      <c r="B326" s="326">
        <f t="shared" si="25"/>
        <v>7888</v>
      </c>
      <c r="D326" s="326">
        <f t="shared" si="26"/>
        <v>4927</v>
      </c>
      <c r="E326" s="326">
        <v>1970</v>
      </c>
      <c r="F326" s="326">
        <v>1964</v>
      </c>
      <c r="G326" s="326">
        <v>421</v>
      </c>
      <c r="H326" s="266">
        <v>572</v>
      </c>
      <c r="I326" s="326">
        <v>2961</v>
      </c>
      <c r="K326" s="326"/>
    </row>
    <row r="327" spans="1:11" s="263" customFormat="1" ht="9" customHeight="1" x14ac:dyDescent="0.25">
      <c r="A327" s="263" t="s">
        <v>48</v>
      </c>
      <c r="B327" s="326">
        <f t="shared" si="25"/>
        <v>7138</v>
      </c>
      <c r="D327" s="326">
        <f t="shared" si="26"/>
        <v>4029</v>
      </c>
      <c r="E327" s="326">
        <v>1843</v>
      </c>
      <c r="F327" s="326">
        <v>1491</v>
      </c>
      <c r="G327" s="326">
        <v>322</v>
      </c>
      <c r="H327" s="266">
        <v>373</v>
      </c>
      <c r="I327" s="326">
        <v>3109</v>
      </c>
      <c r="K327" s="326"/>
    </row>
    <row r="328" spans="1:11" s="263" customFormat="1" ht="9" customHeight="1" x14ac:dyDescent="0.25">
      <c r="A328" s="267" t="s">
        <v>49</v>
      </c>
      <c r="B328" s="328">
        <f t="shared" si="25"/>
        <v>10590</v>
      </c>
      <c r="C328" s="267"/>
      <c r="D328" s="328">
        <f t="shared" si="26"/>
        <v>6413</v>
      </c>
      <c r="E328" s="328">
        <v>2200</v>
      </c>
      <c r="F328" s="328">
        <v>2777</v>
      </c>
      <c r="G328" s="328">
        <v>721</v>
      </c>
      <c r="H328" s="268">
        <v>715</v>
      </c>
      <c r="I328" s="328">
        <v>4177</v>
      </c>
      <c r="K328" s="326"/>
    </row>
    <row r="329" spans="1:11" s="263" customFormat="1" ht="9" customHeight="1" x14ac:dyDescent="0.25">
      <c r="A329" s="263" t="s">
        <v>50</v>
      </c>
      <c r="B329" s="326">
        <f t="shared" si="25"/>
        <v>2564</v>
      </c>
      <c r="D329" s="326">
        <f t="shared" si="26"/>
        <v>1675</v>
      </c>
      <c r="E329" s="326">
        <v>447</v>
      </c>
      <c r="F329" s="326">
        <v>827</v>
      </c>
      <c r="G329" s="326">
        <v>137</v>
      </c>
      <c r="H329" s="266">
        <v>264</v>
      </c>
      <c r="I329" s="326">
        <v>889</v>
      </c>
      <c r="K329" s="326"/>
    </row>
    <row r="330" spans="1:11" s="263" customFormat="1" ht="9" customHeight="1" x14ac:dyDescent="0.25">
      <c r="A330" s="263" t="s">
        <v>51</v>
      </c>
      <c r="B330" s="326">
        <f t="shared" si="25"/>
        <v>15540</v>
      </c>
      <c r="D330" s="326">
        <f t="shared" si="26"/>
        <v>10586</v>
      </c>
      <c r="E330" s="326">
        <v>4176</v>
      </c>
      <c r="F330" s="326">
        <v>4440</v>
      </c>
      <c r="G330" s="326">
        <v>876</v>
      </c>
      <c r="H330" s="266">
        <v>1094</v>
      </c>
      <c r="I330" s="326">
        <v>4954</v>
      </c>
      <c r="K330" s="326"/>
    </row>
    <row r="331" spans="1:11" s="263" customFormat="1" ht="9" customHeight="1" x14ac:dyDescent="0.25">
      <c r="A331" s="263" t="s">
        <v>52</v>
      </c>
      <c r="B331" s="326">
        <f t="shared" si="25"/>
        <v>5263</v>
      </c>
      <c r="D331" s="326">
        <f t="shared" si="26"/>
        <v>3685</v>
      </c>
      <c r="E331" s="326">
        <v>1591</v>
      </c>
      <c r="F331" s="326">
        <v>1171</v>
      </c>
      <c r="G331" s="326">
        <v>371</v>
      </c>
      <c r="H331" s="266">
        <v>552</v>
      </c>
      <c r="I331" s="326">
        <v>1578</v>
      </c>
      <c r="K331" s="326"/>
    </row>
    <row r="332" spans="1:11" s="263" customFormat="1" ht="9" customHeight="1" x14ac:dyDescent="0.25">
      <c r="A332" s="267" t="s">
        <v>53</v>
      </c>
      <c r="B332" s="328">
        <f t="shared" si="25"/>
        <v>3128</v>
      </c>
      <c r="C332" s="267"/>
      <c r="D332" s="328">
        <f t="shared" si="26"/>
        <v>2233</v>
      </c>
      <c r="E332" s="328">
        <v>824</v>
      </c>
      <c r="F332" s="328">
        <v>950</v>
      </c>
      <c r="G332" s="328">
        <v>162</v>
      </c>
      <c r="H332" s="268">
        <v>297</v>
      </c>
      <c r="I332" s="328">
        <v>895</v>
      </c>
      <c r="K332" s="326"/>
    </row>
    <row r="333" spans="1:11" s="263" customFormat="1" ht="7.15" customHeight="1" x14ac:dyDescent="0.25">
      <c r="D333" s="326"/>
      <c r="E333" s="326"/>
      <c r="F333" s="326"/>
      <c r="G333" s="326"/>
      <c r="H333" s="266"/>
      <c r="I333" s="289"/>
      <c r="K333" s="326"/>
    </row>
    <row r="334" spans="1:11" s="263" customFormat="1" ht="9" customHeight="1" x14ac:dyDescent="0.25">
      <c r="A334" s="261">
        <v>2004</v>
      </c>
      <c r="B334" s="261"/>
      <c r="C334" s="261"/>
      <c r="D334" s="262"/>
      <c r="E334" s="271"/>
      <c r="F334" s="271"/>
      <c r="G334" s="271"/>
      <c r="H334" s="271"/>
      <c r="I334" s="271"/>
      <c r="K334" s="326"/>
    </row>
    <row r="335" spans="1:11" s="263" customFormat="1" ht="9" customHeight="1" x14ac:dyDescent="0.25">
      <c r="A335" s="264" t="s">
        <v>21</v>
      </c>
      <c r="B335" s="325">
        <f>SUM(B337:B368)</f>
        <v>308858</v>
      </c>
      <c r="C335" s="264"/>
      <c r="D335" s="325">
        <f t="shared" ref="D335:I335" si="27">SUM(D337:D368)</f>
        <v>199835</v>
      </c>
      <c r="E335" s="325">
        <f t="shared" si="27"/>
        <v>68577</v>
      </c>
      <c r="F335" s="325">
        <f t="shared" si="27"/>
        <v>84702</v>
      </c>
      <c r="G335" s="325">
        <f t="shared" si="27"/>
        <v>22433</v>
      </c>
      <c r="H335" s="325">
        <f t="shared" si="27"/>
        <v>24123</v>
      </c>
      <c r="I335" s="325">
        <f t="shared" si="27"/>
        <v>109023</v>
      </c>
      <c r="K335" s="326"/>
    </row>
    <row r="336" spans="1:11" s="263" customFormat="1" ht="3.95" customHeight="1" x14ac:dyDescent="0.25">
      <c r="A336" s="264"/>
      <c r="B336" s="325"/>
      <c r="C336" s="264"/>
      <c r="D336" s="325"/>
      <c r="E336" s="325"/>
      <c r="F336" s="325"/>
      <c r="G336" s="325"/>
      <c r="H336" s="325"/>
      <c r="I336" s="325"/>
      <c r="K336" s="326"/>
    </row>
    <row r="337" spans="1:11" s="263" customFormat="1" ht="9" customHeight="1" x14ac:dyDescent="0.25">
      <c r="A337" s="263" t="s">
        <v>23</v>
      </c>
      <c r="B337" s="326">
        <f>SUM(D337,I337)</f>
        <v>4453</v>
      </c>
      <c r="D337" s="326">
        <f t="shared" ref="D337:D368" si="28">SUM(E337:H337)</f>
        <v>2785</v>
      </c>
      <c r="E337" s="326">
        <v>885</v>
      </c>
      <c r="F337" s="326">
        <v>1192</v>
      </c>
      <c r="G337" s="326">
        <v>338</v>
      </c>
      <c r="H337" s="266">
        <v>370</v>
      </c>
      <c r="I337" s="326">
        <v>1668</v>
      </c>
      <c r="K337" s="326"/>
    </row>
    <row r="338" spans="1:11" s="263" customFormat="1" ht="9" customHeight="1" x14ac:dyDescent="0.25">
      <c r="A338" s="263" t="s">
        <v>24</v>
      </c>
      <c r="B338" s="326">
        <f t="shared" ref="B338:B368" si="29">SUM(D338,I338)</f>
        <v>6275</v>
      </c>
      <c r="D338" s="326">
        <f t="shared" si="28"/>
        <v>4863</v>
      </c>
      <c r="E338" s="326">
        <v>1574</v>
      </c>
      <c r="F338" s="326">
        <v>2244</v>
      </c>
      <c r="G338" s="326">
        <v>500</v>
      </c>
      <c r="H338" s="266">
        <v>545</v>
      </c>
      <c r="I338" s="326">
        <v>1412</v>
      </c>
      <c r="K338" s="326"/>
    </row>
    <row r="339" spans="1:11" s="263" customFormat="1" ht="9" customHeight="1" x14ac:dyDescent="0.25">
      <c r="A339" s="263" t="s">
        <v>25</v>
      </c>
      <c r="B339" s="326">
        <f t="shared" si="29"/>
        <v>2412</v>
      </c>
      <c r="D339" s="326">
        <f t="shared" si="28"/>
        <v>1438</v>
      </c>
      <c r="E339" s="326">
        <v>530</v>
      </c>
      <c r="F339" s="326">
        <v>678</v>
      </c>
      <c r="G339" s="326">
        <v>101</v>
      </c>
      <c r="H339" s="266">
        <v>129</v>
      </c>
      <c r="I339" s="326">
        <v>974</v>
      </c>
      <c r="K339" s="326"/>
    </row>
    <row r="340" spans="1:11" s="263" customFormat="1" ht="9" customHeight="1" x14ac:dyDescent="0.25">
      <c r="A340" s="267" t="s">
        <v>26</v>
      </c>
      <c r="B340" s="328">
        <f t="shared" si="29"/>
        <v>2748</v>
      </c>
      <c r="C340" s="267"/>
      <c r="D340" s="328">
        <f t="shared" si="28"/>
        <v>1764</v>
      </c>
      <c r="E340" s="328">
        <v>775</v>
      </c>
      <c r="F340" s="328">
        <v>699</v>
      </c>
      <c r="G340" s="328">
        <v>122</v>
      </c>
      <c r="H340" s="268">
        <v>168</v>
      </c>
      <c r="I340" s="328">
        <v>984</v>
      </c>
      <c r="K340" s="326"/>
    </row>
    <row r="341" spans="1:11" s="263" customFormat="1" ht="9" customHeight="1" x14ac:dyDescent="0.25">
      <c r="A341" s="263" t="s">
        <v>27</v>
      </c>
      <c r="B341" s="326">
        <f t="shared" si="29"/>
        <v>7824</v>
      </c>
      <c r="D341" s="326">
        <f t="shared" si="28"/>
        <v>6084</v>
      </c>
      <c r="E341" s="326">
        <v>1824</v>
      </c>
      <c r="F341" s="326">
        <v>2630</v>
      </c>
      <c r="G341" s="326">
        <v>797</v>
      </c>
      <c r="H341" s="266">
        <v>833</v>
      </c>
      <c r="I341" s="326">
        <v>1740</v>
      </c>
      <c r="K341" s="326"/>
    </row>
    <row r="342" spans="1:11" s="263" customFormat="1" ht="9" customHeight="1" x14ac:dyDescent="0.25">
      <c r="A342" s="263" t="s">
        <v>28</v>
      </c>
      <c r="B342" s="326">
        <f t="shared" si="29"/>
        <v>2130</v>
      </c>
      <c r="D342" s="326">
        <f t="shared" si="28"/>
        <v>1501</v>
      </c>
      <c r="E342" s="326">
        <v>265</v>
      </c>
      <c r="F342" s="326">
        <v>869</v>
      </c>
      <c r="G342" s="326">
        <v>146</v>
      </c>
      <c r="H342" s="266">
        <v>221</v>
      </c>
      <c r="I342" s="326">
        <v>629</v>
      </c>
      <c r="K342" s="326"/>
    </row>
    <row r="343" spans="1:11" s="263" customFormat="1" ht="9" customHeight="1" x14ac:dyDescent="0.25">
      <c r="A343" s="263" t="s">
        <v>29</v>
      </c>
      <c r="B343" s="326">
        <f t="shared" si="29"/>
        <v>7976</v>
      </c>
      <c r="D343" s="326">
        <f t="shared" si="28"/>
        <v>5115</v>
      </c>
      <c r="E343" s="326">
        <v>2530</v>
      </c>
      <c r="F343" s="326">
        <v>1702</v>
      </c>
      <c r="G343" s="326">
        <v>221</v>
      </c>
      <c r="H343" s="266">
        <v>662</v>
      </c>
      <c r="I343" s="326">
        <v>2861</v>
      </c>
      <c r="K343" s="326"/>
    </row>
    <row r="344" spans="1:11" s="263" customFormat="1" ht="9" customHeight="1" x14ac:dyDescent="0.25">
      <c r="A344" s="267" t="s">
        <v>30</v>
      </c>
      <c r="B344" s="328">
        <f t="shared" si="29"/>
        <v>7728</v>
      </c>
      <c r="C344" s="267"/>
      <c r="D344" s="328">
        <f t="shared" si="28"/>
        <v>5741</v>
      </c>
      <c r="E344" s="328">
        <v>2505</v>
      </c>
      <c r="F344" s="328">
        <v>2109</v>
      </c>
      <c r="G344" s="328">
        <v>524</v>
      </c>
      <c r="H344" s="268">
        <v>603</v>
      </c>
      <c r="I344" s="328">
        <v>1987</v>
      </c>
      <c r="K344" s="326"/>
    </row>
    <row r="345" spans="1:11" s="263" customFormat="1" ht="9" customHeight="1" x14ac:dyDescent="0.25">
      <c r="A345" s="263" t="s">
        <v>63</v>
      </c>
      <c r="B345" s="326">
        <f t="shared" si="29"/>
        <v>70135</v>
      </c>
      <c r="D345" s="326">
        <f t="shared" si="28"/>
        <v>40215</v>
      </c>
      <c r="E345" s="326">
        <v>11556</v>
      </c>
      <c r="F345" s="326">
        <v>17817</v>
      </c>
      <c r="G345" s="326">
        <v>6747</v>
      </c>
      <c r="H345" s="266">
        <v>4095</v>
      </c>
      <c r="I345" s="326">
        <v>29920</v>
      </c>
      <c r="K345" s="326"/>
    </row>
    <row r="346" spans="1:11" s="263" customFormat="1" ht="9" customHeight="1" x14ac:dyDescent="0.25">
      <c r="A346" s="263" t="s">
        <v>31</v>
      </c>
      <c r="B346" s="326">
        <f t="shared" si="29"/>
        <v>4629</v>
      </c>
      <c r="D346" s="326">
        <f t="shared" si="28"/>
        <v>3285</v>
      </c>
      <c r="E346" s="326">
        <v>1154</v>
      </c>
      <c r="F346" s="326">
        <v>1409</v>
      </c>
      <c r="G346" s="326">
        <v>426</v>
      </c>
      <c r="H346" s="266">
        <v>296</v>
      </c>
      <c r="I346" s="326">
        <v>1344</v>
      </c>
      <c r="K346" s="326"/>
    </row>
    <row r="347" spans="1:11" s="263" customFormat="1" ht="9" customHeight="1" x14ac:dyDescent="0.25">
      <c r="A347" s="263" t="s">
        <v>32</v>
      </c>
      <c r="B347" s="326">
        <f t="shared" si="29"/>
        <v>9813</v>
      </c>
      <c r="D347" s="326">
        <f t="shared" si="28"/>
        <v>7016</v>
      </c>
      <c r="E347" s="326">
        <v>2407</v>
      </c>
      <c r="F347" s="326">
        <v>3276</v>
      </c>
      <c r="G347" s="326">
        <v>668</v>
      </c>
      <c r="H347" s="266">
        <v>665</v>
      </c>
      <c r="I347" s="326">
        <v>2797</v>
      </c>
      <c r="K347" s="326"/>
    </row>
    <row r="348" spans="1:11" s="263" customFormat="1" ht="9" customHeight="1" x14ac:dyDescent="0.25">
      <c r="A348" s="267" t="s">
        <v>33</v>
      </c>
      <c r="B348" s="328">
        <f t="shared" si="29"/>
        <v>8614</v>
      </c>
      <c r="C348" s="267"/>
      <c r="D348" s="328">
        <f t="shared" si="28"/>
        <v>5210</v>
      </c>
      <c r="E348" s="328">
        <v>1239</v>
      </c>
      <c r="F348" s="328">
        <v>2961</v>
      </c>
      <c r="G348" s="328">
        <v>443</v>
      </c>
      <c r="H348" s="268">
        <v>567</v>
      </c>
      <c r="I348" s="328">
        <v>3404</v>
      </c>
      <c r="K348" s="326"/>
    </row>
    <row r="349" spans="1:11" s="263" customFormat="1" ht="9" customHeight="1" x14ac:dyDescent="0.25">
      <c r="A349" s="263" t="s">
        <v>34</v>
      </c>
      <c r="B349" s="326">
        <f t="shared" si="29"/>
        <v>6464</v>
      </c>
      <c r="D349" s="326">
        <f t="shared" si="28"/>
        <v>4096</v>
      </c>
      <c r="E349" s="326">
        <v>1760</v>
      </c>
      <c r="F349" s="326">
        <v>1451</v>
      </c>
      <c r="G349" s="326">
        <v>304</v>
      </c>
      <c r="H349" s="266">
        <v>581</v>
      </c>
      <c r="I349" s="326">
        <v>2368</v>
      </c>
      <c r="K349" s="326"/>
    </row>
    <row r="350" spans="1:11" s="263" customFormat="1" ht="9" customHeight="1" x14ac:dyDescent="0.25">
      <c r="A350" s="263" t="s">
        <v>35</v>
      </c>
      <c r="B350" s="326">
        <f t="shared" si="29"/>
        <v>19154</v>
      </c>
      <c r="D350" s="326">
        <f t="shared" si="28"/>
        <v>13368</v>
      </c>
      <c r="E350" s="326">
        <v>4904</v>
      </c>
      <c r="F350" s="326">
        <v>5578</v>
      </c>
      <c r="G350" s="326">
        <v>1428</v>
      </c>
      <c r="H350" s="266">
        <v>1458</v>
      </c>
      <c r="I350" s="326">
        <v>5786</v>
      </c>
      <c r="K350" s="326"/>
    </row>
    <row r="351" spans="1:11" s="263" customFormat="1" ht="9" customHeight="1" x14ac:dyDescent="0.25">
      <c r="A351" s="263" t="s">
        <v>36</v>
      </c>
      <c r="B351" s="326">
        <f t="shared" si="29"/>
        <v>26527</v>
      </c>
      <c r="D351" s="326">
        <f t="shared" si="28"/>
        <v>15255</v>
      </c>
      <c r="E351" s="326">
        <v>5371</v>
      </c>
      <c r="F351" s="326">
        <v>5903</v>
      </c>
      <c r="G351" s="326">
        <v>1460</v>
      </c>
      <c r="H351" s="266">
        <v>2521</v>
      </c>
      <c r="I351" s="326">
        <v>11272</v>
      </c>
      <c r="K351" s="326"/>
    </row>
    <row r="352" spans="1:11" s="263" customFormat="1" ht="9" customHeight="1" x14ac:dyDescent="0.25">
      <c r="A352" s="267" t="s">
        <v>37</v>
      </c>
      <c r="B352" s="328">
        <f t="shared" si="29"/>
        <v>8765</v>
      </c>
      <c r="C352" s="267"/>
      <c r="D352" s="328">
        <f t="shared" si="28"/>
        <v>5699</v>
      </c>
      <c r="E352" s="328">
        <v>1624</v>
      </c>
      <c r="F352" s="328">
        <v>2621</v>
      </c>
      <c r="G352" s="328">
        <v>608</v>
      </c>
      <c r="H352" s="268">
        <v>846</v>
      </c>
      <c r="I352" s="328">
        <v>3066</v>
      </c>
      <c r="K352" s="326"/>
    </row>
    <row r="353" spans="1:11" s="263" customFormat="1" ht="9" customHeight="1" x14ac:dyDescent="0.25">
      <c r="A353" s="263" t="s">
        <v>38</v>
      </c>
      <c r="B353" s="326">
        <f t="shared" si="29"/>
        <v>4610</v>
      </c>
      <c r="D353" s="326">
        <f t="shared" si="28"/>
        <v>2995</v>
      </c>
      <c r="E353" s="326">
        <v>717</v>
      </c>
      <c r="F353" s="326">
        <v>1531</v>
      </c>
      <c r="G353" s="326">
        <v>358</v>
      </c>
      <c r="H353" s="266">
        <v>389</v>
      </c>
      <c r="I353" s="326">
        <v>1615</v>
      </c>
      <c r="K353" s="326"/>
    </row>
    <row r="354" spans="1:11" s="263" customFormat="1" ht="9" customHeight="1" x14ac:dyDescent="0.25">
      <c r="A354" s="263" t="s">
        <v>39</v>
      </c>
      <c r="B354" s="326">
        <f t="shared" si="29"/>
        <v>2744</v>
      </c>
      <c r="D354" s="326">
        <f t="shared" si="28"/>
        <v>1995</v>
      </c>
      <c r="E354" s="326">
        <v>513</v>
      </c>
      <c r="F354" s="326">
        <v>1028</v>
      </c>
      <c r="G354" s="326">
        <v>243</v>
      </c>
      <c r="H354" s="266">
        <v>211</v>
      </c>
      <c r="I354" s="326">
        <v>749</v>
      </c>
      <c r="K354" s="326"/>
    </row>
    <row r="355" spans="1:11" s="263" customFormat="1" ht="9" customHeight="1" x14ac:dyDescent="0.25">
      <c r="A355" s="263" t="s">
        <v>40</v>
      </c>
      <c r="B355" s="326">
        <f t="shared" si="29"/>
        <v>10253</v>
      </c>
      <c r="D355" s="326">
        <f t="shared" si="28"/>
        <v>8221</v>
      </c>
      <c r="E355" s="326">
        <v>2764</v>
      </c>
      <c r="F355" s="326">
        <v>3224</v>
      </c>
      <c r="G355" s="326">
        <v>1217</v>
      </c>
      <c r="H355" s="266">
        <v>1016</v>
      </c>
      <c r="I355" s="326">
        <v>2032</v>
      </c>
      <c r="K355" s="326"/>
    </row>
    <row r="356" spans="1:11" s="263" customFormat="1" ht="9" customHeight="1" x14ac:dyDescent="0.25">
      <c r="A356" s="267" t="s">
        <v>41</v>
      </c>
      <c r="B356" s="328">
        <f t="shared" si="29"/>
        <v>7409</v>
      </c>
      <c r="C356" s="267"/>
      <c r="D356" s="328">
        <f t="shared" si="28"/>
        <v>4923</v>
      </c>
      <c r="E356" s="328">
        <v>2004</v>
      </c>
      <c r="F356" s="328">
        <v>1704</v>
      </c>
      <c r="G356" s="328">
        <v>401</v>
      </c>
      <c r="H356" s="268">
        <v>814</v>
      </c>
      <c r="I356" s="328">
        <v>2486</v>
      </c>
      <c r="K356" s="326"/>
    </row>
    <row r="357" spans="1:11" s="263" customFormat="1" ht="9" customHeight="1" x14ac:dyDescent="0.25">
      <c r="A357" s="263" t="s">
        <v>42</v>
      </c>
      <c r="B357" s="326">
        <f t="shared" si="29"/>
        <v>12573</v>
      </c>
      <c r="D357" s="326">
        <f t="shared" si="28"/>
        <v>7876</v>
      </c>
      <c r="E357" s="326">
        <v>2924</v>
      </c>
      <c r="F357" s="326">
        <v>2832</v>
      </c>
      <c r="G357" s="326">
        <v>839</v>
      </c>
      <c r="H357" s="266">
        <v>1281</v>
      </c>
      <c r="I357" s="326">
        <v>4697</v>
      </c>
      <c r="K357" s="326"/>
    </row>
    <row r="358" spans="1:11" s="263" customFormat="1" ht="9" customHeight="1" x14ac:dyDescent="0.25">
      <c r="A358" s="263" t="s">
        <v>43</v>
      </c>
      <c r="B358" s="326">
        <f t="shared" si="29"/>
        <v>3313</v>
      </c>
      <c r="D358" s="326">
        <f t="shared" si="28"/>
        <v>2357</v>
      </c>
      <c r="E358" s="326">
        <v>965</v>
      </c>
      <c r="F358" s="326">
        <v>917</v>
      </c>
      <c r="G358" s="326">
        <v>241</v>
      </c>
      <c r="H358" s="266">
        <v>234</v>
      </c>
      <c r="I358" s="326">
        <v>956</v>
      </c>
      <c r="K358" s="326"/>
    </row>
    <row r="359" spans="1:11" s="263" customFormat="1" ht="9" customHeight="1" x14ac:dyDescent="0.25">
      <c r="A359" s="263" t="s">
        <v>44</v>
      </c>
      <c r="B359" s="326">
        <f t="shared" si="29"/>
        <v>2214</v>
      </c>
      <c r="D359" s="326">
        <f t="shared" si="28"/>
        <v>1619</v>
      </c>
      <c r="E359" s="326">
        <v>632</v>
      </c>
      <c r="F359" s="326">
        <v>705</v>
      </c>
      <c r="G359" s="326">
        <v>150</v>
      </c>
      <c r="H359" s="266">
        <v>132</v>
      </c>
      <c r="I359" s="326">
        <v>595</v>
      </c>
      <c r="K359" s="326"/>
    </row>
    <row r="360" spans="1:11" s="263" customFormat="1" ht="9" customHeight="1" x14ac:dyDescent="0.25">
      <c r="A360" s="267" t="s">
        <v>45</v>
      </c>
      <c r="B360" s="328">
        <f t="shared" si="29"/>
        <v>6075</v>
      </c>
      <c r="C360" s="267"/>
      <c r="D360" s="328">
        <f t="shared" si="28"/>
        <v>3994</v>
      </c>
      <c r="E360" s="328">
        <v>1635</v>
      </c>
      <c r="F360" s="328">
        <v>1553</v>
      </c>
      <c r="G360" s="328">
        <v>266</v>
      </c>
      <c r="H360" s="268">
        <v>540</v>
      </c>
      <c r="I360" s="328">
        <v>2081</v>
      </c>
      <c r="K360" s="326"/>
    </row>
    <row r="361" spans="1:11" s="263" customFormat="1" ht="9" customHeight="1" x14ac:dyDescent="0.25">
      <c r="A361" s="263" t="s">
        <v>46</v>
      </c>
      <c r="B361" s="326">
        <f t="shared" si="29"/>
        <v>9008</v>
      </c>
      <c r="D361" s="326">
        <f t="shared" si="28"/>
        <v>5962</v>
      </c>
      <c r="E361" s="326">
        <v>1876</v>
      </c>
      <c r="F361" s="326">
        <v>2757</v>
      </c>
      <c r="G361" s="326">
        <v>535</v>
      </c>
      <c r="H361" s="266">
        <v>794</v>
      </c>
      <c r="I361" s="326">
        <v>3046</v>
      </c>
      <c r="K361" s="326"/>
    </row>
    <row r="362" spans="1:11" s="263" customFormat="1" ht="9" customHeight="1" x14ac:dyDescent="0.25">
      <c r="A362" s="263" t="s">
        <v>47</v>
      </c>
      <c r="B362" s="326">
        <f t="shared" si="29"/>
        <v>8481</v>
      </c>
      <c r="D362" s="326">
        <f t="shared" si="28"/>
        <v>5601</v>
      </c>
      <c r="E362" s="326">
        <v>2137</v>
      </c>
      <c r="F362" s="326">
        <v>2301</v>
      </c>
      <c r="G362" s="326">
        <v>477</v>
      </c>
      <c r="H362" s="266">
        <v>686</v>
      </c>
      <c r="I362" s="326">
        <v>2880</v>
      </c>
      <c r="K362" s="326"/>
    </row>
    <row r="363" spans="1:11" s="263" customFormat="1" ht="9" customHeight="1" x14ac:dyDescent="0.25">
      <c r="A363" s="263" t="s">
        <v>48</v>
      </c>
      <c r="B363" s="326">
        <f t="shared" si="29"/>
        <v>7498</v>
      </c>
      <c r="D363" s="326">
        <f>SUM(E363:H363)</f>
        <v>4089</v>
      </c>
      <c r="E363" s="326">
        <v>1696</v>
      </c>
      <c r="F363" s="326">
        <v>1654</v>
      </c>
      <c r="G363" s="326">
        <v>344</v>
      </c>
      <c r="H363" s="266">
        <v>395</v>
      </c>
      <c r="I363" s="326">
        <v>3409</v>
      </c>
      <c r="K363" s="326"/>
    </row>
    <row r="364" spans="1:11" s="263" customFormat="1" ht="9" customHeight="1" x14ac:dyDescent="0.25">
      <c r="A364" s="267" t="s">
        <v>49</v>
      </c>
      <c r="B364" s="328">
        <f t="shared" si="29"/>
        <v>10575</v>
      </c>
      <c r="C364" s="267"/>
      <c r="D364" s="328">
        <f t="shared" si="28"/>
        <v>6655</v>
      </c>
      <c r="E364" s="328">
        <v>2074</v>
      </c>
      <c r="F364" s="328">
        <v>2920</v>
      </c>
      <c r="G364" s="328">
        <v>900</v>
      </c>
      <c r="H364" s="268">
        <v>761</v>
      </c>
      <c r="I364" s="328">
        <v>3920</v>
      </c>
      <c r="K364" s="326"/>
    </row>
    <row r="365" spans="1:11" s="263" customFormat="1" ht="9" customHeight="1" x14ac:dyDescent="0.25">
      <c r="A365" s="263" t="s">
        <v>50</v>
      </c>
      <c r="B365" s="326">
        <f t="shared" si="29"/>
        <v>2768</v>
      </c>
      <c r="D365" s="326">
        <f t="shared" si="28"/>
        <v>1853</v>
      </c>
      <c r="E365" s="326">
        <v>503</v>
      </c>
      <c r="F365" s="326">
        <v>957</v>
      </c>
      <c r="G365" s="326">
        <v>130</v>
      </c>
      <c r="H365" s="266">
        <v>263</v>
      </c>
      <c r="I365" s="326">
        <v>915</v>
      </c>
      <c r="K365" s="326"/>
    </row>
    <row r="366" spans="1:11" s="263" customFormat="1" ht="9" customHeight="1" x14ac:dyDescent="0.25">
      <c r="A366" s="263" t="s">
        <v>51</v>
      </c>
      <c r="B366" s="326">
        <f>SUM(D366,I366)</f>
        <v>17563</v>
      </c>
      <c r="D366" s="326">
        <f t="shared" si="28"/>
        <v>11994</v>
      </c>
      <c r="E366" s="326">
        <v>4608</v>
      </c>
      <c r="F366" s="326">
        <v>5276</v>
      </c>
      <c r="G366" s="326">
        <v>905</v>
      </c>
      <c r="H366" s="266">
        <v>1205</v>
      </c>
      <c r="I366" s="326">
        <v>5569</v>
      </c>
      <c r="K366" s="326"/>
    </row>
    <row r="367" spans="1:11" s="263" customFormat="1" ht="9" customHeight="1" x14ac:dyDescent="0.25">
      <c r="A367" s="263" t="s">
        <v>52</v>
      </c>
      <c r="B367" s="326">
        <f t="shared" si="29"/>
        <v>5061</v>
      </c>
      <c r="D367" s="326">
        <f t="shared" si="28"/>
        <v>3998</v>
      </c>
      <c r="E367" s="326">
        <v>1781</v>
      </c>
      <c r="F367" s="326">
        <v>1215</v>
      </c>
      <c r="G367" s="326">
        <v>424</v>
      </c>
      <c r="H367" s="266">
        <v>578</v>
      </c>
      <c r="I367" s="326">
        <v>1063</v>
      </c>
      <c r="K367" s="326"/>
    </row>
    <row r="368" spans="1:11" s="263" customFormat="1" ht="9" customHeight="1" x14ac:dyDescent="0.25">
      <c r="A368" s="267" t="s">
        <v>53</v>
      </c>
      <c r="B368" s="328">
        <f t="shared" si="29"/>
        <v>3066</v>
      </c>
      <c r="C368" s="267"/>
      <c r="D368" s="328">
        <f t="shared" si="28"/>
        <v>2268</v>
      </c>
      <c r="E368" s="328">
        <v>845</v>
      </c>
      <c r="F368" s="328">
        <v>989</v>
      </c>
      <c r="G368" s="328">
        <v>170</v>
      </c>
      <c r="H368" s="268">
        <v>264</v>
      </c>
      <c r="I368" s="328">
        <v>798</v>
      </c>
      <c r="K368" s="326"/>
    </row>
    <row r="369" spans="1:11" s="263" customFormat="1" ht="5.45" customHeight="1" x14ac:dyDescent="0.25">
      <c r="D369" s="326"/>
      <c r="E369" s="326"/>
      <c r="F369" s="326"/>
      <c r="G369" s="326"/>
      <c r="H369" s="266"/>
      <c r="I369" s="289"/>
      <c r="K369" s="326"/>
    </row>
    <row r="370" spans="1:11" s="263" customFormat="1" ht="9" customHeight="1" x14ac:dyDescent="0.25">
      <c r="A370" s="261">
        <v>2005</v>
      </c>
      <c r="B370" s="331"/>
      <c r="C370" s="261"/>
      <c r="D370" s="262"/>
      <c r="E370" s="271"/>
      <c r="F370" s="271"/>
      <c r="G370" s="271"/>
      <c r="H370" s="271"/>
      <c r="I370" s="271"/>
      <c r="K370" s="326"/>
    </row>
    <row r="371" spans="1:11" s="263" customFormat="1" ht="9" customHeight="1" x14ac:dyDescent="0.25">
      <c r="A371" s="264" t="s">
        <v>262</v>
      </c>
      <c r="B371" s="325">
        <f>SUM(B373:B404)</f>
        <v>445946</v>
      </c>
      <c r="C371" s="264"/>
      <c r="D371" s="325">
        <f>SUM(D373:D404)</f>
        <v>201036</v>
      </c>
      <c r="E371" s="325">
        <f>SUM(E373:E404)</f>
        <v>39532</v>
      </c>
      <c r="F371" s="325">
        <f>SUM(F373:F404)</f>
        <v>86023</v>
      </c>
      <c r="G371" s="325">
        <f>SUM(G373:G404)</f>
        <v>23060</v>
      </c>
      <c r="H371" s="325">
        <f>SUM(H373:H404)</f>
        <v>52421</v>
      </c>
      <c r="I371" s="332">
        <f>SUM(I373:I404)-4</f>
        <v>248251</v>
      </c>
      <c r="K371" s="326"/>
    </row>
    <row r="372" spans="1:11" s="263" customFormat="1" ht="3.95" customHeight="1" x14ac:dyDescent="0.25">
      <c r="A372" s="264"/>
      <c r="B372" s="325"/>
      <c r="C372" s="264"/>
      <c r="D372" s="325"/>
      <c r="E372" s="325"/>
      <c r="F372" s="325"/>
      <c r="G372" s="325"/>
      <c r="H372" s="325"/>
      <c r="I372" s="325"/>
      <c r="K372" s="326"/>
    </row>
    <row r="373" spans="1:11" s="263" customFormat="1" ht="9" customHeight="1" x14ac:dyDescent="0.25">
      <c r="A373" s="263" t="s">
        <v>23</v>
      </c>
      <c r="B373" s="326">
        <v>6133</v>
      </c>
      <c r="D373" s="326">
        <f t="shared" ref="D373:D404" si="30">SUM(E373:H373)</f>
        <v>2846</v>
      </c>
      <c r="E373" s="326">
        <v>650</v>
      </c>
      <c r="F373" s="326">
        <v>1230</v>
      </c>
      <c r="G373" s="326">
        <v>322</v>
      </c>
      <c r="H373" s="266">
        <v>644</v>
      </c>
      <c r="I373" s="326">
        <v>3318</v>
      </c>
      <c r="J373" s="326"/>
      <c r="K373" s="326"/>
    </row>
    <row r="374" spans="1:11" s="263" customFormat="1" ht="9" customHeight="1" x14ac:dyDescent="0.25">
      <c r="A374" s="263" t="s">
        <v>24</v>
      </c>
      <c r="B374" s="326">
        <v>10444</v>
      </c>
      <c r="D374" s="326">
        <f>SUM(E374:H374)</f>
        <v>4700</v>
      </c>
      <c r="E374" s="326">
        <v>771</v>
      </c>
      <c r="F374" s="326">
        <v>2145</v>
      </c>
      <c r="G374" s="326">
        <v>521</v>
      </c>
      <c r="H374" s="266">
        <v>1263</v>
      </c>
      <c r="I374" s="326">
        <v>5810</v>
      </c>
      <c r="K374" s="326"/>
    </row>
    <row r="375" spans="1:11" s="263" customFormat="1" ht="9" customHeight="1" x14ac:dyDescent="0.25">
      <c r="A375" s="263" t="s">
        <v>25</v>
      </c>
      <c r="B375" s="326">
        <v>3131</v>
      </c>
      <c r="D375" s="326">
        <f t="shared" si="30"/>
        <v>1390</v>
      </c>
      <c r="E375" s="326">
        <v>397</v>
      </c>
      <c r="F375" s="326">
        <v>557</v>
      </c>
      <c r="G375" s="326">
        <v>101</v>
      </c>
      <c r="H375" s="266">
        <v>335</v>
      </c>
      <c r="I375" s="326">
        <v>1776</v>
      </c>
      <c r="K375" s="326"/>
    </row>
    <row r="376" spans="1:11" s="263" customFormat="1" ht="9" customHeight="1" x14ac:dyDescent="0.25">
      <c r="A376" s="267" t="s">
        <v>26</v>
      </c>
      <c r="B376" s="328">
        <v>3699</v>
      </c>
      <c r="C376" s="267"/>
      <c r="D376" s="328">
        <f t="shared" si="30"/>
        <v>1825</v>
      </c>
      <c r="E376" s="328">
        <v>657</v>
      </c>
      <c r="F376" s="328">
        <v>696</v>
      </c>
      <c r="G376" s="328">
        <v>122</v>
      </c>
      <c r="H376" s="268">
        <v>350</v>
      </c>
      <c r="I376" s="328">
        <v>1900</v>
      </c>
      <c r="K376" s="326"/>
    </row>
    <row r="377" spans="1:11" s="263" customFormat="1" ht="9" customHeight="1" x14ac:dyDescent="0.25">
      <c r="A377" s="263" t="s">
        <v>27</v>
      </c>
      <c r="B377" s="326">
        <v>12961</v>
      </c>
      <c r="D377" s="326">
        <f t="shared" si="30"/>
        <v>5854</v>
      </c>
      <c r="E377" s="326">
        <v>463</v>
      </c>
      <c r="F377" s="326">
        <v>2547</v>
      </c>
      <c r="G377" s="326">
        <v>771</v>
      </c>
      <c r="H377" s="266">
        <v>2073</v>
      </c>
      <c r="I377" s="326">
        <v>7203</v>
      </c>
      <c r="K377" s="326"/>
    </row>
    <row r="378" spans="1:11" s="263" customFormat="1" ht="9" customHeight="1" x14ac:dyDescent="0.25">
      <c r="A378" s="263" t="s">
        <v>28</v>
      </c>
      <c r="B378" s="326">
        <v>3331</v>
      </c>
      <c r="D378" s="326">
        <f t="shared" si="30"/>
        <v>1608</v>
      </c>
      <c r="E378" s="326">
        <v>205</v>
      </c>
      <c r="F378" s="326">
        <v>924</v>
      </c>
      <c r="G378" s="326">
        <v>152</v>
      </c>
      <c r="H378" s="266">
        <v>327</v>
      </c>
      <c r="I378" s="326">
        <v>1746</v>
      </c>
      <c r="K378" s="326"/>
    </row>
    <row r="379" spans="1:11" s="263" customFormat="1" ht="9" customHeight="1" x14ac:dyDescent="0.25">
      <c r="A379" s="263" t="s">
        <v>29</v>
      </c>
      <c r="B379" s="326">
        <v>10701</v>
      </c>
      <c r="D379" s="326">
        <f t="shared" si="30"/>
        <v>5226</v>
      </c>
      <c r="E379" s="326">
        <v>2000</v>
      </c>
      <c r="F379" s="326">
        <v>1926</v>
      </c>
      <c r="G379" s="326">
        <v>219</v>
      </c>
      <c r="H379" s="266">
        <v>1081</v>
      </c>
      <c r="I379" s="326">
        <v>5633</v>
      </c>
      <c r="K379" s="326"/>
    </row>
    <row r="380" spans="1:11" s="263" customFormat="1" ht="9" customHeight="1" x14ac:dyDescent="0.25">
      <c r="A380" s="267" t="s">
        <v>30</v>
      </c>
      <c r="B380" s="328">
        <v>12239</v>
      </c>
      <c r="C380" s="267"/>
      <c r="D380" s="328">
        <f t="shared" si="30"/>
        <v>5649</v>
      </c>
      <c r="E380" s="328">
        <v>1227</v>
      </c>
      <c r="F380" s="328">
        <v>2081</v>
      </c>
      <c r="G380" s="328">
        <v>521</v>
      </c>
      <c r="H380" s="268">
        <v>1820</v>
      </c>
      <c r="I380" s="328">
        <v>6697</v>
      </c>
      <c r="K380" s="326"/>
    </row>
    <row r="381" spans="1:11" s="263" customFormat="1" ht="9" customHeight="1" x14ac:dyDescent="0.25">
      <c r="A381" s="263" t="s">
        <v>63</v>
      </c>
      <c r="B381" s="326">
        <v>95180</v>
      </c>
      <c r="D381" s="326">
        <f t="shared" si="30"/>
        <v>40290</v>
      </c>
      <c r="E381" s="326">
        <v>5067</v>
      </c>
      <c r="F381" s="326">
        <v>18098</v>
      </c>
      <c r="G381" s="326">
        <v>7008</v>
      </c>
      <c r="H381" s="266">
        <v>10117</v>
      </c>
      <c r="I381" s="326">
        <v>56013</v>
      </c>
      <c r="K381" s="326"/>
    </row>
    <row r="382" spans="1:11" s="263" customFormat="1" ht="9" customHeight="1" x14ac:dyDescent="0.25">
      <c r="A382" s="263" t="s">
        <v>31</v>
      </c>
      <c r="B382" s="326">
        <v>6734</v>
      </c>
      <c r="D382" s="326">
        <f t="shared" si="30"/>
        <v>3261</v>
      </c>
      <c r="E382" s="326">
        <v>799</v>
      </c>
      <c r="F382" s="326">
        <v>1382</v>
      </c>
      <c r="G382" s="326">
        <v>351</v>
      </c>
      <c r="H382" s="266">
        <v>729</v>
      </c>
      <c r="I382" s="326">
        <v>3552</v>
      </c>
      <c r="K382" s="326"/>
    </row>
    <row r="383" spans="1:11" s="263" customFormat="1" ht="9" customHeight="1" x14ac:dyDescent="0.25">
      <c r="A383" s="263" t="s">
        <v>32</v>
      </c>
      <c r="B383" s="326">
        <v>14344</v>
      </c>
      <c r="D383" s="326">
        <f t="shared" si="30"/>
        <v>7060</v>
      </c>
      <c r="E383" s="326">
        <v>1271</v>
      </c>
      <c r="F383" s="326">
        <v>3327</v>
      </c>
      <c r="G383" s="326">
        <v>657</v>
      </c>
      <c r="H383" s="266">
        <v>1805</v>
      </c>
      <c r="I383" s="326">
        <v>7363</v>
      </c>
      <c r="K383" s="326"/>
    </row>
    <row r="384" spans="1:11" s="263" customFormat="1" ht="9" customHeight="1" x14ac:dyDescent="0.25">
      <c r="A384" s="267" t="s">
        <v>33</v>
      </c>
      <c r="B384" s="328">
        <v>10650</v>
      </c>
      <c r="C384" s="267"/>
      <c r="D384" s="328">
        <f t="shared" si="30"/>
        <v>5156</v>
      </c>
      <c r="E384" s="328">
        <v>875</v>
      </c>
      <c r="F384" s="328">
        <v>2930</v>
      </c>
      <c r="G384" s="328">
        <v>447</v>
      </c>
      <c r="H384" s="268">
        <v>904</v>
      </c>
      <c r="I384" s="328">
        <v>5587</v>
      </c>
      <c r="K384" s="326"/>
    </row>
    <row r="385" spans="1:11" s="263" customFormat="1" ht="9" customHeight="1" x14ac:dyDescent="0.25">
      <c r="A385" s="263" t="s">
        <v>34</v>
      </c>
      <c r="B385" s="326">
        <v>8295</v>
      </c>
      <c r="D385" s="326">
        <f t="shared" si="30"/>
        <v>4100</v>
      </c>
      <c r="E385" s="326">
        <v>1410</v>
      </c>
      <c r="F385" s="326">
        <v>1447</v>
      </c>
      <c r="G385" s="326">
        <v>319</v>
      </c>
      <c r="H385" s="266">
        <v>924</v>
      </c>
      <c r="I385" s="326">
        <v>4260</v>
      </c>
      <c r="K385" s="326"/>
    </row>
    <row r="386" spans="1:11" s="263" customFormat="1" ht="9" customHeight="1" x14ac:dyDescent="0.25">
      <c r="A386" s="263" t="s">
        <v>35</v>
      </c>
      <c r="B386" s="326">
        <v>28239</v>
      </c>
      <c r="D386" s="326">
        <f t="shared" si="30"/>
        <v>13183</v>
      </c>
      <c r="E386" s="326">
        <v>2840</v>
      </c>
      <c r="F386" s="326">
        <v>5495</v>
      </c>
      <c r="G386" s="326">
        <v>1421</v>
      </c>
      <c r="H386" s="266">
        <v>3427</v>
      </c>
      <c r="I386" s="326">
        <v>15148</v>
      </c>
      <c r="K386" s="326"/>
    </row>
    <row r="387" spans="1:11" s="263" customFormat="1" ht="9" customHeight="1" x14ac:dyDescent="0.25">
      <c r="A387" s="263" t="s">
        <v>36</v>
      </c>
      <c r="B387" s="326">
        <v>42286</v>
      </c>
      <c r="D387" s="326">
        <f t="shared" si="30"/>
        <v>15415</v>
      </c>
      <c r="E387" s="326">
        <v>2467</v>
      </c>
      <c r="F387" s="326">
        <v>6175</v>
      </c>
      <c r="G387" s="326">
        <v>1496</v>
      </c>
      <c r="H387" s="266">
        <v>5277</v>
      </c>
      <c r="I387" s="326">
        <v>26922</v>
      </c>
      <c r="K387" s="326"/>
    </row>
    <row r="388" spans="1:11" s="263" customFormat="1" ht="9" customHeight="1" x14ac:dyDescent="0.25">
      <c r="A388" s="267" t="s">
        <v>37</v>
      </c>
      <c r="B388" s="328">
        <v>11809</v>
      </c>
      <c r="C388" s="267"/>
      <c r="D388" s="328">
        <f t="shared" si="30"/>
        <v>5737</v>
      </c>
      <c r="E388" s="328">
        <v>1182</v>
      </c>
      <c r="F388" s="328">
        <v>2613</v>
      </c>
      <c r="G388" s="328">
        <v>622</v>
      </c>
      <c r="H388" s="268">
        <v>1320</v>
      </c>
      <c r="I388" s="328">
        <v>6191</v>
      </c>
      <c r="K388" s="326"/>
    </row>
    <row r="389" spans="1:11" s="263" customFormat="1" ht="9" customHeight="1" x14ac:dyDescent="0.25">
      <c r="A389" s="263" t="s">
        <v>38</v>
      </c>
      <c r="B389" s="326">
        <v>6650</v>
      </c>
      <c r="D389" s="326">
        <f t="shared" si="30"/>
        <v>3116</v>
      </c>
      <c r="E389" s="326">
        <v>348</v>
      </c>
      <c r="F389" s="326">
        <v>1645</v>
      </c>
      <c r="G389" s="326">
        <v>388</v>
      </c>
      <c r="H389" s="266">
        <v>735</v>
      </c>
      <c r="I389" s="326">
        <v>3589</v>
      </c>
      <c r="K389" s="326"/>
    </row>
    <row r="390" spans="1:11" s="263" customFormat="1" ht="9" customHeight="1" x14ac:dyDescent="0.25">
      <c r="A390" s="263" t="s">
        <v>39</v>
      </c>
      <c r="B390" s="326">
        <v>4474</v>
      </c>
      <c r="D390" s="326">
        <f t="shared" si="30"/>
        <v>2262</v>
      </c>
      <c r="E390" s="326">
        <v>331</v>
      </c>
      <c r="F390" s="326">
        <v>1176</v>
      </c>
      <c r="G390" s="326">
        <v>256</v>
      </c>
      <c r="H390" s="266">
        <v>499</v>
      </c>
      <c r="I390" s="326">
        <v>2247</v>
      </c>
      <c r="K390" s="326"/>
    </row>
    <row r="391" spans="1:11" s="263" customFormat="1" ht="9" customHeight="1" x14ac:dyDescent="0.25">
      <c r="A391" s="263" t="s">
        <v>40</v>
      </c>
      <c r="B391" s="326">
        <v>20552</v>
      </c>
      <c r="D391" s="326">
        <f t="shared" si="30"/>
        <v>9191</v>
      </c>
      <c r="E391" s="326">
        <v>1331</v>
      </c>
      <c r="F391" s="326">
        <v>3330</v>
      </c>
      <c r="G391" s="326">
        <v>1381</v>
      </c>
      <c r="H391" s="266">
        <v>3149</v>
      </c>
      <c r="I391" s="326">
        <v>11488</v>
      </c>
      <c r="K391" s="326"/>
    </row>
    <row r="392" spans="1:11" s="263" customFormat="1" ht="9" customHeight="1" x14ac:dyDescent="0.25">
      <c r="A392" s="267" t="s">
        <v>41</v>
      </c>
      <c r="B392" s="328">
        <v>9355</v>
      </c>
      <c r="C392" s="267"/>
      <c r="D392" s="328">
        <f t="shared" si="30"/>
        <v>4921</v>
      </c>
      <c r="E392" s="328">
        <v>1653</v>
      </c>
      <c r="F392" s="328">
        <v>1705</v>
      </c>
      <c r="G392" s="328">
        <v>405</v>
      </c>
      <c r="H392" s="268">
        <v>1158</v>
      </c>
      <c r="I392" s="328">
        <v>4553</v>
      </c>
      <c r="K392" s="326"/>
    </row>
    <row r="393" spans="1:11" s="263" customFormat="1" ht="9" customHeight="1" x14ac:dyDescent="0.25">
      <c r="A393" s="263" t="s">
        <v>42</v>
      </c>
      <c r="B393" s="326">
        <v>16801</v>
      </c>
      <c r="D393" s="326">
        <f t="shared" si="30"/>
        <v>7694</v>
      </c>
      <c r="E393" s="326">
        <v>1716</v>
      </c>
      <c r="F393" s="326">
        <v>2777</v>
      </c>
      <c r="G393" s="326">
        <v>935</v>
      </c>
      <c r="H393" s="266">
        <v>2266</v>
      </c>
      <c r="I393" s="326">
        <v>9189</v>
      </c>
      <c r="K393" s="326"/>
    </row>
    <row r="394" spans="1:11" s="263" customFormat="1" ht="9" customHeight="1" x14ac:dyDescent="0.25">
      <c r="A394" s="263" t="s">
        <v>43</v>
      </c>
      <c r="B394" s="326">
        <v>4832</v>
      </c>
      <c r="D394" s="326">
        <f t="shared" si="30"/>
        <v>2584</v>
      </c>
      <c r="E394" s="326">
        <v>646</v>
      </c>
      <c r="F394" s="326">
        <v>1088</v>
      </c>
      <c r="G394" s="326">
        <v>264</v>
      </c>
      <c r="H394" s="266">
        <v>586</v>
      </c>
      <c r="I394" s="326">
        <v>2274</v>
      </c>
      <c r="K394" s="326"/>
    </row>
    <row r="395" spans="1:11" s="263" customFormat="1" ht="9" customHeight="1" x14ac:dyDescent="0.25">
      <c r="A395" s="263" t="s">
        <v>44</v>
      </c>
      <c r="B395" s="326">
        <v>3538</v>
      </c>
      <c r="D395" s="326">
        <f t="shared" si="30"/>
        <v>1596</v>
      </c>
      <c r="E395" s="326">
        <v>401</v>
      </c>
      <c r="F395" s="326">
        <v>697</v>
      </c>
      <c r="G395" s="326">
        <v>145</v>
      </c>
      <c r="H395" s="266">
        <v>353</v>
      </c>
      <c r="I395" s="326">
        <v>1966</v>
      </c>
      <c r="K395" s="326"/>
    </row>
    <row r="396" spans="1:11" s="263" customFormat="1" ht="9" customHeight="1" x14ac:dyDescent="0.25">
      <c r="A396" s="267" t="s">
        <v>45</v>
      </c>
      <c r="B396" s="328">
        <v>7862</v>
      </c>
      <c r="C396" s="267"/>
      <c r="D396" s="328">
        <f t="shared" si="30"/>
        <v>3954</v>
      </c>
      <c r="E396" s="328">
        <v>1125</v>
      </c>
      <c r="F396" s="328">
        <v>1587</v>
      </c>
      <c r="G396" s="328">
        <v>274</v>
      </c>
      <c r="H396" s="268">
        <v>968</v>
      </c>
      <c r="I396" s="328">
        <v>3969</v>
      </c>
      <c r="K396" s="326"/>
    </row>
    <row r="397" spans="1:11" s="263" customFormat="1" ht="9" customHeight="1" x14ac:dyDescent="0.25">
      <c r="A397" s="263" t="s">
        <v>46</v>
      </c>
      <c r="B397" s="326">
        <v>13030</v>
      </c>
      <c r="D397" s="326">
        <f t="shared" si="30"/>
        <v>6022</v>
      </c>
      <c r="E397" s="326">
        <v>1035</v>
      </c>
      <c r="F397" s="326">
        <v>2781</v>
      </c>
      <c r="G397" s="326">
        <v>549</v>
      </c>
      <c r="H397" s="266">
        <v>1657</v>
      </c>
      <c r="I397" s="326">
        <v>7094</v>
      </c>
      <c r="K397" s="326"/>
    </row>
    <row r="398" spans="1:11" s="263" customFormat="1" ht="9" customHeight="1" x14ac:dyDescent="0.25">
      <c r="A398" s="263" t="s">
        <v>47</v>
      </c>
      <c r="B398" s="326">
        <v>13953</v>
      </c>
      <c r="D398" s="326">
        <f t="shared" si="30"/>
        <v>5788</v>
      </c>
      <c r="E398" s="326">
        <v>1104</v>
      </c>
      <c r="F398" s="326">
        <v>2407</v>
      </c>
      <c r="G398" s="326">
        <v>490</v>
      </c>
      <c r="H398" s="266">
        <v>1787</v>
      </c>
      <c r="I398" s="326">
        <v>8230</v>
      </c>
      <c r="K398" s="326"/>
    </row>
    <row r="399" spans="1:11" s="263" customFormat="1" ht="9" customHeight="1" x14ac:dyDescent="0.25">
      <c r="A399" s="263" t="s">
        <v>48</v>
      </c>
      <c r="B399" s="326">
        <v>8582</v>
      </c>
      <c r="D399" s="326">
        <f t="shared" si="30"/>
        <v>4070</v>
      </c>
      <c r="E399" s="326">
        <v>1456</v>
      </c>
      <c r="F399" s="326">
        <v>1700</v>
      </c>
      <c r="G399" s="326">
        <v>360</v>
      </c>
      <c r="H399" s="266">
        <v>554</v>
      </c>
      <c r="I399" s="326">
        <v>4534</v>
      </c>
      <c r="K399" s="326"/>
    </row>
    <row r="400" spans="1:11" s="263" customFormat="1" ht="9" customHeight="1" x14ac:dyDescent="0.25">
      <c r="A400" s="267" t="s">
        <v>49</v>
      </c>
      <c r="B400" s="328">
        <v>14918</v>
      </c>
      <c r="C400" s="267"/>
      <c r="D400" s="328">
        <f t="shared" si="30"/>
        <v>6770</v>
      </c>
      <c r="E400" s="328">
        <v>1210</v>
      </c>
      <c r="F400" s="328">
        <v>3138</v>
      </c>
      <c r="G400" s="328">
        <v>956</v>
      </c>
      <c r="H400" s="268">
        <v>1466</v>
      </c>
      <c r="I400" s="328">
        <v>8278</v>
      </c>
      <c r="K400" s="326"/>
    </row>
    <row r="401" spans="1:11" s="263" customFormat="1" ht="9" customHeight="1" x14ac:dyDescent="0.25">
      <c r="A401" s="263" t="s">
        <v>50</v>
      </c>
      <c r="B401" s="326">
        <v>3829</v>
      </c>
      <c r="D401" s="326">
        <f t="shared" si="30"/>
        <v>1853</v>
      </c>
      <c r="E401" s="326">
        <v>341</v>
      </c>
      <c r="F401" s="326">
        <v>957</v>
      </c>
      <c r="G401" s="326">
        <v>130</v>
      </c>
      <c r="H401" s="266">
        <v>425</v>
      </c>
      <c r="I401" s="326">
        <v>1996</v>
      </c>
      <c r="K401" s="326"/>
    </row>
    <row r="402" spans="1:11" s="263" customFormat="1" ht="9" customHeight="1" x14ac:dyDescent="0.25">
      <c r="A402" s="263" t="s">
        <v>51</v>
      </c>
      <c r="B402" s="326">
        <v>24938</v>
      </c>
      <c r="D402" s="326">
        <f t="shared" si="30"/>
        <v>11812</v>
      </c>
      <c r="E402" s="326">
        <v>2928</v>
      </c>
      <c r="F402" s="326">
        <v>5205</v>
      </c>
      <c r="G402" s="326">
        <v>910</v>
      </c>
      <c r="H402" s="266">
        <v>2769</v>
      </c>
      <c r="I402" s="326">
        <v>13257</v>
      </c>
      <c r="K402" s="326"/>
    </row>
    <row r="403" spans="1:11" s="263" customFormat="1" ht="9" customHeight="1" x14ac:dyDescent="0.25">
      <c r="A403" s="263" t="s">
        <v>52</v>
      </c>
      <c r="B403" s="326">
        <v>7944</v>
      </c>
      <c r="D403" s="326">
        <f t="shared" si="30"/>
        <v>3823</v>
      </c>
      <c r="E403" s="326">
        <v>977</v>
      </c>
      <c r="F403" s="326">
        <v>1250</v>
      </c>
      <c r="G403" s="326">
        <v>390</v>
      </c>
      <c r="H403" s="266">
        <v>1206</v>
      </c>
      <c r="I403" s="326">
        <v>4182</v>
      </c>
      <c r="K403" s="326"/>
    </row>
    <row r="404" spans="1:11" s="263" customFormat="1" ht="9" customHeight="1" x14ac:dyDescent="0.25">
      <c r="A404" s="267" t="s">
        <v>53</v>
      </c>
      <c r="B404" s="328">
        <v>4512</v>
      </c>
      <c r="C404" s="267"/>
      <c r="D404" s="328">
        <f t="shared" si="30"/>
        <v>2280</v>
      </c>
      <c r="E404" s="328">
        <v>649</v>
      </c>
      <c r="F404" s="328">
        <v>1007</v>
      </c>
      <c r="G404" s="328">
        <v>177</v>
      </c>
      <c r="H404" s="268">
        <v>447</v>
      </c>
      <c r="I404" s="328">
        <v>2290</v>
      </c>
      <c r="K404" s="326"/>
    </row>
    <row r="405" spans="1:11" s="263" customFormat="1" ht="4.9000000000000004" customHeight="1" x14ac:dyDescent="0.25">
      <c r="D405" s="326"/>
      <c r="E405" s="326"/>
      <c r="F405" s="326"/>
      <c r="G405" s="326"/>
      <c r="H405" s="266"/>
      <c r="I405" s="289"/>
      <c r="K405" s="326"/>
    </row>
    <row r="406" spans="1:11" s="263" customFormat="1" ht="9" customHeight="1" x14ac:dyDescent="0.25">
      <c r="A406" s="261">
        <v>2006</v>
      </c>
      <c r="B406" s="261"/>
      <c r="C406" s="261"/>
      <c r="D406" s="262"/>
      <c r="E406" s="271"/>
      <c r="F406" s="271"/>
      <c r="G406" s="271"/>
      <c r="H406" s="271"/>
      <c r="I406" s="271"/>
      <c r="K406" s="326"/>
    </row>
    <row r="407" spans="1:11" s="263" customFormat="1" ht="9" customHeight="1" x14ac:dyDescent="0.25">
      <c r="A407" s="264" t="s">
        <v>21</v>
      </c>
      <c r="B407" s="325">
        <f>SUM(B409:B440)</f>
        <v>463176</v>
      </c>
      <c r="C407" s="325"/>
      <c r="D407" s="325">
        <f t="shared" ref="D407:I407" si="31">SUM(D409:D440)</f>
        <v>214162</v>
      </c>
      <c r="E407" s="325">
        <f t="shared" si="31"/>
        <v>72185</v>
      </c>
      <c r="F407" s="325">
        <f t="shared" si="31"/>
        <v>92518</v>
      </c>
      <c r="G407" s="325">
        <f t="shared" si="31"/>
        <v>24855</v>
      </c>
      <c r="H407" s="325">
        <f t="shared" si="31"/>
        <v>24604</v>
      </c>
      <c r="I407" s="332">
        <f t="shared" si="31"/>
        <v>249014</v>
      </c>
      <c r="K407" s="326"/>
    </row>
    <row r="408" spans="1:11" s="263" customFormat="1" ht="3.95" customHeight="1" x14ac:dyDescent="0.25">
      <c r="A408" s="264"/>
      <c r="B408" s="325"/>
      <c r="C408" s="325"/>
      <c r="D408" s="325"/>
      <c r="E408" s="325"/>
      <c r="F408" s="325"/>
      <c r="G408" s="325"/>
      <c r="H408" s="325"/>
      <c r="I408" s="325"/>
      <c r="K408" s="326"/>
    </row>
    <row r="409" spans="1:11" s="263" customFormat="1" ht="9" customHeight="1" x14ac:dyDescent="0.25">
      <c r="A409" s="263" t="s">
        <v>23</v>
      </c>
      <c r="B409" s="326">
        <f>SUM(D409,I409)</f>
        <v>6243</v>
      </c>
      <c r="C409" s="326"/>
      <c r="D409" s="326">
        <f>SUM(E409:H409)</f>
        <v>2982</v>
      </c>
      <c r="E409" s="326">
        <v>938</v>
      </c>
      <c r="F409" s="326">
        <v>1310</v>
      </c>
      <c r="G409" s="326">
        <v>343</v>
      </c>
      <c r="H409" s="266">
        <v>391</v>
      </c>
      <c r="I409" s="326">
        <v>3261</v>
      </c>
      <c r="K409" s="326"/>
    </row>
    <row r="410" spans="1:11" s="263" customFormat="1" ht="9" customHeight="1" x14ac:dyDescent="0.25">
      <c r="A410" s="263" t="s">
        <v>24</v>
      </c>
      <c r="B410" s="326">
        <f t="shared" ref="B410:B440" si="32">SUM(D410,I410)</f>
        <v>11189</v>
      </c>
      <c r="C410" s="326"/>
      <c r="D410" s="326">
        <f t="shared" ref="D410:D440" si="33">SUM(E410:H410)</f>
        <v>5155</v>
      </c>
      <c r="E410" s="326">
        <v>1619</v>
      </c>
      <c r="F410" s="326">
        <v>2401</v>
      </c>
      <c r="G410" s="326">
        <v>601</v>
      </c>
      <c r="H410" s="266">
        <v>534</v>
      </c>
      <c r="I410" s="326">
        <v>6034</v>
      </c>
      <c r="K410" s="326"/>
    </row>
    <row r="411" spans="1:11" s="263" customFormat="1" ht="9" customHeight="1" x14ac:dyDescent="0.25">
      <c r="A411" s="263" t="s">
        <v>25</v>
      </c>
      <c r="B411" s="326">
        <f t="shared" si="32"/>
        <v>3287</v>
      </c>
      <c r="C411" s="326"/>
      <c r="D411" s="326">
        <f t="shared" si="33"/>
        <v>1480</v>
      </c>
      <c r="E411" s="326">
        <v>670</v>
      </c>
      <c r="F411" s="326">
        <v>605</v>
      </c>
      <c r="G411" s="326">
        <v>112</v>
      </c>
      <c r="H411" s="266">
        <v>93</v>
      </c>
      <c r="I411" s="326">
        <v>1807</v>
      </c>
      <c r="K411" s="326"/>
    </row>
    <row r="412" spans="1:11" s="263" customFormat="1" ht="9" customHeight="1" x14ac:dyDescent="0.25">
      <c r="A412" s="267" t="s">
        <v>26</v>
      </c>
      <c r="B412" s="328">
        <f t="shared" si="32"/>
        <v>3982</v>
      </c>
      <c r="C412" s="328"/>
      <c r="D412" s="328">
        <f t="shared" si="33"/>
        <v>2019</v>
      </c>
      <c r="E412" s="328">
        <v>904</v>
      </c>
      <c r="F412" s="328">
        <v>799</v>
      </c>
      <c r="G412" s="328">
        <v>128</v>
      </c>
      <c r="H412" s="268">
        <v>188</v>
      </c>
      <c r="I412" s="328">
        <v>1963</v>
      </c>
      <c r="K412" s="326"/>
    </row>
    <row r="413" spans="1:11" s="263" customFormat="1" ht="9" customHeight="1" x14ac:dyDescent="0.25">
      <c r="A413" s="263" t="s">
        <v>27</v>
      </c>
      <c r="B413" s="326">
        <f t="shared" si="32"/>
        <v>13769</v>
      </c>
      <c r="C413" s="326"/>
      <c r="D413" s="326">
        <f t="shared" si="33"/>
        <v>6293</v>
      </c>
      <c r="E413" s="326">
        <v>1906</v>
      </c>
      <c r="F413" s="326">
        <v>2695</v>
      </c>
      <c r="G413" s="326">
        <v>828</v>
      </c>
      <c r="H413" s="266">
        <v>864</v>
      </c>
      <c r="I413" s="326">
        <v>7476</v>
      </c>
      <c r="K413" s="326"/>
    </row>
    <row r="414" spans="1:11" s="263" customFormat="1" ht="9" customHeight="1" x14ac:dyDescent="0.25">
      <c r="A414" s="263" t="s">
        <v>28</v>
      </c>
      <c r="B414" s="326">
        <f t="shared" si="32"/>
        <v>3438</v>
      </c>
      <c r="C414" s="326"/>
      <c r="D414" s="326">
        <f t="shared" si="33"/>
        <v>1668</v>
      </c>
      <c r="E414" s="326">
        <v>315</v>
      </c>
      <c r="F414" s="326">
        <v>956</v>
      </c>
      <c r="G414" s="326">
        <v>157</v>
      </c>
      <c r="H414" s="266">
        <v>240</v>
      </c>
      <c r="I414" s="326">
        <v>1770</v>
      </c>
      <c r="K414" s="326"/>
    </row>
    <row r="415" spans="1:11" s="263" customFormat="1" ht="9" customHeight="1" x14ac:dyDescent="0.25">
      <c r="A415" s="263" t="s">
        <v>29</v>
      </c>
      <c r="B415" s="326">
        <f t="shared" si="32"/>
        <v>11361</v>
      </c>
      <c r="C415" s="326"/>
      <c r="D415" s="326">
        <f t="shared" si="33"/>
        <v>5625</v>
      </c>
      <c r="E415" s="326">
        <v>2505</v>
      </c>
      <c r="F415" s="326">
        <v>2165</v>
      </c>
      <c r="G415" s="326">
        <v>238</v>
      </c>
      <c r="H415" s="266">
        <v>717</v>
      </c>
      <c r="I415" s="326">
        <v>5736</v>
      </c>
      <c r="K415" s="326"/>
    </row>
    <row r="416" spans="1:11" s="263" customFormat="1" ht="9" customHeight="1" x14ac:dyDescent="0.25">
      <c r="A416" s="267" t="s">
        <v>30</v>
      </c>
      <c r="B416" s="328">
        <f t="shared" si="32"/>
        <v>13286</v>
      </c>
      <c r="C416" s="328"/>
      <c r="D416" s="328">
        <f t="shared" si="33"/>
        <v>6273</v>
      </c>
      <c r="E416" s="328">
        <v>2608</v>
      </c>
      <c r="F416" s="328">
        <v>2462</v>
      </c>
      <c r="G416" s="328">
        <v>614</v>
      </c>
      <c r="H416" s="268">
        <v>589</v>
      </c>
      <c r="I416" s="328">
        <v>7013</v>
      </c>
      <c r="K416" s="326"/>
    </row>
    <row r="417" spans="1:11" s="263" customFormat="1" ht="9" customHeight="1" x14ac:dyDescent="0.25">
      <c r="A417" s="263" t="s">
        <v>63</v>
      </c>
      <c r="B417" s="326">
        <f t="shared" si="32"/>
        <v>96771</v>
      </c>
      <c r="C417" s="326"/>
      <c r="D417" s="326">
        <f t="shared" si="33"/>
        <v>41126</v>
      </c>
      <c r="E417" s="326">
        <v>11440</v>
      </c>
      <c r="F417" s="326">
        <v>18633</v>
      </c>
      <c r="G417" s="326">
        <v>7028</v>
      </c>
      <c r="H417" s="266">
        <v>4025</v>
      </c>
      <c r="I417" s="326">
        <v>55645</v>
      </c>
      <c r="K417" s="326"/>
    </row>
    <row r="418" spans="1:11" s="263" customFormat="1" ht="9" customHeight="1" x14ac:dyDescent="0.25">
      <c r="A418" s="263" t="s">
        <v>31</v>
      </c>
      <c r="B418" s="326">
        <f t="shared" si="32"/>
        <v>7054</v>
      </c>
      <c r="C418" s="326"/>
      <c r="D418" s="326">
        <f t="shared" si="33"/>
        <v>3340</v>
      </c>
      <c r="E418" s="326">
        <v>1141</v>
      </c>
      <c r="F418" s="326">
        <v>1431</v>
      </c>
      <c r="G418" s="326">
        <v>437</v>
      </c>
      <c r="H418" s="266">
        <v>331</v>
      </c>
      <c r="I418" s="326">
        <v>3714</v>
      </c>
      <c r="K418" s="326"/>
    </row>
    <row r="419" spans="1:11" s="263" customFormat="1" ht="9" customHeight="1" x14ac:dyDescent="0.25">
      <c r="A419" s="263" t="s">
        <v>32</v>
      </c>
      <c r="B419" s="326">
        <f t="shared" si="32"/>
        <v>16173</v>
      </c>
      <c r="C419" s="326"/>
      <c r="D419" s="326">
        <f t="shared" si="33"/>
        <v>8442</v>
      </c>
      <c r="E419" s="326">
        <v>3391</v>
      </c>
      <c r="F419" s="326">
        <v>3599</v>
      </c>
      <c r="G419" s="326">
        <v>729</v>
      </c>
      <c r="H419" s="266">
        <v>723</v>
      </c>
      <c r="I419" s="326">
        <v>7731</v>
      </c>
      <c r="K419" s="326"/>
    </row>
    <row r="420" spans="1:11" s="263" customFormat="1" ht="9" customHeight="1" x14ac:dyDescent="0.25">
      <c r="A420" s="267" t="s">
        <v>33</v>
      </c>
      <c r="B420" s="328">
        <f t="shared" si="32"/>
        <v>11106</v>
      </c>
      <c r="C420" s="328"/>
      <c r="D420" s="328">
        <f t="shared" si="33"/>
        <v>5489</v>
      </c>
      <c r="E420" s="328">
        <v>1296</v>
      </c>
      <c r="F420" s="328">
        <v>3124</v>
      </c>
      <c r="G420" s="328">
        <v>480</v>
      </c>
      <c r="H420" s="268">
        <v>589</v>
      </c>
      <c r="I420" s="328">
        <v>5617</v>
      </c>
      <c r="K420" s="326"/>
    </row>
    <row r="421" spans="1:11" s="263" customFormat="1" ht="9" customHeight="1" x14ac:dyDescent="0.25">
      <c r="A421" s="263" t="s">
        <v>34</v>
      </c>
      <c r="B421" s="326">
        <f t="shared" si="32"/>
        <v>9114</v>
      </c>
      <c r="C421" s="326"/>
      <c r="D421" s="326">
        <f t="shared" si="33"/>
        <v>4498</v>
      </c>
      <c r="E421" s="326">
        <v>1895</v>
      </c>
      <c r="F421" s="326">
        <v>1756</v>
      </c>
      <c r="G421" s="326">
        <v>299</v>
      </c>
      <c r="H421" s="266">
        <v>548</v>
      </c>
      <c r="I421" s="326">
        <v>4616</v>
      </c>
      <c r="K421" s="326"/>
    </row>
    <row r="422" spans="1:11" s="263" customFormat="1" ht="9" customHeight="1" x14ac:dyDescent="0.25">
      <c r="A422" s="263" t="s">
        <v>35</v>
      </c>
      <c r="B422" s="326">
        <f t="shared" si="32"/>
        <v>29300</v>
      </c>
      <c r="C422" s="326"/>
      <c r="D422" s="326">
        <f t="shared" si="33"/>
        <v>14206</v>
      </c>
      <c r="E422" s="326">
        <v>5032</v>
      </c>
      <c r="F422" s="326">
        <v>5985</v>
      </c>
      <c r="G422" s="326">
        <v>1557</v>
      </c>
      <c r="H422" s="266">
        <v>1632</v>
      </c>
      <c r="I422" s="326">
        <v>15094</v>
      </c>
      <c r="K422" s="326"/>
    </row>
    <row r="423" spans="1:11" s="263" customFormat="1" ht="9" customHeight="1" x14ac:dyDescent="0.25">
      <c r="A423" s="263" t="s">
        <v>36</v>
      </c>
      <c r="B423" s="326">
        <f t="shared" si="32"/>
        <v>41282</v>
      </c>
      <c r="C423" s="326"/>
      <c r="D423" s="326">
        <f t="shared" si="33"/>
        <v>16371</v>
      </c>
      <c r="E423" s="326">
        <v>5377</v>
      </c>
      <c r="F423" s="326">
        <v>6661</v>
      </c>
      <c r="G423" s="326">
        <v>1733</v>
      </c>
      <c r="H423" s="266">
        <v>2600</v>
      </c>
      <c r="I423" s="326">
        <v>24911</v>
      </c>
      <c r="K423" s="326"/>
    </row>
    <row r="424" spans="1:11" s="263" customFormat="1" ht="9" customHeight="1" x14ac:dyDescent="0.25">
      <c r="A424" s="267" t="s">
        <v>37</v>
      </c>
      <c r="B424" s="328">
        <f t="shared" si="32"/>
        <v>12398</v>
      </c>
      <c r="C424" s="328"/>
      <c r="D424" s="328">
        <f t="shared" si="33"/>
        <v>6049</v>
      </c>
      <c r="E424" s="328">
        <v>1648</v>
      </c>
      <c r="F424" s="328">
        <v>2767</v>
      </c>
      <c r="G424" s="328">
        <v>731</v>
      </c>
      <c r="H424" s="268">
        <v>903</v>
      </c>
      <c r="I424" s="328">
        <v>6349</v>
      </c>
      <c r="K424" s="326"/>
    </row>
    <row r="425" spans="1:11" s="263" customFormat="1" ht="9" customHeight="1" x14ac:dyDescent="0.25">
      <c r="A425" s="263" t="s">
        <v>38</v>
      </c>
      <c r="B425" s="326">
        <f t="shared" si="32"/>
        <v>6744</v>
      </c>
      <c r="C425" s="326"/>
      <c r="D425" s="326">
        <f t="shared" si="33"/>
        <v>3237</v>
      </c>
      <c r="E425" s="326">
        <v>766</v>
      </c>
      <c r="F425" s="326">
        <v>1615</v>
      </c>
      <c r="G425" s="326">
        <v>455</v>
      </c>
      <c r="H425" s="266">
        <v>401</v>
      </c>
      <c r="I425" s="326">
        <v>3507</v>
      </c>
      <c r="K425" s="326"/>
    </row>
    <row r="426" spans="1:11" s="263" customFormat="1" ht="9" customHeight="1" x14ac:dyDescent="0.25">
      <c r="A426" s="263" t="s">
        <v>39</v>
      </c>
      <c r="B426" s="326">
        <f t="shared" si="32"/>
        <v>5059</v>
      </c>
      <c r="C426" s="326"/>
      <c r="D426" s="326">
        <f t="shared" si="33"/>
        <v>2473</v>
      </c>
      <c r="E426" s="326">
        <v>614</v>
      </c>
      <c r="F426" s="326">
        <v>1254</v>
      </c>
      <c r="G426" s="326">
        <v>323</v>
      </c>
      <c r="H426" s="266">
        <v>282</v>
      </c>
      <c r="I426" s="326">
        <v>2586</v>
      </c>
      <c r="K426" s="326"/>
    </row>
    <row r="427" spans="1:11" s="263" customFormat="1" ht="9" customHeight="1" x14ac:dyDescent="0.25">
      <c r="A427" s="263" t="s">
        <v>40</v>
      </c>
      <c r="B427" s="326">
        <f t="shared" si="32"/>
        <v>21293</v>
      </c>
      <c r="C427" s="326"/>
      <c r="D427" s="326">
        <f t="shared" si="33"/>
        <v>9904</v>
      </c>
      <c r="E427" s="326">
        <v>3428</v>
      </c>
      <c r="F427" s="326">
        <v>3783</v>
      </c>
      <c r="G427" s="326">
        <v>1520</v>
      </c>
      <c r="H427" s="266">
        <v>1173</v>
      </c>
      <c r="I427" s="326">
        <v>11389</v>
      </c>
      <c r="K427" s="326"/>
    </row>
    <row r="428" spans="1:11" s="263" customFormat="1" ht="9" customHeight="1" x14ac:dyDescent="0.25">
      <c r="A428" s="267" t="s">
        <v>41</v>
      </c>
      <c r="B428" s="328">
        <f t="shared" si="32"/>
        <v>9800</v>
      </c>
      <c r="C428" s="328"/>
      <c r="D428" s="328">
        <f t="shared" si="33"/>
        <v>5136</v>
      </c>
      <c r="E428" s="328">
        <v>1962</v>
      </c>
      <c r="F428" s="328">
        <v>1965</v>
      </c>
      <c r="G428" s="328">
        <v>431</v>
      </c>
      <c r="H428" s="268">
        <v>778</v>
      </c>
      <c r="I428" s="328">
        <v>4664</v>
      </c>
      <c r="K428" s="326"/>
    </row>
    <row r="429" spans="1:11" s="263" customFormat="1" ht="9" customHeight="1" x14ac:dyDescent="0.25">
      <c r="A429" s="263" t="s">
        <v>42</v>
      </c>
      <c r="B429" s="326">
        <f t="shared" si="32"/>
        <v>17121</v>
      </c>
      <c r="C429" s="326"/>
      <c r="D429" s="326">
        <f t="shared" si="33"/>
        <v>8112</v>
      </c>
      <c r="E429" s="326">
        <v>3012</v>
      </c>
      <c r="F429" s="326">
        <v>2875</v>
      </c>
      <c r="G429" s="326">
        <v>1021</v>
      </c>
      <c r="H429" s="266">
        <v>1204</v>
      </c>
      <c r="I429" s="326">
        <v>9009</v>
      </c>
      <c r="K429" s="326"/>
    </row>
    <row r="430" spans="1:11" s="263" customFormat="1" ht="9" customHeight="1" x14ac:dyDescent="0.25">
      <c r="A430" s="263" t="s">
        <v>43</v>
      </c>
      <c r="B430" s="326">
        <f t="shared" si="32"/>
        <v>5680</v>
      </c>
      <c r="C430" s="326"/>
      <c r="D430" s="326">
        <f t="shared" si="33"/>
        <v>2878</v>
      </c>
      <c r="E430" s="326">
        <v>1097</v>
      </c>
      <c r="F430" s="326">
        <v>1208</v>
      </c>
      <c r="G430" s="326">
        <v>341</v>
      </c>
      <c r="H430" s="266">
        <v>232</v>
      </c>
      <c r="I430" s="326">
        <v>2802</v>
      </c>
      <c r="K430" s="326"/>
    </row>
    <row r="431" spans="1:11" s="263" customFormat="1" ht="9" customHeight="1" x14ac:dyDescent="0.25">
      <c r="A431" s="263" t="s">
        <v>44</v>
      </c>
      <c r="B431" s="326">
        <f t="shared" si="32"/>
        <v>3727</v>
      </c>
      <c r="C431" s="326"/>
      <c r="D431" s="326">
        <f t="shared" si="33"/>
        <v>1688</v>
      </c>
      <c r="E431" s="326">
        <v>656</v>
      </c>
      <c r="F431" s="326">
        <v>740</v>
      </c>
      <c r="G431" s="326">
        <v>155</v>
      </c>
      <c r="H431" s="266">
        <v>137</v>
      </c>
      <c r="I431" s="326">
        <v>2039</v>
      </c>
      <c r="K431" s="326"/>
    </row>
    <row r="432" spans="1:11" s="263" customFormat="1" ht="9" customHeight="1" x14ac:dyDescent="0.25">
      <c r="A432" s="267" t="s">
        <v>45</v>
      </c>
      <c r="B432" s="328">
        <f t="shared" si="32"/>
        <v>9096</v>
      </c>
      <c r="C432" s="328"/>
      <c r="D432" s="328">
        <f t="shared" si="33"/>
        <v>4363</v>
      </c>
      <c r="E432" s="328">
        <v>1852</v>
      </c>
      <c r="F432" s="328">
        <v>1774</v>
      </c>
      <c r="G432" s="328">
        <v>327</v>
      </c>
      <c r="H432" s="268">
        <v>410</v>
      </c>
      <c r="I432" s="328">
        <v>4733</v>
      </c>
      <c r="K432" s="326"/>
    </row>
    <row r="433" spans="1:11" s="263" customFormat="1" ht="9" customHeight="1" x14ac:dyDescent="0.25">
      <c r="A433" s="263" t="s">
        <v>46</v>
      </c>
      <c r="B433" s="326">
        <f t="shared" si="32"/>
        <v>13266</v>
      </c>
      <c r="C433" s="326"/>
      <c r="D433" s="326">
        <f t="shared" si="33"/>
        <v>6196</v>
      </c>
      <c r="E433" s="326">
        <v>1910</v>
      </c>
      <c r="F433" s="326">
        <v>2914</v>
      </c>
      <c r="G433" s="326">
        <v>608</v>
      </c>
      <c r="H433" s="266">
        <v>764</v>
      </c>
      <c r="I433" s="326">
        <v>7070</v>
      </c>
      <c r="K433" s="326"/>
    </row>
    <row r="434" spans="1:11" s="263" customFormat="1" ht="9" customHeight="1" x14ac:dyDescent="0.25">
      <c r="A434" s="263" t="s">
        <v>47</v>
      </c>
      <c r="B434" s="326">
        <f t="shared" si="32"/>
        <v>13479</v>
      </c>
      <c r="C434" s="326"/>
      <c r="D434" s="326">
        <f t="shared" si="33"/>
        <v>5881</v>
      </c>
      <c r="E434" s="326">
        <v>2123</v>
      </c>
      <c r="F434" s="326">
        <v>2476</v>
      </c>
      <c r="G434" s="326">
        <v>505</v>
      </c>
      <c r="H434" s="266">
        <v>777</v>
      </c>
      <c r="I434" s="326">
        <v>7598</v>
      </c>
      <c r="K434" s="326"/>
    </row>
    <row r="435" spans="1:11" s="263" customFormat="1" ht="9" customHeight="1" x14ac:dyDescent="0.25">
      <c r="A435" s="263" t="s">
        <v>48</v>
      </c>
      <c r="B435" s="326">
        <f t="shared" si="32"/>
        <v>8794</v>
      </c>
      <c r="C435" s="326"/>
      <c r="D435" s="326">
        <f t="shared" si="33"/>
        <v>4430</v>
      </c>
      <c r="E435" s="326">
        <v>1779</v>
      </c>
      <c r="F435" s="326">
        <v>1930</v>
      </c>
      <c r="G435" s="326">
        <v>363</v>
      </c>
      <c r="H435" s="266">
        <v>358</v>
      </c>
      <c r="I435" s="326">
        <v>4364</v>
      </c>
      <c r="K435" s="326"/>
    </row>
    <row r="436" spans="1:11" s="263" customFormat="1" ht="9" customHeight="1" x14ac:dyDescent="0.25">
      <c r="A436" s="267" t="s">
        <v>49</v>
      </c>
      <c r="B436" s="328">
        <f t="shared" si="32"/>
        <v>15532</v>
      </c>
      <c r="C436" s="328"/>
      <c r="D436" s="328">
        <f t="shared" si="33"/>
        <v>7099</v>
      </c>
      <c r="E436" s="328">
        <v>1962</v>
      </c>
      <c r="F436" s="328">
        <v>3250</v>
      </c>
      <c r="G436" s="328">
        <v>1067</v>
      </c>
      <c r="H436" s="268">
        <v>820</v>
      </c>
      <c r="I436" s="328">
        <v>8433</v>
      </c>
      <c r="K436" s="326"/>
    </row>
    <row r="437" spans="1:11" s="263" customFormat="1" ht="9" customHeight="1" x14ac:dyDescent="0.25">
      <c r="A437" s="263" t="s">
        <v>50</v>
      </c>
      <c r="B437" s="326">
        <f t="shared" si="32"/>
        <v>3984</v>
      </c>
      <c r="C437" s="326"/>
      <c r="D437" s="326">
        <f t="shared" si="33"/>
        <v>1964</v>
      </c>
      <c r="E437" s="326">
        <v>538</v>
      </c>
      <c r="F437" s="326">
        <v>1009</v>
      </c>
      <c r="G437" s="326">
        <v>152</v>
      </c>
      <c r="H437" s="266">
        <v>265</v>
      </c>
      <c r="I437" s="326">
        <v>2020</v>
      </c>
      <c r="K437" s="326"/>
    </row>
    <row r="438" spans="1:11" s="263" customFormat="1" ht="9" customHeight="1" x14ac:dyDescent="0.25">
      <c r="A438" s="263" t="s">
        <v>51</v>
      </c>
      <c r="B438" s="326">
        <f t="shared" si="32"/>
        <v>26837</v>
      </c>
      <c r="C438" s="326"/>
      <c r="D438" s="326">
        <f t="shared" si="33"/>
        <v>13143</v>
      </c>
      <c r="E438" s="326">
        <v>5078</v>
      </c>
      <c r="F438" s="326">
        <v>5948</v>
      </c>
      <c r="G438" s="326">
        <v>964</v>
      </c>
      <c r="H438" s="266">
        <v>1153</v>
      </c>
      <c r="I438" s="326">
        <v>13694</v>
      </c>
      <c r="K438" s="326"/>
    </row>
    <row r="439" spans="1:11" s="263" customFormat="1" ht="9" customHeight="1" x14ac:dyDescent="0.25">
      <c r="A439" s="263" t="s">
        <v>52</v>
      </c>
      <c r="B439" s="326">
        <f t="shared" si="32"/>
        <v>8699</v>
      </c>
      <c r="C439" s="326"/>
      <c r="D439" s="326">
        <f t="shared" si="33"/>
        <v>4252</v>
      </c>
      <c r="E439" s="326">
        <v>1826</v>
      </c>
      <c r="F439" s="326">
        <v>1377</v>
      </c>
      <c r="G439" s="326">
        <v>419</v>
      </c>
      <c r="H439" s="266">
        <v>630</v>
      </c>
      <c r="I439" s="326">
        <v>4447</v>
      </c>
      <c r="K439" s="326"/>
    </row>
    <row r="440" spans="1:11" s="263" customFormat="1" ht="9" customHeight="1" x14ac:dyDescent="0.25">
      <c r="A440" s="267" t="s">
        <v>53</v>
      </c>
      <c r="B440" s="328">
        <f t="shared" si="32"/>
        <v>4312</v>
      </c>
      <c r="C440" s="328"/>
      <c r="D440" s="328">
        <f t="shared" si="33"/>
        <v>2390</v>
      </c>
      <c r="E440" s="328">
        <v>897</v>
      </c>
      <c r="F440" s="328">
        <v>1051</v>
      </c>
      <c r="G440" s="328">
        <v>189</v>
      </c>
      <c r="H440" s="268">
        <v>253</v>
      </c>
      <c r="I440" s="328">
        <v>1922</v>
      </c>
      <c r="K440" s="326"/>
    </row>
    <row r="441" spans="1:11" s="263" customFormat="1" ht="4.9000000000000004" customHeight="1" x14ac:dyDescent="0.25">
      <c r="D441" s="326"/>
      <c r="E441" s="326"/>
      <c r="F441" s="326"/>
      <c r="G441" s="326"/>
      <c r="H441" s="266"/>
      <c r="I441" s="289"/>
      <c r="K441" s="326"/>
    </row>
    <row r="442" spans="1:11" s="263" customFormat="1" ht="9" customHeight="1" x14ac:dyDescent="0.25">
      <c r="A442" s="261">
        <v>2007</v>
      </c>
      <c r="B442" s="261"/>
      <c r="C442" s="261"/>
      <c r="D442" s="262"/>
      <c r="E442" s="271"/>
      <c r="F442" s="271"/>
      <c r="G442" s="271"/>
      <c r="H442" s="271"/>
      <c r="I442" s="271"/>
      <c r="K442" s="326"/>
    </row>
    <row r="443" spans="1:11" s="263" customFormat="1" ht="9" customHeight="1" x14ac:dyDescent="0.25">
      <c r="A443" s="264" t="s">
        <v>21</v>
      </c>
      <c r="B443" s="325">
        <f>SUM(B445:B476)</f>
        <v>490284</v>
      </c>
      <c r="C443" s="325"/>
      <c r="D443" s="325">
        <f t="shared" ref="D443:I443" si="34">SUM(D445:D476)</f>
        <v>223081</v>
      </c>
      <c r="E443" s="325">
        <f t="shared" si="34"/>
        <v>73285</v>
      </c>
      <c r="F443" s="325">
        <f t="shared" si="34"/>
        <v>99008</v>
      </c>
      <c r="G443" s="325">
        <f t="shared" si="34"/>
        <v>27229</v>
      </c>
      <c r="H443" s="325">
        <f t="shared" si="34"/>
        <v>23559</v>
      </c>
      <c r="I443" s="332">
        <f t="shared" si="34"/>
        <v>267203</v>
      </c>
      <c r="K443" s="326"/>
    </row>
    <row r="444" spans="1:11" s="263" customFormat="1" ht="3.95" customHeight="1" x14ac:dyDescent="0.25">
      <c r="A444" s="264"/>
      <c r="B444" s="325"/>
      <c r="C444" s="325"/>
      <c r="D444" s="325"/>
      <c r="E444" s="325"/>
      <c r="F444" s="325"/>
      <c r="G444" s="325"/>
      <c r="H444" s="325"/>
      <c r="I444" s="325"/>
      <c r="K444" s="326"/>
    </row>
    <row r="445" spans="1:11" s="263" customFormat="1" ht="9" customHeight="1" x14ac:dyDescent="0.25">
      <c r="A445" s="263" t="s">
        <v>23</v>
      </c>
      <c r="B445" s="326">
        <f>SUM(D445,I445)</f>
        <v>6449</v>
      </c>
      <c r="C445" s="326"/>
      <c r="D445" s="326">
        <f t="shared" ref="D445:D476" si="35">SUM(E445:H445)</f>
        <v>3040</v>
      </c>
      <c r="E445" s="326">
        <v>956</v>
      </c>
      <c r="F445" s="326">
        <v>1319</v>
      </c>
      <c r="G445" s="326">
        <v>369</v>
      </c>
      <c r="H445" s="266">
        <v>396</v>
      </c>
      <c r="I445" s="326">
        <v>3409</v>
      </c>
      <c r="K445" s="326"/>
    </row>
    <row r="446" spans="1:11" s="263" customFormat="1" ht="9" customHeight="1" x14ac:dyDescent="0.25">
      <c r="A446" s="263" t="s">
        <v>24</v>
      </c>
      <c r="B446" s="326">
        <f t="shared" ref="B446:B476" si="36">SUM(D446,I446)</f>
        <v>11775</v>
      </c>
      <c r="C446" s="326"/>
      <c r="D446" s="326">
        <f t="shared" si="35"/>
        <v>5453</v>
      </c>
      <c r="E446" s="326">
        <v>1705</v>
      </c>
      <c r="F446" s="326">
        <v>2495</v>
      </c>
      <c r="G446" s="326">
        <v>749</v>
      </c>
      <c r="H446" s="266">
        <v>504</v>
      </c>
      <c r="I446" s="326">
        <v>6322</v>
      </c>
      <c r="K446" s="326"/>
    </row>
    <row r="447" spans="1:11" s="263" customFormat="1" ht="9" customHeight="1" x14ac:dyDescent="0.25">
      <c r="A447" s="263" t="s">
        <v>25</v>
      </c>
      <c r="B447" s="326">
        <f t="shared" si="36"/>
        <v>3378</v>
      </c>
      <c r="C447" s="326"/>
      <c r="D447" s="326">
        <f>SUM(E447:H447)</f>
        <v>1530</v>
      </c>
      <c r="E447" s="326">
        <v>707</v>
      </c>
      <c r="F447" s="326">
        <v>611</v>
      </c>
      <c r="G447" s="326">
        <v>125</v>
      </c>
      <c r="H447" s="266">
        <v>87</v>
      </c>
      <c r="I447" s="326">
        <v>1848</v>
      </c>
      <c r="K447" s="326"/>
    </row>
    <row r="448" spans="1:11" s="263" customFormat="1" ht="9" customHeight="1" x14ac:dyDescent="0.25">
      <c r="A448" s="267" t="s">
        <v>26</v>
      </c>
      <c r="B448" s="328">
        <f t="shared" si="36"/>
        <v>4365</v>
      </c>
      <c r="C448" s="328"/>
      <c r="D448" s="328">
        <f t="shared" si="35"/>
        <v>2078</v>
      </c>
      <c r="E448" s="328">
        <v>839</v>
      </c>
      <c r="F448" s="328">
        <v>875</v>
      </c>
      <c r="G448" s="328">
        <v>157</v>
      </c>
      <c r="H448" s="268">
        <v>207</v>
      </c>
      <c r="I448" s="328">
        <v>2287</v>
      </c>
      <c r="K448" s="326"/>
    </row>
    <row r="449" spans="1:11" s="263" customFormat="1" ht="9" customHeight="1" x14ac:dyDescent="0.25">
      <c r="A449" s="263" t="s">
        <v>27</v>
      </c>
      <c r="B449" s="326">
        <f t="shared" si="36"/>
        <v>14142</v>
      </c>
      <c r="C449" s="326"/>
      <c r="D449" s="326">
        <f t="shared" si="35"/>
        <v>6628</v>
      </c>
      <c r="E449" s="326">
        <v>1904</v>
      </c>
      <c r="F449" s="326">
        <v>2930</v>
      </c>
      <c r="G449" s="326">
        <v>941</v>
      </c>
      <c r="H449" s="266">
        <v>853</v>
      </c>
      <c r="I449" s="326">
        <v>7514</v>
      </c>
      <c r="K449" s="326"/>
    </row>
    <row r="450" spans="1:11" s="263" customFormat="1" ht="9" customHeight="1" x14ac:dyDescent="0.25">
      <c r="A450" s="263" t="s">
        <v>28</v>
      </c>
      <c r="B450" s="326">
        <f t="shared" si="36"/>
        <v>3787</v>
      </c>
      <c r="C450" s="326"/>
      <c r="D450" s="326">
        <f t="shared" si="35"/>
        <v>1889</v>
      </c>
      <c r="E450" s="326">
        <v>339</v>
      </c>
      <c r="F450" s="326">
        <v>1105</v>
      </c>
      <c r="G450" s="326">
        <v>182</v>
      </c>
      <c r="H450" s="266">
        <v>263</v>
      </c>
      <c r="I450" s="326">
        <v>1898</v>
      </c>
      <c r="K450" s="326"/>
    </row>
    <row r="451" spans="1:11" s="263" customFormat="1" ht="9" customHeight="1" x14ac:dyDescent="0.25">
      <c r="A451" s="263" t="s">
        <v>29</v>
      </c>
      <c r="B451" s="326">
        <f t="shared" si="36"/>
        <v>12197</v>
      </c>
      <c r="C451" s="326"/>
      <c r="D451" s="326">
        <f t="shared" si="35"/>
        <v>6154</v>
      </c>
      <c r="E451" s="326">
        <v>2613</v>
      </c>
      <c r="F451" s="326">
        <v>2554</v>
      </c>
      <c r="G451" s="326">
        <v>274</v>
      </c>
      <c r="H451" s="266">
        <v>713</v>
      </c>
      <c r="I451" s="326">
        <v>6043</v>
      </c>
      <c r="K451" s="326"/>
    </row>
    <row r="452" spans="1:11" s="263" customFormat="1" ht="9" customHeight="1" x14ac:dyDescent="0.25">
      <c r="A452" s="267" t="s">
        <v>30</v>
      </c>
      <c r="B452" s="328">
        <f t="shared" si="36"/>
        <v>14764</v>
      </c>
      <c r="C452" s="328"/>
      <c r="D452" s="328">
        <f t="shared" si="35"/>
        <v>6989</v>
      </c>
      <c r="E452" s="328">
        <v>2920</v>
      </c>
      <c r="F452" s="328">
        <v>2779</v>
      </c>
      <c r="G452" s="328">
        <v>648</v>
      </c>
      <c r="H452" s="268">
        <v>642</v>
      </c>
      <c r="I452" s="328">
        <v>7775</v>
      </c>
      <c r="K452" s="326"/>
    </row>
    <row r="453" spans="1:11" s="263" customFormat="1" ht="9" customHeight="1" x14ac:dyDescent="0.25">
      <c r="A453" s="263" t="s">
        <v>63</v>
      </c>
      <c r="B453" s="326">
        <f t="shared" si="36"/>
        <v>100144</v>
      </c>
      <c r="C453" s="326"/>
      <c r="D453" s="326">
        <f t="shared" si="35"/>
        <v>41484</v>
      </c>
      <c r="E453" s="326">
        <v>11357</v>
      </c>
      <c r="F453" s="326">
        <v>18775</v>
      </c>
      <c r="G453" s="326">
        <v>7543</v>
      </c>
      <c r="H453" s="266">
        <v>3809</v>
      </c>
      <c r="I453" s="326">
        <v>58660</v>
      </c>
      <c r="K453" s="326"/>
    </row>
    <row r="454" spans="1:11" s="263" customFormat="1" ht="9" customHeight="1" x14ac:dyDescent="0.25">
      <c r="A454" s="263" t="s">
        <v>31</v>
      </c>
      <c r="B454" s="326">
        <f t="shared" si="36"/>
        <v>7491</v>
      </c>
      <c r="C454" s="326"/>
      <c r="D454" s="326">
        <f t="shared" si="35"/>
        <v>3581</v>
      </c>
      <c r="E454" s="326">
        <v>1151</v>
      </c>
      <c r="F454" s="326">
        <v>1696</v>
      </c>
      <c r="G454" s="326">
        <v>435</v>
      </c>
      <c r="H454" s="266">
        <v>299</v>
      </c>
      <c r="I454" s="326">
        <v>3910</v>
      </c>
      <c r="K454" s="326"/>
    </row>
    <row r="455" spans="1:11" s="263" customFormat="1" ht="9" customHeight="1" x14ac:dyDescent="0.25">
      <c r="A455" s="263" t="s">
        <v>32</v>
      </c>
      <c r="B455" s="326">
        <f t="shared" si="36"/>
        <v>16564</v>
      </c>
      <c r="C455" s="326"/>
      <c r="D455" s="326">
        <f t="shared" si="35"/>
        <v>8534</v>
      </c>
      <c r="E455" s="326">
        <v>3285</v>
      </c>
      <c r="F455" s="326">
        <v>3766</v>
      </c>
      <c r="G455" s="326">
        <v>737</v>
      </c>
      <c r="H455" s="266">
        <v>746</v>
      </c>
      <c r="I455" s="326">
        <v>8030</v>
      </c>
      <c r="K455" s="326"/>
    </row>
    <row r="456" spans="1:11" s="263" customFormat="1" ht="9" customHeight="1" x14ac:dyDescent="0.25">
      <c r="A456" s="267" t="s">
        <v>33</v>
      </c>
      <c r="B456" s="328">
        <f t="shared" si="36"/>
        <v>11423</v>
      </c>
      <c r="C456" s="328"/>
      <c r="D456" s="328">
        <f t="shared" si="35"/>
        <v>5718</v>
      </c>
      <c r="E456" s="328">
        <v>1343</v>
      </c>
      <c r="F456" s="328">
        <v>3168</v>
      </c>
      <c r="G456" s="328">
        <v>547</v>
      </c>
      <c r="H456" s="268">
        <v>660</v>
      </c>
      <c r="I456" s="328">
        <v>5705</v>
      </c>
      <c r="K456" s="326"/>
    </row>
    <row r="457" spans="1:11" s="263" customFormat="1" ht="9" customHeight="1" x14ac:dyDescent="0.25">
      <c r="A457" s="263" t="s">
        <v>34</v>
      </c>
      <c r="B457" s="326">
        <f t="shared" si="36"/>
        <v>9747</v>
      </c>
      <c r="C457" s="326"/>
      <c r="D457" s="326">
        <f t="shared" si="35"/>
        <v>4735</v>
      </c>
      <c r="E457" s="326">
        <v>1906</v>
      </c>
      <c r="F457" s="326">
        <v>1946</v>
      </c>
      <c r="G457" s="326">
        <v>347</v>
      </c>
      <c r="H457" s="266">
        <v>536</v>
      </c>
      <c r="I457" s="326">
        <v>5012</v>
      </c>
      <c r="K457" s="326"/>
    </row>
    <row r="458" spans="1:11" s="263" customFormat="1" ht="9" customHeight="1" x14ac:dyDescent="0.25">
      <c r="A458" s="263" t="s">
        <v>35</v>
      </c>
      <c r="B458" s="326">
        <f t="shared" si="36"/>
        <v>30391</v>
      </c>
      <c r="C458" s="326"/>
      <c r="D458" s="326">
        <f t="shared" si="35"/>
        <v>14564</v>
      </c>
      <c r="E458" s="326">
        <v>5144</v>
      </c>
      <c r="F458" s="326">
        <v>6185</v>
      </c>
      <c r="G458" s="326">
        <v>1553</v>
      </c>
      <c r="H458" s="266">
        <v>1682</v>
      </c>
      <c r="I458" s="326">
        <v>15827</v>
      </c>
      <c r="K458" s="326"/>
    </row>
    <row r="459" spans="1:11" s="263" customFormat="1" ht="9" customHeight="1" x14ac:dyDescent="0.25">
      <c r="A459" s="263" t="s">
        <v>36</v>
      </c>
      <c r="B459" s="326">
        <f t="shared" si="36"/>
        <v>43003</v>
      </c>
      <c r="C459" s="326"/>
      <c r="D459" s="326">
        <f t="shared" si="35"/>
        <v>17266</v>
      </c>
      <c r="E459" s="326">
        <v>5614</v>
      </c>
      <c r="F459" s="326">
        <v>7475</v>
      </c>
      <c r="G459" s="326">
        <v>2007</v>
      </c>
      <c r="H459" s="266">
        <v>2170</v>
      </c>
      <c r="I459" s="326">
        <v>25737</v>
      </c>
      <c r="K459" s="326"/>
    </row>
    <row r="460" spans="1:11" s="263" customFormat="1" ht="9" customHeight="1" x14ac:dyDescent="0.25">
      <c r="A460" s="267" t="s">
        <v>37</v>
      </c>
      <c r="B460" s="328">
        <f t="shared" si="36"/>
        <v>12872</v>
      </c>
      <c r="C460" s="328"/>
      <c r="D460" s="328">
        <f t="shared" si="35"/>
        <v>6273</v>
      </c>
      <c r="E460" s="328">
        <v>1633</v>
      </c>
      <c r="F460" s="328">
        <v>2991</v>
      </c>
      <c r="G460" s="328">
        <v>777</v>
      </c>
      <c r="H460" s="268">
        <v>872</v>
      </c>
      <c r="I460" s="328">
        <v>6599</v>
      </c>
      <c r="K460" s="326"/>
    </row>
    <row r="461" spans="1:11" s="263" customFormat="1" ht="9" customHeight="1" x14ac:dyDescent="0.25">
      <c r="A461" s="263" t="s">
        <v>38</v>
      </c>
      <c r="B461" s="326">
        <f t="shared" si="36"/>
        <v>6881</v>
      </c>
      <c r="C461" s="326"/>
      <c r="D461" s="326">
        <f t="shared" si="35"/>
        <v>3266</v>
      </c>
      <c r="E461" s="326">
        <v>870</v>
      </c>
      <c r="F461" s="326">
        <v>1473</v>
      </c>
      <c r="G461" s="326">
        <v>518</v>
      </c>
      <c r="H461" s="266">
        <v>405</v>
      </c>
      <c r="I461" s="326">
        <v>3615</v>
      </c>
      <c r="K461" s="326"/>
    </row>
    <row r="462" spans="1:11" s="263" customFormat="1" ht="9" customHeight="1" x14ac:dyDescent="0.25">
      <c r="A462" s="263" t="s">
        <v>39</v>
      </c>
      <c r="B462" s="326">
        <f t="shared" si="36"/>
        <v>5280</v>
      </c>
      <c r="C462" s="326"/>
      <c r="D462" s="326">
        <f t="shared" si="35"/>
        <v>2542</v>
      </c>
      <c r="E462" s="326">
        <v>651</v>
      </c>
      <c r="F462" s="326">
        <v>1249</v>
      </c>
      <c r="G462" s="326">
        <v>378</v>
      </c>
      <c r="H462" s="266">
        <v>264</v>
      </c>
      <c r="I462" s="326">
        <v>2738</v>
      </c>
      <c r="K462" s="326"/>
    </row>
    <row r="463" spans="1:11" s="263" customFormat="1" ht="9" customHeight="1" x14ac:dyDescent="0.25">
      <c r="A463" s="263" t="s">
        <v>40</v>
      </c>
      <c r="B463" s="326">
        <f t="shared" si="36"/>
        <v>22108</v>
      </c>
      <c r="C463" s="326"/>
      <c r="D463" s="326">
        <f t="shared" si="35"/>
        <v>9748</v>
      </c>
      <c r="E463" s="326">
        <v>3368</v>
      </c>
      <c r="F463" s="326">
        <v>3774</v>
      </c>
      <c r="G463" s="326">
        <v>1580</v>
      </c>
      <c r="H463" s="266">
        <v>1026</v>
      </c>
      <c r="I463" s="326">
        <v>12360</v>
      </c>
      <c r="K463" s="326"/>
    </row>
    <row r="464" spans="1:11" s="263" customFormat="1" ht="9" customHeight="1" x14ac:dyDescent="0.25">
      <c r="A464" s="267" t="s">
        <v>41</v>
      </c>
      <c r="B464" s="328">
        <f t="shared" si="36"/>
        <v>10894</v>
      </c>
      <c r="C464" s="328"/>
      <c r="D464" s="328">
        <f t="shared" si="35"/>
        <v>5586</v>
      </c>
      <c r="E464" s="328">
        <v>2105</v>
      </c>
      <c r="F464" s="328">
        <v>2567</v>
      </c>
      <c r="G464" s="328">
        <v>438</v>
      </c>
      <c r="H464" s="268">
        <v>476</v>
      </c>
      <c r="I464" s="328">
        <v>5308</v>
      </c>
      <c r="K464" s="326"/>
    </row>
    <row r="465" spans="1:11" s="263" customFormat="1" ht="9" customHeight="1" x14ac:dyDescent="0.25">
      <c r="A465" s="263" t="s">
        <v>42</v>
      </c>
      <c r="B465" s="326">
        <f t="shared" si="36"/>
        <v>17970</v>
      </c>
      <c r="C465" s="326"/>
      <c r="D465" s="326">
        <f t="shared" si="35"/>
        <v>8458</v>
      </c>
      <c r="E465" s="326">
        <v>2986</v>
      </c>
      <c r="F465" s="326">
        <v>3166</v>
      </c>
      <c r="G465" s="326">
        <v>1145</v>
      </c>
      <c r="H465" s="266">
        <v>1161</v>
      </c>
      <c r="I465" s="326">
        <v>9512</v>
      </c>
      <c r="K465" s="326"/>
    </row>
    <row r="466" spans="1:11" s="263" customFormat="1" ht="9" customHeight="1" x14ac:dyDescent="0.25">
      <c r="A466" s="263" t="s">
        <v>43</v>
      </c>
      <c r="B466" s="326">
        <f t="shared" si="36"/>
        <v>5825</v>
      </c>
      <c r="C466" s="326"/>
      <c r="D466" s="326">
        <f t="shared" si="35"/>
        <v>2945</v>
      </c>
      <c r="E466" s="326">
        <v>1102</v>
      </c>
      <c r="F466" s="326">
        <v>1250</v>
      </c>
      <c r="G466" s="326">
        <v>347</v>
      </c>
      <c r="H466" s="266">
        <v>246</v>
      </c>
      <c r="I466" s="326">
        <v>2880</v>
      </c>
      <c r="K466" s="326"/>
    </row>
    <row r="467" spans="1:11" s="263" customFormat="1" ht="9" customHeight="1" x14ac:dyDescent="0.25">
      <c r="A467" s="263" t="s">
        <v>44</v>
      </c>
      <c r="B467" s="326">
        <f t="shared" si="36"/>
        <v>4250</v>
      </c>
      <c r="C467" s="326"/>
      <c r="D467" s="326">
        <f t="shared" si="35"/>
        <v>1913</v>
      </c>
      <c r="E467" s="326">
        <v>667</v>
      </c>
      <c r="F467" s="326">
        <v>911</v>
      </c>
      <c r="G467" s="326">
        <v>177</v>
      </c>
      <c r="H467" s="266">
        <v>158</v>
      </c>
      <c r="I467" s="326">
        <v>2337</v>
      </c>
      <c r="K467" s="326"/>
    </row>
    <row r="468" spans="1:11" s="263" customFormat="1" ht="9" customHeight="1" x14ac:dyDescent="0.25">
      <c r="A468" s="267" t="s">
        <v>45</v>
      </c>
      <c r="B468" s="328">
        <f t="shared" si="36"/>
        <v>9330</v>
      </c>
      <c r="C468" s="328"/>
      <c r="D468" s="328">
        <f t="shared" si="35"/>
        <v>4493</v>
      </c>
      <c r="E468" s="328">
        <v>1915</v>
      </c>
      <c r="F468" s="328">
        <v>1835</v>
      </c>
      <c r="G468" s="328">
        <v>349</v>
      </c>
      <c r="H468" s="268">
        <v>394</v>
      </c>
      <c r="I468" s="328">
        <v>4837</v>
      </c>
      <c r="K468" s="326"/>
    </row>
    <row r="469" spans="1:11" s="263" customFormat="1" ht="9" customHeight="1" x14ac:dyDescent="0.25">
      <c r="A469" s="263" t="s">
        <v>46</v>
      </c>
      <c r="B469" s="326">
        <f t="shared" si="36"/>
        <v>13369</v>
      </c>
      <c r="C469" s="326"/>
      <c r="D469" s="326">
        <f t="shared" si="35"/>
        <v>6339</v>
      </c>
      <c r="E469" s="326">
        <v>1886</v>
      </c>
      <c r="F469" s="326">
        <v>2952</v>
      </c>
      <c r="G469" s="326">
        <v>734</v>
      </c>
      <c r="H469" s="266">
        <v>767</v>
      </c>
      <c r="I469" s="326">
        <v>7030</v>
      </c>
      <c r="K469" s="326"/>
    </row>
    <row r="470" spans="1:11" s="263" customFormat="1" ht="9" customHeight="1" x14ac:dyDescent="0.25">
      <c r="A470" s="263" t="s">
        <v>47</v>
      </c>
      <c r="B470" s="326">
        <f t="shared" si="36"/>
        <v>13825</v>
      </c>
      <c r="C470" s="326"/>
      <c r="D470" s="326">
        <f t="shared" si="35"/>
        <v>6086</v>
      </c>
      <c r="E470" s="326">
        <v>2000</v>
      </c>
      <c r="F470" s="326">
        <v>2857</v>
      </c>
      <c r="G470" s="326">
        <v>605</v>
      </c>
      <c r="H470" s="266">
        <v>624</v>
      </c>
      <c r="I470" s="326">
        <v>7739</v>
      </c>
      <c r="K470" s="326"/>
    </row>
    <row r="471" spans="1:11" s="263" customFormat="1" ht="9" customHeight="1" x14ac:dyDescent="0.25">
      <c r="A471" s="263" t="s">
        <v>48</v>
      </c>
      <c r="B471" s="326">
        <f t="shared" si="36"/>
        <v>13315</v>
      </c>
      <c r="C471" s="326"/>
      <c r="D471" s="326">
        <f t="shared" si="35"/>
        <v>5722</v>
      </c>
      <c r="E471" s="326">
        <v>1818</v>
      </c>
      <c r="F471" s="326">
        <v>2950</v>
      </c>
      <c r="G471" s="326">
        <v>478</v>
      </c>
      <c r="H471" s="266">
        <v>476</v>
      </c>
      <c r="I471" s="326">
        <v>7593</v>
      </c>
      <c r="K471" s="326"/>
    </row>
    <row r="472" spans="1:11" s="263" customFormat="1" ht="9" customHeight="1" x14ac:dyDescent="0.25">
      <c r="A472" s="267" t="s">
        <v>49</v>
      </c>
      <c r="B472" s="328">
        <f t="shared" si="36"/>
        <v>16681</v>
      </c>
      <c r="C472" s="328"/>
      <c r="D472" s="328">
        <f t="shared" si="35"/>
        <v>7289</v>
      </c>
      <c r="E472" s="328">
        <v>2001</v>
      </c>
      <c r="F472" s="328">
        <v>3235</v>
      </c>
      <c r="G472" s="328">
        <v>1174</v>
      </c>
      <c r="H472" s="268">
        <v>879</v>
      </c>
      <c r="I472" s="328">
        <v>9392</v>
      </c>
      <c r="K472" s="326"/>
    </row>
    <row r="473" spans="1:11" s="263" customFormat="1" ht="9" customHeight="1" x14ac:dyDescent="0.25">
      <c r="A473" s="263" t="s">
        <v>50</v>
      </c>
      <c r="B473" s="326">
        <f t="shared" si="36"/>
        <v>4211</v>
      </c>
      <c r="C473" s="326"/>
      <c r="D473" s="326">
        <f t="shared" si="35"/>
        <v>2071</v>
      </c>
      <c r="E473" s="326">
        <v>537</v>
      </c>
      <c r="F473" s="326">
        <v>1015</v>
      </c>
      <c r="G473" s="326">
        <v>243</v>
      </c>
      <c r="H473" s="266">
        <v>276</v>
      </c>
      <c r="I473" s="326">
        <v>2140</v>
      </c>
      <c r="K473" s="326"/>
    </row>
    <row r="474" spans="1:11" s="263" customFormat="1" ht="9" customHeight="1" x14ac:dyDescent="0.25">
      <c r="A474" s="263" t="s">
        <v>51</v>
      </c>
      <c r="B474" s="326">
        <f t="shared" si="36"/>
        <v>29565</v>
      </c>
      <c r="C474" s="326"/>
      <c r="D474" s="326">
        <f t="shared" si="35"/>
        <v>13669</v>
      </c>
      <c r="E474" s="326">
        <v>5291</v>
      </c>
      <c r="F474" s="326">
        <v>6162</v>
      </c>
      <c r="G474" s="326">
        <v>1036</v>
      </c>
      <c r="H474" s="266">
        <v>1180</v>
      </c>
      <c r="I474" s="326">
        <v>15896</v>
      </c>
      <c r="K474" s="326"/>
    </row>
    <row r="475" spans="1:11" s="263" customFormat="1" ht="9" customHeight="1" x14ac:dyDescent="0.25">
      <c r="A475" s="263" t="s">
        <v>52</v>
      </c>
      <c r="B475" s="326">
        <f t="shared" si="36"/>
        <v>8797</v>
      </c>
      <c r="C475" s="326"/>
      <c r="D475" s="326">
        <f t="shared" si="35"/>
        <v>4330</v>
      </c>
      <c r="E475" s="326">
        <v>1866</v>
      </c>
      <c r="F475" s="326">
        <v>1463</v>
      </c>
      <c r="G475" s="326">
        <v>442</v>
      </c>
      <c r="H475" s="266">
        <v>559</v>
      </c>
      <c r="I475" s="326">
        <v>4467</v>
      </c>
      <c r="K475" s="326"/>
    </row>
    <row r="476" spans="1:11" s="263" customFormat="1" ht="9" customHeight="1" x14ac:dyDescent="0.25">
      <c r="A476" s="267" t="s">
        <v>53</v>
      </c>
      <c r="B476" s="328">
        <f t="shared" si="36"/>
        <v>5491</v>
      </c>
      <c r="C476" s="328"/>
      <c r="D476" s="328">
        <f t="shared" si="35"/>
        <v>2708</v>
      </c>
      <c r="E476" s="328">
        <v>806</v>
      </c>
      <c r="F476" s="328">
        <v>1479</v>
      </c>
      <c r="G476" s="328">
        <v>194</v>
      </c>
      <c r="H476" s="268">
        <v>229</v>
      </c>
      <c r="I476" s="328">
        <v>2783</v>
      </c>
      <c r="K476" s="326"/>
    </row>
    <row r="477" spans="1:11" s="263" customFormat="1" ht="9" customHeight="1" x14ac:dyDescent="0.25">
      <c r="D477" s="326"/>
      <c r="E477" s="326"/>
      <c r="F477" s="326"/>
      <c r="G477" s="326"/>
      <c r="H477" s="266"/>
      <c r="I477" s="289"/>
      <c r="K477" s="326"/>
    </row>
    <row r="478" spans="1:11" s="263" customFormat="1" ht="9" customHeight="1" x14ac:dyDescent="0.25">
      <c r="A478" s="261">
        <v>2008</v>
      </c>
      <c r="B478" s="261"/>
      <c r="C478" s="261"/>
      <c r="D478" s="262"/>
      <c r="E478" s="271"/>
      <c r="F478" s="271"/>
      <c r="G478" s="271"/>
      <c r="H478" s="271"/>
      <c r="I478" s="271"/>
      <c r="K478" s="326"/>
    </row>
    <row r="479" spans="1:11" s="263" customFormat="1" ht="9" customHeight="1" x14ac:dyDescent="0.25">
      <c r="A479" s="264" t="s">
        <v>21</v>
      </c>
      <c r="B479" s="325">
        <f>SUM(B481:B512)</f>
        <v>507459</v>
      </c>
      <c r="C479" s="325"/>
      <c r="D479" s="325">
        <f t="shared" ref="D479:I479" si="37">SUM(D481:D512)</f>
        <v>229552</v>
      </c>
      <c r="E479" s="325">
        <f t="shared" si="37"/>
        <v>75506</v>
      </c>
      <c r="F479" s="325">
        <f t="shared" si="37"/>
        <v>102288</v>
      </c>
      <c r="G479" s="325">
        <f t="shared" si="37"/>
        <v>27349</v>
      </c>
      <c r="H479" s="325">
        <f t="shared" si="37"/>
        <v>24409</v>
      </c>
      <c r="I479" s="332">
        <f t="shared" si="37"/>
        <v>277907</v>
      </c>
      <c r="K479" s="326"/>
    </row>
    <row r="480" spans="1:11" s="263" customFormat="1" ht="3.95" customHeight="1" x14ac:dyDescent="0.25">
      <c r="A480" s="264"/>
      <c r="B480" s="325"/>
      <c r="C480" s="325"/>
      <c r="D480" s="325"/>
      <c r="E480" s="325"/>
      <c r="F480" s="325"/>
      <c r="G480" s="325"/>
      <c r="H480" s="325"/>
      <c r="I480" s="325"/>
      <c r="K480" s="326"/>
    </row>
    <row r="481" spans="1:11" s="263" customFormat="1" ht="9" customHeight="1" x14ac:dyDescent="0.25">
      <c r="A481" s="263" t="s">
        <v>23</v>
      </c>
      <c r="B481" s="326">
        <f>SUM(D481,I481)</f>
        <v>6684</v>
      </c>
      <c r="C481" s="326"/>
      <c r="D481" s="326">
        <f t="shared" ref="D481:D512" si="38">SUM(E481:H481)</f>
        <v>3145</v>
      </c>
      <c r="E481" s="326">
        <v>988</v>
      </c>
      <c r="F481" s="326">
        <v>1359</v>
      </c>
      <c r="G481" s="326">
        <v>353</v>
      </c>
      <c r="H481" s="266">
        <v>445</v>
      </c>
      <c r="I481" s="326">
        <v>3539</v>
      </c>
      <c r="K481" s="326"/>
    </row>
    <row r="482" spans="1:11" s="263" customFormat="1" ht="9" customHeight="1" x14ac:dyDescent="0.25">
      <c r="A482" s="263" t="s">
        <v>24</v>
      </c>
      <c r="B482" s="326">
        <f t="shared" ref="B482:B512" si="39">SUM(D482,I482)</f>
        <v>11728</v>
      </c>
      <c r="C482" s="326"/>
      <c r="D482" s="326">
        <f t="shared" si="38"/>
        <v>5489</v>
      </c>
      <c r="E482" s="326">
        <v>1598</v>
      </c>
      <c r="F482" s="326">
        <v>2529</v>
      </c>
      <c r="G482" s="326">
        <v>839</v>
      </c>
      <c r="H482" s="266">
        <v>523</v>
      </c>
      <c r="I482" s="326">
        <v>6239</v>
      </c>
      <c r="K482" s="326"/>
    </row>
    <row r="483" spans="1:11" s="263" customFormat="1" ht="9" customHeight="1" x14ac:dyDescent="0.25">
      <c r="A483" s="263" t="s">
        <v>25</v>
      </c>
      <c r="B483" s="326">
        <f t="shared" si="39"/>
        <v>3678</v>
      </c>
      <c r="C483" s="326"/>
      <c r="D483" s="326">
        <f>SUM(E483:H483)</f>
        <v>1640</v>
      </c>
      <c r="E483" s="326">
        <v>742</v>
      </c>
      <c r="F483" s="326">
        <v>648</v>
      </c>
      <c r="G483" s="326">
        <v>133</v>
      </c>
      <c r="H483" s="266">
        <v>117</v>
      </c>
      <c r="I483" s="326">
        <v>2038</v>
      </c>
      <c r="K483" s="326"/>
    </row>
    <row r="484" spans="1:11" s="263" customFormat="1" ht="9" customHeight="1" x14ac:dyDescent="0.25">
      <c r="A484" s="267" t="s">
        <v>26</v>
      </c>
      <c r="B484" s="328">
        <f t="shared" si="39"/>
        <v>4452</v>
      </c>
      <c r="C484" s="328"/>
      <c r="D484" s="328">
        <f t="shared" si="38"/>
        <v>2116</v>
      </c>
      <c r="E484" s="328">
        <v>858</v>
      </c>
      <c r="F484" s="328">
        <v>894</v>
      </c>
      <c r="G484" s="328">
        <v>175</v>
      </c>
      <c r="H484" s="268">
        <v>189</v>
      </c>
      <c r="I484" s="328">
        <v>2336</v>
      </c>
      <c r="K484" s="326"/>
    </row>
    <row r="485" spans="1:11" s="263" customFormat="1" ht="9" customHeight="1" x14ac:dyDescent="0.25">
      <c r="A485" s="263" t="s">
        <v>27</v>
      </c>
      <c r="B485" s="326">
        <f t="shared" si="39"/>
        <v>14442</v>
      </c>
      <c r="C485" s="326"/>
      <c r="D485" s="326">
        <f t="shared" si="38"/>
        <v>6777</v>
      </c>
      <c r="E485" s="326">
        <v>1857</v>
      </c>
      <c r="F485" s="326">
        <v>3043</v>
      </c>
      <c r="G485" s="326">
        <v>940</v>
      </c>
      <c r="H485" s="266">
        <v>937</v>
      </c>
      <c r="I485" s="326">
        <v>7665</v>
      </c>
      <c r="K485" s="326"/>
    </row>
    <row r="486" spans="1:11" s="263" customFormat="1" ht="9" customHeight="1" x14ac:dyDescent="0.25">
      <c r="A486" s="263" t="s">
        <v>28</v>
      </c>
      <c r="B486" s="326">
        <f t="shared" si="39"/>
        <v>3963</v>
      </c>
      <c r="C486" s="326"/>
      <c r="D486" s="326">
        <f t="shared" si="38"/>
        <v>1990</v>
      </c>
      <c r="E486" s="326">
        <v>355</v>
      </c>
      <c r="F486" s="326">
        <v>1157</v>
      </c>
      <c r="G486" s="326">
        <v>181</v>
      </c>
      <c r="H486" s="266">
        <v>297</v>
      </c>
      <c r="I486" s="326">
        <v>1973</v>
      </c>
      <c r="K486" s="326"/>
    </row>
    <row r="487" spans="1:11" s="263" customFormat="1" ht="9" customHeight="1" x14ac:dyDescent="0.25">
      <c r="A487" s="263" t="s">
        <v>29</v>
      </c>
      <c r="B487" s="326">
        <f t="shared" si="39"/>
        <v>11701</v>
      </c>
      <c r="C487" s="326"/>
      <c r="D487" s="326">
        <f t="shared" si="38"/>
        <v>5568</v>
      </c>
      <c r="E487" s="326">
        <v>2417</v>
      </c>
      <c r="F487" s="326">
        <v>2325</v>
      </c>
      <c r="G487" s="326">
        <v>252</v>
      </c>
      <c r="H487" s="266">
        <v>574</v>
      </c>
      <c r="I487" s="326">
        <v>6133</v>
      </c>
      <c r="K487" s="326"/>
    </row>
    <row r="488" spans="1:11" s="263" customFormat="1" ht="9" customHeight="1" x14ac:dyDescent="0.25">
      <c r="A488" s="267" t="s">
        <v>30</v>
      </c>
      <c r="B488" s="328">
        <f t="shared" si="39"/>
        <v>14502</v>
      </c>
      <c r="C488" s="328"/>
      <c r="D488" s="328">
        <f t="shared" si="38"/>
        <v>6511</v>
      </c>
      <c r="E488" s="328">
        <v>2698</v>
      </c>
      <c r="F488" s="328">
        <v>2582</v>
      </c>
      <c r="G488" s="328">
        <v>614</v>
      </c>
      <c r="H488" s="268">
        <v>617</v>
      </c>
      <c r="I488" s="328">
        <v>7991</v>
      </c>
      <c r="K488" s="326"/>
    </row>
    <row r="489" spans="1:11" s="263" customFormat="1" ht="9" customHeight="1" x14ac:dyDescent="0.25">
      <c r="A489" s="263" t="s">
        <v>63</v>
      </c>
      <c r="B489" s="326">
        <f t="shared" si="39"/>
        <v>101093</v>
      </c>
      <c r="C489" s="326"/>
      <c r="D489" s="326">
        <f t="shared" si="38"/>
        <v>41584</v>
      </c>
      <c r="E489" s="326">
        <v>11244</v>
      </c>
      <c r="F489" s="326">
        <v>19135</v>
      </c>
      <c r="G489" s="326">
        <v>7459</v>
      </c>
      <c r="H489" s="266">
        <v>3746</v>
      </c>
      <c r="I489" s="326">
        <v>59509</v>
      </c>
      <c r="K489" s="326"/>
    </row>
    <row r="490" spans="1:11" s="263" customFormat="1" ht="9" customHeight="1" x14ac:dyDescent="0.25">
      <c r="A490" s="263" t="s">
        <v>31</v>
      </c>
      <c r="B490" s="326">
        <f t="shared" si="39"/>
        <v>7814</v>
      </c>
      <c r="C490" s="326"/>
      <c r="D490" s="326">
        <f t="shared" si="38"/>
        <v>3669</v>
      </c>
      <c r="E490" s="326">
        <v>1146</v>
      </c>
      <c r="F490" s="326">
        <v>1816</v>
      </c>
      <c r="G490" s="326">
        <v>386</v>
      </c>
      <c r="H490" s="266">
        <v>321</v>
      </c>
      <c r="I490" s="326">
        <v>4145</v>
      </c>
      <c r="K490" s="326"/>
    </row>
    <row r="491" spans="1:11" s="263" customFormat="1" ht="9" customHeight="1" x14ac:dyDescent="0.25">
      <c r="A491" s="263" t="s">
        <v>32</v>
      </c>
      <c r="B491" s="326">
        <f t="shared" si="39"/>
        <v>17722</v>
      </c>
      <c r="C491" s="326"/>
      <c r="D491" s="326">
        <f t="shared" si="38"/>
        <v>9137</v>
      </c>
      <c r="E491" s="326">
        <v>3455</v>
      </c>
      <c r="F491" s="326">
        <v>4100</v>
      </c>
      <c r="G491" s="326">
        <v>743</v>
      </c>
      <c r="H491" s="266">
        <v>839</v>
      </c>
      <c r="I491" s="326">
        <v>8585</v>
      </c>
      <c r="K491" s="326"/>
    </row>
    <row r="492" spans="1:11" s="263" customFormat="1" ht="9" customHeight="1" x14ac:dyDescent="0.25">
      <c r="A492" s="267" t="s">
        <v>33</v>
      </c>
      <c r="B492" s="328">
        <f t="shared" si="39"/>
        <v>11764</v>
      </c>
      <c r="C492" s="328"/>
      <c r="D492" s="328">
        <f t="shared" si="38"/>
        <v>5895</v>
      </c>
      <c r="E492" s="328">
        <v>1428</v>
      </c>
      <c r="F492" s="328">
        <v>3248</v>
      </c>
      <c r="G492" s="328">
        <v>567</v>
      </c>
      <c r="H492" s="268">
        <v>652</v>
      </c>
      <c r="I492" s="328">
        <v>5869</v>
      </c>
      <c r="K492" s="326"/>
    </row>
    <row r="493" spans="1:11" s="263" customFormat="1" ht="9" customHeight="1" x14ac:dyDescent="0.25">
      <c r="A493" s="263" t="s">
        <v>34</v>
      </c>
      <c r="B493" s="326">
        <f t="shared" si="39"/>
        <v>10608</v>
      </c>
      <c r="C493" s="326"/>
      <c r="D493" s="326">
        <f t="shared" si="38"/>
        <v>5092</v>
      </c>
      <c r="E493" s="326">
        <v>1995</v>
      </c>
      <c r="F493" s="326">
        <v>2125</v>
      </c>
      <c r="G493" s="326">
        <v>354</v>
      </c>
      <c r="H493" s="266">
        <v>618</v>
      </c>
      <c r="I493" s="326">
        <v>5516</v>
      </c>
      <c r="K493" s="326"/>
    </row>
    <row r="494" spans="1:11" s="263" customFormat="1" ht="9" customHeight="1" x14ac:dyDescent="0.25">
      <c r="A494" s="263" t="s">
        <v>35</v>
      </c>
      <c r="B494" s="326">
        <f t="shared" si="39"/>
        <v>31437</v>
      </c>
      <c r="C494" s="326"/>
      <c r="D494" s="326">
        <f t="shared" si="38"/>
        <v>15099</v>
      </c>
      <c r="E494" s="326">
        <v>5511</v>
      </c>
      <c r="F494" s="326">
        <v>6260</v>
      </c>
      <c r="G494" s="326">
        <v>1539</v>
      </c>
      <c r="H494" s="266">
        <v>1789</v>
      </c>
      <c r="I494" s="326">
        <v>16338</v>
      </c>
      <c r="K494" s="326"/>
    </row>
    <row r="495" spans="1:11" s="263" customFormat="1" ht="9" customHeight="1" x14ac:dyDescent="0.25">
      <c r="A495" s="263" t="s">
        <v>36</v>
      </c>
      <c r="B495" s="326">
        <f t="shared" si="39"/>
        <v>47295</v>
      </c>
      <c r="C495" s="326"/>
      <c r="D495" s="326">
        <f t="shared" si="38"/>
        <v>19056</v>
      </c>
      <c r="E495" s="326">
        <v>5932</v>
      </c>
      <c r="F495" s="326">
        <v>8607</v>
      </c>
      <c r="G495" s="326">
        <v>2121</v>
      </c>
      <c r="H495" s="266">
        <v>2396</v>
      </c>
      <c r="I495" s="326">
        <v>28239</v>
      </c>
      <c r="K495" s="326"/>
    </row>
    <row r="496" spans="1:11" s="263" customFormat="1" ht="9" customHeight="1" x14ac:dyDescent="0.25">
      <c r="A496" s="267" t="s">
        <v>37</v>
      </c>
      <c r="B496" s="328">
        <f t="shared" si="39"/>
        <v>13265</v>
      </c>
      <c r="C496" s="328"/>
      <c r="D496" s="328">
        <f t="shared" si="38"/>
        <v>6497</v>
      </c>
      <c r="E496" s="328">
        <v>2252</v>
      </c>
      <c r="F496" s="328">
        <v>2599</v>
      </c>
      <c r="G496" s="328">
        <v>742</v>
      </c>
      <c r="H496" s="268">
        <v>904</v>
      </c>
      <c r="I496" s="328">
        <v>6768</v>
      </c>
      <c r="K496" s="326"/>
    </row>
    <row r="497" spans="1:11" s="263" customFormat="1" ht="9" customHeight="1" x14ac:dyDescent="0.25">
      <c r="A497" s="263" t="s">
        <v>38</v>
      </c>
      <c r="B497" s="326">
        <f t="shared" si="39"/>
        <v>7304</v>
      </c>
      <c r="C497" s="326"/>
      <c r="D497" s="326">
        <f t="shared" si="38"/>
        <v>3528</v>
      </c>
      <c r="E497" s="326">
        <v>849</v>
      </c>
      <c r="F497" s="326">
        <v>1677</v>
      </c>
      <c r="G497" s="326">
        <v>538</v>
      </c>
      <c r="H497" s="266">
        <v>464</v>
      </c>
      <c r="I497" s="326">
        <v>3776</v>
      </c>
      <c r="K497" s="326"/>
    </row>
    <row r="498" spans="1:11" s="263" customFormat="1" ht="9" customHeight="1" x14ac:dyDescent="0.25">
      <c r="A498" s="263" t="s">
        <v>39</v>
      </c>
      <c r="B498" s="326">
        <f t="shared" si="39"/>
        <v>5348</v>
      </c>
      <c r="C498" s="326"/>
      <c r="D498" s="326">
        <f t="shared" si="38"/>
        <v>2563</v>
      </c>
      <c r="E498" s="326">
        <v>689</v>
      </c>
      <c r="F498" s="326">
        <v>1233</v>
      </c>
      <c r="G498" s="326">
        <v>380</v>
      </c>
      <c r="H498" s="266">
        <v>261</v>
      </c>
      <c r="I498" s="326">
        <v>2785</v>
      </c>
      <c r="K498" s="326"/>
    </row>
    <row r="499" spans="1:11" s="263" customFormat="1" ht="9" customHeight="1" x14ac:dyDescent="0.25">
      <c r="A499" s="263" t="s">
        <v>40</v>
      </c>
      <c r="B499" s="326">
        <f t="shared" si="39"/>
        <v>22288</v>
      </c>
      <c r="C499" s="326"/>
      <c r="D499" s="326">
        <f t="shared" si="38"/>
        <v>9864</v>
      </c>
      <c r="E499" s="326">
        <v>3390</v>
      </c>
      <c r="F499" s="326">
        <v>3827</v>
      </c>
      <c r="G499" s="326">
        <v>1594</v>
      </c>
      <c r="H499" s="266">
        <v>1053</v>
      </c>
      <c r="I499" s="326">
        <v>12424</v>
      </c>
      <c r="K499" s="326"/>
    </row>
    <row r="500" spans="1:11" s="263" customFormat="1" ht="9" customHeight="1" x14ac:dyDescent="0.25">
      <c r="A500" s="267" t="s">
        <v>41</v>
      </c>
      <c r="B500" s="328">
        <f t="shared" si="39"/>
        <v>12085</v>
      </c>
      <c r="C500" s="328"/>
      <c r="D500" s="328">
        <f t="shared" si="38"/>
        <v>6134</v>
      </c>
      <c r="E500" s="328">
        <v>2332</v>
      </c>
      <c r="F500" s="328">
        <v>2765</v>
      </c>
      <c r="G500" s="328">
        <v>477</v>
      </c>
      <c r="H500" s="268">
        <v>560</v>
      </c>
      <c r="I500" s="328">
        <v>5951</v>
      </c>
      <c r="K500" s="326"/>
    </row>
    <row r="501" spans="1:11" s="263" customFormat="1" ht="9" customHeight="1" x14ac:dyDescent="0.25">
      <c r="A501" s="263" t="s">
        <v>42</v>
      </c>
      <c r="B501" s="326">
        <f t="shared" si="39"/>
        <v>18978</v>
      </c>
      <c r="C501" s="326"/>
      <c r="D501" s="326">
        <f t="shared" si="38"/>
        <v>8992</v>
      </c>
      <c r="E501" s="326">
        <v>3036</v>
      </c>
      <c r="F501" s="326">
        <v>3538</v>
      </c>
      <c r="G501" s="326">
        <v>1171</v>
      </c>
      <c r="H501" s="266">
        <v>1247</v>
      </c>
      <c r="I501" s="326">
        <v>9986</v>
      </c>
      <c r="K501" s="326"/>
    </row>
    <row r="502" spans="1:11" s="263" customFormat="1" ht="9" customHeight="1" x14ac:dyDescent="0.25">
      <c r="A502" s="263" t="s">
        <v>43</v>
      </c>
      <c r="B502" s="326">
        <f t="shared" si="39"/>
        <v>6153</v>
      </c>
      <c r="C502" s="326"/>
      <c r="D502" s="326">
        <f t="shared" si="38"/>
        <v>3069</v>
      </c>
      <c r="E502" s="326">
        <v>1097</v>
      </c>
      <c r="F502" s="326">
        <v>1356</v>
      </c>
      <c r="G502" s="326">
        <v>369</v>
      </c>
      <c r="H502" s="266">
        <v>247</v>
      </c>
      <c r="I502" s="326">
        <v>3084</v>
      </c>
      <c r="K502" s="326"/>
    </row>
    <row r="503" spans="1:11" s="263" customFormat="1" ht="9" customHeight="1" x14ac:dyDescent="0.25">
      <c r="A503" s="263" t="s">
        <v>44</v>
      </c>
      <c r="B503" s="326">
        <f t="shared" si="39"/>
        <v>4533</v>
      </c>
      <c r="C503" s="326"/>
      <c r="D503" s="326">
        <f t="shared" si="38"/>
        <v>2040</v>
      </c>
      <c r="E503" s="326">
        <v>686</v>
      </c>
      <c r="F503" s="326">
        <v>1004</v>
      </c>
      <c r="G503" s="326">
        <v>188</v>
      </c>
      <c r="H503" s="266">
        <v>162</v>
      </c>
      <c r="I503" s="326">
        <v>2493</v>
      </c>
      <c r="K503" s="326"/>
    </row>
    <row r="504" spans="1:11" s="263" customFormat="1" ht="9" customHeight="1" x14ac:dyDescent="0.25">
      <c r="A504" s="267" t="s">
        <v>45</v>
      </c>
      <c r="B504" s="328">
        <f t="shared" si="39"/>
        <v>9982</v>
      </c>
      <c r="C504" s="328"/>
      <c r="D504" s="328">
        <f t="shared" si="38"/>
        <v>4694</v>
      </c>
      <c r="E504" s="328">
        <v>1718</v>
      </c>
      <c r="F504" s="328">
        <v>2172</v>
      </c>
      <c r="G504" s="328">
        <v>339</v>
      </c>
      <c r="H504" s="268">
        <v>465</v>
      </c>
      <c r="I504" s="328">
        <v>5288</v>
      </c>
      <c r="K504" s="326"/>
    </row>
    <row r="505" spans="1:11" s="263" customFormat="1" ht="9" customHeight="1" x14ac:dyDescent="0.25">
      <c r="A505" s="263" t="s">
        <v>46</v>
      </c>
      <c r="B505" s="326">
        <f t="shared" si="39"/>
        <v>13489</v>
      </c>
      <c r="C505" s="326"/>
      <c r="D505" s="326">
        <f t="shared" si="38"/>
        <v>6419</v>
      </c>
      <c r="E505" s="326">
        <v>1910</v>
      </c>
      <c r="F505" s="326">
        <v>2989</v>
      </c>
      <c r="G505" s="326">
        <v>738</v>
      </c>
      <c r="H505" s="266">
        <v>782</v>
      </c>
      <c r="I505" s="326">
        <v>7070</v>
      </c>
      <c r="K505" s="326"/>
    </row>
    <row r="506" spans="1:11" s="263" customFormat="1" ht="9" customHeight="1" x14ac:dyDescent="0.25">
      <c r="A506" s="263" t="s">
        <v>47</v>
      </c>
      <c r="B506" s="326">
        <f t="shared" si="39"/>
        <v>14950</v>
      </c>
      <c r="C506" s="326"/>
      <c r="D506" s="326">
        <f t="shared" si="38"/>
        <v>6620</v>
      </c>
      <c r="E506" s="326">
        <v>2188</v>
      </c>
      <c r="F506" s="326">
        <v>3228</v>
      </c>
      <c r="G506" s="326">
        <v>506</v>
      </c>
      <c r="H506" s="266">
        <v>698</v>
      </c>
      <c r="I506" s="326">
        <v>8330</v>
      </c>
      <c r="K506" s="326"/>
    </row>
    <row r="507" spans="1:11" s="263" customFormat="1" ht="9" customHeight="1" x14ac:dyDescent="0.25">
      <c r="A507" s="263" t="s">
        <v>48</v>
      </c>
      <c r="B507" s="326">
        <f t="shared" si="39"/>
        <v>13490</v>
      </c>
      <c r="C507" s="326"/>
      <c r="D507" s="326">
        <f t="shared" si="38"/>
        <v>5723</v>
      </c>
      <c r="E507" s="326">
        <v>1945</v>
      </c>
      <c r="F507" s="326">
        <v>2892</v>
      </c>
      <c r="G507" s="326">
        <v>466</v>
      </c>
      <c r="H507" s="266">
        <v>420</v>
      </c>
      <c r="I507" s="326">
        <v>7767</v>
      </c>
      <c r="K507" s="326"/>
    </row>
    <row r="508" spans="1:11" s="263" customFormat="1" ht="9" customHeight="1" x14ac:dyDescent="0.25">
      <c r="A508" s="267" t="s">
        <v>49</v>
      </c>
      <c r="B508" s="328">
        <f t="shared" si="39"/>
        <v>17415</v>
      </c>
      <c r="C508" s="328"/>
      <c r="D508" s="328">
        <f t="shared" si="38"/>
        <v>7606</v>
      </c>
      <c r="E508" s="328">
        <v>2144</v>
      </c>
      <c r="F508" s="328">
        <v>3312</v>
      </c>
      <c r="G508" s="328">
        <v>1246</v>
      </c>
      <c r="H508" s="268">
        <v>904</v>
      </c>
      <c r="I508" s="328">
        <v>9809</v>
      </c>
      <c r="K508" s="326"/>
    </row>
    <row r="509" spans="1:11" s="263" customFormat="1" ht="9" customHeight="1" x14ac:dyDescent="0.25">
      <c r="A509" s="263" t="s">
        <v>50</v>
      </c>
      <c r="B509" s="326">
        <f t="shared" si="39"/>
        <v>4734</v>
      </c>
      <c r="C509" s="326"/>
      <c r="D509" s="326">
        <f t="shared" si="38"/>
        <v>2149</v>
      </c>
      <c r="E509" s="326">
        <v>831</v>
      </c>
      <c r="F509" s="326">
        <v>988</v>
      </c>
      <c r="G509" s="326">
        <v>212</v>
      </c>
      <c r="H509" s="266">
        <v>118</v>
      </c>
      <c r="I509" s="326">
        <v>2585</v>
      </c>
      <c r="K509" s="326"/>
    </row>
    <row r="510" spans="1:11" s="263" customFormat="1" ht="9" customHeight="1" x14ac:dyDescent="0.25">
      <c r="A510" s="263" t="s">
        <v>51</v>
      </c>
      <c r="B510" s="326">
        <f t="shared" si="39"/>
        <v>30206</v>
      </c>
      <c r="C510" s="326"/>
      <c r="D510" s="326">
        <f t="shared" si="38"/>
        <v>13907</v>
      </c>
      <c r="E510" s="326">
        <v>5548</v>
      </c>
      <c r="F510" s="326">
        <v>6057</v>
      </c>
      <c r="G510" s="326">
        <v>1044</v>
      </c>
      <c r="H510" s="266">
        <v>1258</v>
      </c>
      <c r="I510" s="326">
        <v>16299</v>
      </c>
      <c r="K510" s="326"/>
    </row>
    <row r="511" spans="1:11" s="263" customFormat="1" ht="9" customHeight="1" x14ac:dyDescent="0.25">
      <c r="A511" s="263" t="s">
        <v>52</v>
      </c>
      <c r="B511" s="326">
        <f t="shared" si="39"/>
        <v>9053</v>
      </c>
      <c r="C511" s="326"/>
      <c r="D511" s="326">
        <f t="shared" si="38"/>
        <v>4356</v>
      </c>
      <c r="E511" s="326">
        <v>1895</v>
      </c>
      <c r="F511" s="326">
        <v>1417</v>
      </c>
      <c r="G511" s="326">
        <v>481</v>
      </c>
      <c r="H511" s="266">
        <v>563</v>
      </c>
      <c r="I511" s="326">
        <v>4697</v>
      </c>
      <c r="K511" s="326"/>
    </row>
    <row r="512" spans="1:11" s="263" customFormat="1" ht="9" customHeight="1" x14ac:dyDescent="0.25">
      <c r="A512" s="267" t="s">
        <v>53</v>
      </c>
      <c r="B512" s="328">
        <f t="shared" si="39"/>
        <v>5303</v>
      </c>
      <c r="C512" s="328"/>
      <c r="D512" s="328">
        <f t="shared" si="38"/>
        <v>2623</v>
      </c>
      <c r="E512" s="328">
        <v>772</v>
      </c>
      <c r="F512" s="328">
        <v>1406</v>
      </c>
      <c r="G512" s="328">
        <v>202</v>
      </c>
      <c r="H512" s="268">
        <v>243</v>
      </c>
      <c r="I512" s="328">
        <v>2680</v>
      </c>
      <c r="K512" s="326"/>
    </row>
    <row r="513" spans="1:11" s="263" customFormat="1" ht="9" customHeight="1" x14ac:dyDescent="0.25">
      <c r="A513" s="286"/>
      <c r="B513" s="329"/>
      <c r="C513" s="329"/>
      <c r="D513" s="329"/>
      <c r="E513" s="329"/>
      <c r="F513" s="329"/>
      <c r="G513" s="329"/>
      <c r="H513" s="289"/>
      <c r="I513" s="289"/>
      <c r="K513" s="326"/>
    </row>
    <row r="514" spans="1:11" s="263" customFormat="1" ht="9" customHeight="1" x14ac:dyDescent="0.25">
      <c r="A514" s="261">
        <v>2009</v>
      </c>
      <c r="B514" s="261"/>
      <c r="C514" s="261"/>
      <c r="D514" s="262"/>
      <c r="E514" s="271"/>
      <c r="F514" s="271"/>
      <c r="G514" s="271"/>
      <c r="H514" s="271"/>
      <c r="I514" s="271"/>
      <c r="K514" s="326"/>
    </row>
    <row r="515" spans="1:11" s="263" customFormat="1" ht="9" customHeight="1" x14ac:dyDescent="0.25">
      <c r="A515" s="264" t="s">
        <v>21</v>
      </c>
      <c r="B515" s="325">
        <f>SUM(B517:B548)</f>
        <v>530224</v>
      </c>
      <c r="C515" s="325"/>
      <c r="D515" s="325">
        <f t="shared" ref="D515:I515" si="40">SUM(D517:D548)</f>
        <v>240448</v>
      </c>
      <c r="E515" s="325">
        <f t="shared" si="40"/>
        <v>77166</v>
      </c>
      <c r="F515" s="325">
        <f t="shared" si="40"/>
        <v>108920</v>
      </c>
      <c r="G515" s="325">
        <f t="shared" si="40"/>
        <v>28248</v>
      </c>
      <c r="H515" s="325">
        <f t="shared" si="40"/>
        <v>26114</v>
      </c>
      <c r="I515" s="332">
        <f t="shared" si="40"/>
        <v>289776</v>
      </c>
      <c r="K515" s="326"/>
    </row>
    <row r="516" spans="1:11" s="263" customFormat="1" ht="9" customHeight="1" x14ac:dyDescent="0.25">
      <c r="A516" s="264"/>
      <c r="B516" s="325"/>
      <c r="C516" s="325"/>
      <c r="D516" s="325"/>
      <c r="E516" s="325"/>
      <c r="F516" s="325"/>
      <c r="G516" s="325"/>
      <c r="H516" s="325"/>
      <c r="I516" s="325"/>
      <c r="K516" s="326"/>
    </row>
    <row r="517" spans="1:11" s="263" customFormat="1" ht="9" customHeight="1" x14ac:dyDescent="0.25">
      <c r="A517" s="263" t="s">
        <v>23</v>
      </c>
      <c r="B517" s="326">
        <f>SUM(D517,I517)</f>
        <v>6977</v>
      </c>
      <c r="C517" s="326"/>
      <c r="D517" s="326">
        <f>SUM(E517:H517)</f>
        <v>3293</v>
      </c>
      <c r="E517" s="326">
        <v>1109</v>
      </c>
      <c r="F517" s="326">
        <v>1392</v>
      </c>
      <c r="G517" s="326">
        <v>356</v>
      </c>
      <c r="H517" s="266">
        <v>436</v>
      </c>
      <c r="I517" s="326">
        <v>3684</v>
      </c>
      <c r="K517" s="326"/>
    </row>
    <row r="518" spans="1:11" s="263" customFormat="1" ht="9" customHeight="1" x14ac:dyDescent="0.25">
      <c r="A518" s="263" t="s">
        <v>24</v>
      </c>
      <c r="B518" s="326">
        <f t="shared" ref="B518:B548" si="41">SUM(D518,I518)</f>
        <v>13042</v>
      </c>
      <c r="C518" s="326"/>
      <c r="D518" s="326">
        <f t="shared" ref="D518:D548" si="42">SUM(E518:H518)</f>
        <v>6038</v>
      </c>
      <c r="E518" s="326">
        <v>1680</v>
      </c>
      <c r="F518" s="326">
        <v>2906</v>
      </c>
      <c r="G518" s="326">
        <v>852</v>
      </c>
      <c r="H518" s="266">
        <v>600</v>
      </c>
      <c r="I518" s="326">
        <v>7004</v>
      </c>
      <c r="K518" s="326"/>
    </row>
    <row r="519" spans="1:11" s="263" customFormat="1" ht="9" customHeight="1" x14ac:dyDescent="0.25">
      <c r="A519" s="263" t="s">
        <v>25</v>
      </c>
      <c r="B519" s="326">
        <f t="shared" si="41"/>
        <v>3992</v>
      </c>
      <c r="C519" s="326"/>
      <c r="D519" s="326">
        <f t="shared" si="42"/>
        <v>1811</v>
      </c>
      <c r="E519" s="326">
        <v>629</v>
      </c>
      <c r="F519" s="326">
        <v>896</v>
      </c>
      <c r="G519" s="326">
        <v>139</v>
      </c>
      <c r="H519" s="266">
        <v>147</v>
      </c>
      <c r="I519" s="326">
        <v>2181</v>
      </c>
      <c r="K519" s="326"/>
    </row>
    <row r="520" spans="1:11" s="263" customFormat="1" ht="9" customHeight="1" x14ac:dyDescent="0.25">
      <c r="A520" s="267" t="s">
        <v>26</v>
      </c>
      <c r="B520" s="328">
        <f t="shared" si="41"/>
        <v>4897</v>
      </c>
      <c r="C520" s="328"/>
      <c r="D520" s="328">
        <f t="shared" si="42"/>
        <v>2339</v>
      </c>
      <c r="E520" s="328">
        <v>866</v>
      </c>
      <c r="F520" s="328">
        <v>1059</v>
      </c>
      <c r="G520" s="328">
        <v>186</v>
      </c>
      <c r="H520" s="268">
        <v>228</v>
      </c>
      <c r="I520" s="328">
        <v>2558</v>
      </c>
      <c r="K520" s="326"/>
    </row>
    <row r="521" spans="1:11" s="263" customFormat="1" ht="9" customHeight="1" x14ac:dyDescent="0.25">
      <c r="A521" s="263" t="s">
        <v>27</v>
      </c>
      <c r="B521" s="326">
        <f t="shared" si="41"/>
        <v>15316</v>
      </c>
      <c r="C521" s="326"/>
      <c r="D521" s="326">
        <f t="shared" si="42"/>
        <v>7139</v>
      </c>
      <c r="E521" s="326">
        <v>1963</v>
      </c>
      <c r="F521" s="326">
        <v>3247</v>
      </c>
      <c r="G521" s="326">
        <v>982</v>
      </c>
      <c r="H521" s="266">
        <v>947</v>
      </c>
      <c r="I521" s="326">
        <v>8177</v>
      </c>
      <c r="K521" s="326"/>
    </row>
    <row r="522" spans="1:11" s="263" customFormat="1" ht="9" customHeight="1" x14ac:dyDescent="0.25">
      <c r="A522" s="263" t="s">
        <v>28</v>
      </c>
      <c r="B522" s="326">
        <f t="shared" si="41"/>
        <v>3993</v>
      </c>
      <c r="C522" s="326"/>
      <c r="D522" s="326">
        <f t="shared" si="42"/>
        <v>1994</v>
      </c>
      <c r="E522" s="326">
        <v>362</v>
      </c>
      <c r="F522" s="326">
        <v>1164</v>
      </c>
      <c r="G522" s="326">
        <v>176</v>
      </c>
      <c r="H522" s="266">
        <v>292</v>
      </c>
      <c r="I522" s="326">
        <v>1999</v>
      </c>
      <c r="K522" s="326"/>
    </row>
    <row r="523" spans="1:11" s="263" customFormat="1" ht="9" customHeight="1" x14ac:dyDescent="0.25">
      <c r="A523" s="263" t="s">
        <v>29</v>
      </c>
      <c r="B523" s="326">
        <f t="shared" si="41"/>
        <v>13420</v>
      </c>
      <c r="C523" s="326"/>
      <c r="D523" s="326">
        <f t="shared" si="42"/>
        <v>6486</v>
      </c>
      <c r="E523" s="326">
        <v>2522</v>
      </c>
      <c r="F523" s="326">
        <v>2815</v>
      </c>
      <c r="G523" s="326">
        <v>274</v>
      </c>
      <c r="H523" s="266">
        <v>875</v>
      </c>
      <c r="I523" s="326">
        <v>6934</v>
      </c>
      <c r="K523" s="326"/>
    </row>
    <row r="524" spans="1:11" s="263" customFormat="1" ht="9" customHeight="1" x14ac:dyDescent="0.25">
      <c r="A524" s="267" t="s">
        <v>30</v>
      </c>
      <c r="B524" s="328">
        <f t="shared" si="41"/>
        <v>14998</v>
      </c>
      <c r="C524" s="328"/>
      <c r="D524" s="328">
        <f t="shared" si="42"/>
        <v>6681</v>
      </c>
      <c r="E524" s="328">
        <v>2746</v>
      </c>
      <c r="F524" s="328">
        <v>2651</v>
      </c>
      <c r="G524" s="328">
        <v>613</v>
      </c>
      <c r="H524" s="268">
        <v>671</v>
      </c>
      <c r="I524" s="328">
        <v>8317</v>
      </c>
      <c r="K524" s="326"/>
    </row>
    <row r="525" spans="1:11" s="263" customFormat="1" ht="9" customHeight="1" x14ac:dyDescent="0.25">
      <c r="A525" s="263" t="s">
        <v>63</v>
      </c>
      <c r="B525" s="326">
        <f t="shared" si="41"/>
        <v>102278</v>
      </c>
      <c r="C525" s="326"/>
      <c r="D525" s="326">
        <v>42294</v>
      </c>
      <c r="E525" s="326">
        <v>11296</v>
      </c>
      <c r="F525" s="326">
        <v>19801</v>
      </c>
      <c r="G525" s="326">
        <v>7151</v>
      </c>
      <c r="H525" s="266">
        <v>4046</v>
      </c>
      <c r="I525" s="326">
        <v>59984</v>
      </c>
      <c r="K525" s="326"/>
    </row>
    <row r="526" spans="1:11" s="263" customFormat="1" ht="9" customHeight="1" x14ac:dyDescent="0.25">
      <c r="A526" s="263" t="s">
        <v>31</v>
      </c>
      <c r="B526" s="326">
        <f t="shared" si="41"/>
        <v>8116</v>
      </c>
      <c r="C526" s="326"/>
      <c r="D526" s="326">
        <f t="shared" si="42"/>
        <v>3829</v>
      </c>
      <c r="E526" s="326">
        <v>1155</v>
      </c>
      <c r="F526" s="326">
        <v>1959</v>
      </c>
      <c r="G526" s="326">
        <v>402</v>
      </c>
      <c r="H526" s="266">
        <v>313</v>
      </c>
      <c r="I526" s="326">
        <v>4287</v>
      </c>
      <c r="K526" s="326"/>
    </row>
    <row r="527" spans="1:11" s="263" customFormat="1" ht="9" customHeight="1" x14ac:dyDescent="0.25">
      <c r="A527" s="263" t="s">
        <v>32</v>
      </c>
      <c r="B527" s="326">
        <f t="shared" si="41"/>
        <v>18647</v>
      </c>
      <c r="C527" s="326"/>
      <c r="D527" s="326">
        <f t="shared" si="42"/>
        <v>9620</v>
      </c>
      <c r="E527" s="326">
        <v>3494</v>
      </c>
      <c r="F527" s="326">
        <v>4438</v>
      </c>
      <c r="G527" s="326">
        <v>786</v>
      </c>
      <c r="H527" s="266">
        <v>902</v>
      </c>
      <c r="I527" s="326">
        <v>9027</v>
      </c>
      <c r="K527" s="326"/>
    </row>
    <row r="528" spans="1:11" s="263" customFormat="1" ht="9" customHeight="1" x14ac:dyDescent="0.25">
      <c r="A528" s="267" t="s">
        <v>33</v>
      </c>
      <c r="B528" s="328">
        <f t="shared" si="41"/>
        <v>12317</v>
      </c>
      <c r="C528" s="328"/>
      <c r="D528" s="328">
        <f t="shared" si="42"/>
        <v>6053</v>
      </c>
      <c r="E528" s="328">
        <v>1403</v>
      </c>
      <c r="F528" s="328">
        <v>3329</v>
      </c>
      <c r="G528" s="328">
        <v>602</v>
      </c>
      <c r="H528" s="268">
        <v>719</v>
      </c>
      <c r="I528" s="328">
        <v>6264</v>
      </c>
      <c r="K528" s="326"/>
    </row>
    <row r="529" spans="1:11" s="263" customFormat="1" ht="9" customHeight="1" x14ac:dyDescent="0.25">
      <c r="A529" s="263" t="s">
        <v>34</v>
      </c>
      <c r="B529" s="326">
        <f t="shared" si="41"/>
        <v>11003</v>
      </c>
      <c r="C529" s="326"/>
      <c r="D529" s="326">
        <f t="shared" si="42"/>
        <v>5308</v>
      </c>
      <c r="E529" s="326">
        <v>2062</v>
      </c>
      <c r="F529" s="326">
        <v>2219</v>
      </c>
      <c r="G529" s="326">
        <v>361</v>
      </c>
      <c r="H529" s="266">
        <v>666</v>
      </c>
      <c r="I529" s="326">
        <v>5695</v>
      </c>
      <c r="K529" s="326"/>
    </row>
    <row r="530" spans="1:11" s="263" customFormat="1" ht="9" customHeight="1" x14ac:dyDescent="0.25">
      <c r="A530" s="263" t="s">
        <v>35</v>
      </c>
      <c r="B530" s="326">
        <f t="shared" si="41"/>
        <v>33393</v>
      </c>
      <c r="C530" s="326"/>
      <c r="D530" s="326">
        <f t="shared" si="42"/>
        <v>15942</v>
      </c>
      <c r="E530" s="326">
        <v>5961</v>
      </c>
      <c r="F530" s="326">
        <v>6457</v>
      </c>
      <c r="G530" s="326">
        <v>1612</v>
      </c>
      <c r="H530" s="266">
        <v>1912</v>
      </c>
      <c r="I530" s="326">
        <v>17451</v>
      </c>
      <c r="K530" s="326"/>
    </row>
    <row r="531" spans="1:11" s="263" customFormat="1" ht="9" customHeight="1" x14ac:dyDescent="0.25">
      <c r="A531" s="263" t="s">
        <v>36</v>
      </c>
      <c r="B531" s="326">
        <f t="shared" si="41"/>
        <v>50980</v>
      </c>
      <c r="C531" s="326"/>
      <c r="D531" s="326">
        <f t="shared" si="42"/>
        <v>20987</v>
      </c>
      <c r="E531" s="326">
        <v>6223</v>
      </c>
      <c r="F531" s="326">
        <v>9450</v>
      </c>
      <c r="G531" s="326">
        <v>2607</v>
      </c>
      <c r="H531" s="266">
        <v>2707</v>
      </c>
      <c r="I531" s="326">
        <v>29993</v>
      </c>
      <c r="K531" s="326"/>
    </row>
    <row r="532" spans="1:11" s="263" customFormat="1" ht="9" customHeight="1" x14ac:dyDescent="0.25">
      <c r="A532" s="267" t="s">
        <v>37</v>
      </c>
      <c r="B532" s="328">
        <f t="shared" si="41"/>
        <v>14006</v>
      </c>
      <c r="C532" s="328"/>
      <c r="D532" s="328">
        <f t="shared" si="42"/>
        <v>6873</v>
      </c>
      <c r="E532" s="328">
        <v>1890</v>
      </c>
      <c r="F532" s="328">
        <v>3113</v>
      </c>
      <c r="G532" s="328">
        <v>869</v>
      </c>
      <c r="H532" s="268">
        <v>1001</v>
      </c>
      <c r="I532" s="328">
        <v>7133</v>
      </c>
      <c r="K532" s="326"/>
    </row>
    <row r="533" spans="1:11" s="263" customFormat="1" ht="9" customHeight="1" x14ac:dyDescent="0.25">
      <c r="A533" s="263" t="s">
        <v>38</v>
      </c>
      <c r="B533" s="326">
        <f t="shared" si="41"/>
        <v>7576</v>
      </c>
      <c r="C533" s="326"/>
      <c r="D533" s="326">
        <f t="shared" si="42"/>
        <v>3641</v>
      </c>
      <c r="E533" s="326">
        <v>899</v>
      </c>
      <c r="F533" s="326">
        <v>1735</v>
      </c>
      <c r="G533" s="326">
        <v>542</v>
      </c>
      <c r="H533" s="266">
        <v>465</v>
      </c>
      <c r="I533" s="326">
        <v>3935</v>
      </c>
      <c r="K533" s="326"/>
    </row>
    <row r="534" spans="1:11" s="263" customFormat="1" ht="9" customHeight="1" x14ac:dyDescent="0.25">
      <c r="A534" s="263" t="s">
        <v>39</v>
      </c>
      <c r="B534" s="326">
        <f t="shared" si="41"/>
        <v>5574</v>
      </c>
      <c r="C534" s="326"/>
      <c r="D534" s="326">
        <f t="shared" si="42"/>
        <v>2616</v>
      </c>
      <c r="E534" s="326">
        <v>673</v>
      </c>
      <c r="F534" s="326">
        <v>1266</v>
      </c>
      <c r="G534" s="326">
        <v>395</v>
      </c>
      <c r="H534" s="266">
        <v>282</v>
      </c>
      <c r="I534" s="326">
        <v>2958</v>
      </c>
      <c r="K534" s="326"/>
    </row>
    <row r="535" spans="1:11" s="263" customFormat="1" ht="9" customHeight="1" x14ac:dyDescent="0.25">
      <c r="A535" s="263" t="s">
        <v>40</v>
      </c>
      <c r="B535" s="326">
        <f t="shared" si="41"/>
        <v>22270</v>
      </c>
      <c r="C535" s="326"/>
      <c r="D535" s="326">
        <f t="shared" si="42"/>
        <v>9842</v>
      </c>
      <c r="E535" s="326">
        <v>3386</v>
      </c>
      <c r="F535" s="326">
        <v>3827</v>
      </c>
      <c r="G535" s="326">
        <v>1562</v>
      </c>
      <c r="H535" s="266">
        <v>1067</v>
      </c>
      <c r="I535" s="326">
        <v>12428</v>
      </c>
      <c r="K535" s="326"/>
    </row>
    <row r="536" spans="1:11" s="263" customFormat="1" ht="9" customHeight="1" x14ac:dyDescent="0.25">
      <c r="A536" s="267" t="s">
        <v>41</v>
      </c>
      <c r="B536" s="328">
        <f t="shared" si="41"/>
        <v>12842</v>
      </c>
      <c r="C536" s="328"/>
      <c r="D536" s="328">
        <f t="shared" si="42"/>
        <v>6501</v>
      </c>
      <c r="E536" s="328">
        <v>2446</v>
      </c>
      <c r="F536" s="328">
        <v>2997</v>
      </c>
      <c r="G536" s="328">
        <v>480</v>
      </c>
      <c r="H536" s="268">
        <v>578</v>
      </c>
      <c r="I536" s="328">
        <v>6341</v>
      </c>
      <c r="K536" s="326"/>
    </row>
    <row r="537" spans="1:11" s="263" customFormat="1" ht="9" customHeight="1" x14ac:dyDescent="0.25">
      <c r="A537" s="263" t="s">
        <v>42</v>
      </c>
      <c r="B537" s="326">
        <f t="shared" si="41"/>
        <v>19237</v>
      </c>
      <c r="C537" s="326"/>
      <c r="D537" s="326">
        <f t="shared" si="42"/>
        <v>9224</v>
      </c>
      <c r="E537" s="326">
        <v>3203</v>
      </c>
      <c r="F537" s="326">
        <v>3615</v>
      </c>
      <c r="G537" s="326">
        <v>1140</v>
      </c>
      <c r="H537" s="266">
        <v>1266</v>
      </c>
      <c r="I537" s="326">
        <v>10013</v>
      </c>
      <c r="K537" s="326"/>
    </row>
    <row r="538" spans="1:11" s="263" customFormat="1" ht="9" customHeight="1" x14ac:dyDescent="0.25">
      <c r="A538" s="263" t="s">
        <v>43</v>
      </c>
      <c r="B538" s="326">
        <f t="shared" si="41"/>
        <v>6365</v>
      </c>
      <c r="C538" s="326"/>
      <c r="D538" s="326">
        <f t="shared" si="42"/>
        <v>3144</v>
      </c>
      <c r="E538" s="326">
        <v>1074</v>
      </c>
      <c r="F538" s="326">
        <v>1399</v>
      </c>
      <c r="G538" s="326">
        <v>369</v>
      </c>
      <c r="H538" s="266">
        <v>302</v>
      </c>
      <c r="I538" s="326">
        <v>3221</v>
      </c>
      <c r="K538" s="326"/>
    </row>
    <row r="539" spans="1:11" s="263" customFormat="1" ht="9" customHeight="1" x14ac:dyDescent="0.25">
      <c r="A539" s="263" t="s">
        <v>44</v>
      </c>
      <c r="B539" s="326">
        <f t="shared" si="41"/>
        <v>4987</v>
      </c>
      <c r="C539" s="326"/>
      <c r="D539" s="326">
        <f t="shared" si="42"/>
        <v>2255</v>
      </c>
      <c r="E539" s="326">
        <v>730</v>
      </c>
      <c r="F539" s="326">
        <v>1119</v>
      </c>
      <c r="G539" s="326">
        <v>220</v>
      </c>
      <c r="H539" s="266">
        <v>186</v>
      </c>
      <c r="I539" s="326">
        <v>2732</v>
      </c>
      <c r="K539" s="326"/>
    </row>
    <row r="540" spans="1:11" s="263" customFormat="1" ht="9" customHeight="1" x14ac:dyDescent="0.25">
      <c r="A540" s="267" t="s">
        <v>45</v>
      </c>
      <c r="B540" s="328">
        <f t="shared" si="41"/>
        <v>10246</v>
      </c>
      <c r="C540" s="328"/>
      <c r="D540" s="328">
        <f t="shared" si="42"/>
        <v>4849</v>
      </c>
      <c r="E540" s="328">
        <v>1709</v>
      </c>
      <c r="F540" s="328">
        <v>2253</v>
      </c>
      <c r="G540" s="328">
        <v>387</v>
      </c>
      <c r="H540" s="268">
        <v>500</v>
      </c>
      <c r="I540" s="328">
        <v>5397</v>
      </c>
      <c r="K540" s="326"/>
    </row>
    <row r="541" spans="1:11" s="263" customFormat="1" ht="9" customHeight="1" x14ac:dyDescent="0.25">
      <c r="A541" s="263" t="s">
        <v>46</v>
      </c>
      <c r="B541" s="326">
        <f t="shared" si="41"/>
        <v>14017</v>
      </c>
      <c r="C541" s="326"/>
      <c r="D541" s="326">
        <f t="shared" si="42"/>
        <v>6597</v>
      </c>
      <c r="E541" s="326">
        <v>2046</v>
      </c>
      <c r="F541" s="326">
        <v>3102</v>
      </c>
      <c r="G541" s="326">
        <v>714</v>
      </c>
      <c r="H541" s="266">
        <v>735</v>
      </c>
      <c r="I541" s="326">
        <v>7420</v>
      </c>
      <c r="K541" s="326"/>
    </row>
    <row r="542" spans="1:11" s="263" customFormat="1" ht="9" customHeight="1" x14ac:dyDescent="0.25">
      <c r="A542" s="263" t="s">
        <v>47</v>
      </c>
      <c r="B542" s="326">
        <f t="shared" si="41"/>
        <v>15726</v>
      </c>
      <c r="C542" s="326"/>
      <c r="D542" s="326">
        <f t="shared" si="42"/>
        <v>7042</v>
      </c>
      <c r="E542" s="326">
        <v>2009</v>
      </c>
      <c r="F542" s="326">
        <v>3615</v>
      </c>
      <c r="G542" s="326">
        <v>679</v>
      </c>
      <c r="H542" s="266">
        <v>739</v>
      </c>
      <c r="I542" s="326">
        <v>8684</v>
      </c>
      <c r="K542" s="326"/>
    </row>
    <row r="543" spans="1:11" s="263" customFormat="1" ht="9" customHeight="1" x14ac:dyDescent="0.25">
      <c r="A543" s="263" t="s">
        <v>48</v>
      </c>
      <c r="B543" s="326">
        <f t="shared" si="41"/>
        <v>14061</v>
      </c>
      <c r="C543" s="326"/>
      <c r="D543" s="326">
        <f t="shared" si="42"/>
        <v>5894</v>
      </c>
      <c r="E543" s="326">
        <v>1979</v>
      </c>
      <c r="F543" s="326">
        <v>3006</v>
      </c>
      <c r="G543" s="326">
        <v>493</v>
      </c>
      <c r="H543" s="266">
        <v>416</v>
      </c>
      <c r="I543" s="326">
        <v>8167</v>
      </c>
      <c r="K543" s="326"/>
    </row>
    <row r="544" spans="1:11" s="263" customFormat="1" ht="9" customHeight="1" x14ac:dyDescent="0.25">
      <c r="A544" s="267" t="s">
        <v>49</v>
      </c>
      <c r="B544" s="328">
        <f t="shared" si="41"/>
        <v>18378</v>
      </c>
      <c r="C544" s="328"/>
      <c r="D544" s="328">
        <f t="shared" si="42"/>
        <v>7977</v>
      </c>
      <c r="E544" s="328">
        <v>2275</v>
      </c>
      <c r="F544" s="328">
        <v>3450</v>
      </c>
      <c r="G544" s="328">
        <v>1279</v>
      </c>
      <c r="H544" s="268">
        <v>973</v>
      </c>
      <c r="I544" s="328">
        <v>10401</v>
      </c>
      <c r="K544" s="326"/>
    </row>
    <row r="545" spans="1:11" s="263" customFormat="1" ht="9" customHeight="1" x14ac:dyDescent="0.25">
      <c r="A545" s="263" t="s">
        <v>50</v>
      </c>
      <c r="B545" s="326">
        <f t="shared" si="41"/>
        <v>5324</v>
      </c>
      <c r="C545" s="326"/>
      <c r="D545" s="326">
        <f t="shared" si="42"/>
        <v>2454</v>
      </c>
      <c r="E545" s="326">
        <v>611</v>
      </c>
      <c r="F545" s="326">
        <v>1479</v>
      </c>
      <c r="G545" s="326">
        <v>234</v>
      </c>
      <c r="H545" s="266">
        <v>130</v>
      </c>
      <c r="I545" s="326">
        <v>2870</v>
      </c>
      <c r="K545" s="326"/>
    </row>
    <row r="546" spans="1:11" s="263" customFormat="1" ht="9" customHeight="1" x14ac:dyDescent="0.25">
      <c r="A546" s="263" t="s">
        <v>51</v>
      </c>
      <c r="B546" s="326">
        <f t="shared" si="41"/>
        <v>30920</v>
      </c>
      <c r="C546" s="326"/>
      <c r="D546" s="326">
        <f t="shared" si="42"/>
        <v>14197</v>
      </c>
      <c r="E546" s="326">
        <v>5772</v>
      </c>
      <c r="F546" s="326">
        <v>6151</v>
      </c>
      <c r="G546" s="326">
        <v>1082</v>
      </c>
      <c r="H546" s="266">
        <v>1192</v>
      </c>
      <c r="I546" s="326">
        <v>16723</v>
      </c>
      <c r="K546" s="326"/>
    </row>
    <row r="547" spans="1:11" s="263" customFormat="1" ht="9" customHeight="1" x14ac:dyDescent="0.25">
      <c r="A547" s="263" t="s">
        <v>52</v>
      </c>
      <c r="B547" s="326">
        <f t="shared" si="41"/>
        <v>9106</v>
      </c>
      <c r="C547" s="326"/>
      <c r="D547" s="326">
        <f t="shared" si="42"/>
        <v>4359</v>
      </c>
      <c r="E547" s="326">
        <v>1924</v>
      </c>
      <c r="F547" s="326">
        <v>1423</v>
      </c>
      <c r="G547" s="326">
        <v>481</v>
      </c>
      <c r="H547" s="266">
        <v>531</v>
      </c>
      <c r="I547" s="326">
        <v>4747</v>
      </c>
      <c r="K547" s="326"/>
    </row>
    <row r="548" spans="1:11" s="263" customFormat="1" ht="9" customHeight="1" x14ac:dyDescent="0.25">
      <c r="A548" s="267" t="s">
        <v>53</v>
      </c>
      <c r="B548" s="328">
        <f t="shared" si="41"/>
        <v>6220</v>
      </c>
      <c r="C548" s="328"/>
      <c r="D548" s="328">
        <f t="shared" si="42"/>
        <v>3169</v>
      </c>
      <c r="E548" s="328">
        <v>1069</v>
      </c>
      <c r="F548" s="328">
        <v>1587</v>
      </c>
      <c r="G548" s="328">
        <v>223</v>
      </c>
      <c r="H548" s="268">
        <v>290</v>
      </c>
      <c r="I548" s="328">
        <v>3051</v>
      </c>
      <c r="K548" s="326"/>
    </row>
    <row r="549" spans="1:11" s="263" customFormat="1" ht="9" customHeight="1" x14ac:dyDescent="0.25">
      <c r="A549" s="286"/>
      <c r="B549" s="329"/>
      <c r="C549" s="329"/>
      <c r="D549" s="329"/>
      <c r="E549" s="329"/>
      <c r="F549" s="329"/>
      <c r="G549" s="329"/>
      <c r="H549" s="289"/>
      <c r="I549" s="289"/>
      <c r="K549" s="326"/>
    </row>
    <row r="550" spans="1:11" ht="9" customHeight="1" x14ac:dyDescent="0.25">
      <c r="A550" s="261">
        <v>2010</v>
      </c>
      <c r="B550" s="261"/>
      <c r="C550" s="261"/>
      <c r="D550" s="262"/>
      <c r="E550" s="271"/>
      <c r="F550" s="271"/>
      <c r="G550" s="271"/>
      <c r="H550" s="271"/>
      <c r="I550" s="271"/>
      <c r="K550" s="326"/>
    </row>
    <row r="551" spans="1:11" ht="9" customHeight="1" x14ac:dyDescent="0.25">
      <c r="A551" s="264" t="s">
        <v>263</v>
      </c>
      <c r="B551" s="325">
        <f>SUM(B553:B584)+6340</f>
        <v>552801</v>
      </c>
      <c r="C551" s="325"/>
      <c r="D551" s="325">
        <f>SUM(D553:D584)+2331</f>
        <v>252625</v>
      </c>
      <c r="E551" s="325">
        <f>SUM(E553:E584)+582</f>
        <v>80423</v>
      </c>
      <c r="F551" s="325">
        <f>SUM(F553:F584)+1116</f>
        <v>115084</v>
      </c>
      <c r="G551" s="325">
        <f>SUM(G553:G584)+436</f>
        <v>28895</v>
      </c>
      <c r="H551" s="325">
        <f>SUM(H553:H584)+197</f>
        <v>28223</v>
      </c>
      <c r="I551" s="332">
        <f>SUM(I553:I584)+4009</f>
        <v>300176</v>
      </c>
      <c r="K551" s="326"/>
    </row>
    <row r="552" spans="1:11" ht="3" customHeight="1" x14ac:dyDescent="0.25">
      <c r="A552" s="264"/>
      <c r="B552" s="325"/>
      <c r="C552" s="325"/>
      <c r="D552" s="325"/>
      <c r="E552" s="325"/>
      <c r="F552" s="325"/>
      <c r="G552" s="325"/>
      <c r="H552" s="325"/>
      <c r="I552" s="325"/>
      <c r="K552" s="326"/>
    </row>
    <row r="553" spans="1:11" ht="9" customHeight="1" x14ac:dyDescent="0.25">
      <c r="A553" s="263" t="s">
        <v>23</v>
      </c>
      <c r="B553" s="326">
        <f>SUM(D553,I553)</f>
        <v>7143</v>
      </c>
      <c r="C553" s="326"/>
      <c r="D553" s="326">
        <f t="shared" ref="D553:D584" si="43">SUM(E553:H553)</f>
        <v>3365</v>
      </c>
      <c r="E553" s="326">
        <v>1130</v>
      </c>
      <c r="F553" s="326">
        <v>1401</v>
      </c>
      <c r="G553" s="326">
        <v>322</v>
      </c>
      <c r="H553" s="266">
        <v>512</v>
      </c>
      <c r="I553" s="326">
        <v>3778</v>
      </c>
      <c r="K553" s="326"/>
    </row>
    <row r="554" spans="1:11" ht="9" customHeight="1" x14ac:dyDescent="0.25">
      <c r="A554" s="263" t="s">
        <v>24</v>
      </c>
      <c r="B554" s="326">
        <f t="shared" ref="B554:B584" si="44">SUM(D554,I554)</f>
        <v>13215</v>
      </c>
      <c r="C554" s="326"/>
      <c r="D554" s="326">
        <f t="shared" si="43"/>
        <v>6183</v>
      </c>
      <c r="E554" s="326">
        <v>1757</v>
      </c>
      <c r="F554" s="326">
        <v>2930</v>
      </c>
      <c r="G554" s="326">
        <v>857</v>
      </c>
      <c r="H554" s="266">
        <v>639</v>
      </c>
      <c r="I554" s="326">
        <v>7032</v>
      </c>
      <c r="K554" s="326"/>
    </row>
    <row r="555" spans="1:11" ht="9" customHeight="1" x14ac:dyDescent="0.25">
      <c r="A555" s="263" t="s">
        <v>25</v>
      </c>
      <c r="B555" s="326">
        <f t="shared" si="44"/>
        <v>4058</v>
      </c>
      <c r="C555" s="326"/>
      <c r="D555" s="326">
        <f t="shared" si="43"/>
        <v>1818</v>
      </c>
      <c r="E555" s="326">
        <v>617</v>
      </c>
      <c r="F555" s="326">
        <v>929</v>
      </c>
      <c r="G555" s="326">
        <v>129</v>
      </c>
      <c r="H555" s="266">
        <v>143</v>
      </c>
      <c r="I555" s="326">
        <v>2240</v>
      </c>
      <c r="K555" s="326"/>
    </row>
    <row r="556" spans="1:11" ht="9" customHeight="1" x14ac:dyDescent="0.25">
      <c r="A556" s="267" t="s">
        <v>26</v>
      </c>
      <c r="B556" s="328">
        <f t="shared" si="44"/>
        <v>5329</v>
      </c>
      <c r="C556" s="328"/>
      <c r="D556" s="328">
        <f t="shared" si="43"/>
        <v>2751</v>
      </c>
      <c r="E556" s="328">
        <v>997</v>
      </c>
      <c r="F556" s="328">
        <v>1271</v>
      </c>
      <c r="G556" s="328">
        <v>201</v>
      </c>
      <c r="H556" s="268">
        <v>282</v>
      </c>
      <c r="I556" s="328">
        <v>2578</v>
      </c>
      <c r="K556" s="326"/>
    </row>
    <row r="557" spans="1:11" ht="9" customHeight="1" x14ac:dyDescent="0.25">
      <c r="A557" s="263" t="s">
        <v>27</v>
      </c>
      <c r="B557" s="326">
        <f t="shared" si="44"/>
        <v>15887</v>
      </c>
      <c r="C557" s="326"/>
      <c r="D557" s="326">
        <f t="shared" si="43"/>
        <v>7411</v>
      </c>
      <c r="E557" s="326">
        <v>2109</v>
      </c>
      <c r="F557" s="326">
        <v>3379</v>
      </c>
      <c r="G557" s="326">
        <v>910</v>
      </c>
      <c r="H557" s="266">
        <v>1013</v>
      </c>
      <c r="I557" s="326">
        <v>8476</v>
      </c>
      <c r="K557" s="326"/>
    </row>
    <row r="558" spans="1:11" ht="9" customHeight="1" x14ac:dyDescent="0.25">
      <c r="A558" s="263" t="s">
        <v>28</v>
      </c>
      <c r="B558" s="326">
        <f t="shared" si="44"/>
        <v>3979</v>
      </c>
      <c r="C558" s="326"/>
      <c r="D558" s="326">
        <f t="shared" si="43"/>
        <v>1970</v>
      </c>
      <c r="E558" s="326">
        <v>367</v>
      </c>
      <c r="F558" s="326">
        <v>1153</v>
      </c>
      <c r="G558" s="326">
        <v>195</v>
      </c>
      <c r="H558" s="266">
        <v>255</v>
      </c>
      <c r="I558" s="326">
        <v>2009</v>
      </c>
      <c r="K558" s="326"/>
    </row>
    <row r="559" spans="1:11" ht="9" customHeight="1" x14ac:dyDescent="0.25">
      <c r="A559" s="263" t="s">
        <v>29</v>
      </c>
      <c r="B559" s="326">
        <f t="shared" si="44"/>
        <v>13054</v>
      </c>
      <c r="C559" s="326"/>
      <c r="D559" s="326">
        <f t="shared" si="43"/>
        <v>6502</v>
      </c>
      <c r="E559" s="326">
        <v>2622</v>
      </c>
      <c r="F559" s="326">
        <v>2794</v>
      </c>
      <c r="G559" s="326">
        <v>228</v>
      </c>
      <c r="H559" s="266">
        <v>858</v>
      </c>
      <c r="I559" s="326">
        <v>6552</v>
      </c>
      <c r="K559" s="326"/>
    </row>
    <row r="560" spans="1:11" ht="9" customHeight="1" x14ac:dyDescent="0.25">
      <c r="A560" s="267" t="s">
        <v>30</v>
      </c>
      <c r="B560" s="328">
        <f t="shared" si="44"/>
        <v>16680</v>
      </c>
      <c r="C560" s="328"/>
      <c r="D560" s="328">
        <f t="shared" si="43"/>
        <v>7811</v>
      </c>
      <c r="E560" s="328">
        <v>3183</v>
      </c>
      <c r="F560" s="328">
        <v>3087</v>
      </c>
      <c r="G560" s="328">
        <v>657</v>
      </c>
      <c r="H560" s="268">
        <v>884</v>
      </c>
      <c r="I560" s="328">
        <v>8869</v>
      </c>
      <c r="K560" s="326"/>
    </row>
    <row r="561" spans="1:11" ht="9" customHeight="1" x14ac:dyDescent="0.25">
      <c r="A561" s="263" t="s">
        <v>63</v>
      </c>
      <c r="B561" s="326">
        <f t="shared" si="44"/>
        <v>107007</v>
      </c>
      <c r="C561" s="326"/>
      <c r="D561" s="326">
        <v>44656</v>
      </c>
      <c r="E561" s="326">
        <v>11401</v>
      </c>
      <c r="F561" s="326">
        <v>21594</v>
      </c>
      <c r="G561" s="326">
        <v>7575</v>
      </c>
      <c r="H561" s="266">
        <v>4086</v>
      </c>
      <c r="I561" s="326">
        <v>62351</v>
      </c>
      <c r="K561" s="326"/>
    </row>
    <row r="562" spans="1:11" ht="9" customHeight="1" x14ac:dyDescent="0.25">
      <c r="A562" s="263" t="s">
        <v>31</v>
      </c>
      <c r="B562" s="326">
        <f t="shared" si="44"/>
        <v>8190</v>
      </c>
      <c r="C562" s="326"/>
      <c r="D562" s="326">
        <f t="shared" si="43"/>
        <v>3918</v>
      </c>
      <c r="E562" s="326">
        <v>1215</v>
      </c>
      <c r="F562" s="326">
        <v>1988</v>
      </c>
      <c r="G562" s="326">
        <v>373</v>
      </c>
      <c r="H562" s="266">
        <v>342</v>
      </c>
      <c r="I562" s="326">
        <v>4272</v>
      </c>
      <c r="K562" s="326"/>
    </row>
    <row r="563" spans="1:11" ht="9" customHeight="1" x14ac:dyDescent="0.25">
      <c r="A563" s="263" t="s">
        <v>32</v>
      </c>
      <c r="B563" s="326">
        <f t="shared" si="44"/>
        <v>18986</v>
      </c>
      <c r="C563" s="326"/>
      <c r="D563" s="326">
        <f t="shared" si="43"/>
        <v>9912</v>
      </c>
      <c r="E563" s="326">
        <v>3642</v>
      </c>
      <c r="F563" s="326">
        <v>4575</v>
      </c>
      <c r="G563" s="326">
        <v>756</v>
      </c>
      <c r="H563" s="266">
        <v>939</v>
      </c>
      <c r="I563" s="326">
        <v>9074</v>
      </c>
      <c r="K563" s="326"/>
    </row>
    <row r="564" spans="1:11" ht="9" customHeight="1" x14ac:dyDescent="0.25">
      <c r="A564" s="267" t="s">
        <v>33</v>
      </c>
      <c r="B564" s="328">
        <f t="shared" si="44"/>
        <v>12482</v>
      </c>
      <c r="C564" s="328"/>
      <c r="D564" s="328">
        <f t="shared" si="43"/>
        <v>6198</v>
      </c>
      <c r="E564" s="328">
        <v>1512</v>
      </c>
      <c r="F564" s="328">
        <v>3385</v>
      </c>
      <c r="G564" s="328">
        <v>549</v>
      </c>
      <c r="H564" s="268">
        <v>752</v>
      </c>
      <c r="I564" s="328">
        <v>6284</v>
      </c>
      <c r="K564" s="326"/>
    </row>
    <row r="565" spans="1:11" ht="9" customHeight="1" x14ac:dyDescent="0.25">
      <c r="A565" s="263" t="s">
        <v>34</v>
      </c>
      <c r="B565" s="326">
        <f t="shared" si="44"/>
        <v>11261</v>
      </c>
      <c r="C565" s="326"/>
      <c r="D565" s="326">
        <f t="shared" si="43"/>
        <v>5416</v>
      </c>
      <c r="E565" s="326">
        <v>2097</v>
      </c>
      <c r="F565" s="326">
        <v>2207</v>
      </c>
      <c r="G565" s="326">
        <v>330</v>
      </c>
      <c r="H565" s="266">
        <v>782</v>
      </c>
      <c r="I565" s="326">
        <v>5845</v>
      </c>
      <c r="K565" s="326"/>
    </row>
    <row r="566" spans="1:11" ht="9" customHeight="1" x14ac:dyDescent="0.25">
      <c r="A566" s="263" t="s">
        <v>35</v>
      </c>
      <c r="B566" s="326">
        <f t="shared" si="44"/>
        <v>33727</v>
      </c>
      <c r="C566" s="326"/>
      <c r="D566" s="326">
        <f t="shared" si="43"/>
        <v>16220</v>
      </c>
      <c r="E566" s="326">
        <v>5999</v>
      </c>
      <c r="F566" s="326">
        <v>6496</v>
      </c>
      <c r="G566" s="326">
        <v>1627</v>
      </c>
      <c r="H566" s="266">
        <v>2098</v>
      </c>
      <c r="I566" s="326">
        <v>17507</v>
      </c>
      <c r="K566" s="326"/>
    </row>
    <row r="567" spans="1:11" ht="9" customHeight="1" x14ac:dyDescent="0.25">
      <c r="A567" s="263" t="s">
        <v>36</v>
      </c>
      <c r="B567" s="326">
        <f t="shared" si="44"/>
        <v>53679</v>
      </c>
      <c r="C567" s="326"/>
      <c r="D567" s="326">
        <f t="shared" si="43"/>
        <v>22533</v>
      </c>
      <c r="E567" s="326">
        <v>6460</v>
      </c>
      <c r="F567" s="326">
        <v>10353</v>
      </c>
      <c r="G567" s="326">
        <v>2778</v>
      </c>
      <c r="H567" s="266">
        <v>2942</v>
      </c>
      <c r="I567" s="326">
        <v>31146</v>
      </c>
      <c r="K567" s="326"/>
    </row>
    <row r="568" spans="1:11" ht="9" customHeight="1" x14ac:dyDescent="0.25">
      <c r="A568" s="267" t="s">
        <v>37</v>
      </c>
      <c r="B568" s="328">
        <f t="shared" si="44"/>
        <v>14279</v>
      </c>
      <c r="C568" s="328"/>
      <c r="D568" s="328">
        <f t="shared" si="43"/>
        <v>7160</v>
      </c>
      <c r="E568" s="328">
        <v>2078</v>
      </c>
      <c r="F568" s="328">
        <v>3198</v>
      </c>
      <c r="G568" s="328">
        <v>831</v>
      </c>
      <c r="H568" s="268">
        <v>1053</v>
      </c>
      <c r="I568" s="328">
        <v>7119</v>
      </c>
      <c r="K568" s="326"/>
    </row>
    <row r="569" spans="1:11" ht="9" customHeight="1" x14ac:dyDescent="0.25">
      <c r="A569" s="263" t="s">
        <v>38</v>
      </c>
      <c r="B569" s="326">
        <f t="shared" si="44"/>
        <v>7631</v>
      </c>
      <c r="C569" s="326"/>
      <c r="D569" s="326">
        <f t="shared" si="43"/>
        <v>3688</v>
      </c>
      <c r="E569" s="326">
        <v>894</v>
      </c>
      <c r="F569" s="326">
        <v>1750</v>
      </c>
      <c r="G569" s="326">
        <v>573</v>
      </c>
      <c r="H569" s="266">
        <v>471</v>
      </c>
      <c r="I569" s="326">
        <v>3943</v>
      </c>
      <c r="K569" s="326"/>
    </row>
    <row r="570" spans="1:11" ht="9" customHeight="1" x14ac:dyDescent="0.25">
      <c r="A570" s="263" t="s">
        <v>39</v>
      </c>
      <c r="B570" s="326">
        <f t="shared" si="44"/>
        <v>5612</v>
      </c>
      <c r="C570" s="326"/>
      <c r="D570" s="326">
        <f t="shared" si="43"/>
        <v>2664</v>
      </c>
      <c r="E570" s="326">
        <v>686</v>
      </c>
      <c r="F570" s="326">
        <v>1295</v>
      </c>
      <c r="G570" s="326">
        <v>373</v>
      </c>
      <c r="H570" s="266">
        <v>310</v>
      </c>
      <c r="I570" s="326">
        <v>2948</v>
      </c>
      <c r="K570" s="326"/>
    </row>
    <row r="571" spans="1:11" ht="9" customHeight="1" x14ac:dyDescent="0.25">
      <c r="A571" s="263" t="s">
        <v>40</v>
      </c>
      <c r="B571" s="326">
        <f t="shared" si="44"/>
        <v>24593</v>
      </c>
      <c r="C571" s="326"/>
      <c r="D571" s="326">
        <f t="shared" si="43"/>
        <v>10968</v>
      </c>
      <c r="E571" s="326">
        <v>3721</v>
      </c>
      <c r="F571" s="326">
        <v>4344</v>
      </c>
      <c r="G571" s="326">
        <v>1599</v>
      </c>
      <c r="H571" s="266">
        <v>1304</v>
      </c>
      <c r="I571" s="326">
        <v>13625</v>
      </c>
      <c r="K571" s="326"/>
    </row>
    <row r="572" spans="1:11" ht="9" customHeight="1" x14ac:dyDescent="0.25">
      <c r="A572" s="267" t="s">
        <v>41</v>
      </c>
      <c r="B572" s="328">
        <f t="shared" si="44"/>
        <v>12963</v>
      </c>
      <c r="C572" s="328"/>
      <c r="D572" s="328">
        <f t="shared" si="43"/>
        <v>6711</v>
      </c>
      <c r="E572" s="328">
        <v>2538</v>
      </c>
      <c r="F572" s="328">
        <v>3100</v>
      </c>
      <c r="G572" s="328">
        <v>425</v>
      </c>
      <c r="H572" s="268">
        <v>648</v>
      </c>
      <c r="I572" s="328">
        <v>6252</v>
      </c>
      <c r="K572" s="326"/>
    </row>
    <row r="573" spans="1:11" ht="9" customHeight="1" x14ac:dyDescent="0.25">
      <c r="A573" s="263" t="s">
        <v>42</v>
      </c>
      <c r="B573" s="326">
        <f t="shared" si="44"/>
        <v>19918</v>
      </c>
      <c r="C573" s="326"/>
      <c r="D573" s="326">
        <f t="shared" si="43"/>
        <v>9887</v>
      </c>
      <c r="E573" s="326">
        <v>3358</v>
      </c>
      <c r="F573" s="326">
        <v>3960</v>
      </c>
      <c r="G573" s="326">
        <v>1198</v>
      </c>
      <c r="H573" s="266">
        <v>1371</v>
      </c>
      <c r="I573" s="326">
        <v>10031</v>
      </c>
      <c r="K573" s="326"/>
    </row>
    <row r="574" spans="1:11" ht="9" customHeight="1" x14ac:dyDescent="0.25">
      <c r="A574" s="263" t="s">
        <v>43</v>
      </c>
      <c r="B574" s="326">
        <f t="shared" si="44"/>
        <v>6345</v>
      </c>
      <c r="C574" s="326"/>
      <c r="D574" s="326">
        <f t="shared" si="43"/>
        <v>3167</v>
      </c>
      <c r="E574" s="326">
        <v>1084</v>
      </c>
      <c r="F574" s="326">
        <v>1420</v>
      </c>
      <c r="G574" s="326">
        <v>347</v>
      </c>
      <c r="H574" s="266">
        <v>316</v>
      </c>
      <c r="I574" s="326">
        <v>3178</v>
      </c>
      <c r="K574" s="326"/>
    </row>
    <row r="575" spans="1:11" ht="9" customHeight="1" x14ac:dyDescent="0.25">
      <c r="A575" s="263" t="s">
        <v>44</v>
      </c>
      <c r="B575" s="326">
        <f t="shared" si="44"/>
        <v>6257</v>
      </c>
      <c r="C575" s="326"/>
      <c r="D575" s="326">
        <f t="shared" si="43"/>
        <v>2669</v>
      </c>
      <c r="E575" s="326">
        <v>829</v>
      </c>
      <c r="F575" s="326">
        <v>1323</v>
      </c>
      <c r="G575" s="326">
        <v>260</v>
      </c>
      <c r="H575" s="266">
        <v>257</v>
      </c>
      <c r="I575" s="326">
        <v>3588</v>
      </c>
      <c r="K575" s="326"/>
    </row>
    <row r="576" spans="1:11" ht="9" customHeight="1" x14ac:dyDescent="0.25">
      <c r="A576" s="267" t="s">
        <v>45</v>
      </c>
      <c r="B576" s="328">
        <f t="shared" si="44"/>
        <v>9914</v>
      </c>
      <c r="C576" s="328"/>
      <c r="D576" s="328">
        <f t="shared" si="43"/>
        <v>4694</v>
      </c>
      <c r="E576" s="328">
        <v>1662</v>
      </c>
      <c r="F576" s="328">
        <v>2176</v>
      </c>
      <c r="G576" s="328">
        <v>362</v>
      </c>
      <c r="H576" s="268">
        <v>494</v>
      </c>
      <c r="I576" s="328">
        <v>5220</v>
      </c>
      <c r="K576" s="326"/>
    </row>
    <row r="577" spans="1:11" ht="9" customHeight="1" x14ac:dyDescent="0.25">
      <c r="A577" s="263" t="s">
        <v>46</v>
      </c>
      <c r="B577" s="326">
        <f t="shared" si="44"/>
        <v>13821</v>
      </c>
      <c r="C577" s="326"/>
      <c r="D577" s="326">
        <f t="shared" si="43"/>
        <v>6483</v>
      </c>
      <c r="E577" s="326">
        <v>2060</v>
      </c>
      <c r="F577" s="326">
        <v>3054</v>
      </c>
      <c r="G577" s="326">
        <v>679</v>
      </c>
      <c r="H577" s="266">
        <v>690</v>
      </c>
      <c r="I577" s="326">
        <v>7338</v>
      </c>
      <c r="K577" s="326"/>
    </row>
    <row r="578" spans="1:11" ht="9" customHeight="1" x14ac:dyDescent="0.25">
      <c r="A578" s="263" t="s">
        <v>47</v>
      </c>
      <c r="B578" s="326">
        <f t="shared" si="44"/>
        <v>16387</v>
      </c>
      <c r="C578" s="326"/>
      <c r="D578" s="326">
        <f t="shared" si="43"/>
        <v>7332</v>
      </c>
      <c r="E578" s="326">
        <v>2111</v>
      </c>
      <c r="F578" s="326">
        <v>3615</v>
      </c>
      <c r="G578" s="326">
        <v>727</v>
      </c>
      <c r="H578" s="266">
        <v>879</v>
      </c>
      <c r="I578" s="326">
        <v>9055</v>
      </c>
      <c r="K578" s="326"/>
    </row>
    <row r="579" spans="1:11" ht="9" customHeight="1" x14ac:dyDescent="0.25">
      <c r="A579" s="263" t="s">
        <v>48</v>
      </c>
      <c r="B579" s="326">
        <f t="shared" si="44"/>
        <v>14037</v>
      </c>
      <c r="C579" s="326"/>
      <c r="D579" s="326">
        <f t="shared" si="43"/>
        <v>5821</v>
      </c>
      <c r="E579" s="326">
        <v>1977</v>
      </c>
      <c r="F579" s="326">
        <v>2927</v>
      </c>
      <c r="G579" s="326">
        <v>505</v>
      </c>
      <c r="H579" s="266">
        <v>412</v>
      </c>
      <c r="I579" s="326">
        <v>8216</v>
      </c>
      <c r="K579" s="326"/>
    </row>
    <row r="580" spans="1:11" ht="9" customHeight="1" x14ac:dyDescent="0.25">
      <c r="A580" s="267" t="s">
        <v>49</v>
      </c>
      <c r="B580" s="328">
        <f t="shared" si="44"/>
        <v>18421</v>
      </c>
      <c r="C580" s="328"/>
      <c r="D580" s="328">
        <f t="shared" si="43"/>
        <v>8024</v>
      </c>
      <c r="E580" s="328">
        <v>2326</v>
      </c>
      <c r="F580" s="328">
        <v>3460</v>
      </c>
      <c r="G580" s="328">
        <v>1191</v>
      </c>
      <c r="H580" s="268">
        <v>1047</v>
      </c>
      <c r="I580" s="328">
        <v>10397</v>
      </c>
      <c r="K580" s="326"/>
    </row>
    <row r="581" spans="1:11" ht="9" customHeight="1" x14ac:dyDescent="0.25">
      <c r="A581" s="263" t="s">
        <v>50</v>
      </c>
      <c r="B581" s="326">
        <f t="shared" si="44"/>
        <v>4638</v>
      </c>
      <c r="C581" s="326"/>
      <c r="D581" s="326">
        <f t="shared" si="43"/>
        <v>2178</v>
      </c>
      <c r="E581" s="326">
        <v>492</v>
      </c>
      <c r="F581" s="326">
        <v>1297</v>
      </c>
      <c r="G581" s="326">
        <v>211</v>
      </c>
      <c r="H581" s="266">
        <v>178</v>
      </c>
      <c r="I581" s="326">
        <v>2460</v>
      </c>
      <c r="K581" s="326"/>
    </row>
    <row r="582" spans="1:11" ht="9" customHeight="1" x14ac:dyDescent="0.25">
      <c r="A582" s="263" t="s">
        <v>51</v>
      </c>
      <c r="B582" s="326">
        <f t="shared" si="44"/>
        <v>31264</v>
      </c>
      <c r="C582" s="326"/>
      <c r="D582" s="326">
        <f t="shared" si="43"/>
        <v>14433</v>
      </c>
      <c r="E582" s="326">
        <v>5885</v>
      </c>
      <c r="F582" s="326">
        <v>6296</v>
      </c>
      <c r="G582" s="326">
        <v>1036</v>
      </c>
      <c r="H582" s="266">
        <v>1216</v>
      </c>
      <c r="I582" s="326">
        <v>16831</v>
      </c>
      <c r="K582" s="326"/>
    </row>
    <row r="583" spans="1:11" ht="9" customHeight="1" x14ac:dyDescent="0.25">
      <c r="A583" s="263" t="s">
        <v>52</v>
      </c>
      <c r="B583" s="326">
        <f t="shared" si="44"/>
        <v>9417</v>
      </c>
      <c r="C583" s="326"/>
      <c r="D583" s="326">
        <f t="shared" si="43"/>
        <v>4529</v>
      </c>
      <c r="E583" s="326">
        <v>1975</v>
      </c>
      <c r="F583" s="326">
        <v>1494</v>
      </c>
      <c r="G583" s="326">
        <v>479</v>
      </c>
      <c r="H583" s="266">
        <v>581</v>
      </c>
      <c r="I583" s="326">
        <v>4888</v>
      </c>
      <c r="K583" s="326"/>
    </row>
    <row r="584" spans="1:11" ht="9" customHeight="1" x14ac:dyDescent="0.25">
      <c r="A584" s="333" t="s">
        <v>53</v>
      </c>
      <c r="B584" s="334">
        <f t="shared" si="44"/>
        <v>6287</v>
      </c>
      <c r="C584" s="334"/>
      <c r="D584" s="334">
        <f t="shared" si="43"/>
        <v>3222</v>
      </c>
      <c r="E584" s="334">
        <v>1057</v>
      </c>
      <c r="F584" s="334">
        <v>1717</v>
      </c>
      <c r="G584" s="334">
        <v>176</v>
      </c>
      <c r="H584" s="334">
        <v>272</v>
      </c>
      <c r="I584" s="334">
        <v>3065</v>
      </c>
      <c r="K584" s="326"/>
    </row>
    <row r="585" spans="1:11" ht="9" customHeight="1" x14ac:dyDescent="0.25">
      <c r="A585" s="264"/>
      <c r="B585" s="325"/>
      <c r="C585" s="325"/>
      <c r="D585" s="325"/>
      <c r="E585" s="325"/>
      <c r="F585" s="325"/>
      <c r="G585" s="325"/>
      <c r="H585" s="325"/>
      <c r="I585" s="325"/>
      <c r="K585" s="326"/>
    </row>
    <row r="586" spans="1:11" ht="9" customHeight="1" x14ac:dyDescent="0.25">
      <c r="A586" s="261">
        <v>2011</v>
      </c>
      <c r="B586" s="261"/>
      <c r="C586" s="261"/>
      <c r="D586" s="262"/>
      <c r="E586" s="271"/>
      <c r="F586" s="271"/>
      <c r="G586" s="271"/>
      <c r="H586" s="271"/>
      <c r="I586" s="271"/>
      <c r="K586" s="326"/>
    </row>
    <row r="587" spans="1:11" ht="9" customHeight="1" x14ac:dyDescent="0.25">
      <c r="A587" s="264" t="s">
        <v>21</v>
      </c>
      <c r="B587" s="325">
        <f>SUM(B589:B620)</f>
        <v>583553</v>
      </c>
      <c r="C587" s="325"/>
      <c r="D587" s="325">
        <f t="shared" ref="D587:I587" si="45">SUM(D589:D620)</f>
        <v>267531</v>
      </c>
      <c r="E587" s="325">
        <f t="shared" si="45"/>
        <v>86771</v>
      </c>
      <c r="F587" s="325">
        <f t="shared" si="45"/>
        <v>122601</v>
      </c>
      <c r="G587" s="325">
        <f t="shared" si="45"/>
        <v>28479</v>
      </c>
      <c r="H587" s="325">
        <f t="shared" si="45"/>
        <v>29680</v>
      </c>
      <c r="I587" s="325">
        <f t="shared" si="45"/>
        <v>316022</v>
      </c>
      <c r="K587" s="326"/>
    </row>
    <row r="588" spans="1:11" ht="3.95" customHeight="1" x14ac:dyDescent="0.25">
      <c r="A588" s="264"/>
      <c r="B588" s="325"/>
      <c r="C588" s="325"/>
      <c r="D588" s="325"/>
      <c r="E588" s="325"/>
      <c r="F588" s="325"/>
      <c r="G588" s="325"/>
      <c r="H588" s="325"/>
      <c r="I588" s="325"/>
      <c r="K588" s="326"/>
    </row>
    <row r="589" spans="1:11" ht="9" customHeight="1" x14ac:dyDescent="0.25">
      <c r="A589" s="263" t="s">
        <v>23</v>
      </c>
      <c r="B589" s="326">
        <f>SUM(D589,I589)</f>
        <v>7277</v>
      </c>
      <c r="C589" s="326"/>
      <c r="D589" s="326">
        <f t="shared" ref="D589:D620" si="46">SUM(E589:H589)</f>
        <v>3356</v>
      </c>
      <c r="E589" s="326">
        <v>1144</v>
      </c>
      <c r="F589" s="326">
        <v>1426</v>
      </c>
      <c r="G589" s="326">
        <v>326</v>
      </c>
      <c r="H589" s="266">
        <v>460</v>
      </c>
      <c r="I589" s="326">
        <v>3921</v>
      </c>
      <c r="K589" s="326"/>
    </row>
    <row r="590" spans="1:11" ht="9" customHeight="1" x14ac:dyDescent="0.25">
      <c r="A590" s="263" t="s">
        <v>24</v>
      </c>
      <c r="B590" s="326">
        <f t="shared" ref="B590:B620" si="47">SUM(D590,I590)</f>
        <v>14346</v>
      </c>
      <c r="C590" s="326"/>
      <c r="D590" s="326">
        <f t="shared" si="46"/>
        <v>6740</v>
      </c>
      <c r="E590" s="326">
        <v>1951</v>
      </c>
      <c r="F590" s="326">
        <v>3156</v>
      </c>
      <c r="G590" s="326">
        <v>933</v>
      </c>
      <c r="H590" s="266">
        <v>700</v>
      </c>
      <c r="I590" s="326">
        <v>7606</v>
      </c>
      <c r="K590" s="326"/>
    </row>
    <row r="591" spans="1:11" ht="9" customHeight="1" x14ac:dyDescent="0.25">
      <c r="A591" s="263" t="s">
        <v>25</v>
      </c>
      <c r="B591" s="326">
        <f t="shared" si="47"/>
        <v>4613</v>
      </c>
      <c r="C591" s="326"/>
      <c r="D591" s="326">
        <f t="shared" si="46"/>
        <v>2017</v>
      </c>
      <c r="E591" s="326">
        <v>686</v>
      </c>
      <c r="F591" s="326">
        <v>1046</v>
      </c>
      <c r="G591" s="326">
        <v>132</v>
      </c>
      <c r="H591" s="266">
        <v>153</v>
      </c>
      <c r="I591" s="326">
        <v>2596</v>
      </c>
      <c r="K591" s="326"/>
    </row>
    <row r="592" spans="1:11" ht="9" customHeight="1" x14ac:dyDescent="0.25">
      <c r="A592" s="267" t="s">
        <v>26</v>
      </c>
      <c r="B592" s="328">
        <f t="shared" si="47"/>
        <v>5173</v>
      </c>
      <c r="C592" s="328"/>
      <c r="D592" s="328">
        <f t="shared" si="46"/>
        <v>2605</v>
      </c>
      <c r="E592" s="328">
        <v>976</v>
      </c>
      <c r="F592" s="328">
        <v>1189</v>
      </c>
      <c r="G592" s="328">
        <v>198</v>
      </c>
      <c r="H592" s="268">
        <v>242</v>
      </c>
      <c r="I592" s="328">
        <v>2568</v>
      </c>
      <c r="K592" s="326"/>
    </row>
    <row r="593" spans="1:11" ht="9" customHeight="1" x14ac:dyDescent="0.25">
      <c r="A593" s="263" t="s">
        <v>27</v>
      </c>
      <c r="B593" s="326">
        <f t="shared" si="47"/>
        <v>15807</v>
      </c>
      <c r="C593" s="326"/>
      <c r="D593" s="326">
        <f t="shared" si="46"/>
        <v>7427</v>
      </c>
      <c r="E593" s="326">
        <v>2253</v>
      </c>
      <c r="F593" s="326">
        <v>3299</v>
      </c>
      <c r="G593" s="326">
        <v>924</v>
      </c>
      <c r="H593" s="266">
        <v>951</v>
      </c>
      <c r="I593" s="326">
        <v>8380</v>
      </c>
      <c r="K593" s="326"/>
    </row>
    <row r="594" spans="1:11" ht="9" customHeight="1" x14ac:dyDescent="0.25">
      <c r="A594" s="263" t="s">
        <v>28</v>
      </c>
      <c r="B594" s="326">
        <f t="shared" si="47"/>
        <v>4078</v>
      </c>
      <c r="C594" s="326"/>
      <c r="D594" s="326">
        <f t="shared" si="46"/>
        <v>2025</v>
      </c>
      <c r="E594" s="326">
        <v>377</v>
      </c>
      <c r="F594" s="326">
        <v>1188</v>
      </c>
      <c r="G594" s="326">
        <v>189</v>
      </c>
      <c r="H594" s="266">
        <v>271</v>
      </c>
      <c r="I594" s="326">
        <v>2053</v>
      </c>
      <c r="K594" s="326"/>
    </row>
    <row r="595" spans="1:11" ht="9" customHeight="1" x14ac:dyDescent="0.25">
      <c r="A595" s="263" t="s">
        <v>29</v>
      </c>
      <c r="B595" s="326">
        <f t="shared" si="47"/>
        <v>16638</v>
      </c>
      <c r="C595" s="326"/>
      <c r="D595" s="326">
        <f t="shared" si="46"/>
        <v>8591</v>
      </c>
      <c r="E595" s="326">
        <v>3432</v>
      </c>
      <c r="F595" s="326">
        <v>3807</v>
      </c>
      <c r="G595" s="326">
        <v>361</v>
      </c>
      <c r="H595" s="266">
        <v>991</v>
      </c>
      <c r="I595" s="326">
        <v>8047</v>
      </c>
      <c r="K595" s="326"/>
    </row>
    <row r="596" spans="1:11" ht="9" customHeight="1" x14ac:dyDescent="0.25">
      <c r="A596" s="267" t="s">
        <v>30</v>
      </c>
      <c r="B596" s="328">
        <f t="shared" si="47"/>
        <v>18427</v>
      </c>
      <c r="C596" s="328"/>
      <c r="D596" s="328">
        <f t="shared" si="46"/>
        <v>8622</v>
      </c>
      <c r="E596" s="328">
        <v>3225</v>
      </c>
      <c r="F596" s="328">
        <v>3656</v>
      </c>
      <c r="G596" s="328">
        <v>649</v>
      </c>
      <c r="H596" s="268">
        <v>1092</v>
      </c>
      <c r="I596" s="328">
        <v>9805</v>
      </c>
      <c r="K596" s="326"/>
    </row>
    <row r="597" spans="1:11" ht="9" customHeight="1" x14ac:dyDescent="0.25">
      <c r="A597" s="263" t="s">
        <v>63</v>
      </c>
      <c r="B597" s="326">
        <f t="shared" si="47"/>
        <v>110889</v>
      </c>
      <c r="C597" s="326"/>
      <c r="D597" s="326">
        <f t="shared" si="46"/>
        <v>45204</v>
      </c>
      <c r="E597" s="326">
        <v>11900</v>
      </c>
      <c r="F597" s="326">
        <v>22266</v>
      </c>
      <c r="G597" s="326">
        <v>7081</v>
      </c>
      <c r="H597" s="266">
        <v>3957</v>
      </c>
      <c r="I597" s="326">
        <v>65685</v>
      </c>
      <c r="K597" s="326"/>
    </row>
    <row r="598" spans="1:11" ht="9" customHeight="1" x14ac:dyDescent="0.25">
      <c r="A598" s="263" t="s">
        <v>31</v>
      </c>
      <c r="B598" s="326">
        <f t="shared" si="47"/>
        <v>8803</v>
      </c>
      <c r="C598" s="326"/>
      <c r="D598" s="326">
        <f t="shared" si="46"/>
        <v>4260</v>
      </c>
      <c r="E598" s="326">
        <v>1428</v>
      </c>
      <c r="F598" s="326">
        <v>2103</v>
      </c>
      <c r="G598" s="326">
        <v>376</v>
      </c>
      <c r="H598" s="266">
        <v>353</v>
      </c>
      <c r="I598" s="326">
        <v>4543</v>
      </c>
      <c r="K598" s="326"/>
    </row>
    <row r="599" spans="1:11" ht="9" customHeight="1" x14ac:dyDescent="0.25">
      <c r="A599" s="263" t="s">
        <v>32</v>
      </c>
      <c r="B599" s="326">
        <f t="shared" si="47"/>
        <v>20669</v>
      </c>
      <c r="C599" s="326"/>
      <c r="D599" s="326">
        <f t="shared" si="46"/>
        <v>10936</v>
      </c>
      <c r="E599" s="326">
        <v>3744</v>
      </c>
      <c r="F599" s="326">
        <v>5149</v>
      </c>
      <c r="G599" s="326">
        <v>839</v>
      </c>
      <c r="H599" s="266">
        <v>1204</v>
      </c>
      <c r="I599" s="326">
        <v>9733</v>
      </c>
      <c r="K599" s="326"/>
    </row>
    <row r="600" spans="1:11" ht="9" customHeight="1" x14ac:dyDescent="0.25">
      <c r="A600" s="267" t="s">
        <v>33</v>
      </c>
      <c r="B600" s="328">
        <f t="shared" si="47"/>
        <v>13004</v>
      </c>
      <c r="C600" s="328"/>
      <c r="D600" s="328">
        <f t="shared" si="46"/>
        <v>6352</v>
      </c>
      <c r="E600" s="328">
        <v>1542</v>
      </c>
      <c r="F600" s="328">
        <v>3484</v>
      </c>
      <c r="G600" s="328">
        <v>549</v>
      </c>
      <c r="H600" s="268">
        <v>777</v>
      </c>
      <c r="I600" s="328">
        <v>6652</v>
      </c>
      <c r="K600" s="326"/>
    </row>
    <row r="601" spans="1:11" ht="9" customHeight="1" x14ac:dyDescent="0.25">
      <c r="A601" s="263" t="s">
        <v>34</v>
      </c>
      <c r="B601" s="326">
        <f t="shared" si="47"/>
        <v>12006</v>
      </c>
      <c r="C601" s="326"/>
      <c r="D601" s="326">
        <f t="shared" si="46"/>
        <v>5960</v>
      </c>
      <c r="E601" s="326">
        <v>2468</v>
      </c>
      <c r="F601" s="326">
        <v>2300</v>
      </c>
      <c r="G601" s="326">
        <v>324</v>
      </c>
      <c r="H601" s="266">
        <v>868</v>
      </c>
      <c r="I601" s="326">
        <v>6046</v>
      </c>
      <c r="K601" s="326"/>
    </row>
    <row r="602" spans="1:11" ht="9" customHeight="1" x14ac:dyDescent="0.25">
      <c r="A602" s="263" t="s">
        <v>35</v>
      </c>
      <c r="B602" s="326">
        <f t="shared" si="47"/>
        <v>36310</v>
      </c>
      <c r="C602" s="326"/>
      <c r="D602" s="326">
        <f t="shared" si="46"/>
        <v>17525</v>
      </c>
      <c r="E602" s="326">
        <v>6255</v>
      </c>
      <c r="F602" s="326">
        <v>7284</v>
      </c>
      <c r="G602" s="326">
        <v>1730</v>
      </c>
      <c r="H602" s="266">
        <v>2256</v>
      </c>
      <c r="I602" s="326">
        <v>18785</v>
      </c>
      <c r="K602" s="326"/>
    </row>
    <row r="603" spans="1:11" ht="9" customHeight="1" x14ac:dyDescent="0.25">
      <c r="A603" s="263" t="s">
        <v>36</v>
      </c>
      <c r="B603" s="326">
        <f t="shared" si="47"/>
        <v>58200</v>
      </c>
      <c r="C603" s="326"/>
      <c r="D603" s="326">
        <f t="shared" si="46"/>
        <v>24592</v>
      </c>
      <c r="E603" s="326">
        <v>6870</v>
      </c>
      <c r="F603" s="326">
        <v>11576</v>
      </c>
      <c r="G603" s="326">
        <v>2992</v>
      </c>
      <c r="H603" s="266">
        <v>3154</v>
      </c>
      <c r="I603" s="326">
        <v>33608</v>
      </c>
      <c r="K603" s="326"/>
    </row>
    <row r="604" spans="1:11" ht="9" customHeight="1" x14ac:dyDescent="0.25">
      <c r="A604" s="267" t="s">
        <v>37</v>
      </c>
      <c r="B604" s="328">
        <f t="shared" si="47"/>
        <v>16005</v>
      </c>
      <c r="C604" s="328"/>
      <c r="D604" s="328">
        <f t="shared" si="46"/>
        <v>7951</v>
      </c>
      <c r="E604" s="328">
        <v>2773</v>
      </c>
      <c r="F604" s="328">
        <v>3184</v>
      </c>
      <c r="G604" s="328">
        <v>690</v>
      </c>
      <c r="H604" s="268">
        <v>1304</v>
      </c>
      <c r="I604" s="328">
        <v>8054</v>
      </c>
      <c r="K604" s="326"/>
    </row>
    <row r="605" spans="1:11" ht="9" customHeight="1" x14ac:dyDescent="0.25">
      <c r="A605" s="263" t="s">
        <v>38</v>
      </c>
      <c r="B605" s="326">
        <f t="shared" si="47"/>
        <v>8419</v>
      </c>
      <c r="C605" s="326"/>
      <c r="D605" s="326">
        <f t="shared" si="46"/>
        <v>4007</v>
      </c>
      <c r="E605" s="326">
        <v>959</v>
      </c>
      <c r="F605" s="326">
        <v>1897</v>
      </c>
      <c r="G605" s="326">
        <v>627</v>
      </c>
      <c r="H605" s="266">
        <v>524</v>
      </c>
      <c r="I605" s="326">
        <v>4412</v>
      </c>
      <c r="K605" s="326"/>
    </row>
    <row r="606" spans="1:11" ht="9" customHeight="1" x14ac:dyDescent="0.25">
      <c r="A606" s="263" t="s">
        <v>39</v>
      </c>
      <c r="B606" s="326">
        <f t="shared" si="47"/>
        <v>6042</v>
      </c>
      <c r="C606" s="326"/>
      <c r="D606" s="326">
        <f t="shared" si="46"/>
        <v>2904</v>
      </c>
      <c r="E606" s="326">
        <v>756</v>
      </c>
      <c r="F606" s="326">
        <v>1417</v>
      </c>
      <c r="G606" s="326">
        <v>380</v>
      </c>
      <c r="H606" s="266">
        <v>351</v>
      </c>
      <c r="I606" s="326">
        <v>3138</v>
      </c>
      <c r="K606" s="326"/>
    </row>
    <row r="607" spans="1:11" ht="9" customHeight="1" x14ac:dyDescent="0.25">
      <c r="A607" s="263" t="s">
        <v>40</v>
      </c>
      <c r="B607" s="326">
        <f t="shared" si="47"/>
        <v>24991</v>
      </c>
      <c r="C607" s="326"/>
      <c r="D607" s="326">
        <f t="shared" si="46"/>
        <v>11222</v>
      </c>
      <c r="E607" s="326">
        <v>3856</v>
      </c>
      <c r="F607" s="326">
        <v>4427</v>
      </c>
      <c r="G607" s="326">
        <v>1537</v>
      </c>
      <c r="H607" s="266">
        <v>1402</v>
      </c>
      <c r="I607" s="326">
        <v>13769</v>
      </c>
      <c r="K607" s="326"/>
    </row>
    <row r="608" spans="1:11" ht="9" customHeight="1" x14ac:dyDescent="0.25">
      <c r="A608" s="267" t="s">
        <v>41</v>
      </c>
      <c r="B608" s="328">
        <f t="shared" si="47"/>
        <v>14584</v>
      </c>
      <c r="C608" s="328"/>
      <c r="D608" s="328">
        <f t="shared" si="46"/>
        <v>7664</v>
      </c>
      <c r="E608" s="328">
        <v>3026</v>
      </c>
      <c r="F608" s="328">
        <v>3552</v>
      </c>
      <c r="G608" s="328">
        <v>458</v>
      </c>
      <c r="H608" s="268">
        <v>628</v>
      </c>
      <c r="I608" s="328">
        <v>6920</v>
      </c>
      <c r="K608" s="326"/>
    </row>
    <row r="609" spans="1:11" ht="9" customHeight="1" x14ac:dyDescent="0.25">
      <c r="A609" s="263" t="s">
        <v>42</v>
      </c>
      <c r="B609" s="326">
        <f t="shared" si="47"/>
        <v>20988</v>
      </c>
      <c r="C609" s="326"/>
      <c r="D609" s="326">
        <f t="shared" si="46"/>
        <v>10621</v>
      </c>
      <c r="E609" s="326">
        <v>3971</v>
      </c>
      <c r="F609" s="326">
        <v>4179</v>
      </c>
      <c r="G609" s="326">
        <v>1084</v>
      </c>
      <c r="H609" s="266">
        <v>1387</v>
      </c>
      <c r="I609" s="326">
        <v>10367</v>
      </c>
      <c r="K609" s="326"/>
    </row>
    <row r="610" spans="1:11" ht="9" customHeight="1" x14ac:dyDescent="0.25">
      <c r="A610" s="263" t="s">
        <v>43</v>
      </c>
      <c r="B610" s="326">
        <f t="shared" si="47"/>
        <v>6945</v>
      </c>
      <c r="C610" s="326"/>
      <c r="D610" s="326">
        <f t="shared" si="46"/>
        <v>3272</v>
      </c>
      <c r="E610" s="326">
        <v>1166</v>
      </c>
      <c r="F610" s="326">
        <v>1530</v>
      </c>
      <c r="G610" s="326">
        <v>331</v>
      </c>
      <c r="H610" s="266">
        <v>245</v>
      </c>
      <c r="I610" s="326">
        <v>3673</v>
      </c>
      <c r="K610" s="326"/>
    </row>
    <row r="611" spans="1:11" ht="9" customHeight="1" x14ac:dyDescent="0.25">
      <c r="A611" s="263" t="s">
        <v>44</v>
      </c>
      <c r="B611" s="326">
        <f t="shared" si="47"/>
        <v>6886</v>
      </c>
      <c r="C611" s="326"/>
      <c r="D611" s="326">
        <f t="shared" si="46"/>
        <v>3033</v>
      </c>
      <c r="E611" s="326">
        <v>803</v>
      </c>
      <c r="F611" s="326">
        <v>1762</v>
      </c>
      <c r="G611" s="326">
        <v>253</v>
      </c>
      <c r="H611" s="266">
        <v>215</v>
      </c>
      <c r="I611" s="326">
        <v>3853</v>
      </c>
      <c r="K611" s="326"/>
    </row>
    <row r="612" spans="1:11" ht="9" customHeight="1" x14ac:dyDescent="0.25">
      <c r="A612" s="267" t="s">
        <v>45</v>
      </c>
      <c r="B612" s="328">
        <f t="shared" si="47"/>
        <v>11375</v>
      </c>
      <c r="C612" s="328"/>
      <c r="D612" s="328">
        <f t="shared" si="46"/>
        <v>5126</v>
      </c>
      <c r="E612" s="328">
        <v>1816</v>
      </c>
      <c r="F612" s="328">
        <v>2412</v>
      </c>
      <c r="G612" s="328">
        <v>413</v>
      </c>
      <c r="H612" s="268">
        <v>485</v>
      </c>
      <c r="I612" s="328">
        <v>6249</v>
      </c>
      <c r="K612" s="326"/>
    </row>
    <row r="613" spans="1:11" ht="9" customHeight="1" x14ac:dyDescent="0.25">
      <c r="A613" s="263" t="s">
        <v>46</v>
      </c>
      <c r="B613" s="326">
        <f t="shared" si="47"/>
        <v>14497</v>
      </c>
      <c r="C613" s="326"/>
      <c r="D613" s="326">
        <f t="shared" si="46"/>
        <v>6827</v>
      </c>
      <c r="E613" s="326">
        <v>2424</v>
      </c>
      <c r="F613" s="326">
        <v>3079</v>
      </c>
      <c r="G613" s="326">
        <v>628</v>
      </c>
      <c r="H613" s="266">
        <v>696</v>
      </c>
      <c r="I613" s="326">
        <v>7670</v>
      </c>
      <c r="K613" s="326"/>
    </row>
    <row r="614" spans="1:11" ht="9" customHeight="1" x14ac:dyDescent="0.25">
      <c r="A614" s="263" t="s">
        <v>47</v>
      </c>
      <c r="B614" s="326">
        <f t="shared" si="47"/>
        <v>16367</v>
      </c>
      <c r="C614" s="326"/>
      <c r="D614" s="326">
        <f t="shared" si="46"/>
        <v>7222</v>
      </c>
      <c r="E614" s="326">
        <v>2106</v>
      </c>
      <c r="F614" s="326">
        <v>3582</v>
      </c>
      <c r="G614" s="326">
        <v>711</v>
      </c>
      <c r="H614" s="266">
        <v>823</v>
      </c>
      <c r="I614" s="326">
        <v>9145</v>
      </c>
      <c r="K614" s="326"/>
    </row>
    <row r="615" spans="1:11" ht="9" customHeight="1" x14ac:dyDescent="0.25">
      <c r="A615" s="263" t="s">
        <v>48</v>
      </c>
      <c r="B615" s="326">
        <f t="shared" si="47"/>
        <v>13889</v>
      </c>
      <c r="C615" s="326"/>
      <c r="D615" s="326">
        <f t="shared" si="46"/>
        <v>5837</v>
      </c>
      <c r="E615" s="326">
        <v>1855</v>
      </c>
      <c r="F615" s="326">
        <v>3083</v>
      </c>
      <c r="G615" s="326">
        <v>504</v>
      </c>
      <c r="H615" s="266">
        <v>395</v>
      </c>
      <c r="I615" s="326">
        <v>8052</v>
      </c>
      <c r="K615" s="326"/>
    </row>
    <row r="616" spans="1:11" ht="9" customHeight="1" x14ac:dyDescent="0.25">
      <c r="A616" s="267" t="s">
        <v>49</v>
      </c>
      <c r="B616" s="328">
        <f t="shared" si="47"/>
        <v>20016</v>
      </c>
      <c r="C616" s="328"/>
      <c r="D616" s="328">
        <f t="shared" si="46"/>
        <v>8794</v>
      </c>
      <c r="E616" s="328">
        <v>2496</v>
      </c>
      <c r="F616" s="328">
        <v>3813</v>
      </c>
      <c r="G616" s="328">
        <v>1270</v>
      </c>
      <c r="H616" s="268">
        <v>1215</v>
      </c>
      <c r="I616" s="328">
        <v>11222</v>
      </c>
      <c r="K616" s="326"/>
    </row>
    <row r="617" spans="1:11" ht="9" customHeight="1" x14ac:dyDescent="0.25">
      <c r="A617" s="263" t="s">
        <v>50</v>
      </c>
      <c r="B617" s="326">
        <f t="shared" si="47"/>
        <v>6189</v>
      </c>
      <c r="C617" s="326"/>
      <c r="D617" s="326">
        <f t="shared" si="46"/>
        <v>2882</v>
      </c>
      <c r="E617" s="326">
        <v>471</v>
      </c>
      <c r="F617" s="326">
        <v>1879</v>
      </c>
      <c r="G617" s="326">
        <v>193</v>
      </c>
      <c r="H617" s="266">
        <v>339</v>
      </c>
      <c r="I617" s="326">
        <v>3307</v>
      </c>
      <c r="K617" s="326"/>
    </row>
    <row r="618" spans="1:11" ht="9" customHeight="1" x14ac:dyDescent="0.25">
      <c r="A618" s="263" t="s">
        <v>51</v>
      </c>
      <c r="B618" s="326">
        <f t="shared" si="47"/>
        <v>32369</v>
      </c>
      <c r="C618" s="326"/>
      <c r="D618" s="326">
        <f t="shared" si="46"/>
        <v>15176</v>
      </c>
      <c r="E618" s="326">
        <v>6537</v>
      </c>
      <c r="F618" s="326">
        <v>6367</v>
      </c>
      <c r="G618" s="326">
        <v>1033</v>
      </c>
      <c r="H618" s="266">
        <v>1239</v>
      </c>
      <c r="I618" s="326">
        <v>17193</v>
      </c>
      <c r="K618" s="326"/>
    </row>
    <row r="619" spans="1:11" ht="9" customHeight="1" x14ac:dyDescent="0.25">
      <c r="A619" s="263" t="s">
        <v>52</v>
      </c>
      <c r="B619" s="326">
        <f t="shared" si="47"/>
        <v>10697</v>
      </c>
      <c r="C619" s="326"/>
      <c r="D619" s="326">
        <f t="shared" si="46"/>
        <v>5186</v>
      </c>
      <c r="E619" s="326">
        <v>2166</v>
      </c>
      <c r="F619" s="326">
        <v>1832</v>
      </c>
      <c r="G619" s="326">
        <v>565</v>
      </c>
      <c r="H619" s="266">
        <v>623</v>
      </c>
      <c r="I619" s="326">
        <v>5511</v>
      </c>
      <c r="K619" s="326"/>
    </row>
    <row r="620" spans="1:11" s="263" customFormat="1" ht="9" customHeight="1" x14ac:dyDescent="0.25">
      <c r="A620" s="267" t="s">
        <v>53</v>
      </c>
      <c r="B620" s="328">
        <f t="shared" si="47"/>
        <v>7054</v>
      </c>
      <c r="C620" s="328"/>
      <c r="D620" s="328">
        <f t="shared" si="46"/>
        <v>3595</v>
      </c>
      <c r="E620" s="328">
        <v>1339</v>
      </c>
      <c r="F620" s="328">
        <v>1677</v>
      </c>
      <c r="G620" s="328">
        <v>199</v>
      </c>
      <c r="H620" s="268">
        <v>380</v>
      </c>
      <c r="I620" s="328">
        <v>3459</v>
      </c>
      <c r="K620" s="326"/>
    </row>
    <row r="621" spans="1:11" s="263" customFormat="1" ht="9" customHeight="1" x14ac:dyDescent="0.25">
      <c r="A621" s="264"/>
      <c r="B621" s="325"/>
      <c r="C621" s="325"/>
      <c r="D621" s="325"/>
      <c r="E621" s="325"/>
      <c r="F621" s="325"/>
      <c r="G621" s="325"/>
      <c r="H621" s="325"/>
      <c r="I621" s="325"/>
      <c r="K621" s="326"/>
    </row>
    <row r="622" spans="1:11" ht="9" customHeight="1" x14ac:dyDescent="0.25">
      <c r="A622" s="261">
        <v>2012</v>
      </c>
      <c r="B622" s="261"/>
      <c r="C622" s="261"/>
      <c r="D622" s="262"/>
      <c r="E622" s="271"/>
      <c r="F622" s="271"/>
      <c r="G622" s="271"/>
      <c r="H622" s="271"/>
      <c r="I622" s="271"/>
      <c r="K622" s="326"/>
    </row>
    <row r="623" spans="1:11" ht="9" customHeight="1" x14ac:dyDescent="0.25">
      <c r="A623" s="264" t="s">
        <v>21</v>
      </c>
      <c r="B623" s="325">
        <f>SUM(B625:B656)</f>
        <v>603053</v>
      </c>
      <c r="C623" s="331"/>
      <c r="D623" s="325">
        <f t="shared" ref="D623:I623" si="48">SUM(D625:D656)</f>
        <v>276933</v>
      </c>
      <c r="E623" s="325">
        <f t="shared" si="48"/>
        <v>90824</v>
      </c>
      <c r="F623" s="325">
        <f t="shared" si="48"/>
        <v>124883</v>
      </c>
      <c r="G623" s="325">
        <f t="shared" si="48"/>
        <v>29382</v>
      </c>
      <c r="H623" s="325">
        <f t="shared" si="48"/>
        <v>31844</v>
      </c>
      <c r="I623" s="325">
        <f t="shared" si="48"/>
        <v>326121</v>
      </c>
      <c r="K623" s="326"/>
    </row>
    <row r="624" spans="1:11" ht="3" customHeight="1" x14ac:dyDescent="0.25">
      <c r="A624" s="264"/>
      <c r="B624" s="325"/>
      <c r="C624" s="325"/>
      <c r="D624" s="325"/>
      <c r="E624" s="325"/>
      <c r="F624" s="325"/>
      <c r="G624" s="325"/>
      <c r="H624" s="325"/>
      <c r="I624" s="325"/>
      <c r="K624" s="326"/>
    </row>
    <row r="625" spans="1:11" ht="9" customHeight="1" x14ac:dyDescent="0.25">
      <c r="A625" s="263" t="s">
        <v>23</v>
      </c>
      <c r="B625" s="326">
        <f>SUM(D625,I625)</f>
        <v>7734</v>
      </c>
      <c r="C625" s="326"/>
      <c r="D625" s="326">
        <f t="shared" ref="D625:D656" si="49">SUM(E625:H625)</f>
        <v>3635</v>
      </c>
      <c r="E625" s="326">
        <v>1139</v>
      </c>
      <c r="F625" s="326">
        <v>1532</v>
      </c>
      <c r="G625" s="326">
        <v>343</v>
      </c>
      <c r="H625" s="266">
        <v>621</v>
      </c>
      <c r="I625" s="326">
        <v>4099</v>
      </c>
      <c r="K625" s="326"/>
    </row>
    <row r="626" spans="1:11" ht="9" customHeight="1" x14ac:dyDescent="0.25">
      <c r="A626" s="263" t="s">
        <v>24</v>
      </c>
      <c r="B626" s="326">
        <f t="shared" ref="B626:B656" si="50">SUM(D626,I626)</f>
        <v>15241</v>
      </c>
      <c r="C626" s="326"/>
      <c r="D626" s="326">
        <f t="shared" si="49"/>
        <v>7202</v>
      </c>
      <c r="E626" s="326">
        <v>2209</v>
      </c>
      <c r="F626" s="326">
        <v>3283</v>
      </c>
      <c r="G626" s="326">
        <v>916</v>
      </c>
      <c r="H626" s="266">
        <v>794</v>
      </c>
      <c r="I626" s="326">
        <v>8039</v>
      </c>
      <c r="K626" s="326"/>
    </row>
    <row r="627" spans="1:11" ht="9" customHeight="1" x14ac:dyDescent="0.25">
      <c r="A627" s="263" t="s">
        <v>25</v>
      </c>
      <c r="B627" s="326">
        <f t="shared" si="50"/>
        <v>4978</v>
      </c>
      <c r="C627" s="326"/>
      <c r="D627" s="326">
        <f t="shared" si="49"/>
        <v>2122</v>
      </c>
      <c r="E627" s="326">
        <v>1097</v>
      </c>
      <c r="F627" s="326">
        <v>718</v>
      </c>
      <c r="G627" s="326">
        <v>130</v>
      </c>
      <c r="H627" s="266">
        <v>177</v>
      </c>
      <c r="I627" s="326">
        <v>2856</v>
      </c>
      <c r="K627" s="326"/>
    </row>
    <row r="628" spans="1:11" ht="9" customHeight="1" x14ac:dyDescent="0.25">
      <c r="A628" s="267" t="s">
        <v>26</v>
      </c>
      <c r="B628" s="328">
        <f t="shared" si="50"/>
        <v>4991</v>
      </c>
      <c r="C628" s="328"/>
      <c r="D628" s="328">
        <f t="shared" si="49"/>
        <v>2561</v>
      </c>
      <c r="E628" s="328">
        <v>938</v>
      </c>
      <c r="F628" s="328">
        <v>1194</v>
      </c>
      <c r="G628" s="328">
        <v>189</v>
      </c>
      <c r="H628" s="268">
        <v>240</v>
      </c>
      <c r="I628" s="328">
        <v>2430</v>
      </c>
      <c r="K628" s="326"/>
    </row>
    <row r="629" spans="1:11" ht="9" customHeight="1" x14ac:dyDescent="0.25">
      <c r="A629" s="263" t="s">
        <v>27</v>
      </c>
      <c r="B629" s="326">
        <f t="shared" si="50"/>
        <v>15319</v>
      </c>
      <c r="C629" s="326"/>
      <c r="D629" s="326">
        <f t="shared" si="49"/>
        <v>7170</v>
      </c>
      <c r="E629" s="326">
        <v>2160</v>
      </c>
      <c r="F629" s="326">
        <v>3179</v>
      </c>
      <c r="G629" s="326">
        <v>864</v>
      </c>
      <c r="H629" s="266">
        <v>967</v>
      </c>
      <c r="I629" s="326">
        <v>8149</v>
      </c>
      <c r="K629" s="326"/>
    </row>
    <row r="630" spans="1:11" ht="9" customHeight="1" x14ac:dyDescent="0.25">
      <c r="A630" s="263" t="s">
        <v>28</v>
      </c>
      <c r="B630" s="326">
        <f t="shared" si="50"/>
        <v>4320</v>
      </c>
      <c r="C630" s="326"/>
      <c r="D630" s="326">
        <f t="shared" si="49"/>
        <v>2118</v>
      </c>
      <c r="E630" s="326">
        <v>539</v>
      </c>
      <c r="F630" s="326">
        <v>1064</v>
      </c>
      <c r="G630" s="326">
        <v>214</v>
      </c>
      <c r="H630" s="266">
        <v>301</v>
      </c>
      <c r="I630" s="326">
        <v>2202</v>
      </c>
      <c r="K630" s="326"/>
    </row>
    <row r="631" spans="1:11" ht="9" customHeight="1" x14ac:dyDescent="0.25">
      <c r="A631" s="263" t="s">
        <v>29</v>
      </c>
      <c r="B631" s="326">
        <f t="shared" si="50"/>
        <v>17344</v>
      </c>
      <c r="C631" s="326"/>
      <c r="D631" s="326">
        <f t="shared" si="49"/>
        <v>8981</v>
      </c>
      <c r="E631" s="326">
        <v>3469</v>
      </c>
      <c r="F631" s="326">
        <v>3976</v>
      </c>
      <c r="G631" s="326">
        <v>393</v>
      </c>
      <c r="H631" s="266">
        <v>1143</v>
      </c>
      <c r="I631" s="326">
        <v>8363</v>
      </c>
      <c r="K631" s="326"/>
    </row>
    <row r="632" spans="1:11" ht="9" customHeight="1" x14ac:dyDescent="0.25">
      <c r="A632" s="267" t="s">
        <v>30</v>
      </c>
      <c r="B632" s="328">
        <f t="shared" si="50"/>
        <v>19234</v>
      </c>
      <c r="C632" s="328"/>
      <c r="D632" s="328">
        <f t="shared" si="49"/>
        <v>9038</v>
      </c>
      <c r="E632" s="328">
        <v>3399</v>
      </c>
      <c r="F632" s="328">
        <v>3658</v>
      </c>
      <c r="G632" s="328">
        <v>648</v>
      </c>
      <c r="H632" s="268">
        <v>1333</v>
      </c>
      <c r="I632" s="328">
        <v>10196</v>
      </c>
      <c r="K632" s="326"/>
    </row>
    <row r="633" spans="1:11" ht="9" customHeight="1" x14ac:dyDescent="0.25">
      <c r="A633" s="263" t="s">
        <v>63</v>
      </c>
      <c r="B633" s="326">
        <f t="shared" si="50"/>
        <v>115328</v>
      </c>
      <c r="C633" s="326"/>
      <c r="D633" s="326">
        <f t="shared" si="49"/>
        <v>46840</v>
      </c>
      <c r="E633" s="326">
        <v>12167</v>
      </c>
      <c r="F633" s="326">
        <v>23251</v>
      </c>
      <c r="G633" s="326">
        <v>7418</v>
      </c>
      <c r="H633" s="266">
        <v>4004</v>
      </c>
      <c r="I633" s="326">
        <v>68488</v>
      </c>
      <c r="K633" s="326"/>
    </row>
    <row r="634" spans="1:11" ht="9" customHeight="1" x14ac:dyDescent="0.25">
      <c r="A634" s="263" t="s">
        <v>31</v>
      </c>
      <c r="B634" s="326">
        <f t="shared" si="50"/>
        <v>8970</v>
      </c>
      <c r="C634" s="326"/>
      <c r="D634" s="326">
        <f t="shared" si="49"/>
        <v>4293</v>
      </c>
      <c r="E634" s="326">
        <v>1591</v>
      </c>
      <c r="F634" s="326">
        <v>2029</v>
      </c>
      <c r="G634" s="326">
        <v>338</v>
      </c>
      <c r="H634" s="266">
        <v>335</v>
      </c>
      <c r="I634" s="326">
        <v>4677</v>
      </c>
      <c r="K634" s="326"/>
    </row>
    <row r="635" spans="1:11" ht="9" customHeight="1" x14ac:dyDescent="0.25">
      <c r="A635" s="263" t="s">
        <v>32</v>
      </c>
      <c r="B635" s="326">
        <f t="shared" si="50"/>
        <v>21602</v>
      </c>
      <c r="C635" s="326"/>
      <c r="D635" s="326">
        <f t="shared" si="49"/>
        <v>11333</v>
      </c>
      <c r="E635" s="326">
        <v>3893</v>
      </c>
      <c r="F635" s="326">
        <v>5309</v>
      </c>
      <c r="G635" s="326">
        <v>892</v>
      </c>
      <c r="H635" s="266">
        <v>1239</v>
      </c>
      <c r="I635" s="326">
        <v>10269</v>
      </c>
      <c r="K635" s="326"/>
    </row>
    <row r="636" spans="1:11" ht="9" customHeight="1" x14ac:dyDescent="0.25">
      <c r="A636" s="267" t="s">
        <v>33</v>
      </c>
      <c r="B636" s="328">
        <f t="shared" si="50"/>
        <v>13328</v>
      </c>
      <c r="C636" s="328"/>
      <c r="D636" s="328">
        <f t="shared" si="49"/>
        <v>6437</v>
      </c>
      <c r="E636" s="328">
        <v>1543</v>
      </c>
      <c r="F636" s="328">
        <v>3609</v>
      </c>
      <c r="G636" s="328">
        <v>538</v>
      </c>
      <c r="H636" s="268">
        <v>747</v>
      </c>
      <c r="I636" s="328">
        <v>6891</v>
      </c>
      <c r="K636" s="326"/>
    </row>
    <row r="637" spans="1:11" ht="9" customHeight="1" x14ac:dyDescent="0.25">
      <c r="A637" s="263" t="s">
        <v>34</v>
      </c>
      <c r="B637" s="326">
        <f t="shared" si="50"/>
        <v>12558</v>
      </c>
      <c r="C637" s="326"/>
      <c r="D637" s="326">
        <f t="shared" si="49"/>
        <v>6328</v>
      </c>
      <c r="E637" s="326">
        <v>2465</v>
      </c>
      <c r="F637" s="326">
        <v>2455</v>
      </c>
      <c r="G637" s="326">
        <v>352</v>
      </c>
      <c r="H637" s="266">
        <v>1056</v>
      </c>
      <c r="I637" s="326">
        <v>6230</v>
      </c>
      <c r="K637" s="326"/>
    </row>
    <row r="638" spans="1:11" ht="9" customHeight="1" x14ac:dyDescent="0.25">
      <c r="A638" s="263" t="s">
        <v>35</v>
      </c>
      <c r="B638" s="326">
        <f t="shared" si="50"/>
        <v>37534</v>
      </c>
      <c r="C638" s="326"/>
      <c r="D638" s="326">
        <f t="shared" si="49"/>
        <v>18178</v>
      </c>
      <c r="E638" s="326">
        <v>6441</v>
      </c>
      <c r="F638" s="326">
        <v>7473</v>
      </c>
      <c r="G638" s="326">
        <v>1883</v>
      </c>
      <c r="H638" s="266">
        <v>2381</v>
      </c>
      <c r="I638" s="326">
        <v>19356</v>
      </c>
      <c r="K638" s="326"/>
    </row>
    <row r="639" spans="1:11" ht="9" customHeight="1" x14ac:dyDescent="0.25">
      <c r="A639" s="263" t="s">
        <v>36</v>
      </c>
      <c r="B639" s="326">
        <f t="shared" si="50"/>
        <v>62605</v>
      </c>
      <c r="C639" s="326"/>
      <c r="D639" s="326">
        <f t="shared" si="49"/>
        <v>26791</v>
      </c>
      <c r="E639" s="326">
        <v>7299</v>
      </c>
      <c r="F639" s="326">
        <v>12534</v>
      </c>
      <c r="G639" s="326">
        <v>3293</v>
      </c>
      <c r="H639" s="266">
        <v>3665</v>
      </c>
      <c r="I639" s="326">
        <v>35814</v>
      </c>
      <c r="K639" s="326"/>
    </row>
    <row r="640" spans="1:11" ht="9" customHeight="1" x14ac:dyDescent="0.25">
      <c r="A640" s="267" t="s">
        <v>37</v>
      </c>
      <c r="B640" s="328">
        <f t="shared" si="50"/>
        <v>17529</v>
      </c>
      <c r="C640" s="328"/>
      <c r="D640" s="328">
        <f t="shared" si="49"/>
        <v>8694</v>
      </c>
      <c r="E640" s="328">
        <v>3505</v>
      </c>
      <c r="F640" s="328">
        <v>3080</v>
      </c>
      <c r="G640" s="328">
        <v>625</v>
      </c>
      <c r="H640" s="268">
        <v>1484</v>
      </c>
      <c r="I640" s="328">
        <v>8835</v>
      </c>
      <c r="K640" s="326"/>
    </row>
    <row r="641" spans="1:11" ht="9" customHeight="1" x14ac:dyDescent="0.25">
      <c r="A641" s="263" t="s">
        <v>38</v>
      </c>
      <c r="B641" s="326">
        <f t="shared" si="50"/>
        <v>8935</v>
      </c>
      <c r="C641" s="326"/>
      <c r="D641" s="326">
        <f t="shared" si="49"/>
        <v>4283</v>
      </c>
      <c r="E641" s="326">
        <v>928</v>
      </c>
      <c r="F641" s="326">
        <v>2031</v>
      </c>
      <c r="G641" s="326">
        <v>730</v>
      </c>
      <c r="H641" s="266">
        <v>594</v>
      </c>
      <c r="I641" s="326">
        <v>4652</v>
      </c>
      <c r="K641" s="326"/>
    </row>
    <row r="642" spans="1:11" ht="9" customHeight="1" x14ac:dyDescent="0.25">
      <c r="A642" s="263" t="s">
        <v>39</v>
      </c>
      <c r="B642" s="326">
        <f t="shared" si="50"/>
        <v>6469</v>
      </c>
      <c r="C642" s="326"/>
      <c r="D642" s="326">
        <f t="shared" si="49"/>
        <v>3037</v>
      </c>
      <c r="E642" s="326">
        <v>766</v>
      </c>
      <c r="F642" s="326">
        <v>1475</v>
      </c>
      <c r="G642" s="326">
        <v>393</v>
      </c>
      <c r="H642" s="266">
        <v>403</v>
      </c>
      <c r="I642" s="326">
        <v>3432</v>
      </c>
      <c r="K642" s="326"/>
    </row>
    <row r="643" spans="1:11" ht="9" customHeight="1" x14ac:dyDescent="0.25">
      <c r="A643" s="263" t="s">
        <v>40</v>
      </c>
      <c r="B643" s="326">
        <f t="shared" si="50"/>
        <v>22721</v>
      </c>
      <c r="C643" s="326"/>
      <c r="D643" s="326">
        <f t="shared" si="49"/>
        <v>10233</v>
      </c>
      <c r="E643" s="326">
        <v>3329</v>
      </c>
      <c r="F643" s="326">
        <v>4167</v>
      </c>
      <c r="G643" s="326">
        <v>1349</v>
      </c>
      <c r="H643" s="266">
        <v>1388</v>
      </c>
      <c r="I643" s="326">
        <v>12488</v>
      </c>
      <c r="K643" s="326"/>
    </row>
    <row r="644" spans="1:11" ht="9" customHeight="1" x14ac:dyDescent="0.25">
      <c r="A644" s="267" t="s">
        <v>41</v>
      </c>
      <c r="B644" s="328">
        <f t="shared" si="50"/>
        <v>15372</v>
      </c>
      <c r="C644" s="328"/>
      <c r="D644" s="328">
        <f t="shared" si="49"/>
        <v>8034</v>
      </c>
      <c r="E644" s="328">
        <v>3108</v>
      </c>
      <c r="F644" s="328">
        <v>3762</v>
      </c>
      <c r="G644" s="328">
        <v>460</v>
      </c>
      <c r="H644" s="268">
        <v>704</v>
      </c>
      <c r="I644" s="328">
        <v>7338</v>
      </c>
      <c r="K644" s="326"/>
    </row>
    <row r="645" spans="1:11" ht="9" customHeight="1" x14ac:dyDescent="0.25">
      <c r="A645" s="263" t="s">
        <v>42</v>
      </c>
      <c r="B645" s="326">
        <f t="shared" si="50"/>
        <v>21944</v>
      </c>
      <c r="C645" s="326"/>
      <c r="D645" s="326">
        <f t="shared" si="49"/>
        <v>10747</v>
      </c>
      <c r="E645" s="326">
        <v>4038</v>
      </c>
      <c r="F645" s="326">
        <v>4183</v>
      </c>
      <c r="G645" s="326">
        <v>1033</v>
      </c>
      <c r="H645" s="266">
        <v>1493</v>
      </c>
      <c r="I645" s="326">
        <v>11197</v>
      </c>
      <c r="K645" s="326"/>
    </row>
    <row r="646" spans="1:11" ht="9" customHeight="1" x14ac:dyDescent="0.25">
      <c r="A646" s="263" t="s">
        <v>43</v>
      </c>
      <c r="B646" s="326">
        <f>SUM(D646,I646)-1</f>
        <v>7704</v>
      </c>
      <c r="C646" s="326"/>
      <c r="D646" s="326">
        <f t="shared" si="49"/>
        <v>3673</v>
      </c>
      <c r="E646" s="326">
        <v>1308</v>
      </c>
      <c r="F646" s="326">
        <v>1761</v>
      </c>
      <c r="G646" s="326">
        <v>315</v>
      </c>
      <c r="H646" s="266">
        <v>289</v>
      </c>
      <c r="I646" s="326">
        <v>4032</v>
      </c>
      <c r="K646" s="326"/>
    </row>
    <row r="647" spans="1:11" ht="9" customHeight="1" x14ac:dyDescent="0.25">
      <c r="A647" s="263" t="s">
        <v>44</v>
      </c>
      <c r="B647" s="326">
        <f t="shared" si="50"/>
        <v>7392</v>
      </c>
      <c r="C647" s="326"/>
      <c r="D647" s="326">
        <f t="shared" si="49"/>
        <v>3297</v>
      </c>
      <c r="E647" s="326">
        <v>1064</v>
      </c>
      <c r="F647" s="326">
        <v>1749</v>
      </c>
      <c r="G647" s="326">
        <v>264</v>
      </c>
      <c r="H647" s="266">
        <v>220</v>
      </c>
      <c r="I647" s="326">
        <v>4095</v>
      </c>
      <c r="K647" s="326"/>
    </row>
    <row r="648" spans="1:11" ht="9" customHeight="1" x14ac:dyDescent="0.25">
      <c r="A648" s="267" t="s">
        <v>45</v>
      </c>
      <c r="B648" s="328">
        <f t="shared" si="50"/>
        <v>11631</v>
      </c>
      <c r="C648" s="328"/>
      <c r="D648" s="328">
        <f t="shared" si="49"/>
        <v>5653</v>
      </c>
      <c r="E648" s="328">
        <v>2013</v>
      </c>
      <c r="F648" s="328">
        <v>2706</v>
      </c>
      <c r="G648" s="328">
        <v>421</v>
      </c>
      <c r="H648" s="268">
        <v>513</v>
      </c>
      <c r="I648" s="328">
        <v>5978</v>
      </c>
      <c r="K648" s="326"/>
    </row>
    <row r="649" spans="1:11" ht="9" customHeight="1" x14ac:dyDescent="0.25">
      <c r="A649" s="263" t="s">
        <v>46</v>
      </c>
      <c r="B649" s="326">
        <f t="shared" si="50"/>
        <v>14016</v>
      </c>
      <c r="C649" s="326"/>
      <c r="D649" s="326">
        <f t="shared" si="49"/>
        <v>6623</v>
      </c>
      <c r="E649" s="326">
        <v>2404</v>
      </c>
      <c r="F649" s="326">
        <v>3053</v>
      </c>
      <c r="G649" s="326">
        <v>554</v>
      </c>
      <c r="H649" s="266">
        <v>612</v>
      </c>
      <c r="I649" s="326">
        <v>7393</v>
      </c>
      <c r="K649" s="326"/>
    </row>
    <row r="650" spans="1:11" ht="9" customHeight="1" x14ac:dyDescent="0.25">
      <c r="A650" s="263" t="s">
        <v>47</v>
      </c>
      <c r="B650" s="326">
        <f t="shared" si="50"/>
        <v>15910</v>
      </c>
      <c r="C650" s="326"/>
      <c r="D650" s="326">
        <f t="shared" si="49"/>
        <v>7021</v>
      </c>
      <c r="E650" s="326">
        <v>2074</v>
      </c>
      <c r="F650" s="326">
        <v>3274</v>
      </c>
      <c r="G650" s="326">
        <v>842</v>
      </c>
      <c r="H650" s="266">
        <v>831</v>
      </c>
      <c r="I650" s="326">
        <v>8889</v>
      </c>
      <c r="K650" s="326"/>
    </row>
    <row r="651" spans="1:11" ht="9" customHeight="1" x14ac:dyDescent="0.25">
      <c r="A651" s="263" t="s">
        <v>48</v>
      </c>
      <c r="B651" s="326">
        <f t="shared" si="50"/>
        <v>13209</v>
      </c>
      <c r="C651" s="326"/>
      <c r="D651" s="326">
        <f t="shared" si="49"/>
        <v>5546</v>
      </c>
      <c r="E651" s="326">
        <v>1754</v>
      </c>
      <c r="F651" s="326">
        <v>2927</v>
      </c>
      <c r="G651" s="326">
        <v>481</v>
      </c>
      <c r="H651" s="266">
        <v>384</v>
      </c>
      <c r="I651" s="326">
        <v>7663</v>
      </c>
      <c r="K651" s="326"/>
    </row>
    <row r="652" spans="1:11" ht="9" customHeight="1" x14ac:dyDescent="0.25">
      <c r="A652" s="267" t="s">
        <v>49</v>
      </c>
      <c r="B652" s="328">
        <f t="shared" si="50"/>
        <v>21112</v>
      </c>
      <c r="C652" s="328"/>
      <c r="D652" s="328">
        <f t="shared" si="49"/>
        <v>9360</v>
      </c>
      <c r="E652" s="328">
        <v>2618</v>
      </c>
      <c r="F652" s="328">
        <v>4007</v>
      </c>
      <c r="G652" s="328">
        <v>1454</v>
      </c>
      <c r="H652" s="268">
        <v>1281</v>
      </c>
      <c r="I652" s="328">
        <v>11752</v>
      </c>
      <c r="K652" s="326"/>
    </row>
    <row r="653" spans="1:11" ht="9" customHeight="1" x14ac:dyDescent="0.25">
      <c r="A653" s="263" t="s">
        <v>50</v>
      </c>
      <c r="B653" s="326">
        <f t="shared" si="50"/>
        <v>6301</v>
      </c>
      <c r="C653" s="326"/>
      <c r="D653" s="326">
        <f t="shared" si="49"/>
        <v>2936</v>
      </c>
      <c r="E653" s="326">
        <v>1048</v>
      </c>
      <c r="F653" s="326">
        <v>1334</v>
      </c>
      <c r="G653" s="326">
        <v>205</v>
      </c>
      <c r="H653" s="266">
        <v>349</v>
      </c>
      <c r="I653" s="326">
        <v>3365</v>
      </c>
      <c r="K653" s="326"/>
    </row>
    <row r="654" spans="1:11" ht="9" customHeight="1" x14ac:dyDescent="0.25">
      <c r="A654" s="263" t="s">
        <v>51</v>
      </c>
      <c r="B654" s="326">
        <f t="shared" si="50"/>
        <v>33522</v>
      </c>
      <c r="C654" s="326"/>
      <c r="D654" s="326">
        <f t="shared" si="49"/>
        <v>15817</v>
      </c>
      <c r="E654" s="326">
        <v>7043</v>
      </c>
      <c r="F654" s="326">
        <v>6515</v>
      </c>
      <c r="G654" s="326">
        <v>1029</v>
      </c>
      <c r="H654" s="266">
        <v>1230</v>
      </c>
      <c r="I654" s="326">
        <v>17705</v>
      </c>
      <c r="K654" s="326"/>
    </row>
    <row r="655" spans="1:11" ht="9" customHeight="1" x14ac:dyDescent="0.25">
      <c r="A655" s="263" t="s">
        <v>52</v>
      </c>
      <c r="B655" s="326">
        <f t="shared" si="50"/>
        <v>11116</v>
      </c>
      <c r="C655" s="326"/>
      <c r="D655" s="326">
        <f t="shared" si="49"/>
        <v>5338</v>
      </c>
      <c r="E655" s="326">
        <v>2137</v>
      </c>
      <c r="F655" s="326">
        <v>1956</v>
      </c>
      <c r="G655" s="326">
        <v>616</v>
      </c>
      <c r="H655" s="266">
        <v>629</v>
      </c>
      <c r="I655" s="326">
        <v>5778</v>
      </c>
      <c r="K655" s="326"/>
    </row>
    <row r="656" spans="1:11" ht="9" customHeight="1" x14ac:dyDescent="0.25">
      <c r="A656" s="267" t="s">
        <v>53</v>
      </c>
      <c r="B656" s="328">
        <f t="shared" si="50"/>
        <v>7084</v>
      </c>
      <c r="C656" s="328"/>
      <c r="D656" s="328">
        <f t="shared" si="49"/>
        <v>3614</v>
      </c>
      <c r="E656" s="328">
        <v>1338</v>
      </c>
      <c r="F656" s="328">
        <v>1639</v>
      </c>
      <c r="G656" s="328">
        <v>200</v>
      </c>
      <c r="H656" s="268">
        <v>437</v>
      </c>
      <c r="I656" s="328">
        <v>3470</v>
      </c>
      <c r="K656" s="326"/>
    </row>
    <row r="657" spans="1:12" s="263" customFormat="1" ht="9" customHeight="1" x14ac:dyDescent="0.25">
      <c r="A657" s="264"/>
      <c r="B657" s="325"/>
      <c r="C657" s="325"/>
      <c r="D657" s="325"/>
      <c r="E657" s="325"/>
      <c r="F657" s="325"/>
      <c r="G657" s="325"/>
      <c r="H657" s="325"/>
      <c r="I657" s="325"/>
      <c r="K657" s="326"/>
    </row>
    <row r="658" spans="1:12" ht="9" customHeight="1" x14ac:dyDescent="0.25">
      <c r="A658" s="261">
        <v>2013</v>
      </c>
      <c r="B658" s="323"/>
      <c r="C658" s="323"/>
      <c r="D658" s="262"/>
      <c r="E658" s="271"/>
      <c r="F658" s="271"/>
      <c r="G658" s="271"/>
      <c r="H658" s="271"/>
      <c r="I658" s="271"/>
      <c r="K658" s="326"/>
    </row>
    <row r="659" spans="1:12" ht="9" customHeight="1" x14ac:dyDescent="0.25">
      <c r="A659" s="264" t="s">
        <v>21</v>
      </c>
      <c r="B659" s="325">
        <f>SUM(B661:B692)</f>
        <v>655069</v>
      </c>
      <c r="C659" s="331"/>
      <c r="D659" s="325">
        <f t="shared" ref="D659:I659" si="51">SUM(D661:D692)</f>
        <v>287762</v>
      </c>
      <c r="E659" s="325">
        <f t="shared" si="51"/>
        <v>93127</v>
      </c>
      <c r="F659" s="325">
        <f t="shared" si="51"/>
        <v>129562</v>
      </c>
      <c r="G659" s="325">
        <f t="shared" si="51"/>
        <v>30934</v>
      </c>
      <c r="H659" s="325">
        <f t="shared" si="51"/>
        <v>34139</v>
      </c>
      <c r="I659" s="325">
        <f t="shared" si="51"/>
        <v>367307</v>
      </c>
      <c r="K659" s="326"/>
      <c r="L659" s="335"/>
    </row>
    <row r="660" spans="1:12" ht="3" customHeight="1" x14ac:dyDescent="0.25">
      <c r="A660" s="264"/>
      <c r="B660" s="325"/>
      <c r="C660" s="325"/>
      <c r="D660" s="325"/>
      <c r="E660" s="325"/>
      <c r="F660" s="325"/>
      <c r="G660" s="325"/>
      <c r="H660" s="325"/>
      <c r="I660" s="325"/>
      <c r="K660" s="326"/>
    </row>
    <row r="661" spans="1:12" ht="9" customHeight="1" x14ac:dyDescent="0.25">
      <c r="A661" s="263" t="s">
        <v>23</v>
      </c>
      <c r="B661" s="326">
        <f>SUM(D661,I661)</f>
        <v>8302</v>
      </c>
      <c r="C661" s="326"/>
      <c r="D661" s="326">
        <f t="shared" ref="D661:D692" si="52">SUM(E661:H661)</f>
        <v>3724</v>
      </c>
      <c r="E661" s="326">
        <v>1159</v>
      </c>
      <c r="F661" s="326">
        <v>1520</v>
      </c>
      <c r="G661" s="326">
        <v>350</v>
      </c>
      <c r="H661" s="266">
        <v>695</v>
      </c>
      <c r="I661" s="326">
        <v>4578</v>
      </c>
      <c r="K661" s="326"/>
      <c r="L661" s="335"/>
    </row>
    <row r="662" spans="1:12" ht="9" customHeight="1" x14ac:dyDescent="0.25">
      <c r="A662" s="263" t="s">
        <v>24</v>
      </c>
      <c r="B662" s="326">
        <f t="shared" ref="B662:B681" si="53">SUM(D662,I662)</f>
        <v>16037</v>
      </c>
      <c r="C662" s="326"/>
      <c r="D662" s="326">
        <f t="shared" si="52"/>
        <v>7171</v>
      </c>
      <c r="E662" s="326">
        <v>2212</v>
      </c>
      <c r="F662" s="326">
        <v>3248</v>
      </c>
      <c r="G662" s="326">
        <v>927</v>
      </c>
      <c r="H662" s="266">
        <v>784</v>
      </c>
      <c r="I662" s="326">
        <v>8866</v>
      </c>
      <c r="K662" s="326"/>
      <c r="L662" s="335"/>
    </row>
    <row r="663" spans="1:12" ht="9" customHeight="1" x14ac:dyDescent="0.25">
      <c r="A663" s="263" t="s">
        <v>25</v>
      </c>
      <c r="B663" s="326">
        <f t="shared" si="53"/>
        <v>5248</v>
      </c>
      <c r="C663" s="326"/>
      <c r="D663" s="326">
        <f t="shared" si="52"/>
        <v>2136</v>
      </c>
      <c r="E663" s="326">
        <v>1060</v>
      </c>
      <c r="F663" s="326">
        <v>770</v>
      </c>
      <c r="G663" s="326">
        <v>139</v>
      </c>
      <c r="H663" s="266">
        <v>167</v>
      </c>
      <c r="I663" s="326">
        <v>3112</v>
      </c>
      <c r="K663" s="326"/>
      <c r="L663" s="335"/>
    </row>
    <row r="664" spans="1:12" ht="9" customHeight="1" x14ac:dyDescent="0.25">
      <c r="A664" s="267" t="s">
        <v>26</v>
      </c>
      <c r="B664" s="328">
        <f t="shared" si="53"/>
        <v>5492</v>
      </c>
      <c r="C664" s="328"/>
      <c r="D664" s="328">
        <f t="shared" si="52"/>
        <v>2667</v>
      </c>
      <c r="E664" s="328">
        <v>1019</v>
      </c>
      <c r="F664" s="328">
        <v>1238</v>
      </c>
      <c r="G664" s="328">
        <v>196</v>
      </c>
      <c r="H664" s="268">
        <v>214</v>
      </c>
      <c r="I664" s="328">
        <v>2825</v>
      </c>
      <c r="K664" s="326"/>
      <c r="L664" s="335"/>
    </row>
    <row r="665" spans="1:12" ht="9" customHeight="1" x14ac:dyDescent="0.25">
      <c r="A665" s="263" t="s">
        <v>27</v>
      </c>
      <c r="B665" s="326">
        <f t="shared" si="53"/>
        <v>18554</v>
      </c>
      <c r="C665" s="326"/>
      <c r="D665" s="326">
        <f t="shared" si="52"/>
        <v>8128</v>
      </c>
      <c r="E665" s="326">
        <v>2313</v>
      </c>
      <c r="F665" s="326">
        <v>3640</v>
      </c>
      <c r="G665" s="326">
        <v>1014</v>
      </c>
      <c r="H665" s="266">
        <v>1161</v>
      </c>
      <c r="I665" s="326">
        <v>10426</v>
      </c>
      <c r="K665" s="326"/>
      <c r="L665" s="335"/>
    </row>
    <row r="666" spans="1:12" ht="9" customHeight="1" x14ac:dyDescent="0.25">
      <c r="A666" s="263" t="s">
        <v>28</v>
      </c>
      <c r="B666" s="326">
        <f t="shared" si="53"/>
        <v>4602</v>
      </c>
      <c r="C666" s="326"/>
      <c r="D666" s="326">
        <f t="shared" si="52"/>
        <v>2132</v>
      </c>
      <c r="E666" s="326">
        <v>537</v>
      </c>
      <c r="F666" s="326">
        <v>1068</v>
      </c>
      <c r="G666" s="326">
        <v>214</v>
      </c>
      <c r="H666" s="266">
        <v>313</v>
      </c>
      <c r="I666" s="326">
        <v>2470</v>
      </c>
      <c r="K666" s="326"/>
      <c r="L666" s="335"/>
    </row>
    <row r="667" spans="1:12" ht="9" customHeight="1" x14ac:dyDescent="0.25">
      <c r="A667" s="263" t="s">
        <v>29</v>
      </c>
      <c r="B667" s="326">
        <f t="shared" si="53"/>
        <v>20875</v>
      </c>
      <c r="C667" s="326"/>
      <c r="D667" s="326">
        <f t="shared" si="52"/>
        <v>10242</v>
      </c>
      <c r="E667" s="326">
        <v>3636</v>
      </c>
      <c r="F667" s="326">
        <v>5090</v>
      </c>
      <c r="G667" s="326">
        <v>452</v>
      </c>
      <c r="H667" s="266">
        <v>1064</v>
      </c>
      <c r="I667" s="326">
        <v>10633</v>
      </c>
      <c r="K667" s="326"/>
      <c r="L667" s="335"/>
    </row>
    <row r="668" spans="1:12" ht="9" customHeight="1" x14ac:dyDescent="0.25">
      <c r="A668" s="267" t="s">
        <v>30</v>
      </c>
      <c r="B668" s="328">
        <f t="shared" si="53"/>
        <v>21065</v>
      </c>
      <c r="C668" s="328"/>
      <c r="D668" s="328">
        <f t="shared" si="52"/>
        <v>9378</v>
      </c>
      <c r="E668" s="328">
        <v>3437</v>
      </c>
      <c r="F668" s="328">
        <v>3909</v>
      </c>
      <c r="G668" s="328">
        <v>612</v>
      </c>
      <c r="H668" s="268">
        <v>1420</v>
      </c>
      <c r="I668" s="328">
        <v>11687</v>
      </c>
      <c r="K668" s="326"/>
      <c r="L668" s="335"/>
    </row>
    <row r="669" spans="1:12" ht="9" customHeight="1" x14ac:dyDescent="0.25">
      <c r="A669" s="263" t="s">
        <v>63</v>
      </c>
      <c r="B669" s="326">
        <f t="shared" si="53"/>
        <v>121478</v>
      </c>
      <c r="C669" s="326"/>
      <c r="D669" s="326">
        <f t="shared" si="52"/>
        <v>47426</v>
      </c>
      <c r="E669" s="326">
        <v>12147</v>
      </c>
      <c r="F669" s="326">
        <v>23562</v>
      </c>
      <c r="G669" s="326">
        <v>7647</v>
      </c>
      <c r="H669" s="266">
        <v>4070</v>
      </c>
      <c r="I669" s="326">
        <v>74052</v>
      </c>
      <c r="K669" s="326"/>
      <c r="L669" s="335"/>
    </row>
    <row r="670" spans="1:12" ht="9" customHeight="1" x14ac:dyDescent="0.25">
      <c r="A670" s="263" t="s">
        <v>31</v>
      </c>
      <c r="B670" s="326">
        <f t="shared" si="53"/>
        <v>9604</v>
      </c>
      <c r="C670" s="326"/>
      <c r="D670" s="326">
        <f t="shared" si="52"/>
        <v>4369</v>
      </c>
      <c r="E670" s="326">
        <v>1582</v>
      </c>
      <c r="F670" s="326">
        <v>2085</v>
      </c>
      <c r="G670" s="326">
        <v>343</v>
      </c>
      <c r="H670" s="266">
        <v>359</v>
      </c>
      <c r="I670" s="326">
        <v>5235</v>
      </c>
      <c r="K670" s="326"/>
      <c r="L670" s="335"/>
    </row>
    <row r="671" spans="1:12" ht="9" customHeight="1" x14ac:dyDescent="0.25">
      <c r="A671" s="263" t="s">
        <v>32</v>
      </c>
      <c r="B671" s="326">
        <f t="shared" si="53"/>
        <v>23622</v>
      </c>
      <c r="C671" s="326"/>
      <c r="D671" s="326">
        <f t="shared" si="52"/>
        <v>11534</v>
      </c>
      <c r="E671" s="326">
        <v>3929</v>
      </c>
      <c r="F671" s="326">
        <v>5386</v>
      </c>
      <c r="G671" s="326">
        <v>897</v>
      </c>
      <c r="H671" s="266">
        <v>1322</v>
      </c>
      <c r="I671" s="326">
        <v>12088</v>
      </c>
      <c r="K671" s="326"/>
      <c r="L671" s="335"/>
    </row>
    <row r="672" spans="1:12" ht="9" customHeight="1" x14ac:dyDescent="0.25">
      <c r="A672" s="267" t="s">
        <v>33</v>
      </c>
      <c r="B672" s="328">
        <f t="shared" si="53"/>
        <v>14202</v>
      </c>
      <c r="C672" s="328"/>
      <c r="D672" s="328">
        <f t="shared" si="52"/>
        <v>6704</v>
      </c>
      <c r="E672" s="328">
        <v>1677</v>
      </c>
      <c r="F672" s="328">
        <v>3717</v>
      </c>
      <c r="G672" s="328">
        <v>551</v>
      </c>
      <c r="H672" s="268">
        <v>759</v>
      </c>
      <c r="I672" s="328">
        <v>7498</v>
      </c>
      <c r="K672" s="326"/>
      <c r="L672" s="335"/>
    </row>
    <row r="673" spans="1:12" ht="9" customHeight="1" x14ac:dyDescent="0.25">
      <c r="A673" s="263" t="s">
        <v>34</v>
      </c>
      <c r="B673" s="326">
        <f t="shared" si="53"/>
        <v>13104</v>
      </c>
      <c r="C673" s="326"/>
      <c r="D673" s="326">
        <f t="shared" si="52"/>
        <v>6333</v>
      </c>
      <c r="E673" s="326">
        <v>2424</v>
      </c>
      <c r="F673" s="326">
        <v>2443</v>
      </c>
      <c r="G673" s="326">
        <v>349</v>
      </c>
      <c r="H673" s="266">
        <v>1117</v>
      </c>
      <c r="I673" s="326">
        <v>6771</v>
      </c>
      <c r="K673" s="326"/>
      <c r="L673" s="335"/>
    </row>
    <row r="674" spans="1:12" ht="9" customHeight="1" x14ac:dyDescent="0.25">
      <c r="A674" s="263" t="s">
        <v>35</v>
      </c>
      <c r="B674" s="326">
        <f t="shared" si="53"/>
        <v>40388</v>
      </c>
      <c r="C674" s="326"/>
      <c r="D674" s="326">
        <f t="shared" si="52"/>
        <v>18568</v>
      </c>
      <c r="E674" s="326">
        <v>6487</v>
      </c>
      <c r="F674" s="326">
        <v>7636</v>
      </c>
      <c r="G674" s="326">
        <v>1885</v>
      </c>
      <c r="H674" s="266">
        <v>2560</v>
      </c>
      <c r="I674" s="326">
        <v>21820</v>
      </c>
      <c r="K674" s="326"/>
      <c r="L674" s="335"/>
    </row>
    <row r="675" spans="1:12" ht="9" customHeight="1" x14ac:dyDescent="0.25">
      <c r="A675" s="263" t="s">
        <v>36</v>
      </c>
      <c r="B675" s="326">
        <f t="shared" si="53"/>
        <v>69175</v>
      </c>
      <c r="C675" s="326"/>
      <c r="D675" s="326">
        <f t="shared" si="52"/>
        <v>28489</v>
      </c>
      <c r="E675" s="326">
        <v>7731</v>
      </c>
      <c r="F675" s="326">
        <v>13168</v>
      </c>
      <c r="G675" s="326">
        <v>3593</v>
      </c>
      <c r="H675" s="266">
        <v>3997</v>
      </c>
      <c r="I675" s="326">
        <v>40686</v>
      </c>
      <c r="K675" s="326"/>
      <c r="L675" s="335"/>
    </row>
    <row r="676" spans="1:12" ht="9" customHeight="1" x14ac:dyDescent="0.25">
      <c r="A676" s="267" t="s">
        <v>37</v>
      </c>
      <c r="B676" s="328">
        <f t="shared" si="53"/>
        <v>19137</v>
      </c>
      <c r="C676" s="328"/>
      <c r="D676" s="328">
        <f t="shared" si="52"/>
        <v>9138</v>
      </c>
      <c r="E676" s="328">
        <v>3568</v>
      </c>
      <c r="F676" s="328">
        <v>3155</v>
      </c>
      <c r="G676" s="328">
        <v>630</v>
      </c>
      <c r="H676" s="268">
        <v>1785</v>
      </c>
      <c r="I676" s="328">
        <v>9999</v>
      </c>
      <c r="K676" s="326"/>
      <c r="L676" s="335"/>
    </row>
    <row r="677" spans="1:12" ht="9" customHeight="1" x14ac:dyDescent="0.25">
      <c r="A677" s="263" t="s">
        <v>38</v>
      </c>
      <c r="B677" s="326">
        <f t="shared" si="53"/>
        <v>10067</v>
      </c>
      <c r="C677" s="326"/>
      <c r="D677" s="326">
        <f t="shared" si="52"/>
        <v>4739</v>
      </c>
      <c r="E677" s="326">
        <v>1202</v>
      </c>
      <c r="F677" s="326">
        <v>2091</v>
      </c>
      <c r="G677" s="326">
        <v>709</v>
      </c>
      <c r="H677" s="266">
        <v>737</v>
      </c>
      <c r="I677" s="326">
        <v>5328</v>
      </c>
      <c r="K677" s="326"/>
      <c r="L677" s="335"/>
    </row>
    <row r="678" spans="1:12" ht="9" customHeight="1" x14ac:dyDescent="0.25">
      <c r="A678" s="263" t="s">
        <v>39</v>
      </c>
      <c r="B678" s="326">
        <f t="shared" si="53"/>
        <v>6893</v>
      </c>
      <c r="C678" s="326"/>
      <c r="D678" s="326">
        <f t="shared" si="52"/>
        <v>3053</v>
      </c>
      <c r="E678" s="326">
        <v>776</v>
      </c>
      <c r="F678" s="326">
        <v>1461</v>
      </c>
      <c r="G678" s="326">
        <v>417</v>
      </c>
      <c r="H678" s="266">
        <v>399</v>
      </c>
      <c r="I678" s="326">
        <v>3840</v>
      </c>
      <c r="K678" s="326"/>
      <c r="L678" s="335"/>
    </row>
    <row r="679" spans="1:12" ht="9" customHeight="1" x14ac:dyDescent="0.25">
      <c r="A679" s="263" t="s">
        <v>40</v>
      </c>
      <c r="B679" s="326">
        <f t="shared" si="53"/>
        <v>28345</v>
      </c>
      <c r="C679" s="326"/>
      <c r="D679" s="326">
        <f t="shared" si="52"/>
        <v>11796</v>
      </c>
      <c r="E679" s="326">
        <v>3821</v>
      </c>
      <c r="F679" s="326">
        <v>4670</v>
      </c>
      <c r="G679" s="326">
        <v>1734</v>
      </c>
      <c r="H679" s="266">
        <v>1571</v>
      </c>
      <c r="I679" s="326">
        <v>16549</v>
      </c>
      <c r="K679" s="326"/>
      <c r="L679" s="335"/>
    </row>
    <row r="680" spans="1:12" ht="9" customHeight="1" x14ac:dyDescent="0.25">
      <c r="A680" s="267" t="s">
        <v>41</v>
      </c>
      <c r="B680" s="328">
        <f t="shared" si="53"/>
        <v>16057</v>
      </c>
      <c r="C680" s="328"/>
      <c r="D680" s="328">
        <f t="shared" si="52"/>
        <v>8262</v>
      </c>
      <c r="E680" s="328">
        <v>3206</v>
      </c>
      <c r="F680" s="328">
        <v>3657</v>
      </c>
      <c r="G680" s="328">
        <v>663</v>
      </c>
      <c r="H680" s="268">
        <v>736</v>
      </c>
      <c r="I680" s="328">
        <v>7795</v>
      </c>
      <c r="K680" s="326"/>
      <c r="L680" s="335"/>
    </row>
    <row r="681" spans="1:12" ht="9" customHeight="1" x14ac:dyDescent="0.25">
      <c r="A681" s="263" t="s">
        <v>42</v>
      </c>
      <c r="B681" s="326">
        <f t="shared" si="53"/>
        <v>22266</v>
      </c>
      <c r="C681" s="326"/>
      <c r="D681" s="326">
        <f t="shared" si="52"/>
        <v>10828</v>
      </c>
      <c r="E681" s="326">
        <v>3951</v>
      </c>
      <c r="F681" s="326">
        <v>4216</v>
      </c>
      <c r="G681" s="326">
        <v>1133</v>
      </c>
      <c r="H681" s="266">
        <v>1528</v>
      </c>
      <c r="I681" s="326">
        <v>11438</v>
      </c>
      <c r="K681" s="326"/>
      <c r="L681" s="335"/>
    </row>
    <row r="682" spans="1:12" ht="9" customHeight="1" x14ac:dyDescent="0.25">
      <c r="A682" s="263" t="s">
        <v>43</v>
      </c>
      <c r="B682" s="326">
        <f>SUM(D682,I682)</f>
        <v>8426</v>
      </c>
      <c r="C682" s="326"/>
      <c r="D682" s="326">
        <f t="shared" si="52"/>
        <v>3773</v>
      </c>
      <c r="E682" s="326">
        <v>1378</v>
      </c>
      <c r="F682" s="326">
        <v>1753</v>
      </c>
      <c r="G682" s="326">
        <v>340</v>
      </c>
      <c r="H682" s="266">
        <v>302</v>
      </c>
      <c r="I682" s="326">
        <v>4653</v>
      </c>
      <c r="K682" s="326"/>
      <c r="L682" s="335"/>
    </row>
    <row r="683" spans="1:12" ht="9" customHeight="1" x14ac:dyDescent="0.25">
      <c r="A683" s="263" t="s">
        <v>44</v>
      </c>
      <c r="B683" s="326">
        <f t="shared" ref="B683:B692" si="54">SUM(D683,I683)</f>
        <v>7564</v>
      </c>
      <c r="C683" s="326"/>
      <c r="D683" s="326">
        <f t="shared" si="52"/>
        <v>3194</v>
      </c>
      <c r="E683" s="326">
        <v>1053</v>
      </c>
      <c r="F683" s="326">
        <v>1653</v>
      </c>
      <c r="G683" s="326">
        <v>252</v>
      </c>
      <c r="H683" s="266">
        <v>236</v>
      </c>
      <c r="I683" s="326">
        <v>4370</v>
      </c>
      <c r="K683" s="326"/>
      <c r="L683" s="335"/>
    </row>
    <row r="684" spans="1:12" ht="9" customHeight="1" x14ac:dyDescent="0.25">
      <c r="A684" s="267" t="s">
        <v>45</v>
      </c>
      <c r="B684" s="328">
        <f t="shared" si="54"/>
        <v>12171</v>
      </c>
      <c r="C684" s="328"/>
      <c r="D684" s="328">
        <f t="shared" si="52"/>
        <v>5652</v>
      </c>
      <c r="E684" s="328">
        <v>2001</v>
      </c>
      <c r="F684" s="328">
        <v>2691</v>
      </c>
      <c r="G684" s="328">
        <v>427</v>
      </c>
      <c r="H684" s="268">
        <v>533</v>
      </c>
      <c r="I684" s="328">
        <v>6519</v>
      </c>
      <c r="K684" s="326"/>
      <c r="L684" s="335"/>
    </row>
    <row r="685" spans="1:12" ht="9" customHeight="1" x14ac:dyDescent="0.25">
      <c r="A685" s="263" t="s">
        <v>46</v>
      </c>
      <c r="B685" s="326">
        <f t="shared" si="54"/>
        <v>15338</v>
      </c>
      <c r="C685" s="326"/>
      <c r="D685" s="326">
        <f t="shared" si="52"/>
        <v>6773</v>
      </c>
      <c r="E685" s="326">
        <v>2471</v>
      </c>
      <c r="F685" s="326">
        <v>3094</v>
      </c>
      <c r="G685" s="326">
        <v>571</v>
      </c>
      <c r="H685" s="266">
        <v>637</v>
      </c>
      <c r="I685" s="326">
        <v>8565</v>
      </c>
      <c r="K685" s="326"/>
      <c r="L685" s="335"/>
    </row>
    <row r="686" spans="1:12" ht="9" customHeight="1" x14ac:dyDescent="0.25">
      <c r="A686" s="263" t="s">
        <v>47</v>
      </c>
      <c r="B686" s="326">
        <f t="shared" si="54"/>
        <v>18347</v>
      </c>
      <c r="C686" s="326"/>
      <c r="D686" s="326">
        <f t="shared" si="52"/>
        <v>7635</v>
      </c>
      <c r="E686" s="326">
        <v>2220</v>
      </c>
      <c r="F686" s="326">
        <v>3684</v>
      </c>
      <c r="G686" s="326">
        <v>875</v>
      </c>
      <c r="H686" s="266">
        <v>856</v>
      </c>
      <c r="I686" s="326">
        <v>10712</v>
      </c>
      <c r="K686" s="326"/>
      <c r="L686" s="335"/>
    </row>
    <row r="687" spans="1:12" ht="9" customHeight="1" x14ac:dyDescent="0.25">
      <c r="A687" s="263" t="s">
        <v>48</v>
      </c>
      <c r="B687" s="326">
        <f t="shared" si="54"/>
        <v>14032</v>
      </c>
      <c r="C687" s="326"/>
      <c r="D687" s="326">
        <f t="shared" si="52"/>
        <v>5737</v>
      </c>
      <c r="E687" s="326">
        <v>1772</v>
      </c>
      <c r="F687" s="326">
        <v>3051</v>
      </c>
      <c r="G687" s="326">
        <v>421</v>
      </c>
      <c r="H687" s="266">
        <v>493</v>
      </c>
      <c r="I687" s="326">
        <v>8295</v>
      </c>
      <c r="K687" s="326"/>
      <c r="L687" s="335"/>
    </row>
    <row r="688" spans="1:12" ht="9" customHeight="1" x14ac:dyDescent="0.25">
      <c r="A688" s="267" t="s">
        <v>49</v>
      </c>
      <c r="B688" s="328">
        <f t="shared" si="54"/>
        <v>22845</v>
      </c>
      <c r="C688" s="328"/>
      <c r="D688" s="328">
        <f t="shared" si="52"/>
        <v>9740</v>
      </c>
      <c r="E688" s="328">
        <v>2820</v>
      </c>
      <c r="F688" s="328">
        <v>4131</v>
      </c>
      <c r="G688" s="328">
        <v>1359</v>
      </c>
      <c r="H688" s="268">
        <v>1430</v>
      </c>
      <c r="I688" s="328">
        <v>13105</v>
      </c>
      <c r="K688" s="326"/>
      <c r="L688" s="335"/>
    </row>
    <row r="689" spans="1:12" ht="9" customHeight="1" x14ac:dyDescent="0.25">
      <c r="A689" s="263" t="s">
        <v>50</v>
      </c>
      <c r="B689" s="326">
        <f t="shared" si="54"/>
        <v>6703</v>
      </c>
      <c r="C689" s="326"/>
      <c r="D689" s="326">
        <f t="shared" si="52"/>
        <v>3025</v>
      </c>
      <c r="E689" s="326">
        <v>701</v>
      </c>
      <c r="F689" s="326">
        <v>1628</v>
      </c>
      <c r="G689" s="326">
        <v>277</v>
      </c>
      <c r="H689" s="266">
        <v>419</v>
      </c>
      <c r="I689" s="326">
        <v>3678</v>
      </c>
      <c r="K689" s="326"/>
      <c r="L689" s="335"/>
    </row>
    <row r="690" spans="1:12" ht="9" customHeight="1" x14ac:dyDescent="0.25">
      <c r="A690" s="263" t="s">
        <v>51</v>
      </c>
      <c r="B690" s="326">
        <f t="shared" si="54"/>
        <v>35326</v>
      </c>
      <c r="C690" s="326"/>
      <c r="D690" s="326">
        <f t="shared" si="52"/>
        <v>16143</v>
      </c>
      <c r="E690" s="326">
        <v>7285</v>
      </c>
      <c r="F690" s="326">
        <v>6470</v>
      </c>
      <c r="G690" s="326">
        <v>1111</v>
      </c>
      <c r="H690" s="266">
        <v>1277</v>
      </c>
      <c r="I690" s="326">
        <v>19183</v>
      </c>
      <c r="K690" s="326"/>
      <c r="L690" s="335"/>
    </row>
    <row r="691" spans="1:12" ht="9" customHeight="1" x14ac:dyDescent="0.25">
      <c r="A691" s="263" t="s">
        <v>52</v>
      </c>
      <c r="B691" s="326">
        <f t="shared" si="54"/>
        <v>11937</v>
      </c>
      <c r="C691" s="326"/>
      <c r="D691" s="326">
        <f t="shared" si="52"/>
        <v>5416</v>
      </c>
      <c r="E691" s="326">
        <v>2150</v>
      </c>
      <c r="F691" s="326">
        <v>1965</v>
      </c>
      <c r="G691" s="326">
        <v>633</v>
      </c>
      <c r="H691" s="266">
        <v>668</v>
      </c>
      <c r="I691" s="326">
        <v>6521</v>
      </c>
      <c r="K691" s="326"/>
      <c r="L691" s="335"/>
    </row>
    <row r="692" spans="1:12" ht="9" customHeight="1" x14ac:dyDescent="0.25">
      <c r="A692" s="267" t="s">
        <v>53</v>
      </c>
      <c r="B692" s="328">
        <f t="shared" si="54"/>
        <v>7867</v>
      </c>
      <c r="C692" s="328"/>
      <c r="D692" s="328">
        <f t="shared" si="52"/>
        <v>3857</v>
      </c>
      <c r="E692" s="328">
        <v>1402</v>
      </c>
      <c r="F692" s="328">
        <v>1712</v>
      </c>
      <c r="G692" s="328">
        <v>213</v>
      </c>
      <c r="H692" s="268">
        <v>530</v>
      </c>
      <c r="I692" s="328">
        <v>4010</v>
      </c>
      <c r="K692" s="326"/>
      <c r="L692" s="335"/>
    </row>
    <row r="693" spans="1:12" s="263" customFormat="1" ht="9" customHeight="1" x14ac:dyDescent="0.25">
      <c r="A693" s="264"/>
      <c r="B693" s="325"/>
      <c r="C693" s="325"/>
      <c r="D693" s="325"/>
      <c r="E693" s="325"/>
      <c r="F693" s="325"/>
      <c r="G693" s="325"/>
      <c r="H693" s="325"/>
      <c r="I693" s="325"/>
      <c r="K693" s="326"/>
    </row>
    <row r="694" spans="1:12" ht="9" customHeight="1" x14ac:dyDescent="0.25">
      <c r="A694" s="261" t="s">
        <v>195</v>
      </c>
      <c r="B694" s="323"/>
      <c r="C694" s="323"/>
      <c r="D694" s="262"/>
      <c r="E694" s="271"/>
      <c r="F694" s="271"/>
      <c r="G694" s="271"/>
      <c r="H694" s="271"/>
      <c r="I694" s="271"/>
      <c r="K694" s="326"/>
    </row>
    <row r="695" spans="1:12" ht="9" customHeight="1" x14ac:dyDescent="0.25">
      <c r="A695" s="264" t="s">
        <v>21</v>
      </c>
      <c r="B695" s="325">
        <f>SUM(B697:B728)</f>
        <v>649972</v>
      </c>
      <c r="C695" s="331"/>
      <c r="D695" s="325">
        <f t="shared" ref="D695:I695" si="55">SUM(D697:D728)</f>
        <v>301011</v>
      </c>
      <c r="E695" s="325">
        <f t="shared" si="55"/>
        <v>97048</v>
      </c>
      <c r="F695" s="325">
        <f t="shared" si="55"/>
        <v>134551</v>
      </c>
      <c r="G695" s="325">
        <f t="shared" si="55"/>
        <v>31715</v>
      </c>
      <c r="H695" s="325">
        <f t="shared" si="55"/>
        <v>37697</v>
      </c>
      <c r="I695" s="325">
        <f t="shared" si="55"/>
        <v>348961</v>
      </c>
      <c r="K695" s="326"/>
      <c r="L695" s="335"/>
    </row>
    <row r="696" spans="1:12" ht="3" customHeight="1" x14ac:dyDescent="0.25">
      <c r="A696" s="264"/>
      <c r="B696" s="325"/>
      <c r="C696" s="325"/>
      <c r="D696" s="325"/>
      <c r="E696" s="325"/>
      <c r="F696" s="325"/>
      <c r="G696" s="325"/>
      <c r="H696" s="325"/>
      <c r="I696" s="325"/>
      <c r="K696" s="326"/>
    </row>
    <row r="697" spans="1:12" ht="9" customHeight="1" x14ac:dyDescent="0.25">
      <c r="A697" s="263" t="s">
        <v>23</v>
      </c>
      <c r="B697" s="326">
        <f>SUM(D697,I697)</f>
        <v>7913</v>
      </c>
      <c r="C697" s="326"/>
      <c r="D697" s="326">
        <f t="shared" ref="D697:D728" si="56">SUM(E697:H697)</f>
        <v>3745</v>
      </c>
      <c r="E697" s="326">
        <v>1153</v>
      </c>
      <c r="F697" s="326">
        <v>1523</v>
      </c>
      <c r="G697" s="326">
        <v>360</v>
      </c>
      <c r="H697" s="266">
        <v>709</v>
      </c>
      <c r="I697" s="326">
        <v>4168</v>
      </c>
      <c r="K697" s="326"/>
      <c r="L697" s="335"/>
    </row>
    <row r="698" spans="1:12" ht="9" customHeight="1" x14ac:dyDescent="0.25">
      <c r="A698" s="263" t="s">
        <v>24</v>
      </c>
      <c r="B698" s="326">
        <f t="shared" ref="B698:B717" si="57">SUM(D698,I698)</f>
        <v>15463</v>
      </c>
      <c r="C698" s="326"/>
      <c r="D698" s="326">
        <f t="shared" si="56"/>
        <v>7358</v>
      </c>
      <c r="E698" s="326">
        <v>2312</v>
      </c>
      <c r="F698" s="326">
        <v>3379</v>
      </c>
      <c r="G698" s="326">
        <v>768</v>
      </c>
      <c r="H698" s="266">
        <v>899</v>
      </c>
      <c r="I698" s="326">
        <v>8105</v>
      </c>
      <c r="K698" s="326"/>
      <c r="L698" s="335"/>
    </row>
    <row r="699" spans="1:12" ht="9" customHeight="1" x14ac:dyDescent="0.25">
      <c r="A699" s="263" t="s">
        <v>25</v>
      </c>
      <c r="B699" s="326">
        <f t="shared" si="57"/>
        <v>5165</v>
      </c>
      <c r="C699" s="326"/>
      <c r="D699" s="326">
        <f t="shared" si="56"/>
        <v>2180</v>
      </c>
      <c r="E699" s="326">
        <v>771</v>
      </c>
      <c r="F699" s="326">
        <v>1112</v>
      </c>
      <c r="G699" s="326">
        <v>135</v>
      </c>
      <c r="H699" s="266">
        <v>162</v>
      </c>
      <c r="I699" s="326">
        <v>2985</v>
      </c>
      <c r="K699" s="326"/>
      <c r="L699" s="335"/>
    </row>
    <row r="700" spans="1:12" ht="9" customHeight="1" x14ac:dyDescent="0.25">
      <c r="A700" s="267" t="s">
        <v>26</v>
      </c>
      <c r="B700" s="328">
        <f t="shared" si="57"/>
        <v>5377</v>
      </c>
      <c r="C700" s="328"/>
      <c r="D700" s="328">
        <f t="shared" si="56"/>
        <v>2657</v>
      </c>
      <c r="E700" s="328">
        <v>1038</v>
      </c>
      <c r="F700" s="328">
        <v>1201</v>
      </c>
      <c r="G700" s="328">
        <v>205</v>
      </c>
      <c r="H700" s="268">
        <v>213</v>
      </c>
      <c r="I700" s="328">
        <v>2720</v>
      </c>
      <c r="K700" s="326"/>
      <c r="L700" s="335"/>
    </row>
    <row r="701" spans="1:12" ht="9" customHeight="1" x14ac:dyDescent="0.25">
      <c r="A701" s="263" t="s">
        <v>27</v>
      </c>
      <c r="B701" s="326">
        <f t="shared" si="57"/>
        <v>17431</v>
      </c>
      <c r="C701" s="326"/>
      <c r="D701" s="326">
        <f t="shared" si="56"/>
        <v>8354</v>
      </c>
      <c r="E701" s="326">
        <v>2394</v>
      </c>
      <c r="F701" s="326">
        <v>3574</v>
      </c>
      <c r="G701" s="326">
        <v>1083</v>
      </c>
      <c r="H701" s="266">
        <v>1303</v>
      </c>
      <c r="I701" s="326">
        <v>9077</v>
      </c>
      <c r="K701" s="326"/>
      <c r="L701" s="335"/>
    </row>
    <row r="702" spans="1:12" ht="9" customHeight="1" x14ac:dyDescent="0.25">
      <c r="A702" s="263" t="s">
        <v>28</v>
      </c>
      <c r="B702" s="326">
        <f t="shared" si="57"/>
        <v>4622</v>
      </c>
      <c r="C702" s="326"/>
      <c r="D702" s="326">
        <f t="shared" si="56"/>
        <v>2193</v>
      </c>
      <c r="E702" s="326">
        <v>571</v>
      </c>
      <c r="F702" s="326">
        <v>1060</v>
      </c>
      <c r="G702" s="326">
        <v>204</v>
      </c>
      <c r="H702" s="266">
        <v>358</v>
      </c>
      <c r="I702" s="326">
        <v>2429</v>
      </c>
      <c r="K702" s="326"/>
      <c r="L702" s="335"/>
    </row>
    <row r="703" spans="1:12" ht="9" customHeight="1" x14ac:dyDescent="0.25">
      <c r="A703" s="263" t="s">
        <v>29</v>
      </c>
      <c r="B703" s="326">
        <f t="shared" si="57"/>
        <v>20994</v>
      </c>
      <c r="C703" s="326"/>
      <c r="D703" s="326">
        <f t="shared" si="56"/>
        <v>10734</v>
      </c>
      <c r="E703" s="326">
        <v>3673</v>
      </c>
      <c r="F703" s="326">
        <v>5348</v>
      </c>
      <c r="G703" s="326">
        <v>523</v>
      </c>
      <c r="H703" s="266">
        <v>1190</v>
      </c>
      <c r="I703" s="326">
        <v>10260</v>
      </c>
      <c r="K703" s="326"/>
      <c r="L703" s="335"/>
    </row>
    <row r="704" spans="1:12" ht="9" customHeight="1" x14ac:dyDescent="0.25">
      <c r="A704" s="267" t="s">
        <v>30</v>
      </c>
      <c r="B704" s="328">
        <f t="shared" si="57"/>
        <v>20379</v>
      </c>
      <c r="C704" s="328"/>
      <c r="D704" s="328">
        <f t="shared" si="56"/>
        <v>9842</v>
      </c>
      <c r="E704" s="328">
        <v>3467</v>
      </c>
      <c r="F704" s="328">
        <v>4143</v>
      </c>
      <c r="G704" s="328">
        <v>624</v>
      </c>
      <c r="H704" s="268">
        <v>1608</v>
      </c>
      <c r="I704" s="328">
        <v>10537</v>
      </c>
      <c r="K704" s="326"/>
      <c r="L704" s="335"/>
    </row>
    <row r="705" spans="1:12" ht="9" customHeight="1" x14ac:dyDescent="0.25">
      <c r="A705" s="263" t="s">
        <v>63</v>
      </c>
      <c r="B705" s="326">
        <f t="shared" si="57"/>
        <v>118837</v>
      </c>
      <c r="C705" s="326"/>
      <c r="D705" s="326">
        <f t="shared" si="56"/>
        <v>48179</v>
      </c>
      <c r="E705" s="326">
        <v>12233</v>
      </c>
      <c r="F705" s="326">
        <v>24111</v>
      </c>
      <c r="G705" s="326">
        <v>7660</v>
      </c>
      <c r="H705" s="266">
        <v>4175</v>
      </c>
      <c r="I705" s="326">
        <v>70658</v>
      </c>
      <c r="K705" s="326"/>
      <c r="L705" s="335"/>
    </row>
    <row r="706" spans="1:12" ht="9" customHeight="1" x14ac:dyDescent="0.25">
      <c r="A706" s="263" t="s">
        <v>31</v>
      </c>
      <c r="B706" s="326">
        <f t="shared" si="57"/>
        <v>9406</v>
      </c>
      <c r="C706" s="326"/>
      <c r="D706" s="326">
        <f t="shared" si="56"/>
        <v>4502</v>
      </c>
      <c r="E706" s="326">
        <v>1508</v>
      </c>
      <c r="F706" s="326">
        <v>2078</v>
      </c>
      <c r="G706" s="326">
        <v>435</v>
      </c>
      <c r="H706" s="266">
        <v>481</v>
      </c>
      <c r="I706" s="326">
        <v>4904</v>
      </c>
      <c r="K706" s="326"/>
      <c r="L706" s="335"/>
    </row>
    <row r="707" spans="1:12" ht="9" customHeight="1" x14ac:dyDescent="0.25">
      <c r="A707" s="263" t="s">
        <v>32</v>
      </c>
      <c r="B707" s="326">
        <f t="shared" si="57"/>
        <v>23301</v>
      </c>
      <c r="C707" s="326"/>
      <c r="D707" s="326">
        <f t="shared" si="56"/>
        <v>12183</v>
      </c>
      <c r="E707" s="326">
        <v>4210</v>
      </c>
      <c r="F707" s="326">
        <v>5730</v>
      </c>
      <c r="G707" s="326">
        <v>934</v>
      </c>
      <c r="H707" s="266">
        <v>1309</v>
      </c>
      <c r="I707" s="326">
        <v>11118</v>
      </c>
      <c r="K707" s="326"/>
      <c r="L707" s="335"/>
    </row>
    <row r="708" spans="1:12" ht="9" customHeight="1" x14ac:dyDescent="0.25">
      <c r="A708" s="267" t="s">
        <v>33</v>
      </c>
      <c r="B708" s="328">
        <f t="shared" si="57"/>
        <v>15334</v>
      </c>
      <c r="C708" s="328"/>
      <c r="D708" s="328">
        <f t="shared" si="56"/>
        <v>7643</v>
      </c>
      <c r="E708" s="328">
        <v>1958</v>
      </c>
      <c r="F708" s="328">
        <v>4257</v>
      </c>
      <c r="G708" s="328">
        <v>621</v>
      </c>
      <c r="H708" s="268">
        <v>807</v>
      </c>
      <c r="I708" s="328">
        <v>7691</v>
      </c>
      <c r="K708" s="326"/>
      <c r="L708" s="335"/>
    </row>
    <row r="709" spans="1:12" ht="9" customHeight="1" x14ac:dyDescent="0.25">
      <c r="A709" s="263" t="s">
        <v>34</v>
      </c>
      <c r="B709" s="326">
        <f t="shared" si="57"/>
        <v>12800</v>
      </c>
      <c r="C709" s="326"/>
      <c r="D709" s="326">
        <f t="shared" si="56"/>
        <v>6443</v>
      </c>
      <c r="E709" s="326">
        <v>2423</v>
      </c>
      <c r="F709" s="326">
        <v>2478</v>
      </c>
      <c r="G709" s="326">
        <v>377</v>
      </c>
      <c r="H709" s="266">
        <v>1165</v>
      </c>
      <c r="I709" s="326">
        <v>6357</v>
      </c>
      <c r="K709" s="326"/>
      <c r="L709" s="335"/>
    </row>
    <row r="710" spans="1:12" ht="9" customHeight="1" x14ac:dyDescent="0.25">
      <c r="A710" s="263" t="s">
        <v>35</v>
      </c>
      <c r="B710" s="326">
        <f t="shared" si="57"/>
        <v>38698</v>
      </c>
      <c r="C710" s="326"/>
      <c r="D710" s="326">
        <f t="shared" si="56"/>
        <v>19135</v>
      </c>
      <c r="E710" s="326">
        <v>6542</v>
      </c>
      <c r="F710" s="326">
        <v>7817</v>
      </c>
      <c r="G710" s="326">
        <v>1873</v>
      </c>
      <c r="H710" s="266">
        <v>2903</v>
      </c>
      <c r="I710" s="326">
        <v>19563</v>
      </c>
      <c r="K710" s="326"/>
      <c r="L710" s="335"/>
    </row>
    <row r="711" spans="1:12" ht="9" customHeight="1" x14ac:dyDescent="0.25">
      <c r="A711" s="263" t="s">
        <v>36</v>
      </c>
      <c r="B711" s="326">
        <f t="shared" si="57"/>
        <v>69191</v>
      </c>
      <c r="C711" s="326"/>
      <c r="D711" s="326">
        <f t="shared" si="56"/>
        <v>30289</v>
      </c>
      <c r="E711" s="326">
        <v>8274</v>
      </c>
      <c r="F711" s="326">
        <v>13848</v>
      </c>
      <c r="G711" s="326">
        <v>3720</v>
      </c>
      <c r="H711" s="266">
        <v>4447</v>
      </c>
      <c r="I711" s="326">
        <v>38902</v>
      </c>
      <c r="K711" s="326"/>
      <c r="L711" s="335"/>
    </row>
    <row r="712" spans="1:12" ht="9" customHeight="1" x14ac:dyDescent="0.25">
      <c r="A712" s="267" t="s">
        <v>37</v>
      </c>
      <c r="B712" s="328">
        <f t="shared" si="57"/>
        <v>18822</v>
      </c>
      <c r="C712" s="328"/>
      <c r="D712" s="328">
        <f t="shared" si="56"/>
        <v>9393</v>
      </c>
      <c r="E712" s="328">
        <v>3450</v>
      </c>
      <c r="F712" s="328">
        <v>3292</v>
      </c>
      <c r="G712" s="328">
        <v>658</v>
      </c>
      <c r="H712" s="268">
        <v>1993</v>
      </c>
      <c r="I712" s="328">
        <v>9429</v>
      </c>
      <c r="K712" s="326"/>
      <c r="L712" s="335"/>
    </row>
    <row r="713" spans="1:12" ht="9" customHeight="1" x14ac:dyDescent="0.25">
      <c r="A713" s="263" t="s">
        <v>38</v>
      </c>
      <c r="B713" s="326">
        <f t="shared" si="57"/>
        <v>9743</v>
      </c>
      <c r="C713" s="326"/>
      <c r="D713" s="326">
        <f t="shared" si="56"/>
        <v>4702</v>
      </c>
      <c r="E713" s="326">
        <v>1252</v>
      </c>
      <c r="F713" s="326">
        <v>2101</v>
      </c>
      <c r="G713" s="326">
        <v>608</v>
      </c>
      <c r="H713" s="266">
        <v>741</v>
      </c>
      <c r="I713" s="326">
        <v>5041</v>
      </c>
      <c r="K713" s="326"/>
      <c r="L713" s="335"/>
    </row>
    <row r="714" spans="1:12" ht="9" customHeight="1" x14ac:dyDescent="0.25">
      <c r="A714" s="263" t="s">
        <v>39</v>
      </c>
      <c r="B714" s="326">
        <f t="shared" si="57"/>
        <v>6525</v>
      </c>
      <c r="C714" s="326"/>
      <c r="D714" s="326">
        <f t="shared" si="56"/>
        <v>3093</v>
      </c>
      <c r="E714" s="326">
        <v>793</v>
      </c>
      <c r="F714" s="326">
        <v>1439</v>
      </c>
      <c r="G714" s="326">
        <v>429</v>
      </c>
      <c r="H714" s="266">
        <v>432</v>
      </c>
      <c r="I714" s="326">
        <v>3432</v>
      </c>
      <c r="K714" s="326"/>
      <c r="L714" s="335"/>
    </row>
    <row r="715" spans="1:12" ht="9" customHeight="1" x14ac:dyDescent="0.25">
      <c r="A715" s="263" t="s">
        <v>40</v>
      </c>
      <c r="B715" s="326">
        <f t="shared" si="57"/>
        <v>27067</v>
      </c>
      <c r="C715" s="326"/>
      <c r="D715" s="326">
        <f t="shared" si="56"/>
        <v>12260</v>
      </c>
      <c r="E715" s="326">
        <v>3871</v>
      </c>
      <c r="F715" s="326">
        <v>4874</v>
      </c>
      <c r="G715" s="326">
        <v>1764</v>
      </c>
      <c r="H715" s="266">
        <v>1751</v>
      </c>
      <c r="I715" s="326">
        <v>14807</v>
      </c>
      <c r="K715" s="326"/>
      <c r="L715" s="335"/>
    </row>
    <row r="716" spans="1:12" ht="9" customHeight="1" x14ac:dyDescent="0.25">
      <c r="A716" s="267" t="s">
        <v>41</v>
      </c>
      <c r="B716" s="328">
        <f t="shared" si="57"/>
        <v>16350</v>
      </c>
      <c r="C716" s="328"/>
      <c r="D716" s="328">
        <f t="shared" si="56"/>
        <v>8530</v>
      </c>
      <c r="E716" s="328">
        <v>3028</v>
      </c>
      <c r="F716" s="328">
        <v>4192</v>
      </c>
      <c r="G716" s="328">
        <v>565</v>
      </c>
      <c r="H716" s="268">
        <v>745</v>
      </c>
      <c r="I716" s="328">
        <v>7820</v>
      </c>
      <c r="K716" s="326"/>
      <c r="L716" s="335"/>
    </row>
    <row r="717" spans="1:12" ht="9" customHeight="1" x14ac:dyDescent="0.25">
      <c r="A717" s="263" t="s">
        <v>42</v>
      </c>
      <c r="B717" s="326">
        <f t="shared" si="57"/>
        <v>24874</v>
      </c>
      <c r="C717" s="326"/>
      <c r="D717" s="326">
        <f t="shared" si="56"/>
        <v>12106</v>
      </c>
      <c r="E717" s="326">
        <v>4642</v>
      </c>
      <c r="F717" s="326">
        <v>4579</v>
      </c>
      <c r="G717" s="326">
        <v>1053</v>
      </c>
      <c r="H717" s="266">
        <v>1832</v>
      </c>
      <c r="I717" s="326">
        <v>12768</v>
      </c>
      <c r="K717" s="326"/>
      <c r="L717" s="335"/>
    </row>
    <row r="718" spans="1:12" ht="9" customHeight="1" x14ac:dyDescent="0.25">
      <c r="A718" s="263" t="s">
        <v>43</v>
      </c>
      <c r="B718" s="326">
        <f>SUM(D718,I718)</f>
        <v>8096</v>
      </c>
      <c r="C718" s="326"/>
      <c r="D718" s="326">
        <f t="shared" si="56"/>
        <v>3896</v>
      </c>
      <c r="E718" s="326">
        <v>1499</v>
      </c>
      <c r="F718" s="326">
        <v>1593</v>
      </c>
      <c r="G718" s="326">
        <v>431</v>
      </c>
      <c r="H718" s="266">
        <v>373</v>
      </c>
      <c r="I718" s="326">
        <v>4200</v>
      </c>
      <c r="K718" s="326"/>
      <c r="L718" s="335"/>
    </row>
    <row r="719" spans="1:12" ht="9" customHeight="1" x14ac:dyDescent="0.25">
      <c r="A719" s="263" t="s">
        <v>44</v>
      </c>
      <c r="B719" s="326">
        <f t="shared" ref="B719:B728" si="58">SUM(D719,I719)</f>
        <v>7471</v>
      </c>
      <c r="C719" s="326"/>
      <c r="D719" s="326">
        <f t="shared" si="56"/>
        <v>3385</v>
      </c>
      <c r="E719" s="326">
        <v>1101</v>
      </c>
      <c r="F719" s="326">
        <v>1708</v>
      </c>
      <c r="G719" s="326">
        <v>258</v>
      </c>
      <c r="H719" s="266">
        <v>318</v>
      </c>
      <c r="I719" s="326">
        <v>4086</v>
      </c>
      <c r="K719" s="326"/>
      <c r="L719" s="335"/>
    </row>
    <row r="720" spans="1:12" ht="9" customHeight="1" x14ac:dyDescent="0.25">
      <c r="A720" s="267" t="s">
        <v>45</v>
      </c>
      <c r="B720" s="328">
        <f t="shared" si="58"/>
        <v>11577</v>
      </c>
      <c r="C720" s="328"/>
      <c r="D720" s="328">
        <f t="shared" si="56"/>
        <v>5650</v>
      </c>
      <c r="E720" s="328">
        <v>1933</v>
      </c>
      <c r="F720" s="328">
        <v>2785</v>
      </c>
      <c r="G720" s="328">
        <v>419</v>
      </c>
      <c r="H720" s="268">
        <v>513</v>
      </c>
      <c r="I720" s="328">
        <v>5927</v>
      </c>
      <c r="K720" s="326"/>
      <c r="L720" s="335"/>
    </row>
    <row r="721" spans="1:12" ht="9" customHeight="1" x14ac:dyDescent="0.25">
      <c r="A721" s="263" t="s">
        <v>46</v>
      </c>
      <c r="B721" s="326">
        <f t="shared" si="58"/>
        <v>16203</v>
      </c>
      <c r="C721" s="326"/>
      <c r="D721" s="326">
        <f t="shared" si="56"/>
        <v>7783</v>
      </c>
      <c r="E721" s="326">
        <v>2601</v>
      </c>
      <c r="F721" s="326">
        <v>3513</v>
      </c>
      <c r="G721" s="326">
        <v>685</v>
      </c>
      <c r="H721" s="266">
        <v>984</v>
      </c>
      <c r="I721" s="326">
        <v>8420</v>
      </c>
      <c r="K721" s="326"/>
      <c r="L721" s="335"/>
    </row>
    <row r="722" spans="1:12" ht="9" customHeight="1" x14ac:dyDescent="0.25">
      <c r="A722" s="263" t="s">
        <v>47</v>
      </c>
      <c r="B722" s="326">
        <f t="shared" si="58"/>
        <v>18938</v>
      </c>
      <c r="C722" s="326"/>
      <c r="D722" s="326">
        <f t="shared" si="56"/>
        <v>8566</v>
      </c>
      <c r="E722" s="326">
        <v>2490</v>
      </c>
      <c r="F722" s="326">
        <v>4099</v>
      </c>
      <c r="G722" s="326">
        <v>977</v>
      </c>
      <c r="H722" s="266">
        <v>1000</v>
      </c>
      <c r="I722" s="326">
        <v>10372</v>
      </c>
      <c r="K722" s="326"/>
      <c r="L722" s="335"/>
    </row>
    <row r="723" spans="1:12" ht="9" customHeight="1" x14ac:dyDescent="0.25">
      <c r="A723" s="263" t="s">
        <v>48</v>
      </c>
      <c r="B723" s="326">
        <f t="shared" si="58"/>
        <v>14601</v>
      </c>
      <c r="C723" s="326"/>
      <c r="D723" s="326">
        <f t="shared" si="56"/>
        <v>6034</v>
      </c>
      <c r="E723" s="326">
        <v>1925</v>
      </c>
      <c r="F723" s="326">
        <v>3109</v>
      </c>
      <c r="G723" s="326">
        <v>466</v>
      </c>
      <c r="H723" s="266">
        <v>534</v>
      </c>
      <c r="I723" s="326">
        <v>8567</v>
      </c>
      <c r="K723" s="326"/>
      <c r="L723" s="335"/>
    </row>
    <row r="724" spans="1:12" ht="9" customHeight="1" x14ac:dyDescent="0.25">
      <c r="A724" s="267" t="s">
        <v>49</v>
      </c>
      <c r="B724" s="328">
        <f t="shared" si="58"/>
        <v>22492</v>
      </c>
      <c r="C724" s="328"/>
      <c r="D724" s="328">
        <f t="shared" si="56"/>
        <v>10126</v>
      </c>
      <c r="E724" s="328">
        <v>3162</v>
      </c>
      <c r="F724" s="328">
        <v>3826</v>
      </c>
      <c r="G724" s="328">
        <v>1557</v>
      </c>
      <c r="H724" s="268">
        <v>1581</v>
      </c>
      <c r="I724" s="328">
        <v>12366</v>
      </c>
      <c r="K724" s="326"/>
      <c r="L724" s="335"/>
    </row>
    <row r="725" spans="1:12" ht="9" customHeight="1" x14ac:dyDescent="0.25">
      <c r="A725" s="263" t="s">
        <v>50</v>
      </c>
      <c r="B725" s="326">
        <f t="shared" si="58"/>
        <v>6428</v>
      </c>
      <c r="C725" s="326"/>
      <c r="D725" s="326">
        <f t="shared" si="56"/>
        <v>3099</v>
      </c>
      <c r="E725" s="326">
        <v>988</v>
      </c>
      <c r="F725" s="326">
        <v>1351</v>
      </c>
      <c r="G725" s="326">
        <v>294</v>
      </c>
      <c r="H725" s="266">
        <v>466</v>
      </c>
      <c r="I725" s="326">
        <v>3329</v>
      </c>
      <c r="K725" s="326"/>
      <c r="L725" s="335"/>
    </row>
    <row r="726" spans="1:12" ht="9" customHeight="1" x14ac:dyDescent="0.25">
      <c r="A726" s="263" t="s">
        <v>51</v>
      </c>
      <c r="B726" s="326">
        <f t="shared" si="58"/>
        <v>35746</v>
      </c>
      <c r="C726" s="326"/>
      <c r="D726" s="326">
        <f t="shared" si="56"/>
        <v>16931</v>
      </c>
      <c r="E726" s="326">
        <v>8065</v>
      </c>
      <c r="F726" s="326">
        <v>6383</v>
      </c>
      <c r="G726" s="326">
        <v>1122</v>
      </c>
      <c r="H726" s="266">
        <v>1361</v>
      </c>
      <c r="I726" s="326">
        <v>18815</v>
      </c>
      <c r="K726" s="326"/>
      <c r="L726" s="335"/>
    </row>
    <row r="727" spans="1:12" ht="9" customHeight="1" x14ac:dyDescent="0.25">
      <c r="A727" s="263" t="s">
        <v>52</v>
      </c>
      <c r="B727" s="326">
        <f t="shared" si="58"/>
        <v>11806</v>
      </c>
      <c r="C727" s="326"/>
      <c r="D727" s="326">
        <f t="shared" si="56"/>
        <v>5659</v>
      </c>
      <c r="E727" s="326">
        <v>2142</v>
      </c>
      <c r="F727" s="326">
        <v>2143</v>
      </c>
      <c r="G727" s="326">
        <v>646</v>
      </c>
      <c r="H727" s="266">
        <v>728</v>
      </c>
      <c r="I727" s="326">
        <v>6147</v>
      </c>
      <c r="K727" s="326"/>
      <c r="L727" s="335"/>
    </row>
    <row r="728" spans="1:12" ht="9" customHeight="1" x14ac:dyDescent="0.25">
      <c r="A728" s="267" t="s">
        <v>53</v>
      </c>
      <c r="B728" s="328">
        <f t="shared" si="58"/>
        <v>8322</v>
      </c>
      <c r="C728" s="328"/>
      <c r="D728" s="328">
        <f t="shared" si="56"/>
        <v>4361</v>
      </c>
      <c r="E728" s="328">
        <v>1579</v>
      </c>
      <c r="F728" s="328">
        <v>1905</v>
      </c>
      <c r="G728" s="328">
        <v>261</v>
      </c>
      <c r="H728" s="268">
        <v>616</v>
      </c>
      <c r="I728" s="328">
        <v>3961</v>
      </c>
      <c r="K728" s="326"/>
      <c r="L728" s="335"/>
    </row>
    <row r="729" spans="1:12" s="263" customFormat="1" ht="9" customHeight="1" x14ac:dyDescent="0.25">
      <c r="A729" s="264"/>
      <c r="B729" s="325"/>
      <c r="C729" s="325"/>
      <c r="D729" s="325"/>
      <c r="E729" s="325"/>
      <c r="F729" s="325"/>
      <c r="G729" s="325"/>
      <c r="H729" s="325"/>
      <c r="I729" s="325"/>
      <c r="K729" s="326"/>
    </row>
    <row r="730" spans="1:12" ht="9" customHeight="1" x14ac:dyDescent="0.25">
      <c r="A730" s="261">
        <v>2015</v>
      </c>
      <c r="B730" s="323"/>
      <c r="C730" s="323"/>
      <c r="D730" s="262"/>
      <c r="E730" s="271"/>
      <c r="F730" s="271"/>
      <c r="G730" s="271"/>
      <c r="H730" s="271"/>
      <c r="I730" s="271"/>
      <c r="K730" s="326"/>
    </row>
    <row r="731" spans="1:12" ht="9" customHeight="1" x14ac:dyDescent="0.25">
      <c r="A731" s="264" t="s">
        <v>21</v>
      </c>
      <c r="B731" s="325">
        <f>SUM(B733:B764)</f>
        <v>595132</v>
      </c>
      <c r="C731" s="331"/>
      <c r="D731" s="325">
        <f t="shared" ref="D731:I731" si="59">SUM(D733:D764)</f>
        <v>314704</v>
      </c>
      <c r="E731" s="325">
        <f t="shared" si="59"/>
        <v>100723</v>
      </c>
      <c r="F731" s="325">
        <f t="shared" si="59"/>
        <v>138896</v>
      </c>
      <c r="G731" s="325">
        <f t="shared" si="59"/>
        <v>33092</v>
      </c>
      <c r="H731" s="325">
        <f t="shared" si="59"/>
        <v>41993</v>
      </c>
      <c r="I731" s="325">
        <f t="shared" si="59"/>
        <v>280428</v>
      </c>
      <c r="K731" s="326"/>
      <c r="L731" s="335"/>
    </row>
    <row r="732" spans="1:12" ht="3" customHeight="1" x14ac:dyDescent="0.25">
      <c r="A732" s="264"/>
      <c r="B732" s="325"/>
      <c r="C732" s="325"/>
      <c r="D732" s="325"/>
      <c r="E732" s="325"/>
      <c r="F732" s="325"/>
      <c r="G732" s="325"/>
      <c r="H732" s="325"/>
      <c r="I732" s="325"/>
      <c r="K732" s="326"/>
    </row>
    <row r="733" spans="1:12" ht="9" customHeight="1" x14ac:dyDescent="0.25">
      <c r="A733" s="263" t="s">
        <v>23</v>
      </c>
      <c r="B733" s="326">
        <f>SUM(D733,I733)</f>
        <v>7183</v>
      </c>
      <c r="C733" s="326"/>
      <c r="D733" s="326">
        <f t="shared" ref="D733:D764" si="60">SUM(E733:H733)</f>
        <v>3945</v>
      </c>
      <c r="E733" s="326">
        <v>1265</v>
      </c>
      <c r="F733" s="326">
        <v>1556</v>
      </c>
      <c r="G733" s="326">
        <v>361</v>
      </c>
      <c r="H733" s="266">
        <v>763</v>
      </c>
      <c r="I733" s="326">
        <v>3238</v>
      </c>
      <c r="K733" s="326"/>
      <c r="L733" s="335"/>
    </row>
    <row r="734" spans="1:12" ht="9" customHeight="1" x14ac:dyDescent="0.25">
      <c r="A734" s="263" t="s">
        <v>24</v>
      </c>
      <c r="B734" s="326">
        <f t="shared" ref="B734:B753" si="61">SUM(D734,I734)</f>
        <v>14119</v>
      </c>
      <c r="C734" s="326"/>
      <c r="D734" s="326">
        <f t="shared" si="60"/>
        <v>7680</v>
      </c>
      <c r="E734" s="326">
        <v>2351</v>
      </c>
      <c r="F734" s="326">
        <v>3538</v>
      </c>
      <c r="G734" s="326">
        <v>788</v>
      </c>
      <c r="H734" s="266">
        <v>1003</v>
      </c>
      <c r="I734" s="326">
        <v>6439</v>
      </c>
      <c r="K734" s="326"/>
      <c r="L734" s="335"/>
    </row>
    <row r="735" spans="1:12" ht="9" customHeight="1" x14ac:dyDescent="0.25">
      <c r="A735" s="263" t="s">
        <v>25</v>
      </c>
      <c r="B735" s="326">
        <f t="shared" si="61"/>
        <v>4700</v>
      </c>
      <c r="C735" s="326"/>
      <c r="D735" s="326">
        <f t="shared" si="60"/>
        <v>2306</v>
      </c>
      <c r="E735" s="326">
        <v>725</v>
      </c>
      <c r="F735" s="326">
        <v>1261</v>
      </c>
      <c r="G735" s="326">
        <v>136</v>
      </c>
      <c r="H735" s="266">
        <v>184</v>
      </c>
      <c r="I735" s="326">
        <v>2394</v>
      </c>
      <c r="K735" s="326"/>
      <c r="L735" s="335"/>
    </row>
    <row r="736" spans="1:12" ht="9" customHeight="1" x14ac:dyDescent="0.25">
      <c r="A736" s="267" t="s">
        <v>26</v>
      </c>
      <c r="B736" s="328">
        <f t="shared" si="61"/>
        <v>5175</v>
      </c>
      <c r="C736" s="328"/>
      <c r="D736" s="328">
        <f t="shared" si="60"/>
        <v>2778</v>
      </c>
      <c r="E736" s="328">
        <v>1071</v>
      </c>
      <c r="F736" s="328">
        <v>1288</v>
      </c>
      <c r="G736" s="328">
        <v>211</v>
      </c>
      <c r="H736" s="268">
        <v>208</v>
      </c>
      <c r="I736" s="328">
        <v>2397</v>
      </c>
      <c r="K736" s="326"/>
      <c r="L736" s="335"/>
    </row>
    <row r="737" spans="1:12" ht="9" customHeight="1" x14ac:dyDescent="0.25">
      <c r="A737" s="263" t="s">
        <v>27</v>
      </c>
      <c r="B737" s="326">
        <f t="shared" si="61"/>
        <v>15556</v>
      </c>
      <c r="C737" s="326"/>
      <c r="D737" s="326">
        <f t="shared" si="60"/>
        <v>8546</v>
      </c>
      <c r="E737" s="326">
        <v>2551</v>
      </c>
      <c r="F737" s="326">
        <v>3498</v>
      </c>
      <c r="G737" s="326">
        <v>1099</v>
      </c>
      <c r="H737" s="266">
        <v>1398</v>
      </c>
      <c r="I737" s="326">
        <v>7010</v>
      </c>
      <c r="K737" s="326"/>
      <c r="L737" s="335"/>
    </row>
    <row r="738" spans="1:12" ht="9" customHeight="1" x14ac:dyDescent="0.25">
      <c r="A738" s="263" t="s">
        <v>28</v>
      </c>
      <c r="B738" s="326">
        <f t="shared" si="61"/>
        <v>4184</v>
      </c>
      <c r="C738" s="326"/>
      <c r="D738" s="326">
        <f t="shared" si="60"/>
        <v>2317</v>
      </c>
      <c r="E738" s="326">
        <v>597</v>
      </c>
      <c r="F738" s="326">
        <v>1105</v>
      </c>
      <c r="G738" s="326">
        <v>226</v>
      </c>
      <c r="H738" s="266">
        <v>389</v>
      </c>
      <c r="I738" s="326">
        <v>1867</v>
      </c>
      <c r="K738" s="326"/>
      <c r="L738" s="335"/>
    </row>
    <row r="739" spans="1:12" ht="9" customHeight="1" x14ac:dyDescent="0.25">
      <c r="A739" s="263" t="s">
        <v>29</v>
      </c>
      <c r="B739" s="326">
        <f t="shared" si="61"/>
        <v>19866</v>
      </c>
      <c r="C739" s="326"/>
      <c r="D739" s="326">
        <f t="shared" si="60"/>
        <v>11048</v>
      </c>
      <c r="E739" s="326">
        <v>3551</v>
      </c>
      <c r="F739" s="326">
        <v>5350</v>
      </c>
      <c r="G739" s="326">
        <v>628</v>
      </c>
      <c r="H739" s="266">
        <v>1519</v>
      </c>
      <c r="I739" s="326">
        <v>8818</v>
      </c>
      <c r="K739" s="326"/>
      <c r="L739" s="335"/>
    </row>
    <row r="740" spans="1:12" ht="9" customHeight="1" x14ac:dyDescent="0.25">
      <c r="A740" s="267" t="s">
        <v>30</v>
      </c>
      <c r="B740" s="328">
        <f t="shared" si="61"/>
        <v>18819</v>
      </c>
      <c r="C740" s="328"/>
      <c r="D740" s="328">
        <f t="shared" si="60"/>
        <v>10485</v>
      </c>
      <c r="E740" s="328">
        <v>3625</v>
      </c>
      <c r="F740" s="328">
        <v>4449</v>
      </c>
      <c r="G740" s="328">
        <v>688</v>
      </c>
      <c r="H740" s="268">
        <v>1723</v>
      </c>
      <c r="I740" s="328">
        <v>8334</v>
      </c>
      <c r="K740" s="326"/>
      <c r="L740" s="335"/>
    </row>
    <row r="741" spans="1:12" ht="9" customHeight="1" x14ac:dyDescent="0.25">
      <c r="A741" s="263" t="s">
        <v>63</v>
      </c>
      <c r="B741" s="326">
        <f t="shared" si="61"/>
        <v>105984</v>
      </c>
      <c r="C741" s="326"/>
      <c r="D741" s="326">
        <f t="shared" si="60"/>
        <v>49827</v>
      </c>
      <c r="E741" s="326">
        <v>12574</v>
      </c>
      <c r="F741" s="326">
        <v>24738</v>
      </c>
      <c r="G741" s="326">
        <v>7906</v>
      </c>
      <c r="H741" s="266">
        <v>4609</v>
      </c>
      <c r="I741" s="326">
        <v>56157</v>
      </c>
      <c r="K741" s="326"/>
      <c r="L741" s="335"/>
    </row>
    <row r="742" spans="1:12" ht="9" customHeight="1" x14ac:dyDescent="0.25">
      <c r="A742" s="263" t="s">
        <v>31</v>
      </c>
      <c r="B742" s="326">
        <f t="shared" si="61"/>
        <v>8647</v>
      </c>
      <c r="C742" s="326"/>
      <c r="D742" s="326">
        <f t="shared" si="60"/>
        <v>4645</v>
      </c>
      <c r="E742" s="326">
        <v>1557</v>
      </c>
      <c r="F742" s="326">
        <v>2180</v>
      </c>
      <c r="G742" s="326">
        <v>482</v>
      </c>
      <c r="H742" s="266">
        <v>426</v>
      </c>
      <c r="I742" s="326">
        <v>4002</v>
      </c>
      <c r="K742" s="326"/>
      <c r="L742" s="335"/>
    </row>
    <row r="743" spans="1:12" ht="9" customHeight="1" x14ac:dyDescent="0.25">
      <c r="A743" s="263" t="s">
        <v>32</v>
      </c>
      <c r="B743" s="326">
        <f t="shared" si="61"/>
        <v>21940</v>
      </c>
      <c r="C743" s="326"/>
      <c r="D743" s="326">
        <f t="shared" si="60"/>
        <v>13202</v>
      </c>
      <c r="E743" s="326">
        <v>4218</v>
      </c>
      <c r="F743" s="326">
        <v>6208</v>
      </c>
      <c r="G743" s="326">
        <v>1018</v>
      </c>
      <c r="H743" s="266">
        <v>1758</v>
      </c>
      <c r="I743" s="326">
        <v>8738</v>
      </c>
      <c r="K743" s="326"/>
      <c r="L743" s="335"/>
    </row>
    <row r="744" spans="1:12" ht="9" customHeight="1" x14ac:dyDescent="0.25">
      <c r="A744" s="267" t="s">
        <v>33</v>
      </c>
      <c r="B744" s="328">
        <f t="shared" si="61"/>
        <v>15377</v>
      </c>
      <c r="C744" s="328"/>
      <c r="D744" s="328">
        <f t="shared" si="60"/>
        <v>8376</v>
      </c>
      <c r="E744" s="328">
        <v>2189</v>
      </c>
      <c r="F744" s="328">
        <v>4492</v>
      </c>
      <c r="G744" s="328">
        <v>660</v>
      </c>
      <c r="H744" s="268">
        <v>1035</v>
      </c>
      <c r="I744" s="328">
        <v>7001</v>
      </c>
      <c r="K744" s="326"/>
      <c r="L744" s="335"/>
    </row>
    <row r="745" spans="1:12" ht="9" customHeight="1" x14ac:dyDescent="0.25">
      <c r="A745" s="263" t="s">
        <v>34</v>
      </c>
      <c r="B745" s="326">
        <f t="shared" si="61"/>
        <v>11847</v>
      </c>
      <c r="C745" s="326"/>
      <c r="D745" s="326">
        <f t="shared" si="60"/>
        <v>6602</v>
      </c>
      <c r="E745" s="326">
        <v>2417</v>
      </c>
      <c r="F745" s="326">
        <v>2578</v>
      </c>
      <c r="G745" s="326">
        <v>380</v>
      </c>
      <c r="H745" s="266">
        <v>1227</v>
      </c>
      <c r="I745" s="326">
        <v>5245</v>
      </c>
      <c r="K745" s="326"/>
      <c r="L745" s="335"/>
    </row>
    <row r="746" spans="1:12" ht="9" customHeight="1" x14ac:dyDescent="0.25">
      <c r="A746" s="263" t="s">
        <v>35</v>
      </c>
      <c r="B746" s="326">
        <f t="shared" si="61"/>
        <v>35319</v>
      </c>
      <c r="C746" s="326"/>
      <c r="D746" s="326">
        <f t="shared" si="60"/>
        <v>20625</v>
      </c>
      <c r="E746" s="326">
        <v>7096</v>
      </c>
      <c r="F746" s="326">
        <v>8156</v>
      </c>
      <c r="G746" s="326">
        <v>1806</v>
      </c>
      <c r="H746" s="266">
        <v>3567</v>
      </c>
      <c r="I746" s="326">
        <v>14694</v>
      </c>
      <c r="K746" s="326"/>
      <c r="L746" s="335"/>
    </row>
    <row r="747" spans="1:12" ht="9" customHeight="1" x14ac:dyDescent="0.25">
      <c r="A747" s="263" t="s">
        <v>36</v>
      </c>
      <c r="B747" s="326">
        <f t="shared" si="61"/>
        <v>63580</v>
      </c>
      <c r="C747" s="326"/>
      <c r="D747" s="326">
        <f t="shared" si="60"/>
        <v>31748</v>
      </c>
      <c r="E747" s="326">
        <v>8312</v>
      </c>
      <c r="F747" s="326">
        <v>14520</v>
      </c>
      <c r="G747" s="326">
        <v>4155</v>
      </c>
      <c r="H747" s="266">
        <v>4761</v>
      </c>
      <c r="I747" s="326">
        <v>31832</v>
      </c>
      <c r="K747" s="326"/>
      <c r="L747" s="335"/>
    </row>
    <row r="748" spans="1:12" ht="9" customHeight="1" x14ac:dyDescent="0.25">
      <c r="A748" s="267" t="s">
        <v>37</v>
      </c>
      <c r="B748" s="328">
        <f t="shared" si="61"/>
        <v>17887</v>
      </c>
      <c r="C748" s="328"/>
      <c r="D748" s="328">
        <f t="shared" si="60"/>
        <v>9699</v>
      </c>
      <c r="E748" s="328">
        <v>3475</v>
      </c>
      <c r="F748" s="328">
        <v>3486</v>
      </c>
      <c r="G748" s="328">
        <v>654</v>
      </c>
      <c r="H748" s="268">
        <v>2084</v>
      </c>
      <c r="I748" s="328">
        <v>8188</v>
      </c>
      <c r="K748" s="326"/>
      <c r="L748" s="335"/>
    </row>
    <row r="749" spans="1:12" ht="9" customHeight="1" x14ac:dyDescent="0.25">
      <c r="A749" s="263" t="s">
        <v>38</v>
      </c>
      <c r="B749" s="326">
        <f t="shared" si="61"/>
        <v>8545</v>
      </c>
      <c r="C749" s="326"/>
      <c r="D749" s="326">
        <f t="shared" si="60"/>
        <v>4781</v>
      </c>
      <c r="E749" s="326">
        <v>1347</v>
      </c>
      <c r="F749" s="326">
        <v>2012</v>
      </c>
      <c r="G749" s="326">
        <v>593</v>
      </c>
      <c r="H749" s="266">
        <v>829</v>
      </c>
      <c r="I749" s="326">
        <v>3764</v>
      </c>
      <c r="K749" s="326"/>
      <c r="L749" s="335"/>
    </row>
    <row r="750" spans="1:12" ht="9" customHeight="1" x14ac:dyDescent="0.25">
      <c r="A750" s="263" t="s">
        <v>39</v>
      </c>
      <c r="B750" s="326">
        <f t="shared" si="61"/>
        <v>6058</v>
      </c>
      <c r="C750" s="326"/>
      <c r="D750" s="326">
        <f t="shared" si="60"/>
        <v>3341</v>
      </c>
      <c r="E750" s="326">
        <v>888</v>
      </c>
      <c r="F750" s="326">
        <v>1455</v>
      </c>
      <c r="G750" s="326">
        <v>437</v>
      </c>
      <c r="H750" s="266">
        <v>561</v>
      </c>
      <c r="I750" s="326">
        <v>2717</v>
      </c>
      <c r="K750" s="326"/>
      <c r="L750" s="335"/>
    </row>
    <row r="751" spans="1:12" ht="9" customHeight="1" x14ac:dyDescent="0.25">
      <c r="A751" s="263" t="s">
        <v>40</v>
      </c>
      <c r="B751" s="326">
        <f t="shared" si="61"/>
        <v>23236</v>
      </c>
      <c r="C751" s="326"/>
      <c r="D751" s="326">
        <f t="shared" si="60"/>
        <v>12614</v>
      </c>
      <c r="E751" s="326">
        <v>4000</v>
      </c>
      <c r="F751" s="326">
        <v>5036</v>
      </c>
      <c r="G751" s="326">
        <v>1788</v>
      </c>
      <c r="H751" s="266">
        <v>1790</v>
      </c>
      <c r="I751" s="326">
        <v>10622</v>
      </c>
      <c r="K751" s="326"/>
      <c r="L751" s="335"/>
    </row>
    <row r="752" spans="1:12" ht="9" customHeight="1" x14ac:dyDescent="0.25">
      <c r="A752" s="267" t="s">
        <v>41</v>
      </c>
      <c r="B752" s="328">
        <f t="shared" si="61"/>
        <v>15044</v>
      </c>
      <c r="C752" s="328"/>
      <c r="D752" s="328">
        <f t="shared" si="60"/>
        <v>8601</v>
      </c>
      <c r="E752" s="328">
        <v>2948</v>
      </c>
      <c r="F752" s="328">
        <v>4232</v>
      </c>
      <c r="G752" s="328">
        <v>592</v>
      </c>
      <c r="H752" s="268">
        <v>829</v>
      </c>
      <c r="I752" s="328">
        <v>6443</v>
      </c>
      <c r="K752" s="326"/>
      <c r="L752" s="335"/>
    </row>
    <row r="753" spans="1:12" ht="9" customHeight="1" x14ac:dyDescent="0.25">
      <c r="A753" s="263" t="s">
        <v>42</v>
      </c>
      <c r="B753" s="326">
        <f t="shared" si="61"/>
        <v>23503</v>
      </c>
      <c r="C753" s="326"/>
      <c r="D753" s="326">
        <f t="shared" si="60"/>
        <v>12759</v>
      </c>
      <c r="E753" s="326">
        <v>5194</v>
      </c>
      <c r="F753" s="326">
        <v>4369</v>
      </c>
      <c r="G753" s="326">
        <v>1075</v>
      </c>
      <c r="H753" s="266">
        <v>2121</v>
      </c>
      <c r="I753" s="326">
        <v>10744</v>
      </c>
      <c r="K753" s="326"/>
      <c r="L753" s="335"/>
    </row>
    <row r="754" spans="1:12" ht="9" customHeight="1" x14ac:dyDescent="0.25">
      <c r="A754" s="263" t="s">
        <v>43</v>
      </c>
      <c r="B754" s="326">
        <f>SUM(D754,I754)</f>
        <v>7161</v>
      </c>
      <c r="C754" s="326"/>
      <c r="D754" s="326">
        <f t="shared" si="60"/>
        <v>4068</v>
      </c>
      <c r="E754" s="326">
        <v>1675</v>
      </c>
      <c r="F754" s="326">
        <v>1516</v>
      </c>
      <c r="G754" s="326">
        <v>440</v>
      </c>
      <c r="H754" s="266">
        <v>437</v>
      </c>
      <c r="I754" s="326">
        <v>3093</v>
      </c>
      <c r="K754" s="326"/>
      <c r="L754" s="335"/>
    </row>
    <row r="755" spans="1:12" ht="9" customHeight="1" x14ac:dyDescent="0.25">
      <c r="A755" s="263" t="s">
        <v>44</v>
      </c>
      <c r="B755" s="326">
        <f t="shared" ref="B755:B764" si="62">SUM(D755,I755)</f>
        <v>6728</v>
      </c>
      <c r="C755" s="326"/>
      <c r="D755" s="326">
        <f t="shared" si="60"/>
        <v>3566</v>
      </c>
      <c r="E755" s="326">
        <v>1168</v>
      </c>
      <c r="F755" s="326">
        <v>1776</v>
      </c>
      <c r="G755" s="326">
        <v>256</v>
      </c>
      <c r="H755" s="266">
        <v>366</v>
      </c>
      <c r="I755" s="326">
        <v>3162</v>
      </c>
      <c r="K755" s="326"/>
      <c r="L755" s="335"/>
    </row>
    <row r="756" spans="1:12" ht="9" customHeight="1" x14ac:dyDescent="0.25">
      <c r="A756" s="267" t="s">
        <v>45</v>
      </c>
      <c r="B756" s="328">
        <f t="shared" si="62"/>
        <v>9880</v>
      </c>
      <c r="C756" s="328"/>
      <c r="D756" s="328">
        <f t="shared" si="60"/>
        <v>5752</v>
      </c>
      <c r="E756" s="328">
        <v>1898</v>
      </c>
      <c r="F756" s="328">
        <v>2875</v>
      </c>
      <c r="G756" s="328">
        <v>439</v>
      </c>
      <c r="H756" s="268">
        <v>540</v>
      </c>
      <c r="I756" s="328">
        <v>4128</v>
      </c>
      <c r="K756" s="326"/>
      <c r="L756" s="335"/>
    </row>
    <row r="757" spans="1:12" ht="9" customHeight="1" x14ac:dyDescent="0.25">
      <c r="A757" s="263" t="s">
        <v>46</v>
      </c>
      <c r="B757" s="326">
        <f t="shared" si="62"/>
        <v>14516</v>
      </c>
      <c r="C757" s="326"/>
      <c r="D757" s="326">
        <f t="shared" si="60"/>
        <v>7859</v>
      </c>
      <c r="E757" s="326">
        <v>2602</v>
      </c>
      <c r="F757" s="326">
        <v>3666</v>
      </c>
      <c r="G757" s="326">
        <v>668</v>
      </c>
      <c r="H757" s="266">
        <v>923</v>
      </c>
      <c r="I757" s="326">
        <v>6657</v>
      </c>
      <c r="K757" s="326"/>
      <c r="L757" s="335"/>
    </row>
    <row r="758" spans="1:12" ht="9" customHeight="1" x14ac:dyDescent="0.25">
      <c r="A758" s="263" t="s">
        <v>47</v>
      </c>
      <c r="B758" s="326">
        <f t="shared" si="62"/>
        <v>16613</v>
      </c>
      <c r="C758" s="326"/>
      <c r="D758" s="326">
        <f t="shared" si="60"/>
        <v>8697</v>
      </c>
      <c r="E758" s="326">
        <v>2287</v>
      </c>
      <c r="F758" s="326">
        <v>4207</v>
      </c>
      <c r="G758" s="326">
        <v>1028</v>
      </c>
      <c r="H758" s="266">
        <v>1175</v>
      </c>
      <c r="I758" s="326">
        <v>7916</v>
      </c>
      <c r="K758" s="326"/>
      <c r="L758" s="335"/>
    </row>
    <row r="759" spans="1:12" ht="9" customHeight="1" x14ac:dyDescent="0.25">
      <c r="A759" s="263" t="s">
        <v>48</v>
      </c>
      <c r="B759" s="326">
        <f t="shared" si="62"/>
        <v>13525</v>
      </c>
      <c r="C759" s="326"/>
      <c r="D759" s="326">
        <f t="shared" si="60"/>
        <v>6112</v>
      </c>
      <c r="E759" s="326">
        <v>2113</v>
      </c>
      <c r="F759" s="326">
        <v>3089</v>
      </c>
      <c r="G759" s="326">
        <v>346</v>
      </c>
      <c r="H759" s="266">
        <v>564</v>
      </c>
      <c r="I759" s="326">
        <v>7413</v>
      </c>
      <c r="K759" s="326"/>
      <c r="L759" s="335"/>
    </row>
    <row r="760" spans="1:12" ht="9" customHeight="1" x14ac:dyDescent="0.25">
      <c r="A760" s="267" t="s">
        <v>49</v>
      </c>
      <c r="B760" s="328">
        <f t="shared" si="62"/>
        <v>20526</v>
      </c>
      <c r="C760" s="328"/>
      <c r="D760" s="328">
        <f t="shared" si="60"/>
        <v>10452</v>
      </c>
      <c r="E760" s="328">
        <v>3232</v>
      </c>
      <c r="F760" s="328">
        <v>3920</v>
      </c>
      <c r="G760" s="328">
        <v>1569</v>
      </c>
      <c r="H760" s="268">
        <v>1731</v>
      </c>
      <c r="I760" s="328">
        <v>10074</v>
      </c>
      <c r="K760" s="326"/>
      <c r="L760" s="335"/>
    </row>
    <row r="761" spans="1:12" ht="9" customHeight="1" x14ac:dyDescent="0.25">
      <c r="A761" s="263" t="s">
        <v>50</v>
      </c>
      <c r="B761" s="326">
        <f t="shared" si="62"/>
        <v>5763</v>
      </c>
      <c r="C761" s="326"/>
      <c r="D761" s="326">
        <f t="shared" si="60"/>
        <v>3108</v>
      </c>
      <c r="E761" s="326">
        <v>996</v>
      </c>
      <c r="F761" s="326">
        <v>1327</v>
      </c>
      <c r="G761" s="326">
        <v>313</v>
      </c>
      <c r="H761" s="266">
        <v>472</v>
      </c>
      <c r="I761" s="326">
        <v>2655</v>
      </c>
      <c r="K761" s="326"/>
      <c r="L761" s="335"/>
    </row>
    <row r="762" spans="1:12" ht="9" customHeight="1" x14ac:dyDescent="0.25">
      <c r="A762" s="263" t="s">
        <v>51</v>
      </c>
      <c r="B762" s="326">
        <f t="shared" si="62"/>
        <v>33845</v>
      </c>
      <c r="C762" s="326"/>
      <c r="D762" s="326">
        <f t="shared" si="60"/>
        <v>17850</v>
      </c>
      <c r="E762" s="326">
        <v>8431</v>
      </c>
      <c r="F762" s="326">
        <v>6597</v>
      </c>
      <c r="G762" s="326">
        <v>1263</v>
      </c>
      <c r="H762" s="266">
        <v>1559</v>
      </c>
      <c r="I762" s="326">
        <v>15995</v>
      </c>
      <c r="K762" s="326"/>
      <c r="L762" s="335"/>
    </row>
    <row r="763" spans="1:12" ht="9" customHeight="1" x14ac:dyDescent="0.25">
      <c r="A763" s="263" t="s">
        <v>52</v>
      </c>
      <c r="B763" s="326">
        <f t="shared" si="62"/>
        <v>12399</v>
      </c>
      <c r="C763" s="326"/>
      <c r="D763" s="326">
        <f t="shared" si="60"/>
        <v>6902</v>
      </c>
      <c r="E763" s="326">
        <v>2601</v>
      </c>
      <c r="F763" s="326">
        <v>2642</v>
      </c>
      <c r="G763" s="326">
        <v>829</v>
      </c>
      <c r="H763" s="266">
        <v>830</v>
      </c>
      <c r="I763" s="326">
        <v>5497</v>
      </c>
      <c r="K763" s="326"/>
      <c r="L763" s="335"/>
    </row>
    <row r="764" spans="1:12" ht="9" customHeight="1" x14ac:dyDescent="0.25">
      <c r="A764" s="267" t="s">
        <v>53</v>
      </c>
      <c r="B764" s="328">
        <f t="shared" si="62"/>
        <v>7607</v>
      </c>
      <c r="C764" s="328"/>
      <c r="D764" s="328">
        <f t="shared" si="60"/>
        <v>4413</v>
      </c>
      <c r="E764" s="328">
        <v>1769</v>
      </c>
      <c r="F764" s="328">
        <v>1774</v>
      </c>
      <c r="G764" s="328">
        <v>258</v>
      </c>
      <c r="H764" s="268">
        <v>612</v>
      </c>
      <c r="I764" s="328">
        <v>3194</v>
      </c>
      <c r="K764" s="326"/>
      <c r="L764" s="335"/>
    </row>
    <row r="765" spans="1:12" s="263" customFormat="1" ht="9" customHeight="1" x14ac:dyDescent="0.25">
      <c r="A765" s="264"/>
      <c r="B765" s="325"/>
      <c r="C765" s="325"/>
      <c r="D765" s="325"/>
      <c r="E765" s="325"/>
      <c r="F765" s="325"/>
      <c r="G765" s="325"/>
      <c r="H765" s="325"/>
      <c r="I765" s="325"/>
      <c r="K765" s="326"/>
    </row>
    <row r="766" spans="1:12" ht="9" customHeight="1" x14ac:dyDescent="0.25">
      <c r="A766" s="261">
        <v>2016</v>
      </c>
      <c r="B766" s="323"/>
      <c r="C766" s="323"/>
      <c r="D766" s="262"/>
      <c r="E766" s="271"/>
      <c r="F766" s="271"/>
      <c r="G766" s="271"/>
      <c r="H766" s="271"/>
      <c r="I766" s="271"/>
      <c r="K766" s="326"/>
    </row>
    <row r="767" spans="1:12" ht="9" customHeight="1" x14ac:dyDescent="0.25">
      <c r="A767" s="264" t="s">
        <v>21</v>
      </c>
      <c r="B767" s="325">
        <f>SUM(B769:B800)</f>
        <v>660999</v>
      </c>
      <c r="C767" s="331"/>
      <c r="D767" s="325">
        <f t="shared" ref="D767:I767" si="63">SUM(D769:D800)</f>
        <v>328473</v>
      </c>
      <c r="E767" s="325">
        <f t="shared" si="63"/>
        <v>102912</v>
      </c>
      <c r="F767" s="325">
        <f t="shared" si="63"/>
        <v>146843</v>
      </c>
      <c r="G767" s="325">
        <f t="shared" si="63"/>
        <v>33729</v>
      </c>
      <c r="H767" s="325">
        <f t="shared" si="63"/>
        <v>44989</v>
      </c>
      <c r="I767" s="325">
        <f t="shared" si="63"/>
        <v>332526</v>
      </c>
      <c r="K767" s="326"/>
      <c r="L767" s="335"/>
    </row>
    <row r="768" spans="1:12" ht="3" customHeight="1" x14ac:dyDescent="0.25">
      <c r="A768" s="264"/>
      <c r="B768" s="325"/>
      <c r="C768" s="325"/>
      <c r="D768" s="325"/>
      <c r="E768" s="325"/>
      <c r="F768" s="325"/>
      <c r="G768" s="325"/>
      <c r="H768" s="325"/>
      <c r="I768" s="325"/>
      <c r="K768" s="326"/>
    </row>
    <row r="769" spans="1:12" ht="9" customHeight="1" x14ac:dyDescent="0.25">
      <c r="A769" s="263" t="s">
        <v>23</v>
      </c>
      <c r="B769" s="326">
        <f>SUM(D769,I769)</f>
        <v>8273</v>
      </c>
      <c r="C769" s="326"/>
      <c r="D769" s="326">
        <f t="shared" ref="D769:D800" si="64">SUM(E769:H769)</f>
        <v>3892</v>
      </c>
      <c r="E769" s="326">
        <v>1146</v>
      </c>
      <c r="F769" s="326">
        <v>1699</v>
      </c>
      <c r="G769" s="326">
        <v>349</v>
      </c>
      <c r="H769" s="266">
        <v>698</v>
      </c>
      <c r="I769" s="326">
        <v>4381</v>
      </c>
      <c r="K769" s="326"/>
      <c r="L769" s="335"/>
    </row>
    <row r="770" spans="1:12" ht="9" customHeight="1" x14ac:dyDescent="0.25">
      <c r="A770" s="263" t="s">
        <v>24</v>
      </c>
      <c r="B770" s="326">
        <f t="shared" ref="B770:B789" si="65">SUM(D770,I770)</f>
        <v>15535</v>
      </c>
      <c r="C770" s="326"/>
      <c r="D770" s="326">
        <f t="shared" si="64"/>
        <v>7686</v>
      </c>
      <c r="E770" s="326">
        <v>2367</v>
      </c>
      <c r="F770" s="326">
        <v>3523</v>
      </c>
      <c r="G770" s="326">
        <v>739</v>
      </c>
      <c r="H770" s="266">
        <v>1057</v>
      </c>
      <c r="I770" s="326">
        <v>7849</v>
      </c>
      <c r="K770" s="326"/>
      <c r="L770" s="335"/>
    </row>
    <row r="771" spans="1:12" ht="9" customHeight="1" x14ac:dyDescent="0.25">
      <c r="A771" s="263" t="s">
        <v>25</v>
      </c>
      <c r="B771" s="326">
        <f t="shared" si="65"/>
        <v>5427</v>
      </c>
      <c r="C771" s="326"/>
      <c r="D771" s="326">
        <f t="shared" si="64"/>
        <v>2503</v>
      </c>
      <c r="E771" s="326">
        <v>925</v>
      </c>
      <c r="F771" s="326">
        <v>1241</v>
      </c>
      <c r="G771" s="326">
        <v>141</v>
      </c>
      <c r="H771" s="266">
        <v>196</v>
      </c>
      <c r="I771" s="326">
        <v>2924</v>
      </c>
      <c r="K771" s="326"/>
      <c r="L771" s="335"/>
    </row>
    <row r="772" spans="1:12" ht="9" customHeight="1" x14ac:dyDescent="0.25">
      <c r="A772" s="267" t="s">
        <v>26</v>
      </c>
      <c r="B772" s="328">
        <f t="shared" si="65"/>
        <v>5749</v>
      </c>
      <c r="C772" s="328"/>
      <c r="D772" s="328">
        <f t="shared" si="64"/>
        <v>2812</v>
      </c>
      <c r="E772" s="328">
        <v>993</v>
      </c>
      <c r="F772" s="328">
        <v>1285</v>
      </c>
      <c r="G772" s="328">
        <v>247</v>
      </c>
      <c r="H772" s="268">
        <v>287</v>
      </c>
      <c r="I772" s="328">
        <v>2937</v>
      </c>
      <c r="K772" s="326"/>
      <c r="L772" s="335"/>
    </row>
    <row r="773" spans="1:12" ht="9" customHeight="1" x14ac:dyDescent="0.25">
      <c r="A773" s="263" t="s">
        <v>27</v>
      </c>
      <c r="B773" s="326">
        <f t="shared" si="65"/>
        <v>17772</v>
      </c>
      <c r="C773" s="326"/>
      <c r="D773" s="326">
        <f t="shared" si="64"/>
        <v>9022</v>
      </c>
      <c r="E773" s="326">
        <v>2577</v>
      </c>
      <c r="F773" s="326">
        <v>3725</v>
      </c>
      <c r="G773" s="326">
        <v>1117</v>
      </c>
      <c r="H773" s="266">
        <v>1603</v>
      </c>
      <c r="I773" s="326">
        <v>8750</v>
      </c>
      <c r="K773" s="326"/>
      <c r="L773" s="335"/>
    </row>
    <row r="774" spans="1:12" ht="9" customHeight="1" x14ac:dyDescent="0.25">
      <c r="A774" s="263" t="s">
        <v>28</v>
      </c>
      <c r="B774" s="326">
        <f t="shared" si="65"/>
        <v>4596</v>
      </c>
      <c r="C774" s="326"/>
      <c r="D774" s="326">
        <f t="shared" si="64"/>
        <v>2348</v>
      </c>
      <c r="E774" s="326">
        <v>627</v>
      </c>
      <c r="F774" s="326">
        <v>1054</v>
      </c>
      <c r="G774" s="326">
        <v>239</v>
      </c>
      <c r="H774" s="266">
        <v>428</v>
      </c>
      <c r="I774" s="326">
        <v>2248</v>
      </c>
      <c r="K774" s="326"/>
      <c r="L774" s="335"/>
    </row>
    <row r="775" spans="1:12" ht="9" customHeight="1" x14ac:dyDescent="0.25">
      <c r="A775" s="263" t="s">
        <v>29</v>
      </c>
      <c r="B775" s="326">
        <f t="shared" si="65"/>
        <v>23060</v>
      </c>
      <c r="C775" s="326"/>
      <c r="D775" s="326">
        <f t="shared" si="64"/>
        <v>12688</v>
      </c>
      <c r="E775" s="326">
        <v>3733</v>
      </c>
      <c r="F775" s="326">
        <v>6507</v>
      </c>
      <c r="G775" s="326">
        <v>643</v>
      </c>
      <c r="H775" s="266">
        <v>1805</v>
      </c>
      <c r="I775" s="326">
        <v>10372</v>
      </c>
      <c r="K775" s="326"/>
      <c r="L775" s="335"/>
    </row>
    <row r="776" spans="1:12" ht="9" customHeight="1" x14ac:dyDescent="0.25">
      <c r="A776" s="267" t="s">
        <v>30</v>
      </c>
      <c r="B776" s="328">
        <f t="shared" si="65"/>
        <v>21186</v>
      </c>
      <c r="C776" s="328"/>
      <c r="D776" s="328">
        <f t="shared" si="64"/>
        <v>10817</v>
      </c>
      <c r="E776" s="328">
        <v>3697</v>
      </c>
      <c r="F776" s="328">
        <v>4838</v>
      </c>
      <c r="G776" s="328">
        <v>687</v>
      </c>
      <c r="H776" s="268">
        <v>1595</v>
      </c>
      <c r="I776" s="328">
        <v>10369</v>
      </c>
      <c r="K776" s="326"/>
      <c r="L776" s="335"/>
    </row>
    <row r="777" spans="1:12" ht="9" customHeight="1" x14ac:dyDescent="0.25">
      <c r="A777" s="263" t="s">
        <v>63</v>
      </c>
      <c r="B777" s="326">
        <f t="shared" si="65"/>
        <v>114913</v>
      </c>
      <c r="C777" s="326"/>
      <c r="D777" s="326">
        <f t="shared" si="64"/>
        <v>51364</v>
      </c>
      <c r="E777" s="326">
        <v>12471</v>
      </c>
      <c r="F777" s="326">
        <v>26624</v>
      </c>
      <c r="G777" s="326">
        <v>7948</v>
      </c>
      <c r="H777" s="266">
        <v>4321</v>
      </c>
      <c r="I777" s="326">
        <v>63549</v>
      </c>
      <c r="K777" s="326"/>
      <c r="L777" s="335"/>
    </row>
    <row r="778" spans="1:12" ht="9" customHeight="1" x14ac:dyDescent="0.25">
      <c r="A778" s="263" t="s">
        <v>31</v>
      </c>
      <c r="B778" s="326">
        <f t="shared" si="65"/>
        <v>9373</v>
      </c>
      <c r="C778" s="326"/>
      <c r="D778" s="326">
        <f t="shared" si="64"/>
        <v>4667</v>
      </c>
      <c r="E778" s="326">
        <v>1558</v>
      </c>
      <c r="F778" s="326">
        <v>2162</v>
      </c>
      <c r="G778" s="326">
        <v>531</v>
      </c>
      <c r="H778" s="266">
        <v>416</v>
      </c>
      <c r="I778" s="326">
        <v>4706</v>
      </c>
      <c r="K778" s="326"/>
      <c r="L778" s="335"/>
    </row>
    <row r="779" spans="1:12" ht="9" customHeight="1" x14ac:dyDescent="0.25">
      <c r="A779" s="263" t="s">
        <v>32</v>
      </c>
      <c r="B779" s="326">
        <f t="shared" si="65"/>
        <v>25173</v>
      </c>
      <c r="C779" s="326"/>
      <c r="D779" s="326">
        <f t="shared" si="64"/>
        <v>13959</v>
      </c>
      <c r="E779" s="326">
        <v>4284</v>
      </c>
      <c r="F779" s="326">
        <v>6588</v>
      </c>
      <c r="G779" s="326">
        <v>1024</v>
      </c>
      <c r="H779" s="266">
        <v>2063</v>
      </c>
      <c r="I779" s="326">
        <v>11214</v>
      </c>
      <c r="K779" s="326"/>
      <c r="L779" s="335"/>
    </row>
    <row r="780" spans="1:12" ht="9" customHeight="1" x14ac:dyDescent="0.25">
      <c r="A780" s="267" t="s">
        <v>33</v>
      </c>
      <c r="B780" s="328">
        <f t="shared" si="65"/>
        <v>17311</v>
      </c>
      <c r="C780" s="328"/>
      <c r="D780" s="328">
        <f t="shared" si="64"/>
        <v>8922</v>
      </c>
      <c r="E780" s="328">
        <v>2239</v>
      </c>
      <c r="F780" s="328">
        <v>4819</v>
      </c>
      <c r="G780" s="328">
        <v>706</v>
      </c>
      <c r="H780" s="268">
        <v>1158</v>
      </c>
      <c r="I780" s="328">
        <v>8389</v>
      </c>
      <c r="K780" s="326"/>
      <c r="L780" s="335"/>
    </row>
    <row r="781" spans="1:12" ht="9" customHeight="1" x14ac:dyDescent="0.25">
      <c r="A781" s="263" t="s">
        <v>34</v>
      </c>
      <c r="B781" s="326">
        <f t="shared" si="65"/>
        <v>12647</v>
      </c>
      <c r="C781" s="326"/>
      <c r="D781" s="326">
        <f t="shared" si="64"/>
        <v>6756</v>
      </c>
      <c r="E781" s="326">
        <v>2565</v>
      </c>
      <c r="F781" s="326">
        <v>2610</v>
      </c>
      <c r="G781" s="326">
        <v>345</v>
      </c>
      <c r="H781" s="266">
        <v>1236</v>
      </c>
      <c r="I781" s="326">
        <v>5891</v>
      </c>
      <c r="K781" s="326"/>
      <c r="L781" s="335"/>
    </row>
    <row r="782" spans="1:12" ht="9" customHeight="1" x14ac:dyDescent="0.25">
      <c r="A782" s="263" t="s">
        <v>35</v>
      </c>
      <c r="B782" s="326">
        <f t="shared" si="65"/>
        <v>38989</v>
      </c>
      <c r="C782" s="326"/>
      <c r="D782" s="326">
        <f t="shared" si="64"/>
        <v>20523</v>
      </c>
      <c r="E782" s="326">
        <v>7126</v>
      </c>
      <c r="F782" s="326">
        <v>7916</v>
      </c>
      <c r="G782" s="326">
        <v>1789</v>
      </c>
      <c r="H782" s="266">
        <v>3692</v>
      </c>
      <c r="I782" s="326">
        <v>18466</v>
      </c>
      <c r="K782" s="326"/>
      <c r="L782" s="335"/>
    </row>
    <row r="783" spans="1:12" ht="9" customHeight="1" x14ac:dyDescent="0.25">
      <c r="A783" s="263" t="s">
        <v>36</v>
      </c>
      <c r="B783" s="326">
        <f t="shared" si="65"/>
        <v>72451</v>
      </c>
      <c r="C783" s="326"/>
      <c r="D783" s="326">
        <f t="shared" si="64"/>
        <v>34414</v>
      </c>
      <c r="E783" s="326">
        <v>8429</v>
      </c>
      <c r="F783" s="326">
        <v>15992</v>
      </c>
      <c r="G783" s="326">
        <v>4610</v>
      </c>
      <c r="H783" s="266">
        <v>5383</v>
      </c>
      <c r="I783" s="326">
        <v>38037</v>
      </c>
      <c r="K783" s="326"/>
      <c r="L783" s="335"/>
    </row>
    <row r="784" spans="1:12" ht="9" customHeight="1" x14ac:dyDescent="0.25">
      <c r="A784" s="267" t="s">
        <v>37</v>
      </c>
      <c r="B784" s="328">
        <f t="shared" si="65"/>
        <v>19397</v>
      </c>
      <c r="C784" s="328"/>
      <c r="D784" s="328">
        <f t="shared" si="64"/>
        <v>9641</v>
      </c>
      <c r="E784" s="328">
        <v>3498</v>
      </c>
      <c r="F784" s="328">
        <v>3615</v>
      </c>
      <c r="G784" s="328">
        <v>523</v>
      </c>
      <c r="H784" s="268">
        <v>2005</v>
      </c>
      <c r="I784" s="328">
        <v>9756</v>
      </c>
      <c r="K784" s="326"/>
      <c r="L784" s="335"/>
    </row>
    <row r="785" spans="1:12" ht="9" customHeight="1" x14ac:dyDescent="0.25">
      <c r="A785" s="263" t="s">
        <v>38</v>
      </c>
      <c r="B785" s="326">
        <f t="shared" si="65"/>
        <v>9475</v>
      </c>
      <c r="C785" s="326"/>
      <c r="D785" s="326">
        <f t="shared" si="64"/>
        <v>4884</v>
      </c>
      <c r="E785" s="326">
        <v>1332</v>
      </c>
      <c r="F785" s="326">
        <v>1986</v>
      </c>
      <c r="G785" s="326">
        <v>618</v>
      </c>
      <c r="H785" s="266">
        <v>948</v>
      </c>
      <c r="I785" s="326">
        <v>4591</v>
      </c>
      <c r="K785" s="326"/>
      <c r="L785" s="335"/>
    </row>
    <row r="786" spans="1:12" ht="9" customHeight="1" x14ac:dyDescent="0.25">
      <c r="A786" s="263" t="s">
        <v>39</v>
      </c>
      <c r="B786" s="326">
        <f t="shared" si="65"/>
        <v>6707</v>
      </c>
      <c r="C786" s="326"/>
      <c r="D786" s="326">
        <f t="shared" si="64"/>
        <v>3477</v>
      </c>
      <c r="E786" s="326">
        <v>968</v>
      </c>
      <c r="F786" s="326">
        <v>1512</v>
      </c>
      <c r="G786" s="326">
        <v>429</v>
      </c>
      <c r="H786" s="266">
        <v>568</v>
      </c>
      <c r="I786" s="326">
        <v>3230</v>
      </c>
      <c r="K786" s="326"/>
      <c r="L786" s="335"/>
    </row>
    <row r="787" spans="1:12" ht="9" customHeight="1" x14ac:dyDescent="0.25">
      <c r="A787" s="263" t="s">
        <v>40</v>
      </c>
      <c r="B787" s="326">
        <f t="shared" si="65"/>
        <v>27569</v>
      </c>
      <c r="C787" s="326"/>
      <c r="D787" s="326">
        <f t="shared" si="64"/>
        <v>13555</v>
      </c>
      <c r="E787" s="326">
        <v>4139</v>
      </c>
      <c r="F787" s="326">
        <v>5788</v>
      </c>
      <c r="G787" s="326">
        <v>1849</v>
      </c>
      <c r="H787" s="266">
        <v>1779</v>
      </c>
      <c r="I787" s="326">
        <v>14014</v>
      </c>
      <c r="K787" s="326"/>
      <c r="L787" s="335"/>
    </row>
    <row r="788" spans="1:12" ht="9" customHeight="1" x14ac:dyDescent="0.25">
      <c r="A788" s="267" t="s">
        <v>41</v>
      </c>
      <c r="B788" s="328">
        <f t="shared" si="65"/>
        <v>16381</v>
      </c>
      <c r="C788" s="328"/>
      <c r="D788" s="328">
        <f t="shared" si="64"/>
        <v>9112</v>
      </c>
      <c r="E788" s="328">
        <v>2861</v>
      </c>
      <c r="F788" s="328">
        <v>4577</v>
      </c>
      <c r="G788" s="328">
        <v>606</v>
      </c>
      <c r="H788" s="268">
        <v>1068</v>
      </c>
      <c r="I788" s="328">
        <v>7269</v>
      </c>
      <c r="K788" s="326"/>
      <c r="L788" s="335"/>
    </row>
    <row r="789" spans="1:12" ht="9" customHeight="1" x14ac:dyDescent="0.25">
      <c r="A789" s="263" t="s">
        <v>42</v>
      </c>
      <c r="B789" s="326">
        <f t="shared" si="65"/>
        <v>25747</v>
      </c>
      <c r="C789" s="326"/>
      <c r="D789" s="326">
        <f t="shared" si="64"/>
        <v>13346</v>
      </c>
      <c r="E789" s="326">
        <v>5504</v>
      </c>
      <c r="F789" s="326">
        <v>4581</v>
      </c>
      <c r="G789" s="326">
        <v>1146</v>
      </c>
      <c r="H789" s="266">
        <v>2115</v>
      </c>
      <c r="I789" s="326">
        <v>12401</v>
      </c>
      <c r="K789" s="326"/>
      <c r="L789" s="335"/>
    </row>
    <row r="790" spans="1:12" ht="9" customHeight="1" x14ac:dyDescent="0.25">
      <c r="A790" s="263" t="s">
        <v>43</v>
      </c>
      <c r="B790" s="326">
        <f>SUM(D790,I790)</f>
        <v>8208</v>
      </c>
      <c r="C790" s="326"/>
      <c r="D790" s="326">
        <f t="shared" si="64"/>
        <v>4249</v>
      </c>
      <c r="E790" s="326">
        <v>1638</v>
      </c>
      <c r="F790" s="326">
        <v>1726</v>
      </c>
      <c r="G790" s="326">
        <v>447</v>
      </c>
      <c r="H790" s="266">
        <v>438</v>
      </c>
      <c r="I790" s="326">
        <v>3959</v>
      </c>
      <c r="K790" s="326"/>
      <c r="L790" s="335"/>
    </row>
    <row r="791" spans="1:12" ht="9" customHeight="1" x14ac:dyDescent="0.25">
      <c r="A791" s="263" t="s">
        <v>44</v>
      </c>
      <c r="B791" s="326">
        <f t="shared" ref="B791:B800" si="66">SUM(D791,I791)</f>
        <v>7641</v>
      </c>
      <c r="C791" s="326"/>
      <c r="D791" s="326">
        <f t="shared" si="64"/>
        <v>3743</v>
      </c>
      <c r="E791" s="326">
        <v>1186</v>
      </c>
      <c r="F791" s="326">
        <v>1811</v>
      </c>
      <c r="G791" s="326">
        <v>267</v>
      </c>
      <c r="H791" s="266">
        <v>479</v>
      </c>
      <c r="I791" s="326">
        <v>3898</v>
      </c>
      <c r="K791" s="326"/>
      <c r="L791" s="335"/>
    </row>
    <row r="792" spans="1:12" ht="9" customHeight="1" x14ac:dyDescent="0.25">
      <c r="A792" s="267" t="s">
        <v>45</v>
      </c>
      <c r="B792" s="328">
        <f t="shared" si="66"/>
        <v>12156</v>
      </c>
      <c r="C792" s="328"/>
      <c r="D792" s="328">
        <f t="shared" si="64"/>
        <v>6633</v>
      </c>
      <c r="E792" s="328">
        <v>2376</v>
      </c>
      <c r="F792" s="328">
        <v>3001</v>
      </c>
      <c r="G792" s="328">
        <v>431</v>
      </c>
      <c r="H792" s="268">
        <v>825</v>
      </c>
      <c r="I792" s="328">
        <v>5523</v>
      </c>
      <c r="K792" s="326"/>
      <c r="L792" s="335"/>
    </row>
    <row r="793" spans="1:12" ht="9" customHeight="1" x14ac:dyDescent="0.25">
      <c r="A793" s="263" t="s">
        <v>46</v>
      </c>
      <c r="B793" s="326">
        <f t="shared" si="66"/>
        <v>16155</v>
      </c>
      <c r="C793" s="326"/>
      <c r="D793" s="326">
        <f t="shared" si="64"/>
        <v>8187</v>
      </c>
      <c r="E793" s="326">
        <v>2734</v>
      </c>
      <c r="F793" s="326">
        <v>3664</v>
      </c>
      <c r="G793" s="326">
        <v>696</v>
      </c>
      <c r="H793" s="266">
        <v>1093</v>
      </c>
      <c r="I793" s="326">
        <v>7968</v>
      </c>
      <c r="K793" s="326"/>
      <c r="L793" s="335"/>
    </row>
    <row r="794" spans="1:12" ht="9" customHeight="1" x14ac:dyDescent="0.25">
      <c r="A794" s="263" t="s">
        <v>47</v>
      </c>
      <c r="B794" s="326">
        <f t="shared" si="66"/>
        <v>18501</v>
      </c>
      <c r="C794" s="326"/>
      <c r="D794" s="326">
        <f t="shared" si="64"/>
        <v>9072</v>
      </c>
      <c r="E794" s="326">
        <v>2498</v>
      </c>
      <c r="F794" s="326">
        <v>4353</v>
      </c>
      <c r="G794" s="326">
        <v>997</v>
      </c>
      <c r="H794" s="266">
        <v>1224</v>
      </c>
      <c r="I794" s="326">
        <v>9429</v>
      </c>
      <c r="K794" s="326"/>
      <c r="L794" s="335"/>
    </row>
    <row r="795" spans="1:12" ht="9" customHeight="1" x14ac:dyDescent="0.25">
      <c r="A795" s="263" t="s">
        <v>48</v>
      </c>
      <c r="B795" s="326">
        <f t="shared" si="66"/>
        <v>14089</v>
      </c>
      <c r="C795" s="326"/>
      <c r="D795" s="326">
        <f t="shared" si="64"/>
        <v>6303</v>
      </c>
      <c r="E795" s="326">
        <v>2121</v>
      </c>
      <c r="F795" s="326">
        <v>3138</v>
      </c>
      <c r="G795" s="326">
        <v>381</v>
      </c>
      <c r="H795" s="266">
        <v>663</v>
      </c>
      <c r="I795" s="326">
        <v>7786</v>
      </c>
      <c r="K795" s="326"/>
      <c r="L795" s="335"/>
    </row>
    <row r="796" spans="1:12" ht="9" customHeight="1" x14ac:dyDescent="0.25">
      <c r="A796" s="267" t="s">
        <v>49</v>
      </c>
      <c r="B796" s="328">
        <f t="shared" si="66"/>
        <v>22221</v>
      </c>
      <c r="C796" s="328"/>
      <c r="D796" s="328">
        <f t="shared" si="64"/>
        <v>10667</v>
      </c>
      <c r="E796" s="328">
        <v>3359</v>
      </c>
      <c r="F796" s="328">
        <v>3861</v>
      </c>
      <c r="G796" s="328">
        <v>1629</v>
      </c>
      <c r="H796" s="268">
        <v>1818</v>
      </c>
      <c r="I796" s="328">
        <v>11554</v>
      </c>
      <c r="K796" s="326"/>
      <c r="L796" s="335"/>
    </row>
    <row r="797" spans="1:12" ht="9" customHeight="1" x14ac:dyDescent="0.25">
      <c r="A797" s="263" t="s">
        <v>50</v>
      </c>
      <c r="B797" s="326">
        <f t="shared" si="66"/>
        <v>6285</v>
      </c>
      <c r="C797" s="326"/>
      <c r="D797" s="326">
        <f t="shared" si="64"/>
        <v>3166</v>
      </c>
      <c r="E797" s="326">
        <v>1001</v>
      </c>
      <c r="F797" s="326">
        <v>1369</v>
      </c>
      <c r="G797" s="326">
        <v>310</v>
      </c>
      <c r="H797" s="266">
        <v>486</v>
      </c>
      <c r="I797" s="326">
        <v>3119</v>
      </c>
      <c r="K797" s="326"/>
      <c r="L797" s="335"/>
    </row>
    <row r="798" spans="1:12" ht="9" customHeight="1" x14ac:dyDescent="0.25">
      <c r="A798" s="263" t="s">
        <v>51</v>
      </c>
      <c r="B798" s="326">
        <f t="shared" si="66"/>
        <v>36446</v>
      </c>
      <c r="C798" s="326"/>
      <c r="D798" s="326">
        <f t="shared" si="64"/>
        <v>18473</v>
      </c>
      <c r="E798" s="326">
        <v>8607</v>
      </c>
      <c r="F798" s="326">
        <v>6732</v>
      </c>
      <c r="G798" s="326">
        <v>1225</v>
      </c>
      <c r="H798" s="266">
        <v>1909</v>
      </c>
      <c r="I798" s="326">
        <v>17973</v>
      </c>
      <c r="K798" s="326"/>
      <c r="L798" s="335"/>
    </row>
    <row r="799" spans="1:12" ht="9" customHeight="1" x14ac:dyDescent="0.25">
      <c r="A799" s="263" t="s">
        <v>52</v>
      </c>
      <c r="B799" s="326">
        <f t="shared" si="66"/>
        <v>13528</v>
      </c>
      <c r="C799" s="326"/>
      <c r="D799" s="326">
        <f t="shared" si="64"/>
        <v>7128</v>
      </c>
      <c r="E799" s="326">
        <v>2571</v>
      </c>
      <c r="F799" s="326">
        <v>2684</v>
      </c>
      <c r="G799" s="326">
        <v>819</v>
      </c>
      <c r="H799" s="266">
        <v>1054</v>
      </c>
      <c r="I799" s="326">
        <v>6400</v>
      </c>
      <c r="K799" s="326"/>
      <c r="L799" s="335"/>
    </row>
    <row r="800" spans="1:12" ht="9" customHeight="1" x14ac:dyDescent="0.25">
      <c r="A800" s="267" t="s">
        <v>53</v>
      </c>
      <c r="B800" s="328">
        <f t="shared" si="66"/>
        <v>8038</v>
      </c>
      <c r="C800" s="328"/>
      <c r="D800" s="328">
        <f t="shared" si="64"/>
        <v>4464</v>
      </c>
      <c r="E800" s="328">
        <v>1782</v>
      </c>
      <c r="F800" s="328">
        <v>1862</v>
      </c>
      <c r="G800" s="328">
        <v>241</v>
      </c>
      <c r="H800" s="268">
        <v>579</v>
      </c>
      <c r="I800" s="328">
        <v>3574</v>
      </c>
      <c r="K800" s="326"/>
      <c r="L800" s="335"/>
    </row>
    <row r="801" spans="1:12" s="263" customFormat="1" ht="9" customHeight="1" x14ac:dyDescent="0.25">
      <c r="A801" s="264"/>
      <c r="B801" s="325"/>
      <c r="C801" s="325"/>
      <c r="D801" s="325"/>
      <c r="E801" s="325"/>
      <c r="F801" s="325"/>
      <c r="G801" s="325"/>
      <c r="H801" s="325"/>
      <c r="I801" s="325"/>
      <c r="K801" s="326"/>
    </row>
    <row r="802" spans="1:12" ht="9" customHeight="1" x14ac:dyDescent="0.25">
      <c r="A802" s="261" t="s">
        <v>56</v>
      </c>
      <c r="B802" s="323"/>
      <c r="C802" s="323"/>
      <c r="D802" s="262"/>
      <c r="E802" s="271"/>
      <c r="F802" s="271"/>
      <c r="G802" s="271"/>
      <c r="H802" s="271"/>
      <c r="I802" s="271"/>
      <c r="K802" s="326"/>
    </row>
    <row r="803" spans="1:12" ht="9" customHeight="1" x14ac:dyDescent="0.25">
      <c r="A803" s="264" t="s">
        <v>21</v>
      </c>
      <c r="B803" s="332">
        <f>SUM(B805:B836)</f>
        <v>703275</v>
      </c>
      <c r="C803" s="331"/>
      <c r="D803" s="325">
        <f t="shared" ref="D803:I803" si="67">SUM(D805:D836)</f>
        <v>337176</v>
      </c>
      <c r="E803" s="325">
        <f t="shared" si="67"/>
        <v>105578</v>
      </c>
      <c r="F803" s="325">
        <f t="shared" si="67"/>
        <v>143616</v>
      </c>
      <c r="G803" s="325">
        <f t="shared" si="67"/>
        <v>35498</v>
      </c>
      <c r="H803" s="325">
        <f t="shared" si="67"/>
        <v>52484</v>
      </c>
      <c r="I803" s="325">
        <f t="shared" si="67"/>
        <v>366099</v>
      </c>
      <c r="K803" s="326"/>
      <c r="L803" s="335"/>
    </row>
    <row r="804" spans="1:12" ht="3" customHeight="1" x14ac:dyDescent="0.25">
      <c r="A804" s="264"/>
      <c r="B804" s="325"/>
      <c r="C804" s="325"/>
      <c r="D804" s="325"/>
      <c r="E804" s="325"/>
      <c r="F804" s="325"/>
      <c r="G804" s="325"/>
      <c r="H804" s="325"/>
      <c r="I804" s="325"/>
      <c r="K804" s="326"/>
    </row>
    <row r="805" spans="1:12" ht="9" customHeight="1" x14ac:dyDescent="0.25">
      <c r="A805" s="263" t="s">
        <v>23</v>
      </c>
      <c r="B805" s="326">
        <f>SUM(D805,I805)</f>
        <v>8974</v>
      </c>
      <c r="C805" s="326"/>
      <c r="D805" s="326">
        <f t="shared" ref="D805:D836" si="68">SUM(E805:H805)</f>
        <v>4182</v>
      </c>
      <c r="E805" s="326">
        <v>1240</v>
      </c>
      <c r="F805" s="326">
        <v>1818</v>
      </c>
      <c r="G805" s="326">
        <v>419</v>
      </c>
      <c r="H805" s="266">
        <v>705</v>
      </c>
      <c r="I805" s="326">
        <v>4792</v>
      </c>
      <c r="K805" s="326"/>
      <c r="L805" s="335"/>
    </row>
    <row r="806" spans="1:12" ht="9" customHeight="1" x14ac:dyDescent="0.25">
      <c r="A806" s="263" t="s">
        <v>24</v>
      </c>
      <c r="B806" s="326">
        <f t="shared" ref="B806:B825" si="69">SUM(D806,I806)</f>
        <v>16303</v>
      </c>
      <c r="C806" s="326"/>
      <c r="D806" s="326">
        <f t="shared" si="68"/>
        <v>7914</v>
      </c>
      <c r="E806" s="326">
        <v>2442</v>
      </c>
      <c r="F806" s="326">
        <v>3534</v>
      </c>
      <c r="G806" s="326">
        <v>765</v>
      </c>
      <c r="H806" s="266">
        <v>1173</v>
      </c>
      <c r="I806" s="326">
        <v>8389</v>
      </c>
      <c r="K806" s="326"/>
      <c r="L806" s="335"/>
    </row>
    <row r="807" spans="1:12" ht="9" customHeight="1" x14ac:dyDescent="0.25">
      <c r="A807" s="263" t="s">
        <v>25</v>
      </c>
      <c r="B807" s="326">
        <f t="shared" si="69"/>
        <v>5560</v>
      </c>
      <c r="C807" s="326"/>
      <c r="D807" s="326">
        <f t="shared" si="68"/>
        <v>2461</v>
      </c>
      <c r="E807" s="326">
        <v>872</v>
      </c>
      <c r="F807" s="326">
        <v>1176</v>
      </c>
      <c r="G807" s="326">
        <v>172</v>
      </c>
      <c r="H807" s="266">
        <v>241</v>
      </c>
      <c r="I807" s="326">
        <v>3099</v>
      </c>
      <c r="K807" s="326"/>
      <c r="L807" s="335"/>
    </row>
    <row r="808" spans="1:12" ht="9" customHeight="1" x14ac:dyDescent="0.25">
      <c r="A808" s="267" t="s">
        <v>26</v>
      </c>
      <c r="B808" s="328">
        <f t="shared" si="69"/>
        <v>6084</v>
      </c>
      <c r="C808" s="328"/>
      <c r="D808" s="328">
        <f t="shared" si="68"/>
        <v>2877</v>
      </c>
      <c r="E808" s="328">
        <v>996</v>
      </c>
      <c r="F808" s="328">
        <v>1364</v>
      </c>
      <c r="G808" s="328">
        <v>242</v>
      </c>
      <c r="H808" s="268">
        <v>275</v>
      </c>
      <c r="I808" s="328">
        <v>3207</v>
      </c>
      <c r="K808" s="326"/>
      <c r="L808" s="335"/>
    </row>
    <row r="809" spans="1:12" ht="9" customHeight="1" x14ac:dyDescent="0.25">
      <c r="A809" s="263" t="s">
        <v>27</v>
      </c>
      <c r="B809" s="326">
        <f t="shared" si="69"/>
        <v>19007</v>
      </c>
      <c r="C809" s="326"/>
      <c r="D809" s="326">
        <f t="shared" si="68"/>
        <v>9330</v>
      </c>
      <c r="E809" s="326">
        <v>2746</v>
      </c>
      <c r="F809" s="326">
        <v>3799</v>
      </c>
      <c r="G809" s="326">
        <v>1143</v>
      </c>
      <c r="H809" s="266">
        <v>1642</v>
      </c>
      <c r="I809" s="326">
        <v>9677</v>
      </c>
      <c r="K809" s="326"/>
      <c r="L809" s="335"/>
    </row>
    <row r="810" spans="1:12" ht="9" customHeight="1" x14ac:dyDescent="0.25">
      <c r="A810" s="263" t="s">
        <v>28</v>
      </c>
      <c r="B810" s="326">
        <f t="shared" si="69"/>
        <v>5488</v>
      </c>
      <c r="C810" s="326"/>
      <c r="D810" s="326">
        <f t="shared" si="68"/>
        <v>2727</v>
      </c>
      <c r="E810" s="326">
        <v>780</v>
      </c>
      <c r="F810" s="326">
        <v>1196</v>
      </c>
      <c r="G810" s="326">
        <v>258</v>
      </c>
      <c r="H810" s="266">
        <v>493</v>
      </c>
      <c r="I810" s="326">
        <v>2761</v>
      </c>
      <c r="K810" s="326"/>
      <c r="L810" s="335"/>
    </row>
    <row r="811" spans="1:12" ht="9" customHeight="1" x14ac:dyDescent="0.25">
      <c r="A811" s="263" t="s">
        <v>29</v>
      </c>
      <c r="B811" s="326">
        <f t="shared" si="69"/>
        <v>25338</v>
      </c>
      <c r="C811" s="326"/>
      <c r="D811" s="326">
        <f t="shared" si="68"/>
        <v>13487</v>
      </c>
      <c r="E811" s="326">
        <v>3770</v>
      </c>
      <c r="F811" s="326">
        <v>6899</v>
      </c>
      <c r="G811" s="326">
        <v>647</v>
      </c>
      <c r="H811" s="266">
        <v>2171</v>
      </c>
      <c r="I811" s="326">
        <v>11851</v>
      </c>
      <c r="K811" s="326"/>
      <c r="L811" s="335"/>
    </row>
    <row r="812" spans="1:12" ht="9" customHeight="1" x14ac:dyDescent="0.25">
      <c r="A812" s="267" t="s">
        <v>30</v>
      </c>
      <c r="B812" s="328">
        <f t="shared" si="69"/>
        <v>22074</v>
      </c>
      <c r="C812" s="328"/>
      <c r="D812" s="328">
        <f t="shared" si="68"/>
        <v>11053</v>
      </c>
      <c r="E812" s="328">
        <v>3776</v>
      </c>
      <c r="F812" s="328">
        <v>4887</v>
      </c>
      <c r="G812" s="328">
        <v>688</v>
      </c>
      <c r="H812" s="268">
        <v>1702</v>
      </c>
      <c r="I812" s="328">
        <v>11021</v>
      </c>
      <c r="K812" s="326"/>
      <c r="L812" s="335"/>
    </row>
    <row r="813" spans="1:12" ht="9" customHeight="1" x14ac:dyDescent="0.25">
      <c r="A813" s="263" t="s">
        <v>63</v>
      </c>
      <c r="B813" s="326">
        <f t="shared" si="69"/>
        <v>126165</v>
      </c>
      <c r="C813" s="326"/>
      <c r="D813" s="326">
        <f t="shared" si="68"/>
        <v>55560</v>
      </c>
      <c r="E813" s="326">
        <v>12390</v>
      </c>
      <c r="F813" s="326">
        <v>25103</v>
      </c>
      <c r="G813" s="326">
        <v>8381</v>
      </c>
      <c r="H813" s="266">
        <v>9686</v>
      </c>
      <c r="I813" s="326">
        <v>70605</v>
      </c>
      <c r="K813" s="326"/>
      <c r="L813" s="335"/>
    </row>
    <row r="814" spans="1:12" ht="9" customHeight="1" x14ac:dyDescent="0.25">
      <c r="A814" s="263" t="s">
        <v>31</v>
      </c>
      <c r="B814" s="326">
        <f t="shared" si="69"/>
        <v>10020</v>
      </c>
      <c r="C814" s="326"/>
      <c r="D814" s="326">
        <f t="shared" si="68"/>
        <v>4890</v>
      </c>
      <c r="E814" s="326">
        <v>1515</v>
      </c>
      <c r="F814" s="326">
        <v>2305</v>
      </c>
      <c r="G814" s="326">
        <v>562</v>
      </c>
      <c r="H814" s="266">
        <v>508</v>
      </c>
      <c r="I814" s="326">
        <v>5130</v>
      </c>
      <c r="K814" s="326"/>
      <c r="L814" s="335"/>
    </row>
    <row r="815" spans="1:12" ht="9" customHeight="1" x14ac:dyDescent="0.25">
      <c r="A815" s="263" t="s">
        <v>32</v>
      </c>
      <c r="B815" s="326">
        <f t="shared" si="69"/>
        <v>26239</v>
      </c>
      <c r="C815" s="326"/>
      <c r="D815" s="326">
        <f t="shared" si="68"/>
        <v>14156</v>
      </c>
      <c r="E815" s="326">
        <v>4563</v>
      </c>
      <c r="F815" s="326">
        <v>6451</v>
      </c>
      <c r="G815" s="326">
        <v>1073</v>
      </c>
      <c r="H815" s="266">
        <v>2069</v>
      </c>
      <c r="I815" s="326">
        <v>12083</v>
      </c>
      <c r="K815" s="326"/>
      <c r="L815" s="335"/>
    </row>
    <row r="816" spans="1:12" ht="9" customHeight="1" x14ac:dyDescent="0.25">
      <c r="A816" s="267" t="s">
        <v>33</v>
      </c>
      <c r="B816" s="328">
        <f t="shared" si="69"/>
        <v>19831</v>
      </c>
      <c r="C816" s="328"/>
      <c r="D816" s="328">
        <f t="shared" si="68"/>
        <v>9960</v>
      </c>
      <c r="E816" s="328">
        <v>2568</v>
      </c>
      <c r="F816" s="328">
        <v>4967</v>
      </c>
      <c r="G816" s="328">
        <v>777</v>
      </c>
      <c r="H816" s="268">
        <v>1648</v>
      </c>
      <c r="I816" s="328">
        <v>9871</v>
      </c>
      <c r="K816" s="326"/>
      <c r="L816" s="335"/>
    </row>
    <row r="817" spans="1:12" ht="9" customHeight="1" x14ac:dyDescent="0.25">
      <c r="A817" s="263" t="s">
        <v>34</v>
      </c>
      <c r="B817" s="326">
        <f t="shared" si="69"/>
        <v>13532</v>
      </c>
      <c r="C817" s="326"/>
      <c r="D817" s="326">
        <f t="shared" si="68"/>
        <v>6959</v>
      </c>
      <c r="E817" s="326">
        <v>2558</v>
      </c>
      <c r="F817" s="326">
        <v>2619</v>
      </c>
      <c r="G817" s="326">
        <v>415</v>
      </c>
      <c r="H817" s="266">
        <v>1367</v>
      </c>
      <c r="I817" s="326">
        <v>6573</v>
      </c>
      <c r="K817" s="326"/>
      <c r="L817" s="335"/>
    </row>
    <row r="818" spans="1:12" ht="9" customHeight="1" x14ac:dyDescent="0.25">
      <c r="A818" s="263" t="s">
        <v>35</v>
      </c>
      <c r="B818" s="326">
        <f t="shared" si="69"/>
        <v>40579</v>
      </c>
      <c r="C818" s="326"/>
      <c r="D818" s="326">
        <f t="shared" si="68"/>
        <v>20798</v>
      </c>
      <c r="E818" s="326">
        <v>7236</v>
      </c>
      <c r="F818" s="326">
        <v>8230</v>
      </c>
      <c r="G818" s="326">
        <v>1876</v>
      </c>
      <c r="H818" s="266">
        <v>3456</v>
      </c>
      <c r="I818" s="326">
        <v>19781</v>
      </c>
      <c r="K818" s="326"/>
      <c r="L818" s="335"/>
    </row>
    <row r="819" spans="1:12" ht="9" customHeight="1" x14ac:dyDescent="0.25">
      <c r="A819" s="263" t="s">
        <v>36</v>
      </c>
      <c r="B819" s="326">
        <f t="shared" si="69"/>
        <v>72236</v>
      </c>
      <c r="C819" s="326"/>
      <c r="D819" s="326">
        <f t="shared" si="68"/>
        <v>33477</v>
      </c>
      <c r="E819" s="326">
        <v>8611</v>
      </c>
      <c r="F819" s="326">
        <v>14872</v>
      </c>
      <c r="G819" s="326">
        <v>4392</v>
      </c>
      <c r="H819" s="266">
        <v>5602</v>
      </c>
      <c r="I819" s="326">
        <v>38759</v>
      </c>
      <c r="K819" s="326"/>
      <c r="L819" s="335"/>
    </row>
    <row r="820" spans="1:12" ht="9" customHeight="1" x14ac:dyDescent="0.25">
      <c r="A820" s="267" t="s">
        <v>37</v>
      </c>
      <c r="B820" s="328">
        <f t="shared" si="69"/>
        <v>20686</v>
      </c>
      <c r="C820" s="328"/>
      <c r="D820" s="328">
        <f t="shared" si="68"/>
        <v>10054</v>
      </c>
      <c r="E820" s="328">
        <v>3672</v>
      </c>
      <c r="F820" s="328">
        <v>3656</v>
      </c>
      <c r="G820" s="328">
        <v>589</v>
      </c>
      <c r="H820" s="268">
        <v>2137</v>
      </c>
      <c r="I820" s="328">
        <v>10632</v>
      </c>
      <c r="K820" s="326"/>
      <c r="L820" s="335"/>
    </row>
    <row r="821" spans="1:12" ht="9" customHeight="1" x14ac:dyDescent="0.25">
      <c r="A821" s="263" t="s">
        <v>38</v>
      </c>
      <c r="B821" s="326">
        <f t="shared" si="69"/>
        <v>9753</v>
      </c>
      <c r="C821" s="326"/>
      <c r="D821" s="326">
        <f t="shared" si="68"/>
        <v>4918</v>
      </c>
      <c r="E821" s="326">
        <v>1466</v>
      </c>
      <c r="F821" s="326">
        <v>1964</v>
      </c>
      <c r="G821" s="326">
        <v>518</v>
      </c>
      <c r="H821" s="266">
        <v>970</v>
      </c>
      <c r="I821" s="326">
        <v>4835</v>
      </c>
      <c r="K821" s="326"/>
      <c r="L821" s="335"/>
    </row>
    <row r="822" spans="1:12" ht="9" customHeight="1" x14ac:dyDescent="0.25">
      <c r="A822" s="263" t="s">
        <v>39</v>
      </c>
      <c r="B822" s="326">
        <f t="shared" si="69"/>
        <v>7104</v>
      </c>
      <c r="C822" s="326"/>
      <c r="D822" s="326">
        <f t="shared" si="68"/>
        <v>3510</v>
      </c>
      <c r="E822" s="326">
        <v>998</v>
      </c>
      <c r="F822" s="326">
        <v>1424</v>
      </c>
      <c r="G822" s="326">
        <v>479</v>
      </c>
      <c r="H822" s="266">
        <v>609</v>
      </c>
      <c r="I822" s="326">
        <v>3594</v>
      </c>
      <c r="K822" s="326"/>
      <c r="L822" s="335"/>
    </row>
    <row r="823" spans="1:12" ht="9" customHeight="1" x14ac:dyDescent="0.25">
      <c r="A823" s="263" t="s">
        <v>40</v>
      </c>
      <c r="B823" s="326">
        <f t="shared" si="69"/>
        <v>27978</v>
      </c>
      <c r="C823" s="326"/>
      <c r="D823" s="326">
        <f t="shared" si="68"/>
        <v>12937</v>
      </c>
      <c r="E823" s="326">
        <v>4158</v>
      </c>
      <c r="F823" s="326">
        <v>5038</v>
      </c>
      <c r="G823" s="326">
        <v>1945</v>
      </c>
      <c r="H823" s="266">
        <v>1796</v>
      </c>
      <c r="I823" s="326">
        <v>15041</v>
      </c>
      <c r="K823" s="326"/>
      <c r="L823" s="335"/>
    </row>
    <row r="824" spans="1:12" ht="9" customHeight="1" x14ac:dyDescent="0.25">
      <c r="A824" s="267" t="s">
        <v>41</v>
      </c>
      <c r="B824" s="328">
        <f t="shared" si="69"/>
        <v>17191</v>
      </c>
      <c r="C824" s="328"/>
      <c r="D824" s="328">
        <f t="shared" si="68"/>
        <v>9048</v>
      </c>
      <c r="E824" s="328">
        <v>2877</v>
      </c>
      <c r="F824" s="328">
        <v>4418</v>
      </c>
      <c r="G824" s="328">
        <v>650</v>
      </c>
      <c r="H824" s="268">
        <v>1103</v>
      </c>
      <c r="I824" s="328">
        <v>8143</v>
      </c>
      <c r="K824" s="326"/>
      <c r="L824" s="335"/>
    </row>
    <row r="825" spans="1:12" ht="9" customHeight="1" x14ac:dyDescent="0.25">
      <c r="A825" s="263" t="s">
        <v>42</v>
      </c>
      <c r="B825" s="326">
        <f t="shared" si="69"/>
        <v>28847</v>
      </c>
      <c r="C825" s="326"/>
      <c r="D825" s="326">
        <f t="shared" si="68"/>
        <v>13741</v>
      </c>
      <c r="E825" s="326">
        <v>5638</v>
      </c>
      <c r="F825" s="326">
        <v>4515</v>
      </c>
      <c r="G825" s="326">
        <v>1277</v>
      </c>
      <c r="H825" s="266">
        <v>2311</v>
      </c>
      <c r="I825" s="326">
        <v>15106</v>
      </c>
      <c r="K825" s="326"/>
      <c r="L825" s="335"/>
    </row>
    <row r="826" spans="1:12" ht="9" customHeight="1" x14ac:dyDescent="0.25">
      <c r="A826" s="263" t="s">
        <v>43</v>
      </c>
      <c r="B826" s="326">
        <f>SUM(D826,I826)</f>
        <v>8599</v>
      </c>
      <c r="C826" s="326"/>
      <c r="D826" s="326">
        <f t="shared" si="68"/>
        <v>4337</v>
      </c>
      <c r="E826" s="326">
        <v>1619</v>
      </c>
      <c r="F826" s="326">
        <v>1861</v>
      </c>
      <c r="G826" s="326">
        <v>380</v>
      </c>
      <c r="H826" s="266">
        <v>477</v>
      </c>
      <c r="I826" s="326">
        <v>4262</v>
      </c>
      <c r="K826" s="326"/>
      <c r="L826" s="335"/>
    </row>
    <row r="827" spans="1:12" ht="9" customHeight="1" x14ac:dyDescent="0.25">
      <c r="A827" s="263" t="s">
        <v>44</v>
      </c>
      <c r="B827" s="326">
        <f t="shared" ref="B827:B836" si="70">SUM(D827,I827)</f>
        <v>8131</v>
      </c>
      <c r="C827" s="326"/>
      <c r="D827" s="326">
        <f t="shared" si="68"/>
        <v>3883</v>
      </c>
      <c r="E827" s="326">
        <v>1180</v>
      </c>
      <c r="F827" s="326">
        <v>1838</v>
      </c>
      <c r="G827" s="326">
        <v>267</v>
      </c>
      <c r="H827" s="266">
        <v>598</v>
      </c>
      <c r="I827" s="326">
        <v>4248</v>
      </c>
      <c r="K827" s="326"/>
      <c r="L827" s="335"/>
    </row>
    <row r="828" spans="1:12" ht="9" customHeight="1" x14ac:dyDescent="0.25">
      <c r="A828" s="267" t="s">
        <v>45</v>
      </c>
      <c r="B828" s="328">
        <f t="shared" si="70"/>
        <v>12876</v>
      </c>
      <c r="C828" s="328"/>
      <c r="D828" s="328">
        <f t="shared" si="68"/>
        <v>6550</v>
      </c>
      <c r="E828" s="328">
        <v>2430</v>
      </c>
      <c r="F828" s="328">
        <v>2855</v>
      </c>
      <c r="G828" s="328">
        <v>485</v>
      </c>
      <c r="H828" s="268">
        <v>780</v>
      </c>
      <c r="I828" s="328">
        <v>6326</v>
      </c>
      <c r="K828" s="326"/>
      <c r="L828" s="335"/>
    </row>
    <row r="829" spans="1:12" ht="9" customHeight="1" x14ac:dyDescent="0.25">
      <c r="A829" s="263" t="s">
        <v>46</v>
      </c>
      <c r="B829" s="326">
        <f t="shared" si="70"/>
        <v>17362</v>
      </c>
      <c r="C829" s="326"/>
      <c r="D829" s="326">
        <f t="shared" si="68"/>
        <v>8568</v>
      </c>
      <c r="E829" s="326">
        <v>2774</v>
      </c>
      <c r="F829" s="326">
        <v>3713</v>
      </c>
      <c r="G829" s="326">
        <v>990</v>
      </c>
      <c r="H829" s="266">
        <v>1091</v>
      </c>
      <c r="I829" s="326">
        <v>8794</v>
      </c>
      <c r="K829" s="326"/>
      <c r="L829" s="335"/>
    </row>
    <row r="830" spans="1:12" ht="9" customHeight="1" x14ac:dyDescent="0.25">
      <c r="A830" s="263" t="s">
        <v>47</v>
      </c>
      <c r="B830" s="326">
        <f t="shared" si="70"/>
        <v>20050</v>
      </c>
      <c r="C830" s="326"/>
      <c r="D830" s="326">
        <f t="shared" si="68"/>
        <v>9290</v>
      </c>
      <c r="E830" s="326">
        <v>2437</v>
      </c>
      <c r="F830" s="326">
        <v>4417</v>
      </c>
      <c r="G830" s="326">
        <v>1071</v>
      </c>
      <c r="H830" s="266">
        <v>1365</v>
      </c>
      <c r="I830" s="326">
        <v>10760</v>
      </c>
      <c r="K830" s="326"/>
      <c r="L830" s="335"/>
    </row>
    <row r="831" spans="1:12" ht="9" customHeight="1" x14ac:dyDescent="0.25">
      <c r="A831" s="263" t="s">
        <v>48</v>
      </c>
      <c r="B831" s="326">
        <f t="shared" si="70"/>
        <v>15166</v>
      </c>
      <c r="C831" s="326"/>
      <c r="D831" s="326">
        <f t="shared" si="68"/>
        <v>6358</v>
      </c>
      <c r="E831" s="326">
        <v>2342</v>
      </c>
      <c r="F831" s="326">
        <v>2906</v>
      </c>
      <c r="G831" s="326">
        <v>444</v>
      </c>
      <c r="H831" s="266">
        <v>666</v>
      </c>
      <c r="I831" s="326">
        <v>8808</v>
      </c>
      <c r="K831" s="326"/>
      <c r="L831" s="335"/>
    </row>
    <row r="832" spans="1:12" ht="9" customHeight="1" x14ac:dyDescent="0.25">
      <c r="A832" s="267" t="s">
        <v>49</v>
      </c>
      <c r="B832" s="328">
        <f t="shared" si="70"/>
        <v>24243</v>
      </c>
      <c r="C832" s="328"/>
      <c r="D832" s="328">
        <f t="shared" si="68"/>
        <v>11064</v>
      </c>
      <c r="E832" s="328">
        <v>3265</v>
      </c>
      <c r="F832" s="328">
        <v>4103</v>
      </c>
      <c r="G832" s="328">
        <v>1827</v>
      </c>
      <c r="H832" s="268">
        <v>1869</v>
      </c>
      <c r="I832" s="328">
        <v>13179</v>
      </c>
      <c r="K832" s="326"/>
      <c r="L832" s="335"/>
    </row>
    <row r="833" spans="1:12" ht="9" customHeight="1" x14ac:dyDescent="0.25">
      <c r="A833" s="263" t="s">
        <v>50</v>
      </c>
      <c r="B833" s="326">
        <f t="shared" si="70"/>
        <v>6692</v>
      </c>
      <c r="C833" s="326"/>
      <c r="D833" s="326">
        <f t="shared" si="68"/>
        <v>3239</v>
      </c>
      <c r="E833" s="326">
        <v>1018</v>
      </c>
      <c r="F833" s="326">
        <v>1410</v>
      </c>
      <c r="G833" s="326">
        <v>330</v>
      </c>
      <c r="H833" s="266">
        <v>481</v>
      </c>
      <c r="I833" s="326">
        <v>3453</v>
      </c>
      <c r="K833" s="326"/>
      <c r="L833" s="335"/>
    </row>
    <row r="834" spans="1:12" ht="9" customHeight="1" x14ac:dyDescent="0.25">
      <c r="A834" s="263" t="s">
        <v>51</v>
      </c>
      <c r="B834" s="326">
        <f t="shared" si="70"/>
        <v>38407</v>
      </c>
      <c r="C834" s="326"/>
      <c r="D834" s="326">
        <f t="shared" si="68"/>
        <v>18274</v>
      </c>
      <c r="E834" s="326">
        <v>8944</v>
      </c>
      <c r="F834" s="326">
        <v>6132</v>
      </c>
      <c r="G834" s="326">
        <v>1285</v>
      </c>
      <c r="H834" s="266">
        <v>1913</v>
      </c>
      <c r="I834" s="326">
        <v>20133</v>
      </c>
      <c r="K834" s="326"/>
      <c r="L834" s="335"/>
    </row>
    <row r="835" spans="1:12" ht="9" customHeight="1" x14ac:dyDescent="0.25">
      <c r="A835" s="263" t="s">
        <v>52</v>
      </c>
      <c r="B835" s="326">
        <f t="shared" si="70"/>
        <v>14060</v>
      </c>
      <c r="C835" s="326"/>
      <c r="D835" s="326">
        <f t="shared" si="68"/>
        <v>6967</v>
      </c>
      <c r="E835" s="326">
        <v>2692</v>
      </c>
      <c r="F835" s="326">
        <v>2457</v>
      </c>
      <c r="G835" s="326">
        <v>869</v>
      </c>
      <c r="H835" s="266">
        <v>949</v>
      </c>
      <c r="I835" s="326">
        <v>7093</v>
      </c>
      <c r="K835" s="326"/>
      <c r="L835" s="335"/>
    </row>
    <row r="836" spans="1:12" ht="9" customHeight="1" x14ac:dyDescent="0.25">
      <c r="A836" s="267" t="s">
        <v>53</v>
      </c>
      <c r="B836" s="328">
        <f t="shared" si="70"/>
        <v>8700</v>
      </c>
      <c r="C836" s="328"/>
      <c r="D836" s="328">
        <f t="shared" si="68"/>
        <v>4607</v>
      </c>
      <c r="E836" s="328">
        <v>2005</v>
      </c>
      <c r="F836" s="328">
        <v>1689</v>
      </c>
      <c r="G836" s="328">
        <v>282</v>
      </c>
      <c r="H836" s="268">
        <v>631</v>
      </c>
      <c r="I836" s="328">
        <v>4093</v>
      </c>
      <c r="K836" s="326"/>
      <c r="L836" s="335"/>
    </row>
    <row r="837" spans="1:12" ht="3" customHeight="1" x14ac:dyDescent="0.25">
      <c r="A837" s="257"/>
      <c r="B837" s="257"/>
      <c r="C837" s="257"/>
      <c r="D837" s="257"/>
      <c r="E837" s="257"/>
      <c r="F837" s="257"/>
      <c r="G837" s="257"/>
      <c r="H837" s="257"/>
      <c r="I837" s="316"/>
    </row>
    <row r="838" spans="1:12" ht="3" customHeight="1" x14ac:dyDescent="0.25"/>
    <row r="839" spans="1:12" ht="9.6" customHeight="1" x14ac:dyDescent="0.15">
      <c r="A839" s="273" t="s">
        <v>242</v>
      </c>
      <c r="I839" s="258"/>
    </row>
    <row r="840" spans="1:12" ht="9.6" customHeight="1" x14ac:dyDescent="0.15">
      <c r="A840" s="273" t="s">
        <v>243</v>
      </c>
      <c r="I840" s="258"/>
    </row>
    <row r="841" spans="1:12" ht="9.6" customHeight="1" x14ac:dyDescent="0.15">
      <c r="A841" s="273" t="s">
        <v>244</v>
      </c>
      <c r="I841" s="258"/>
    </row>
    <row r="842" spans="1:12" ht="9.6" customHeight="1" x14ac:dyDescent="0.15">
      <c r="A842" s="273" t="s">
        <v>264</v>
      </c>
      <c r="I842" s="258"/>
    </row>
    <row r="843" spans="1:12" ht="9" customHeight="1" x14ac:dyDescent="0.15">
      <c r="A843" s="308" t="s">
        <v>265</v>
      </c>
      <c r="B843" s="308"/>
      <c r="C843" s="308"/>
    </row>
    <row r="844" spans="1:12" ht="9" customHeight="1" x14ac:dyDescent="0.15">
      <c r="A844" s="308" t="s">
        <v>266</v>
      </c>
      <c r="B844" s="308"/>
      <c r="C844" s="308"/>
    </row>
    <row r="845" spans="1:12" ht="9" customHeight="1" x14ac:dyDescent="0.15">
      <c r="A845" s="308" t="s">
        <v>267</v>
      </c>
      <c r="B845" s="308"/>
      <c r="C845" s="308"/>
    </row>
    <row r="846" spans="1:12" ht="9" customHeight="1" x14ac:dyDescent="0.15">
      <c r="A846" s="308" t="s">
        <v>268</v>
      </c>
      <c r="B846" s="308"/>
      <c r="C846" s="308"/>
    </row>
    <row r="847" spans="1:12" ht="9" customHeight="1" x14ac:dyDescent="0.15">
      <c r="A847" s="311" t="s">
        <v>202</v>
      </c>
      <c r="B847" s="311"/>
      <c r="C847" s="311"/>
      <c r="D847" s="260"/>
      <c r="E847" s="260"/>
      <c r="F847" s="260"/>
      <c r="G847" s="260"/>
      <c r="H847" s="260"/>
      <c r="I847" s="337"/>
    </row>
    <row r="848" spans="1:12" ht="9" customHeight="1" x14ac:dyDescent="0.25">
      <c r="A848" s="225" t="s">
        <v>512</v>
      </c>
      <c r="B848" s="250"/>
      <c r="C848" s="250"/>
      <c r="D848" s="250"/>
      <c r="E848" s="250"/>
      <c r="F848" s="250"/>
      <c r="G848" s="250"/>
      <c r="H848" s="250"/>
      <c r="I848" s="250"/>
    </row>
    <row r="849" spans="1:9" ht="9" customHeight="1" x14ac:dyDescent="0.25">
      <c r="A849" s="225" t="s">
        <v>203</v>
      </c>
      <c r="B849" s="250"/>
      <c r="C849" s="250"/>
      <c r="D849" s="250"/>
      <c r="E849" s="250"/>
      <c r="F849" s="250"/>
      <c r="G849" s="250"/>
      <c r="H849" s="250"/>
      <c r="I849" s="250"/>
    </row>
  </sheetData>
  <sheetProtection sheet="1" objects="1" scenarios="1"/>
  <mergeCells count="2">
    <mergeCell ref="A5:A7"/>
    <mergeCell ref="G6:G7"/>
  </mergeCells>
  <hyperlinks>
    <hyperlink ref="I1" location="Índice!A1" tooltip="Ir a Índice" display="Índice!A1"/>
  </hyperlinks>
  <printOptions horizontalCentered="1" verticalCentered="1" gridLinesSet="0"/>
  <pageMargins left="0.39370078740157483" right="0.39370078740157483" top="0.39370078740157483" bottom="0.39370078740157483" header="0.39370078740157483" footer="0.39370078740157483"/>
  <pageSetup orientation="portrait" r:id="rId1"/>
  <headerFooter>
    <oddHeader>&amp;L&amp;"Arial,Normal"&amp;10&amp;K000080INEGI. Anuario estadístico y geográfico por entidad federativa 2019.</oddHeader>
  </headerFooter>
  <rowBreaks count="11" manualBreakCount="11">
    <brk id="81" max="8" man="1"/>
    <brk id="153" max="8" man="1"/>
    <brk id="225" max="8" man="1"/>
    <brk id="297" max="8" man="1"/>
    <brk id="369" max="8" man="1"/>
    <brk id="441" max="8" man="1"/>
    <brk id="513" max="8" man="1"/>
    <brk id="585" max="8" man="1"/>
    <brk id="657" max="8" man="1"/>
    <brk id="729" max="8" man="1"/>
    <brk id="801" max="8" man="1"/>
  </row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821"/>
  <sheetViews>
    <sheetView showGridLines="0" showRowColHeaders="0" zoomScale="130" zoomScaleNormal="130" workbookViewId="0">
      <pane xSplit="1" ySplit="11" topLeftCell="B12" activePane="bottomRight" state="frozen"/>
      <selection activeCell="B5" sqref="B5"/>
      <selection pane="topRight" activeCell="B5" sqref="B5"/>
      <selection pane="bottomLeft" activeCell="B5" sqref="B5"/>
      <selection pane="bottomRight"/>
    </sheetView>
  </sheetViews>
  <sheetFormatPr baseColWidth="10" defaultColWidth="0" defaultRowHeight="11.25" customHeight="1" zeroHeight="1" x14ac:dyDescent="0.25"/>
  <cols>
    <col min="1" max="1" width="18.42578125" style="346" customWidth="1"/>
    <col min="2" max="2" width="9.140625" style="346" customWidth="1"/>
    <col min="3" max="3" width="1.7109375" style="346" customWidth="1"/>
    <col min="4" max="4" width="9.28515625" style="346" customWidth="1"/>
    <col min="5" max="5" width="2.28515625" style="346" customWidth="1"/>
    <col min="6" max="6" width="8.85546875" style="346" customWidth="1"/>
    <col min="7" max="7" width="1.42578125" style="412" customWidth="1"/>
    <col min="8" max="8" width="7.85546875" style="346" customWidth="1"/>
    <col min="9" max="9" width="8" style="346" customWidth="1"/>
    <col min="10" max="10" width="8.7109375" style="346" customWidth="1"/>
    <col min="11" max="11" width="9.28515625" style="346" customWidth="1"/>
    <col min="12" max="12" width="8.7109375" style="346" customWidth="1"/>
    <col min="13" max="13" width="0.85546875" style="346" customWidth="1"/>
    <col min="14" max="21" width="0" style="346" hidden="1" customWidth="1"/>
    <col min="22" max="16384" width="11.42578125" style="346" hidden="1"/>
  </cols>
  <sheetData>
    <row r="1" spans="1:21" s="341" customFormat="1" ht="12" customHeight="1" x14ac:dyDescent="0.2">
      <c r="A1" s="338" t="s">
        <v>269</v>
      </c>
      <c r="B1" s="339"/>
      <c r="C1" s="339"/>
      <c r="D1" s="339"/>
      <c r="E1" s="339"/>
      <c r="F1" s="339"/>
      <c r="G1" s="340"/>
      <c r="H1" s="339"/>
      <c r="I1" s="339"/>
      <c r="J1" s="339"/>
      <c r="K1" s="339"/>
      <c r="L1" s="761" t="s">
        <v>270</v>
      </c>
    </row>
    <row r="2" spans="1:21" s="341" customFormat="1" ht="12" customHeight="1" x14ac:dyDescent="0.2">
      <c r="A2" s="338" t="s">
        <v>271</v>
      </c>
      <c r="B2" s="339"/>
      <c r="C2" s="339"/>
      <c r="D2" s="339"/>
      <c r="E2" s="339"/>
      <c r="F2" s="339"/>
      <c r="G2" s="340"/>
      <c r="H2" s="339"/>
      <c r="I2" s="339"/>
      <c r="J2" s="339"/>
      <c r="K2" s="339"/>
      <c r="L2" s="342"/>
    </row>
    <row r="3" spans="1:21" s="341" customFormat="1" ht="12" customHeight="1" x14ac:dyDescent="0.25">
      <c r="A3" s="343" t="s">
        <v>272</v>
      </c>
      <c r="B3" s="339"/>
      <c r="C3" s="339"/>
      <c r="D3" s="339"/>
      <c r="E3" s="339"/>
      <c r="F3" s="339"/>
      <c r="G3" s="340"/>
      <c r="H3" s="339"/>
      <c r="I3" s="339"/>
      <c r="J3" s="339"/>
      <c r="K3" s="339"/>
    </row>
    <row r="4" spans="1:21" ht="3" customHeight="1" x14ac:dyDescent="0.25">
      <c r="A4" s="344"/>
      <c r="B4" s="344"/>
      <c r="C4" s="344"/>
      <c r="D4" s="344"/>
      <c r="E4" s="344"/>
      <c r="F4" s="344"/>
      <c r="G4" s="345"/>
      <c r="H4" s="344"/>
      <c r="I4" s="344"/>
      <c r="J4" s="344"/>
      <c r="K4" s="344"/>
      <c r="L4" s="344"/>
    </row>
    <row r="5" spans="1:21" ht="3" customHeight="1" x14ac:dyDescent="0.25">
      <c r="A5" s="347"/>
      <c r="B5" s="347"/>
      <c r="C5" s="347"/>
      <c r="D5" s="347"/>
      <c r="E5" s="347"/>
      <c r="F5" s="347"/>
      <c r="G5" s="348"/>
      <c r="H5" s="347"/>
      <c r="I5" s="347"/>
      <c r="J5" s="347"/>
      <c r="K5" s="347"/>
    </row>
    <row r="6" spans="1:21" s="356" customFormat="1" ht="8.25" customHeight="1" x14ac:dyDescent="0.15">
      <c r="A6" s="349"/>
      <c r="B6" s="350" t="s">
        <v>13</v>
      </c>
      <c r="C6" s="351"/>
      <c r="D6" s="351" t="s">
        <v>273</v>
      </c>
      <c r="E6" s="351"/>
      <c r="F6" s="352" t="s">
        <v>274</v>
      </c>
      <c r="G6" s="353"/>
      <c r="H6" s="352"/>
      <c r="I6" s="352"/>
      <c r="J6" s="352"/>
      <c r="K6" s="819" t="s">
        <v>275</v>
      </c>
      <c r="L6" s="819" t="s">
        <v>276</v>
      </c>
      <c r="M6" s="354"/>
      <c r="N6" s="354"/>
      <c r="O6" s="354"/>
      <c r="P6" s="355"/>
    </row>
    <row r="7" spans="1:21" s="356" customFormat="1" ht="2.1" customHeight="1" x14ac:dyDescent="0.15">
      <c r="A7" s="349"/>
      <c r="B7" s="351"/>
      <c r="C7" s="351"/>
      <c r="D7" s="351"/>
      <c r="E7" s="351"/>
      <c r="F7" s="357"/>
      <c r="G7" s="358"/>
      <c r="H7" s="357"/>
      <c r="I7" s="357"/>
      <c r="J7" s="357"/>
      <c r="K7" s="819"/>
      <c r="L7" s="819"/>
      <c r="M7" s="354"/>
      <c r="N7" s="354"/>
      <c r="O7" s="354"/>
      <c r="P7" s="355"/>
    </row>
    <row r="8" spans="1:21" s="356" customFormat="1" ht="9.6" customHeight="1" x14ac:dyDescent="0.15">
      <c r="A8" s="820" t="s">
        <v>4</v>
      </c>
      <c r="B8" s="351"/>
      <c r="C8" s="351"/>
      <c r="D8" s="351"/>
      <c r="E8" s="351"/>
      <c r="F8" s="351" t="s">
        <v>13</v>
      </c>
      <c r="G8" s="359"/>
      <c r="H8" s="819" t="s">
        <v>277</v>
      </c>
      <c r="I8" s="351" t="s">
        <v>278</v>
      </c>
      <c r="J8" s="350" t="s">
        <v>279</v>
      </c>
      <c r="K8" s="819"/>
      <c r="L8" s="819"/>
      <c r="M8" s="354"/>
      <c r="N8" s="354"/>
      <c r="O8" s="354"/>
      <c r="P8" s="355"/>
    </row>
    <row r="9" spans="1:21" s="356" customFormat="1" ht="8.65" customHeight="1" x14ac:dyDescent="0.15">
      <c r="A9" s="821"/>
      <c r="B9" s="351"/>
      <c r="C9" s="351"/>
      <c r="D9" s="351"/>
      <c r="E9" s="351"/>
      <c r="F9" s="351"/>
      <c r="G9" s="359"/>
      <c r="H9" s="822"/>
      <c r="I9" s="351"/>
      <c r="J9" s="351"/>
      <c r="K9" s="351"/>
      <c r="L9" s="351"/>
      <c r="M9" s="354"/>
      <c r="N9" s="354"/>
      <c r="O9" s="354"/>
      <c r="P9" s="355"/>
    </row>
    <row r="10" spans="1:21" s="356" customFormat="1" ht="8.65" customHeight="1" x14ac:dyDescent="0.15">
      <c r="A10" s="760"/>
      <c r="B10" s="360"/>
      <c r="C10" s="351"/>
      <c r="D10" s="351"/>
      <c r="E10" s="351"/>
      <c r="F10" s="351"/>
      <c r="G10" s="359"/>
      <c r="H10" s="822"/>
      <c r="I10" s="351"/>
      <c r="J10" s="351"/>
      <c r="K10" s="351"/>
      <c r="L10" s="351"/>
      <c r="M10" s="354"/>
      <c r="N10" s="354"/>
      <c r="O10" s="354"/>
      <c r="P10" s="355"/>
    </row>
    <row r="11" spans="1:21" ht="3" customHeight="1" x14ac:dyDescent="0.2">
      <c r="A11" s="344"/>
      <c r="B11" s="361"/>
      <c r="C11" s="361"/>
      <c r="D11" s="361"/>
      <c r="E11" s="361"/>
      <c r="F11" s="361"/>
      <c r="G11" s="362"/>
      <c r="H11" s="361"/>
      <c r="I11" s="361"/>
      <c r="J11" s="361"/>
      <c r="K11" s="361"/>
      <c r="L11" s="361"/>
    </row>
    <row r="12" spans="1:21" ht="3" customHeight="1" x14ac:dyDescent="0.25">
      <c r="A12" s="347"/>
      <c r="B12" s="347"/>
      <c r="C12" s="347"/>
      <c r="D12" s="347"/>
      <c r="E12" s="347"/>
      <c r="F12" s="347"/>
      <c r="G12" s="348"/>
      <c r="H12" s="347"/>
      <c r="I12" s="347"/>
      <c r="J12" s="347"/>
      <c r="K12" s="347"/>
    </row>
    <row r="13" spans="1:21" s="366" customFormat="1" ht="9" customHeight="1" x14ac:dyDescent="0.25">
      <c r="A13" s="363">
        <v>1995</v>
      </c>
      <c r="B13" s="364"/>
      <c r="C13" s="364"/>
      <c r="D13" s="364"/>
      <c r="E13" s="364"/>
      <c r="F13" s="364"/>
      <c r="G13" s="365"/>
      <c r="H13" s="364"/>
      <c r="I13" s="364"/>
      <c r="J13" s="364"/>
      <c r="K13" s="364"/>
    </row>
    <row r="14" spans="1:21" s="371" customFormat="1" ht="9" customHeight="1" x14ac:dyDescent="0.25">
      <c r="A14" s="367" t="s">
        <v>21</v>
      </c>
      <c r="B14" s="368">
        <f>SUM(B16:B47)</f>
        <v>187363990</v>
      </c>
      <c r="C14" s="368"/>
      <c r="D14" s="368">
        <f>SUM(D16:D47)</f>
        <v>125438268</v>
      </c>
      <c r="E14" s="368"/>
      <c r="F14" s="368">
        <f>SUM(F16:F47)</f>
        <v>30335657</v>
      </c>
      <c r="G14" s="369"/>
      <c r="H14" s="368">
        <f>SUM(H16:H47)</f>
        <v>3764931</v>
      </c>
      <c r="I14" s="368">
        <f>SUM(I16:I47)</f>
        <v>3329385</v>
      </c>
      <c r="J14" s="368">
        <f>SUM(J16:J47)</f>
        <v>23241341</v>
      </c>
      <c r="K14" s="368">
        <f>SUM(K16:K47)</f>
        <v>20664415</v>
      </c>
      <c r="L14" s="368">
        <f>SUM(L16:L47)</f>
        <v>10925650</v>
      </c>
      <c r="M14" s="370"/>
      <c r="N14" s="370"/>
      <c r="O14" s="370"/>
      <c r="P14" s="370"/>
      <c r="Q14" s="370"/>
      <c r="R14" s="370"/>
      <c r="S14" s="370"/>
      <c r="T14" s="370"/>
      <c r="U14" s="370"/>
    </row>
    <row r="15" spans="1:21" s="371" customFormat="1" ht="3.95" customHeight="1" x14ac:dyDescent="0.25">
      <c r="A15" s="367"/>
      <c r="B15" s="368"/>
      <c r="C15" s="368"/>
      <c r="D15" s="368"/>
      <c r="E15" s="368"/>
      <c r="F15" s="368"/>
      <c r="G15" s="369"/>
      <c r="H15" s="368"/>
      <c r="I15" s="368"/>
      <c r="J15" s="368"/>
      <c r="K15" s="368"/>
      <c r="L15" s="368"/>
      <c r="M15" s="370"/>
      <c r="N15" s="370"/>
      <c r="O15" s="370"/>
      <c r="P15" s="370"/>
      <c r="Q15" s="370"/>
      <c r="R15" s="370"/>
      <c r="S15" s="370"/>
      <c r="T15" s="370"/>
      <c r="U15" s="370"/>
    </row>
    <row r="16" spans="1:21" s="366" customFormat="1" ht="9" customHeight="1" x14ac:dyDescent="0.25">
      <c r="A16" s="366" t="s">
        <v>23</v>
      </c>
      <c r="B16" s="372">
        <f>SUM(D16+F16+K16+L16)</f>
        <v>1958392</v>
      </c>
      <c r="C16" s="372"/>
      <c r="D16" s="372">
        <v>1327404</v>
      </c>
      <c r="E16" s="372"/>
      <c r="F16" s="372">
        <f t="shared" ref="F16:F47" si="0">SUM(H16:J16)</f>
        <v>280078</v>
      </c>
      <c r="G16" s="373"/>
      <c r="H16" s="372">
        <v>53163</v>
      </c>
      <c r="I16" s="372">
        <v>24677</v>
      </c>
      <c r="J16" s="372">
        <v>202238</v>
      </c>
      <c r="K16" s="372">
        <v>222976</v>
      </c>
      <c r="L16" s="372">
        <v>127934</v>
      </c>
      <c r="M16" s="372"/>
      <c r="O16" s="374"/>
      <c r="P16" s="374"/>
      <c r="Q16" s="374"/>
      <c r="R16" s="374"/>
      <c r="S16" s="374"/>
      <c r="T16" s="374"/>
      <c r="U16" s="374"/>
    </row>
    <row r="17" spans="1:21" s="366" customFormat="1" ht="9" customHeight="1" x14ac:dyDescent="0.25">
      <c r="A17" s="366" t="s">
        <v>24</v>
      </c>
      <c r="B17" s="372">
        <f t="shared" ref="B17:B47" si="1">SUM(D17+F17+K17+L17)</f>
        <v>4318373</v>
      </c>
      <c r="C17" s="372"/>
      <c r="D17" s="372">
        <v>2654484</v>
      </c>
      <c r="E17" s="372"/>
      <c r="F17" s="372">
        <f t="shared" si="0"/>
        <v>723605</v>
      </c>
      <c r="G17" s="373"/>
      <c r="H17" s="372">
        <v>72807</v>
      </c>
      <c r="I17" s="372">
        <v>44283</v>
      </c>
      <c r="J17" s="372">
        <v>606515</v>
      </c>
      <c r="K17" s="372">
        <v>655727</v>
      </c>
      <c r="L17" s="372">
        <v>284557</v>
      </c>
      <c r="M17" s="372"/>
      <c r="O17" s="374"/>
      <c r="P17" s="374"/>
      <c r="Q17" s="374"/>
      <c r="R17" s="374"/>
      <c r="S17" s="374"/>
      <c r="T17" s="374"/>
      <c r="U17" s="374"/>
    </row>
    <row r="18" spans="1:21" s="366" customFormat="1" ht="9" customHeight="1" x14ac:dyDescent="0.25">
      <c r="A18" s="366" t="s">
        <v>25</v>
      </c>
      <c r="B18" s="372">
        <f t="shared" si="1"/>
        <v>1284262</v>
      </c>
      <c r="C18" s="372"/>
      <c r="D18" s="372">
        <v>806198</v>
      </c>
      <c r="E18" s="372"/>
      <c r="F18" s="372">
        <f t="shared" si="0"/>
        <v>218036</v>
      </c>
      <c r="G18" s="373"/>
      <c r="H18" s="372">
        <v>27484</v>
      </c>
      <c r="I18" s="372">
        <v>26516</v>
      </c>
      <c r="J18" s="372">
        <v>164036</v>
      </c>
      <c r="K18" s="372">
        <v>169531</v>
      </c>
      <c r="L18" s="372">
        <v>90497</v>
      </c>
      <c r="M18" s="372"/>
      <c r="O18" s="374"/>
      <c r="P18" s="374"/>
      <c r="Q18" s="374"/>
      <c r="R18" s="374"/>
      <c r="S18" s="374"/>
      <c r="T18" s="374"/>
      <c r="U18" s="374"/>
    </row>
    <row r="19" spans="1:21" s="366" customFormat="1" ht="9" customHeight="1" x14ac:dyDescent="0.25">
      <c r="A19" s="375" t="s">
        <v>26</v>
      </c>
      <c r="B19" s="376">
        <f t="shared" si="1"/>
        <v>1457102</v>
      </c>
      <c r="C19" s="376"/>
      <c r="D19" s="376">
        <v>946327</v>
      </c>
      <c r="E19" s="376"/>
      <c r="F19" s="376">
        <f t="shared" si="0"/>
        <v>219906</v>
      </c>
      <c r="G19" s="377"/>
      <c r="H19" s="376">
        <v>38754</v>
      </c>
      <c r="I19" s="376">
        <v>34790</v>
      </c>
      <c r="J19" s="376">
        <v>146362</v>
      </c>
      <c r="K19" s="376">
        <v>193756</v>
      </c>
      <c r="L19" s="376">
        <v>97113</v>
      </c>
      <c r="M19" s="372"/>
      <c r="O19" s="374"/>
      <c r="P19" s="374"/>
      <c r="Q19" s="374"/>
      <c r="R19" s="374"/>
      <c r="S19" s="374"/>
      <c r="T19" s="374"/>
      <c r="U19" s="374"/>
    </row>
    <row r="20" spans="1:21" s="366" customFormat="1" ht="9" customHeight="1" x14ac:dyDescent="0.25">
      <c r="A20" s="366" t="s">
        <v>27</v>
      </c>
      <c r="B20" s="372">
        <f t="shared" si="1"/>
        <v>6572753</v>
      </c>
      <c r="C20" s="372"/>
      <c r="D20" s="372">
        <v>4338363</v>
      </c>
      <c r="E20" s="372"/>
      <c r="F20" s="372">
        <f t="shared" si="0"/>
        <v>981389</v>
      </c>
      <c r="G20" s="373"/>
      <c r="H20" s="372">
        <v>162311</v>
      </c>
      <c r="I20" s="372">
        <v>137492</v>
      </c>
      <c r="J20" s="372">
        <v>681586</v>
      </c>
      <c r="K20" s="372">
        <v>911906</v>
      </c>
      <c r="L20" s="372">
        <v>341095</v>
      </c>
      <c r="M20" s="372"/>
      <c r="O20" s="374"/>
      <c r="P20" s="374"/>
      <c r="Q20" s="374"/>
      <c r="R20" s="374"/>
      <c r="S20" s="374"/>
      <c r="T20" s="374"/>
      <c r="U20" s="374"/>
    </row>
    <row r="21" spans="1:21" s="366" customFormat="1" ht="9" customHeight="1" x14ac:dyDescent="0.25">
      <c r="A21" s="366" t="s">
        <v>28</v>
      </c>
      <c r="B21" s="372">
        <f t="shared" si="1"/>
        <v>1364409</v>
      </c>
      <c r="C21" s="372"/>
      <c r="D21" s="372">
        <v>885292</v>
      </c>
      <c r="E21" s="372"/>
      <c r="F21" s="372">
        <f t="shared" si="0"/>
        <v>198531</v>
      </c>
      <c r="G21" s="373"/>
      <c r="H21" s="372">
        <v>26015</v>
      </c>
      <c r="I21" s="372">
        <v>18813</v>
      </c>
      <c r="J21" s="372">
        <v>153703</v>
      </c>
      <c r="K21" s="372">
        <v>197190</v>
      </c>
      <c r="L21" s="372">
        <v>83396</v>
      </c>
      <c r="M21" s="372"/>
      <c r="O21" s="374"/>
      <c r="P21" s="374"/>
      <c r="Q21" s="374"/>
      <c r="R21" s="374"/>
      <c r="S21" s="374"/>
      <c r="T21" s="374"/>
      <c r="U21" s="374"/>
    </row>
    <row r="22" spans="1:21" s="366" customFormat="1" ht="9" customHeight="1" x14ac:dyDescent="0.25">
      <c r="A22" s="366" t="s">
        <v>29</v>
      </c>
      <c r="B22" s="372">
        <f t="shared" si="1"/>
        <v>4340674</v>
      </c>
      <c r="C22" s="372"/>
      <c r="D22" s="372">
        <v>3184188</v>
      </c>
      <c r="E22" s="372"/>
      <c r="F22" s="372">
        <f t="shared" si="0"/>
        <v>457020</v>
      </c>
      <c r="G22" s="373"/>
      <c r="H22" s="372">
        <v>63737</v>
      </c>
      <c r="I22" s="372">
        <v>54560</v>
      </c>
      <c r="J22" s="372">
        <v>338723</v>
      </c>
      <c r="K22" s="372">
        <v>382353</v>
      </c>
      <c r="L22" s="372">
        <v>317113</v>
      </c>
      <c r="M22" s="372"/>
      <c r="O22" s="374"/>
      <c r="P22" s="374"/>
      <c r="Q22" s="374"/>
      <c r="R22" s="374"/>
      <c r="S22" s="374"/>
      <c r="T22" s="374"/>
      <c r="U22" s="374"/>
    </row>
    <row r="23" spans="1:21" s="366" customFormat="1" ht="9" customHeight="1" x14ac:dyDescent="0.25">
      <c r="A23" s="375" t="s">
        <v>30</v>
      </c>
      <c r="B23" s="376">
        <f t="shared" si="1"/>
        <v>6068833</v>
      </c>
      <c r="C23" s="376"/>
      <c r="D23" s="376">
        <v>4291472</v>
      </c>
      <c r="E23" s="376"/>
      <c r="F23" s="376">
        <f t="shared" si="0"/>
        <v>842283</v>
      </c>
      <c r="G23" s="377"/>
      <c r="H23" s="376">
        <v>110562</v>
      </c>
      <c r="I23" s="376">
        <v>92942</v>
      </c>
      <c r="J23" s="376">
        <v>638779</v>
      </c>
      <c r="K23" s="376">
        <v>637877</v>
      </c>
      <c r="L23" s="376">
        <v>297201</v>
      </c>
      <c r="M23" s="372"/>
      <c r="O23" s="374"/>
      <c r="P23" s="374"/>
      <c r="Q23" s="374"/>
      <c r="R23" s="374"/>
      <c r="S23" s="374"/>
      <c r="T23" s="374"/>
      <c r="U23" s="374"/>
    </row>
    <row r="24" spans="1:21" s="366" customFormat="1" ht="9" customHeight="1" x14ac:dyDescent="0.25">
      <c r="A24" s="366" t="s">
        <v>63</v>
      </c>
      <c r="B24" s="372">
        <f t="shared" si="1"/>
        <v>28198426</v>
      </c>
      <c r="C24" s="372"/>
      <c r="D24" s="372">
        <v>14511289</v>
      </c>
      <c r="E24" s="372"/>
      <c r="F24" s="372">
        <f t="shared" si="0"/>
        <v>8041701</v>
      </c>
      <c r="G24" s="373"/>
      <c r="H24" s="372">
        <v>692765</v>
      </c>
      <c r="I24" s="372">
        <v>668278</v>
      </c>
      <c r="J24" s="372">
        <v>6680658</v>
      </c>
      <c r="K24" s="372">
        <v>3960799</v>
      </c>
      <c r="L24" s="372">
        <v>1684637</v>
      </c>
      <c r="M24" s="372"/>
      <c r="O24" s="374"/>
      <c r="P24" s="374"/>
      <c r="Q24" s="374"/>
      <c r="R24" s="374"/>
      <c r="S24" s="374"/>
      <c r="T24" s="374"/>
      <c r="U24" s="374"/>
    </row>
    <row r="25" spans="1:21" s="366" customFormat="1" ht="9" customHeight="1" x14ac:dyDescent="0.25">
      <c r="A25" s="366" t="s">
        <v>31</v>
      </c>
      <c r="B25" s="372">
        <f t="shared" si="1"/>
        <v>3350865</v>
      </c>
      <c r="C25" s="372"/>
      <c r="D25" s="372">
        <v>2513240</v>
      </c>
      <c r="E25" s="372"/>
      <c r="F25" s="372">
        <f t="shared" si="0"/>
        <v>385493</v>
      </c>
      <c r="G25" s="373"/>
      <c r="H25" s="372">
        <v>60954</v>
      </c>
      <c r="I25" s="372">
        <v>46335</v>
      </c>
      <c r="J25" s="372">
        <v>278204</v>
      </c>
      <c r="K25" s="372">
        <v>302433</v>
      </c>
      <c r="L25" s="372">
        <v>149699</v>
      </c>
      <c r="M25" s="372"/>
      <c r="O25" s="374"/>
      <c r="P25" s="374"/>
      <c r="Q25" s="374"/>
      <c r="R25" s="374"/>
      <c r="S25" s="374"/>
      <c r="T25" s="374"/>
      <c r="U25" s="374"/>
    </row>
    <row r="26" spans="1:21" s="366" customFormat="1" ht="9" customHeight="1" x14ac:dyDescent="0.25">
      <c r="A26" s="366" t="s">
        <v>32</v>
      </c>
      <c r="B26" s="372">
        <f t="shared" si="1"/>
        <v>6864270</v>
      </c>
      <c r="C26" s="372"/>
      <c r="D26" s="372">
        <v>4895511</v>
      </c>
      <c r="E26" s="372"/>
      <c r="F26" s="372">
        <f t="shared" si="0"/>
        <v>1016771</v>
      </c>
      <c r="G26" s="373"/>
      <c r="H26" s="372">
        <v>131293</v>
      </c>
      <c r="I26" s="372">
        <v>118393</v>
      </c>
      <c r="J26" s="372">
        <v>767085</v>
      </c>
      <c r="K26" s="372">
        <v>595853</v>
      </c>
      <c r="L26" s="372">
        <v>356135</v>
      </c>
      <c r="M26" s="372"/>
      <c r="O26" s="374"/>
      <c r="P26" s="374"/>
      <c r="Q26" s="374"/>
      <c r="R26" s="374"/>
      <c r="S26" s="374"/>
      <c r="T26" s="374"/>
      <c r="U26" s="374"/>
    </row>
    <row r="27" spans="1:21" s="366" customFormat="1" ht="9" customHeight="1" x14ac:dyDescent="0.25">
      <c r="A27" s="375" t="s">
        <v>33</v>
      </c>
      <c r="B27" s="376">
        <f t="shared" si="1"/>
        <v>4077226</v>
      </c>
      <c r="C27" s="376"/>
      <c r="D27" s="376">
        <v>2946019</v>
      </c>
      <c r="E27" s="376"/>
      <c r="F27" s="376">
        <f t="shared" si="0"/>
        <v>502038</v>
      </c>
      <c r="G27" s="377"/>
      <c r="H27" s="376">
        <v>54187</v>
      </c>
      <c r="I27" s="376">
        <v>55276</v>
      </c>
      <c r="J27" s="376">
        <v>392575</v>
      </c>
      <c r="K27" s="376">
        <v>434291</v>
      </c>
      <c r="L27" s="376">
        <v>194878</v>
      </c>
      <c r="M27" s="372"/>
      <c r="O27" s="374"/>
      <c r="P27" s="374"/>
      <c r="Q27" s="374"/>
      <c r="R27" s="374"/>
      <c r="S27" s="374"/>
      <c r="T27" s="374"/>
      <c r="U27" s="374"/>
    </row>
    <row r="28" spans="1:21" s="366" customFormat="1" ht="9" customHeight="1" x14ac:dyDescent="0.25">
      <c r="A28" s="366" t="s">
        <v>34</v>
      </c>
      <c r="B28" s="372">
        <f t="shared" si="1"/>
        <v>3497507</v>
      </c>
      <c r="C28" s="372"/>
      <c r="D28" s="372">
        <v>2549381</v>
      </c>
      <c r="E28" s="372"/>
      <c r="F28" s="372">
        <f t="shared" si="0"/>
        <v>383294</v>
      </c>
      <c r="G28" s="373"/>
      <c r="H28" s="372">
        <v>52024</v>
      </c>
      <c r="I28" s="372">
        <v>40874</v>
      </c>
      <c r="J28" s="372">
        <v>290396</v>
      </c>
      <c r="K28" s="372">
        <v>344244</v>
      </c>
      <c r="L28" s="372">
        <v>220588</v>
      </c>
      <c r="M28" s="372"/>
      <c r="O28" s="374"/>
      <c r="P28" s="374"/>
      <c r="Q28" s="374"/>
      <c r="R28" s="374"/>
      <c r="S28" s="374"/>
      <c r="T28" s="374"/>
      <c r="U28" s="374"/>
    </row>
    <row r="29" spans="1:21" s="366" customFormat="1" ht="9" customHeight="1" x14ac:dyDescent="0.25">
      <c r="A29" s="366" t="s">
        <v>35</v>
      </c>
      <c r="B29" s="372">
        <f t="shared" si="1"/>
        <v>12510181</v>
      </c>
      <c r="C29" s="372"/>
      <c r="D29" s="372">
        <v>8031252</v>
      </c>
      <c r="E29" s="372"/>
      <c r="F29" s="372">
        <f t="shared" si="0"/>
        <v>2263158</v>
      </c>
      <c r="G29" s="373"/>
      <c r="H29" s="372">
        <v>252139</v>
      </c>
      <c r="I29" s="372">
        <v>143219</v>
      </c>
      <c r="J29" s="372">
        <v>1867800</v>
      </c>
      <c r="K29" s="372">
        <v>1628030</v>
      </c>
      <c r="L29" s="372">
        <v>587741</v>
      </c>
      <c r="M29" s="372"/>
      <c r="O29" s="374"/>
      <c r="P29" s="374"/>
      <c r="Q29" s="374"/>
      <c r="R29" s="374"/>
      <c r="S29" s="374"/>
      <c r="T29" s="374"/>
      <c r="U29" s="374"/>
    </row>
    <row r="30" spans="1:21" s="366" customFormat="1" ht="9" customHeight="1" x14ac:dyDescent="0.25">
      <c r="A30" s="366" t="s">
        <v>36</v>
      </c>
      <c r="B30" s="372">
        <f t="shared" si="1"/>
        <v>17758253</v>
      </c>
      <c r="C30" s="372"/>
      <c r="D30" s="372">
        <v>13278152</v>
      </c>
      <c r="E30" s="372"/>
      <c r="F30" s="372">
        <f t="shared" si="0"/>
        <v>1693851</v>
      </c>
      <c r="G30" s="373"/>
      <c r="H30" s="372">
        <v>324810</v>
      </c>
      <c r="I30" s="372">
        <v>210772</v>
      </c>
      <c r="J30" s="372">
        <v>1158269</v>
      </c>
      <c r="K30" s="372">
        <v>1548216</v>
      </c>
      <c r="L30" s="372">
        <v>1238034</v>
      </c>
      <c r="M30" s="372"/>
      <c r="O30" s="374"/>
      <c r="P30" s="374"/>
      <c r="Q30" s="374"/>
      <c r="R30" s="374"/>
      <c r="S30" s="374"/>
      <c r="T30" s="374"/>
      <c r="U30" s="374"/>
    </row>
    <row r="31" spans="1:21" s="366" customFormat="1" ht="9" customHeight="1" x14ac:dyDescent="0.25">
      <c r="A31" s="375" t="s">
        <v>37</v>
      </c>
      <c r="B31" s="376">
        <f t="shared" si="1"/>
        <v>5755622</v>
      </c>
      <c r="C31" s="376"/>
      <c r="D31" s="376">
        <v>4289732</v>
      </c>
      <c r="E31" s="376"/>
      <c r="F31" s="376">
        <f t="shared" si="0"/>
        <v>655189</v>
      </c>
      <c r="G31" s="377"/>
      <c r="H31" s="376">
        <v>89198</v>
      </c>
      <c r="I31" s="376">
        <v>78349</v>
      </c>
      <c r="J31" s="376">
        <v>487642</v>
      </c>
      <c r="K31" s="376">
        <v>475334</v>
      </c>
      <c r="L31" s="376">
        <v>335367</v>
      </c>
      <c r="M31" s="372"/>
      <c r="O31" s="374"/>
      <c r="P31" s="374"/>
      <c r="Q31" s="374"/>
      <c r="R31" s="374"/>
      <c r="S31" s="374"/>
      <c r="T31" s="374"/>
      <c r="U31" s="374"/>
    </row>
    <row r="32" spans="1:21" s="366" customFormat="1" ht="9" customHeight="1" x14ac:dyDescent="0.25">
      <c r="A32" s="366" t="s">
        <v>38</v>
      </c>
      <c r="B32" s="372">
        <f t="shared" si="1"/>
        <v>2903004</v>
      </c>
      <c r="C32" s="372"/>
      <c r="D32" s="372">
        <v>1960149</v>
      </c>
      <c r="E32" s="372"/>
      <c r="F32" s="372">
        <f t="shared" si="0"/>
        <v>336113</v>
      </c>
      <c r="G32" s="373"/>
      <c r="H32" s="372">
        <v>46048</v>
      </c>
      <c r="I32" s="372">
        <v>41083</v>
      </c>
      <c r="J32" s="372">
        <v>248982</v>
      </c>
      <c r="K32" s="372">
        <v>404839</v>
      </c>
      <c r="L32" s="372">
        <v>201903</v>
      </c>
      <c r="M32" s="372"/>
      <c r="O32" s="374"/>
      <c r="P32" s="374"/>
      <c r="Q32" s="374"/>
      <c r="R32" s="374"/>
      <c r="S32" s="374"/>
      <c r="T32" s="374"/>
      <c r="U32" s="374"/>
    </row>
    <row r="33" spans="1:21" s="366" customFormat="1" ht="9" customHeight="1" x14ac:dyDescent="0.25">
      <c r="A33" s="366" t="s">
        <v>39</v>
      </c>
      <c r="B33" s="372">
        <f t="shared" si="1"/>
        <v>2077588</v>
      </c>
      <c r="C33" s="372"/>
      <c r="D33" s="372">
        <v>1504063</v>
      </c>
      <c r="E33" s="372"/>
      <c r="F33" s="372">
        <f t="shared" si="0"/>
        <v>269110</v>
      </c>
      <c r="G33" s="373"/>
      <c r="H33" s="372">
        <v>47178</v>
      </c>
      <c r="I33" s="372">
        <v>37784</v>
      </c>
      <c r="J33" s="372">
        <v>184148</v>
      </c>
      <c r="K33" s="372">
        <v>176395</v>
      </c>
      <c r="L33" s="372">
        <v>128020</v>
      </c>
      <c r="M33" s="372"/>
      <c r="O33" s="374"/>
      <c r="P33" s="374"/>
      <c r="Q33" s="374"/>
      <c r="R33" s="374"/>
      <c r="S33" s="374"/>
      <c r="T33" s="374"/>
      <c r="U33" s="374"/>
    </row>
    <row r="34" spans="1:21" s="366" customFormat="1" ht="9" customHeight="1" x14ac:dyDescent="0.25">
      <c r="A34" s="366" t="s">
        <v>40</v>
      </c>
      <c r="B34" s="372">
        <f t="shared" si="1"/>
        <v>10024914</v>
      </c>
      <c r="C34" s="372"/>
      <c r="D34" s="372">
        <v>6400526</v>
      </c>
      <c r="E34" s="372"/>
      <c r="F34" s="372">
        <f t="shared" si="0"/>
        <v>1594695</v>
      </c>
      <c r="G34" s="373"/>
      <c r="H34" s="372">
        <v>253064</v>
      </c>
      <c r="I34" s="372">
        <v>186306</v>
      </c>
      <c r="J34" s="372">
        <v>1155325</v>
      </c>
      <c r="K34" s="372">
        <v>1515093</v>
      </c>
      <c r="L34" s="372">
        <v>514600</v>
      </c>
      <c r="M34" s="372"/>
      <c r="O34" s="374"/>
      <c r="P34" s="374"/>
      <c r="Q34" s="374"/>
      <c r="R34" s="374"/>
      <c r="S34" s="374"/>
      <c r="T34" s="374"/>
      <c r="U34" s="374"/>
    </row>
    <row r="35" spans="1:21" s="366" customFormat="1" ht="9" customHeight="1" x14ac:dyDescent="0.25">
      <c r="A35" s="375" t="s">
        <v>41</v>
      </c>
      <c r="B35" s="376">
        <f t="shared" si="1"/>
        <v>4234239</v>
      </c>
      <c r="C35" s="376"/>
      <c r="D35" s="376">
        <v>3261208</v>
      </c>
      <c r="E35" s="376"/>
      <c r="F35" s="376">
        <f t="shared" si="0"/>
        <v>418513</v>
      </c>
      <c r="G35" s="377"/>
      <c r="H35" s="376">
        <v>63118</v>
      </c>
      <c r="I35" s="376">
        <v>58925</v>
      </c>
      <c r="J35" s="376">
        <v>296470</v>
      </c>
      <c r="K35" s="376">
        <v>239916</v>
      </c>
      <c r="L35" s="376">
        <v>314602</v>
      </c>
      <c r="M35" s="372"/>
      <c r="O35" s="374"/>
      <c r="P35" s="374"/>
      <c r="Q35" s="374"/>
      <c r="R35" s="374"/>
      <c r="S35" s="374"/>
      <c r="T35" s="374"/>
      <c r="U35" s="374"/>
    </row>
    <row r="36" spans="1:21" s="366" customFormat="1" ht="9" customHeight="1" x14ac:dyDescent="0.25">
      <c r="A36" s="366" t="s">
        <v>42</v>
      </c>
      <c r="B36" s="372">
        <f t="shared" si="1"/>
        <v>6813529</v>
      </c>
      <c r="C36" s="372"/>
      <c r="D36" s="372">
        <v>4792791</v>
      </c>
      <c r="E36" s="372"/>
      <c r="F36" s="372">
        <f t="shared" si="0"/>
        <v>906607</v>
      </c>
      <c r="G36" s="373"/>
      <c r="H36" s="372">
        <v>99731</v>
      </c>
      <c r="I36" s="372">
        <v>133613</v>
      </c>
      <c r="J36" s="372">
        <v>673263</v>
      </c>
      <c r="K36" s="372">
        <v>573672</v>
      </c>
      <c r="L36" s="372">
        <v>540459</v>
      </c>
      <c r="M36" s="372"/>
      <c r="O36" s="374"/>
      <c r="P36" s="374"/>
      <c r="Q36" s="374"/>
      <c r="R36" s="374"/>
      <c r="S36" s="374"/>
      <c r="T36" s="374"/>
      <c r="U36" s="374"/>
    </row>
    <row r="37" spans="1:21" s="366" customFormat="1" ht="9" customHeight="1" x14ac:dyDescent="0.25">
      <c r="A37" s="366" t="s">
        <v>43</v>
      </c>
      <c r="B37" s="372">
        <f t="shared" si="1"/>
        <v>2357033</v>
      </c>
      <c r="C37" s="372"/>
      <c r="D37" s="372">
        <v>1567509</v>
      </c>
      <c r="E37" s="372"/>
      <c r="F37" s="372">
        <f t="shared" si="0"/>
        <v>347505</v>
      </c>
      <c r="G37" s="373"/>
      <c r="H37" s="372">
        <v>79051</v>
      </c>
      <c r="I37" s="372">
        <v>27173</v>
      </c>
      <c r="J37" s="372">
        <v>241281</v>
      </c>
      <c r="K37" s="372">
        <v>271059</v>
      </c>
      <c r="L37" s="372">
        <v>170960</v>
      </c>
      <c r="M37" s="372"/>
      <c r="N37" s="374"/>
      <c r="O37" s="374"/>
      <c r="P37" s="374"/>
      <c r="Q37" s="374"/>
      <c r="R37" s="374"/>
      <c r="S37" s="374"/>
      <c r="T37" s="374"/>
      <c r="U37" s="374"/>
    </row>
    <row r="38" spans="1:21" s="366" customFormat="1" ht="9" customHeight="1" x14ac:dyDescent="0.25">
      <c r="A38" s="366" t="s">
        <v>44</v>
      </c>
      <c r="B38" s="372">
        <f t="shared" si="1"/>
        <v>1438543</v>
      </c>
      <c r="C38" s="372"/>
      <c r="D38" s="372">
        <v>972383</v>
      </c>
      <c r="E38" s="372"/>
      <c r="F38" s="372">
        <f t="shared" si="0"/>
        <v>170905</v>
      </c>
      <c r="G38" s="373"/>
      <c r="H38" s="372">
        <v>30409</v>
      </c>
      <c r="I38" s="372">
        <v>21803</v>
      </c>
      <c r="J38" s="372">
        <v>118693</v>
      </c>
      <c r="K38" s="372">
        <v>189884</v>
      </c>
      <c r="L38" s="372">
        <v>105371</v>
      </c>
      <c r="M38" s="372"/>
      <c r="N38" s="374"/>
      <c r="O38" s="374"/>
      <c r="P38" s="374"/>
      <c r="Q38" s="374"/>
      <c r="R38" s="374"/>
      <c r="S38" s="374"/>
      <c r="T38" s="374"/>
      <c r="U38" s="374"/>
    </row>
    <row r="39" spans="1:21" s="366" customFormat="1" ht="9" customHeight="1" x14ac:dyDescent="0.25">
      <c r="A39" s="375" t="s">
        <v>45</v>
      </c>
      <c r="B39" s="376">
        <f t="shared" si="1"/>
        <v>3802035</v>
      </c>
      <c r="C39" s="376"/>
      <c r="D39" s="376">
        <v>2751971</v>
      </c>
      <c r="E39" s="376"/>
      <c r="F39" s="376">
        <f t="shared" si="0"/>
        <v>501040</v>
      </c>
      <c r="G39" s="377"/>
      <c r="H39" s="376">
        <v>65644</v>
      </c>
      <c r="I39" s="376">
        <v>47573</v>
      </c>
      <c r="J39" s="376">
        <v>387823</v>
      </c>
      <c r="K39" s="376">
        <v>341797</v>
      </c>
      <c r="L39" s="376">
        <v>207227</v>
      </c>
      <c r="M39" s="372"/>
      <c r="N39" s="374"/>
      <c r="O39" s="374"/>
      <c r="P39" s="374"/>
      <c r="Q39" s="374"/>
      <c r="R39" s="374"/>
      <c r="S39" s="374"/>
      <c r="T39" s="374"/>
      <c r="U39" s="374"/>
    </row>
    <row r="40" spans="1:21" s="366" customFormat="1" ht="9" customHeight="1" x14ac:dyDescent="0.25">
      <c r="A40" s="366" t="s">
        <v>46</v>
      </c>
      <c r="B40" s="372">
        <f t="shared" si="1"/>
        <v>6353584</v>
      </c>
      <c r="C40" s="372"/>
      <c r="D40" s="372">
        <v>4565581</v>
      </c>
      <c r="E40" s="372"/>
      <c r="F40" s="372">
        <f t="shared" si="0"/>
        <v>825037</v>
      </c>
      <c r="G40" s="373"/>
      <c r="H40" s="372">
        <v>88023</v>
      </c>
      <c r="I40" s="372">
        <v>109096</v>
      </c>
      <c r="J40" s="372">
        <v>627918</v>
      </c>
      <c r="K40" s="372">
        <v>659079</v>
      </c>
      <c r="L40" s="372">
        <v>303887</v>
      </c>
      <c r="M40" s="372"/>
      <c r="N40" s="374"/>
      <c r="O40" s="374"/>
      <c r="P40" s="374"/>
      <c r="Q40" s="374"/>
      <c r="R40" s="374"/>
      <c r="S40" s="374"/>
      <c r="T40" s="374"/>
      <c r="U40" s="374"/>
    </row>
    <row r="41" spans="1:21" s="366" customFormat="1" ht="9" customHeight="1" x14ac:dyDescent="0.25">
      <c r="A41" s="366" t="s">
        <v>47</v>
      </c>
      <c r="B41" s="372">
        <f t="shared" si="1"/>
        <v>6261820</v>
      </c>
      <c r="C41" s="372"/>
      <c r="D41" s="372">
        <v>3859504</v>
      </c>
      <c r="E41" s="372"/>
      <c r="F41" s="372">
        <f t="shared" si="0"/>
        <v>1397038</v>
      </c>
      <c r="G41" s="373"/>
      <c r="H41" s="372">
        <v>123511</v>
      </c>
      <c r="I41" s="372">
        <v>126712</v>
      </c>
      <c r="J41" s="372">
        <v>1146815</v>
      </c>
      <c r="K41" s="372">
        <v>726753</v>
      </c>
      <c r="L41" s="372">
        <v>278525</v>
      </c>
      <c r="M41" s="372"/>
      <c r="N41" s="374"/>
      <c r="O41" s="374"/>
      <c r="P41" s="374"/>
      <c r="Q41" s="374"/>
      <c r="R41" s="374"/>
      <c r="S41" s="374"/>
      <c r="T41" s="374"/>
      <c r="U41" s="374"/>
    </row>
    <row r="42" spans="1:21" s="366" customFormat="1" ht="9" customHeight="1" x14ac:dyDescent="0.25">
      <c r="A42" s="366" t="s">
        <v>48</v>
      </c>
      <c r="B42" s="372">
        <f t="shared" si="1"/>
        <v>4425232</v>
      </c>
      <c r="C42" s="372"/>
      <c r="D42" s="372">
        <v>3140698</v>
      </c>
      <c r="E42" s="372"/>
      <c r="F42" s="372">
        <f t="shared" si="0"/>
        <v>598660</v>
      </c>
      <c r="G42" s="373"/>
      <c r="H42" s="372">
        <v>75427</v>
      </c>
      <c r="I42" s="372">
        <v>140335</v>
      </c>
      <c r="J42" s="372">
        <v>382898</v>
      </c>
      <c r="K42" s="372">
        <v>344177</v>
      </c>
      <c r="L42" s="372">
        <v>341697</v>
      </c>
      <c r="M42" s="372"/>
      <c r="N42" s="374"/>
      <c r="O42" s="374"/>
      <c r="P42" s="374"/>
      <c r="Q42" s="374"/>
      <c r="R42" s="374"/>
      <c r="S42" s="374"/>
      <c r="T42" s="374"/>
      <c r="U42" s="374"/>
    </row>
    <row r="43" spans="1:21" s="366" customFormat="1" ht="9" customHeight="1" x14ac:dyDescent="0.25">
      <c r="A43" s="375" t="s">
        <v>49</v>
      </c>
      <c r="B43" s="376">
        <f t="shared" si="1"/>
        <v>6818710</v>
      </c>
      <c r="C43" s="376"/>
      <c r="D43" s="376">
        <v>4538447</v>
      </c>
      <c r="E43" s="376"/>
      <c r="F43" s="376">
        <f t="shared" si="0"/>
        <v>1221366</v>
      </c>
      <c r="G43" s="377"/>
      <c r="H43" s="376">
        <v>152789</v>
      </c>
      <c r="I43" s="376">
        <v>193437</v>
      </c>
      <c r="J43" s="376">
        <v>875140</v>
      </c>
      <c r="K43" s="376">
        <v>753207</v>
      </c>
      <c r="L43" s="376">
        <v>305690</v>
      </c>
      <c r="M43" s="372"/>
      <c r="N43" s="374"/>
      <c r="O43" s="374"/>
      <c r="P43" s="374"/>
      <c r="Q43" s="374"/>
      <c r="R43" s="374"/>
      <c r="S43" s="374"/>
      <c r="T43" s="374"/>
      <c r="U43" s="374"/>
    </row>
    <row r="44" spans="1:21" s="366" customFormat="1" ht="9" customHeight="1" x14ac:dyDescent="0.25">
      <c r="A44" s="366" t="s">
        <v>50</v>
      </c>
      <c r="B44" s="372">
        <f t="shared" si="1"/>
        <v>1693282</v>
      </c>
      <c r="C44" s="372"/>
      <c r="D44" s="372">
        <v>1232022</v>
      </c>
      <c r="E44" s="372"/>
      <c r="F44" s="372">
        <f t="shared" si="0"/>
        <v>152006</v>
      </c>
      <c r="G44" s="373"/>
      <c r="H44" s="372">
        <v>17344</v>
      </c>
      <c r="I44" s="372">
        <v>15360</v>
      </c>
      <c r="J44" s="372">
        <v>119302</v>
      </c>
      <c r="K44" s="372">
        <v>175677</v>
      </c>
      <c r="L44" s="372">
        <v>133577</v>
      </c>
      <c r="M44" s="372"/>
      <c r="N44" s="374"/>
      <c r="O44" s="374"/>
      <c r="P44" s="374"/>
      <c r="Q44" s="374"/>
      <c r="R44" s="374"/>
      <c r="S44" s="374"/>
      <c r="T44" s="374"/>
      <c r="U44" s="374"/>
    </row>
    <row r="45" spans="1:21" s="366" customFormat="1" ht="9" customHeight="1" x14ac:dyDescent="0.25">
      <c r="A45" s="366" t="s">
        <v>51</v>
      </c>
      <c r="B45" s="372">
        <f t="shared" si="1"/>
        <v>12169871</v>
      </c>
      <c r="C45" s="372"/>
      <c r="D45" s="372">
        <v>8530892</v>
      </c>
      <c r="E45" s="372"/>
      <c r="F45" s="372">
        <f t="shared" si="0"/>
        <v>1910970</v>
      </c>
      <c r="G45" s="373"/>
      <c r="H45" s="372">
        <v>291416</v>
      </c>
      <c r="I45" s="372">
        <v>309966</v>
      </c>
      <c r="J45" s="372">
        <v>1309588</v>
      </c>
      <c r="K45" s="372">
        <v>1110327</v>
      </c>
      <c r="L45" s="372">
        <v>617682</v>
      </c>
      <c r="M45" s="372"/>
      <c r="N45" s="374"/>
      <c r="O45" s="374"/>
      <c r="P45" s="374"/>
      <c r="Q45" s="374"/>
      <c r="R45" s="374"/>
      <c r="S45" s="374"/>
      <c r="T45" s="374"/>
      <c r="U45" s="374"/>
    </row>
    <row r="46" spans="1:21" s="366" customFormat="1" ht="9" customHeight="1" x14ac:dyDescent="0.25">
      <c r="A46" s="366" t="s">
        <v>52</v>
      </c>
      <c r="B46" s="372">
        <f t="shared" si="1"/>
        <v>4014954</v>
      </c>
      <c r="C46" s="372"/>
      <c r="D46" s="372">
        <v>2942901</v>
      </c>
      <c r="E46" s="372"/>
      <c r="F46" s="372">
        <f t="shared" si="0"/>
        <v>564003</v>
      </c>
      <c r="G46" s="373"/>
      <c r="H46" s="372">
        <v>81861</v>
      </c>
      <c r="I46" s="372">
        <v>53337</v>
      </c>
      <c r="J46" s="372">
        <v>428805</v>
      </c>
      <c r="K46" s="372">
        <v>297775</v>
      </c>
      <c r="L46" s="372">
        <v>210275</v>
      </c>
      <c r="M46" s="372"/>
      <c r="N46" s="374"/>
      <c r="O46" s="374"/>
      <c r="P46" s="374"/>
      <c r="Q46" s="374"/>
      <c r="R46" s="374"/>
      <c r="S46" s="374"/>
      <c r="T46" s="374"/>
      <c r="U46" s="374"/>
    </row>
    <row r="47" spans="1:21" s="366" customFormat="1" ht="9" customHeight="1" x14ac:dyDescent="0.25">
      <c r="A47" s="375" t="s">
        <v>53</v>
      </c>
      <c r="B47" s="376">
        <f t="shared" si="1"/>
        <v>2598504</v>
      </c>
      <c r="C47" s="376"/>
      <c r="D47" s="376">
        <v>1969319</v>
      </c>
      <c r="E47" s="376"/>
      <c r="F47" s="376">
        <f t="shared" si="0"/>
        <v>259746</v>
      </c>
      <c r="G47" s="377"/>
      <c r="H47" s="376">
        <v>38114</v>
      </c>
      <c r="I47" s="376">
        <v>31313</v>
      </c>
      <c r="J47" s="376">
        <v>190319</v>
      </c>
      <c r="K47" s="376">
        <v>224249</v>
      </c>
      <c r="L47" s="376">
        <v>145190</v>
      </c>
      <c r="M47" s="372"/>
      <c r="N47" s="374"/>
      <c r="O47" s="374"/>
      <c r="P47" s="374"/>
      <c r="Q47" s="374"/>
      <c r="R47" s="374"/>
      <c r="S47" s="374"/>
      <c r="T47" s="374"/>
      <c r="U47" s="374"/>
    </row>
    <row r="48" spans="1:21" s="366" customFormat="1" ht="9" customHeight="1" x14ac:dyDescent="0.25">
      <c r="A48" s="378"/>
      <c r="B48" s="379"/>
      <c r="C48" s="379"/>
      <c r="D48" s="379"/>
      <c r="E48" s="379"/>
      <c r="F48" s="379"/>
      <c r="G48" s="380"/>
      <c r="H48" s="379"/>
      <c r="I48" s="379"/>
      <c r="J48" s="379"/>
      <c r="K48" s="379"/>
      <c r="L48" s="379"/>
      <c r="M48" s="372"/>
      <c r="N48" s="374"/>
      <c r="O48" s="374"/>
      <c r="P48" s="374"/>
      <c r="Q48" s="374"/>
      <c r="R48" s="374"/>
      <c r="S48" s="374"/>
      <c r="T48" s="374"/>
      <c r="U48" s="374"/>
    </row>
    <row r="49" spans="1:12" s="366" customFormat="1" ht="9" customHeight="1" x14ac:dyDescent="0.25">
      <c r="A49" s="363">
        <v>1996</v>
      </c>
      <c r="B49" s="364"/>
      <c r="C49" s="364"/>
      <c r="D49" s="364"/>
      <c r="E49" s="364"/>
      <c r="F49" s="364"/>
      <c r="G49" s="365"/>
      <c r="H49" s="364"/>
      <c r="I49" s="364"/>
      <c r="J49" s="364"/>
      <c r="K49" s="364"/>
    </row>
    <row r="50" spans="1:12" s="371" customFormat="1" ht="9" customHeight="1" x14ac:dyDescent="0.25">
      <c r="A50" s="367" t="s">
        <v>21</v>
      </c>
      <c r="B50" s="368">
        <f>SUM(B52:B83)</f>
        <v>197554137</v>
      </c>
      <c r="C50" s="368"/>
      <c r="D50" s="368">
        <f>SUM(D52:D83)</f>
        <v>131811990</v>
      </c>
      <c r="E50" s="368"/>
      <c r="F50" s="381">
        <f>SUM(F52:F83)</f>
        <v>32213112</v>
      </c>
      <c r="G50" s="382" t="s">
        <v>194</v>
      </c>
      <c r="H50" s="368">
        <f>SUM(H52:H83)</f>
        <v>4036934</v>
      </c>
      <c r="I50" s="368">
        <f>SUM(I52:I83)</f>
        <v>3755736</v>
      </c>
      <c r="J50" s="368">
        <f>SUM(J52:J83)</f>
        <v>24376130</v>
      </c>
      <c r="K50" s="368">
        <f>SUM(K52:K83)</f>
        <v>21943196</v>
      </c>
      <c r="L50" s="368">
        <f>SUM(L52:L83)</f>
        <v>11585839</v>
      </c>
    </row>
    <row r="51" spans="1:12" s="371" customFormat="1" ht="3.95" customHeight="1" x14ac:dyDescent="0.25">
      <c r="A51" s="367"/>
      <c r="B51" s="368"/>
      <c r="C51" s="368"/>
      <c r="D51" s="368"/>
      <c r="E51" s="368"/>
      <c r="F51" s="381"/>
      <c r="G51" s="382"/>
      <c r="H51" s="368"/>
      <c r="I51" s="368"/>
      <c r="J51" s="368"/>
      <c r="K51" s="368"/>
      <c r="L51" s="368"/>
    </row>
    <row r="52" spans="1:12" s="366" customFormat="1" ht="9" customHeight="1" x14ac:dyDescent="0.25">
      <c r="A52" s="366" t="s">
        <v>23</v>
      </c>
      <c r="B52" s="372">
        <f t="shared" ref="B52:B83" si="2">SUM(D52+F52+K52+L52)</f>
        <v>2068621</v>
      </c>
      <c r="C52" s="372"/>
      <c r="D52" s="372">
        <v>1375124</v>
      </c>
      <c r="E52" s="372"/>
      <c r="F52" s="372">
        <f t="shared" ref="F52:F58" si="3">SUM(H52:J52)</f>
        <v>305276</v>
      </c>
      <c r="G52" s="373"/>
      <c r="H52" s="372">
        <v>61026</v>
      </c>
      <c r="I52" s="372">
        <v>26850</v>
      </c>
      <c r="J52" s="372">
        <v>217400</v>
      </c>
      <c r="K52" s="372">
        <v>254346</v>
      </c>
      <c r="L52" s="372">
        <v>133875</v>
      </c>
    </row>
    <row r="53" spans="1:12" s="366" customFormat="1" ht="9" customHeight="1" x14ac:dyDescent="0.25">
      <c r="A53" s="366" t="s">
        <v>24</v>
      </c>
      <c r="B53" s="372">
        <f t="shared" si="2"/>
        <v>4321626</v>
      </c>
      <c r="C53" s="372"/>
      <c r="D53" s="372">
        <v>2693233</v>
      </c>
      <c r="E53" s="372"/>
      <c r="F53" s="372">
        <f t="shared" si="3"/>
        <v>753114</v>
      </c>
      <c r="G53" s="373"/>
      <c r="H53" s="372">
        <v>81490</v>
      </c>
      <c r="I53" s="372">
        <v>42516</v>
      </c>
      <c r="J53" s="372">
        <v>629108</v>
      </c>
      <c r="K53" s="372">
        <v>626379</v>
      </c>
      <c r="L53" s="372">
        <v>248900</v>
      </c>
    </row>
    <row r="54" spans="1:12" s="366" customFormat="1" ht="9" customHeight="1" x14ac:dyDescent="0.25">
      <c r="A54" s="366" t="s">
        <v>25</v>
      </c>
      <c r="B54" s="372">
        <f t="shared" si="2"/>
        <v>1369755</v>
      </c>
      <c r="C54" s="372"/>
      <c r="D54" s="372">
        <v>880594</v>
      </c>
      <c r="E54" s="372"/>
      <c r="F54" s="372">
        <f t="shared" si="3"/>
        <v>230696</v>
      </c>
      <c r="G54" s="373"/>
      <c r="H54" s="372">
        <v>32029</v>
      </c>
      <c r="I54" s="372">
        <v>27991</v>
      </c>
      <c r="J54" s="372">
        <v>170676</v>
      </c>
      <c r="K54" s="372">
        <v>175308</v>
      </c>
      <c r="L54" s="372">
        <v>83157</v>
      </c>
    </row>
    <row r="55" spans="1:12" s="366" customFormat="1" ht="9" customHeight="1" x14ac:dyDescent="0.25">
      <c r="A55" s="375" t="s">
        <v>26</v>
      </c>
      <c r="B55" s="376">
        <f t="shared" si="2"/>
        <v>1619539</v>
      </c>
      <c r="C55" s="376"/>
      <c r="D55" s="376">
        <v>1050637</v>
      </c>
      <c r="E55" s="376"/>
      <c r="F55" s="376">
        <f t="shared" si="3"/>
        <v>251396</v>
      </c>
      <c r="G55" s="377"/>
      <c r="H55" s="376">
        <v>50966</v>
      </c>
      <c r="I55" s="376">
        <v>42476</v>
      </c>
      <c r="J55" s="376">
        <v>157954</v>
      </c>
      <c r="K55" s="376">
        <v>215722</v>
      </c>
      <c r="L55" s="376">
        <v>101784</v>
      </c>
    </row>
    <row r="56" spans="1:12" s="366" customFormat="1" ht="9" customHeight="1" x14ac:dyDescent="0.25">
      <c r="A56" s="366" t="s">
        <v>27</v>
      </c>
      <c r="B56" s="372">
        <f t="shared" si="2"/>
        <v>6711533</v>
      </c>
      <c r="C56" s="372"/>
      <c r="D56" s="372">
        <v>4452152</v>
      </c>
      <c r="E56" s="372"/>
      <c r="F56" s="372">
        <f t="shared" si="3"/>
        <v>966995</v>
      </c>
      <c r="G56" s="373"/>
      <c r="H56" s="372">
        <v>158087</v>
      </c>
      <c r="I56" s="372">
        <v>125059</v>
      </c>
      <c r="J56" s="372">
        <v>683849</v>
      </c>
      <c r="K56" s="372">
        <v>965816</v>
      </c>
      <c r="L56" s="372">
        <v>326570</v>
      </c>
    </row>
    <row r="57" spans="1:12" s="366" customFormat="1" ht="9" customHeight="1" x14ac:dyDescent="0.25">
      <c r="A57" s="366" t="s">
        <v>28</v>
      </c>
      <c r="B57" s="372">
        <f t="shared" si="2"/>
        <v>1420590</v>
      </c>
      <c r="C57" s="372"/>
      <c r="D57" s="372">
        <v>924824</v>
      </c>
      <c r="E57" s="372"/>
      <c r="F57" s="372">
        <f t="shared" si="3"/>
        <v>210855</v>
      </c>
      <c r="G57" s="373"/>
      <c r="H57" s="372">
        <v>28352</v>
      </c>
      <c r="I57" s="372">
        <v>19575</v>
      </c>
      <c r="J57" s="372">
        <v>162928</v>
      </c>
      <c r="K57" s="372">
        <v>199847</v>
      </c>
      <c r="L57" s="372">
        <v>85064</v>
      </c>
    </row>
    <row r="58" spans="1:12" s="366" customFormat="1" ht="9" customHeight="1" x14ac:dyDescent="0.25">
      <c r="A58" s="366" t="s">
        <v>29</v>
      </c>
      <c r="B58" s="372">
        <f t="shared" si="2"/>
        <v>5056917</v>
      </c>
      <c r="C58" s="372"/>
      <c r="D58" s="372">
        <v>3752348</v>
      </c>
      <c r="E58" s="372"/>
      <c r="F58" s="372">
        <f t="shared" si="3"/>
        <v>529482</v>
      </c>
      <c r="G58" s="373"/>
      <c r="H58" s="372">
        <v>75949</v>
      </c>
      <c r="I58" s="372">
        <v>61960</v>
      </c>
      <c r="J58" s="372">
        <v>391573</v>
      </c>
      <c r="K58" s="372">
        <v>421176</v>
      </c>
      <c r="L58" s="372">
        <v>353911</v>
      </c>
    </row>
    <row r="59" spans="1:12" s="366" customFormat="1" ht="9" customHeight="1" x14ac:dyDescent="0.25">
      <c r="A59" s="375" t="s">
        <v>30</v>
      </c>
      <c r="B59" s="376">
        <f t="shared" si="2"/>
        <v>6363650</v>
      </c>
      <c r="C59" s="376"/>
      <c r="D59" s="376">
        <v>4564482</v>
      </c>
      <c r="E59" s="376"/>
      <c r="F59" s="376">
        <f>SUM(H59:J59)+26828</f>
        <v>897373</v>
      </c>
      <c r="G59" s="377" t="s">
        <v>194</v>
      </c>
      <c r="H59" s="376">
        <v>105379</v>
      </c>
      <c r="I59" s="376">
        <v>98454</v>
      </c>
      <c r="J59" s="376">
        <v>666712</v>
      </c>
      <c r="K59" s="376">
        <v>631868</v>
      </c>
      <c r="L59" s="376">
        <v>269927</v>
      </c>
    </row>
    <row r="60" spans="1:12" s="366" customFormat="1" ht="9" customHeight="1" x14ac:dyDescent="0.25">
      <c r="A60" s="366" t="s">
        <v>63</v>
      </c>
      <c r="B60" s="372">
        <f t="shared" si="2"/>
        <v>30433858</v>
      </c>
      <c r="C60" s="372"/>
      <c r="D60" s="372">
        <v>15390724</v>
      </c>
      <c r="E60" s="372"/>
      <c r="F60" s="372">
        <f>SUM(H60:J60)+17484</f>
        <v>8747325</v>
      </c>
      <c r="G60" s="373" t="s">
        <v>194</v>
      </c>
      <c r="H60" s="372">
        <v>747302</v>
      </c>
      <c r="I60" s="372">
        <v>823152</v>
      </c>
      <c r="J60" s="372">
        <v>7159387</v>
      </c>
      <c r="K60" s="372">
        <v>4146856</v>
      </c>
      <c r="L60" s="372">
        <v>2148953</v>
      </c>
    </row>
    <row r="61" spans="1:12" s="366" customFormat="1" ht="9" customHeight="1" x14ac:dyDescent="0.25">
      <c r="A61" s="366" t="s">
        <v>31</v>
      </c>
      <c r="B61" s="372">
        <f t="shared" si="2"/>
        <v>3548692</v>
      </c>
      <c r="C61" s="372"/>
      <c r="D61" s="372">
        <v>2593929</v>
      </c>
      <c r="E61" s="372"/>
      <c r="F61" s="372">
        <f t="shared" ref="F61:F83" si="4">SUM(H61:J61)</f>
        <v>435550</v>
      </c>
      <c r="G61" s="373"/>
      <c r="H61" s="372">
        <v>73088</v>
      </c>
      <c r="I61" s="372">
        <v>46298</v>
      </c>
      <c r="J61" s="372">
        <v>316164</v>
      </c>
      <c r="K61" s="372">
        <v>379182</v>
      </c>
      <c r="L61" s="372">
        <v>140031</v>
      </c>
    </row>
    <row r="62" spans="1:12" s="366" customFormat="1" ht="9" customHeight="1" x14ac:dyDescent="0.25">
      <c r="A62" s="366" t="s">
        <v>32</v>
      </c>
      <c r="B62" s="372">
        <f t="shared" si="2"/>
        <v>6884195</v>
      </c>
      <c r="C62" s="372"/>
      <c r="D62" s="372">
        <v>4855304</v>
      </c>
      <c r="E62" s="372"/>
      <c r="F62" s="372">
        <f t="shared" si="4"/>
        <v>1067559</v>
      </c>
      <c r="G62" s="373"/>
      <c r="H62" s="372">
        <v>133751</v>
      </c>
      <c r="I62" s="372">
        <v>118053</v>
      </c>
      <c r="J62" s="372">
        <v>815755</v>
      </c>
      <c r="K62" s="372">
        <v>611176</v>
      </c>
      <c r="L62" s="372">
        <v>350156</v>
      </c>
    </row>
    <row r="63" spans="1:12" s="366" customFormat="1" ht="9" customHeight="1" x14ac:dyDescent="0.25">
      <c r="A63" s="375" t="s">
        <v>33</v>
      </c>
      <c r="B63" s="376">
        <f t="shared" si="2"/>
        <v>4337147</v>
      </c>
      <c r="C63" s="376"/>
      <c r="D63" s="376">
        <v>3132232</v>
      </c>
      <c r="E63" s="376"/>
      <c r="F63" s="376">
        <f t="shared" si="4"/>
        <v>547604</v>
      </c>
      <c r="G63" s="377"/>
      <c r="H63" s="376">
        <v>58801</v>
      </c>
      <c r="I63" s="376">
        <v>60163</v>
      </c>
      <c r="J63" s="376">
        <v>428640</v>
      </c>
      <c r="K63" s="376">
        <v>448692</v>
      </c>
      <c r="L63" s="376">
        <v>208619</v>
      </c>
    </row>
    <row r="64" spans="1:12" s="366" customFormat="1" ht="9" customHeight="1" x14ac:dyDescent="0.25">
      <c r="A64" s="366" t="s">
        <v>34</v>
      </c>
      <c r="B64" s="372">
        <f t="shared" si="2"/>
        <v>3748161</v>
      </c>
      <c r="C64" s="372"/>
      <c r="D64" s="372">
        <v>2775267</v>
      </c>
      <c r="E64" s="372"/>
      <c r="F64" s="372">
        <f t="shared" si="4"/>
        <v>384698</v>
      </c>
      <c r="G64" s="373"/>
      <c r="H64" s="372">
        <v>54351</v>
      </c>
      <c r="I64" s="372">
        <v>45133</v>
      </c>
      <c r="J64" s="372">
        <v>285214</v>
      </c>
      <c r="K64" s="372">
        <v>368886</v>
      </c>
      <c r="L64" s="372">
        <v>219310</v>
      </c>
    </row>
    <row r="65" spans="1:12" s="366" customFormat="1" ht="9" customHeight="1" x14ac:dyDescent="0.25">
      <c r="A65" s="366" t="s">
        <v>35</v>
      </c>
      <c r="B65" s="372">
        <f t="shared" si="2"/>
        <v>12859191</v>
      </c>
      <c r="C65" s="372"/>
      <c r="D65" s="372">
        <v>8192361.9999999991</v>
      </c>
      <c r="E65" s="372"/>
      <c r="F65" s="372">
        <f t="shared" si="4"/>
        <v>2300119</v>
      </c>
      <c r="G65" s="373"/>
      <c r="H65" s="372">
        <v>311451</v>
      </c>
      <c r="I65" s="372">
        <v>233730</v>
      </c>
      <c r="J65" s="372">
        <v>1754938</v>
      </c>
      <c r="K65" s="372">
        <v>1752028</v>
      </c>
      <c r="L65" s="372">
        <v>614682</v>
      </c>
    </row>
    <row r="66" spans="1:12" s="366" customFormat="1" ht="9" customHeight="1" x14ac:dyDescent="0.25">
      <c r="A66" s="366" t="s">
        <v>36</v>
      </c>
      <c r="B66" s="372">
        <f t="shared" si="2"/>
        <v>19795329</v>
      </c>
      <c r="C66" s="372"/>
      <c r="D66" s="372">
        <v>14823241</v>
      </c>
      <c r="E66" s="372"/>
      <c r="F66" s="372">
        <f t="shared" si="4"/>
        <v>1887191</v>
      </c>
      <c r="G66" s="373"/>
      <c r="H66" s="372">
        <v>348742</v>
      </c>
      <c r="I66" s="372">
        <v>259391</v>
      </c>
      <c r="J66" s="372">
        <v>1279058</v>
      </c>
      <c r="K66" s="372">
        <v>1676175</v>
      </c>
      <c r="L66" s="372">
        <v>1408722</v>
      </c>
    </row>
    <row r="67" spans="1:12" s="366" customFormat="1" ht="9" customHeight="1" x14ac:dyDescent="0.25">
      <c r="A67" s="375" t="s">
        <v>37</v>
      </c>
      <c r="B67" s="376">
        <f t="shared" si="2"/>
        <v>5880306</v>
      </c>
      <c r="C67" s="376"/>
      <c r="D67" s="376">
        <v>4377507</v>
      </c>
      <c r="E67" s="376"/>
      <c r="F67" s="376">
        <f t="shared" si="4"/>
        <v>668734</v>
      </c>
      <c r="G67" s="377"/>
      <c r="H67" s="376">
        <v>86127</v>
      </c>
      <c r="I67" s="376">
        <v>74973</v>
      </c>
      <c r="J67" s="376">
        <v>507634</v>
      </c>
      <c r="K67" s="376">
        <v>473830</v>
      </c>
      <c r="L67" s="376">
        <v>360235</v>
      </c>
    </row>
    <row r="68" spans="1:12" s="366" customFormat="1" ht="9" customHeight="1" x14ac:dyDescent="0.25">
      <c r="A68" s="366" t="s">
        <v>38</v>
      </c>
      <c r="B68" s="372">
        <f t="shared" si="2"/>
        <v>2918239</v>
      </c>
      <c r="C68" s="372"/>
      <c r="D68" s="372">
        <v>1966667</v>
      </c>
      <c r="E68" s="372"/>
      <c r="F68" s="372">
        <f t="shared" si="4"/>
        <v>355805</v>
      </c>
      <c r="G68" s="373"/>
      <c r="H68" s="372">
        <v>46319</v>
      </c>
      <c r="I68" s="372">
        <v>43252</v>
      </c>
      <c r="J68" s="372">
        <v>266234</v>
      </c>
      <c r="K68" s="372">
        <v>404546</v>
      </c>
      <c r="L68" s="372">
        <v>191221</v>
      </c>
    </row>
    <row r="69" spans="1:12" s="366" customFormat="1" ht="9" customHeight="1" x14ac:dyDescent="0.25">
      <c r="A69" s="366" t="s">
        <v>39</v>
      </c>
      <c r="B69" s="372">
        <f t="shared" si="2"/>
        <v>2142737</v>
      </c>
      <c r="C69" s="372"/>
      <c r="D69" s="372">
        <v>1548068</v>
      </c>
      <c r="E69" s="372"/>
      <c r="F69" s="372">
        <f t="shared" si="4"/>
        <v>287458</v>
      </c>
      <c r="G69" s="373"/>
      <c r="H69" s="372">
        <v>48339</v>
      </c>
      <c r="I69" s="372">
        <v>40542</v>
      </c>
      <c r="J69" s="372">
        <v>198577</v>
      </c>
      <c r="K69" s="372">
        <v>176993</v>
      </c>
      <c r="L69" s="372">
        <v>130218</v>
      </c>
    </row>
    <row r="70" spans="1:12" s="366" customFormat="1" ht="9" customHeight="1" x14ac:dyDescent="0.25">
      <c r="A70" s="366" t="s">
        <v>40</v>
      </c>
      <c r="B70" s="372">
        <f t="shared" si="2"/>
        <v>10258454</v>
      </c>
      <c r="C70" s="372"/>
      <c r="D70" s="372">
        <v>6531520</v>
      </c>
      <c r="E70" s="372"/>
      <c r="F70" s="372">
        <f t="shared" si="4"/>
        <v>1689906</v>
      </c>
      <c r="G70" s="373"/>
      <c r="H70" s="372">
        <v>273962</v>
      </c>
      <c r="I70" s="372">
        <v>179398</v>
      </c>
      <c r="J70" s="372">
        <v>1236546</v>
      </c>
      <c r="K70" s="372">
        <v>1533224</v>
      </c>
      <c r="L70" s="372">
        <v>503804</v>
      </c>
    </row>
    <row r="71" spans="1:12" s="366" customFormat="1" ht="9" customHeight="1" x14ac:dyDescent="0.25">
      <c r="A71" s="375" t="s">
        <v>41</v>
      </c>
      <c r="B71" s="376">
        <f t="shared" si="2"/>
        <v>4506593</v>
      </c>
      <c r="C71" s="376"/>
      <c r="D71" s="376">
        <v>3475896</v>
      </c>
      <c r="E71" s="376"/>
      <c r="F71" s="376">
        <f t="shared" si="4"/>
        <v>466715</v>
      </c>
      <c r="G71" s="377"/>
      <c r="H71" s="376">
        <v>71539</v>
      </c>
      <c r="I71" s="376">
        <v>68168</v>
      </c>
      <c r="J71" s="376">
        <v>327008</v>
      </c>
      <c r="K71" s="376">
        <v>259392</v>
      </c>
      <c r="L71" s="376">
        <v>304590</v>
      </c>
    </row>
    <row r="72" spans="1:12" s="366" customFormat="1" ht="9" customHeight="1" x14ac:dyDescent="0.25">
      <c r="A72" s="366" t="s">
        <v>42</v>
      </c>
      <c r="B72" s="372">
        <f t="shared" si="2"/>
        <v>6989895</v>
      </c>
      <c r="C72" s="372"/>
      <c r="D72" s="372">
        <v>4846141</v>
      </c>
      <c r="E72" s="372"/>
      <c r="F72" s="372">
        <f t="shared" si="4"/>
        <v>1048275</v>
      </c>
      <c r="G72" s="373"/>
      <c r="H72" s="372">
        <v>94109</v>
      </c>
      <c r="I72" s="372">
        <v>159823</v>
      </c>
      <c r="J72" s="372">
        <v>794343</v>
      </c>
      <c r="K72" s="372">
        <v>610528</v>
      </c>
      <c r="L72" s="372">
        <v>484951</v>
      </c>
    </row>
    <row r="73" spans="1:12" s="366" customFormat="1" ht="9" customHeight="1" x14ac:dyDescent="0.25">
      <c r="A73" s="366" t="s">
        <v>43</v>
      </c>
      <c r="B73" s="372">
        <f t="shared" si="2"/>
        <v>2402567</v>
      </c>
      <c r="C73" s="372"/>
      <c r="D73" s="372">
        <v>1580616</v>
      </c>
      <c r="E73" s="372"/>
      <c r="F73" s="372">
        <f t="shared" si="4"/>
        <v>361943</v>
      </c>
      <c r="G73" s="373"/>
      <c r="H73" s="372">
        <v>74693</v>
      </c>
      <c r="I73" s="372">
        <v>28449</v>
      </c>
      <c r="J73" s="372">
        <v>258801</v>
      </c>
      <c r="K73" s="372">
        <v>284873</v>
      </c>
      <c r="L73" s="372">
        <v>175135</v>
      </c>
    </row>
    <row r="74" spans="1:12" s="366" customFormat="1" ht="9" customHeight="1" x14ac:dyDescent="0.25">
      <c r="A74" s="366" t="s">
        <v>44</v>
      </c>
      <c r="B74" s="372">
        <f t="shared" si="2"/>
        <v>1572552</v>
      </c>
      <c r="C74" s="372"/>
      <c r="D74" s="372">
        <v>1052265</v>
      </c>
      <c r="E74" s="372"/>
      <c r="F74" s="372">
        <f t="shared" si="4"/>
        <v>187899</v>
      </c>
      <c r="G74" s="373"/>
      <c r="H74" s="372">
        <v>28656</v>
      </c>
      <c r="I74" s="372">
        <v>25666</v>
      </c>
      <c r="J74" s="372">
        <v>133577</v>
      </c>
      <c r="K74" s="372">
        <v>225164</v>
      </c>
      <c r="L74" s="372">
        <v>107224</v>
      </c>
    </row>
    <row r="75" spans="1:12" s="366" customFormat="1" ht="9" customHeight="1" x14ac:dyDescent="0.25">
      <c r="A75" s="375" t="s">
        <v>45</v>
      </c>
      <c r="B75" s="376">
        <f t="shared" si="2"/>
        <v>3962123</v>
      </c>
      <c r="C75" s="376"/>
      <c r="D75" s="376">
        <v>2805707</v>
      </c>
      <c r="E75" s="376"/>
      <c r="F75" s="376">
        <f t="shared" si="4"/>
        <v>543774</v>
      </c>
      <c r="G75" s="377"/>
      <c r="H75" s="376">
        <v>69327</v>
      </c>
      <c r="I75" s="376">
        <v>53788</v>
      </c>
      <c r="J75" s="376">
        <v>420659</v>
      </c>
      <c r="K75" s="376">
        <v>408097</v>
      </c>
      <c r="L75" s="376">
        <v>204545</v>
      </c>
    </row>
    <row r="76" spans="1:12" s="366" customFormat="1" ht="9" customHeight="1" x14ac:dyDescent="0.25">
      <c r="A76" s="366" t="s">
        <v>46</v>
      </c>
      <c r="B76" s="372">
        <f t="shared" si="2"/>
        <v>6724112</v>
      </c>
      <c r="C76" s="372"/>
      <c r="D76" s="372">
        <v>4817267</v>
      </c>
      <c r="E76" s="372"/>
      <c r="F76" s="372">
        <f t="shared" si="4"/>
        <v>893337</v>
      </c>
      <c r="G76" s="373"/>
      <c r="H76" s="372">
        <v>99320</v>
      </c>
      <c r="I76" s="372">
        <v>123230</v>
      </c>
      <c r="J76" s="372">
        <v>670787</v>
      </c>
      <c r="K76" s="372">
        <v>700810</v>
      </c>
      <c r="L76" s="372">
        <v>312698</v>
      </c>
    </row>
    <row r="77" spans="1:12" s="366" customFormat="1" ht="9" customHeight="1" x14ac:dyDescent="0.25">
      <c r="A77" s="366" t="s">
        <v>47</v>
      </c>
      <c r="B77" s="372">
        <f t="shared" si="2"/>
        <v>5666101</v>
      </c>
      <c r="C77" s="372"/>
      <c r="D77" s="372">
        <v>3568203</v>
      </c>
      <c r="E77" s="372"/>
      <c r="F77" s="372">
        <f t="shared" si="4"/>
        <v>1095075</v>
      </c>
      <c r="G77" s="373"/>
      <c r="H77" s="372">
        <v>111836</v>
      </c>
      <c r="I77" s="372">
        <v>134730</v>
      </c>
      <c r="J77" s="372">
        <v>848509</v>
      </c>
      <c r="K77" s="372">
        <v>732432</v>
      </c>
      <c r="L77" s="372">
        <v>270391</v>
      </c>
    </row>
    <row r="78" spans="1:12" s="366" customFormat="1" ht="9" customHeight="1" x14ac:dyDescent="0.25">
      <c r="A78" s="366" t="s">
        <v>48</v>
      </c>
      <c r="B78" s="372">
        <f t="shared" si="2"/>
        <v>5047116</v>
      </c>
      <c r="C78" s="372"/>
      <c r="D78" s="372">
        <v>3558170</v>
      </c>
      <c r="E78" s="372"/>
      <c r="F78" s="372">
        <f t="shared" si="4"/>
        <v>714163</v>
      </c>
      <c r="G78" s="373"/>
      <c r="H78" s="372">
        <v>104305</v>
      </c>
      <c r="I78" s="372">
        <v>144700</v>
      </c>
      <c r="J78" s="372">
        <v>465158</v>
      </c>
      <c r="K78" s="372">
        <v>428138</v>
      </c>
      <c r="L78" s="372">
        <v>346645</v>
      </c>
    </row>
    <row r="79" spans="1:12" s="366" customFormat="1" ht="9" customHeight="1" x14ac:dyDescent="0.25">
      <c r="A79" s="375" t="s">
        <v>49</v>
      </c>
      <c r="B79" s="376">
        <f t="shared" si="2"/>
        <v>7168193</v>
      </c>
      <c r="C79" s="376"/>
      <c r="D79" s="376">
        <v>4723379</v>
      </c>
      <c r="E79" s="376"/>
      <c r="F79" s="376">
        <f t="shared" si="4"/>
        <v>1313137</v>
      </c>
      <c r="G79" s="377"/>
      <c r="H79" s="376">
        <v>164651</v>
      </c>
      <c r="I79" s="376">
        <v>207573</v>
      </c>
      <c r="J79" s="376">
        <v>940913</v>
      </c>
      <c r="K79" s="376">
        <v>802164</v>
      </c>
      <c r="L79" s="376">
        <v>329513</v>
      </c>
    </row>
    <row r="80" spans="1:12" s="366" customFormat="1" ht="9" customHeight="1" x14ac:dyDescent="0.25">
      <c r="A80" s="366" t="s">
        <v>50</v>
      </c>
      <c r="B80" s="372">
        <f t="shared" si="2"/>
        <v>1882681</v>
      </c>
      <c r="C80" s="372"/>
      <c r="D80" s="372">
        <v>1395503</v>
      </c>
      <c r="E80" s="372"/>
      <c r="F80" s="372">
        <f t="shared" si="4"/>
        <v>171025</v>
      </c>
      <c r="G80" s="373"/>
      <c r="H80" s="372">
        <v>16935</v>
      </c>
      <c r="I80" s="372">
        <v>15635</v>
      </c>
      <c r="J80" s="372">
        <v>138455</v>
      </c>
      <c r="K80" s="372">
        <v>179405</v>
      </c>
      <c r="L80" s="372">
        <v>136748</v>
      </c>
    </row>
    <row r="81" spans="1:12" s="366" customFormat="1" ht="9" customHeight="1" x14ac:dyDescent="0.25">
      <c r="A81" s="366" t="s">
        <v>51</v>
      </c>
      <c r="B81" s="372">
        <f t="shared" si="2"/>
        <v>12877587</v>
      </c>
      <c r="C81" s="372"/>
      <c r="D81" s="372">
        <v>8926882</v>
      </c>
      <c r="E81" s="372"/>
      <c r="F81" s="372">
        <f t="shared" si="4"/>
        <v>2044854</v>
      </c>
      <c r="G81" s="373"/>
      <c r="H81" s="372">
        <v>298065</v>
      </c>
      <c r="I81" s="372">
        <v>344846</v>
      </c>
      <c r="J81" s="372">
        <v>1401943</v>
      </c>
      <c r="K81" s="372">
        <v>1229247</v>
      </c>
      <c r="L81" s="372">
        <v>676604</v>
      </c>
    </row>
    <row r="82" spans="1:12" s="366" customFormat="1" ht="9" customHeight="1" x14ac:dyDescent="0.25">
      <c r="A82" s="366" t="s">
        <v>52</v>
      </c>
      <c r="B82" s="372">
        <f t="shared" si="2"/>
        <v>4414506</v>
      </c>
      <c r="C82" s="372"/>
      <c r="D82" s="372">
        <v>3231981</v>
      </c>
      <c r="E82" s="372"/>
      <c r="F82" s="372">
        <f t="shared" si="4"/>
        <v>598897</v>
      </c>
      <c r="G82" s="373"/>
      <c r="H82" s="372">
        <v>85957</v>
      </c>
      <c r="I82" s="372">
        <v>55191</v>
      </c>
      <c r="J82" s="372">
        <v>457749</v>
      </c>
      <c r="K82" s="372">
        <v>379246</v>
      </c>
      <c r="L82" s="372">
        <v>204382</v>
      </c>
    </row>
    <row r="83" spans="1:12" s="366" customFormat="1" ht="9" customHeight="1" x14ac:dyDescent="0.25">
      <c r="A83" s="375" t="s">
        <v>53</v>
      </c>
      <c r="B83" s="376">
        <f t="shared" si="2"/>
        <v>2601571</v>
      </c>
      <c r="C83" s="376"/>
      <c r="D83" s="376">
        <v>1949765</v>
      </c>
      <c r="E83" s="376"/>
      <c r="F83" s="376">
        <f t="shared" si="4"/>
        <v>256882</v>
      </c>
      <c r="G83" s="377"/>
      <c r="H83" s="376">
        <v>42030</v>
      </c>
      <c r="I83" s="376">
        <v>24971</v>
      </c>
      <c r="J83" s="376">
        <v>189881</v>
      </c>
      <c r="K83" s="376">
        <v>241650</v>
      </c>
      <c r="L83" s="376">
        <v>153274</v>
      </c>
    </row>
    <row r="84" spans="1:12" s="366" customFormat="1" ht="9" customHeight="1" x14ac:dyDescent="0.25">
      <c r="B84" s="372"/>
      <c r="C84" s="372"/>
      <c r="D84" s="372"/>
      <c r="E84" s="372"/>
      <c r="F84" s="372"/>
      <c r="G84" s="373"/>
      <c r="H84" s="372"/>
      <c r="I84" s="372"/>
      <c r="J84" s="372"/>
      <c r="K84" s="372"/>
      <c r="L84" s="372"/>
    </row>
    <row r="85" spans="1:12" s="366" customFormat="1" ht="9" customHeight="1" x14ac:dyDescent="0.25">
      <c r="A85" s="363">
        <v>1997</v>
      </c>
      <c r="B85" s="364"/>
      <c r="C85" s="364"/>
      <c r="D85" s="364"/>
      <c r="E85" s="364"/>
      <c r="F85" s="364"/>
      <c r="G85" s="365"/>
      <c r="H85" s="364"/>
      <c r="I85" s="364"/>
      <c r="J85" s="364"/>
      <c r="K85" s="364"/>
    </row>
    <row r="86" spans="1:12" s="366" customFormat="1" ht="9" customHeight="1" x14ac:dyDescent="0.25">
      <c r="A86" s="367" t="s">
        <v>21</v>
      </c>
      <c r="B86" s="368">
        <f>SUM(B88:B119)</f>
        <v>208448918</v>
      </c>
      <c r="C86" s="368"/>
      <c r="D86" s="368">
        <f>SUM(D88:D119)</f>
        <v>141819689</v>
      </c>
      <c r="E86" s="368"/>
      <c r="F86" s="381">
        <f>SUM(F88:F119)</f>
        <v>33200750</v>
      </c>
      <c r="G86" s="382"/>
      <c r="H86" s="368">
        <f>SUM(H88:H119)</f>
        <v>4196420</v>
      </c>
      <c r="I86" s="368">
        <f>SUM(I88:I119)</f>
        <v>4027585</v>
      </c>
      <c r="J86" s="368">
        <f>SUM(J88:J119)</f>
        <v>24976745</v>
      </c>
      <c r="K86" s="368">
        <f>SUM(K88:K119)</f>
        <v>22206108</v>
      </c>
      <c r="L86" s="368">
        <f>SUM(L88:L119)</f>
        <v>11222371</v>
      </c>
    </row>
    <row r="87" spans="1:12" s="366" customFormat="1" ht="3.95" customHeight="1" x14ac:dyDescent="0.25">
      <c r="A87" s="367"/>
      <c r="B87" s="368"/>
      <c r="C87" s="368"/>
      <c r="D87" s="368"/>
      <c r="E87" s="368"/>
      <c r="F87" s="381"/>
      <c r="G87" s="382"/>
      <c r="H87" s="368"/>
      <c r="I87" s="368"/>
      <c r="J87" s="368"/>
      <c r="K87" s="368"/>
      <c r="L87" s="368"/>
    </row>
    <row r="88" spans="1:12" s="366" customFormat="1" ht="9" customHeight="1" x14ac:dyDescent="0.25">
      <c r="A88" s="366" t="s">
        <v>23</v>
      </c>
      <c r="B88" s="372">
        <f t="shared" ref="B88:B119" si="5">SUM(D88+F88+K88+L88)</f>
        <v>2164908</v>
      </c>
      <c r="C88" s="372"/>
      <c r="D88" s="372">
        <v>1468168</v>
      </c>
      <c r="E88" s="372"/>
      <c r="F88" s="372">
        <f t="shared" ref="F88:F119" si="6">SUM(H88:J88)</f>
        <v>332612</v>
      </c>
      <c r="G88" s="373"/>
      <c r="H88" s="372">
        <v>65656</v>
      </c>
      <c r="I88" s="372">
        <v>30700</v>
      </c>
      <c r="J88" s="372">
        <v>236256</v>
      </c>
      <c r="K88" s="372">
        <v>253448</v>
      </c>
      <c r="L88" s="372">
        <v>110680</v>
      </c>
    </row>
    <row r="89" spans="1:12" s="366" customFormat="1" ht="9" customHeight="1" x14ac:dyDescent="0.25">
      <c r="A89" s="366" t="s">
        <v>24</v>
      </c>
      <c r="B89" s="372">
        <f t="shared" si="5"/>
        <v>4497997</v>
      </c>
      <c r="C89" s="372"/>
      <c r="D89" s="372">
        <v>2814679</v>
      </c>
      <c r="E89" s="372"/>
      <c r="F89" s="372">
        <f t="shared" si="6"/>
        <v>792496</v>
      </c>
      <c r="G89" s="373"/>
      <c r="H89" s="372">
        <v>84131</v>
      </c>
      <c r="I89" s="372">
        <v>47976</v>
      </c>
      <c r="J89" s="372">
        <v>660389</v>
      </c>
      <c r="K89" s="372">
        <v>656164</v>
      </c>
      <c r="L89" s="372">
        <v>234658</v>
      </c>
    </row>
    <row r="90" spans="1:12" s="366" customFormat="1" ht="9" customHeight="1" x14ac:dyDescent="0.25">
      <c r="A90" s="366" t="s">
        <v>25</v>
      </c>
      <c r="B90" s="372">
        <f t="shared" si="5"/>
        <v>1487261</v>
      </c>
      <c r="C90" s="372"/>
      <c r="D90" s="372">
        <v>955729</v>
      </c>
      <c r="E90" s="372"/>
      <c r="F90" s="372">
        <f t="shared" si="6"/>
        <v>253345</v>
      </c>
      <c r="G90" s="373"/>
      <c r="H90" s="372">
        <v>32699</v>
      </c>
      <c r="I90" s="372">
        <v>26428</v>
      </c>
      <c r="J90" s="372">
        <v>194218</v>
      </c>
      <c r="K90" s="372">
        <v>192757</v>
      </c>
      <c r="L90" s="372">
        <v>85430</v>
      </c>
    </row>
    <row r="91" spans="1:12" s="366" customFormat="1" ht="9" customHeight="1" x14ac:dyDescent="0.25">
      <c r="A91" s="375" t="s">
        <v>26</v>
      </c>
      <c r="B91" s="376">
        <f t="shared" si="5"/>
        <v>1816956</v>
      </c>
      <c r="C91" s="376"/>
      <c r="D91" s="376">
        <v>1211371</v>
      </c>
      <c r="E91" s="376"/>
      <c r="F91" s="376">
        <f t="shared" si="6"/>
        <v>274128</v>
      </c>
      <c r="G91" s="377"/>
      <c r="H91" s="376">
        <v>54209</v>
      </c>
      <c r="I91" s="376">
        <v>44303</v>
      </c>
      <c r="J91" s="376">
        <v>175616</v>
      </c>
      <c r="K91" s="376">
        <v>239683</v>
      </c>
      <c r="L91" s="376">
        <v>91774</v>
      </c>
    </row>
    <row r="92" spans="1:12" s="366" customFormat="1" ht="9" customHeight="1" x14ac:dyDescent="0.25">
      <c r="A92" s="366" t="s">
        <v>27</v>
      </c>
      <c r="B92" s="372">
        <f t="shared" si="5"/>
        <v>7177984</v>
      </c>
      <c r="C92" s="372"/>
      <c r="D92" s="372">
        <v>4753099</v>
      </c>
      <c r="E92" s="372"/>
      <c r="F92" s="372">
        <f t="shared" si="6"/>
        <v>1057036</v>
      </c>
      <c r="G92" s="373"/>
      <c r="H92" s="372">
        <v>191198</v>
      </c>
      <c r="I92" s="372">
        <v>145760</v>
      </c>
      <c r="J92" s="372">
        <v>720078</v>
      </c>
      <c r="K92" s="372">
        <v>1017268</v>
      </c>
      <c r="L92" s="372">
        <v>350581</v>
      </c>
    </row>
    <row r="93" spans="1:12" s="366" customFormat="1" ht="9" customHeight="1" x14ac:dyDescent="0.25">
      <c r="A93" s="366" t="s">
        <v>28</v>
      </c>
      <c r="B93" s="372">
        <f t="shared" si="5"/>
        <v>1421845</v>
      </c>
      <c r="C93" s="372"/>
      <c r="D93" s="372">
        <v>947228</v>
      </c>
      <c r="E93" s="372"/>
      <c r="F93" s="372">
        <f t="shared" si="6"/>
        <v>215833</v>
      </c>
      <c r="G93" s="373"/>
      <c r="H93" s="372">
        <v>26696</v>
      </c>
      <c r="I93" s="372">
        <v>20674</v>
      </c>
      <c r="J93" s="372">
        <v>168463</v>
      </c>
      <c r="K93" s="372">
        <v>191814</v>
      </c>
      <c r="L93" s="372">
        <v>66970</v>
      </c>
    </row>
    <row r="94" spans="1:12" s="366" customFormat="1" ht="9" customHeight="1" x14ac:dyDescent="0.25">
      <c r="A94" s="366" t="s">
        <v>29</v>
      </c>
      <c r="B94" s="372">
        <f t="shared" si="5"/>
        <v>5677278</v>
      </c>
      <c r="C94" s="372"/>
      <c r="D94" s="372">
        <v>4335561</v>
      </c>
      <c r="E94" s="372"/>
      <c r="F94" s="372">
        <f t="shared" si="6"/>
        <v>526956</v>
      </c>
      <c r="G94" s="373"/>
      <c r="H94" s="372">
        <v>82700</v>
      </c>
      <c r="I94" s="372">
        <v>71553</v>
      </c>
      <c r="J94" s="372">
        <v>372703</v>
      </c>
      <c r="K94" s="372">
        <v>452419</v>
      </c>
      <c r="L94" s="372">
        <v>362342</v>
      </c>
    </row>
    <row r="95" spans="1:12" s="366" customFormat="1" ht="9" customHeight="1" x14ac:dyDescent="0.25">
      <c r="A95" s="375" t="s">
        <v>30</v>
      </c>
      <c r="B95" s="376">
        <f t="shared" si="5"/>
        <v>6630117</v>
      </c>
      <c r="C95" s="376"/>
      <c r="D95" s="376">
        <v>4834285</v>
      </c>
      <c r="E95" s="376"/>
      <c r="F95" s="376">
        <f t="shared" si="6"/>
        <v>899751</v>
      </c>
      <c r="G95" s="377"/>
      <c r="H95" s="376">
        <v>95102</v>
      </c>
      <c r="I95" s="376">
        <v>64308</v>
      </c>
      <c r="J95" s="376">
        <v>740341</v>
      </c>
      <c r="K95" s="376">
        <v>630051</v>
      </c>
      <c r="L95" s="376">
        <v>266030</v>
      </c>
    </row>
    <row r="96" spans="1:12" s="366" customFormat="1" ht="9" customHeight="1" x14ac:dyDescent="0.25">
      <c r="A96" s="366" t="s">
        <v>63</v>
      </c>
      <c r="B96" s="372">
        <f t="shared" si="5"/>
        <v>29806699</v>
      </c>
      <c r="C96" s="372"/>
      <c r="D96" s="372">
        <v>15652721</v>
      </c>
      <c r="E96" s="372"/>
      <c r="F96" s="372">
        <f t="shared" si="6"/>
        <v>8662737</v>
      </c>
      <c r="G96" s="373"/>
      <c r="H96" s="372">
        <v>759651</v>
      </c>
      <c r="I96" s="372">
        <v>917662</v>
      </c>
      <c r="J96" s="372">
        <v>6985424</v>
      </c>
      <c r="K96" s="372">
        <v>3559023</v>
      </c>
      <c r="L96" s="372">
        <v>1932218</v>
      </c>
    </row>
    <row r="97" spans="1:12" s="366" customFormat="1" ht="9" customHeight="1" x14ac:dyDescent="0.25">
      <c r="A97" s="366" t="s">
        <v>31</v>
      </c>
      <c r="B97" s="372">
        <f t="shared" si="5"/>
        <v>3926964</v>
      </c>
      <c r="C97" s="372"/>
      <c r="D97" s="372">
        <v>2847068</v>
      </c>
      <c r="E97" s="372"/>
      <c r="F97" s="372">
        <f t="shared" si="6"/>
        <v>479372</v>
      </c>
      <c r="G97" s="373"/>
      <c r="H97" s="372">
        <v>77341</v>
      </c>
      <c r="I97" s="372">
        <v>50611</v>
      </c>
      <c r="J97" s="372">
        <v>351420</v>
      </c>
      <c r="K97" s="372">
        <v>445777</v>
      </c>
      <c r="L97" s="372">
        <v>154747</v>
      </c>
    </row>
    <row r="98" spans="1:12" s="366" customFormat="1" ht="9" customHeight="1" x14ac:dyDescent="0.25">
      <c r="A98" s="366" t="s">
        <v>32</v>
      </c>
      <c r="B98" s="372">
        <f t="shared" si="5"/>
        <v>7421988</v>
      </c>
      <c r="C98" s="372"/>
      <c r="D98" s="372">
        <v>5296816</v>
      </c>
      <c r="E98" s="372"/>
      <c r="F98" s="372">
        <f t="shared" si="6"/>
        <v>1096220</v>
      </c>
      <c r="G98" s="373"/>
      <c r="H98" s="372">
        <v>139303</v>
      </c>
      <c r="I98" s="372">
        <v>126183</v>
      </c>
      <c r="J98" s="372">
        <v>830734</v>
      </c>
      <c r="K98" s="372">
        <v>655761</v>
      </c>
      <c r="L98" s="372">
        <v>373191</v>
      </c>
    </row>
    <row r="99" spans="1:12" s="366" customFormat="1" ht="9" customHeight="1" x14ac:dyDescent="0.25">
      <c r="A99" s="375" t="s">
        <v>33</v>
      </c>
      <c r="B99" s="376">
        <f t="shared" si="5"/>
        <v>5120488</v>
      </c>
      <c r="C99" s="376"/>
      <c r="D99" s="376">
        <v>3899241</v>
      </c>
      <c r="E99" s="376"/>
      <c r="F99" s="376">
        <f t="shared" si="6"/>
        <v>580369</v>
      </c>
      <c r="G99" s="377"/>
      <c r="H99" s="376">
        <v>66354</v>
      </c>
      <c r="I99" s="376">
        <v>68946</v>
      </c>
      <c r="J99" s="376">
        <v>445069</v>
      </c>
      <c r="K99" s="376">
        <v>432173</v>
      </c>
      <c r="L99" s="376">
        <v>208705</v>
      </c>
    </row>
    <row r="100" spans="1:12" s="366" customFormat="1" ht="9" customHeight="1" x14ac:dyDescent="0.25">
      <c r="A100" s="366" t="s">
        <v>34</v>
      </c>
      <c r="B100" s="372">
        <f t="shared" si="5"/>
        <v>3971836</v>
      </c>
      <c r="C100" s="372"/>
      <c r="D100" s="372">
        <v>2949778</v>
      </c>
      <c r="E100" s="372"/>
      <c r="F100" s="372">
        <f t="shared" si="6"/>
        <v>423206</v>
      </c>
      <c r="G100" s="373"/>
      <c r="H100" s="372">
        <v>57429</v>
      </c>
      <c r="I100" s="372">
        <v>48758</v>
      </c>
      <c r="J100" s="372">
        <v>317019</v>
      </c>
      <c r="K100" s="372">
        <v>384640</v>
      </c>
      <c r="L100" s="372">
        <v>214212</v>
      </c>
    </row>
    <row r="101" spans="1:12" s="366" customFormat="1" ht="9" customHeight="1" x14ac:dyDescent="0.25">
      <c r="A101" s="366" t="s">
        <v>35</v>
      </c>
      <c r="B101" s="372">
        <f t="shared" si="5"/>
        <v>13276049</v>
      </c>
      <c r="C101" s="372"/>
      <c r="D101" s="372">
        <v>8556525</v>
      </c>
      <c r="E101" s="372"/>
      <c r="F101" s="372">
        <f t="shared" si="6"/>
        <v>2429390</v>
      </c>
      <c r="G101" s="373"/>
      <c r="H101" s="372">
        <v>325766</v>
      </c>
      <c r="I101" s="372">
        <v>244619</v>
      </c>
      <c r="J101" s="372">
        <v>1859005</v>
      </c>
      <c r="K101" s="372">
        <v>1709025</v>
      </c>
      <c r="L101" s="372">
        <v>581109</v>
      </c>
    </row>
    <row r="102" spans="1:12" s="366" customFormat="1" ht="9" customHeight="1" x14ac:dyDescent="0.25">
      <c r="A102" s="366" t="s">
        <v>36</v>
      </c>
      <c r="B102" s="372">
        <f t="shared" si="5"/>
        <v>20708103</v>
      </c>
      <c r="C102" s="372"/>
      <c r="D102" s="372">
        <v>15914210</v>
      </c>
      <c r="E102" s="372"/>
      <c r="F102" s="372">
        <f t="shared" si="6"/>
        <v>1838514</v>
      </c>
      <c r="G102" s="373"/>
      <c r="H102" s="372">
        <v>343416</v>
      </c>
      <c r="I102" s="372">
        <v>259578</v>
      </c>
      <c r="J102" s="372">
        <v>1235520</v>
      </c>
      <c r="K102" s="372">
        <v>1634778</v>
      </c>
      <c r="L102" s="372">
        <v>1320601</v>
      </c>
    </row>
    <row r="103" spans="1:12" s="366" customFormat="1" ht="9" customHeight="1" x14ac:dyDescent="0.25">
      <c r="A103" s="375" t="s">
        <v>37</v>
      </c>
      <c r="B103" s="376">
        <f t="shared" si="5"/>
        <v>6592560</v>
      </c>
      <c r="C103" s="376"/>
      <c r="D103" s="376">
        <v>4937025</v>
      </c>
      <c r="E103" s="376"/>
      <c r="F103" s="376">
        <f t="shared" si="6"/>
        <v>741035</v>
      </c>
      <c r="G103" s="377"/>
      <c r="H103" s="376">
        <v>91419</v>
      </c>
      <c r="I103" s="376">
        <v>82920</v>
      </c>
      <c r="J103" s="376">
        <v>566696</v>
      </c>
      <c r="K103" s="376">
        <v>523626</v>
      </c>
      <c r="L103" s="376">
        <v>390874</v>
      </c>
    </row>
    <row r="104" spans="1:12" s="366" customFormat="1" ht="9" customHeight="1" x14ac:dyDescent="0.25">
      <c r="A104" s="366" t="s">
        <v>38</v>
      </c>
      <c r="B104" s="372">
        <f t="shared" si="5"/>
        <v>3167082</v>
      </c>
      <c r="C104" s="372"/>
      <c r="D104" s="372">
        <v>2124386</v>
      </c>
      <c r="E104" s="372"/>
      <c r="F104" s="372">
        <f t="shared" si="6"/>
        <v>400348</v>
      </c>
      <c r="G104" s="373"/>
      <c r="H104" s="372">
        <v>49527</v>
      </c>
      <c r="I104" s="372">
        <v>47031</v>
      </c>
      <c r="J104" s="372">
        <v>303790</v>
      </c>
      <c r="K104" s="372">
        <v>445929</v>
      </c>
      <c r="L104" s="372">
        <v>196419</v>
      </c>
    </row>
    <row r="105" spans="1:12" s="366" customFormat="1" ht="9" customHeight="1" x14ac:dyDescent="0.25">
      <c r="A105" s="366" t="s">
        <v>39</v>
      </c>
      <c r="B105" s="372">
        <f t="shared" si="5"/>
        <v>2419459</v>
      </c>
      <c r="C105" s="372"/>
      <c r="D105" s="372">
        <v>1804187</v>
      </c>
      <c r="E105" s="372"/>
      <c r="F105" s="372">
        <f t="shared" si="6"/>
        <v>319636</v>
      </c>
      <c r="G105" s="373"/>
      <c r="H105" s="372">
        <v>51287</v>
      </c>
      <c r="I105" s="372">
        <v>47842</v>
      </c>
      <c r="J105" s="372">
        <v>220507</v>
      </c>
      <c r="K105" s="372">
        <v>158409</v>
      </c>
      <c r="L105" s="372">
        <v>137227</v>
      </c>
    </row>
    <row r="106" spans="1:12" s="366" customFormat="1" ht="9" customHeight="1" x14ac:dyDescent="0.25">
      <c r="A106" s="366" t="s">
        <v>40</v>
      </c>
      <c r="B106" s="372">
        <f t="shared" si="5"/>
        <v>10925557</v>
      </c>
      <c r="C106" s="372"/>
      <c r="D106" s="372">
        <v>6909503</v>
      </c>
      <c r="E106" s="372"/>
      <c r="F106" s="372">
        <f t="shared" si="6"/>
        <v>1835980</v>
      </c>
      <c r="G106" s="373"/>
      <c r="H106" s="372">
        <v>307812</v>
      </c>
      <c r="I106" s="372">
        <v>209187</v>
      </c>
      <c r="J106" s="372">
        <v>1318981</v>
      </c>
      <c r="K106" s="372">
        <v>1700568</v>
      </c>
      <c r="L106" s="372">
        <v>479506</v>
      </c>
    </row>
    <row r="107" spans="1:12" s="366" customFormat="1" ht="9" customHeight="1" x14ac:dyDescent="0.25">
      <c r="A107" s="375" t="s">
        <v>41</v>
      </c>
      <c r="B107" s="376">
        <f t="shared" si="5"/>
        <v>5056799</v>
      </c>
      <c r="C107" s="376"/>
      <c r="D107" s="376">
        <v>3990369</v>
      </c>
      <c r="E107" s="376"/>
      <c r="F107" s="376">
        <f t="shared" si="6"/>
        <v>476484</v>
      </c>
      <c r="G107" s="377"/>
      <c r="H107" s="376">
        <v>73340</v>
      </c>
      <c r="I107" s="376">
        <v>66989</v>
      </c>
      <c r="J107" s="376">
        <v>336155</v>
      </c>
      <c r="K107" s="376">
        <v>273142</v>
      </c>
      <c r="L107" s="376">
        <v>316804</v>
      </c>
    </row>
    <row r="108" spans="1:12" s="366" customFormat="1" ht="9" customHeight="1" x14ac:dyDescent="0.25">
      <c r="A108" s="366" t="s">
        <v>42</v>
      </c>
      <c r="B108" s="372">
        <f t="shared" si="5"/>
        <v>7529072</v>
      </c>
      <c r="C108" s="372"/>
      <c r="D108" s="372">
        <v>5312754</v>
      </c>
      <c r="E108" s="372"/>
      <c r="F108" s="372">
        <f t="shared" si="6"/>
        <v>1058372</v>
      </c>
      <c r="G108" s="373"/>
      <c r="H108" s="372">
        <v>97956</v>
      </c>
      <c r="I108" s="372">
        <v>158300</v>
      </c>
      <c r="J108" s="372">
        <v>802116</v>
      </c>
      <c r="K108" s="372">
        <v>659919</v>
      </c>
      <c r="L108" s="372">
        <v>498027</v>
      </c>
    </row>
    <row r="109" spans="1:12" s="366" customFormat="1" ht="9" customHeight="1" x14ac:dyDescent="0.25">
      <c r="A109" s="366" t="s">
        <v>43</v>
      </c>
      <c r="B109" s="372">
        <f t="shared" si="5"/>
        <v>2578589</v>
      </c>
      <c r="C109" s="372"/>
      <c r="D109" s="372">
        <v>1762698</v>
      </c>
      <c r="E109" s="372"/>
      <c r="F109" s="372">
        <f t="shared" si="6"/>
        <v>345162</v>
      </c>
      <c r="G109" s="373"/>
      <c r="H109" s="372">
        <v>49320</v>
      </c>
      <c r="I109" s="372">
        <v>30266</v>
      </c>
      <c r="J109" s="372">
        <v>265576</v>
      </c>
      <c r="K109" s="372">
        <v>306373</v>
      </c>
      <c r="L109" s="372">
        <v>164356</v>
      </c>
    </row>
    <row r="110" spans="1:12" s="366" customFormat="1" ht="9" customHeight="1" x14ac:dyDescent="0.25">
      <c r="A110" s="366" t="s">
        <v>44</v>
      </c>
      <c r="B110" s="372">
        <f t="shared" si="5"/>
        <v>1729873</v>
      </c>
      <c r="C110" s="372"/>
      <c r="D110" s="372">
        <v>1158236</v>
      </c>
      <c r="E110" s="372"/>
      <c r="F110" s="372">
        <f t="shared" si="6"/>
        <v>201183</v>
      </c>
      <c r="G110" s="373"/>
      <c r="H110" s="372">
        <v>30815</v>
      </c>
      <c r="I110" s="372">
        <v>24994</v>
      </c>
      <c r="J110" s="372">
        <v>145374</v>
      </c>
      <c r="K110" s="372">
        <v>279631</v>
      </c>
      <c r="L110" s="372">
        <v>90823</v>
      </c>
    </row>
    <row r="111" spans="1:12" s="366" customFormat="1" ht="9" customHeight="1" x14ac:dyDescent="0.25">
      <c r="A111" s="375" t="s">
        <v>45</v>
      </c>
      <c r="B111" s="376">
        <f t="shared" si="5"/>
        <v>4419746</v>
      </c>
      <c r="C111" s="376"/>
      <c r="D111" s="376">
        <v>3154199</v>
      </c>
      <c r="E111" s="376"/>
      <c r="F111" s="376">
        <f t="shared" si="6"/>
        <v>567612</v>
      </c>
      <c r="G111" s="377"/>
      <c r="H111" s="376">
        <v>72232</v>
      </c>
      <c r="I111" s="376">
        <v>59125</v>
      </c>
      <c r="J111" s="376">
        <v>436255</v>
      </c>
      <c r="K111" s="376">
        <v>462388</v>
      </c>
      <c r="L111" s="376">
        <v>235547</v>
      </c>
    </row>
    <row r="112" spans="1:12" s="366" customFormat="1" ht="9" customHeight="1" x14ac:dyDescent="0.25">
      <c r="A112" s="366" t="s">
        <v>46</v>
      </c>
      <c r="B112" s="372">
        <f t="shared" si="5"/>
        <v>6868188</v>
      </c>
      <c r="C112" s="372"/>
      <c r="D112" s="372">
        <v>4905988</v>
      </c>
      <c r="E112" s="372"/>
      <c r="F112" s="372">
        <f t="shared" si="6"/>
        <v>935841</v>
      </c>
      <c r="G112" s="373"/>
      <c r="H112" s="372">
        <v>104219</v>
      </c>
      <c r="I112" s="372">
        <v>138634</v>
      </c>
      <c r="J112" s="372">
        <v>692988</v>
      </c>
      <c r="K112" s="372">
        <v>702004</v>
      </c>
      <c r="L112" s="372">
        <v>324355</v>
      </c>
    </row>
    <row r="113" spans="1:14" s="366" customFormat="1" ht="9" customHeight="1" x14ac:dyDescent="0.25">
      <c r="A113" s="366" t="s">
        <v>47</v>
      </c>
      <c r="B113" s="372">
        <f t="shared" si="5"/>
        <v>5820925</v>
      </c>
      <c r="C113" s="372"/>
      <c r="D113" s="372">
        <v>3748114</v>
      </c>
      <c r="E113" s="372"/>
      <c r="F113" s="372">
        <f t="shared" si="6"/>
        <v>1061201</v>
      </c>
      <c r="G113" s="373"/>
      <c r="H113" s="372">
        <v>131879</v>
      </c>
      <c r="I113" s="372">
        <v>178562</v>
      </c>
      <c r="J113" s="372">
        <v>750760</v>
      </c>
      <c r="K113" s="372">
        <v>757444</v>
      </c>
      <c r="L113" s="372">
        <v>254166</v>
      </c>
    </row>
    <row r="114" spans="1:14" s="366" customFormat="1" ht="9" customHeight="1" x14ac:dyDescent="0.25">
      <c r="A114" s="366" t="s">
        <v>48</v>
      </c>
      <c r="B114" s="372">
        <f t="shared" si="5"/>
        <v>5372809</v>
      </c>
      <c r="C114" s="372"/>
      <c r="D114" s="372">
        <v>3814707</v>
      </c>
      <c r="E114" s="372"/>
      <c r="F114" s="372">
        <f t="shared" si="6"/>
        <v>750929</v>
      </c>
      <c r="G114" s="373"/>
      <c r="H114" s="372">
        <v>105661</v>
      </c>
      <c r="I114" s="372">
        <v>142367</v>
      </c>
      <c r="J114" s="372">
        <v>502901</v>
      </c>
      <c r="K114" s="372">
        <v>471853</v>
      </c>
      <c r="L114" s="372">
        <v>335320</v>
      </c>
    </row>
    <row r="115" spans="1:14" s="366" customFormat="1" ht="9" customHeight="1" x14ac:dyDescent="0.25">
      <c r="A115" s="375" t="s">
        <v>49</v>
      </c>
      <c r="B115" s="376">
        <f t="shared" si="5"/>
        <v>7307788</v>
      </c>
      <c r="C115" s="376"/>
      <c r="D115" s="376">
        <v>4779555</v>
      </c>
      <c r="E115" s="376"/>
      <c r="F115" s="376">
        <f t="shared" si="6"/>
        <v>1451766</v>
      </c>
      <c r="G115" s="377"/>
      <c r="H115" s="376">
        <v>170439</v>
      </c>
      <c r="I115" s="376">
        <v>221592</v>
      </c>
      <c r="J115" s="376">
        <v>1059735</v>
      </c>
      <c r="K115" s="376">
        <v>780705</v>
      </c>
      <c r="L115" s="376">
        <v>295762</v>
      </c>
    </row>
    <row r="116" spans="1:14" s="366" customFormat="1" ht="9" customHeight="1" x14ac:dyDescent="0.25">
      <c r="A116" s="366" t="s">
        <v>50</v>
      </c>
      <c r="B116" s="372">
        <f t="shared" si="5"/>
        <v>1967550</v>
      </c>
      <c r="C116" s="372"/>
      <c r="D116" s="372">
        <v>1470336</v>
      </c>
      <c r="E116" s="372"/>
      <c r="F116" s="372">
        <f t="shared" si="6"/>
        <v>184806</v>
      </c>
      <c r="G116" s="373"/>
      <c r="H116" s="372">
        <v>21947</v>
      </c>
      <c r="I116" s="372">
        <v>15478</v>
      </c>
      <c r="J116" s="372">
        <v>147381</v>
      </c>
      <c r="K116" s="372">
        <v>191779</v>
      </c>
      <c r="L116" s="372">
        <v>120629</v>
      </c>
    </row>
    <row r="117" spans="1:14" s="366" customFormat="1" ht="9" customHeight="1" x14ac:dyDescent="0.25">
      <c r="A117" s="366" t="s">
        <v>51</v>
      </c>
      <c r="B117" s="372">
        <f t="shared" si="5"/>
        <v>13753209</v>
      </c>
      <c r="C117" s="372"/>
      <c r="D117" s="372">
        <v>9665476</v>
      </c>
      <c r="E117" s="372"/>
      <c r="F117" s="372">
        <f t="shared" si="6"/>
        <v>2095105</v>
      </c>
      <c r="G117" s="373"/>
      <c r="H117" s="372">
        <v>293908</v>
      </c>
      <c r="I117" s="372">
        <v>353028</v>
      </c>
      <c r="J117" s="372">
        <v>1448169</v>
      </c>
      <c r="K117" s="372">
        <v>1322159</v>
      </c>
      <c r="L117" s="372">
        <v>670469</v>
      </c>
    </row>
    <row r="118" spans="1:14" s="366" customFormat="1" ht="9" customHeight="1" x14ac:dyDescent="0.25">
      <c r="A118" s="366" t="s">
        <v>52</v>
      </c>
      <c r="B118" s="372">
        <f t="shared" si="5"/>
        <v>4990466</v>
      </c>
      <c r="C118" s="372"/>
      <c r="D118" s="372">
        <v>3707597</v>
      </c>
      <c r="E118" s="372"/>
      <c r="F118" s="372">
        <f t="shared" si="6"/>
        <v>630425</v>
      </c>
      <c r="G118" s="373"/>
      <c r="H118" s="372">
        <v>93103</v>
      </c>
      <c r="I118" s="372">
        <v>55757</v>
      </c>
      <c r="J118" s="372">
        <v>481565</v>
      </c>
      <c r="K118" s="372">
        <v>440295</v>
      </c>
      <c r="L118" s="372">
        <v>212149</v>
      </c>
    </row>
    <row r="119" spans="1:14" s="366" customFormat="1" ht="9" customHeight="1" x14ac:dyDescent="0.25">
      <c r="A119" s="375" t="s">
        <v>53</v>
      </c>
      <c r="B119" s="376">
        <f t="shared" si="5"/>
        <v>2842773</v>
      </c>
      <c r="C119" s="376"/>
      <c r="D119" s="376">
        <v>2138080</v>
      </c>
      <c r="E119" s="376"/>
      <c r="F119" s="376">
        <f t="shared" si="6"/>
        <v>282900</v>
      </c>
      <c r="G119" s="377"/>
      <c r="H119" s="376">
        <v>49905</v>
      </c>
      <c r="I119" s="376">
        <v>27454</v>
      </c>
      <c r="J119" s="376">
        <v>205541</v>
      </c>
      <c r="K119" s="376">
        <v>275103</v>
      </c>
      <c r="L119" s="376">
        <v>146690</v>
      </c>
    </row>
    <row r="120" spans="1:14" s="366" customFormat="1" ht="9" customHeight="1" x14ac:dyDescent="0.25">
      <c r="B120" s="372"/>
      <c r="C120" s="372"/>
      <c r="D120" s="372"/>
      <c r="E120" s="372"/>
      <c r="F120" s="372"/>
      <c r="G120" s="373"/>
      <c r="H120" s="372"/>
      <c r="I120" s="372"/>
      <c r="J120" s="372"/>
      <c r="K120" s="372"/>
      <c r="L120" s="372"/>
    </row>
    <row r="121" spans="1:14" s="366" customFormat="1" ht="9" customHeight="1" x14ac:dyDescent="0.25">
      <c r="A121" s="363">
        <v>1998</v>
      </c>
      <c r="B121" s="383"/>
      <c r="C121" s="384"/>
      <c r="D121" s="384"/>
      <c r="E121" s="364"/>
      <c r="F121" s="364"/>
      <c r="G121" s="365"/>
      <c r="H121" s="364"/>
      <c r="I121" s="364"/>
      <c r="J121" s="364"/>
      <c r="K121" s="364"/>
    </row>
    <row r="122" spans="1:14" s="371" customFormat="1" ht="9" customHeight="1" x14ac:dyDescent="0.25">
      <c r="A122" s="385" t="s">
        <v>262</v>
      </c>
      <c r="B122" s="368">
        <f>SUM(B124:B155)</f>
        <v>216429362</v>
      </c>
      <c r="C122" s="368"/>
      <c r="D122" s="368">
        <f>SUM(D124:D155)</f>
        <v>149298467</v>
      </c>
      <c r="E122" s="368"/>
      <c r="F122" s="381">
        <f>SUM(F124:F155)</f>
        <v>33254047</v>
      </c>
      <c r="G122" s="382"/>
      <c r="H122" s="368">
        <f>SUM(H124:H155)</f>
        <v>4368459</v>
      </c>
      <c r="I122" s="368">
        <f>SUM(I124:I155)</f>
        <v>4039079</v>
      </c>
      <c r="J122" s="368">
        <f>SUM(J124:J155)</f>
        <v>24846509</v>
      </c>
      <c r="K122" s="368">
        <f>SUM(K124:K155)</f>
        <v>21484188</v>
      </c>
      <c r="L122" s="368">
        <f>SUM(L124:L155)</f>
        <v>11563117</v>
      </c>
    </row>
    <row r="123" spans="1:14" s="371" customFormat="1" ht="3.95" customHeight="1" x14ac:dyDescent="0.25">
      <c r="A123" s="367"/>
      <c r="B123" s="368"/>
      <c r="C123" s="368"/>
      <c r="D123" s="368"/>
      <c r="E123" s="368"/>
      <c r="F123" s="381"/>
      <c r="G123" s="382"/>
      <c r="H123" s="368"/>
      <c r="I123" s="368"/>
      <c r="J123" s="368"/>
      <c r="K123" s="368"/>
      <c r="L123" s="368"/>
    </row>
    <row r="124" spans="1:14" s="366" customFormat="1" ht="9" customHeight="1" x14ac:dyDescent="0.25">
      <c r="A124" s="366" t="s">
        <v>23</v>
      </c>
      <c r="B124" s="372">
        <f>SUM(D124+F124+K124+L124)</f>
        <v>2256098</v>
      </c>
      <c r="C124" s="372"/>
      <c r="D124" s="372">
        <v>1545900</v>
      </c>
      <c r="E124" s="372"/>
      <c r="F124" s="372">
        <f t="shared" ref="F124:F155" si="7">SUM(H124:J124)</f>
        <v>347305</v>
      </c>
      <c r="G124" s="373"/>
      <c r="H124" s="372">
        <v>73540</v>
      </c>
      <c r="I124" s="372">
        <v>30917</v>
      </c>
      <c r="J124" s="372">
        <v>242848</v>
      </c>
      <c r="K124" s="372">
        <v>255332</v>
      </c>
      <c r="L124" s="372">
        <v>107561</v>
      </c>
    </row>
    <row r="125" spans="1:14" s="366" customFormat="1" ht="9" customHeight="1" x14ac:dyDescent="0.25">
      <c r="A125" s="366" t="s">
        <v>24</v>
      </c>
      <c r="B125" s="372">
        <f>SUM(D125+F125+K125+L125)</f>
        <v>4559297</v>
      </c>
      <c r="C125" s="372"/>
      <c r="D125" s="372">
        <v>2866176</v>
      </c>
      <c r="E125" s="372"/>
      <c r="F125" s="372">
        <f t="shared" si="7"/>
        <v>810221</v>
      </c>
      <c r="G125" s="373"/>
      <c r="H125" s="372">
        <v>97966</v>
      </c>
      <c r="I125" s="372">
        <v>87105</v>
      </c>
      <c r="J125" s="372">
        <v>625150</v>
      </c>
      <c r="K125" s="372">
        <v>634780</v>
      </c>
      <c r="L125" s="372">
        <v>248120</v>
      </c>
      <c r="N125" s="374"/>
    </row>
    <row r="126" spans="1:14" s="366" customFormat="1" ht="9" customHeight="1" x14ac:dyDescent="0.25">
      <c r="A126" s="366" t="s">
        <v>25</v>
      </c>
      <c r="B126" s="372">
        <f>SUM(D126+F126+K126+L126)</f>
        <v>1451800</v>
      </c>
      <c r="C126" s="372"/>
      <c r="D126" s="372">
        <v>954720</v>
      </c>
      <c r="E126" s="372"/>
      <c r="F126" s="372">
        <f t="shared" si="7"/>
        <v>243592</v>
      </c>
      <c r="G126" s="373"/>
      <c r="H126" s="372">
        <v>36735</v>
      </c>
      <c r="I126" s="372">
        <v>30616</v>
      </c>
      <c r="J126" s="372">
        <v>176241</v>
      </c>
      <c r="K126" s="372">
        <v>171584</v>
      </c>
      <c r="L126" s="372">
        <v>81904</v>
      </c>
      <c r="N126" s="374"/>
    </row>
    <row r="127" spans="1:14" s="366" customFormat="1" ht="9" customHeight="1" x14ac:dyDescent="0.25">
      <c r="A127" s="375" t="s">
        <v>26</v>
      </c>
      <c r="B127" s="376">
        <f>SUM(D127+F127+K127+L127)</f>
        <v>1959270</v>
      </c>
      <c r="C127" s="376"/>
      <c r="D127" s="376">
        <v>1331885</v>
      </c>
      <c r="E127" s="376"/>
      <c r="F127" s="376">
        <f t="shared" si="7"/>
        <v>261833</v>
      </c>
      <c r="G127" s="377"/>
      <c r="H127" s="376">
        <v>53606</v>
      </c>
      <c r="I127" s="376">
        <v>42435</v>
      </c>
      <c r="J127" s="376">
        <v>165792</v>
      </c>
      <c r="K127" s="376">
        <v>261549</v>
      </c>
      <c r="L127" s="376">
        <v>104003</v>
      </c>
      <c r="N127" s="374"/>
    </row>
    <row r="128" spans="1:14" s="366" customFormat="1" ht="9" customHeight="1" x14ac:dyDescent="0.25">
      <c r="A128" s="366" t="s">
        <v>27</v>
      </c>
      <c r="B128" s="372">
        <f>SUM(D128+F128+K128+L128)+2413</f>
        <v>7351001</v>
      </c>
      <c r="C128" s="372"/>
      <c r="D128" s="372">
        <v>4815956</v>
      </c>
      <c r="E128" s="372"/>
      <c r="F128" s="372">
        <f t="shared" si="7"/>
        <v>1113278</v>
      </c>
      <c r="G128" s="373"/>
      <c r="H128" s="372">
        <v>183704</v>
      </c>
      <c r="I128" s="372">
        <v>171110</v>
      </c>
      <c r="J128" s="372">
        <v>758464</v>
      </c>
      <c r="K128" s="372">
        <v>1066726</v>
      </c>
      <c r="L128" s="372">
        <v>352628</v>
      </c>
      <c r="N128" s="374"/>
    </row>
    <row r="129" spans="1:14" s="366" customFormat="1" ht="9" customHeight="1" x14ac:dyDescent="0.25">
      <c r="A129" s="366" t="s">
        <v>28</v>
      </c>
      <c r="B129" s="372">
        <f>SUM(D129+F129+K129+L129)</f>
        <v>1471164</v>
      </c>
      <c r="C129" s="372"/>
      <c r="D129" s="372">
        <v>978144</v>
      </c>
      <c r="E129" s="372"/>
      <c r="F129" s="372">
        <f t="shared" si="7"/>
        <v>226805</v>
      </c>
      <c r="G129" s="373"/>
      <c r="H129" s="372">
        <v>36995</v>
      </c>
      <c r="I129" s="372">
        <v>20884</v>
      </c>
      <c r="J129" s="372">
        <v>168926</v>
      </c>
      <c r="K129" s="372">
        <v>189087</v>
      </c>
      <c r="L129" s="372">
        <v>77128</v>
      </c>
      <c r="N129" s="374"/>
    </row>
    <row r="130" spans="1:14" s="366" customFormat="1" ht="9" customHeight="1" x14ac:dyDescent="0.25">
      <c r="A130" s="366" t="s">
        <v>29</v>
      </c>
      <c r="B130" s="372">
        <f>SUM(D130+F130+K130+L130)</f>
        <v>6261769</v>
      </c>
      <c r="C130" s="372"/>
      <c r="D130" s="372">
        <v>4848853</v>
      </c>
      <c r="E130" s="372"/>
      <c r="F130" s="372">
        <f t="shared" si="7"/>
        <v>549367</v>
      </c>
      <c r="G130" s="373"/>
      <c r="H130" s="372">
        <v>92587</v>
      </c>
      <c r="I130" s="372">
        <v>78037</v>
      </c>
      <c r="J130" s="372">
        <v>378743</v>
      </c>
      <c r="K130" s="372">
        <v>479051</v>
      </c>
      <c r="L130" s="372">
        <v>384498</v>
      </c>
      <c r="N130" s="374"/>
    </row>
    <row r="131" spans="1:14" s="366" customFormat="1" ht="9" customHeight="1" x14ac:dyDescent="0.25">
      <c r="A131" s="375" t="s">
        <v>30</v>
      </c>
      <c r="B131" s="376">
        <f>SUM(D131+F131+K131+L131)</f>
        <v>6253845</v>
      </c>
      <c r="C131" s="376"/>
      <c r="D131" s="376">
        <v>4577023</v>
      </c>
      <c r="E131" s="376"/>
      <c r="F131" s="376">
        <f t="shared" si="7"/>
        <v>790877</v>
      </c>
      <c r="G131" s="377"/>
      <c r="H131" s="376">
        <v>102659</v>
      </c>
      <c r="I131" s="376">
        <v>66886</v>
      </c>
      <c r="J131" s="376">
        <v>621332</v>
      </c>
      <c r="K131" s="376">
        <v>629738</v>
      </c>
      <c r="L131" s="376">
        <v>256207</v>
      </c>
    </row>
    <row r="132" spans="1:14" s="366" customFormat="1" ht="9" customHeight="1" x14ac:dyDescent="0.25">
      <c r="A132" s="366" t="s">
        <v>63</v>
      </c>
      <c r="B132" s="372">
        <f>SUM(D132+F132+K132+L132)+307958</f>
        <v>30150083</v>
      </c>
      <c r="C132" s="372"/>
      <c r="D132" s="372">
        <v>16046330</v>
      </c>
      <c r="E132" s="372"/>
      <c r="F132" s="372">
        <f t="shared" si="7"/>
        <v>8568641</v>
      </c>
      <c r="G132" s="373"/>
      <c r="H132" s="372">
        <v>819855</v>
      </c>
      <c r="I132" s="372">
        <v>943883</v>
      </c>
      <c r="J132" s="372">
        <v>6804903</v>
      </c>
      <c r="K132" s="372">
        <v>3262279</v>
      </c>
      <c r="L132" s="372">
        <v>1964875</v>
      </c>
    </row>
    <row r="133" spans="1:14" s="366" customFormat="1" ht="9" customHeight="1" x14ac:dyDescent="0.25">
      <c r="A133" s="366" t="s">
        <v>31</v>
      </c>
      <c r="B133" s="372">
        <f>SUM(D133+F133+K133+L133)</f>
        <v>4081701</v>
      </c>
      <c r="C133" s="372"/>
      <c r="D133" s="372">
        <v>2957096</v>
      </c>
      <c r="E133" s="372"/>
      <c r="F133" s="372">
        <f t="shared" si="7"/>
        <v>519578</v>
      </c>
      <c r="G133" s="373"/>
      <c r="H133" s="372">
        <v>87212</v>
      </c>
      <c r="I133" s="372">
        <v>57555</v>
      </c>
      <c r="J133" s="372">
        <v>374811</v>
      </c>
      <c r="K133" s="372">
        <v>450871</v>
      </c>
      <c r="L133" s="372">
        <v>154156</v>
      </c>
    </row>
    <row r="134" spans="1:14" s="366" customFormat="1" ht="9" customHeight="1" x14ac:dyDescent="0.25">
      <c r="A134" s="366" t="s">
        <v>32</v>
      </c>
      <c r="B134" s="372">
        <f>SUM(D134+F134+K134+L134)+43417</f>
        <v>7915656</v>
      </c>
      <c r="C134" s="372"/>
      <c r="D134" s="372">
        <v>5687440</v>
      </c>
      <c r="E134" s="372"/>
      <c r="F134" s="372">
        <f t="shared" si="7"/>
        <v>1142932</v>
      </c>
      <c r="G134" s="373"/>
      <c r="H134" s="372">
        <v>144719</v>
      </c>
      <c r="I134" s="372">
        <v>137433</v>
      </c>
      <c r="J134" s="372">
        <v>860780</v>
      </c>
      <c r="K134" s="372">
        <v>653601</v>
      </c>
      <c r="L134" s="372">
        <v>388266</v>
      </c>
    </row>
    <row r="135" spans="1:14" s="366" customFormat="1" ht="9" customHeight="1" x14ac:dyDescent="0.25">
      <c r="A135" s="375" t="s">
        <v>33</v>
      </c>
      <c r="B135" s="376">
        <f>SUM(D135+F135+K135+L135)</f>
        <v>5745588</v>
      </c>
      <c r="C135" s="376"/>
      <c r="D135" s="376">
        <v>4468840</v>
      </c>
      <c r="E135" s="376"/>
      <c r="F135" s="376">
        <f t="shared" si="7"/>
        <v>629555</v>
      </c>
      <c r="G135" s="377"/>
      <c r="H135" s="376">
        <v>75835</v>
      </c>
      <c r="I135" s="376">
        <v>80177</v>
      </c>
      <c r="J135" s="376">
        <v>473543</v>
      </c>
      <c r="K135" s="376">
        <v>423742</v>
      </c>
      <c r="L135" s="376">
        <v>223451</v>
      </c>
      <c r="M135" s="356"/>
    </row>
    <row r="136" spans="1:14" s="366" customFormat="1" ht="9" customHeight="1" x14ac:dyDescent="0.25">
      <c r="A136" s="366" t="s">
        <v>34</v>
      </c>
      <c r="B136" s="372">
        <f>SUM(D136+F136+K136+L136)</f>
        <v>4561447</v>
      </c>
      <c r="C136" s="372"/>
      <c r="D136" s="372">
        <v>3418906</v>
      </c>
      <c r="E136" s="372"/>
      <c r="F136" s="372">
        <f t="shared" si="7"/>
        <v>460767</v>
      </c>
      <c r="G136" s="373"/>
      <c r="H136" s="372">
        <v>70157</v>
      </c>
      <c r="I136" s="372">
        <v>46592</v>
      </c>
      <c r="J136" s="372">
        <v>344018</v>
      </c>
      <c r="K136" s="372">
        <v>383516</v>
      </c>
      <c r="L136" s="372">
        <v>298258</v>
      </c>
      <c r="M136" s="356"/>
    </row>
    <row r="137" spans="1:14" s="366" customFormat="1" ht="9" customHeight="1" x14ac:dyDescent="0.25">
      <c r="A137" s="366" t="s">
        <v>35</v>
      </c>
      <c r="B137" s="372">
        <f>SUM(D137+F137+K137+L137)+76280</f>
        <v>12717268</v>
      </c>
      <c r="C137" s="372"/>
      <c r="D137" s="372">
        <v>8621407</v>
      </c>
      <c r="E137" s="372"/>
      <c r="F137" s="372">
        <f t="shared" si="7"/>
        <v>1985588</v>
      </c>
      <c r="G137" s="373"/>
      <c r="H137" s="372">
        <v>270289</v>
      </c>
      <c r="I137" s="372">
        <v>167100</v>
      </c>
      <c r="J137" s="372">
        <v>1548199</v>
      </c>
      <c r="K137" s="372">
        <v>1459930</v>
      </c>
      <c r="L137" s="372">
        <v>574063</v>
      </c>
    </row>
    <row r="138" spans="1:14" s="366" customFormat="1" ht="9" customHeight="1" x14ac:dyDescent="0.25">
      <c r="A138" s="366" t="s">
        <v>36</v>
      </c>
      <c r="B138" s="372">
        <f>SUM(D138+F138+K138+L138)+15171</f>
        <v>21834545</v>
      </c>
      <c r="C138" s="372"/>
      <c r="D138" s="372">
        <v>16759761</v>
      </c>
      <c r="E138" s="372"/>
      <c r="F138" s="372">
        <f t="shared" si="7"/>
        <v>2001785</v>
      </c>
      <c r="G138" s="373"/>
      <c r="H138" s="372">
        <v>367783</v>
      </c>
      <c r="I138" s="372">
        <v>275097</v>
      </c>
      <c r="J138" s="372">
        <v>1358905</v>
      </c>
      <c r="K138" s="372">
        <v>1721624</v>
      </c>
      <c r="L138" s="372">
        <v>1336204</v>
      </c>
    </row>
    <row r="139" spans="1:14" s="366" customFormat="1" ht="9" customHeight="1" x14ac:dyDescent="0.25">
      <c r="A139" s="375" t="s">
        <v>37</v>
      </c>
      <c r="B139" s="376">
        <f>SUM(D139+F139+K139+L139)</f>
        <v>7308988</v>
      </c>
      <c r="C139" s="376"/>
      <c r="D139" s="376">
        <v>5497959</v>
      </c>
      <c r="E139" s="376"/>
      <c r="F139" s="376">
        <f t="shared" si="7"/>
        <v>814570</v>
      </c>
      <c r="G139" s="377"/>
      <c r="H139" s="376">
        <v>100402</v>
      </c>
      <c r="I139" s="376">
        <v>86338</v>
      </c>
      <c r="J139" s="376">
        <v>627830</v>
      </c>
      <c r="K139" s="376">
        <v>570492</v>
      </c>
      <c r="L139" s="376">
        <v>425967</v>
      </c>
    </row>
    <row r="140" spans="1:14" s="366" customFormat="1" ht="9" customHeight="1" x14ac:dyDescent="0.25">
      <c r="A140" s="366" t="s">
        <v>38</v>
      </c>
      <c r="B140" s="372">
        <f>SUM(D140+F140+K140+L140)</f>
        <v>3279220</v>
      </c>
      <c r="C140" s="372"/>
      <c r="D140" s="372">
        <v>2222858</v>
      </c>
      <c r="E140" s="372"/>
      <c r="F140" s="372">
        <f t="shared" si="7"/>
        <v>425694</v>
      </c>
      <c r="G140" s="373"/>
      <c r="H140" s="372">
        <v>53613</v>
      </c>
      <c r="I140" s="372">
        <v>53754</v>
      </c>
      <c r="J140" s="372">
        <v>318327</v>
      </c>
      <c r="K140" s="372">
        <v>433470</v>
      </c>
      <c r="L140" s="372">
        <v>197198</v>
      </c>
    </row>
    <row r="141" spans="1:14" s="366" customFormat="1" ht="9" customHeight="1" x14ac:dyDescent="0.25">
      <c r="A141" s="366" t="s">
        <v>39</v>
      </c>
      <c r="B141" s="372">
        <f>SUM(D141+F141+K141+L141)</f>
        <v>2536133</v>
      </c>
      <c r="C141" s="372"/>
      <c r="D141" s="372">
        <v>1935663</v>
      </c>
      <c r="E141" s="372"/>
      <c r="F141" s="372">
        <f t="shared" si="7"/>
        <v>307153</v>
      </c>
      <c r="G141" s="373"/>
      <c r="H141" s="372">
        <v>38805</v>
      </c>
      <c r="I141" s="372">
        <v>37109</v>
      </c>
      <c r="J141" s="372">
        <v>231239</v>
      </c>
      <c r="K141" s="372">
        <v>170981</v>
      </c>
      <c r="L141" s="372">
        <v>122336</v>
      </c>
    </row>
    <row r="142" spans="1:14" s="366" customFormat="1" ht="9" customHeight="1" x14ac:dyDescent="0.25">
      <c r="A142" s="366" t="s">
        <v>40</v>
      </c>
      <c r="B142" s="372">
        <f>SUM(D142+F142+K142+L142)+174673</f>
        <v>11198452</v>
      </c>
      <c r="C142" s="372"/>
      <c r="D142" s="372">
        <v>7099167</v>
      </c>
      <c r="E142" s="372"/>
      <c r="F142" s="372">
        <f t="shared" si="7"/>
        <v>1879877</v>
      </c>
      <c r="G142" s="373"/>
      <c r="H142" s="372">
        <v>314745</v>
      </c>
      <c r="I142" s="372">
        <v>203223</v>
      </c>
      <c r="J142" s="372">
        <v>1361909</v>
      </c>
      <c r="K142" s="372">
        <v>1576682</v>
      </c>
      <c r="L142" s="372">
        <v>468053</v>
      </c>
    </row>
    <row r="143" spans="1:14" s="366" customFormat="1" ht="9" customHeight="1" x14ac:dyDescent="0.25">
      <c r="A143" s="375" t="s">
        <v>41</v>
      </c>
      <c r="B143" s="376">
        <f>SUM(D143+F143+K143+L143)</f>
        <v>5599389</v>
      </c>
      <c r="C143" s="376"/>
      <c r="D143" s="376">
        <v>4422215</v>
      </c>
      <c r="E143" s="376"/>
      <c r="F143" s="376">
        <f t="shared" si="7"/>
        <v>524813</v>
      </c>
      <c r="G143" s="377"/>
      <c r="H143" s="376">
        <v>78496</v>
      </c>
      <c r="I143" s="376">
        <v>74347</v>
      </c>
      <c r="J143" s="376">
        <v>371970</v>
      </c>
      <c r="K143" s="376">
        <v>313640</v>
      </c>
      <c r="L143" s="376">
        <v>338721</v>
      </c>
    </row>
    <row r="144" spans="1:14" s="366" customFormat="1" ht="9" customHeight="1" x14ac:dyDescent="0.25">
      <c r="A144" s="366" t="s">
        <v>42</v>
      </c>
      <c r="B144" s="372">
        <f>SUM(D144+F144+K144+L144)+55017</f>
        <v>7723002</v>
      </c>
      <c r="C144" s="372"/>
      <c r="D144" s="372">
        <v>5671766</v>
      </c>
      <c r="E144" s="372"/>
      <c r="F144" s="372">
        <f t="shared" si="7"/>
        <v>937861</v>
      </c>
      <c r="G144" s="373"/>
      <c r="H144" s="372">
        <v>102194</v>
      </c>
      <c r="I144" s="372">
        <v>100228</v>
      </c>
      <c r="J144" s="372">
        <v>735439</v>
      </c>
      <c r="K144" s="372">
        <v>521676</v>
      </c>
      <c r="L144" s="372">
        <v>536682</v>
      </c>
    </row>
    <row r="145" spans="1:12" s="366" customFormat="1" ht="9" customHeight="1" x14ac:dyDescent="0.25">
      <c r="A145" s="366" t="s">
        <v>43</v>
      </c>
      <c r="B145" s="372">
        <f>SUM(D145+F145+K145+L145)</f>
        <v>2754874</v>
      </c>
      <c r="C145" s="372"/>
      <c r="D145" s="372">
        <v>1929960</v>
      </c>
      <c r="E145" s="372"/>
      <c r="F145" s="372">
        <f t="shared" si="7"/>
        <v>332828</v>
      </c>
      <c r="G145" s="373"/>
      <c r="H145" s="372">
        <v>44910</v>
      </c>
      <c r="I145" s="372">
        <v>29305</v>
      </c>
      <c r="J145" s="372">
        <v>258613</v>
      </c>
      <c r="K145" s="372">
        <v>318515</v>
      </c>
      <c r="L145" s="372">
        <v>173571</v>
      </c>
    </row>
    <row r="146" spans="1:12" s="366" customFormat="1" ht="9" customHeight="1" x14ac:dyDescent="0.25">
      <c r="A146" s="366" t="s">
        <v>44</v>
      </c>
      <c r="B146" s="372">
        <f>SUM(D146+F146+K146+L146)</f>
        <v>1819306</v>
      </c>
      <c r="C146" s="372"/>
      <c r="D146" s="372">
        <v>1242076</v>
      </c>
      <c r="E146" s="372"/>
      <c r="F146" s="372">
        <f t="shared" si="7"/>
        <v>211876</v>
      </c>
      <c r="G146" s="373"/>
      <c r="H146" s="372">
        <v>35487</v>
      </c>
      <c r="I146" s="372">
        <v>25502</v>
      </c>
      <c r="J146" s="372">
        <v>150887</v>
      </c>
      <c r="K146" s="372">
        <v>273459</v>
      </c>
      <c r="L146" s="372">
        <v>91895</v>
      </c>
    </row>
    <row r="147" spans="1:12" s="366" customFormat="1" ht="9" customHeight="1" x14ac:dyDescent="0.25">
      <c r="A147" s="375" t="s">
        <v>45</v>
      </c>
      <c r="B147" s="376">
        <f>SUM(D147+F147+K147+L147)</f>
        <v>4649728</v>
      </c>
      <c r="C147" s="376"/>
      <c r="D147" s="376">
        <v>3388823</v>
      </c>
      <c r="E147" s="376"/>
      <c r="F147" s="376">
        <f t="shared" si="7"/>
        <v>530225</v>
      </c>
      <c r="G147" s="377"/>
      <c r="H147" s="376">
        <v>68178</v>
      </c>
      <c r="I147" s="376">
        <v>54266</v>
      </c>
      <c r="J147" s="376">
        <v>407781</v>
      </c>
      <c r="K147" s="376">
        <v>479502</v>
      </c>
      <c r="L147" s="376">
        <v>251178</v>
      </c>
    </row>
    <row r="148" spans="1:12" s="366" customFormat="1" ht="9" customHeight="1" x14ac:dyDescent="0.25">
      <c r="A148" s="366" t="s">
        <v>46</v>
      </c>
      <c r="B148" s="372">
        <f>SUM(D148+F148+K148+L148)</f>
        <v>6980092</v>
      </c>
      <c r="C148" s="372"/>
      <c r="D148" s="372">
        <v>5056588</v>
      </c>
      <c r="E148" s="372"/>
      <c r="F148" s="372">
        <f t="shared" si="7"/>
        <v>911742</v>
      </c>
      <c r="G148" s="373"/>
      <c r="H148" s="372">
        <v>100084</v>
      </c>
      <c r="I148" s="372">
        <v>113862</v>
      </c>
      <c r="J148" s="372">
        <v>697796</v>
      </c>
      <c r="K148" s="372">
        <v>686136</v>
      </c>
      <c r="L148" s="372">
        <v>325626</v>
      </c>
    </row>
    <row r="149" spans="1:12" s="366" customFormat="1" ht="9" customHeight="1" x14ac:dyDescent="0.25">
      <c r="A149" s="366" t="s">
        <v>47</v>
      </c>
      <c r="B149" s="372">
        <f>SUM(D149+F149+K149+L149)+56998</f>
        <v>5885839</v>
      </c>
      <c r="C149" s="372"/>
      <c r="D149" s="372">
        <v>3867124</v>
      </c>
      <c r="E149" s="372"/>
      <c r="F149" s="372">
        <f t="shared" si="7"/>
        <v>1035645</v>
      </c>
      <c r="G149" s="373"/>
      <c r="H149" s="372">
        <v>133524</v>
      </c>
      <c r="I149" s="372">
        <v>173327</v>
      </c>
      <c r="J149" s="372">
        <v>728794</v>
      </c>
      <c r="K149" s="372">
        <v>668590</v>
      </c>
      <c r="L149" s="372">
        <v>257482</v>
      </c>
    </row>
    <row r="150" spans="1:12" s="366" customFormat="1" ht="9" customHeight="1" x14ac:dyDescent="0.25">
      <c r="A150" s="366" t="s">
        <v>48</v>
      </c>
      <c r="B150" s="372">
        <f>SUM(D150+F150+K150+L150)</f>
        <v>5280118</v>
      </c>
      <c r="C150" s="372"/>
      <c r="D150" s="372">
        <v>3734168</v>
      </c>
      <c r="E150" s="372"/>
      <c r="F150" s="372">
        <f t="shared" si="7"/>
        <v>778205</v>
      </c>
      <c r="G150" s="373"/>
      <c r="H150" s="372">
        <v>112818</v>
      </c>
      <c r="I150" s="372">
        <v>153542</v>
      </c>
      <c r="J150" s="372">
        <v>511845</v>
      </c>
      <c r="K150" s="372">
        <v>442164</v>
      </c>
      <c r="L150" s="372">
        <v>325581</v>
      </c>
    </row>
    <row r="151" spans="1:12" s="366" customFormat="1" ht="9" customHeight="1" x14ac:dyDescent="0.25">
      <c r="A151" s="375" t="s">
        <v>49</v>
      </c>
      <c r="B151" s="376">
        <f>SUM(D151+F151+K151+L151)</f>
        <v>8002355</v>
      </c>
      <c r="C151" s="376"/>
      <c r="D151" s="376">
        <v>5210425</v>
      </c>
      <c r="E151" s="376"/>
      <c r="F151" s="376">
        <f t="shared" si="7"/>
        <v>1614625</v>
      </c>
      <c r="G151" s="377"/>
      <c r="H151" s="376">
        <v>181458</v>
      </c>
      <c r="I151" s="376">
        <v>252548</v>
      </c>
      <c r="J151" s="376">
        <v>1180619</v>
      </c>
      <c r="K151" s="376">
        <v>870046</v>
      </c>
      <c r="L151" s="376">
        <v>307259</v>
      </c>
    </row>
    <row r="152" spans="1:12" s="366" customFormat="1" ht="9" customHeight="1" x14ac:dyDescent="0.25">
      <c r="A152" s="366" t="s">
        <v>50</v>
      </c>
      <c r="B152" s="372">
        <f>SUM(D152+F152+K152+L152)</f>
        <v>1987155</v>
      </c>
      <c r="C152" s="372"/>
      <c r="D152" s="372">
        <v>1482512</v>
      </c>
      <c r="E152" s="372"/>
      <c r="F152" s="372">
        <f t="shared" si="7"/>
        <v>189689</v>
      </c>
      <c r="G152" s="373"/>
      <c r="H152" s="372">
        <v>24029</v>
      </c>
      <c r="I152" s="372">
        <v>16267</v>
      </c>
      <c r="J152" s="372">
        <v>149393</v>
      </c>
      <c r="K152" s="372">
        <v>191007</v>
      </c>
      <c r="L152" s="372">
        <v>123947</v>
      </c>
    </row>
    <row r="153" spans="1:12" s="366" customFormat="1" ht="9" customHeight="1" x14ac:dyDescent="0.25">
      <c r="A153" s="366" t="s">
        <v>51</v>
      </c>
      <c r="B153" s="372">
        <f>SUM(D153+F153+K153+L153)+32381</f>
        <v>14686887</v>
      </c>
      <c r="C153" s="372"/>
      <c r="D153" s="372">
        <v>10510836</v>
      </c>
      <c r="E153" s="372"/>
      <c r="F153" s="372">
        <f t="shared" si="7"/>
        <v>2141165</v>
      </c>
      <c r="G153" s="373"/>
      <c r="H153" s="372">
        <v>325902</v>
      </c>
      <c r="I153" s="372">
        <v>340485</v>
      </c>
      <c r="J153" s="372">
        <v>1474778</v>
      </c>
      <c r="K153" s="372">
        <v>1302919</v>
      </c>
      <c r="L153" s="372">
        <v>699586</v>
      </c>
    </row>
    <row r="154" spans="1:12" s="366" customFormat="1" ht="9" customHeight="1" x14ac:dyDescent="0.25">
      <c r="A154" s="366" t="s">
        <v>52</v>
      </c>
      <c r="B154" s="372">
        <f>SUM(D154+F154+K154+L154)+65235</f>
        <v>5251148</v>
      </c>
      <c r="C154" s="372"/>
      <c r="D154" s="372">
        <v>3949701</v>
      </c>
      <c r="E154" s="372"/>
      <c r="F154" s="372">
        <f t="shared" si="7"/>
        <v>676309</v>
      </c>
      <c r="G154" s="373"/>
      <c r="H154" s="372">
        <v>90069</v>
      </c>
      <c r="I154" s="372">
        <v>59862</v>
      </c>
      <c r="J154" s="372">
        <v>526378</v>
      </c>
      <c r="K154" s="372">
        <v>338282</v>
      </c>
      <c r="L154" s="372">
        <v>221621</v>
      </c>
    </row>
    <row r="155" spans="1:12" s="366" customFormat="1" ht="9" customHeight="1" x14ac:dyDescent="0.25">
      <c r="A155" s="375" t="s">
        <v>53</v>
      </c>
      <c r="B155" s="376">
        <f>SUM(D155+F155+K155+L155)</f>
        <v>2916144</v>
      </c>
      <c r="C155" s="376"/>
      <c r="D155" s="376">
        <v>2198189</v>
      </c>
      <c r="E155" s="376"/>
      <c r="F155" s="376">
        <f t="shared" si="7"/>
        <v>289646</v>
      </c>
      <c r="G155" s="377"/>
      <c r="H155" s="376">
        <v>50103</v>
      </c>
      <c r="I155" s="376">
        <v>29287</v>
      </c>
      <c r="J155" s="376">
        <v>210256</v>
      </c>
      <c r="K155" s="376">
        <v>283217</v>
      </c>
      <c r="L155" s="376">
        <v>145092</v>
      </c>
    </row>
    <row r="156" spans="1:12" s="366" customFormat="1" ht="9" customHeight="1" x14ac:dyDescent="0.25">
      <c r="A156" s="378"/>
      <c r="B156" s="379"/>
      <c r="C156" s="379"/>
      <c r="D156" s="379"/>
      <c r="E156" s="379"/>
      <c r="F156" s="379"/>
      <c r="G156" s="380"/>
      <c r="H156" s="379"/>
      <c r="I156" s="379"/>
      <c r="J156" s="379"/>
      <c r="K156" s="379"/>
      <c r="L156" s="379"/>
    </row>
    <row r="157" spans="1:12" s="366" customFormat="1" ht="9" customHeight="1" x14ac:dyDescent="0.25">
      <c r="A157" s="363">
        <v>1999</v>
      </c>
      <c r="B157" s="364"/>
      <c r="C157" s="364"/>
      <c r="D157" s="364"/>
      <c r="E157" s="364"/>
      <c r="F157" s="364"/>
      <c r="G157" s="365"/>
      <c r="H157" s="364"/>
      <c r="I157" s="364"/>
      <c r="J157" s="364"/>
      <c r="K157" s="364"/>
    </row>
    <row r="158" spans="1:12" s="371" customFormat="1" ht="9" customHeight="1" x14ac:dyDescent="0.25">
      <c r="A158" s="367" t="s">
        <v>21</v>
      </c>
      <c r="B158" s="368">
        <f>SUM(B160:B191)</f>
        <v>231743585</v>
      </c>
      <c r="C158" s="368"/>
      <c r="D158" s="368">
        <f>SUM(D160:D191)</f>
        <v>161160366</v>
      </c>
      <c r="E158" s="368"/>
      <c r="F158" s="381">
        <f>SUM(F160:F191)</f>
        <v>35198861</v>
      </c>
      <c r="G158" s="382"/>
      <c r="H158" s="368">
        <f>SUM(H160:H191)</f>
        <v>4645511</v>
      </c>
      <c r="I158" s="368">
        <f>SUM(I160:I191)</f>
        <v>4142285</v>
      </c>
      <c r="J158" s="368">
        <f>SUM(J160:J191)</f>
        <v>26411065</v>
      </c>
      <c r="K158" s="368">
        <f>SUM(K160:K191)</f>
        <v>23248400</v>
      </c>
      <c r="L158" s="368">
        <f>SUM(L160:L191)</f>
        <v>12135958</v>
      </c>
    </row>
    <row r="159" spans="1:12" s="371" customFormat="1" ht="3.95" customHeight="1" x14ac:dyDescent="0.25">
      <c r="A159" s="367"/>
      <c r="B159" s="368"/>
      <c r="C159" s="368"/>
      <c r="D159" s="368"/>
      <c r="E159" s="368"/>
      <c r="F159" s="381"/>
      <c r="G159" s="382"/>
      <c r="H159" s="368"/>
      <c r="I159" s="368"/>
      <c r="J159" s="368"/>
      <c r="K159" s="368"/>
      <c r="L159" s="368"/>
    </row>
    <row r="160" spans="1:12" s="366" customFormat="1" ht="9" customHeight="1" x14ac:dyDescent="0.25">
      <c r="A160" s="366" t="s">
        <v>23</v>
      </c>
      <c r="B160" s="372">
        <f t="shared" ref="B160:B191" si="8">SUM(D160+F160+K160+L160)</f>
        <v>2323392</v>
      </c>
      <c r="C160" s="372"/>
      <c r="D160" s="372">
        <v>1548078</v>
      </c>
      <c r="E160" s="372"/>
      <c r="F160" s="372">
        <f t="shared" ref="F160:F191" si="9">SUM(H160:J160)</f>
        <v>381206</v>
      </c>
      <c r="G160" s="373"/>
      <c r="H160" s="372">
        <v>74123</v>
      </c>
      <c r="I160" s="372">
        <v>30763</v>
      </c>
      <c r="J160" s="372">
        <v>276320</v>
      </c>
      <c r="K160" s="372">
        <v>283893</v>
      </c>
      <c r="L160" s="372">
        <v>110215</v>
      </c>
    </row>
    <row r="161" spans="1:12" s="366" customFormat="1" ht="9" customHeight="1" x14ac:dyDescent="0.25">
      <c r="A161" s="366" t="s">
        <v>24</v>
      </c>
      <c r="B161" s="372">
        <f t="shared" si="8"/>
        <v>4853074</v>
      </c>
      <c r="C161" s="372"/>
      <c r="D161" s="372">
        <v>3087177</v>
      </c>
      <c r="E161" s="372"/>
      <c r="F161" s="372">
        <f t="shared" si="9"/>
        <v>841858</v>
      </c>
      <c r="G161" s="373"/>
      <c r="H161" s="372">
        <v>119388</v>
      </c>
      <c r="I161" s="372">
        <v>77691</v>
      </c>
      <c r="J161" s="372">
        <v>644779</v>
      </c>
      <c r="K161" s="372">
        <v>665255</v>
      </c>
      <c r="L161" s="372">
        <v>258784</v>
      </c>
    </row>
    <row r="162" spans="1:12" s="366" customFormat="1" ht="9" customHeight="1" x14ac:dyDescent="0.25">
      <c r="A162" s="366" t="s">
        <v>25</v>
      </c>
      <c r="B162" s="372">
        <f t="shared" si="8"/>
        <v>1532131</v>
      </c>
      <c r="C162" s="372"/>
      <c r="D162" s="372">
        <v>996750</v>
      </c>
      <c r="E162" s="372"/>
      <c r="F162" s="372">
        <f t="shared" si="9"/>
        <v>260847</v>
      </c>
      <c r="G162" s="373"/>
      <c r="H162" s="372">
        <v>33200</v>
      </c>
      <c r="I162" s="372">
        <v>32386</v>
      </c>
      <c r="J162" s="372">
        <v>195261</v>
      </c>
      <c r="K162" s="372">
        <v>184259</v>
      </c>
      <c r="L162" s="372">
        <v>90275</v>
      </c>
    </row>
    <row r="163" spans="1:12" s="366" customFormat="1" ht="9" customHeight="1" x14ac:dyDescent="0.25">
      <c r="A163" s="375" t="s">
        <v>26</v>
      </c>
      <c r="B163" s="376">
        <f t="shared" si="8"/>
        <v>2065291</v>
      </c>
      <c r="C163" s="376"/>
      <c r="D163" s="376">
        <v>1434702</v>
      </c>
      <c r="E163" s="376"/>
      <c r="F163" s="376">
        <f t="shared" si="9"/>
        <v>266787</v>
      </c>
      <c r="G163" s="377"/>
      <c r="H163" s="376">
        <v>57301</v>
      </c>
      <c r="I163" s="376">
        <v>41624</v>
      </c>
      <c r="J163" s="376">
        <v>167862</v>
      </c>
      <c r="K163" s="376">
        <v>255600</v>
      </c>
      <c r="L163" s="376">
        <v>108202</v>
      </c>
    </row>
    <row r="164" spans="1:12" s="366" customFormat="1" ht="9" customHeight="1" x14ac:dyDescent="0.25">
      <c r="A164" s="366" t="s">
        <v>27</v>
      </c>
      <c r="B164" s="372">
        <f t="shared" si="8"/>
        <v>7530855</v>
      </c>
      <c r="C164" s="372"/>
      <c r="D164" s="372">
        <v>4879031</v>
      </c>
      <c r="E164" s="372"/>
      <c r="F164" s="372">
        <f t="shared" si="9"/>
        <v>1156620</v>
      </c>
      <c r="G164" s="373"/>
      <c r="H164" s="372">
        <v>187059</v>
      </c>
      <c r="I164" s="372">
        <v>174889</v>
      </c>
      <c r="J164" s="372">
        <v>794672</v>
      </c>
      <c r="K164" s="372">
        <v>1122900</v>
      </c>
      <c r="L164" s="372">
        <v>372304</v>
      </c>
    </row>
    <row r="165" spans="1:12" s="366" customFormat="1" ht="9" customHeight="1" x14ac:dyDescent="0.25">
      <c r="A165" s="366" t="s">
        <v>28</v>
      </c>
      <c r="B165" s="372">
        <f t="shared" si="8"/>
        <v>1531848</v>
      </c>
      <c r="C165" s="372"/>
      <c r="D165" s="372">
        <v>999757</v>
      </c>
      <c r="E165" s="372"/>
      <c r="F165" s="372">
        <f t="shared" si="9"/>
        <v>248692</v>
      </c>
      <c r="G165" s="373"/>
      <c r="H165" s="372">
        <v>43334</v>
      </c>
      <c r="I165" s="372">
        <v>23477</v>
      </c>
      <c r="J165" s="372">
        <v>181881</v>
      </c>
      <c r="K165" s="372">
        <v>210037</v>
      </c>
      <c r="L165" s="372">
        <v>73362</v>
      </c>
    </row>
    <row r="166" spans="1:12" s="366" customFormat="1" ht="9" customHeight="1" x14ac:dyDescent="0.25">
      <c r="A166" s="366" t="s">
        <v>29</v>
      </c>
      <c r="B166" s="372">
        <f t="shared" si="8"/>
        <v>6955733</v>
      </c>
      <c r="C166" s="372"/>
      <c r="D166" s="372">
        <v>5476874</v>
      </c>
      <c r="E166" s="372"/>
      <c r="F166" s="372">
        <f t="shared" si="9"/>
        <v>570651</v>
      </c>
      <c r="G166" s="373"/>
      <c r="H166" s="372">
        <v>83265</v>
      </c>
      <c r="I166" s="372">
        <v>70982</v>
      </c>
      <c r="J166" s="372">
        <v>416404</v>
      </c>
      <c r="K166" s="372">
        <v>494413</v>
      </c>
      <c r="L166" s="372">
        <v>413795</v>
      </c>
    </row>
    <row r="167" spans="1:12" s="366" customFormat="1" ht="9" customHeight="1" x14ac:dyDescent="0.25">
      <c r="A167" s="375" t="s">
        <v>30</v>
      </c>
      <c r="B167" s="376">
        <f t="shared" si="8"/>
        <v>7033937</v>
      </c>
      <c r="C167" s="376"/>
      <c r="D167" s="376">
        <v>5048075</v>
      </c>
      <c r="E167" s="376"/>
      <c r="F167" s="376">
        <f t="shared" si="9"/>
        <v>935304</v>
      </c>
      <c r="G167" s="377"/>
      <c r="H167" s="376">
        <v>124818</v>
      </c>
      <c r="I167" s="376">
        <v>108522</v>
      </c>
      <c r="J167" s="376">
        <v>701964</v>
      </c>
      <c r="K167" s="376">
        <v>759729</v>
      </c>
      <c r="L167" s="376">
        <v>290829</v>
      </c>
    </row>
    <row r="168" spans="1:12" s="366" customFormat="1" ht="9" customHeight="1" x14ac:dyDescent="0.25">
      <c r="A168" s="366" t="s">
        <v>63</v>
      </c>
      <c r="B168" s="372">
        <f t="shared" si="8"/>
        <v>31247395</v>
      </c>
      <c r="C168" s="372"/>
      <c r="D168" s="372">
        <v>16555215</v>
      </c>
      <c r="E168" s="372"/>
      <c r="F168" s="372">
        <f t="shared" si="9"/>
        <v>8986351</v>
      </c>
      <c r="G168" s="373"/>
      <c r="H168" s="372">
        <v>883748</v>
      </c>
      <c r="I168" s="372">
        <v>900949</v>
      </c>
      <c r="J168" s="372">
        <v>7201654</v>
      </c>
      <c r="K168" s="372">
        <v>3559211</v>
      </c>
      <c r="L168" s="372">
        <v>2146618</v>
      </c>
    </row>
    <row r="169" spans="1:12" s="366" customFormat="1" ht="9" customHeight="1" x14ac:dyDescent="0.25">
      <c r="A169" s="366" t="s">
        <v>31</v>
      </c>
      <c r="B169" s="372">
        <f t="shared" si="8"/>
        <v>4319924</v>
      </c>
      <c r="C169" s="372"/>
      <c r="D169" s="372">
        <v>3106102</v>
      </c>
      <c r="E169" s="372"/>
      <c r="F169" s="372">
        <f t="shared" si="9"/>
        <v>551145</v>
      </c>
      <c r="G169" s="373"/>
      <c r="H169" s="372">
        <v>84152</v>
      </c>
      <c r="I169" s="372">
        <v>65759</v>
      </c>
      <c r="J169" s="372">
        <v>401234</v>
      </c>
      <c r="K169" s="372">
        <v>502113</v>
      </c>
      <c r="L169" s="372">
        <v>160564</v>
      </c>
    </row>
    <row r="170" spans="1:12" s="366" customFormat="1" ht="9" customHeight="1" x14ac:dyDescent="0.25">
      <c r="A170" s="366" t="s">
        <v>32</v>
      </c>
      <c r="B170" s="372">
        <f t="shared" si="8"/>
        <v>8358145</v>
      </c>
      <c r="C170" s="372"/>
      <c r="D170" s="372">
        <v>5917855</v>
      </c>
      <c r="E170" s="372"/>
      <c r="F170" s="372">
        <f t="shared" si="9"/>
        <v>1171543</v>
      </c>
      <c r="G170" s="373"/>
      <c r="H170" s="372">
        <v>145069</v>
      </c>
      <c r="I170" s="372">
        <v>138689</v>
      </c>
      <c r="J170" s="372">
        <v>887785</v>
      </c>
      <c r="K170" s="372">
        <v>863200</v>
      </c>
      <c r="L170" s="372">
        <v>405547</v>
      </c>
    </row>
    <row r="171" spans="1:12" s="366" customFormat="1" ht="9" customHeight="1" x14ac:dyDescent="0.25">
      <c r="A171" s="375" t="s">
        <v>33</v>
      </c>
      <c r="B171" s="376">
        <f t="shared" si="8"/>
        <v>6549090</v>
      </c>
      <c r="C171" s="376"/>
      <c r="D171" s="376">
        <v>5259584</v>
      </c>
      <c r="E171" s="376"/>
      <c r="F171" s="376">
        <f t="shared" si="9"/>
        <v>648571</v>
      </c>
      <c r="G171" s="377"/>
      <c r="H171" s="376">
        <v>84260</v>
      </c>
      <c r="I171" s="376">
        <v>88072</v>
      </c>
      <c r="J171" s="376">
        <v>476239</v>
      </c>
      <c r="K171" s="376">
        <v>403957</v>
      </c>
      <c r="L171" s="376">
        <v>236978</v>
      </c>
    </row>
    <row r="172" spans="1:12" s="366" customFormat="1" ht="9" customHeight="1" x14ac:dyDescent="0.25">
      <c r="A172" s="366" t="s">
        <v>34</v>
      </c>
      <c r="B172" s="372">
        <f t="shared" si="8"/>
        <v>5223591</v>
      </c>
      <c r="C172" s="372"/>
      <c r="D172" s="372">
        <v>4044084</v>
      </c>
      <c r="E172" s="372"/>
      <c r="F172" s="372">
        <f t="shared" si="9"/>
        <v>459504</v>
      </c>
      <c r="G172" s="373"/>
      <c r="H172" s="372">
        <v>71708</v>
      </c>
      <c r="I172" s="372">
        <v>48165</v>
      </c>
      <c r="J172" s="372">
        <v>339631</v>
      </c>
      <c r="K172" s="372">
        <v>373027</v>
      </c>
      <c r="L172" s="372">
        <v>346976</v>
      </c>
    </row>
    <row r="173" spans="1:12" s="366" customFormat="1" ht="9" customHeight="1" x14ac:dyDescent="0.25">
      <c r="A173" s="366" t="s">
        <v>35</v>
      </c>
      <c r="B173" s="372">
        <f t="shared" si="8"/>
        <v>13447423</v>
      </c>
      <c r="C173" s="372"/>
      <c r="D173" s="372">
        <v>9168090</v>
      </c>
      <c r="E173" s="372"/>
      <c r="F173" s="372">
        <f t="shared" si="9"/>
        <v>2072568</v>
      </c>
      <c r="G173" s="373"/>
      <c r="H173" s="372">
        <v>275861</v>
      </c>
      <c r="I173" s="372">
        <v>177571</v>
      </c>
      <c r="J173" s="372">
        <v>1619136</v>
      </c>
      <c r="K173" s="372">
        <v>1641706</v>
      </c>
      <c r="L173" s="372">
        <v>565059</v>
      </c>
    </row>
    <row r="174" spans="1:12" s="366" customFormat="1" ht="9" customHeight="1" x14ac:dyDescent="0.25">
      <c r="A174" s="366" t="s">
        <v>36</v>
      </c>
      <c r="B174" s="372">
        <f t="shared" si="8"/>
        <v>23701162</v>
      </c>
      <c r="C174" s="372"/>
      <c r="D174" s="372">
        <v>18619557</v>
      </c>
      <c r="E174" s="372"/>
      <c r="F174" s="372">
        <f t="shared" si="9"/>
        <v>2295539</v>
      </c>
      <c r="G174" s="373"/>
      <c r="H174" s="372">
        <v>399685</v>
      </c>
      <c r="I174" s="372">
        <v>299171</v>
      </c>
      <c r="J174" s="372">
        <v>1596683</v>
      </c>
      <c r="K174" s="372">
        <v>1584079</v>
      </c>
      <c r="L174" s="372">
        <v>1201987</v>
      </c>
    </row>
    <row r="175" spans="1:12" s="366" customFormat="1" ht="9" customHeight="1" x14ac:dyDescent="0.25">
      <c r="A175" s="375" t="s">
        <v>37</v>
      </c>
      <c r="B175" s="376">
        <f t="shared" si="8"/>
        <v>8213013</v>
      </c>
      <c r="C175" s="376"/>
      <c r="D175" s="376">
        <v>6236262</v>
      </c>
      <c r="E175" s="376"/>
      <c r="F175" s="376">
        <f t="shared" si="9"/>
        <v>873783</v>
      </c>
      <c r="G175" s="377"/>
      <c r="H175" s="376">
        <v>116247</v>
      </c>
      <c r="I175" s="376">
        <v>98772</v>
      </c>
      <c r="J175" s="376">
        <v>658764</v>
      </c>
      <c r="K175" s="376">
        <v>626496</v>
      </c>
      <c r="L175" s="376">
        <v>476472</v>
      </c>
    </row>
    <row r="176" spans="1:12" s="366" customFormat="1" ht="9" customHeight="1" x14ac:dyDescent="0.25">
      <c r="A176" s="366" t="s">
        <v>38</v>
      </c>
      <c r="B176" s="372">
        <f t="shared" si="8"/>
        <v>3477555</v>
      </c>
      <c r="C176" s="372"/>
      <c r="D176" s="372">
        <v>2343671</v>
      </c>
      <c r="E176" s="372"/>
      <c r="F176" s="372">
        <f t="shared" si="9"/>
        <v>442145</v>
      </c>
      <c r="G176" s="373"/>
      <c r="H176" s="372">
        <v>58207</v>
      </c>
      <c r="I176" s="372">
        <v>57555</v>
      </c>
      <c r="J176" s="372">
        <v>326383</v>
      </c>
      <c r="K176" s="372">
        <v>475142</v>
      </c>
      <c r="L176" s="372">
        <v>216597</v>
      </c>
    </row>
    <row r="177" spans="1:12" s="366" customFormat="1" ht="9" customHeight="1" x14ac:dyDescent="0.25">
      <c r="A177" s="366" t="s">
        <v>39</v>
      </c>
      <c r="B177" s="372">
        <f t="shared" si="8"/>
        <v>2694533</v>
      </c>
      <c r="C177" s="372"/>
      <c r="D177" s="372">
        <v>2076084</v>
      </c>
      <c r="E177" s="372"/>
      <c r="F177" s="372">
        <f t="shared" si="9"/>
        <v>318224</v>
      </c>
      <c r="G177" s="373"/>
      <c r="H177" s="372">
        <v>36469</v>
      </c>
      <c r="I177" s="372">
        <v>41148</v>
      </c>
      <c r="J177" s="372">
        <v>240607</v>
      </c>
      <c r="K177" s="372">
        <v>172669</v>
      </c>
      <c r="L177" s="372">
        <v>127556</v>
      </c>
    </row>
    <row r="178" spans="1:12" s="366" customFormat="1" ht="9" customHeight="1" x14ac:dyDescent="0.25">
      <c r="A178" s="366" t="s">
        <v>40</v>
      </c>
      <c r="B178" s="372">
        <f t="shared" si="8"/>
        <v>11883193</v>
      </c>
      <c r="C178" s="372"/>
      <c r="D178" s="372">
        <v>7471264</v>
      </c>
      <c r="E178" s="372"/>
      <c r="F178" s="372">
        <f t="shared" si="9"/>
        <v>2003240</v>
      </c>
      <c r="G178" s="373"/>
      <c r="H178" s="372">
        <v>347682</v>
      </c>
      <c r="I178" s="372">
        <v>228224</v>
      </c>
      <c r="J178" s="372">
        <v>1427334</v>
      </c>
      <c r="K178" s="372">
        <v>1906440</v>
      </c>
      <c r="L178" s="372">
        <v>502249</v>
      </c>
    </row>
    <row r="179" spans="1:12" s="366" customFormat="1" ht="9" customHeight="1" x14ac:dyDescent="0.25">
      <c r="A179" s="375" t="s">
        <v>41</v>
      </c>
      <c r="B179" s="376">
        <f t="shared" si="8"/>
        <v>6234764</v>
      </c>
      <c r="C179" s="376"/>
      <c r="D179" s="376">
        <v>4990984</v>
      </c>
      <c r="E179" s="376"/>
      <c r="F179" s="376">
        <f t="shared" si="9"/>
        <v>579673</v>
      </c>
      <c r="G179" s="377"/>
      <c r="H179" s="376">
        <v>89733</v>
      </c>
      <c r="I179" s="376">
        <v>83188</v>
      </c>
      <c r="J179" s="376">
        <v>406752</v>
      </c>
      <c r="K179" s="376">
        <v>301470</v>
      </c>
      <c r="L179" s="376">
        <v>362637</v>
      </c>
    </row>
    <row r="180" spans="1:12" s="366" customFormat="1" ht="9" customHeight="1" x14ac:dyDescent="0.25">
      <c r="A180" s="366" t="s">
        <v>42</v>
      </c>
      <c r="B180" s="372">
        <f t="shared" si="8"/>
        <v>8728758</v>
      </c>
      <c r="C180" s="372"/>
      <c r="D180" s="372">
        <v>6312858</v>
      </c>
      <c r="E180" s="372"/>
      <c r="F180" s="372">
        <f t="shared" si="9"/>
        <v>1176945</v>
      </c>
      <c r="G180" s="373"/>
      <c r="H180" s="372">
        <v>126044</v>
      </c>
      <c r="I180" s="372">
        <v>149020</v>
      </c>
      <c r="J180" s="372">
        <v>901881</v>
      </c>
      <c r="K180" s="372">
        <v>655367</v>
      </c>
      <c r="L180" s="372">
        <v>583588</v>
      </c>
    </row>
    <row r="181" spans="1:12" s="366" customFormat="1" ht="9" customHeight="1" x14ac:dyDescent="0.25">
      <c r="A181" s="366" t="s">
        <v>43</v>
      </c>
      <c r="B181" s="372">
        <f t="shared" si="8"/>
        <v>3031039</v>
      </c>
      <c r="C181" s="372"/>
      <c r="D181" s="372">
        <v>2153741</v>
      </c>
      <c r="E181" s="372"/>
      <c r="F181" s="372">
        <f t="shared" si="9"/>
        <v>356819</v>
      </c>
      <c r="G181" s="373"/>
      <c r="H181" s="372">
        <v>47812</v>
      </c>
      <c r="I181" s="372">
        <v>32207</v>
      </c>
      <c r="J181" s="372">
        <v>276800</v>
      </c>
      <c r="K181" s="372">
        <v>342748</v>
      </c>
      <c r="L181" s="372">
        <v>177731</v>
      </c>
    </row>
    <row r="182" spans="1:12" s="366" customFormat="1" ht="9" customHeight="1" x14ac:dyDescent="0.25">
      <c r="A182" s="366" t="s">
        <v>44</v>
      </c>
      <c r="B182" s="372">
        <f t="shared" si="8"/>
        <v>2100515</v>
      </c>
      <c r="C182" s="372"/>
      <c r="D182" s="372">
        <v>1428234</v>
      </c>
      <c r="E182" s="372"/>
      <c r="F182" s="372">
        <f t="shared" si="9"/>
        <v>237130</v>
      </c>
      <c r="G182" s="373"/>
      <c r="H182" s="372">
        <v>45707</v>
      </c>
      <c r="I182" s="372">
        <v>28310</v>
      </c>
      <c r="J182" s="372">
        <v>163113</v>
      </c>
      <c r="K182" s="372">
        <v>323297</v>
      </c>
      <c r="L182" s="372">
        <v>111854</v>
      </c>
    </row>
    <row r="183" spans="1:12" s="366" customFormat="1" ht="9" customHeight="1" x14ac:dyDescent="0.25">
      <c r="A183" s="375" t="s">
        <v>45</v>
      </c>
      <c r="B183" s="376">
        <f t="shared" si="8"/>
        <v>4999524</v>
      </c>
      <c r="C183" s="376"/>
      <c r="D183" s="376">
        <v>3712167</v>
      </c>
      <c r="E183" s="376"/>
      <c r="F183" s="376">
        <f t="shared" si="9"/>
        <v>540581</v>
      </c>
      <c r="G183" s="377"/>
      <c r="H183" s="376">
        <v>66638</v>
      </c>
      <c r="I183" s="376">
        <v>58219</v>
      </c>
      <c r="J183" s="376">
        <v>415724</v>
      </c>
      <c r="K183" s="376">
        <v>481355</v>
      </c>
      <c r="L183" s="376">
        <v>265421</v>
      </c>
    </row>
    <row r="184" spans="1:12" s="366" customFormat="1" ht="9" customHeight="1" x14ac:dyDescent="0.25">
      <c r="A184" s="366" t="s">
        <v>46</v>
      </c>
      <c r="B184" s="372">
        <f t="shared" si="8"/>
        <v>7367674</v>
      </c>
      <c r="C184" s="372"/>
      <c r="D184" s="372">
        <v>5379193</v>
      </c>
      <c r="E184" s="372"/>
      <c r="F184" s="372">
        <f t="shared" si="9"/>
        <v>971661</v>
      </c>
      <c r="G184" s="373"/>
      <c r="H184" s="372">
        <v>109170</v>
      </c>
      <c r="I184" s="372">
        <v>120007</v>
      </c>
      <c r="J184" s="372">
        <v>742484</v>
      </c>
      <c r="K184" s="372">
        <v>684396</v>
      </c>
      <c r="L184" s="372">
        <v>332424</v>
      </c>
    </row>
    <row r="185" spans="1:12" s="366" customFormat="1" ht="9" customHeight="1" x14ac:dyDescent="0.25">
      <c r="A185" s="366" t="s">
        <v>47</v>
      </c>
      <c r="B185" s="372">
        <f t="shared" si="8"/>
        <v>6179369</v>
      </c>
      <c r="C185" s="372"/>
      <c r="D185" s="372">
        <v>4077558</v>
      </c>
      <c r="E185" s="372"/>
      <c r="F185" s="372">
        <f t="shared" si="9"/>
        <v>1042539</v>
      </c>
      <c r="G185" s="373"/>
      <c r="H185" s="372">
        <v>121846</v>
      </c>
      <c r="I185" s="372">
        <v>137251</v>
      </c>
      <c r="J185" s="372">
        <v>783442</v>
      </c>
      <c r="K185" s="372">
        <v>787005</v>
      </c>
      <c r="L185" s="372">
        <v>272267</v>
      </c>
    </row>
    <row r="186" spans="1:12" s="366" customFormat="1" ht="9" customHeight="1" x14ac:dyDescent="0.25">
      <c r="A186" s="366" t="s">
        <v>48</v>
      </c>
      <c r="B186" s="372">
        <f t="shared" si="8"/>
        <v>5676777</v>
      </c>
      <c r="C186" s="372"/>
      <c r="D186" s="372">
        <v>4073999</v>
      </c>
      <c r="E186" s="372"/>
      <c r="F186" s="372">
        <f t="shared" si="9"/>
        <v>803862</v>
      </c>
      <c r="G186" s="373"/>
      <c r="H186" s="372">
        <v>124645</v>
      </c>
      <c r="I186" s="372">
        <v>151138</v>
      </c>
      <c r="J186" s="372">
        <v>528079</v>
      </c>
      <c r="K186" s="372">
        <v>440521</v>
      </c>
      <c r="L186" s="372">
        <v>358395</v>
      </c>
    </row>
    <row r="187" spans="1:12" s="366" customFormat="1" ht="9" customHeight="1" x14ac:dyDescent="0.25">
      <c r="A187" s="375" t="s">
        <v>49</v>
      </c>
      <c r="B187" s="376">
        <f t="shared" si="8"/>
        <v>8164845</v>
      </c>
      <c r="C187" s="376"/>
      <c r="D187" s="376">
        <v>5295518</v>
      </c>
      <c r="E187" s="376"/>
      <c r="F187" s="376">
        <f t="shared" si="9"/>
        <v>1678667</v>
      </c>
      <c r="G187" s="377"/>
      <c r="H187" s="376">
        <v>201622</v>
      </c>
      <c r="I187" s="376">
        <v>244349</v>
      </c>
      <c r="J187" s="376">
        <v>1232696</v>
      </c>
      <c r="K187" s="376">
        <v>890035</v>
      </c>
      <c r="L187" s="376">
        <v>300625</v>
      </c>
    </row>
    <row r="188" spans="1:12" s="366" customFormat="1" ht="9" customHeight="1" x14ac:dyDescent="0.25">
      <c r="A188" s="366" t="s">
        <v>50</v>
      </c>
      <c r="B188" s="372">
        <f t="shared" si="8"/>
        <v>2119004</v>
      </c>
      <c r="C188" s="372"/>
      <c r="D188" s="372">
        <v>1602878</v>
      </c>
      <c r="E188" s="372"/>
      <c r="F188" s="372">
        <f t="shared" si="9"/>
        <v>186728</v>
      </c>
      <c r="G188" s="373"/>
      <c r="H188" s="372">
        <v>24382</v>
      </c>
      <c r="I188" s="372">
        <v>18922</v>
      </c>
      <c r="J188" s="372">
        <v>143424</v>
      </c>
      <c r="K188" s="372">
        <v>201593</v>
      </c>
      <c r="L188" s="372">
        <v>127805</v>
      </c>
    </row>
    <row r="189" spans="1:12" s="366" customFormat="1" ht="9" customHeight="1" x14ac:dyDescent="0.25">
      <c r="A189" s="366" t="s">
        <v>51</v>
      </c>
      <c r="B189" s="372">
        <f t="shared" si="8"/>
        <v>15482079</v>
      </c>
      <c r="C189" s="372"/>
      <c r="D189" s="372">
        <v>11225736</v>
      </c>
      <c r="E189" s="372"/>
      <c r="F189" s="372">
        <f t="shared" si="9"/>
        <v>2128619</v>
      </c>
      <c r="G189" s="373"/>
      <c r="H189" s="372">
        <v>318178</v>
      </c>
      <c r="I189" s="372">
        <v>323670</v>
      </c>
      <c r="J189" s="372">
        <v>1486771</v>
      </c>
      <c r="K189" s="372">
        <v>1366384</v>
      </c>
      <c r="L189" s="372">
        <v>761340</v>
      </c>
    </row>
    <row r="190" spans="1:12" s="366" customFormat="1" ht="9" customHeight="1" x14ac:dyDescent="0.25">
      <c r="A190" s="366" t="s">
        <v>52</v>
      </c>
      <c r="B190" s="372">
        <f t="shared" si="8"/>
        <v>5531330</v>
      </c>
      <c r="C190" s="372"/>
      <c r="D190" s="372">
        <v>4227871</v>
      </c>
      <c r="E190" s="372"/>
      <c r="F190" s="372">
        <f t="shared" si="9"/>
        <v>696777</v>
      </c>
      <c r="G190" s="373"/>
      <c r="H190" s="372">
        <v>92864</v>
      </c>
      <c r="I190" s="372">
        <v>60502</v>
      </c>
      <c r="J190" s="372">
        <v>543411</v>
      </c>
      <c r="K190" s="372">
        <v>378954</v>
      </c>
      <c r="L190" s="372">
        <v>227728</v>
      </c>
    </row>
    <row r="191" spans="1:12" s="366" customFormat="1" ht="9" customHeight="1" x14ac:dyDescent="0.25">
      <c r="A191" s="375" t="s">
        <v>53</v>
      </c>
      <c r="B191" s="376">
        <f t="shared" si="8"/>
        <v>3186622</v>
      </c>
      <c r="C191" s="376"/>
      <c r="D191" s="376">
        <v>2411417</v>
      </c>
      <c r="E191" s="376"/>
      <c r="F191" s="376">
        <f t="shared" si="9"/>
        <v>314282</v>
      </c>
      <c r="G191" s="377"/>
      <c r="H191" s="376">
        <v>51294</v>
      </c>
      <c r="I191" s="376">
        <v>31093</v>
      </c>
      <c r="J191" s="376">
        <v>231895</v>
      </c>
      <c r="K191" s="376">
        <v>311149</v>
      </c>
      <c r="L191" s="376">
        <v>149774</v>
      </c>
    </row>
    <row r="192" spans="1:12" s="366" customFormat="1" ht="9" customHeight="1" x14ac:dyDescent="0.25">
      <c r="B192" s="364"/>
      <c r="C192" s="364"/>
      <c r="D192" s="364"/>
      <c r="E192" s="364"/>
      <c r="F192" s="364"/>
      <c r="G192" s="365"/>
      <c r="H192" s="364"/>
      <c r="I192" s="364"/>
      <c r="J192" s="364"/>
      <c r="K192" s="364"/>
    </row>
    <row r="193" spans="1:12" s="366" customFormat="1" ht="9" customHeight="1" x14ac:dyDescent="0.25">
      <c r="A193" s="363">
        <v>2000</v>
      </c>
      <c r="B193" s="364"/>
      <c r="C193" s="364"/>
      <c r="D193" s="364"/>
      <c r="E193" s="364"/>
      <c r="F193" s="364"/>
      <c r="G193" s="365"/>
      <c r="H193" s="364"/>
      <c r="I193" s="364"/>
      <c r="J193" s="364"/>
      <c r="K193" s="364"/>
    </row>
    <row r="194" spans="1:12" s="371" customFormat="1" ht="9" customHeight="1" x14ac:dyDescent="0.25">
      <c r="A194" s="367" t="s">
        <v>21</v>
      </c>
      <c r="B194" s="381">
        <f>SUM(B196:B227)</f>
        <v>237961510</v>
      </c>
      <c r="C194" s="381"/>
      <c r="D194" s="381">
        <f>SUM(D196:D227)</f>
        <v>165812339</v>
      </c>
      <c r="E194" s="368"/>
      <c r="F194" s="381">
        <f>SUM(F196:F227)</f>
        <v>36155900</v>
      </c>
      <c r="G194" s="382"/>
      <c r="H194" s="368">
        <f>SUM(H196:H227)</f>
        <v>4774466</v>
      </c>
      <c r="I194" s="368">
        <f>SUM(I196:I227)</f>
        <v>3758944</v>
      </c>
      <c r="J194" s="368">
        <f>SUM(J196:J227)</f>
        <v>27622490</v>
      </c>
      <c r="K194" s="368">
        <f>SUM(K196:K227)</f>
        <v>23932165</v>
      </c>
      <c r="L194" s="368">
        <f>SUM(L196:L227)</f>
        <v>12061106</v>
      </c>
    </row>
    <row r="195" spans="1:12" s="371" customFormat="1" ht="3.95" customHeight="1" x14ac:dyDescent="0.25">
      <c r="A195" s="367"/>
      <c r="B195" s="381"/>
      <c r="C195" s="381"/>
      <c r="D195" s="381"/>
      <c r="E195" s="368"/>
      <c r="F195" s="381"/>
      <c r="G195" s="382"/>
      <c r="H195" s="368"/>
      <c r="I195" s="368"/>
      <c r="J195" s="368"/>
      <c r="K195" s="368"/>
      <c r="L195" s="368"/>
    </row>
    <row r="196" spans="1:12" s="366" customFormat="1" ht="8.85" customHeight="1" x14ac:dyDescent="0.25">
      <c r="A196" s="366" t="s">
        <v>23</v>
      </c>
      <c r="B196" s="372">
        <f t="shared" ref="B196:B227" si="10">SUM(D196,F196,K196:L196)</f>
        <v>2427275</v>
      </c>
      <c r="C196" s="372"/>
      <c r="D196" s="372">
        <v>1604321</v>
      </c>
      <c r="E196" s="372"/>
      <c r="F196" s="372">
        <f t="shared" ref="F196:F227" si="11">SUM(H196:J196)</f>
        <v>379924</v>
      </c>
      <c r="G196" s="373"/>
      <c r="H196" s="372">
        <v>73488</v>
      </c>
      <c r="I196" s="372">
        <v>27317</v>
      </c>
      <c r="J196" s="372">
        <v>279119</v>
      </c>
      <c r="K196" s="372">
        <v>320424</v>
      </c>
      <c r="L196" s="372">
        <v>122606</v>
      </c>
    </row>
    <row r="197" spans="1:12" s="366" customFormat="1" ht="8.85" customHeight="1" x14ac:dyDescent="0.25">
      <c r="A197" s="366" t="s">
        <v>24</v>
      </c>
      <c r="B197" s="372">
        <f t="shared" si="10"/>
        <v>5127859</v>
      </c>
      <c r="C197" s="372"/>
      <c r="D197" s="372">
        <v>3309030</v>
      </c>
      <c r="E197" s="372"/>
      <c r="F197" s="372">
        <f t="shared" si="11"/>
        <v>882271</v>
      </c>
      <c r="G197" s="373"/>
      <c r="H197" s="372">
        <v>119456</v>
      </c>
      <c r="I197" s="372">
        <v>72319</v>
      </c>
      <c r="J197" s="372">
        <v>690496</v>
      </c>
      <c r="K197" s="372">
        <v>667974</v>
      </c>
      <c r="L197" s="372">
        <v>268584</v>
      </c>
    </row>
    <row r="198" spans="1:12" s="366" customFormat="1" ht="8.85" customHeight="1" x14ac:dyDescent="0.25">
      <c r="A198" s="366" t="s">
        <v>25</v>
      </c>
      <c r="B198" s="372">
        <f t="shared" si="10"/>
        <v>1566516</v>
      </c>
      <c r="C198" s="372"/>
      <c r="D198" s="372">
        <v>1035106</v>
      </c>
      <c r="E198" s="372"/>
      <c r="F198" s="372">
        <f t="shared" si="11"/>
        <v>252178</v>
      </c>
      <c r="G198" s="373"/>
      <c r="H198" s="372">
        <v>35572</v>
      </c>
      <c r="I198" s="372">
        <v>30343</v>
      </c>
      <c r="J198" s="372">
        <v>186263</v>
      </c>
      <c r="K198" s="372">
        <v>187375</v>
      </c>
      <c r="L198" s="372">
        <v>91857</v>
      </c>
    </row>
    <row r="199" spans="1:12" s="366" customFormat="1" ht="8.85" customHeight="1" x14ac:dyDescent="0.25">
      <c r="A199" s="375" t="s">
        <v>26</v>
      </c>
      <c r="B199" s="376">
        <f t="shared" si="10"/>
        <v>2178677</v>
      </c>
      <c r="C199" s="376"/>
      <c r="D199" s="376">
        <v>1525585</v>
      </c>
      <c r="E199" s="376"/>
      <c r="F199" s="376">
        <f t="shared" si="11"/>
        <v>307661</v>
      </c>
      <c r="G199" s="377"/>
      <c r="H199" s="376">
        <v>60338</v>
      </c>
      <c r="I199" s="376">
        <v>42383</v>
      </c>
      <c r="J199" s="376">
        <v>204940</v>
      </c>
      <c r="K199" s="376">
        <v>234388</v>
      </c>
      <c r="L199" s="376">
        <v>111043</v>
      </c>
    </row>
    <row r="200" spans="1:12" s="366" customFormat="1" ht="8.85" customHeight="1" x14ac:dyDescent="0.25">
      <c r="A200" s="366" t="s">
        <v>27</v>
      </c>
      <c r="B200" s="372">
        <f t="shared" si="10"/>
        <v>7448822</v>
      </c>
      <c r="C200" s="372"/>
      <c r="D200" s="372">
        <v>4792469</v>
      </c>
      <c r="E200" s="372"/>
      <c r="F200" s="372">
        <f t="shared" si="11"/>
        <v>1142717</v>
      </c>
      <c r="G200" s="373"/>
      <c r="H200" s="372">
        <v>202078</v>
      </c>
      <c r="I200" s="372">
        <v>159011</v>
      </c>
      <c r="J200" s="372">
        <v>781628</v>
      </c>
      <c r="K200" s="372">
        <v>1175175</v>
      </c>
      <c r="L200" s="372">
        <v>338461</v>
      </c>
    </row>
    <row r="201" spans="1:12" s="366" customFormat="1" ht="8.85" customHeight="1" x14ac:dyDescent="0.25">
      <c r="A201" s="366" t="s">
        <v>28</v>
      </c>
      <c r="B201" s="372">
        <f t="shared" si="10"/>
        <v>1573388</v>
      </c>
      <c r="C201" s="372"/>
      <c r="D201" s="372">
        <v>1016031</v>
      </c>
      <c r="E201" s="372"/>
      <c r="F201" s="372">
        <f t="shared" si="11"/>
        <v>256521</v>
      </c>
      <c r="G201" s="373"/>
      <c r="H201" s="372">
        <v>41644</v>
      </c>
      <c r="I201" s="372">
        <v>22214</v>
      </c>
      <c r="J201" s="372">
        <v>192663</v>
      </c>
      <c r="K201" s="372">
        <v>228070</v>
      </c>
      <c r="L201" s="372">
        <v>72766</v>
      </c>
    </row>
    <row r="202" spans="1:12" s="366" customFormat="1" ht="8.85" customHeight="1" x14ac:dyDescent="0.25">
      <c r="A202" s="366" t="s">
        <v>29</v>
      </c>
      <c r="B202" s="372">
        <f t="shared" si="10"/>
        <v>7265238</v>
      </c>
      <c r="C202" s="372"/>
      <c r="D202" s="372">
        <v>5771082</v>
      </c>
      <c r="E202" s="372"/>
      <c r="F202" s="372">
        <f t="shared" si="11"/>
        <v>597136</v>
      </c>
      <c r="G202" s="373"/>
      <c r="H202" s="372">
        <v>80181</v>
      </c>
      <c r="I202" s="372">
        <v>73844</v>
      </c>
      <c r="J202" s="372">
        <v>443111</v>
      </c>
      <c r="K202" s="372">
        <v>527666</v>
      </c>
      <c r="L202" s="372">
        <v>369354</v>
      </c>
    </row>
    <row r="203" spans="1:12" s="366" customFormat="1" ht="8.85" customHeight="1" x14ac:dyDescent="0.25">
      <c r="A203" s="375" t="s">
        <v>30</v>
      </c>
      <c r="B203" s="376">
        <f t="shared" si="10"/>
        <v>7159268</v>
      </c>
      <c r="C203" s="376"/>
      <c r="D203" s="376">
        <v>5143456</v>
      </c>
      <c r="E203" s="376"/>
      <c r="F203" s="376">
        <f t="shared" si="11"/>
        <v>948861</v>
      </c>
      <c r="G203" s="377"/>
      <c r="H203" s="376">
        <v>147641</v>
      </c>
      <c r="I203" s="376">
        <v>99184</v>
      </c>
      <c r="J203" s="376">
        <v>702036</v>
      </c>
      <c r="K203" s="376">
        <v>774707</v>
      </c>
      <c r="L203" s="376">
        <v>292244</v>
      </c>
    </row>
    <row r="204" spans="1:12" s="366" customFormat="1" ht="8.85" customHeight="1" x14ac:dyDescent="0.25">
      <c r="A204" s="366" t="s">
        <v>63</v>
      </c>
      <c r="B204" s="372">
        <f t="shared" si="10"/>
        <v>30783782</v>
      </c>
      <c r="C204" s="372"/>
      <c r="D204" s="372">
        <v>16115403</v>
      </c>
      <c r="E204" s="372"/>
      <c r="F204" s="372">
        <f t="shared" si="11"/>
        <v>9305356</v>
      </c>
      <c r="G204" s="373"/>
      <c r="H204" s="372">
        <v>805218</v>
      </c>
      <c r="I204" s="372">
        <v>645009</v>
      </c>
      <c r="J204" s="372">
        <v>7855129</v>
      </c>
      <c r="K204" s="372">
        <v>3406809</v>
      </c>
      <c r="L204" s="372">
        <v>1956214</v>
      </c>
    </row>
    <row r="205" spans="1:12" s="366" customFormat="1" ht="8.85" customHeight="1" x14ac:dyDescent="0.25">
      <c r="A205" s="366" t="s">
        <v>31</v>
      </c>
      <c r="B205" s="372">
        <f t="shared" si="10"/>
        <v>4377146</v>
      </c>
      <c r="C205" s="372"/>
      <c r="D205" s="372">
        <v>3181314</v>
      </c>
      <c r="E205" s="372"/>
      <c r="F205" s="372">
        <f t="shared" si="11"/>
        <v>543086</v>
      </c>
      <c r="G205" s="373"/>
      <c r="H205" s="372">
        <v>85283</v>
      </c>
      <c r="I205" s="372">
        <v>61920</v>
      </c>
      <c r="J205" s="372">
        <v>395883</v>
      </c>
      <c r="K205" s="372">
        <v>494570</v>
      </c>
      <c r="L205" s="372">
        <v>158176</v>
      </c>
    </row>
    <row r="206" spans="1:12" s="366" customFormat="1" ht="8.85" customHeight="1" x14ac:dyDescent="0.25">
      <c r="A206" s="366" t="s">
        <v>32</v>
      </c>
      <c r="B206" s="372">
        <f t="shared" si="10"/>
        <v>8770305</v>
      </c>
      <c r="C206" s="372"/>
      <c r="D206" s="372">
        <v>6282437</v>
      </c>
      <c r="E206" s="372"/>
      <c r="F206" s="372">
        <f t="shared" si="11"/>
        <v>1194752</v>
      </c>
      <c r="G206" s="373"/>
      <c r="H206" s="372">
        <v>161920</v>
      </c>
      <c r="I206" s="372">
        <v>136295</v>
      </c>
      <c r="J206" s="372">
        <v>896537</v>
      </c>
      <c r="K206" s="372">
        <v>888714</v>
      </c>
      <c r="L206" s="372">
        <v>404402</v>
      </c>
    </row>
    <row r="207" spans="1:12" s="366" customFormat="1" ht="8.85" customHeight="1" x14ac:dyDescent="0.25">
      <c r="A207" s="375" t="s">
        <v>33</v>
      </c>
      <c r="B207" s="376">
        <f t="shared" si="10"/>
        <v>6470288</v>
      </c>
      <c r="C207" s="376"/>
      <c r="D207" s="376">
        <v>5179238</v>
      </c>
      <c r="E207" s="376"/>
      <c r="F207" s="376">
        <f t="shared" si="11"/>
        <v>642170</v>
      </c>
      <c r="G207" s="377"/>
      <c r="H207" s="376">
        <v>82144</v>
      </c>
      <c r="I207" s="376">
        <v>84540</v>
      </c>
      <c r="J207" s="376">
        <v>475486</v>
      </c>
      <c r="K207" s="376">
        <v>406220</v>
      </c>
      <c r="L207" s="376">
        <v>242660</v>
      </c>
    </row>
    <row r="208" spans="1:12" s="366" customFormat="1" ht="8.85" customHeight="1" x14ac:dyDescent="0.25">
      <c r="A208" s="366" t="s">
        <v>34</v>
      </c>
      <c r="B208" s="372">
        <f t="shared" si="10"/>
        <v>5729267</v>
      </c>
      <c r="C208" s="372"/>
      <c r="D208" s="372">
        <v>4487638</v>
      </c>
      <c r="E208" s="372"/>
      <c r="F208" s="372">
        <f t="shared" si="11"/>
        <v>485833</v>
      </c>
      <c r="G208" s="373"/>
      <c r="H208" s="372">
        <v>85200</v>
      </c>
      <c r="I208" s="372">
        <v>45802</v>
      </c>
      <c r="J208" s="372">
        <v>354831</v>
      </c>
      <c r="K208" s="372">
        <v>404082</v>
      </c>
      <c r="L208" s="372">
        <v>351714</v>
      </c>
    </row>
    <row r="209" spans="1:12" s="366" customFormat="1" ht="8.85" customHeight="1" x14ac:dyDescent="0.25">
      <c r="A209" s="366" t="s">
        <v>35</v>
      </c>
      <c r="B209" s="372">
        <f t="shared" si="10"/>
        <v>14035789</v>
      </c>
      <c r="C209" s="372"/>
      <c r="D209" s="372">
        <v>9710089</v>
      </c>
      <c r="E209" s="372"/>
      <c r="F209" s="372">
        <f t="shared" si="11"/>
        <v>2067830</v>
      </c>
      <c r="G209" s="373"/>
      <c r="H209" s="372">
        <v>295017</v>
      </c>
      <c r="I209" s="372">
        <v>170477</v>
      </c>
      <c r="J209" s="372">
        <v>1602336</v>
      </c>
      <c r="K209" s="372">
        <v>1688271</v>
      </c>
      <c r="L209" s="372">
        <v>569599</v>
      </c>
    </row>
    <row r="210" spans="1:12" s="366" customFormat="1" ht="8.85" customHeight="1" x14ac:dyDescent="0.25">
      <c r="A210" s="366" t="s">
        <v>36</v>
      </c>
      <c r="B210" s="372">
        <f t="shared" si="10"/>
        <v>24363490</v>
      </c>
      <c r="C210" s="372"/>
      <c r="D210" s="372">
        <v>18918580</v>
      </c>
      <c r="E210" s="372"/>
      <c r="F210" s="372">
        <f t="shared" si="11"/>
        <v>2234324</v>
      </c>
      <c r="G210" s="373"/>
      <c r="H210" s="372">
        <v>405474</v>
      </c>
      <c r="I210" s="372">
        <v>290817</v>
      </c>
      <c r="J210" s="372">
        <v>1538033</v>
      </c>
      <c r="K210" s="372">
        <v>1895539</v>
      </c>
      <c r="L210" s="372">
        <v>1315047</v>
      </c>
    </row>
    <row r="211" spans="1:12" s="366" customFormat="1" ht="8.85" customHeight="1" x14ac:dyDescent="0.25">
      <c r="A211" s="375" t="s">
        <v>37</v>
      </c>
      <c r="B211" s="376">
        <f t="shared" si="10"/>
        <v>8688416</v>
      </c>
      <c r="C211" s="376"/>
      <c r="D211" s="376">
        <v>6648338</v>
      </c>
      <c r="E211" s="376"/>
      <c r="F211" s="376">
        <f t="shared" si="11"/>
        <v>918456</v>
      </c>
      <c r="G211" s="377"/>
      <c r="H211" s="376">
        <v>131001</v>
      </c>
      <c r="I211" s="376">
        <v>104019</v>
      </c>
      <c r="J211" s="376">
        <v>683436</v>
      </c>
      <c r="K211" s="376">
        <v>637186</v>
      </c>
      <c r="L211" s="376">
        <v>484436</v>
      </c>
    </row>
    <row r="212" spans="1:12" s="366" customFormat="1" ht="8.85" customHeight="1" x14ac:dyDescent="0.25">
      <c r="A212" s="366" t="s">
        <v>38</v>
      </c>
      <c r="B212" s="372">
        <f t="shared" si="10"/>
        <v>3523503</v>
      </c>
      <c r="C212" s="372"/>
      <c r="D212" s="372">
        <v>2368469</v>
      </c>
      <c r="E212" s="372"/>
      <c r="F212" s="372">
        <f t="shared" si="11"/>
        <v>454380</v>
      </c>
      <c r="G212" s="373"/>
      <c r="H212" s="372">
        <v>58559</v>
      </c>
      <c r="I212" s="372">
        <v>58998</v>
      </c>
      <c r="J212" s="372">
        <v>336823</v>
      </c>
      <c r="K212" s="372">
        <v>471970</v>
      </c>
      <c r="L212" s="372">
        <v>228684</v>
      </c>
    </row>
    <row r="213" spans="1:12" s="366" customFormat="1" ht="8.85" customHeight="1" x14ac:dyDescent="0.25">
      <c r="A213" s="366" t="s">
        <v>39</v>
      </c>
      <c r="B213" s="372">
        <f t="shared" si="10"/>
        <v>2798293</v>
      </c>
      <c r="C213" s="372"/>
      <c r="D213" s="372">
        <v>2180978</v>
      </c>
      <c r="E213" s="372"/>
      <c r="F213" s="372">
        <f t="shared" si="11"/>
        <v>311109</v>
      </c>
      <c r="G213" s="373"/>
      <c r="H213" s="372">
        <v>37843</v>
      </c>
      <c r="I213" s="372">
        <v>38988</v>
      </c>
      <c r="J213" s="372">
        <v>234278</v>
      </c>
      <c r="K213" s="372">
        <v>172463</v>
      </c>
      <c r="L213" s="372">
        <v>133743</v>
      </c>
    </row>
    <row r="214" spans="1:12" s="366" customFormat="1" ht="8.85" customHeight="1" x14ac:dyDescent="0.25">
      <c r="A214" s="366" t="s">
        <v>40</v>
      </c>
      <c r="B214" s="372">
        <f t="shared" si="10"/>
        <v>11465637</v>
      </c>
      <c r="C214" s="372"/>
      <c r="D214" s="372">
        <v>7174397</v>
      </c>
      <c r="E214" s="372"/>
      <c r="F214" s="372">
        <f t="shared" si="11"/>
        <v>1969935</v>
      </c>
      <c r="G214" s="373"/>
      <c r="H214" s="372">
        <v>346830</v>
      </c>
      <c r="I214" s="372">
        <v>212278</v>
      </c>
      <c r="J214" s="372">
        <v>1410827</v>
      </c>
      <c r="K214" s="372">
        <v>1854203</v>
      </c>
      <c r="L214" s="372">
        <v>467102</v>
      </c>
    </row>
    <row r="215" spans="1:12" s="366" customFormat="1" ht="8.85" customHeight="1" x14ac:dyDescent="0.25">
      <c r="A215" s="375" t="s">
        <v>41</v>
      </c>
      <c r="B215" s="376">
        <f t="shared" si="10"/>
        <v>6532402</v>
      </c>
      <c r="C215" s="376"/>
      <c r="D215" s="376">
        <v>5264486</v>
      </c>
      <c r="E215" s="376"/>
      <c r="F215" s="376">
        <f t="shared" si="11"/>
        <v>584358</v>
      </c>
      <c r="G215" s="377"/>
      <c r="H215" s="376">
        <v>89985</v>
      </c>
      <c r="I215" s="376">
        <v>82981</v>
      </c>
      <c r="J215" s="376">
        <v>411392</v>
      </c>
      <c r="K215" s="376">
        <v>341411</v>
      </c>
      <c r="L215" s="376">
        <v>342147</v>
      </c>
    </row>
    <row r="216" spans="1:12" s="366" customFormat="1" ht="8.85" customHeight="1" x14ac:dyDescent="0.25">
      <c r="A216" s="366" t="s">
        <v>42</v>
      </c>
      <c r="B216" s="372">
        <f t="shared" si="10"/>
        <v>9684187</v>
      </c>
      <c r="C216" s="372"/>
      <c r="D216" s="372">
        <v>6870071</v>
      </c>
      <c r="E216" s="372"/>
      <c r="F216" s="372">
        <f t="shared" si="11"/>
        <v>1412638</v>
      </c>
      <c r="G216" s="373"/>
      <c r="H216" s="372">
        <v>157541</v>
      </c>
      <c r="I216" s="372">
        <v>154130</v>
      </c>
      <c r="J216" s="372">
        <v>1100967</v>
      </c>
      <c r="K216" s="372">
        <v>752668</v>
      </c>
      <c r="L216" s="372">
        <v>648810</v>
      </c>
    </row>
    <row r="217" spans="1:12" s="366" customFormat="1" ht="8.85" customHeight="1" x14ac:dyDescent="0.25">
      <c r="A217" s="366" t="s">
        <v>43</v>
      </c>
      <c r="B217" s="372">
        <f t="shared" si="10"/>
        <v>3287461</v>
      </c>
      <c r="C217" s="372"/>
      <c r="D217" s="372">
        <v>2387669</v>
      </c>
      <c r="E217" s="372"/>
      <c r="F217" s="372">
        <f t="shared" si="11"/>
        <v>383525</v>
      </c>
      <c r="G217" s="373"/>
      <c r="H217" s="372">
        <v>56751</v>
      </c>
      <c r="I217" s="372">
        <v>34591</v>
      </c>
      <c r="J217" s="372">
        <v>292183</v>
      </c>
      <c r="K217" s="372">
        <v>349240</v>
      </c>
      <c r="L217" s="372">
        <v>167027</v>
      </c>
    </row>
    <row r="218" spans="1:12" s="366" customFormat="1" ht="8.85" customHeight="1" x14ac:dyDescent="0.25">
      <c r="A218" s="366" t="s">
        <v>44</v>
      </c>
      <c r="B218" s="372">
        <f t="shared" si="10"/>
        <v>2240409</v>
      </c>
      <c r="C218" s="372"/>
      <c r="D218" s="372">
        <v>1518345</v>
      </c>
      <c r="E218" s="372"/>
      <c r="F218" s="372">
        <f t="shared" si="11"/>
        <v>263505</v>
      </c>
      <c r="G218" s="373"/>
      <c r="H218" s="372">
        <v>50502</v>
      </c>
      <c r="I218" s="372">
        <v>29635</v>
      </c>
      <c r="J218" s="372">
        <v>183368</v>
      </c>
      <c r="K218" s="372">
        <v>329767</v>
      </c>
      <c r="L218" s="372">
        <v>128792</v>
      </c>
    </row>
    <row r="219" spans="1:12" s="366" customFormat="1" ht="8.85" customHeight="1" x14ac:dyDescent="0.25">
      <c r="A219" s="375" t="s">
        <v>45</v>
      </c>
      <c r="B219" s="376">
        <f t="shared" si="10"/>
        <v>5162525</v>
      </c>
      <c r="C219" s="376"/>
      <c r="D219" s="376">
        <v>3840084</v>
      </c>
      <c r="E219" s="376"/>
      <c r="F219" s="376">
        <f t="shared" si="11"/>
        <v>556649</v>
      </c>
      <c r="G219" s="377"/>
      <c r="H219" s="376">
        <v>67668</v>
      </c>
      <c r="I219" s="376">
        <v>59564</v>
      </c>
      <c r="J219" s="376">
        <v>429417</v>
      </c>
      <c r="K219" s="376">
        <v>497714</v>
      </c>
      <c r="L219" s="376">
        <v>268078</v>
      </c>
    </row>
    <row r="220" spans="1:12" s="366" customFormat="1" ht="8.85" customHeight="1" x14ac:dyDescent="0.25">
      <c r="A220" s="366" t="s">
        <v>46</v>
      </c>
      <c r="B220" s="372">
        <f t="shared" si="10"/>
        <v>7437173</v>
      </c>
      <c r="C220" s="372"/>
      <c r="D220" s="372">
        <v>5450237</v>
      </c>
      <c r="E220" s="372"/>
      <c r="F220" s="372">
        <f t="shared" si="11"/>
        <v>958461</v>
      </c>
      <c r="G220" s="373"/>
      <c r="H220" s="372">
        <v>111730</v>
      </c>
      <c r="I220" s="372">
        <v>121558</v>
      </c>
      <c r="J220" s="372">
        <v>725173</v>
      </c>
      <c r="K220" s="372">
        <v>700512</v>
      </c>
      <c r="L220" s="372">
        <v>327963</v>
      </c>
    </row>
    <row r="221" spans="1:12" s="366" customFormat="1" ht="8.85" customHeight="1" x14ac:dyDescent="0.25">
      <c r="A221" s="366" t="s">
        <v>47</v>
      </c>
      <c r="B221" s="372">
        <f t="shared" si="10"/>
        <v>6206519</v>
      </c>
      <c r="C221" s="372"/>
      <c r="D221" s="372">
        <v>4091357</v>
      </c>
      <c r="E221" s="372"/>
      <c r="F221" s="372">
        <f t="shared" si="11"/>
        <v>1052391</v>
      </c>
      <c r="G221" s="373"/>
      <c r="H221" s="372">
        <v>117404</v>
      </c>
      <c r="I221" s="372">
        <v>127399</v>
      </c>
      <c r="J221" s="372">
        <v>807588</v>
      </c>
      <c r="K221" s="372">
        <v>803442</v>
      </c>
      <c r="L221" s="372">
        <v>259329</v>
      </c>
    </row>
    <row r="222" spans="1:12" s="366" customFormat="1" ht="8.85" customHeight="1" x14ac:dyDescent="0.25">
      <c r="A222" s="366" t="s">
        <v>48</v>
      </c>
      <c r="B222" s="372">
        <f t="shared" si="10"/>
        <v>5868585</v>
      </c>
      <c r="C222" s="372"/>
      <c r="D222" s="372">
        <v>4120190</v>
      </c>
      <c r="E222" s="372"/>
      <c r="F222" s="372">
        <f t="shared" si="11"/>
        <v>867014</v>
      </c>
      <c r="G222" s="373"/>
      <c r="H222" s="372">
        <v>138986</v>
      </c>
      <c r="I222" s="372">
        <v>141511</v>
      </c>
      <c r="J222" s="372">
        <v>586517</v>
      </c>
      <c r="K222" s="372">
        <v>510957</v>
      </c>
      <c r="L222" s="372">
        <v>370424</v>
      </c>
    </row>
    <row r="223" spans="1:12" s="366" customFormat="1" ht="8.85" customHeight="1" x14ac:dyDescent="0.25">
      <c r="A223" s="375" t="s">
        <v>49</v>
      </c>
      <c r="B223" s="376">
        <f t="shared" si="10"/>
        <v>8152488</v>
      </c>
      <c r="C223" s="376"/>
      <c r="D223" s="376">
        <v>5219298</v>
      </c>
      <c r="E223" s="376"/>
      <c r="F223" s="376">
        <f t="shared" si="11"/>
        <v>1715617</v>
      </c>
      <c r="G223" s="377"/>
      <c r="H223" s="376">
        <v>216411</v>
      </c>
      <c r="I223" s="376">
        <v>226102</v>
      </c>
      <c r="J223" s="376">
        <v>1273104</v>
      </c>
      <c r="K223" s="376">
        <v>922546</v>
      </c>
      <c r="L223" s="376">
        <v>295027</v>
      </c>
    </row>
    <row r="224" spans="1:12" s="366" customFormat="1" ht="8.85" customHeight="1" x14ac:dyDescent="0.25">
      <c r="A224" s="366" t="s">
        <v>50</v>
      </c>
      <c r="B224" s="372">
        <f t="shared" si="10"/>
        <v>2317091</v>
      </c>
      <c r="C224" s="372"/>
      <c r="D224" s="372">
        <v>1789551</v>
      </c>
      <c r="E224" s="372"/>
      <c r="F224" s="372">
        <f t="shared" si="11"/>
        <v>200490</v>
      </c>
      <c r="G224" s="373"/>
      <c r="H224" s="372">
        <v>24924</v>
      </c>
      <c r="I224" s="372">
        <v>22299</v>
      </c>
      <c r="J224" s="372">
        <v>153267</v>
      </c>
      <c r="K224" s="372">
        <v>192796</v>
      </c>
      <c r="L224" s="372">
        <v>134254</v>
      </c>
    </row>
    <row r="225" spans="1:12" s="366" customFormat="1" ht="8.85" customHeight="1" x14ac:dyDescent="0.25">
      <c r="A225" s="366" t="s">
        <v>51</v>
      </c>
      <c r="B225" s="372">
        <f t="shared" si="10"/>
        <v>16319984</v>
      </c>
      <c r="C225" s="372"/>
      <c r="D225" s="372">
        <v>11942045</v>
      </c>
      <c r="E225" s="372"/>
      <c r="F225" s="372">
        <f t="shared" si="11"/>
        <v>2217952</v>
      </c>
      <c r="G225" s="373"/>
      <c r="H225" s="372">
        <v>326169</v>
      </c>
      <c r="I225" s="372">
        <v>293480</v>
      </c>
      <c r="J225" s="372">
        <v>1598303</v>
      </c>
      <c r="K225" s="372">
        <v>1398501</v>
      </c>
      <c r="L225" s="372">
        <v>761486</v>
      </c>
    </row>
    <row r="226" spans="1:12" s="366" customFormat="1" ht="8.85" customHeight="1" x14ac:dyDescent="0.25">
      <c r="A226" s="366" t="s">
        <v>52</v>
      </c>
      <c r="B226" s="372">
        <f t="shared" si="10"/>
        <v>5698993</v>
      </c>
      <c r="C226" s="372"/>
      <c r="D226" s="372">
        <v>4334790</v>
      </c>
      <c r="E226" s="372"/>
      <c r="F226" s="372">
        <f t="shared" si="11"/>
        <v>731435</v>
      </c>
      <c r="G226" s="373"/>
      <c r="H226" s="372">
        <v>106152</v>
      </c>
      <c r="I226" s="372">
        <v>59548</v>
      </c>
      <c r="J226" s="372">
        <v>565735</v>
      </c>
      <c r="K226" s="372">
        <v>407822</v>
      </c>
      <c r="L226" s="372">
        <v>224946</v>
      </c>
    </row>
    <row r="227" spans="1:12" s="366" customFormat="1" ht="8.85" customHeight="1" x14ac:dyDescent="0.25">
      <c r="A227" s="375" t="s">
        <v>53</v>
      </c>
      <c r="B227" s="376">
        <f t="shared" si="10"/>
        <v>3300734</v>
      </c>
      <c r="C227" s="376"/>
      <c r="D227" s="376">
        <v>2540255</v>
      </c>
      <c r="E227" s="376"/>
      <c r="F227" s="376">
        <f t="shared" si="11"/>
        <v>317365</v>
      </c>
      <c r="G227" s="377"/>
      <c r="H227" s="376">
        <v>55356</v>
      </c>
      <c r="I227" s="376">
        <v>30388</v>
      </c>
      <c r="J227" s="376">
        <v>231621</v>
      </c>
      <c r="K227" s="376">
        <v>288983</v>
      </c>
      <c r="L227" s="376">
        <v>154131</v>
      </c>
    </row>
    <row r="228" spans="1:12" s="366" customFormat="1" ht="9" customHeight="1" x14ac:dyDescent="0.25">
      <c r="B228" s="372"/>
      <c r="C228" s="372"/>
      <c r="D228" s="372"/>
      <c r="E228" s="372"/>
      <c r="F228" s="372"/>
      <c r="G228" s="373"/>
      <c r="H228" s="372"/>
      <c r="I228" s="372"/>
      <c r="J228" s="372"/>
      <c r="K228" s="372"/>
      <c r="L228" s="372"/>
    </row>
    <row r="229" spans="1:12" s="366" customFormat="1" ht="9" customHeight="1" x14ac:dyDescent="0.25">
      <c r="A229" s="363">
        <v>2001</v>
      </c>
      <c r="B229" s="368"/>
      <c r="C229" s="368"/>
      <c r="D229" s="364"/>
      <c r="E229" s="364"/>
      <c r="F229" s="364"/>
      <c r="G229" s="365"/>
      <c r="H229" s="364"/>
      <c r="I229" s="364"/>
      <c r="J229" s="368"/>
      <c r="K229" s="364"/>
    </row>
    <row r="230" spans="1:12" s="371" customFormat="1" ht="9" customHeight="1" x14ac:dyDescent="0.25">
      <c r="A230" s="367" t="s">
        <v>21</v>
      </c>
      <c r="B230" s="381">
        <f>SUM(B232:B263)</f>
        <v>245682456</v>
      </c>
      <c r="C230" s="381"/>
      <c r="D230" s="381">
        <f>SUM(D232:D263)</f>
        <v>172164913</v>
      </c>
      <c r="E230" s="368"/>
      <c r="F230" s="381">
        <f>SUM(F232:F263)</f>
        <v>36977362</v>
      </c>
      <c r="G230" s="382"/>
      <c r="H230" s="368">
        <f>SUM(H232:H263)</f>
        <v>5009087</v>
      </c>
      <c r="I230" s="368">
        <f>SUM(I232:I263)</f>
        <v>4147424</v>
      </c>
      <c r="J230" s="368">
        <f>SUM(J232:J263)</f>
        <v>27787930</v>
      </c>
      <c r="K230" s="368">
        <f>SUM(K232:K263)</f>
        <v>24291729</v>
      </c>
      <c r="L230" s="368">
        <f>SUM(L232:L263)</f>
        <v>12248452</v>
      </c>
    </row>
    <row r="231" spans="1:12" s="371" customFormat="1" ht="3.95" customHeight="1" x14ac:dyDescent="0.25">
      <c r="A231" s="367"/>
      <c r="B231" s="381"/>
      <c r="C231" s="381"/>
      <c r="D231" s="381"/>
      <c r="E231" s="368"/>
      <c r="F231" s="381"/>
      <c r="G231" s="382"/>
      <c r="H231" s="368"/>
      <c r="I231" s="368"/>
      <c r="J231" s="368"/>
      <c r="K231" s="368"/>
      <c r="L231" s="368"/>
    </row>
    <row r="232" spans="1:12" s="366" customFormat="1" ht="9.6" customHeight="1" x14ac:dyDescent="0.25">
      <c r="A232" s="366" t="s">
        <v>280</v>
      </c>
      <c r="B232" s="386">
        <f t="shared" ref="B232:B239" si="12">SUM(D232,F232,K232:L232)</f>
        <v>2519464</v>
      </c>
      <c r="C232" s="386"/>
      <c r="D232" s="372">
        <v>1658375</v>
      </c>
      <c r="E232" s="372"/>
      <c r="F232" s="372">
        <v>371539</v>
      </c>
      <c r="G232" s="387" t="s">
        <v>194</v>
      </c>
      <c r="H232" s="372">
        <v>46628</v>
      </c>
      <c r="I232" s="372">
        <v>29873</v>
      </c>
      <c r="J232" s="372">
        <v>284115</v>
      </c>
      <c r="K232" s="372">
        <v>363880</v>
      </c>
      <c r="L232" s="372">
        <v>125670</v>
      </c>
    </row>
    <row r="233" spans="1:12" s="366" customFormat="1" ht="9" customHeight="1" x14ac:dyDescent="0.25">
      <c r="A233" s="366" t="s">
        <v>24</v>
      </c>
      <c r="B233" s="386">
        <f t="shared" si="12"/>
        <v>5538653</v>
      </c>
      <c r="C233" s="386"/>
      <c r="D233" s="372">
        <v>3645060</v>
      </c>
      <c r="E233" s="372"/>
      <c r="F233" s="372">
        <f>SUM(H233:J233)</f>
        <v>903478</v>
      </c>
      <c r="G233" s="372"/>
      <c r="H233" s="372">
        <v>122856</v>
      </c>
      <c r="I233" s="372">
        <v>74451</v>
      </c>
      <c r="J233" s="372">
        <v>706171</v>
      </c>
      <c r="K233" s="372">
        <v>700116</v>
      </c>
      <c r="L233" s="372">
        <v>289999</v>
      </c>
    </row>
    <row r="234" spans="1:12" s="366" customFormat="1" ht="9" customHeight="1" x14ac:dyDescent="0.25">
      <c r="A234" s="366" t="s">
        <v>25</v>
      </c>
      <c r="B234" s="386">
        <f t="shared" si="12"/>
        <v>1622344</v>
      </c>
      <c r="C234" s="386"/>
      <c r="D234" s="372">
        <v>1086698</v>
      </c>
      <c r="E234" s="372"/>
      <c r="F234" s="372">
        <f>SUM(H234:J234)</f>
        <v>250306</v>
      </c>
      <c r="G234" s="372"/>
      <c r="H234" s="372">
        <v>34192</v>
      </c>
      <c r="I234" s="372">
        <v>28811</v>
      </c>
      <c r="J234" s="372">
        <v>187303</v>
      </c>
      <c r="K234" s="372">
        <v>188932</v>
      </c>
      <c r="L234" s="372">
        <v>96408</v>
      </c>
    </row>
    <row r="235" spans="1:12" s="366" customFormat="1" ht="9.6" customHeight="1" x14ac:dyDescent="0.25">
      <c r="A235" s="375" t="s">
        <v>281</v>
      </c>
      <c r="B235" s="388">
        <f t="shared" si="12"/>
        <v>2271500</v>
      </c>
      <c r="C235" s="388"/>
      <c r="D235" s="376">
        <v>1623993</v>
      </c>
      <c r="E235" s="376"/>
      <c r="F235" s="376">
        <f>SUM(H235:J235)</f>
        <v>289118</v>
      </c>
      <c r="G235" s="389" t="s">
        <v>194</v>
      </c>
      <c r="H235" s="376">
        <v>53857</v>
      </c>
      <c r="I235" s="376">
        <v>46670</v>
      </c>
      <c r="J235" s="376">
        <v>188591</v>
      </c>
      <c r="K235" s="376">
        <v>243207</v>
      </c>
      <c r="L235" s="376">
        <v>115182</v>
      </c>
    </row>
    <row r="236" spans="1:12" s="366" customFormat="1" ht="9.6" customHeight="1" x14ac:dyDescent="0.25">
      <c r="A236" s="366" t="s">
        <v>282</v>
      </c>
      <c r="B236" s="386">
        <f t="shared" si="12"/>
        <v>7614675</v>
      </c>
      <c r="C236" s="386"/>
      <c r="D236" s="372">
        <v>4869977</v>
      </c>
      <c r="E236" s="372"/>
      <c r="F236" s="372">
        <v>1171721</v>
      </c>
      <c r="G236" s="387" t="s">
        <v>194</v>
      </c>
      <c r="H236" s="372">
        <v>207877</v>
      </c>
      <c r="I236" s="372">
        <v>157797</v>
      </c>
      <c r="J236" s="372">
        <v>783887</v>
      </c>
      <c r="K236" s="372">
        <v>1224649</v>
      </c>
      <c r="L236" s="372">
        <v>348328</v>
      </c>
    </row>
    <row r="237" spans="1:12" s="366" customFormat="1" ht="9.6" customHeight="1" x14ac:dyDescent="0.25">
      <c r="A237" s="366" t="s">
        <v>283</v>
      </c>
      <c r="B237" s="372">
        <f t="shared" si="12"/>
        <v>1575990</v>
      </c>
      <c r="C237" s="372"/>
      <c r="D237" s="372">
        <v>1034160</v>
      </c>
      <c r="E237" s="372"/>
      <c r="F237" s="372">
        <f>SUM(H237:J237)</f>
        <v>257543</v>
      </c>
      <c r="G237" s="387" t="s">
        <v>194</v>
      </c>
      <c r="H237" s="372">
        <v>42143</v>
      </c>
      <c r="I237" s="372">
        <v>23822</v>
      </c>
      <c r="J237" s="372">
        <v>191578</v>
      </c>
      <c r="K237" s="372">
        <v>214153</v>
      </c>
      <c r="L237" s="372">
        <v>70134</v>
      </c>
    </row>
    <row r="238" spans="1:12" s="366" customFormat="1" ht="9" customHeight="1" x14ac:dyDescent="0.25">
      <c r="A238" s="366" t="s">
        <v>29</v>
      </c>
      <c r="B238" s="372">
        <f t="shared" si="12"/>
        <v>8164007</v>
      </c>
      <c r="C238" s="372"/>
      <c r="D238" s="372">
        <v>6674133</v>
      </c>
      <c r="E238" s="372"/>
      <c r="F238" s="372">
        <f>SUM(H238:J238)</f>
        <v>580613</v>
      </c>
      <c r="G238" s="372"/>
      <c r="H238" s="372">
        <v>94484</v>
      </c>
      <c r="I238" s="372">
        <v>77476</v>
      </c>
      <c r="J238" s="372">
        <v>408653</v>
      </c>
      <c r="K238" s="372">
        <v>538132</v>
      </c>
      <c r="L238" s="372">
        <v>371129</v>
      </c>
    </row>
    <row r="239" spans="1:12" s="366" customFormat="1" ht="9" customHeight="1" x14ac:dyDescent="0.25">
      <c r="A239" s="375" t="s">
        <v>30</v>
      </c>
      <c r="B239" s="376">
        <f t="shared" si="12"/>
        <v>7415297</v>
      </c>
      <c r="C239" s="376"/>
      <c r="D239" s="376">
        <v>5262877</v>
      </c>
      <c r="E239" s="376"/>
      <c r="F239" s="376">
        <f>SUM(H239:J239)</f>
        <v>985485</v>
      </c>
      <c r="G239" s="376"/>
      <c r="H239" s="376">
        <v>151200</v>
      </c>
      <c r="I239" s="376">
        <v>105340</v>
      </c>
      <c r="J239" s="376">
        <v>728945</v>
      </c>
      <c r="K239" s="376">
        <v>852824</v>
      </c>
      <c r="L239" s="376">
        <v>314111</v>
      </c>
    </row>
    <row r="240" spans="1:12" s="366" customFormat="1" ht="9.6" customHeight="1" x14ac:dyDescent="0.25">
      <c r="A240" s="366" t="s">
        <v>63</v>
      </c>
      <c r="B240" s="372">
        <v>31021977</v>
      </c>
      <c r="C240" s="372"/>
      <c r="D240" s="372">
        <v>16217542</v>
      </c>
      <c r="E240" s="372"/>
      <c r="F240" s="372">
        <v>9328743</v>
      </c>
      <c r="G240" s="387" t="s">
        <v>194</v>
      </c>
      <c r="H240" s="372">
        <v>910778</v>
      </c>
      <c r="I240" s="372">
        <v>778057</v>
      </c>
      <c r="J240" s="372">
        <v>7638525</v>
      </c>
      <c r="K240" s="372">
        <v>3402556</v>
      </c>
      <c r="L240" s="372">
        <v>1997555</v>
      </c>
    </row>
    <row r="241" spans="1:12" s="366" customFormat="1" ht="9.6" customHeight="1" x14ac:dyDescent="0.25">
      <c r="A241" s="366" t="s">
        <v>284</v>
      </c>
      <c r="B241" s="372">
        <v>4491184</v>
      </c>
      <c r="C241" s="372"/>
      <c r="D241" s="372">
        <v>3346863</v>
      </c>
      <c r="E241" s="372"/>
      <c r="F241" s="372">
        <f>SUM(H241:J241)</f>
        <v>551594</v>
      </c>
      <c r="G241" s="387" t="s">
        <v>194</v>
      </c>
      <c r="H241" s="372">
        <v>86464</v>
      </c>
      <c r="I241" s="372">
        <v>66869</v>
      </c>
      <c r="J241" s="372">
        <v>398261</v>
      </c>
      <c r="K241" s="372">
        <v>500063</v>
      </c>
      <c r="L241" s="372">
        <v>168245</v>
      </c>
    </row>
    <row r="242" spans="1:12" s="366" customFormat="1" ht="9" customHeight="1" x14ac:dyDescent="0.25">
      <c r="A242" s="366" t="s">
        <v>32</v>
      </c>
      <c r="B242" s="372">
        <f t="shared" ref="B242:B263" si="13">SUM(D242,F242,K242:L242)</f>
        <v>9104220</v>
      </c>
      <c r="C242" s="372"/>
      <c r="D242" s="372">
        <v>6469611</v>
      </c>
      <c r="E242" s="372"/>
      <c r="F242" s="372">
        <f>SUM(H242:J242)</f>
        <v>1263866</v>
      </c>
      <c r="G242" s="372"/>
      <c r="H242" s="372">
        <v>175101</v>
      </c>
      <c r="I242" s="372">
        <v>150121</v>
      </c>
      <c r="J242" s="372">
        <v>938644</v>
      </c>
      <c r="K242" s="372">
        <v>933227</v>
      </c>
      <c r="L242" s="372">
        <v>437516</v>
      </c>
    </row>
    <row r="243" spans="1:12" s="366" customFormat="1" ht="9" customHeight="1" x14ac:dyDescent="0.25">
      <c r="A243" s="375" t="s">
        <v>33</v>
      </c>
      <c r="B243" s="376">
        <f t="shared" si="13"/>
        <v>6850497</v>
      </c>
      <c r="C243" s="376"/>
      <c r="D243" s="376">
        <v>5474818</v>
      </c>
      <c r="E243" s="376"/>
      <c r="F243" s="376">
        <f>SUM(H243:J243)</f>
        <v>691590</v>
      </c>
      <c r="G243" s="376"/>
      <c r="H243" s="376">
        <v>100866</v>
      </c>
      <c r="I243" s="376">
        <v>91389</v>
      </c>
      <c r="J243" s="376">
        <v>499335</v>
      </c>
      <c r="K243" s="376">
        <v>417625</v>
      </c>
      <c r="L243" s="376">
        <v>266464</v>
      </c>
    </row>
    <row r="244" spans="1:12" s="366" customFormat="1" ht="9" customHeight="1" x14ac:dyDescent="0.25">
      <c r="A244" s="366" t="s">
        <v>34</v>
      </c>
      <c r="B244" s="372">
        <f t="shared" si="13"/>
        <v>5911097</v>
      </c>
      <c r="C244" s="372"/>
      <c r="D244" s="372">
        <v>4660426</v>
      </c>
      <c r="E244" s="372"/>
      <c r="F244" s="372">
        <f>SUM(H244:J244)</f>
        <v>520708</v>
      </c>
      <c r="G244" s="372"/>
      <c r="H244" s="372">
        <v>104283</v>
      </c>
      <c r="I244" s="372">
        <v>60784</v>
      </c>
      <c r="J244" s="372">
        <v>355641</v>
      </c>
      <c r="K244" s="372">
        <v>396862</v>
      </c>
      <c r="L244" s="372">
        <v>333101</v>
      </c>
    </row>
    <row r="245" spans="1:12" s="366" customFormat="1" ht="9.6" customHeight="1" x14ac:dyDescent="0.25">
      <c r="A245" s="366" t="s">
        <v>285</v>
      </c>
      <c r="B245" s="372">
        <f t="shared" si="13"/>
        <v>14575278</v>
      </c>
      <c r="C245" s="372"/>
      <c r="D245" s="372">
        <v>10095918</v>
      </c>
      <c r="E245" s="372"/>
      <c r="F245" s="372">
        <v>2215949</v>
      </c>
      <c r="G245" s="387" t="s">
        <v>194</v>
      </c>
      <c r="H245" s="372">
        <v>322094</v>
      </c>
      <c r="I245" s="372">
        <v>177803</v>
      </c>
      <c r="J245" s="372">
        <v>1670024</v>
      </c>
      <c r="K245" s="372">
        <v>1677564</v>
      </c>
      <c r="L245" s="372">
        <v>585847</v>
      </c>
    </row>
    <row r="246" spans="1:12" s="366" customFormat="1" ht="9" customHeight="1" x14ac:dyDescent="0.25">
      <c r="A246" s="366" t="s">
        <v>36</v>
      </c>
      <c r="B246" s="372">
        <f t="shared" si="13"/>
        <v>24153569</v>
      </c>
      <c r="C246" s="372"/>
      <c r="D246" s="372">
        <v>18761825</v>
      </c>
      <c r="E246" s="372"/>
      <c r="F246" s="372">
        <f>SUM(H246:J246)</f>
        <v>2313440</v>
      </c>
      <c r="G246" s="372"/>
      <c r="H246" s="372">
        <v>413390</v>
      </c>
      <c r="I246" s="372">
        <v>296084</v>
      </c>
      <c r="J246" s="372">
        <v>1603966</v>
      </c>
      <c r="K246" s="372">
        <v>1814844</v>
      </c>
      <c r="L246" s="372">
        <v>1263460</v>
      </c>
    </row>
    <row r="247" spans="1:12" s="366" customFormat="1" ht="9" customHeight="1" x14ac:dyDescent="0.25">
      <c r="A247" s="375" t="s">
        <v>37</v>
      </c>
      <c r="B247" s="376">
        <f t="shared" si="13"/>
        <v>8751303</v>
      </c>
      <c r="C247" s="376"/>
      <c r="D247" s="376">
        <v>6712256</v>
      </c>
      <c r="E247" s="376"/>
      <c r="F247" s="376">
        <f>SUM(H247:J247)</f>
        <v>952940</v>
      </c>
      <c r="G247" s="376"/>
      <c r="H247" s="376">
        <v>138268</v>
      </c>
      <c r="I247" s="376">
        <v>110914</v>
      </c>
      <c r="J247" s="376">
        <v>703758</v>
      </c>
      <c r="K247" s="376">
        <v>617233</v>
      </c>
      <c r="L247" s="376">
        <v>468874</v>
      </c>
    </row>
    <row r="248" spans="1:12" s="366" customFormat="1" ht="9" customHeight="1" x14ac:dyDescent="0.25">
      <c r="A248" s="366" t="s">
        <v>38</v>
      </c>
      <c r="B248" s="372">
        <f t="shared" si="13"/>
        <v>3684287</v>
      </c>
      <c r="C248" s="372"/>
      <c r="D248" s="372">
        <v>2460786</v>
      </c>
      <c r="E248" s="372"/>
      <c r="F248" s="372">
        <f>SUM(H248:J248)</f>
        <v>520543</v>
      </c>
      <c r="G248" s="372"/>
      <c r="H248" s="372">
        <v>64212</v>
      </c>
      <c r="I248" s="372">
        <v>63000</v>
      </c>
      <c r="J248" s="372">
        <v>393331</v>
      </c>
      <c r="K248" s="372">
        <v>465205</v>
      </c>
      <c r="L248" s="372">
        <v>237753</v>
      </c>
    </row>
    <row r="249" spans="1:12" s="366" customFormat="1" ht="9.6" customHeight="1" x14ac:dyDescent="0.25">
      <c r="A249" s="366" t="s">
        <v>39</v>
      </c>
      <c r="B249" s="372">
        <f t="shared" si="13"/>
        <v>2825791</v>
      </c>
      <c r="C249" s="372"/>
      <c r="D249" s="372">
        <v>2172734</v>
      </c>
      <c r="E249" s="372"/>
      <c r="F249" s="372">
        <f>SUM(H249:J249)</f>
        <v>329162</v>
      </c>
      <c r="G249" s="372"/>
      <c r="H249" s="372">
        <v>39723</v>
      </c>
      <c r="I249" s="372">
        <v>37614</v>
      </c>
      <c r="J249" s="372">
        <v>251825</v>
      </c>
      <c r="K249" s="372">
        <v>196420</v>
      </c>
      <c r="L249" s="372">
        <v>127475</v>
      </c>
    </row>
    <row r="250" spans="1:12" s="366" customFormat="1" ht="9.6" customHeight="1" x14ac:dyDescent="0.25">
      <c r="A250" s="366" t="s">
        <v>286</v>
      </c>
      <c r="B250" s="372">
        <f t="shared" si="13"/>
        <v>11677885</v>
      </c>
      <c r="C250" s="372"/>
      <c r="D250" s="372">
        <v>7265007</v>
      </c>
      <c r="E250" s="372"/>
      <c r="F250" s="372">
        <v>2061316</v>
      </c>
      <c r="G250" s="387" t="s">
        <v>194</v>
      </c>
      <c r="H250" s="372">
        <v>362814</v>
      </c>
      <c r="I250" s="372">
        <v>224745</v>
      </c>
      <c r="J250" s="372">
        <v>1528751</v>
      </c>
      <c r="K250" s="372">
        <v>1855669</v>
      </c>
      <c r="L250" s="372">
        <v>495893</v>
      </c>
    </row>
    <row r="251" spans="1:12" s="366" customFormat="1" ht="9" customHeight="1" x14ac:dyDescent="0.25">
      <c r="A251" s="375" t="s">
        <v>41</v>
      </c>
      <c r="B251" s="376">
        <f t="shared" si="13"/>
        <v>7087142</v>
      </c>
      <c r="C251" s="376"/>
      <c r="D251" s="376">
        <v>5813724</v>
      </c>
      <c r="E251" s="376"/>
      <c r="F251" s="376">
        <f>SUM(H251:J251)</f>
        <v>615014</v>
      </c>
      <c r="G251" s="376"/>
      <c r="H251" s="376">
        <v>92508</v>
      </c>
      <c r="I251" s="376">
        <v>88396</v>
      </c>
      <c r="J251" s="376">
        <v>434110</v>
      </c>
      <c r="K251" s="376">
        <v>333710</v>
      </c>
      <c r="L251" s="376">
        <v>324694</v>
      </c>
    </row>
    <row r="252" spans="1:12" s="366" customFormat="1" ht="9.6" customHeight="1" x14ac:dyDescent="0.25">
      <c r="A252" s="366" t="s">
        <v>287</v>
      </c>
      <c r="B252" s="372">
        <f t="shared" si="13"/>
        <v>10255711</v>
      </c>
      <c r="C252" s="372"/>
      <c r="D252" s="372">
        <v>7486490</v>
      </c>
      <c r="E252" s="372"/>
      <c r="F252" s="372">
        <v>1386611</v>
      </c>
      <c r="G252" s="387" t="s">
        <v>194</v>
      </c>
      <c r="H252" s="372">
        <v>158659</v>
      </c>
      <c r="I252" s="372">
        <v>179900</v>
      </c>
      <c r="J252" s="372">
        <v>1044839</v>
      </c>
      <c r="K252" s="372">
        <v>758329</v>
      </c>
      <c r="L252" s="372">
        <v>624281</v>
      </c>
    </row>
    <row r="253" spans="1:12" s="366" customFormat="1" ht="9" customHeight="1" x14ac:dyDescent="0.25">
      <c r="A253" s="366" t="s">
        <v>43</v>
      </c>
      <c r="B253" s="372">
        <f t="shared" si="13"/>
        <v>3478501</v>
      </c>
      <c r="C253" s="372"/>
      <c r="D253" s="372">
        <v>2541006</v>
      </c>
      <c r="E253" s="372"/>
      <c r="F253" s="372">
        <f>SUM(H253:J253)</f>
        <v>400182</v>
      </c>
      <c r="G253" s="372"/>
      <c r="H253" s="372">
        <v>53223</v>
      </c>
      <c r="I253" s="372">
        <v>33574</v>
      </c>
      <c r="J253" s="372">
        <v>313385</v>
      </c>
      <c r="K253" s="372">
        <v>343394</v>
      </c>
      <c r="L253" s="372">
        <v>193919</v>
      </c>
    </row>
    <row r="254" spans="1:12" s="366" customFormat="1" ht="9" customHeight="1" x14ac:dyDescent="0.25">
      <c r="A254" s="366" t="s">
        <v>44</v>
      </c>
      <c r="B254" s="372">
        <f t="shared" si="13"/>
        <v>2394072</v>
      </c>
      <c r="C254" s="372"/>
      <c r="D254" s="372">
        <v>1646133</v>
      </c>
      <c r="E254" s="372"/>
      <c r="F254" s="372">
        <f>SUM(H254:J254)</f>
        <v>273829</v>
      </c>
      <c r="G254" s="372"/>
      <c r="H254" s="372">
        <v>50828</v>
      </c>
      <c r="I254" s="372">
        <v>38123</v>
      </c>
      <c r="J254" s="372">
        <v>184878</v>
      </c>
      <c r="K254" s="372">
        <v>332950</v>
      </c>
      <c r="L254" s="372">
        <v>141160</v>
      </c>
    </row>
    <row r="255" spans="1:12" s="366" customFormat="1" ht="9" customHeight="1" x14ac:dyDescent="0.25">
      <c r="A255" s="375" t="s">
        <v>45</v>
      </c>
      <c r="B255" s="376">
        <f t="shared" si="13"/>
        <v>5527361</v>
      </c>
      <c r="C255" s="376"/>
      <c r="D255" s="376">
        <v>4040368</v>
      </c>
      <c r="E255" s="376"/>
      <c r="F255" s="376">
        <f>SUM(H255:J255)</f>
        <v>705489</v>
      </c>
      <c r="G255" s="376"/>
      <c r="H255" s="376">
        <v>77457</v>
      </c>
      <c r="I255" s="376">
        <v>70848</v>
      </c>
      <c r="J255" s="376">
        <v>557184</v>
      </c>
      <c r="K255" s="376">
        <v>514686</v>
      </c>
      <c r="L255" s="376">
        <v>266818</v>
      </c>
    </row>
    <row r="256" spans="1:12" s="366" customFormat="1" ht="9" customHeight="1" x14ac:dyDescent="0.25">
      <c r="A256" s="366" t="s">
        <v>46</v>
      </c>
      <c r="B256" s="372">
        <f t="shared" si="13"/>
        <v>7655973</v>
      </c>
      <c r="C256" s="372"/>
      <c r="D256" s="372">
        <v>5603962</v>
      </c>
      <c r="E256" s="372"/>
      <c r="F256" s="372">
        <f>SUM(H256:J256)</f>
        <v>988733</v>
      </c>
      <c r="G256" s="372"/>
      <c r="H256" s="372">
        <v>120148</v>
      </c>
      <c r="I256" s="372">
        <v>128834</v>
      </c>
      <c r="J256" s="372">
        <v>739751</v>
      </c>
      <c r="K256" s="372">
        <v>730373</v>
      </c>
      <c r="L256" s="372">
        <v>332905</v>
      </c>
    </row>
    <row r="257" spans="1:14" s="366" customFormat="1" ht="9.6" customHeight="1" x14ac:dyDescent="0.25">
      <c r="A257" s="366" t="s">
        <v>288</v>
      </c>
      <c r="B257" s="372">
        <f t="shared" si="13"/>
        <v>6321054</v>
      </c>
      <c r="C257" s="372"/>
      <c r="D257" s="372">
        <v>4132888</v>
      </c>
      <c r="E257" s="372"/>
      <c r="F257" s="372">
        <v>1066058</v>
      </c>
      <c r="G257" s="387" t="s">
        <v>194</v>
      </c>
      <c r="H257" s="372">
        <v>135480</v>
      </c>
      <c r="I257" s="372">
        <v>149434</v>
      </c>
      <c r="J257" s="372">
        <v>776936</v>
      </c>
      <c r="K257" s="372">
        <v>848034</v>
      </c>
      <c r="L257" s="372">
        <v>274074</v>
      </c>
    </row>
    <row r="258" spans="1:14" s="366" customFormat="1" ht="9" customHeight="1" x14ac:dyDescent="0.25">
      <c r="A258" s="366" t="s">
        <v>48</v>
      </c>
      <c r="B258" s="372">
        <f t="shared" si="13"/>
        <v>6148940</v>
      </c>
      <c r="C258" s="372"/>
      <c r="D258" s="372">
        <v>4363284</v>
      </c>
      <c r="E258" s="372"/>
      <c r="F258" s="372">
        <f t="shared" ref="F258:F263" si="14">SUM(H258:J258)</f>
        <v>887432</v>
      </c>
      <c r="G258" s="372"/>
      <c r="H258" s="372">
        <v>146048</v>
      </c>
      <c r="I258" s="372">
        <v>158656</v>
      </c>
      <c r="J258" s="372">
        <v>582728</v>
      </c>
      <c r="K258" s="372">
        <v>521947</v>
      </c>
      <c r="L258" s="372">
        <v>376277</v>
      </c>
    </row>
    <row r="259" spans="1:14" s="366" customFormat="1" ht="9" customHeight="1" x14ac:dyDescent="0.25">
      <c r="A259" s="375" t="s">
        <v>49</v>
      </c>
      <c r="B259" s="376">
        <f t="shared" si="13"/>
        <v>8486951</v>
      </c>
      <c r="C259" s="376"/>
      <c r="D259" s="376">
        <v>5541735</v>
      </c>
      <c r="E259" s="376"/>
      <c r="F259" s="376">
        <f t="shared" si="14"/>
        <v>1674218</v>
      </c>
      <c r="G259" s="376"/>
      <c r="H259" s="376">
        <v>217127</v>
      </c>
      <c r="I259" s="376">
        <v>241135</v>
      </c>
      <c r="J259" s="376">
        <v>1215956</v>
      </c>
      <c r="K259" s="376">
        <v>953175</v>
      </c>
      <c r="L259" s="376">
        <v>317823</v>
      </c>
    </row>
    <row r="260" spans="1:14" s="366" customFormat="1" ht="9" customHeight="1" x14ac:dyDescent="0.25">
      <c r="A260" s="366" t="s">
        <v>50</v>
      </c>
      <c r="B260" s="372">
        <f t="shared" si="13"/>
        <v>2335848</v>
      </c>
      <c r="C260" s="372"/>
      <c r="D260" s="372">
        <v>1764727</v>
      </c>
      <c r="E260" s="372"/>
      <c r="F260" s="372">
        <f t="shared" si="14"/>
        <v>237439</v>
      </c>
      <c r="G260" s="372"/>
      <c r="H260" s="372">
        <v>28187</v>
      </c>
      <c r="I260" s="372">
        <v>23486</v>
      </c>
      <c r="J260" s="372">
        <v>185766</v>
      </c>
      <c r="K260" s="372">
        <v>198118</v>
      </c>
      <c r="L260" s="372">
        <v>135564</v>
      </c>
    </row>
    <row r="261" spans="1:14" s="366" customFormat="1" ht="9" customHeight="1" x14ac:dyDescent="0.25">
      <c r="A261" s="366" t="s">
        <v>51</v>
      </c>
      <c r="B261" s="372">
        <f t="shared" si="13"/>
        <v>16887721</v>
      </c>
      <c r="C261" s="372"/>
      <c r="D261" s="372">
        <v>12622725</v>
      </c>
      <c r="E261" s="372"/>
      <c r="F261" s="372">
        <f t="shared" si="14"/>
        <v>2101277</v>
      </c>
      <c r="G261" s="372"/>
      <c r="H261" s="372">
        <v>298577</v>
      </c>
      <c r="I261" s="372">
        <v>341213</v>
      </c>
      <c r="J261" s="372">
        <v>1461487</v>
      </c>
      <c r="K261" s="372">
        <v>1398888</v>
      </c>
      <c r="L261" s="372">
        <v>764831</v>
      </c>
    </row>
    <row r="262" spans="1:14" s="366" customFormat="1" ht="9" customHeight="1" x14ac:dyDescent="0.25">
      <c r="A262" s="366" t="s">
        <v>52</v>
      </c>
      <c r="B262" s="372">
        <f t="shared" si="13"/>
        <v>5899733</v>
      </c>
      <c r="C262" s="372"/>
      <c r="D262" s="372">
        <v>4456428</v>
      </c>
      <c r="E262" s="372"/>
      <c r="F262" s="372">
        <f t="shared" si="14"/>
        <v>748034</v>
      </c>
      <c r="G262" s="372"/>
      <c r="H262" s="372">
        <v>103947</v>
      </c>
      <c r="I262" s="372">
        <v>57226</v>
      </c>
      <c r="J262" s="372">
        <v>586861</v>
      </c>
      <c r="K262" s="372">
        <v>477032</v>
      </c>
      <c r="L262" s="372">
        <v>218239</v>
      </c>
    </row>
    <row r="263" spans="1:14" s="366" customFormat="1" ht="9" customHeight="1" x14ac:dyDescent="0.25">
      <c r="A263" s="375" t="s">
        <v>53</v>
      </c>
      <c r="B263" s="376">
        <f t="shared" si="13"/>
        <v>3434431</v>
      </c>
      <c r="C263" s="376"/>
      <c r="D263" s="376">
        <v>2658384</v>
      </c>
      <c r="E263" s="376"/>
      <c r="F263" s="376">
        <f t="shared" si="14"/>
        <v>333392</v>
      </c>
      <c r="G263" s="376"/>
      <c r="H263" s="376">
        <v>55668</v>
      </c>
      <c r="I263" s="376">
        <v>34979</v>
      </c>
      <c r="J263" s="376">
        <v>242745</v>
      </c>
      <c r="K263" s="376">
        <v>277932</v>
      </c>
      <c r="L263" s="376">
        <v>164723</v>
      </c>
    </row>
    <row r="264" spans="1:14" s="366" customFormat="1" ht="9" customHeight="1" x14ac:dyDescent="0.25">
      <c r="B264" s="372"/>
      <c r="C264" s="372"/>
      <c r="D264" s="372"/>
      <c r="E264" s="372"/>
      <c r="F264" s="372"/>
      <c r="G264" s="373"/>
      <c r="H264" s="372"/>
      <c r="I264" s="372"/>
      <c r="J264" s="372"/>
      <c r="K264" s="372"/>
      <c r="L264" s="372"/>
    </row>
    <row r="265" spans="1:14" s="378" customFormat="1" ht="9" customHeight="1" x14ac:dyDescent="0.25">
      <c r="A265" s="363">
        <v>2002</v>
      </c>
      <c r="B265" s="390"/>
      <c r="C265" s="390"/>
      <c r="D265" s="390"/>
      <c r="E265" s="383"/>
      <c r="F265" s="390"/>
      <c r="G265" s="391"/>
      <c r="H265" s="383"/>
      <c r="I265" s="383"/>
      <c r="J265" s="383"/>
      <c r="K265" s="383"/>
      <c r="L265" s="383"/>
    </row>
    <row r="266" spans="1:14" s="392" customFormat="1" ht="9" customHeight="1" x14ac:dyDescent="0.25">
      <c r="A266" s="367" t="s">
        <v>21</v>
      </c>
      <c r="B266" s="390">
        <f>SUM(B268:B299)</f>
        <v>252060576</v>
      </c>
      <c r="C266" s="390"/>
      <c r="D266" s="390">
        <f>SUM(D268:D299)</f>
        <v>176969280</v>
      </c>
      <c r="E266" s="383"/>
      <c r="F266" s="390">
        <f>SUM(F268:F299)</f>
        <v>37501417</v>
      </c>
      <c r="G266" s="391"/>
      <c r="H266" s="383">
        <f>SUM(H268:H299)</f>
        <v>4872250</v>
      </c>
      <c r="I266" s="383">
        <f>SUM(I268:I299)</f>
        <v>3988524</v>
      </c>
      <c r="J266" s="383">
        <f>SUM(J268:J299)</f>
        <v>28823429</v>
      </c>
      <c r="K266" s="383">
        <f>SUM(K268:K299)</f>
        <v>25504846</v>
      </c>
      <c r="L266" s="383">
        <f>SUM(L268:L299)</f>
        <v>12085033</v>
      </c>
    </row>
    <row r="267" spans="1:14" s="371" customFormat="1" ht="3.95" customHeight="1" x14ac:dyDescent="0.25">
      <c r="A267" s="367"/>
      <c r="B267" s="381"/>
      <c r="C267" s="381"/>
      <c r="D267" s="381"/>
      <c r="E267" s="368"/>
      <c r="F267" s="381"/>
      <c r="G267" s="382"/>
      <c r="H267" s="368"/>
      <c r="I267" s="368"/>
      <c r="J267" s="368"/>
      <c r="K267" s="368"/>
      <c r="L267" s="368"/>
    </row>
    <row r="268" spans="1:14" s="366" customFormat="1" ht="9.6" customHeight="1" x14ac:dyDescent="0.25">
      <c r="A268" s="366" t="s">
        <v>280</v>
      </c>
      <c r="B268" s="386">
        <f t="shared" ref="B268:B299" si="15">SUM(D268,F268,K268:L268)</f>
        <v>2701424</v>
      </c>
      <c r="C268" s="386"/>
      <c r="D268" s="372">
        <v>1769420</v>
      </c>
      <c r="E268" s="372"/>
      <c r="F268" s="372">
        <f t="shared" ref="F268:F275" si="16">SUM(H268:J268)</f>
        <v>376674</v>
      </c>
      <c r="G268" s="393"/>
      <c r="H268" s="372">
        <v>46854</v>
      </c>
      <c r="I268" s="372">
        <v>33770</v>
      </c>
      <c r="J268" s="372">
        <v>296050</v>
      </c>
      <c r="K268" s="372">
        <v>428165</v>
      </c>
      <c r="L268" s="372">
        <v>127165</v>
      </c>
      <c r="N268" s="374"/>
    </row>
    <row r="269" spans="1:14" s="366" customFormat="1" ht="9" customHeight="1" x14ac:dyDescent="0.25">
      <c r="A269" s="366" t="s">
        <v>24</v>
      </c>
      <c r="B269" s="386">
        <f t="shared" si="15"/>
        <v>5445257</v>
      </c>
      <c r="C269" s="386"/>
      <c r="D269" s="372">
        <v>3536090</v>
      </c>
      <c r="E269" s="372"/>
      <c r="F269" s="372">
        <f t="shared" si="16"/>
        <v>924013</v>
      </c>
      <c r="G269" s="373"/>
      <c r="H269" s="372">
        <v>123719</v>
      </c>
      <c r="I269" s="372">
        <v>68603</v>
      </c>
      <c r="J269" s="372">
        <v>731691</v>
      </c>
      <c r="K269" s="372">
        <v>705652</v>
      </c>
      <c r="L269" s="372">
        <v>279502</v>
      </c>
      <c r="N269" s="374"/>
    </row>
    <row r="270" spans="1:14" s="366" customFormat="1" ht="9" customHeight="1" x14ac:dyDescent="0.25">
      <c r="A270" s="366" t="s">
        <v>25</v>
      </c>
      <c r="B270" s="386">
        <f t="shared" si="15"/>
        <v>1538038</v>
      </c>
      <c r="C270" s="386"/>
      <c r="D270" s="372">
        <v>1027716</v>
      </c>
      <c r="E270" s="372"/>
      <c r="F270" s="372">
        <f t="shared" si="16"/>
        <v>247919</v>
      </c>
      <c r="G270" s="373"/>
      <c r="H270" s="372">
        <v>35497</v>
      </c>
      <c r="I270" s="372">
        <v>27414</v>
      </c>
      <c r="J270" s="372">
        <v>185008</v>
      </c>
      <c r="K270" s="372">
        <v>177216</v>
      </c>
      <c r="L270" s="372">
        <v>85187</v>
      </c>
      <c r="N270" s="374"/>
    </row>
    <row r="271" spans="1:14" s="366" customFormat="1" ht="9.6" customHeight="1" x14ac:dyDescent="0.25">
      <c r="A271" s="375" t="s">
        <v>281</v>
      </c>
      <c r="B271" s="388">
        <f t="shared" si="15"/>
        <v>2254447</v>
      </c>
      <c r="C271" s="388"/>
      <c r="D271" s="376">
        <v>1597250</v>
      </c>
      <c r="E271" s="376"/>
      <c r="F271" s="376">
        <f t="shared" si="16"/>
        <v>283515</v>
      </c>
      <c r="G271" s="394"/>
      <c r="H271" s="376">
        <v>55955</v>
      </c>
      <c r="I271" s="376">
        <v>43737</v>
      </c>
      <c r="J271" s="376">
        <v>183823</v>
      </c>
      <c r="K271" s="376">
        <v>258931</v>
      </c>
      <c r="L271" s="376">
        <v>114751</v>
      </c>
      <c r="N271" s="374"/>
    </row>
    <row r="272" spans="1:14" s="366" customFormat="1" ht="9.6" customHeight="1" x14ac:dyDescent="0.25">
      <c r="A272" s="366" t="s">
        <v>282</v>
      </c>
      <c r="B272" s="386">
        <f t="shared" si="15"/>
        <v>7526687</v>
      </c>
      <c r="C272" s="386"/>
      <c r="D272" s="372">
        <v>4800108</v>
      </c>
      <c r="E272" s="372"/>
      <c r="F272" s="372">
        <f t="shared" si="16"/>
        <v>1098108</v>
      </c>
      <c r="G272" s="393"/>
      <c r="H272" s="372">
        <v>183713</v>
      </c>
      <c r="I272" s="372">
        <v>153203</v>
      </c>
      <c r="J272" s="372">
        <v>761192</v>
      </c>
      <c r="K272" s="372">
        <v>1298806</v>
      </c>
      <c r="L272" s="372">
        <v>329665</v>
      </c>
    </row>
    <row r="273" spans="1:12" s="366" customFormat="1" ht="9.6" customHeight="1" x14ac:dyDescent="0.25">
      <c r="A273" s="366" t="s">
        <v>283</v>
      </c>
      <c r="B273" s="372">
        <f t="shared" si="15"/>
        <v>1684547</v>
      </c>
      <c r="C273" s="372"/>
      <c r="D273" s="372">
        <v>1085741</v>
      </c>
      <c r="E273" s="372"/>
      <c r="F273" s="372">
        <f t="shared" si="16"/>
        <v>284410</v>
      </c>
      <c r="G273" s="393"/>
      <c r="H273" s="372">
        <v>45102</v>
      </c>
      <c r="I273" s="372">
        <v>30432</v>
      </c>
      <c r="J273" s="372">
        <v>208876</v>
      </c>
      <c r="K273" s="372">
        <v>238159</v>
      </c>
      <c r="L273" s="372">
        <v>76237</v>
      </c>
    </row>
    <row r="274" spans="1:12" s="366" customFormat="1" ht="9" customHeight="1" x14ac:dyDescent="0.25">
      <c r="A274" s="366" t="s">
        <v>29</v>
      </c>
      <c r="B274" s="372">
        <f t="shared" si="15"/>
        <v>8789251</v>
      </c>
      <c r="C274" s="372"/>
      <c r="D274" s="372">
        <v>7236240</v>
      </c>
      <c r="E274" s="372"/>
      <c r="F274" s="372">
        <f t="shared" si="16"/>
        <v>596464</v>
      </c>
      <c r="G274" s="373"/>
      <c r="H274" s="372">
        <v>91027</v>
      </c>
      <c r="I274" s="372">
        <v>82224</v>
      </c>
      <c r="J274" s="372">
        <v>423213</v>
      </c>
      <c r="K274" s="372">
        <v>585212</v>
      </c>
      <c r="L274" s="372">
        <v>371335</v>
      </c>
    </row>
    <row r="275" spans="1:12" s="366" customFormat="1" ht="9" customHeight="1" x14ac:dyDescent="0.25">
      <c r="A275" s="375" t="s">
        <v>30</v>
      </c>
      <c r="B275" s="376">
        <f t="shared" si="15"/>
        <v>7538599</v>
      </c>
      <c r="C275" s="376"/>
      <c r="D275" s="376">
        <v>5322617</v>
      </c>
      <c r="E275" s="376"/>
      <c r="F275" s="376">
        <f t="shared" si="16"/>
        <v>1012120</v>
      </c>
      <c r="G275" s="377"/>
      <c r="H275" s="376">
        <v>159698</v>
      </c>
      <c r="I275" s="376">
        <v>106983</v>
      </c>
      <c r="J275" s="376">
        <v>745439</v>
      </c>
      <c r="K275" s="376">
        <v>893278</v>
      </c>
      <c r="L275" s="376">
        <v>310584</v>
      </c>
    </row>
    <row r="276" spans="1:12" s="366" customFormat="1" ht="9.6" customHeight="1" x14ac:dyDescent="0.25">
      <c r="A276" s="366" t="s">
        <v>63</v>
      </c>
      <c r="B276" s="372">
        <f t="shared" si="15"/>
        <v>31982775</v>
      </c>
      <c r="C276" s="372"/>
      <c r="D276" s="372">
        <v>16641713</v>
      </c>
      <c r="E276" s="372"/>
      <c r="F276" s="372">
        <f>SUM(H276:J276)+44870</f>
        <v>9802848</v>
      </c>
      <c r="G276" s="387" t="s">
        <v>194</v>
      </c>
      <c r="H276" s="372">
        <v>899034</v>
      </c>
      <c r="I276" s="372">
        <v>744044</v>
      </c>
      <c r="J276" s="372">
        <v>8114900</v>
      </c>
      <c r="K276" s="372">
        <v>3505493</v>
      </c>
      <c r="L276" s="372">
        <v>2032721</v>
      </c>
    </row>
    <row r="277" spans="1:12" s="366" customFormat="1" ht="9.6" customHeight="1" x14ac:dyDescent="0.25">
      <c r="A277" s="366" t="s">
        <v>284</v>
      </c>
      <c r="B277" s="372">
        <f t="shared" si="15"/>
        <v>4600275</v>
      </c>
      <c r="C277" s="372"/>
      <c r="D277" s="372">
        <v>3392983</v>
      </c>
      <c r="E277" s="372"/>
      <c r="F277" s="372">
        <f t="shared" ref="F277:F287" si="17">SUM(H277:J277)</f>
        <v>553505</v>
      </c>
      <c r="G277" s="393"/>
      <c r="H277" s="372">
        <v>82934</v>
      </c>
      <c r="I277" s="372">
        <v>68004</v>
      </c>
      <c r="J277" s="372">
        <v>402567</v>
      </c>
      <c r="K277" s="372">
        <v>498897</v>
      </c>
      <c r="L277" s="372">
        <v>154890</v>
      </c>
    </row>
    <row r="278" spans="1:12" s="366" customFormat="1" ht="9" customHeight="1" x14ac:dyDescent="0.25">
      <c r="A278" s="366" t="s">
        <v>32</v>
      </c>
      <c r="B278" s="372">
        <f t="shared" si="15"/>
        <v>9412624</v>
      </c>
      <c r="C278" s="372"/>
      <c r="D278" s="372">
        <v>6680679</v>
      </c>
      <c r="E278" s="372"/>
      <c r="F278" s="372">
        <f t="shared" si="17"/>
        <v>1285347</v>
      </c>
      <c r="G278" s="373"/>
      <c r="H278" s="372">
        <v>171400</v>
      </c>
      <c r="I278" s="372">
        <v>158061</v>
      </c>
      <c r="J278" s="372">
        <v>955886</v>
      </c>
      <c r="K278" s="372">
        <v>1022999</v>
      </c>
      <c r="L278" s="372">
        <v>423599</v>
      </c>
    </row>
    <row r="279" spans="1:12" s="366" customFormat="1" ht="9" customHeight="1" x14ac:dyDescent="0.25">
      <c r="A279" s="375" t="s">
        <v>33</v>
      </c>
      <c r="B279" s="376">
        <f t="shared" si="15"/>
        <v>7380215</v>
      </c>
      <c r="C279" s="376"/>
      <c r="D279" s="376">
        <v>5949092</v>
      </c>
      <c r="E279" s="376"/>
      <c r="F279" s="376">
        <f t="shared" si="17"/>
        <v>736804</v>
      </c>
      <c r="G279" s="377"/>
      <c r="H279" s="376">
        <v>105685</v>
      </c>
      <c r="I279" s="376">
        <v>94196</v>
      </c>
      <c r="J279" s="376">
        <v>536923</v>
      </c>
      <c r="K279" s="376">
        <v>443699</v>
      </c>
      <c r="L279" s="376">
        <v>250620</v>
      </c>
    </row>
    <row r="280" spans="1:12" s="366" customFormat="1" ht="9" customHeight="1" x14ac:dyDescent="0.25">
      <c r="A280" s="366" t="s">
        <v>34</v>
      </c>
      <c r="B280" s="372">
        <f t="shared" si="15"/>
        <v>6014128</v>
      </c>
      <c r="C280" s="372"/>
      <c r="D280" s="372">
        <v>4793616</v>
      </c>
      <c r="E280" s="372"/>
      <c r="F280" s="372">
        <f t="shared" si="17"/>
        <v>504253</v>
      </c>
      <c r="G280" s="373"/>
      <c r="H280" s="372">
        <v>83342</v>
      </c>
      <c r="I280" s="372">
        <v>57097</v>
      </c>
      <c r="J280" s="372">
        <v>363814</v>
      </c>
      <c r="K280" s="372">
        <v>419359</v>
      </c>
      <c r="L280" s="372">
        <v>296900</v>
      </c>
    </row>
    <row r="281" spans="1:12" s="366" customFormat="1" ht="9.6" customHeight="1" x14ac:dyDescent="0.25">
      <c r="A281" s="366" t="s">
        <v>285</v>
      </c>
      <c r="B281" s="372">
        <f t="shared" si="15"/>
        <v>14812839</v>
      </c>
      <c r="C281" s="372"/>
      <c r="D281" s="372">
        <v>10208558</v>
      </c>
      <c r="E281" s="372"/>
      <c r="F281" s="372">
        <f t="shared" si="17"/>
        <v>2290945</v>
      </c>
      <c r="G281" s="393"/>
      <c r="H281" s="372">
        <v>347134</v>
      </c>
      <c r="I281" s="372">
        <v>192650</v>
      </c>
      <c r="J281" s="372">
        <v>1751161</v>
      </c>
      <c r="K281" s="372">
        <v>1746677</v>
      </c>
      <c r="L281" s="372">
        <v>566659</v>
      </c>
    </row>
    <row r="282" spans="1:12" s="366" customFormat="1" ht="9" customHeight="1" x14ac:dyDescent="0.25">
      <c r="A282" s="366" t="s">
        <v>36</v>
      </c>
      <c r="B282" s="372">
        <f t="shared" si="15"/>
        <v>25202802</v>
      </c>
      <c r="C282" s="372"/>
      <c r="D282" s="372">
        <v>19780170</v>
      </c>
      <c r="E282" s="372"/>
      <c r="F282" s="372">
        <f t="shared" si="17"/>
        <v>2386354</v>
      </c>
      <c r="G282" s="373"/>
      <c r="H282" s="372">
        <v>321817</v>
      </c>
      <c r="I282" s="372">
        <v>186693</v>
      </c>
      <c r="J282" s="372">
        <v>1877844</v>
      </c>
      <c r="K282" s="372">
        <v>1833990</v>
      </c>
      <c r="L282" s="372">
        <v>1202288</v>
      </c>
    </row>
    <row r="283" spans="1:12" s="366" customFormat="1" ht="9" customHeight="1" x14ac:dyDescent="0.25">
      <c r="A283" s="375" t="s">
        <v>37</v>
      </c>
      <c r="B283" s="376">
        <f t="shared" si="15"/>
        <v>8978986</v>
      </c>
      <c r="C283" s="376"/>
      <c r="D283" s="376">
        <v>6865261</v>
      </c>
      <c r="E283" s="376"/>
      <c r="F283" s="376">
        <f t="shared" si="17"/>
        <v>1006938</v>
      </c>
      <c r="G283" s="377"/>
      <c r="H283" s="376">
        <v>139163</v>
      </c>
      <c r="I283" s="376">
        <v>128201</v>
      </c>
      <c r="J283" s="376">
        <v>739574</v>
      </c>
      <c r="K283" s="376">
        <v>650462</v>
      </c>
      <c r="L283" s="376">
        <v>456325</v>
      </c>
    </row>
    <row r="284" spans="1:12" s="366" customFormat="1" ht="9" customHeight="1" x14ac:dyDescent="0.25">
      <c r="A284" s="366" t="s">
        <v>38</v>
      </c>
      <c r="B284" s="372">
        <f t="shared" si="15"/>
        <v>3773503</v>
      </c>
      <c r="C284" s="372"/>
      <c r="D284" s="372">
        <v>2528182</v>
      </c>
      <c r="E284" s="372"/>
      <c r="F284" s="372">
        <f t="shared" si="17"/>
        <v>520001</v>
      </c>
      <c r="G284" s="373"/>
      <c r="H284" s="372">
        <v>62898</v>
      </c>
      <c r="I284" s="372">
        <v>59064</v>
      </c>
      <c r="J284" s="372">
        <v>398039</v>
      </c>
      <c r="K284" s="372">
        <v>496949</v>
      </c>
      <c r="L284" s="372">
        <v>228371</v>
      </c>
    </row>
    <row r="285" spans="1:12" s="366" customFormat="1" ht="9.6" customHeight="1" x14ac:dyDescent="0.25">
      <c r="A285" s="366" t="s">
        <v>39</v>
      </c>
      <c r="B285" s="372">
        <f t="shared" si="15"/>
        <v>2834123</v>
      </c>
      <c r="C285" s="372"/>
      <c r="D285" s="372">
        <v>2138506</v>
      </c>
      <c r="E285" s="372"/>
      <c r="F285" s="372">
        <f t="shared" si="17"/>
        <v>336631</v>
      </c>
      <c r="G285" s="373"/>
      <c r="H285" s="372">
        <v>39476</v>
      </c>
      <c r="I285" s="372">
        <v>37915</v>
      </c>
      <c r="J285" s="372">
        <v>259240</v>
      </c>
      <c r="K285" s="372">
        <v>232113</v>
      </c>
      <c r="L285" s="372">
        <v>126873</v>
      </c>
    </row>
    <row r="286" spans="1:12" s="366" customFormat="1" ht="9.6" customHeight="1" x14ac:dyDescent="0.25">
      <c r="A286" s="366" t="s">
        <v>286</v>
      </c>
      <c r="B286" s="372">
        <f t="shared" si="15"/>
        <v>10986680</v>
      </c>
      <c r="C286" s="372"/>
      <c r="D286" s="372">
        <v>7088872</v>
      </c>
      <c r="E286" s="372"/>
      <c r="F286" s="372">
        <f t="shared" si="17"/>
        <v>1731421</v>
      </c>
      <c r="G286" s="393"/>
      <c r="H286" s="372">
        <v>294818</v>
      </c>
      <c r="I286" s="372">
        <v>157392</v>
      </c>
      <c r="J286" s="372">
        <v>1279211</v>
      </c>
      <c r="K286" s="372">
        <v>1702118</v>
      </c>
      <c r="L286" s="372">
        <v>464269</v>
      </c>
    </row>
    <row r="287" spans="1:12" s="366" customFormat="1" ht="9" customHeight="1" x14ac:dyDescent="0.25">
      <c r="A287" s="375" t="s">
        <v>41</v>
      </c>
      <c r="B287" s="376">
        <f t="shared" si="15"/>
        <v>7435864</v>
      </c>
      <c r="C287" s="376"/>
      <c r="D287" s="376">
        <v>6026671</v>
      </c>
      <c r="E287" s="376"/>
      <c r="F287" s="376">
        <f t="shared" si="17"/>
        <v>636229</v>
      </c>
      <c r="G287" s="377"/>
      <c r="H287" s="376">
        <v>96609</v>
      </c>
      <c r="I287" s="376">
        <v>93609</v>
      </c>
      <c r="J287" s="376">
        <v>446011</v>
      </c>
      <c r="K287" s="376">
        <v>405395</v>
      </c>
      <c r="L287" s="376">
        <v>367569</v>
      </c>
    </row>
    <row r="288" spans="1:12" s="366" customFormat="1" ht="9.6" customHeight="1" x14ac:dyDescent="0.25">
      <c r="A288" s="366" t="s">
        <v>287</v>
      </c>
      <c r="B288" s="372">
        <f t="shared" si="15"/>
        <v>10723926</v>
      </c>
      <c r="C288" s="372"/>
      <c r="D288" s="372">
        <v>7870967</v>
      </c>
      <c r="E288" s="372"/>
      <c r="F288" s="372">
        <f>SUM(H288:J288)+37642</f>
        <v>1426156</v>
      </c>
      <c r="G288" s="387" t="s">
        <v>194</v>
      </c>
      <c r="H288" s="372">
        <v>164655</v>
      </c>
      <c r="I288" s="372">
        <v>218492</v>
      </c>
      <c r="J288" s="372">
        <v>1005367</v>
      </c>
      <c r="K288" s="372">
        <v>791654</v>
      </c>
      <c r="L288" s="372">
        <v>635149</v>
      </c>
    </row>
    <row r="289" spans="1:12" s="366" customFormat="1" ht="9" customHeight="1" x14ac:dyDescent="0.25">
      <c r="A289" s="366" t="s">
        <v>43</v>
      </c>
      <c r="B289" s="372">
        <f t="shared" si="15"/>
        <v>3724957</v>
      </c>
      <c r="C289" s="372"/>
      <c r="D289" s="372">
        <v>2717773</v>
      </c>
      <c r="E289" s="372"/>
      <c r="F289" s="372">
        <f>SUM(H289:J289)</f>
        <v>419953</v>
      </c>
      <c r="G289" s="373"/>
      <c r="H289" s="372">
        <v>50264</v>
      </c>
      <c r="I289" s="372">
        <v>35312</v>
      </c>
      <c r="J289" s="372">
        <v>334377</v>
      </c>
      <c r="K289" s="372">
        <v>379654</v>
      </c>
      <c r="L289" s="372">
        <v>207577</v>
      </c>
    </row>
    <row r="290" spans="1:12" s="366" customFormat="1" ht="9" customHeight="1" x14ac:dyDescent="0.25">
      <c r="A290" s="366" t="s">
        <v>44</v>
      </c>
      <c r="B290" s="372">
        <f t="shared" si="15"/>
        <v>2498825</v>
      </c>
      <c r="C290" s="372"/>
      <c r="D290" s="372">
        <v>1716616</v>
      </c>
      <c r="E290" s="372"/>
      <c r="F290" s="372">
        <f>SUM(H290:J290)</f>
        <v>292977</v>
      </c>
      <c r="G290" s="373"/>
      <c r="H290" s="372">
        <v>48587</v>
      </c>
      <c r="I290" s="372">
        <v>39180</v>
      </c>
      <c r="J290" s="372">
        <v>205210</v>
      </c>
      <c r="K290" s="372">
        <v>357884</v>
      </c>
      <c r="L290" s="372">
        <v>131348</v>
      </c>
    </row>
    <row r="291" spans="1:12" s="366" customFormat="1" ht="9" customHeight="1" x14ac:dyDescent="0.25">
      <c r="A291" s="375" t="s">
        <v>45</v>
      </c>
      <c r="B291" s="376">
        <f t="shared" si="15"/>
        <v>5532618</v>
      </c>
      <c r="C291" s="376"/>
      <c r="D291" s="376">
        <v>3952402</v>
      </c>
      <c r="E291" s="376"/>
      <c r="F291" s="376">
        <f>SUM(H291:J291)</f>
        <v>723420</v>
      </c>
      <c r="G291" s="377"/>
      <c r="H291" s="376">
        <v>74722</v>
      </c>
      <c r="I291" s="376">
        <v>70756</v>
      </c>
      <c r="J291" s="376">
        <v>577942</v>
      </c>
      <c r="K291" s="376">
        <v>574104</v>
      </c>
      <c r="L291" s="376">
        <v>282692</v>
      </c>
    </row>
    <row r="292" spans="1:12" s="366" customFormat="1" ht="9" customHeight="1" x14ac:dyDescent="0.25">
      <c r="A292" s="366" t="s">
        <v>46</v>
      </c>
      <c r="B292" s="372">
        <f t="shared" si="15"/>
        <v>7822577</v>
      </c>
      <c r="C292" s="372"/>
      <c r="D292" s="372">
        <v>5741794</v>
      </c>
      <c r="E292" s="372"/>
      <c r="F292" s="372">
        <f>SUM(H292:J292)</f>
        <v>1017414</v>
      </c>
      <c r="G292" s="373"/>
      <c r="H292" s="372">
        <v>122574</v>
      </c>
      <c r="I292" s="372">
        <v>134118</v>
      </c>
      <c r="J292" s="372">
        <v>760722</v>
      </c>
      <c r="K292" s="372">
        <v>734848</v>
      </c>
      <c r="L292" s="372">
        <v>328521</v>
      </c>
    </row>
    <row r="293" spans="1:12" s="366" customFormat="1" ht="9.6" customHeight="1" x14ac:dyDescent="0.25">
      <c r="A293" s="366" t="s">
        <v>288</v>
      </c>
      <c r="B293" s="372">
        <f t="shared" si="15"/>
        <v>6826059</v>
      </c>
      <c r="C293" s="372"/>
      <c r="D293" s="372">
        <v>4415752</v>
      </c>
      <c r="E293" s="372"/>
      <c r="F293" s="372">
        <f>SUM(H293:J293)-193200</f>
        <v>1121529</v>
      </c>
      <c r="G293" s="387" t="s">
        <v>194</v>
      </c>
      <c r="H293" s="372">
        <v>135771</v>
      </c>
      <c r="I293" s="372">
        <v>120947</v>
      </c>
      <c r="J293" s="372">
        <v>1058011</v>
      </c>
      <c r="K293" s="372">
        <v>1009038</v>
      </c>
      <c r="L293" s="372">
        <v>279740</v>
      </c>
    </row>
    <row r="294" spans="1:12" s="366" customFormat="1" ht="9" customHeight="1" x14ac:dyDescent="0.25">
      <c r="A294" s="366" t="s">
        <v>48</v>
      </c>
      <c r="B294" s="372">
        <f t="shared" si="15"/>
        <v>6666005</v>
      </c>
      <c r="C294" s="372"/>
      <c r="D294" s="372">
        <v>4852809</v>
      </c>
      <c r="E294" s="372"/>
      <c r="F294" s="372">
        <f>SUM(H294:J294)-72098</f>
        <v>847734</v>
      </c>
      <c r="G294" s="387" t="s">
        <v>194</v>
      </c>
      <c r="H294" s="372">
        <v>156637</v>
      </c>
      <c r="I294" s="372">
        <v>158659</v>
      </c>
      <c r="J294" s="372">
        <v>604536</v>
      </c>
      <c r="K294" s="372">
        <v>565191</v>
      </c>
      <c r="L294" s="372">
        <v>400271</v>
      </c>
    </row>
    <row r="295" spans="1:12" s="366" customFormat="1" ht="9" customHeight="1" x14ac:dyDescent="0.25">
      <c r="A295" s="375" t="s">
        <v>49</v>
      </c>
      <c r="B295" s="376">
        <f t="shared" si="15"/>
        <v>8282656</v>
      </c>
      <c r="C295" s="376"/>
      <c r="D295" s="376">
        <v>5433765</v>
      </c>
      <c r="E295" s="376"/>
      <c r="F295" s="376">
        <f>SUM(H295:J295)</f>
        <v>1624966</v>
      </c>
      <c r="G295" s="377"/>
      <c r="H295" s="376">
        <v>228202</v>
      </c>
      <c r="I295" s="376">
        <v>273222</v>
      </c>
      <c r="J295" s="376">
        <v>1123542</v>
      </c>
      <c r="K295" s="376">
        <v>920015</v>
      </c>
      <c r="L295" s="376">
        <v>303910</v>
      </c>
    </row>
    <row r="296" spans="1:12" s="366" customFormat="1" ht="9" customHeight="1" x14ac:dyDescent="0.25">
      <c r="A296" s="366" t="s">
        <v>50</v>
      </c>
      <c r="B296" s="372">
        <f t="shared" si="15"/>
        <v>2377563</v>
      </c>
      <c r="C296" s="372"/>
      <c r="D296" s="372">
        <v>1806865</v>
      </c>
      <c r="E296" s="372"/>
      <c r="F296" s="372">
        <f>SUM(H296:J296)</f>
        <v>241195</v>
      </c>
      <c r="G296" s="373"/>
      <c r="H296" s="372">
        <v>29095</v>
      </c>
      <c r="I296" s="372">
        <v>23479</v>
      </c>
      <c r="J296" s="372">
        <v>188621</v>
      </c>
      <c r="K296" s="372">
        <v>201529</v>
      </c>
      <c r="L296" s="372">
        <v>127974</v>
      </c>
    </row>
    <row r="297" spans="1:12" s="366" customFormat="1" ht="9" customHeight="1" x14ac:dyDescent="0.25">
      <c r="A297" s="366" t="s">
        <v>51</v>
      </c>
      <c r="B297" s="372">
        <f t="shared" si="15"/>
        <v>17282983</v>
      </c>
      <c r="C297" s="372"/>
      <c r="D297" s="372">
        <v>12816775</v>
      </c>
      <c r="E297" s="372"/>
      <c r="F297" s="372">
        <f>SUM(H297:J297)</f>
        <v>2132601</v>
      </c>
      <c r="G297" s="373"/>
      <c r="H297" s="372">
        <v>315304</v>
      </c>
      <c r="I297" s="372">
        <v>305529</v>
      </c>
      <c r="J297" s="372">
        <v>1511768</v>
      </c>
      <c r="K297" s="372">
        <v>1591871</v>
      </c>
      <c r="L297" s="372">
        <v>741736</v>
      </c>
    </row>
    <row r="298" spans="1:12" s="366" customFormat="1" ht="9" customHeight="1" x14ac:dyDescent="0.25">
      <c r="A298" s="366" t="s">
        <v>52</v>
      </c>
      <c r="B298" s="372">
        <f t="shared" si="15"/>
        <v>5863933</v>
      </c>
      <c r="C298" s="372"/>
      <c r="D298" s="372">
        <v>4477047</v>
      </c>
      <c r="E298" s="372"/>
      <c r="F298" s="372">
        <f>SUM(H298:J298)</f>
        <v>709320</v>
      </c>
      <c r="G298" s="373"/>
      <c r="H298" s="372">
        <v>105997</v>
      </c>
      <c r="I298" s="372">
        <v>54559</v>
      </c>
      <c r="J298" s="372">
        <v>548764</v>
      </c>
      <c r="K298" s="372">
        <v>458671</v>
      </c>
      <c r="L298" s="372">
        <v>218895</v>
      </c>
    </row>
    <row r="299" spans="1:12" s="366" customFormat="1" ht="9" customHeight="1" x14ac:dyDescent="0.25">
      <c r="A299" s="375" t="s">
        <v>53</v>
      </c>
      <c r="B299" s="376">
        <f t="shared" si="15"/>
        <v>3565410</v>
      </c>
      <c r="C299" s="376"/>
      <c r="D299" s="376">
        <v>2697230</v>
      </c>
      <c r="E299" s="376"/>
      <c r="F299" s="376">
        <f>SUM(H299:J299)</f>
        <v>329653</v>
      </c>
      <c r="G299" s="377"/>
      <c r="H299" s="376">
        <v>54567</v>
      </c>
      <c r="I299" s="376">
        <v>30979</v>
      </c>
      <c r="J299" s="376">
        <v>244107</v>
      </c>
      <c r="K299" s="376">
        <v>376817</v>
      </c>
      <c r="L299" s="376">
        <v>161710</v>
      </c>
    </row>
    <row r="300" spans="1:12" s="366" customFormat="1" ht="9" customHeight="1" x14ac:dyDescent="0.25">
      <c r="B300" s="372"/>
      <c r="C300" s="372"/>
      <c r="D300" s="372"/>
      <c r="E300" s="372"/>
      <c r="F300" s="372"/>
      <c r="G300" s="373"/>
      <c r="H300" s="372"/>
      <c r="I300" s="372"/>
      <c r="J300" s="372"/>
      <c r="K300" s="372"/>
      <c r="L300" s="372"/>
    </row>
    <row r="301" spans="1:12" s="366" customFormat="1" ht="9" customHeight="1" x14ac:dyDescent="0.25">
      <c r="A301" s="363">
        <v>2003</v>
      </c>
      <c r="B301" s="368"/>
      <c r="C301" s="368"/>
      <c r="D301" s="364"/>
      <c r="E301" s="364"/>
      <c r="F301" s="364"/>
      <c r="G301" s="365"/>
      <c r="H301" s="364"/>
      <c r="I301" s="364"/>
      <c r="J301" s="368"/>
      <c r="K301" s="364"/>
    </row>
    <row r="302" spans="1:12" s="371" customFormat="1" ht="9" customHeight="1" x14ac:dyDescent="0.25">
      <c r="A302" s="367" t="s">
        <v>21</v>
      </c>
      <c r="B302" s="381">
        <f>SUM(B304:B335)</f>
        <v>251957535</v>
      </c>
      <c r="C302" s="381"/>
      <c r="D302" s="381">
        <f>SUM(D304:D335)</f>
        <v>176115950</v>
      </c>
      <c r="E302" s="368"/>
      <c r="F302" s="381">
        <f>SUM(F304:F335)-1</f>
        <v>38423583</v>
      </c>
      <c r="G302" s="382"/>
      <c r="H302" s="368">
        <f>SUM(H304:H335)</f>
        <v>5047112</v>
      </c>
      <c r="I302" s="368">
        <f>SUM(I304:I335)-1</f>
        <v>3918231</v>
      </c>
      <c r="J302" s="368">
        <f>SUM(J304:J335)-1</f>
        <v>29458240</v>
      </c>
      <c r="K302" s="368">
        <f>SUM(K304:K335)</f>
        <v>25414994</v>
      </c>
      <c r="L302" s="368">
        <f>SUM(L304:L335)-1</f>
        <v>12003008</v>
      </c>
    </row>
    <row r="303" spans="1:12" s="371" customFormat="1" ht="3.95" customHeight="1" x14ac:dyDescent="0.25">
      <c r="A303" s="367"/>
      <c r="B303" s="381"/>
      <c r="C303" s="381"/>
      <c r="D303" s="381"/>
      <c r="E303" s="368"/>
      <c r="F303" s="381"/>
      <c r="G303" s="382"/>
      <c r="H303" s="368"/>
      <c r="I303" s="368"/>
      <c r="J303" s="368"/>
      <c r="K303" s="368"/>
      <c r="L303" s="368"/>
    </row>
    <row r="304" spans="1:12" s="366" customFormat="1" ht="9.6" customHeight="1" x14ac:dyDescent="0.25">
      <c r="A304" s="366" t="s">
        <v>280</v>
      </c>
      <c r="B304" s="386">
        <f t="shared" ref="B304:B309" si="18">SUM(D304,F304,K304:L304)</f>
        <v>2745550</v>
      </c>
      <c r="C304" s="386"/>
      <c r="D304" s="372">
        <v>1759104</v>
      </c>
      <c r="E304" s="372"/>
      <c r="F304" s="372">
        <f t="shared" ref="F304:F316" si="19">SUM(H304:J304)</f>
        <v>406669</v>
      </c>
      <c r="G304" s="393"/>
      <c r="H304" s="372">
        <v>52760</v>
      </c>
      <c r="I304" s="372">
        <v>38980</v>
      </c>
      <c r="J304" s="372">
        <v>314929</v>
      </c>
      <c r="K304" s="372">
        <v>445686</v>
      </c>
      <c r="L304" s="372">
        <v>134091</v>
      </c>
    </row>
    <row r="305" spans="1:12" s="366" customFormat="1" ht="9" customHeight="1" x14ac:dyDescent="0.25">
      <c r="A305" s="366" t="s">
        <v>24</v>
      </c>
      <c r="B305" s="386">
        <f t="shared" si="18"/>
        <v>5577112</v>
      </c>
      <c r="C305" s="386"/>
      <c r="D305" s="372">
        <v>3598449</v>
      </c>
      <c r="E305" s="372"/>
      <c r="F305" s="372">
        <f t="shared" si="19"/>
        <v>946470</v>
      </c>
      <c r="G305" s="373"/>
      <c r="H305" s="372">
        <v>122236</v>
      </c>
      <c r="I305" s="372">
        <v>83370</v>
      </c>
      <c r="J305" s="372">
        <v>740864</v>
      </c>
      <c r="K305" s="372">
        <v>752142</v>
      </c>
      <c r="L305" s="372">
        <v>280051</v>
      </c>
    </row>
    <row r="306" spans="1:12" s="366" customFormat="1" ht="9" customHeight="1" x14ac:dyDescent="0.25">
      <c r="A306" s="366" t="s">
        <v>25</v>
      </c>
      <c r="B306" s="386">
        <f t="shared" si="18"/>
        <v>1632193</v>
      </c>
      <c r="C306" s="386"/>
      <c r="D306" s="372">
        <v>1085576</v>
      </c>
      <c r="E306" s="372"/>
      <c r="F306" s="372">
        <f t="shared" si="19"/>
        <v>250893</v>
      </c>
      <c r="G306" s="373"/>
      <c r="H306" s="372">
        <v>36545</v>
      </c>
      <c r="I306" s="372">
        <v>29996</v>
      </c>
      <c r="J306" s="372">
        <v>184352</v>
      </c>
      <c r="K306" s="372">
        <v>213115</v>
      </c>
      <c r="L306" s="372">
        <v>82609</v>
      </c>
    </row>
    <row r="307" spans="1:12" s="366" customFormat="1" ht="9.6" customHeight="1" x14ac:dyDescent="0.25">
      <c r="A307" s="375" t="s">
        <v>281</v>
      </c>
      <c r="B307" s="388">
        <f t="shared" si="18"/>
        <v>2365612</v>
      </c>
      <c r="C307" s="388"/>
      <c r="D307" s="376">
        <v>1659566</v>
      </c>
      <c r="E307" s="376"/>
      <c r="F307" s="376">
        <f t="shared" si="19"/>
        <v>293164</v>
      </c>
      <c r="G307" s="394"/>
      <c r="H307" s="376">
        <v>55398</v>
      </c>
      <c r="I307" s="376">
        <v>43031</v>
      </c>
      <c r="J307" s="376">
        <v>194735</v>
      </c>
      <c r="K307" s="376">
        <v>297559</v>
      </c>
      <c r="L307" s="376">
        <v>115323</v>
      </c>
    </row>
    <row r="308" spans="1:12" s="366" customFormat="1" ht="9.6" customHeight="1" x14ac:dyDescent="0.25">
      <c r="A308" s="366" t="s">
        <v>282</v>
      </c>
      <c r="B308" s="386">
        <f t="shared" si="18"/>
        <v>7226214</v>
      </c>
      <c r="C308" s="386"/>
      <c r="D308" s="372">
        <v>4598732</v>
      </c>
      <c r="E308" s="372"/>
      <c r="F308" s="372">
        <f t="shared" si="19"/>
        <v>1059977</v>
      </c>
      <c r="G308" s="393"/>
      <c r="H308" s="372">
        <v>169074</v>
      </c>
      <c r="I308" s="372">
        <v>139953</v>
      </c>
      <c r="J308" s="372">
        <v>750950</v>
      </c>
      <c r="K308" s="372">
        <v>1247666</v>
      </c>
      <c r="L308" s="372">
        <v>319839</v>
      </c>
    </row>
    <row r="309" spans="1:12" s="366" customFormat="1" ht="9.6" customHeight="1" x14ac:dyDescent="0.25">
      <c r="A309" s="366" t="s">
        <v>283</v>
      </c>
      <c r="B309" s="372">
        <f t="shared" si="18"/>
        <v>1754209</v>
      </c>
      <c r="C309" s="372"/>
      <c r="D309" s="372">
        <v>1145069</v>
      </c>
      <c r="E309" s="372"/>
      <c r="F309" s="372">
        <f t="shared" si="19"/>
        <v>274838</v>
      </c>
      <c r="G309" s="393"/>
      <c r="H309" s="372">
        <v>40117</v>
      </c>
      <c r="I309" s="372">
        <v>28860</v>
      </c>
      <c r="J309" s="372">
        <v>205861</v>
      </c>
      <c r="K309" s="372">
        <v>253492</v>
      </c>
      <c r="L309" s="372">
        <v>80810</v>
      </c>
    </row>
    <row r="310" spans="1:12" s="366" customFormat="1" ht="9" customHeight="1" x14ac:dyDescent="0.25">
      <c r="A310" s="366" t="s">
        <v>29</v>
      </c>
      <c r="B310" s="372">
        <f>SUM(D310,F310,K310:L310)-1</f>
        <v>8961835</v>
      </c>
      <c r="C310" s="372"/>
      <c r="D310" s="372">
        <v>7412109</v>
      </c>
      <c r="E310" s="372"/>
      <c r="F310" s="372">
        <f t="shared" si="19"/>
        <v>594218</v>
      </c>
      <c r="G310" s="373"/>
      <c r="H310" s="372">
        <v>92016</v>
      </c>
      <c r="I310" s="372">
        <v>71535</v>
      </c>
      <c r="J310" s="372">
        <v>430667</v>
      </c>
      <c r="K310" s="372">
        <v>595899</v>
      </c>
      <c r="L310" s="372">
        <v>359610</v>
      </c>
    </row>
    <row r="311" spans="1:12" s="366" customFormat="1" ht="9" customHeight="1" x14ac:dyDescent="0.25">
      <c r="A311" s="375" t="s">
        <v>30</v>
      </c>
      <c r="B311" s="376">
        <f>SUM(D311,F311,K311:L311)</f>
        <v>7418916</v>
      </c>
      <c r="C311" s="376"/>
      <c r="D311" s="376">
        <v>5218027</v>
      </c>
      <c r="E311" s="376"/>
      <c r="F311" s="376">
        <f t="shared" si="19"/>
        <v>1034279</v>
      </c>
      <c r="G311" s="377"/>
      <c r="H311" s="376">
        <v>159895</v>
      </c>
      <c r="I311" s="376">
        <v>112399</v>
      </c>
      <c r="J311" s="376">
        <v>761985</v>
      </c>
      <c r="K311" s="376">
        <v>870628</v>
      </c>
      <c r="L311" s="376">
        <v>295982</v>
      </c>
    </row>
    <row r="312" spans="1:12" s="366" customFormat="1" ht="9.6" customHeight="1" x14ac:dyDescent="0.25">
      <c r="A312" s="366" t="s">
        <v>63</v>
      </c>
      <c r="B312" s="372">
        <f>SUM(D312,F312,K312:L312)-1</f>
        <v>30742476</v>
      </c>
      <c r="C312" s="372"/>
      <c r="D312" s="372">
        <v>15565666</v>
      </c>
      <c r="E312" s="372"/>
      <c r="F312" s="372">
        <f t="shared" si="19"/>
        <v>9793236</v>
      </c>
      <c r="G312" s="387"/>
      <c r="H312" s="372">
        <v>844636</v>
      </c>
      <c r="I312" s="372">
        <v>690709</v>
      </c>
      <c r="J312" s="372">
        <v>8257891</v>
      </c>
      <c r="K312" s="372">
        <v>3447162</v>
      </c>
      <c r="L312" s="372">
        <v>1936413</v>
      </c>
    </row>
    <row r="313" spans="1:12" s="366" customFormat="1" ht="9.6" customHeight="1" x14ac:dyDescent="0.25">
      <c r="A313" s="366" t="s">
        <v>284</v>
      </c>
      <c r="B313" s="372">
        <f t="shared" ref="B313:B335" si="20">SUM(D313,F313,K313:L313)</f>
        <v>4568274</v>
      </c>
      <c r="C313" s="372"/>
      <c r="D313" s="372">
        <v>3373425</v>
      </c>
      <c r="E313" s="372"/>
      <c r="F313" s="372">
        <f t="shared" si="19"/>
        <v>559864</v>
      </c>
      <c r="G313" s="393"/>
      <c r="H313" s="372">
        <v>84236</v>
      </c>
      <c r="I313" s="372">
        <v>69718</v>
      </c>
      <c r="J313" s="372">
        <v>405910</v>
      </c>
      <c r="K313" s="372">
        <v>478176</v>
      </c>
      <c r="L313" s="372">
        <v>156809</v>
      </c>
    </row>
    <row r="314" spans="1:12" s="366" customFormat="1" ht="9" customHeight="1" x14ac:dyDescent="0.25">
      <c r="A314" s="366" t="s">
        <v>32</v>
      </c>
      <c r="B314" s="372">
        <f t="shared" si="20"/>
        <v>9556983</v>
      </c>
      <c r="C314" s="372"/>
      <c r="D314" s="372">
        <v>6733695</v>
      </c>
      <c r="E314" s="372"/>
      <c r="F314" s="372">
        <f t="shared" si="19"/>
        <v>1348759</v>
      </c>
      <c r="G314" s="373"/>
      <c r="H314" s="372">
        <v>178033</v>
      </c>
      <c r="I314" s="372">
        <v>152520</v>
      </c>
      <c r="J314" s="372">
        <v>1018206</v>
      </c>
      <c r="K314" s="372">
        <v>1040968</v>
      </c>
      <c r="L314" s="372">
        <v>433561</v>
      </c>
    </row>
    <row r="315" spans="1:12" s="366" customFormat="1" ht="9" customHeight="1" x14ac:dyDescent="0.25">
      <c r="A315" s="375" t="s">
        <v>33</v>
      </c>
      <c r="B315" s="376">
        <f t="shared" si="20"/>
        <v>7904877</v>
      </c>
      <c r="C315" s="376"/>
      <c r="D315" s="376">
        <v>6367353</v>
      </c>
      <c r="E315" s="376"/>
      <c r="F315" s="376">
        <f t="shared" si="19"/>
        <v>790906</v>
      </c>
      <c r="G315" s="377"/>
      <c r="H315" s="376">
        <v>117383</v>
      </c>
      <c r="I315" s="376">
        <v>97142</v>
      </c>
      <c r="J315" s="376">
        <v>576381</v>
      </c>
      <c r="K315" s="376">
        <v>466844</v>
      </c>
      <c r="L315" s="376">
        <v>279774</v>
      </c>
    </row>
    <row r="316" spans="1:12" s="366" customFormat="1" ht="9" customHeight="1" x14ac:dyDescent="0.25">
      <c r="A316" s="366" t="s">
        <v>34</v>
      </c>
      <c r="B316" s="372">
        <f t="shared" si="20"/>
        <v>5978596</v>
      </c>
      <c r="C316" s="372"/>
      <c r="D316" s="372">
        <v>4765774</v>
      </c>
      <c r="E316" s="372"/>
      <c r="F316" s="372">
        <f t="shared" si="19"/>
        <v>525412</v>
      </c>
      <c r="G316" s="373"/>
      <c r="H316" s="372">
        <v>86072</v>
      </c>
      <c r="I316" s="372">
        <v>53150</v>
      </c>
      <c r="J316" s="372">
        <v>386190</v>
      </c>
      <c r="K316" s="372">
        <v>409929</v>
      </c>
      <c r="L316" s="372">
        <v>277481</v>
      </c>
    </row>
    <row r="317" spans="1:12" s="366" customFormat="1" ht="9.6" customHeight="1" x14ac:dyDescent="0.25">
      <c r="A317" s="366" t="s">
        <v>285</v>
      </c>
      <c r="B317" s="372">
        <f t="shared" si="20"/>
        <v>14625329</v>
      </c>
      <c r="C317" s="372"/>
      <c r="D317" s="372">
        <v>9936737</v>
      </c>
      <c r="E317" s="372"/>
      <c r="F317" s="372">
        <f>SUM(H317:J317)-1</f>
        <v>2412180</v>
      </c>
      <c r="G317" s="393"/>
      <c r="H317" s="372">
        <v>388407</v>
      </c>
      <c r="I317" s="372">
        <v>178273</v>
      </c>
      <c r="J317" s="372">
        <v>1845501</v>
      </c>
      <c r="K317" s="372">
        <v>1699577</v>
      </c>
      <c r="L317" s="372">
        <v>576835</v>
      </c>
    </row>
    <row r="318" spans="1:12" s="366" customFormat="1" ht="9" customHeight="1" x14ac:dyDescent="0.25">
      <c r="A318" s="366" t="s">
        <v>36</v>
      </c>
      <c r="B318" s="372">
        <f t="shared" si="20"/>
        <v>25993480</v>
      </c>
      <c r="C318" s="372"/>
      <c r="D318" s="372">
        <v>20452566</v>
      </c>
      <c r="E318" s="372"/>
      <c r="F318" s="372">
        <f t="shared" ref="F318:F330" si="21">SUM(H318:J318)</f>
        <v>2517499</v>
      </c>
      <c r="G318" s="373"/>
      <c r="H318" s="372">
        <v>445766</v>
      </c>
      <c r="I318" s="372">
        <v>313101</v>
      </c>
      <c r="J318" s="372">
        <v>1758632</v>
      </c>
      <c r="K318" s="372">
        <v>1835825</v>
      </c>
      <c r="L318" s="372">
        <v>1187590</v>
      </c>
    </row>
    <row r="319" spans="1:12" s="366" customFormat="1" ht="9" customHeight="1" x14ac:dyDescent="0.25">
      <c r="A319" s="375" t="s">
        <v>37</v>
      </c>
      <c r="B319" s="376">
        <f t="shared" si="20"/>
        <v>9080327</v>
      </c>
      <c r="C319" s="376"/>
      <c r="D319" s="376">
        <v>6939612</v>
      </c>
      <c r="E319" s="376"/>
      <c r="F319" s="376">
        <f t="shared" si="21"/>
        <v>1030625</v>
      </c>
      <c r="G319" s="377"/>
      <c r="H319" s="376">
        <v>139146</v>
      </c>
      <c r="I319" s="376">
        <v>131734</v>
      </c>
      <c r="J319" s="376">
        <v>759745</v>
      </c>
      <c r="K319" s="376">
        <v>669739</v>
      </c>
      <c r="L319" s="376">
        <v>440351</v>
      </c>
    </row>
    <row r="320" spans="1:12" s="366" customFormat="1" ht="9" customHeight="1" x14ac:dyDescent="0.25">
      <c r="A320" s="366" t="s">
        <v>38</v>
      </c>
      <c r="B320" s="372">
        <f t="shared" si="20"/>
        <v>3632512</v>
      </c>
      <c r="C320" s="372"/>
      <c r="D320" s="372">
        <v>2424883</v>
      </c>
      <c r="E320" s="372"/>
      <c r="F320" s="372">
        <f t="shared" si="21"/>
        <v>533857</v>
      </c>
      <c r="G320" s="373"/>
      <c r="H320" s="372">
        <v>65894</v>
      </c>
      <c r="I320" s="372">
        <v>46953</v>
      </c>
      <c r="J320" s="372">
        <v>421010</v>
      </c>
      <c r="K320" s="372">
        <v>484926</v>
      </c>
      <c r="L320" s="372">
        <v>188846</v>
      </c>
    </row>
    <row r="321" spans="1:12" s="366" customFormat="1" ht="9.6" customHeight="1" x14ac:dyDescent="0.25">
      <c r="A321" s="366" t="s">
        <v>39</v>
      </c>
      <c r="B321" s="372">
        <f t="shared" si="20"/>
        <v>2838325</v>
      </c>
      <c r="C321" s="372"/>
      <c r="D321" s="372">
        <v>2089328</v>
      </c>
      <c r="E321" s="372"/>
      <c r="F321" s="372">
        <f t="shared" si="21"/>
        <v>361344</v>
      </c>
      <c r="G321" s="373"/>
      <c r="H321" s="372">
        <v>45729</v>
      </c>
      <c r="I321" s="372">
        <v>39751</v>
      </c>
      <c r="J321" s="372">
        <v>275864</v>
      </c>
      <c r="K321" s="372">
        <v>255564</v>
      </c>
      <c r="L321" s="372">
        <v>132089</v>
      </c>
    </row>
    <row r="322" spans="1:12" s="366" customFormat="1" ht="9.6" customHeight="1" x14ac:dyDescent="0.25">
      <c r="A322" s="366" t="s">
        <v>286</v>
      </c>
      <c r="B322" s="372">
        <f t="shared" si="20"/>
        <v>10982836</v>
      </c>
      <c r="C322" s="372"/>
      <c r="D322" s="372">
        <v>7003086</v>
      </c>
      <c r="E322" s="372"/>
      <c r="F322" s="372">
        <f t="shared" si="21"/>
        <v>1901093</v>
      </c>
      <c r="G322" s="393"/>
      <c r="H322" s="372">
        <v>283144</v>
      </c>
      <c r="I322" s="372">
        <v>157546</v>
      </c>
      <c r="J322" s="372">
        <v>1460403</v>
      </c>
      <c r="K322" s="372">
        <v>1628283</v>
      </c>
      <c r="L322" s="372">
        <v>450374</v>
      </c>
    </row>
    <row r="323" spans="1:12" s="366" customFormat="1" ht="9" customHeight="1" x14ac:dyDescent="0.25">
      <c r="A323" s="375" t="s">
        <v>41</v>
      </c>
      <c r="B323" s="376">
        <f t="shared" si="20"/>
        <v>7651359</v>
      </c>
      <c r="C323" s="376"/>
      <c r="D323" s="376">
        <v>6235413</v>
      </c>
      <c r="E323" s="376"/>
      <c r="F323" s="376">
        <f t="shared" si="21"/>
        <v>628423</v>
      </c>
      <c r="G323" s="377"/>
      <c r="H323" s="376">
        <v>91902</v>
      </c>
      <c r="I323" s="376">
        <v>88795</v>
      </c>
      <c r="J323" s="376">
        <v>447726</v>
      </c>
      <c r="K323" s="376">
        <v>415851</v>
      </c>
      <c r="L323" s="376">
        <v>371672</v>
      </c>
    </row>
    <row r="324" spans="1:12" s="366" customFormat="1" ht="9.6" customHeight="1" x14ac:dyDescent="0.25">
      <c r="A324" s="366" t="s">
        <v>287</v>
      </c>
      <c r="B324" s="372">
        <f t="shared" si="20"/>
        <v>10821742</v>
      </c>
      <c r="C324" s="372"/>
      <c r="D324" s="372">
        <v>7817073</v>
      </c>
      <c r="E324" s="372"/>
      <c r="F324" s="372">
        <f t="shared" si="21"/>
        <v>1481478</v>
      </c>
      <c r="G324" s="387"/>
      <c r="H324" s="372">
        <v>174624</v>
      </c>
      <c r="I324" s="372">
        <v>191251</v>
      </c>
      <c r="J324" s="372">
        <v>1115603</v>
      </c>
      <c r="K324" s="372">
        <v>779699</v>
      </c>
      <c r="L324" s="372">
        <v>743492</v>
      </c>
    </row>
    <row r="325" spans="1:12" s="366" customFormat="1" ht="9" customHeight="1" x14ac:dyDescent="0.25">
      <c r="A325" s="366" t="s">
        <v>43</v>
      </c>
      <c r="B325" s="372">
        <f t="shared" si="20"/>
        <v>3764504</v>
      </c>
      <c r="C325" s="372"/>
      <c r="D325" s="372">
        <v>2759833</v>
      </c>
      <c r="E325" s="372"/>
      <c r="F325" s="372">
        <f t="shared" si="21"/>
        <v>431347</v>
      </c>
      <c r="G325" s="373"/>
      <c r="H325" s="372">
        <v>54794</v>
      </c>
      <c r="I325" s="372">
        <v>29257</v>
      </c>
      <c r="J325" s="372">
        <v>347296</v>
      </c>
      <c r="K325" s="372">
        <v>359776</v>
      </c>
      <c r="L325" s="372">
        <v>213548</v>
      </c>
    </row>
    <row r="326" spans="1:12" s="366" customFormat="1" ht="9" customHeight="1" x14ac:dyDescent="0.25">
      <c r="A326" s="366" t="s">
        <v>44</v>
      </c>
      <c r="B326" s="372">
        <f t="shared" si="20"/>
        <v>2624704</v>
      </c>
      <c r="C326" s="372"/>
      <c r="D326" s="372">
        <v>1763993</v>
      </c>
      <c r="E326" s="372"/>
      <c r="F326" s="372">
        <f t="shared" si="21"/>
        <v>339823</v>
      </c>
      <c r="G326" s="373"/>
      <c r="H326" s="372">
        <v>64622</v>
      </c>
      <c r="I326" s="372">
        <v>42318</v>
      </c>
      <c r="J326" s="372">
        <v>232883</v>
      </c>
      <c r="K326" s="372">
        <v>389568</v>
      </c>
      <c r="L326" s="372">
        <v>131320</v>
      </c>
    </row>
    <row r="327" spans="1:12" s="366" customFormat="1" ht="9" customHeight="1" x14ac:dyDescent="0.25">
      <c r="A327" s="375" t="s">
        <v>45</v>
      </c>
      <c r="B327" s="376">
        <f t="shared" si="20"/>
        <v>5714480</v>
      </c>
      <c r="C327" s="376"/>
      <c r="D327" s="376">
        <v>4109652</v>
      </c>
      <c r="E327" s="376"/>
      <c r="F327" s="376">
        <f t="shared" si="21"/>
        <v>726999</v>
      </c>
      <c r="G327" s="377"/>
      <c r="H327" s="376">
        <v>71939</v>
      </c>
      <c r="I327" s="376">
        <v>69711</v>
      </c>
      <c r="J327" s="376">
        <v>585349</v>
      </c>
      <c r="K327" s="376">
        <v>603775</v>
      </c>
      <c r="L327" s="376">
        <v>274054</v>
      </c>
    </row>
    <row r="328" spans="1:12" s="366" customFormat="1" ht="9" customHeight="1" x14ac:dyDescent="0.25">
      <c r="A328" s="366" t="s">
        <v>46</v>
      </c>
      <c r="B328" s="372">
        <f t="shared" si="20"/>
        <v>7867060</v>
      </c>
      <c r="C328" s="372"/>
      <c r="D328" s="372">
        <v>5802988</v>
      </c>
      <c r="E328" s="372"/>
      <c r="F328" s="372">
        <f t="shared" si="21"/>
        <v>1060138</v>
      </c>
      <c r="G328" s="373"/>
      <c r="H328" s="372">
        <v>134895</v>
      </c>
      <c r="I328" s="372">
        <v>129283</v>
      </c>
      <c r="J328" s="372">
        <v>795960</v>
      </c>
      <c r="K328" s="372">
        <v>686213</v>
      </c>
      <c r="L328" s="372">
        <v>317721</v>
      </c>
    </row>
    <row r="329" spans="1:12" s="366" customFormat="1" ht="9.6" customHeight="1" x14ac:dyDescent="0.25">
      <c r="A329" s="366" t="s">
        <v>288</v>
      </c>
      <c r="B329" s="372">
        <f t="shared" si="20"/>
        <v>6023306</v>
      </c>
      <c r="C329" s="372"/>
      <c r="D329" s="372">
        <v>3826914</v>
      </c>
      <c r="E329" s="372"/>
      <c r="F329" s="372">
        <f t="shared" si="21"/>
        <v>1013506</v>
      </c>
      <c r="G329" s="387"/>
      <c r="H329" s="372">
        <v>138739</v>
      </c>
      <c r="I329" s="372">
        <v>109598</v>
      </c>
      <c r="J329" s="372">
        <v>765169</v>
      </c>
      <c r="K329" s="372">
        <v>955344</v>
      </c>
      <c r="L329" s="372">
        <v>227542</v>
      </c>
    </row>
    <row r="330" spans="1:12" s="366" customFormat="1" ht="9" customHeight="1" x14ac:dyDescent="0.25">
      <c r="A330" s="366" t="s">
        <v>48</v>
      </c>
      <c r="B330" s="372">
        <f t="shared" si="20"/>
        <v>6666642</v>
      </c>
      <c r="C330" s="372"/>
      <c r="D330" s="372">
        <v>4784307</v>
      </c>
      <c r="E330" s="372"/>
      <c r="F330" s="372">
        <f t="shared" si="21"/>
        <v>948569</v>
      </c>
      <c r="G330" s="387"/>
      <c r="H330" s="372">
        <v>155966</v>
      </c>
      <c r="I330" s="372">
        <v>144271</v>
      </c>
      <c r="J330" s="372">
        <v>648332</v>
      </c>
      <c r="K330" s="372">
        <v>556351</v>
      </c>
      <c r="L330" s="372">
        <v>377415</v>
      </c>
    </row>
    <row r="331" spans="1:12" s="366" customFormat="1" ht="9" customHeight="1" x14ac:dyDescent="0.25">
      <c r="A331" s="375" t="s">
        <v>49</v>
      </c>
      <c r="B331" s="376">
        <f t="shared" si="20"/>
        <v>8364477</v>
      </c>
      <c r="C331" s="376"/>
      <c r="D331" s="376">
        <v>5472312</v>
      </c>
      <c r="E331" s="376"/>
      <c r="F331" s="376">
        <f>SUM(H331:J331)+1</f>
        <v>1628957</v>
      </c>
      <c r="G331" s="377"/>
      <c r="H331" s="376">
        <v>222871</v>
      </c>
      <c r="I331" s="376">
        <v>238321</v>
      </c>
      <c r="J331" s="376">
        <v>1167764</v>
      </c>
      <c r="K331" s="376">
        <v>950236</v>
      </c>
      <c r="L331" s="376">
        <v>312972</v>
      </c>
    </row>
    <row r="332" spans="1:12" s="366" customFormat="1" ht="9" customHeight="1" x14ac:dyDescent="0.25">
      <c r="A332" s="366" t="s">
        <v>50</v>
      </c>
      <c r="B332" s="372">
        <f t="shared" si="20"/>
        <v>2398571</v>
      </c>
      <c r="C332" s="372"/>
      <c r="D332" s="372">
        <v>1831819</v>
      </c>
      <c r="E332" s="372"/>
      <c r="F332" s="372">
        <f>SUM(H332:J332)</f>
        <v>241170</v>
      </c>
      <c r="G332" s="373"/>
      <c r="H332" s="372">
        <v>32452</v>
      </c>
      <c r="I332" s="372">
        <v>24479</v>
      </c>
      <c r="J332" s="372">
        <v>184239</v>
      </c>
      <c r="K332" s="372">
        <v>193503</v>
      </c>
      <c r="L332" s="372">
        <v>132079</v>
      </c>
    </row>
    <row r="333" spans="1:12" s="366" customFormat="1" ht="9" customHeight="1" x14ac:dyDescent="0.25">
      <c r="A333" s="366" t="s">
        <v>51</v>
      </c>
      <c r="B333" s="372">
        <f t="shared" si="20"/>
        <v>16827933</v>
      </c>
      <c r="C333" s="372"/>
      <c r="D333" s="372">
        <v>12260470</v>
      </c>
      <c r="E333" s="372"/>
      <c r="F333" s="372">
        <f>SUM(H333:J333)-1</f>
        <v>2191029</v>
      </c>
      <c r="G333" s="373"/>
      <c r="H333" s="372">
        <v>321630</v>
      </c>
      <c r="I333" s="372">
        <v>289196</v>
      </c>
      <c r="J333" s="372">
        <v>1580204</v>
      </c>
      <c r="K333" s="372">
        <v>1605498</v>
      </c>
      <c r="L333" s="372">
        <v>770936</v>
      </c>
    </row>
    <row r="334" spans="1:12" s="366" customFormat="1" ht="9" customHeight="1" x14ac:dyDescent="0.25">
      <c r="A334" s="366" t="s">
        <v>52</v>
      </c>
      <c r="B334" s="372">
        <f t="shared" si="20"/>
        <v>6019136</v>
      </c>
      <c r="C334" s="372"/>
      <c r="D334" s="372">
        <v>4629668</v>
      </c>
      <c r="E334" s="372"/>
      <c r="F334" s="372">
        <f>SUM(H334:J334)</f>
        <v>745725</v>
      </c>
      <c r="G334" s="373"/>
      <c r="H334" s="372">
        <v>116734</v>
      </c>
      <c r="I334" s="372">
        <v>48760</v>
      </c>
      <c r="J334" s="372">
        <v>580231</v>
      </c>
      <c r="K334" s="372">
        <v>411194</v>
      </c>
      <c r="L334" s="372">
        <v>232549</v>
      </c>
    </row>
    <row r="335" spans="1:12" s="366" customFormat="1" ht="9" customHeight="1" x14ac:dyDescent="0.25">
      <c r="A335" s="375" t="s">
        <v>53</v>
      </c>
      <c r="B335" s="376">
        <f t="shared" si="20"/>
        <v>3627965</v>
      </c>
      <c r="C335" s="376"/>
      <c r="D335" s="376">
        <v>2692751</v>
      </c>
      <c r="E335" s="376"/>
      <c r="F335" s="376">
        <f>SUM(H335:J335)</f>
        <v>351137</v>
      </c>
      <c r="G335" s="377"/>
      <c r="H335" s="376">
        <v>59457</v>
      </c>
      <c r="I335" s="376">
        <v>34271</v>
      </c>
      <c r="J335" s="376">
        <v>257409</v>
      </c>
      <c r="K335" s="376">
        <v>414806</v>
      </c>
      <c r="L335" s="376">
        <v>169271</v>
      </c>
    </row>
    <row r="336" spans="1:12" s="366" customFormat="1" ht="9" customHeight="1" x14ac:dyDescent="0.25">
      <c r="B336" s="372"/>
      <c r="C336" s="372"/>
      <c r="D336" s="372"/>
      <c r="E336" s="372"/>
      <c r="F336" s="372"/>
      <c r="G336" s="373"/>
      <c r="H336" s="372"/>
      <c r="I336" s="372"/>
      <c r="J336" s="372"/>
      <c r="K336" s="372"/>
      <c r="L336" s="372"/>
    </row>
    <row r="337" spans="1:14" s="366" customFormat="1" ht="9" customHeight="1" x14ac:dyDescent="0.25">
      <c r="A337" s="363">
        <v>2004</v>
      </c>
      <c r="B337" s="368"/>
      <c r="C337" s="368"/>
      <c r="D337" s="364"/>
      <c r="E337" s="364"/>
      <c r="F337" s="364"/>
      <c r="G337" s="365"/>
      <c r="H337" s="364"/>
      <c r="I337" s="364"/>
      <c r="J337" s="368"/>
      <c r="K337" s="364"/>
    </row>
    <row r="338" spans="1:14" s="371" customFormat="1" ht="9" customHeight="1" x14ac:dyDescent="0.25">
      <c r="A338" s="367" t="s">
        <v>21</v>
      </c>
      <c r="B338" s="381">
        <f>SUM(B340:B371)</f>
        <v>256736250</v>
      </c>
      <c r="C338" s="381" t="s">
        <v>55</v>
      </c>
      <c r="D338" s="381">
        <f>SUM(D340:D371)</f>
        <v>178738863</v>
      </c>
      <c r="E338" s="368"/>
      <c r="F338" s="381">
        <f>SUM(F340:F371)</f>
        <v>39873413</v>
      </c>
      <c r="G338" s="382"/>
      <c r="H338" s="368">
        <f>SUM(H340:H371)</f>
        <v>5279178</v>
      </c>
      <c r="I338" s="368">
        <f>SUM(I340:I371)</f>
        <v>4162688</v>
      </c>
      <c r="J338" s="368">
        <f>SUM(J340:J371)</f>
        <v>30431547</v>
      </c>
      <c r="K338" s="368">
        <f>SUM(K340:K371)</f>
        <v>25449405</v>
      </c>
      <c r="L338" s="368">
        <f>SUM(L340:L371)</f>
        <v>12674569</v>
      </c>
    </row>
    <row r="339" spans="1:14" s="371" customFormat="1" ht="3.95" customHeight="1" x14ac:dyDescent="0.25">
      <c r="A339" s="367"/>
      <c r="B339" s="381"/>
      <c r="C339" s="381"/>
      <c r="D339" s="381"/>
      <c r="E339" s="368"/>
      <c r="F339" s="381"/>
      <c r="G339" s="382"/>
      <c r="H339" s="368"/>
      <c r="I339" s="368"/>
      <c r="J339" s="368"/>
      <c r="K339" s="368"/>
      <c r="L339" s="368"/>
    </row>
    <row r="340" spans="1:14" s="366" customFormat="1" ht="9.6" customHeight="1" x14ac:dyDescent="0.25">
      <c r="A340" s="366" t="s">
        <v>280</v>
      </c>
      <c r="B340" s="386">
        <f t="shared" ref="B340:B371" si="22">SUM(D340,F340,K340:L340)</f>
        <v>2851859</v>
      </c>
      <c r="C340" s="386"/>
      <c r="D340" s="372">
        <v>1842206</v>
      </c>
      <c r="E340" s="372"/>
      <c r="F340" s="372">
        <f t="shared" ref="F340:F371" si="23">SUM(H340:J340)</f>
        <v>424334</v>
      </c>
      <c r="G340" s="393"/>
      <c r="H340" s="372">
        <v>54885</v>
      </c>
      <c r="I340" s="372">
        <v>36495</v>
      </c>
      <c r="J340" s="372">
        <v>332954</v>
      </c>
      <c r="K340" s="372">
        <v>449073</v>
      </c>
      <c r="L340" s="372">
        <v>136246</v>
      </c>
      <c r="N340" s="374"/>
    </row>
    <row r="341" spans="1:14" s="366" customFormat="1" ht="9" customHeight="1" x14ac:dyDescent="0.25">
      <c r="A341" s="366" t="s">
        <v>24</v>
      </c>
      <c r="B341" s="386">
        <f t="shared" si="22"/>
        <v>5204128</v>
      </c>
      <c r="C341" s="386"/>
      <c r="D341" s="372">
        <v>3363029</v>
      </c>
      <c r="E341" s="372"/>
      <c r="F341" s="372">
        <f t="shared" si="23"/>
        <v>886135</v>
      </c>
      <c r="G341" s="373"/>
      <c r="H341" s="372">
        <v>125257</v>
      </c>
      <c r="I341" s="372">
        <v>69771</v>
      </c>
      <c r="J341" s="372">
        <v>691107</v>
      </c>
      <c r="K341" s="372">
        <v>705591</v>
      </c>
      <c r="L341" s="372">
        <v>249373</v>
      </c>
      <c r="N341" s="374"/>
    </row>
    <row r="342" spans="1:14" s="366" customFormat="1" ht="9" customHeight="1" x14ac:dyDescent="0.25">
      <c r="A342" s="366" t="s">
        <v>25</v>
      </c>
      <c r="B342" s="386">
        <f t="shared" si="22"/>
        <v>1655368</v>
      </c>
      <c r="C342" s="386"/>
      <c r="D342" s="372">
        <v>1105576</v>
      </c>
      <c r="E342" s="372"/>
      <c r="F342" s="372">
        <f t="shared" si="23"/>
        <v>262950</v>
      </c>
      <c r="G342" s="373"/>
      <c r="H342" s="372">
        <v>35839</v>
      </c>
      <c r="I342" s="372">
        <v>29608</v>
      </c>
      <c r="J342" s="372">
        <v>197503</v>
      </c>
      <c r="K342" s="372">
        <v>199238</v>
      </c>
      <c r="L342" s="372">
        <v>87604</v>
      </c>
      <c r="N342" s="374"/>
    </row>
    <row r="343" spans="1:14" s="366" customFormat="1" ht="9.6" customHeight="1" x14ac:dyDescent="0.25">
      <c r="A343" s="375" t="s">
        <v>281</v>
      </c>
      <c r="B343" s="388">
        <f t="shared" si="22"/>
        <v>2377421</v>
      </c>
      <c r="C343" s="388"/>
      <c r="D343" s="376">
        <v>1657452</v>
      </c>
      <c r="E343" s="376"/>
      <c r="F343" s="376">
        <f t="shared" si="23"/>
        <v>307836</v>
      </c>
      <c r="G343" s="394"/>
      <c r="H343" s="376">
        <v>61799</v>
      </c>
      <c r="I343" s="376">
        <v>46495</v>
      </c>
      <c r="J343" s="376">
        <v>199542</v>
      </c>
      <c r="K343" s="376">
        <v>296439</v>
      </c>
      <c r="L343" s="376">
        <v>115694</v>
      </c>
    </row>
    <row r="344" spans="1:14" s="366" customFormat="1" ht="9.6" customHeight="1" x14ac:dyDescent="0.25">
      <c r="A344" s="366" t="s">
        <v>282</v>
      </c>
      <c r="B344" s="386">
        <f t="shared" si="22"/>
        <v>7047082</v>
      </c>
      <c r="C344" s="386"/>
      <c r="D344" s="372">
        <v>4423025</v>
      </c>
      <c r="E344" s="372"/>
      <c r="F344" s="372">
        <f t="shared" si="23"/>
        <v>1020799</v>
      </c>
      <c r="G344" s="393"/>
      <c r="H344" s="372">
        <v>148127</v>
      </c>
      <c r="I344" s="372">
        <v>125074</v>
      </c>
      <c r="J344" s="372">
        <v>747598</v>
      </c>
      <c r="K344" s="372">
        <v>1280636</v>
      </c>
      <c r="L344" s="372">
        <v>322622</v>
      </c>
    </row>
    <row r="345" spans="1:14" s="366" customFormat="1" ht="9.6" customHeight="1" x14ac:dyDescent="0.25">
      <c r="A345" s="366" t="s">
        <v>283</v>
      </c>
      <c r="B345" s="372">
        <f t="shared" si="22"/>
        <v>1807790</v>
      </c>
      <c r="C345" s="372"/>
      <c r="D345" s="372">
        <v>1171383</v>
      </c>
      <c r="E345" s="372"/>
      <c r="F345" s="372">
        <f t="shared" si="23"/>
        <v>298481</v>
      </c>
      <c r="G345" s="393"/>
      <c r="H345" s="372">
        <v>43804</v>
      </c>
      <c r="I345" s="372">
        <v>29779</v>
      </c>
      <c r="J345" s="372">
        <v>224898</v>
      </c>
      <c r="K345" s="372">
        <v>250821</v>
      </c>
      <c r="L345" s="372">
        <v>87105</v>
      </c>
    </row>
    <row r="346" spans="1:14" s="366" customFormat="1" ht="9" customHeight="1" x14ac:dyDescent="0.25">
      <c r="A346" s="366" t="s">
        <v>29</v>
      </c>
      <c r="B346" s="372">
        <f t="shared" si="22"/>
        <v>9701145</v>
      </c>
      <c r="C346" s="372"/>
      <c r="D346" s="372">
        <v>8057876</v>
      </c>
      <c r="E346" s="372"/>
      <c r="F346" s="372">
        <f t="shared" si="23"/>
        <v>621800</v>
      </c>
      <c r="G346" s="373"/>
      <c r="H346" s="372">
        <v>92858</v>
      </c>
      <c r="I346" s="372">
        <v>74481</v>
      </c>
      <c r="J346" s="372">
        <v>454461</v>
      </c>
      <c r="K346" s="372">
        <v>640446</v>
      </c>
      <c r="L346" s="372">
        <v>381023</v>
      </c>
    </row>
    <row r="347" spans="1:14" s="366" customFormat="1" ht="9" customHeight="1" x14ac:dyDescent="0.25">
      <c r="A347" s="375" t="s">
        <v>30</v>
      </c>
      <c r="B347" s="376">
        <f t="shared" si="22"/>
        <v>7157621</v>
      </c>
      <c r="C347" s="376"/>
      <c r="D347" s="376">
        <v>5115857</v>
      </c>
      <c r="E347" s="376"/>
      <c r="F347" s="376">
        <f t="shared" si="23"/>
        <v>926494</v>
      </c>
      <c r="G347" s="377"/>
      <c r="H347" s="376">
        <v>141924</v>
      </c>
      <c r="I347" s="376">
        <v>64817</v>
      </c>
      <c r="J347" s="376">
        <v>719753</v>
      </c>
      <c r="K347" s="376">
        <v>813432</v>
      </c>
      <c r="L347" s="376">
        <v>301838</v>
      </c>
    </row>
    <row r="348" spans="1:14" s="366" customFormat="1" ht="9.6" customHeight="1" x14ac:dyDescent="0.25">
      <c r="A348" s="366" t="s">
        <v>63</v>
      </c>
      <c r="B348" s="372">
        <f t="shared" si="22"/>
        <v>30068997</v>
      </c>
      <c r="C348" s="372"/>
      <c r="D348" s="372">
        <v>15287524</v>
      </c>
      <c r="E348" s="372"/>
      <c r="F348" s="372">
        <f t="shared" si="23"/>
        <v>9637475</v>
      </c>
      <c r="G348" s="387"/>
      <c r="H348" s="372">
        <v>889692</v>
      </c>
      <c r="I348" s="372">
        <v>753442</v>
      </c>
      <c r="J348" s="372">
        <v>7994341</v>
      </c>
      <c r="K348" s="372">
        <v>3379996</v>
      </c>
      <c r="L348" s="372">
        <v>1764002</v>
      </c>
    </row>
    <row r="349" spans="1:14" s="366" customFormat="1" ht="9.6" customHeight="1" x14ac:dyDescent="0.25">
      <c r="A349" s="366" t="s">
        <v>284</v>
      </c>
      <c r="B349" s="372">
        <f t="shared" si="22"/>
        <v>4612356</v>
      </c>
      <c r="C349" s="372"/>
      <c r="D349" s="372">
        <v>3439645</v>
      </c>
      <c r="E349" s="372"/>
      <c r="F349" s="372">
        <f t="shared" si="23"/>
        <v>556703</v>
      </c>
      <c r="G349" s="393"/>
      <c r="H349" s="372">
        <v>87015</v>
      </c>
      <c r="I349" s="372">
        <v>62379</v>
      </c>
      <c r="J349" s="372">
        <v>407309</v>
      </c>
      <c r="K349" s="372">
        <v>459490</v>
      </c>
      <c r="L349" s="372">
        <v>156518</v>
      </c>
    </row>
    <row r="350" spans="1:14" s="366" customFormat="1" ht="9" customHeight="1" x14ac:dyDescent="0.25">
      <c r="A350" s="366" t="s">
        <v>32</v>
      </c>
      <c r="B350" s="372">
        <f t="shared" si="22"/>
        <v>9661731</v>
      </c>
      <c r="C350" s="372"/>
      <c r="D350" s="372">
        <v>6773607</v>
      </c>
      <c r="E350" s="372"/>
      <c r="F350" s="372">
        <f t="shared" si="23"/>
        <v>1417813</v>
      </c>
      <c r="G350" s="373"/>
      <c r="H350" s="372">
        <v>182719</v>
      </c>
      <c r="I350" s="372">
        <v>149390</v>
      </c>
      <c r="J350" s="372">
        <v>1085704</v>
      </c>
      <c r="K350" s="372">
        <v>1001125</v>
      </c>
      <c r="L350" s="372">
        <v>469186</v>
      </c>
    </row>
    <row r="351" spans="1:14" s="366" customFormat="1" ht="9" customHeight="1" x14ac:dyDescent="0.25">
      <c r="A351" s="375" t="s">
        <v>33</v>
      </c>
      <c r="B351" s="376">
        <f t="shared" si="22"/>
        <v>8113797</v>
      </c>
      <c r="C351" s="376"/>
      <c r="D351" s="376">
        <v>6510036</v>
      </c>
      <c r="E351" s="376"/>
      <c r="F351" s="376">
        <f t="shared" si="23"/>
        <v>819946</v>
      </c>
      <c r="G351" s="377"/>
      <c r="H351" s="376">
        <v>120810</v>
      </c>
      <c r="I351" s="376">
        <v>98514</v>
      </c>
      <c r="J351" s="376">
        <v>600622</v>
      </c>
      <c r="K351" s="376">
        <v>475938</v>
      </c>
      <c r="L351" s="376">
        <v>307877</v>
      </c>
    </row>
    <row r="352" spans="1:14" s="366" customFormat="1" ht="9" customHeight="1" x14ac:dyDescent="0.25">
      <c r="A352" s="366" t="s">
        <v>34</v>
      </c>
      <c r="B352" s="372">
        <f t="shared" si="22"/>
        <v>6213895</v>
      </c>
      <c r="C352" s="372"/>
      <c r="D352" s="372">
        <v>4961682</v>
      </c>
      <c r="E352" s="372"/>
      <c r="F352" s="372">
        <f t="shared" si="23"/>
        <v>547949</v>
      </c>
      <c r="G352" s="373"/>
      <c r="H352" s="372">
        <v>87568</v>
      </c>
      <c r="I352" s="372">
        <v>57821</v>
      </c>
      <c r="J352" s="372">
        <v>402560</v>
      </c>
      <c r="K352" s="372">
        <v>402015</v>
      </c>
      <c r="L352" s="372">
        <v>302249</v>
      </c>
    </row>
    <row r="353" spans="1:12" s="366" customFormat="1" ht="9.6" customHeight="1" x14ac:dyDescent="0.25">
      <c r="A353" s="366" t="s">
        <v>285</v>
      </c>
      <c r="B353" s="372">
        <f t="shared" si="22"/>
        <v>15384733</v>
      </c>
      <c r="C353" s="372"/>
      <c r="D353" s="372">
        <v>9716488</v>
      </c>
      <c r="E353" s="372"/>
      <c r="F353" s="372">
        <f t="shared" si="23"/>
        <v>3155804</v>
      </c>
      <c r="G353" s="393"/>
      <c r="H353" s="372">
        <v>472728</v>
      </c>
      <c r="I353" s="372">
        <v>264765</v>
      </c>
      <c r="J353" s="372">
        <v>2418311</v>
      </c>
      <c r="K353" s="372">
        <v>1821650</v>
      </c>
      <c r="L353" s="372">
        <v>690791</v>
      </c>
    </row>
    <row r="354" spans="1:12" s="366" customFormat="1" ht="9" customHeight="1" x14ac:dyDescent="0.25">
      <c r="A354" s="366" t="s">
        <v>36</v>
      </c>
      <c r="B354" s="372">
        <f t="shared" si="22"/>
        <v>27286154</v>
      </c>
      <c r="C354" s="372"/>
      <c r="D354" s="372">
        <v>21275708</v>
      </c>
      <c r="E354" s="372"/>
      <c r="F354" s="372">
        <f t="shared" si="23"/>
        <v>2882622</v>
      </c>
      <c r="G354" s="373"/>
      <c r="H354" s="372">
        <v>463183</v>
      </c>
      <c r="I354" s="372">
        <v>357154</v>
      </c>
      <c r="J354" s="372">
        <v>2062285</v>
      </c>
      <c r="K354" s="372">
        <v>1805494</v>
      </c>
      <c r="L354" s="372">
        <v>1322330</v>
      </c>
    </row>
    <row r="355" spans="1:12" s="366" customFormat="1" ht="9" customHeight="1" x14ac:dyDescent="0.25">
      <c r="A355" s="375" t="s">
        <v>37</v>
      </c>
      <c r="B355" s="376">
        <f t="shared" si="22"/>
        <v>9145614</v>
      </c>
      <c r="C355" s="376"/>
      <c r="D355" s="376">
        <v>6971246</v>
      </c>
      <c r="E355" s="376"/>
      <c r="F355" s="376">
        <f t="shared" si="23"/>
        <v>1036716</v>
      </c>
      <c r="G355" s="377"/>
      <c r="H355" s="376">
        <v>144059</v>
      </c>
      <c r="I355" s="376">
        <v>133348</v>
      </c>
      <c r="J355" s="376">
        <v>759309</v>
      </c>
      <c r="K355" s="376">
        <v>684208</v>
      </c>
      <c r="L355" s="376">
        <v>453444</v>
      </c>
    </row>
    <row r="356" spans="1:12" s="366" customFormat="1" ht="9" customHeight="1" x14ac:dyDescent="0.25">
      <c r="A356" s="366" t="s">
        <v>38</v>
      </c>
      <c r="B356" s="372">
        <f t="shared" si="22"/>
        <v>3666007</v>
      </c>
      <c r="C356" s="372"/>
      <c r="D356" s="372">
        <v>2484197</v>
      </c>
      <c r="E356" s="372"/>
      <c r="F356" s="372">
        <f t="shared" si="23"/>
        <v>528385</v>
      </c>
      <c r="G356" s="373"/>
      <c r="H356" s="372">
        <v>61216</v>
      </c>
      <c r="I356" s="372">
        <v>45427</v>
      </c>
      <c r="J356" s="372">
        <v>421742</v>
      </c>
      <c r="K356" s="372">
        <v>461694</v>
      </c>
      <c r="L356" s="372">
        <v>191731</v>
      </c>
    </row>
    <row r="357" spans="1:12" s="366" customFormat="1" ht="9.6" customHeight="1" x14ac:dyDescent="0.25">
      <c r="A357" s="366" t="s">
        <v>39</v>
      </c>
      <c r="B357" s="372">
        <f t="shared" si="22"/>
        <v>2900416</v>
      </c>
      <c r="C357" s="372"/>
      <c r="D357" s="372">
        <v>2101606</v>
      </c>
      <c r="E357" s="372"/>
      <c r="F357" s="372">
        <f t="shared" si="23"/>
        <v>394186</v>
      </c>
      <c r="G357" s="373"/>
      <c r="H357" s="372">
        <v>51384</v>
      </c>
      <c r="I357" s="372">
        <v>48693</v>
      </c>
      <c r="J357" s="372">
        <v>294109</v>
      </c>
      <c r="K357" s="372">
        <v>274685</v>
      </c>
      <c r="L357" s="372">
        <v>129939</v>
      </c>
    </row>
    <row r="358" spans="1:12" s="366" customFormat="1" ht="9.6" customHeight="1" x14ac:dyDescent="0.25">
      <c r="A358" s="366" t="s">
        <v>286</v>
      </c>
      <c r="B358" s="372">
        <f t="shared" si="22"/>
        <v>10925125</v>
      </c>
      <c r="C358" s="372"/>
      <c r="D358" s="372">
        <v>6869175</v>
      </c>
      <c r="E358" s="372"/>
      <c r="F358" s="372">
        <f t="shared" si="23"/>
        <v>1933341</v>
      </c>
      <c r="G358" s="393"/>
      <c r="H358" s="372">
        <v>282571</v>
      </c>
      <c r="I358" s="372">
        <v>157984</v>
      </c>
      <c r="J358" s="372">
        <v>1492786</v>
      </c>
      <c r="K358" s="372">
        <v>1636249</v>
      </c>
      <c r="L358" s="372">
        <v>486360</v>
      </c>
    </row>
    <row r="359" spans="1:12" s="366" customFormat="1" ht="9" customHeight="1" x14ac:dyDescent="0.25">
      <c r="A359" s="375" t="s">
        <v>41</v>
      </c>
      <c r="B359" s="376">
        <f t="shared" si="22"/>
        <v>7707186</v>
      </c>
      <c r="C359" s="376"/>
      <c r="D359" s="376">
        <v>6229386</v>
      </c>
      <c r="E359" s="376"/>
      <c r="F359" s="376">
        <f t="shared" si="23"/>
        <v>656350</v>
      </c>
      <c r="G359" s="377"/>
      <c r="H359" s="376">
        <v>94268</v>
      </c>
      <c r="I359" s="376">
        <v>94024</v>
      </c>
      <c r="J359" s="376">
        <v>468058</v>
      </c>
      <c r="K359" s="376">
        <v>419867</v>
      </c>
      <c r="L359" s="376">
        <v>401583</v>
      </c>
    </row>
    <row r="360" spans="1:12" s="366" customFormat="1" ht="9.6" customHeight="1" x14ac:dyDescent="0.25">
      <c r="A360" s="366" t="s">
        <v>287</v>
      </c>
      <c r="B360" s="372">
        <f t="shared" si="22"/>
        <v>11367862</v>
      </c>
      <c r="C360" s="372"/>
      <c r="D360" s="372">
        <v>8248596</v>
      </c>
      <c r="E360" s="372"/>
      <c r="F360" s="372">
        <f t="shared" si="23"/>
        <v>1477395</v>
      </c>
      <c r="G360" s="387"/>
      <c r="H360" s="372">
        <v>201312</v>
      </c>
      <c r="I360" s="372">
        <v>241406</v>
      </c>
      <c r="J360" s="372">
        <v>1034677</v>
      </c>
      <c r="K360" s="372">
        <v>844057</v>
      </c>
      <c r="L360" s="372">
        <v>797814</v>
      </c>
    </row>
    <row r="361" spans="1:12" s="366" customFormat="1" ht="9" customHeight="1" x14ac:dyDescent="0.25">
      <c r="A361" s="366" t="s">
        <v>43</v>
      </c>
      <c r="B361" s="372">
        <f t="shared" si="22"/>
        <v>3802365</v>
      </c>
      <c r="C361" s="372"/>
      <c r="D361" s="372">
        <v>2784657</v>
      </c>
      <c r="E361" s="372"/>
      <c r="F361" s="372">
        <f t="shared" si="23"/>
        <v>432672</v>
      </c>
      <c r="G361" s="373"/>
      <c r="H361" s="372">
        <v>56233</v>
      </c>
      <c r="I361" s="372">
        <v>28420</v>
      </c>
      <c r="J361" s="372">
        <v>348019</v>
      </c>
      <c r="K361" s="372">
        <v>352683</v>
      </c>
      <c r="L361" s="372">
        <v>232353</v>
      </c>
    </row>
    <row r="362" spans="1:12" s="366" customFormat="1" ht="9" customHeight="1" x14ac:dyDescent="0.25">
      <c r="A362" s="366" t="s">
        <v>44</v>
      </c>
      <c r="B362" s="372">
        <f t="shared" si="22"/>
        <v>2760557</v>
      </c>
      <c r="C362" s="372"/>
      <c r="D362" s="372">
        <v>1862040</v>
      </c>
      <c r="E362" s="372"/>
      <c r="F362" s="372">
        <f t="shared" si="23"/>
        <v>336796</v>
      </c>
      <c r="G362" s="373"/>
      <c r="H362" s="372">
        <v>63685</v>
      </c>
      <c r="I362" s="372">
        <v>39900</v>
      </c>
      <c r="J362" s="372">
        <v>233211</v>
      </c>
      <c r="K362" s="372">
        <v>402485</v>
      </c>
      <c r="L362" s="372">
        <v>159236</v>
      </c>
    </row>
    <row r="363" spans="1:12" s="366" customFormat="1" ht="9" customHeight="1" x14ac:dyDescent="0.25">
      <c r="A363" s="375" t="s">
        <v>45</v>
      </c>
      <c r="B363" s="376">
        <f t="shared" si="22"/>
        <v>5715326</v>
      </c>
      <c r="C363" s="376"/>
      <c r="D363" s="376">
        <v>4087238</v>
      </c>
      <c r="E363" s="376"/>
      <c r="F363" s="376">
        <f t="shared" si="23"/>
        <v>740970</v>
      </c>
      <c r="G363" s="377"/>
      <c r="H363" s="376">
        <v>90508</v>
      </c>
      <c r="I363" s="376">
        <v>63720</v>
      </c>
      <c r="J363" s="376">
        <v>586742</v>
      </c>
      <c r="K363" s="376">
        <v>583050</v>
      </c>
      <c r="L363" s="376">
        <v>304068</v>
      </c>
    </row>
    <row r="364" spans="1:12" s="366" customFormat="1" ht="9" customHeight="1" x14ac:dyDescent="0.25">
      <c r="A364" s="366" t="s">
        <v>46</v>
      </c>
      <c r="B364" s="372">
        <f t="shared" si="22"/>
        <v>7969452</v>
      </c>
      <c r="C364" s="372"/>
      <c r="D364" s="372">
        <v>5722740</v>
      </c>
      <c r="E364" s="372"/>
      <c r="F364" s="372">
        <f t="shared" si="23"/>
        <v>1197644</v>
      </c>
      <c r="G364" s="373"/>
      <c r="H364" s="372">
        <v>158799</v>
      </c>
      <c r="I364" s="372">
        <v>150385</v>
      </c>
      <c r="J364" s="372">
        <v>888460</v>
      </c>
      <c r="K364" s="372">
        <v>692304</v>
      </c>
      <c r="L364" s="372">
        <v>356764</v>
      </c>
    </row>
    <row r="365" spans="1:12" s="366" customFormat="1" ht="9.6" customHeight="1" x14ac:dyDescent="0.25">
      <c r="A365" s="366" t="s">
        <v>288</v>
      </c>
      <c r="B365" s="372">
        <f t="shared" si="22"/>
        <v>6531720</v>
      </c>
      <c r="C365" s="372"/>
      <c r="D365" s="372">
        <v>4185282</v>
      </c>
      <c r="E365" s="372"/>
      <c r="F365" s="372">
        <f t="shared" si="23"/>
        <v>1129304</v>
      </c>
      <c r="G365" s="387"/>
      <c r="H365" s="372">
        <v>150263</v>
      </c>
      <c r="I365" s="372">
        <v>120545</v>
      </c>
      <c r="J365" s="372">
        <v>858496</v>
      </c>
      <c r="K365" s="372">
        <v>923121</v>
      </c>
      <c r="L365" s="372">
        <v>294013</v>
      </c>
    </row>
    <row r="366" spans="1:12" s="366" customFormat="1" ht="9" customHeight="1" x14ac:dyDescent="0.25">
      <c r="A366" s="366" t="s">
        <v>48</v>
      </c>
      <c r="B366" s="372">
        <f t="shared" si="22"/>
        <v>6917812</v>
      </c>
      <c r="C366" s="372"/>
      <c r="D366" s="372">
        <v>4976029</v>
      </c>
      <c r="E366" s="372"/>
      <c r="F366" s="372">
        <f t="shared" si="23"/>
        <v>942101</v>
      </c>
      <c r="G366" s="387"/>
      <c r="H366" s="372">
        <v>154056</v>
      </c>
      <c r="I366" s="372">
        <v>162955</v>
      </c>
      <c r="J366" s="372">
        <v>625090</v>
      </c>
      <c r="K366" s="372">
        <v>584968</v>
      </c>
      <c r="L366" s="372">
        <v>414714</v>
      </c>
    </row>
    <row r="367" spans="1:12" s="366" customFormat="1" ht="9" customHeight="1" x14ac:dyDescent="0.25">
      <c r="A367" s="375" t="s">
        <v>49</v>
      </c>
      <c r="B367" s="376">
        <f t="shared" si="22"/>
        <v>8440747</v>
      </c>
      <c r="C367" s="376"/>
      <c r="D367" s="376">
        <v>5544201</v>
      </c>
      <c r="E367" s="376"/>
      <c r="F367" s="376">
        <f t="shared" si="23"/>
        <v>1642508</v>
      </c>
      <c r="G367" s="377"/>
      <c r="H367" s="376">
        <v>208271</v>
      </c>
      <c r="I367" s="376">
        <v>243990</v>
      </c>
      <c r="J367" s="376">
        <v>1190247</v>
      </c>
      <c r="K367" s="376">
        <v>919641</v>
      </c>
      <c r="L367" s="376">
        <v>334397</v>
      </c>
    </row>
    <row r="368" spans="1:12" s="366" customFormat="1" ht="9" customHeight="1" x14ac:dyDescent="0.25">
      <c r="A368" s="366" t="s">
        <v>50</v>
      </c>
      <c r="B368" s="372">
        <f t="shared" si="22"/>
        <v>2429627</v>
      </c>
      <c r="C368" s="372"/>
      <c r="D368" s="372">
        <v>1847939</v>
      </c>
      <c r="E368" s="372"/>
      <c r="F368" s="372">
        <f t="shared" si="23"/>
        <v>256333</v>
      </c>
      <c r="G368" s="373"/>
      <c r="H368" s="372">
        <v>36320</v>
      </c>
      <c r="I368" s="372">
        <v>29162</v>
      </c>
      <c r="J368" s="372">
        <v>190851</v>
      </c>
      <c r="K368" s="372">
        <v>185638</v>
      </c>
      <c r="L368" s="372">
        <v>139717</v>
      </c>
    </row>
    <row r="369" spans="1:12" s="366" customFormat="1" ht="9" customHeight="1" x14ac:dyDescent="0.25">
      <c r="A369" s="366" t="s">
        <v>51</v>
      </c>
      <c r="B369" s="372">
        <f t="shared" si="22"/>
        <v>17370729</v>
      </c>
      <c r="C369" s="372"/>
      <c r="D369" s="372">
        <v>12567216</v>
      </c>
      <c r="E369" s="372"/>
      <c r="F369" s="372">
        <f t="shared" si="23"/>
        <v>2266071</v>
      </c>
      <c r="G369" s="373"/>
      <c r="H369" s="372">
        <v>330079</v>
      </c>
      <c r="I369" s="372">
        <v>291046</v>
      </c>
      <c r="J369" s="372">
        <v>1644946</v>
      </c>
      <c r="K369" s="372">
        <v>1683766</v>
      </c>
      <c r="L369" s="372">
        <v>853676</v>
      </c>
    </row>
    <row r="370" spans="1:12" s="366" customFormat="1" ht="9" customHeight="1" x14ac:dyDescent="0.25">
      <c r="A370" s="366" t="s">
        <v>52</v>
      </c>
      <c r="B370" s="372">
        <f t="shared" si="22"/>
        <v>6093175</v>
      </c>
      <c r="C370" s="372"/>
      <c r="D370" s="372">
        <v>4685081</v>
      </c>
      <c r="E370" s="372"/>
      <c r="F370" s="372">
        <f t="shared" si="23"/>
        <v>742578</v>
      </c>
      <c r="G370" s="373"/>
      <c r="H370" s="372">
        <v>118333</v>
      </c>
      <c r="I370" s="372">
        <v>48091</v>
      </c>
      <c r="J370" s="372">
        <v>576154</v>
      </c>
      <c r="K370" s="372">
        <v>413383</v>
      </c>
      <c r="L370" s="372">
        <v>252133</v>
      </c>
    </row>
    <row r="371" spans="1:12" s="366" customFormat="1" ht="9" customHeight="1" x14ac:dyDescent="0.25">
      <c r="A371" s="375" t="s">
        <v>53</v>
      </c>
      <c r="B371" s="376">
        <f t="shared" si="22"/>
        <v>3848453</v>
      </c>
      <c r="C371" s="376"/>
      <c r="D371" s="376">
        <v>2871140</v>
      </c>
      <c r="E371" s="376"/>
      <c r="F371" s="376">
        <f t="shared" si="23"/>
        <v>392922</v>
      </c>
      <c r="G371" s="377"/>
      <c r="H371" s="376">
        <v>69613</v>
      </c>
      <c r="I371" s="376">
        <v>43607</v>
      </c>
      <c r="J371" s="376">
        <v>279702</v>
      </c>
      <c r="K371" s="376">
        <v>406222</v>
      </c>
      <c r="L371" s="376">
        <v>178169</v>
      </c>
    </row>
    <row r="372" spans="1:12" s="366" customFormat="1" ht="9" customHeight="1" x14ac:dyDescent="0.25">
      <c r="B372" s="372"/>
      <c r="C372" s="372"/>
      <c r="D372" s="372"/>
      <c r="E372" s="372"/>
      <c r="F372" s="372"/>
      <c r="G372" s="373"/>
      <c r="H372" s="372"/>
      <c r="I372" s="372"/>
      <c r="J372" s="372"/>
      <c r="K372" s="372"/>
      <c r="L372" s="372"/>
    </row>
    <row r="373" spans="1:12" s="366" customFormat="1" ht="9" customHeight="1" x14ac:dyDescent="0.25">
      <c r="A373" s="363">
        <v>2005</v>
      </c>
      <c r="B373" s="368"/>
      <c r="C373" s="368"/>
      <c r="D373" s="364"/>
      <c r="E373" s="364"/>
      <c r="F373" s="364"/>
      <c r="G373" s="365"/>
      <c r="H373" s="364"/>
      <c r="I373" s="364"/>
      <c r="J373" s="368"/>
      <c r="K373" s="364"/>
    </row>
    <row r="374" spans="1:12" s="371" customFormat="1" ht="9" customHeight="1" x14ac:dyDescent="0.25">
      <c r="A374" s="367" t="s">
        <v>21</v>
      </c>
      <c r="B374" s="381">
        <f>SUM(B376:B407)</f>
        <v>268366284</v>
      </c>
      <c r="C374" s="381"/>
      <c r="D374" s="381">
        <f>SUM(D376:D407)</f>
        <v>187252520</v>
      </c>
      <c r="E374" s="368"/>
      <c r="F374" s="381">
        <f>SUM(F376:F407)</f>
        <v>41063379</v>
      </c>
      <c r="G374" s="382"/>
      <c r="H374" s="368">
        <f>SUM(H376:H407)</f>
        <v>5425321</v>
      </c>
      <c r="I374" s="368">
        <f>SUM(I376:I407)</f>
        <v>4455477</v>
      </c>
      <c r="J374" s="368">
        <f>SUM(J376:J407)</f>
        <v>31182581</v>
      </c>
      <c r="K374" s="368">
        <f>SUM(K376:K407)</f>
        <v>27113474</v>
      </c>
      <c r="L374" s="368">
        <f>SUM(L376:L407)</f>
        <v>12936911</v>
      </c>
    </row>
    <row r="375" spans="1:12" s="371" customFormat="1" ht="3.95" customHeight="1" x14ac:dyDescent="0.25">
      <c r="A375" s="367"/>
      <c r="B375" s="381"/>
      <c r="C375" s="381"/>
      <c r="D375" s="381"/>
      <c r="E375" s="368"/>
      <c r="F375" s="381"/>
      <c r="G375" s="382"/>
      <c r="H375" s="368"/>
      <c r="I375" s="368"/>
      <c r="J375" s="368"/>
      <c r="K375" s="368"/>
      <c r="L375" s="368"/>
    </row>
    <row r="376" spans="1:12" s="366" customFormat="1" ht="9.6" customHeight="1" x14ac:dyDescent="0.25">
      <c r="A376" s="366" t="s">
        <v>280</v>
      </c>
      <c r="B376" s="386">
        <f t="shared" ref="B376:B407" si="24">SUM(D376,F376,K376:L376)</f>
        <v>3224739</v>
      </c>
      <c r="C376" s="386"/>
      <c r="D376" s="372">
        <v>2124762</v>
      </c>
      <c r="E376" s="372"/>
      <c r="F376" s="372">
        <f t="shared" ref="F376:F407" si="25">SUM(H376:J376)</f>
        <v>458342</v>
      </c>
      <c r="G376" s="393"/>
      <c r="H376" s="372">
        <v>58246</v>
      </c>
      <c r="I376" s="372">
        <v>38270</v>
      </c>
      <c r="J376" s="372">
        <v>361826</v>
      </c>
      <c r="K376" s="372">
        <v>491900</v>
      </c>
      <c r="L376" s="372">
        <v>149735</v>
      </c>
    </row>
    <row r="377" spans="1:12" s="366" customFormat="1" ht="9" customHeight="1" x14ac:dyDescent="0.25">
      <c r="A377" s="366" t="s">
        <v>24</v>
      </c>
      <c r="B377" s="386">
        <f t="shared" si="24"/>
        <v>6162528</v>
      </c>
      <c r="C377" s="386"/>
      <c r="D377" s="372">
        <v>4045381</v>
      </c>
      <c r="E377" s="372"/>
      <c r="F377" s="372">
        <f t="shared" si="25"/>
        <v>976219</v>
      </c>
      <c r="G377" s="373"/>
      <c r="H377" s="372">
        <v>133198</v>
      </c>
      <c r="I377" s="372">
        <v>105559</v>
      </c>
      <c r="J377" s="372">
        <v>737462</v>
      </c>
      <c r="K377" s="372">
        <v>787099</v>
      </c>
      <c r="L377" s="372">
        <v>353829</v>
      </c>
    </row>
    <row r="378" spans="1:12" s="366" customFormat="1" ht="9" customHeight="1" x14ac:dyDescent="0.25">
      <c r="A378" s="366" t="s">
        <v>25</v>
      </c>
      <c r="B378" s="386">
        <f t="shared" si="24"/>
        <v>1687651</v>
      </c>
      <c r="C378" s="386"/>
      <c r="D378" s="372">
        <v>1137401</v>
      </c>
      <c r="E378" s="372"/>
      <c r="F378" s="372">
        <f t="shared" si="25"/>
        <v>253760</v>
      </c>
      <c r="G378" s="373"/>
      <c r="H378" s="372">
        <v>39967</v>
      </c>
      <c r="I378" s="372">
        <v>25320</v>
      </c>
      <c r="J378" s="372">
        <v>188473</v>
      </c>
      <c r="K378" s="372">
        <v>216960</v>
      </c>
      <c r="L378" s="372">
        <v>79530</v>
      </c>
    </row>
    <row r="379" spans="1:12" s="366" customFormat="1" ht="9.6" customHeight="1" x14ac:dyDescent="0.25">
      <c r="A379" s="375" t="s">
        <v>281</v>
      </c>
      <c r="B379" s="388">
        <f t="shared" si="24"/>
        <v>2416923</v>
      </c>
      <c r="C379" s="388"/>
      <c r="D379" s="376">
        <v>1648315</v>
      </c>
      <c r="E379" s="376"/>
      <c r="F379" s="376">
        <f t="shared" si="25"/>
        <v>355061</v>
      </c>
      <c r="G379" s="394"/>
      <c r="H379" s="376">
        <v>64175</v>
      </c>
      <c r="I379" s="376">
        <v>48675</v>
      </c>
      <c r="J379" s="376">
        <v>242211</v>
      </c>
      <c r="K379" s="376">
        <v>298417</v>
      </c>
      <c r="L379" s="376">
        <v>115130</v>
      </c>
    </row>
    <row r="380" spans="1:12" s="366" customFormat="1" ht="9.6" customHeight="1" x14ac:dyDescent="0.25">
      <c r="A380" s="366" t="s">
        <v>282</v>
      </c>
      <c r="B380" s="386">
        <f t="shared" si="24"/>
        <v>7270056</v>
      </c>
      <c r="C380" s="386"/>
      <c r="D380" s="372">
        <v>4580476</v>
      </c>
      <c r="E380" s="372"/>
      <c r="F380" s="372">
        <f t="shared" si="25"/>
        <v>1069463</v>
      </c>
      <c r="G380" s="393"/>
      <c r="H380" s="372">
        <v>151627</v>
      </c>
      <c r="I380" s="372">
        <v>151421</v>
      </c>
      <c r="J380" s="372">
        <v>766415</v>
      </c>
      <c r="K380" s="372">
        <v>1294579</v>
      </c>
      <c r="L380" s="372">
        <v>325538</v>
      </c>
    </row>
    <row r="381" spans="1:12" s="366" customFormat="1" ht="9.6" customHeight="1" x14ac:dyDescent="0.25">
      <c r="A381" s="366" t="s">
        <v>283</v>
      </c>
      <c r="B381" s="372">
        <f t="shared" si="24"/>
        <v>1924460</v>
      </c>
      <c r="C381" s="372"/>
      <c r="D381" s="372">
        <v>1264107</v>
      </c>
      <c r="E381" s="372"/>
      <c r="F381" s="372">
        <f t="shared" si="25"/>
        <v>299805</v>
      </c>
      <c r="G381" s="393"/>
      <c r="H381" s="372">
        <v>41337</v>
      </c>
      <c r="I381" s="372">
        <v>26739</v>
      </c>
      <c r="J381" s="372">
        <v>231729</v>
      </c>
      <c r="K381" s="372">
        <v>273791</v>
      </c>
      <c r="L381" s="372">
        <v>86757</v>
      </c>
    </row>
    <row r="382" spans="1:12" s="366" customFormat="1" ht="9" customHeight="1" x14ac:dyDescent="0.25">
      <c r="A382" s="366" t="s">
        <v>29</v>
      </c>
      <c r="B382" s="372">
        <f t="shared" si="24"/>
        <v>9858663</v>
      </c>
      <c r="C382" s="372"/>
      <c r="D382" s="372">
        <v>8242383</v>
      </c>
      <c r="E382" s="372"/>
      <c r="F382" s="372">
        <f t="shared" si="25"/>
        <v>632035</v>
      </c>
      <c r="G382" s="373"/>
      <c r="H382" s="372">
        <v>101114</v>
      </c>
      <c r="I382" s="372">
        <v>68142</v>
      </c>
      <c r="J382" s="372">
        <v>462779</v>
      </c>
      <c r="K382" s="372">
        <v>631534</v>
      </c>
      <c r="L382" s="372">
        <v>352711</v>
      </c>
    </row>
    <row r="383" spans="1:12" s="366" customFormat="1" ht="9" customHeight="1" x14ac:dyDescent="0.25">
      <c r="A383" s="375" t="s">
        <v>30</v>
      </c>
      <c r="B383" s="376">
        <f t="shared" si="24"/>
        <v>7954881</v>
      </c>
      <c r="C383" s="376"/>
      <c r="D383" s="376">
        <v>5555206</v>
      </c>
      <c r="E383" s="376"/>
      <c r="F383" s="376">
        <f t="shared" si="25"/>
        <v>1120533</v>
      </c>
      <c r="G383" s="377"/>
      <c r="H383" s="376">
        <v>176445</v>
      </c>
      <c r="I383" s="376">
        <v>123733</v>
      </c>
      <c r="J383" s="376">
        <v>820355</v>
      </c>
      <c r="K383" s="376">
        <v>950113</v>
      </c>
      <c r="L383" s="376">
        <v>329029</v>
      </c>
    </row>
    <row r="384" spans="1:12" s="366" customFormat="1" ht="9.6" customHeight="1" x14ac:dyDescent="0.25">
      <c r="A384" s="366" t="s">
        <v>63</v>
      </c>
      <c r="B384" s="372">
        <f t="shared" si="24"/>
        <v>29650150</v>
      </c>
      <c r="C384" s="372"/>
      <c r="D384" s="372">
        <v>15285156</v>
      </c>
      <c r="E384" s="372"/>
      <c r="F384" s="372">
        <f t="shared" si="25"/>
        <v>9313091</v>
      </c>
      <c r="G384" s="387"/>
      <c r="H384" s="372">
        <v>859997</v>
      </c>
      <c r="I384" s="372">
        <v>769927</v>
      </c>
      <c r="J384" s="372">
        <v>7683167</v>
      </c>
      <c r="K384" s="372">
        <v>3393144</v>
      </c>
      <c r="L384" s="372">
        <v>1658759</v>
      </c>
    </row>
    <row r="385" spans="1:12" s="366" customFormat="1" ht="9.6" customHeight="1" x14ac:dyDescent="0.25">
      <c r="A385" s="366" t="s">
        <v>284</v>
      </c>
      <c r="B385" s="372">
        <f t="shared" si="24"/>
        <v>4719289</v>
      </c>
      <c r="C385" s="372"/>
      <c r="D385" s="372">
        <v>3442328</v>
      </c>
      <c r="E385" s="372"/>
      <c r="F385" s="372">
        <f t="shared" si="25"/>
        <v>580686</v>
      </c>
      <c r="G385" s="393"/>
      <c r="H385" s="372">
        <v>82927</v>
      </c>
      <c r="I385" s="372">
        <v>68431</v>
      </c>
      <c r="J385" s="372">
        <v>429328</v>
      </c>
      <c r="K385" s="372">
        <v>525079</v>
      </c>
      <c r="L385" s="372">
        <v>171196</v>
      </c>
    </row>
    <row r="386" spans="1:12" s="366" customFormat="1" ht="9" customHeight="1" x14ac:dyDescent="0.25">
      <c r="A386" s="366" t="s">
        <v>32</v>
      </c>
      <c r="B386" s="372">
        <f t="shared" si="24"/>
        <v>10538941</v>
      </c>
      <c r="C386" s="372"/>
      <c r="D386" s="372">
        <v>7375694</v>
      </c>
      <c r="E386" s="372"/>
      <c r="F386" s="372">
        <f t="shared" si="25"/>
        <v>1455989</v>
      </c>
      <c r="G386" s="373"/>
      <c r="H386" s="372">
        <v>189284</v>
      </c>
      <c r="I386" s="372">
        <v>154712</v>
      </c>
      <c r="J386" s="372">
        <v>1111993</v>
      </c>
      <c r="K386" s="372">
        <v>1174807</v>
      </c>
      <c r="L386" s="372">
        <v>532451</v>
      </c>
    </row>
    <row r="387" spans="1:12" s="366" customFormat="1" ht="9" customHeight="1" x14ac:dyDescent="0.25">
      <c r="A387" s="375" t="s">
        <v>33</v>
      </c>
      <c r="B387" s="376">
        <f t="shared" si="24"/>
        <v>8349157</v>
      </c>
      <c r="C387" s="376"/>
      <c r="D387" s="376">
        <v>6786761</v>
      </c>
      <c r="E387" s="376"/>
      <c r="F387" s="376">
        <f t="shared" si="25"/>
        <v>771211</v>
      </c>
      <c r="G387" s="377"/>
      <c r="H387" s="376">
        <v>112740</v>
      </c>
      <c r="I387" s="376">
        <v>92525</v>
      </c>
      <c r="J387" s="376">
        <v>565946</v>
      </c>
      <c r="K387" s="376">
        <v>472175</v>
      </c>
      <c r="L387" s="376">
        <v>319010</v>
      </c>
    </row>
    <row r="388" spans="1:12" s="366" customFormat="1" ht="9" customHeight="1" x14ac:dyDescent="0.25">
      <c r="A388" s="366" t="s">
        <v>34</v>
      </c>
      <c r="B388" s="372">
        <f t="shared" si="24"/>
        <v>6711808</v>
      </c>
      <c r="C388" s="372"/>
      <c r="D388" s="372">
        <v>5296204</v>
      </c>
      <c r="E388" s="372"/>
      <c r="F388" s="372">
        <f t="shared" si="25"/>
        <v>654842</v>
      </c>
      <c r="G388" s="373"/>
      <c r="H388" s="372">
        <v>102112</v>
      </c>
      <c r="I388" s="372">
        <v>67614</v>
      </c>
      <c r="J388" s="372">
        <v>485116</v>
      </c>
      <c r="K388" s="372">
        <v>416609</v>
      </c>
      <c r="L388" s="372">
        <v>344153</v>
      </c>
    </row>
    <row r="389" spans="1:12" s="366" customFormat="1" ht="9.6" customHeight="1" x14ac:dyDescent="0.25">
      <c r="A389" s="366" t="s">
        <v>285</v>
      </c>
      <c r="B389" s="372">
        <f t="shared" si="24"/>
        <v>16214690</v>
      </c>
      <c r="C389" s="372"/>
      <c r="D389" s="372">
        <v>10398696</v>
      </c>
      <c r="E389" s="372"/>
      <c r="F389" s="372">
        <f t="shared" si="25"/>
        <v>3078019</v>
      </c>
      <c r="G389" s="393"/>
      <c r="H389" s="372">
        <v>446337</v>
      </c>
      <c r="I389" s="372">
        <v>254281</v>
      </c>
      <c r="J389" s="372">
        <v>2377401</v>
      </c>
      <c r="K389" s="372">
        <v>2032793</v>
      </c>
      <c r="L389" s="372">
        <v>705182</v>
      </c>
    </row>
    <row r="390" spans="1:12" s="366" customFormat="1" ht="9" customHeight="1" x14ac:dyDescent="0.25">
      <c r="A390" s="366" t="s">
        <v>36</v>
      </c>
      <c r="B390" s="372">
        <f t="shared" si="24"/>
        <v>27332509</v>
      </c>
      <c r="C390" s="372"/>
      <c r="D390" s="372">
        <v>21540831</v>
      </c>
      <c r="E390" s="372"/>
      <c r="F390" s="372">
        <f t="shared" si="25"/>
        <v>2790066</v>
      </c>
      <c r="G390" s="373"/>
      <c r="H390" s="372">
        <v>472054</v>
      </c>
      <c r="I390" s="372">
        <v>326528</v>
      </c>
      <c r="J390" s="372">
        <v>1991484</v>
      </c>
      <c r="K390" s="372">
        <v>1885367</v>
      </c>
      <c r="L390" s="372">
        <v>1116245</v>
      </c>
    </row>
    <row r="391" spans="1:12" s="366" customFormat="1" ht="9" customHeight="1" x14ac:dyDescent="0.25">
      <c r="A391" s="375" t="s">
        <v>37</v>
      </c>
      <c r="B391" s="376">
        <f t="shared" si="24"/>
        <v>9622199</v>
      </c>
      <c r="C391" s="376"/>
      <c r="D391" s="376">
        <v>7319243</v>
      </c>
      <c r="E391" s="376"/>
      <c r="F391" s="376">
        <f t="shared" si="25"/>
        <v>1090504</v>
      </c>
      <c r="G391" s="377"/>
      <c r="H391" s="376">
        <v>160146</v>
      </c>
      <c r="I391" s="376">
        <v>134532</v>
      </c>
      <c r="J391" s="376">
        <v>795826</v>
      </c>
      <c r="K391" s="376">
        <v>727904</v>
      </c>
      <c r="L391" s="376">
        <v>484548</v>
      </c>
    </row>
    <row r="392" spans="1:12" s="366" customFormat="1" ht="9" customHeight="1" x14ac:dyDescent="0.25">
      <c r="A392" s="366" t="s">
        <v>38</v>
      </c>
      <c r="B392" s="372">
        <f t="shared" si="24"/>
        <v>3882606</v>
      </c>
      <c r="C392" s="372"/>
      <c r="D392" s="372">
        <v>2635551</v>
      </c>
      <c r="E392" s="372"/>
      <c r="F392" s="372">
        <f t="shared" si="25"/>
        <v>588019</v>
      </c>
      <c r="G392" s="373"/>
      <c r="H392" s="372">
        <v>65493</v>
      </c>
      <c r="I392" s="372">
        <v>49102</v>
      </c>
      <c r="J392" s="372">
        <v>473424</v>
      </c>
      <c r="K392" s="372">
        <v>465530</v>
      </c>
      <c r="L392" s="372">
        <v>193506</v>
      </c>
    </row>
    <row r="393" spans="1:12" s="366" customFormat="1" ht="9.6" customHeight="1" x14ac:dyDescent="0.25">
      <c r="A393" s="366" t="s">
        <v>39</v>
      </c>
      <c r="B393" s="372">
        <f t="shared" si="24"/>
        <v>3139311</v>
      </c>
      <c r="C393" s="372"/>
      <c r="D393" s="372">
        <v>2243173</v>
      </c>
      <c r="E393" s="372"/>
      <c r="F393" s="372">
        <f t="shared" si="25"/>
        <v>445926</v>
      </c>
      <c r="G393" s="373"/>
      <c r="H393" s="372">
        <v>54246</v>
      </c>
      <c r="I393" s="372">
        <v>49550</v>
      </c>
      <c r="J393" s="372">
        <v>342130</v>
      </c>
      <c r="K393" s="372">
        <v>310372</v>
      </c>
      <c r="L393" s="372">
        <v>139840</v>
      </c>
    </row>
    <row r="394" spans="1:12" s="366" customFormat="1" ht="9.6" customHeight="1" x14ac:dyDescent="0.25">
      <c r="A394" s="366" t="s">
        <v>286</v>
      </c>
      <c r="B394" s="372">
        <f t="shared" si="24"/>
        <v>11333167</v>
      </c>
      <c r="C394" s="372"/>
      <c r="D394" s="372">
        <v>7137429</v>
      </c>
      <c r="E394" s="372"/>
      <c r="F394" s="372">
        <f t="shared" si="25"/>
        <v>1947712</v>
      </c>
      <c r="G394" s="393"/>
      <c r="H394" s="372">
        <v>282679</v>
      </c>
      <c r="I394" s="372">
        <v>163378</v>
      </c>
      <c r="J394" s="372">
        <v>1501655</v>
      </c>
      <c r="K394" s="372">
        <v>1754334</v>
      </c>
      <c r="L394" s="372">
        <v>493692</v>
      </c>
    </row>
    <row r="395" spans="1:12" s="366" customFormat="1" ht="9" customHeight="1" x14ac:dyDescent="0.25">
      <c r="A395" s="375" t="s">
        <v>41</v>
      </c>
      <c r="B395" s="376">
        <f t="shared" si="24"/>
        <v>8105087</v>
      </c>
      <c r="C395" s="376"/>
      <c r="D395" s="376">
        <v>6602596</v>
      </c>
      <c r="E395" s="376"/>
      <c r="F395" s="376">
        <f t="shared" si="25"/>
        <v>658276</v>
      </c>
      <c r="G395" s="377"/>
      <c r="H395" s="376">
        <v>94639</v>
      </c>
      <c r="I395" s="376">
        <v>90831</v>
      </c>
      <c r="J395" s="376">
        <v>472806</v>
      </c>
      <c r="K395" s="376">
        <v>424873</v>
      </c>
      <c r="L395" s="376">
        <v>419342</v>
      </c>
    </row>
    <row r="396" spans="1:12" s="366" customFormat="1" ht="9.6" customHeight="1" x14ac:dyDescent="0.25">
      <c r="A396" s="366" t="s">
        <v>287</v>
      </c>
      <c r="B396" s="372">
        <f t="shared" si="24"/>
        <v>12893102</v>
      </c>
      <c r="C396" s="372"/>
      <c r="D396" s="372">
        <v>9027279</v>
      </c>
      <c r="E396" s="372"/>
      <c r="F396" s="372">
        <f t="shared" si="25"/>
        <v>1898144</v>
      </c>
      <c r="G396" s="387"/>
      <c r="H396" s="372">
        <v>261212</v>
      </c>
      <c r="I396" s="372">
        <v>319549</v>
      </c>
      <c r="J396" s="372">
        <v>1317383</v>
      </c>
      <c r="K396" s="372">
        <v>1060327</v>
      </c>
      <c r="L396" s="372">
        <v>907352</v>
      </c>
    </row>
    <row r="397" spans="1:12" s="366" customFormat="1" ht="9" customHeight="1" x14ac:dyDescent="0.25">
      <c r="A397" s="366" t="s">
        <v>43</v>
      </c>
      <c r="B397" s="372">
        <f t="shared" si="24"/>
        <v>3905290</v>
      </c>
      <c r="C397" s="372"/>
      <c r="D397" s="372">
        <v>2840827</v>
      </c>
      <c r="E397" s="372"/>
      <c r="F397" s="372">
        <f t="shared" si="25"/>
        <v>466557</v>
      </c>
      <c r="G397" s="373"/>
      <c r="H397" s="372">
        <v>54737</v>
      </c>
      <c r="I397" s="372">
        <v>28782</v>
      </c>
      <c r="J397" s="372">
        <v>383038</v>
      </c>
      <c r="K397" s="372">
        <v>349309</v>
      </c>
      <c r="L397" s="372">
        <v>248597</v>
      </c>
    </row>
    <row r="398" spans="1:12" s="366" customFormat="1" ht="9" customHeight="1" x14ac:dyDescent="0.25">
      <c r="A398" s="366" t="s">
        <v>44</v>
      </c>
      <c r="B398" s="372">
        <f t="shared" si="24"/>
        <v>2671087</v>
      </c>
      <c r="C398" s="372"/>
      <c r="D398" s="372">
        <v>1846198</v>
      </c>
      <c r="E398" s="372"/>
      <c r="F398" s="372">
        <f t="shared" si="25"/>
        <v>313345</v>
      </c>
      <c r="G398" s="373"/>
      <c r="H398" s="372">
        <v>60053</v>
      </c>
      <c r="I398" s="372">
        <v>34523</v>
      </c>
      <c r="J398" s="372">
        <v>218769</v>
      </c>
      <c r="K398" s="372">
        <v>381809</v>
      </c>
      <c r="L398" s="372">
        <v>129735</v>
      </c>
    </row>
    <row r="399" spans="1:12" s="366" customFormat="1" ht="9" customHeight="1" x14ac:dyDescent="0.25">
      <c r="A399" s="375" t="s">
        <v>45</v>
      </c>
      <c r="B399" s="376">
        <f t="shared" si="24"/>
        <v>6149775</v>
      </c>
      <c r="C399" s="376"/>
      <c r="D399" s="376">
        <v>4344168</v>
      </c>
      <c r="E399" s="376"/>
      <c r="F399" s="376">
        <f t="shared" si="25"/>
        <v>809547</v>
      </c>
      <c r="G399" s="377"/>
      <c r="H399" s="376">
        <v>91656</v>
      </c>
      <c r="I399" s="376">
        <v>67129</v>
      </c>
      <c r="J399" s="376">
        <v>650762</v>
      </c>
      <c r="K399" s="376">
        <v>645591</v>
      </c>
      <c r="L399" s="376">
        <v>350469</v>
      </c>
    </row>
    <row r="400" spans="1:12" s="366" customFormat="1" ht="9" customHeight="1" x14ac:dyDescent="0.25">
      <c r="A400" s="366" t="s">
        <v>46</v>
      </c>
      <c r="B400" s="372">
        <f t="shared" si="24"/>
        <v>8599237</v>
      </c>
      <c r="C400" s="372"/>
      <c r="D400" s="372">
        <v>6092779</v>
      </c>
      <c r="E400" s="372"/>
      <c r="F400" s="372">
        <f t="shared" si="25"/>
        <v>1333264</v>
      </c>
      <c r="G400" s="373"/>
      <c r="H400" s="372">
        <v>170156</v>
      </c>
      <c r="I400" s="372">
        <v>201588</v>
      </c>
      <c r="J400" s="372">
        <v>961520</v>
      </c>
      <c r="K400" s="372">
        <v>785448</v>
      </c>
      <c r="L400" s="372">
        <v>387746</v>
      </c>
    </row>
    <row r="401" spans="1:14" s="366" customFormat="1" ht="9.6" customHeight="1" x14ac:dyDescent="0.25">
      <c r="A401" s="366" t="s">
        <v>288</v>
      </c>
      <c r="B401" s="372">
        <f t="shared" si="24"/>
        <v>6941579</v>
      </c>
      <c r="C401" s="372"/>
      <c r="D401" s="372">
        <v>4537245</v>
      </c>
      <c r="E401" s="372"/>
      <c r="F401" s="372">
        <f t="shared" si="25"/>
        <v>1171575</v>
      </c>
      <c r="G401" s="387"/>
      <c r="H401" s="372">
        <v>171252</v>
      </c>
      <c r="I401" s="372">
        <v>129827</v>
      </c>
      <c r="J401" s="372">
        <v>870496</v>
      </c>
      <c r="K401" s="372">
        <v>936958</v>
      </c>
      <c r="L401" s="372">
        <v>295801</v>
      </c>
    </row>
    <row r="402" spans="1:14" s="366" customFormat="1" ht="9" customHeight="1" x14ac:dyDescent="0.25">
      <c r="A402" s="366" t="s">
        <v>48</v>
      </c>
      <c r="B402" s="372">
        <f t="shared" si="24"/>
        <v>7716118</v>
      </c>
      <c r="C402" s="372"/>
      <c r="D402" s="372">
        <v>5579976</v>
      </c>
      <c r="E402" s="372"/>
      <c r="F402" s="372">
        <f t="shared" si="25"/>
        <v>1062907</v>
      </c>
      <c r="G402" s="387"/>
      <c r="H402" s="372">
        <v>159469</v>
      </c>
      <c r="I402" s="372">
        <v>191049</v>
      </c>
      <c r="J402" s="372">
        <v>712389</v>
      </c>
      <c r="K402" s="372">
        <v>643735</v>
      </c>
      <c r="L402" s="372">
        <v>429500</v>
      </c>
    </row>
    <row r="403" spans="1:14" s="366" customFormat="1" ht="9" customHeight="1" x14ac:dyDescent="0.25">
      <c r="A403" s="375" t="s">
        <v>49</v>
      </c>
      <c r="B403" s="376">
        <f t="shared" si="24"/>
        <v>8632159</v>
      </c>
      <c r="C403" s="376"/>
      <c r="D403" s="376">
        <v>5640682</v>
      </c>
      <c r="E403" s="376"/>
      <c r="F403" s="376">
        <f t="shared" si="25"/>
        <v>1697357</v>
      </c>
      <c r="G403" s="377"/>
      <c r="H403" s="376">
        <v>213379</v>
      </c>
      <c r="I403" s="376">
        <v>243472</v>
      </c>
      <c r="J403" s="376">
        <v>1240506</v>
      </c>
      <c r="K403" s="376">
        <v>968174</v>
      </c>
      <c r="L403" s="376">
        <v>325946</v>
      </c>
    </row>
    <row r="404" spans="1:14" s="366" customFormat="1" ht="9" customHeight="1" x14ac:dyDescent="0.25">
      <c r="A404" s="366" t="s">
        <v>50</v>
      </c>
      <c r="B404" s="372">
        <f t="shared" si="24"/>
        <v>2642465</v>
      </c>
      <c r="C404" s="372"/>
      <c r="D404" s="372">
        <v>1970611</v>
      </c>
      <c r="E404" s="372"/>
      <c r="F404" s="372">
        <f t="shared" si="25"/>
        <v>304073</v>
      </c>
      <c r="G404" s="373"/>
      <c r="H404" s="372">
        <v>40136</v>
      </c>
      <c r="I404" s="372">
        <v>41427</v>
      </c>
      <c r="J404" s="372">
        <v>222510</v>
      </c>
      <c r="K404" s="372">
        <v>225553</v>
      </c>
      <c r="L404" s="372">
        <v>142228</v>
      </c>
    </row>
    <row r="405" spans="1:14" s="366" customFormat="1" ht="9" customHeight="1" x14ac:dyDescent="0.25">
      <c r="A405" s="366" t="s">
        <v>51</v>
      </c>
      <c r="B405" s="372">
        <f t="shared" si="24"/>
        <v>18017935</v>
      </c>
      <c r="C405" s="372"/>
      <c r="D405" s="372">
        <v>13005756</v>
      </c>
      <c r="E405" s="372"/>
      <c r="F405" s="372">
        <f t="shared" si="25"/>
        <v>2344576</v>
      </c>
      <c r="G405" s="373"/>
      <c r="H405" s="372">
        <v>326875</v>
      </c>
      <c r="I405" s="372">
        <v>303811</v>
      </c>
      <c r="J405" s="372">
        <v>1713890</v>
      </c>
      <c r="K405" s="372">
        <v>1747062</v>
      </c>
      <c r="L405" s="372">
        <v>920541</v>
      </c>
    </row>
    <row r="406" spans="1:14" s="366" customFormat="1" ht="9" customHeight="1" x14ac:dyDescent="0.25">
      <c r="A406" s="366" t="s">
        <v>52</v>
      </c>
      <c r="B406" s="372">
        <f t="shared" si="24"/>
        <v>6120875</v>
      </c>
      <c r="C406" s="372"/>
      <c r="D406" s="372">
        <v>4725111</v>
      </c>
      <c r="E406" s="372"/>
      <c r="F406" s="372">
        <f t="shared" si="25"/>
        <v>743437</v>
      </c>
      <c r="G406" s="373"/>
      <c r="H406" s="372">
        <v>121618</v>
      </c>
      <c r="I406" s="372">
        <v>44969</v>
      </c>
      <c r="J406" s="372">
        <v>576850</v>
      </c>
      <c r="K406" s="372">
        <v>409918</v>
      </c>
      <c r="L406" s="372">
        <v>242409</v>
      </c>
    </row>
    <row r="407" spans="1:14" s="366" customFormat="1" ht="9" customHeight="1" x14ac:dyDescent="0.25">
      <c r="A407" s="375" t="s">
        <v>53</v>
      </c>
      <c r="B407" s="376">
        <f t="shared" si="24"/>
        <v>3977847</v>
      </c>
      <c r="C407" s="376"/>
      <c r="D407" s="376">
        <v>2980195</v>
      </c>
      <c r="E407" s="376"/>
      <c r="F407" s="376">
        <f t="shared" si="25"/>
        <v>379038</v>
      </c>
      <c r="G407" s="377"/>
      <c r="H407" s="376">
        <v>66015</v>
      </c>
      <c r="I407" s="376">
        <v>40081</v>
      </c>
      <c r="J407" s="376">
        <v>272942</v>
      </c>
      <c r="K407" s="376">
        <v>432210</v>
      </c>
      <c r="L407" s="376">
        <v>186404</v>
      </c>
    </row>
    <row r="408" spans="1:14" s="366" customFormat="1" ht="9" customHeight="1" x14ac:dyDescent="0.25">
      <c r="B408" s="372"/>
      <c r="C408" s="372"/>
      <c r="D408" s="372"/>
      <c r="E408" s="372"/>
      <c r="F408" s="372"/>
      <c r="G408" s="373"/>
      <c r="H408" s="372"/>
      <c r="I408" s="372"/>
      <c r="J408" s="372"/>
      <c r="K408" s="372"/>
      <c r="L408" s="372"/>
    </row>
    <row r="409" spans="1:14" s="366" customFormat="1" ht="9" customHeight="1" x14ac:dyDescent="0.25">
      <c r="A409" s="363">
        <v>2006</v>
      </c>
      <c r="B409" s="381"/>
      <c r="C409" s="381"/>
      <c r="D409" s="381"/>
      <c r="E409" s="368"/>
      <c r="F409" s="381"/>
      <c r="G409" s="382"/>
      <c r="H409" s="368"/>
      <c r="I409" s="368"/>
      <c r="J409" s="368"/>
      <c r="K409" s="368"/>
      <c r="L409" s="368"/>
    </row>
    <row r="410" spans="1:14" s="371" customFormat="1" ht="9" customHeight="1" x14ac:dyDescent="0.25">
      <c r="A410" s="367" t="s">
        <v>289</v>
      </c>
      <c r="B410" s="381">
        <f>SUM(B412:B443)-1</f>
        <v>274293443</v>
      </c>
      <c r="C410" s="381"/>
      <c r="D410" s="381">
        <f>SUM(D412:D443)-11</f>
        <v>191856517</v>
      </c>
      <c r="E410" s="368"/>
      <c r="F410" s="381">
        <f>SUM(F412:F443)+1</f>
        <v>41853659</v>
      </c>
      <c r="G410" s="382"/>
      <c r="H410" s="368">
        <f>SUM(H412:H443)</f>
        <v>5699125</v>
      </c>
      <c r="I410" s="368">
        <f>SUM(I412:I443)-29020</f>
        <v>4292323</v>
      </c>
      <c r="J410" s="368">
        <f>SUM(J412:J443)+20</f>
        <v>31833210</v>
      </c>
      <c r="K410" s="368">
        <f>SUM(K412:K443)</f>
        <v>26896526</v>
      </c>
      <c r="L410" s="368">
        <f>SUM(L412:L443)</f>
        <v>13686743</v>
      </c>
    </row>
    <row r="411" spans="1:14" s="371" customFormat="1" ht="3.95" customHeight="1" x14ac:dyDescent="0.25">
      <c r="A411" s="367"/>
      <c r="B411" s="381"/>
      <c r="C411" s="381"/>
      <c r="D411" s="381"/>
      <c r="E411" s="368"/>
      <c r="F411" s="381"/>
      <c r="G411" s="382"/>
      <c r="H411" s="368"/>
      <c r="I411" s="368"/>
      <c r="J411" s="368"/>
      <c r="K411" s="368"/>
      <c r="L411" s="368"/>
    </row>
    <row r="412" spans="1:14" s="366" customFormat="1" ht="9.6" customHeight="1" x14ac:dyDescent="0.25">
      <c r="A412" s="366" t="s">
        <v>280</v>
      </c>
      <c r="B412" s="386">
        <f t="shared" ref="B412:B431" si="26">SUM(D412,F412,K412:L412)</f>
        <v>3259621</v>
      </c>
      <c r="C412" s="386"/>
      <c r="D412" s="372">
        <v>2148635</v>
      </c>
      <c r="E412" s="372"/>
      <c r="F412" s="372">
        <f t="shared" ref="F412:F437" si="27">SUM(H412:J412)</f>
        <v>507556</v>
      </c>
      <c r="G412" s="393"/>
      <c r="H412" s="372">
        <v>68661</v>
      </c>
      <c r="I412" s="372">
        <v>34573</v>
      </c>
      <c r="J412" s="372">
        <v>404322</v>
      </c>
      <c r="K412" s="372">
        <v>458549</v>
      </c>
      <c r="L412" s="372">
        <v>144881</v>
      </c>
    </row>
    <row r="413" spans="1:14" s="366" customFormat="1" ht="9" customHeight="1" x14ac:dyDescent="0.25">
      <c r="A413" s="366" t="s">
        <v>24</v>
      </c>
      <c r="B413" s="386">
        <f t="shared" si="26"/>
        <v>6394188</v>
      </c>
      <c r="C413" s="386"/>
      <c r="D413" s="372">
        <v>4245993</v>
      </c>
      <c r="E413" s="372"/>
      <c r="F413" s="372">
        <f t="shared" si="27"/>
        <v>1008544</v>
      </c>
      <c r="G413" s="373"/>
      <c r="H413" s="372">
        <v>138788</v>
      </c>
      <c r="I413" s="372">
        <v>99492</v>
      </c>
      <c r="J413" s="372">
        <v>770264</v>
      </c>
      <c r="K413" s="372">
        <v>792357</v>
      </c>
      <c r="L413" s="372">
        <v>347294</v>
      </c>
      <c r="N413" s="374"/>
    </row>
    <row r="414" spans="1:14" s="366" customFormat="1" ht="9" customHeight="1" x14ac:dyDescent="0.25">
      <c r="A414" s="366" t="s">
        <v>25</v>
      </c>
      <c r="B414" s="386">
        <f t="shared" si="26"/>
        <v>1747702</v>
      </c>
      <c r="C414" s="386"/>
      <c r="D414" s="372">
        <v>1184637</v>
      </c>
      <c r="E414" s="372"/>
      <c r="F414" s="372">
        <f t="shared" si="27"/>
        <v>245462</v>
      </c>
      <c r="G414" s="373"/>
      <c r="H414" s="372">
        <v>41400</v>
      </c>
      <c r="I414" s="372">
        <v>22521</v>
      </c>
      <c r="J414" s="372">
        <v>181541</v>
      </c>
      <c r="K414" s="372">
        <v>232175</v>
      </c>
      <c r="L414" s="372">
        <v>85428</v>
      </c>
      <c r="N414" s="374"/>
    </row>
    <row r="415" spans="1:14" s="366" customFormat="1" ht="9.6" customHeight="1" x14ac:dyDescent="0.25">
      <c r="A415" s="375" t="s">
        <v>281</v>
      </c>
      <c r="B415" s="388">
        <f>SUM(D415,F415,K415:L415)-10</f>
        <v>2499683</v>
      </c>
      <c r="C415" s="388"/>
      <c r="D415" s="376">
        <v>1708265</v>
      </c>
      <c r="E415" s="376"/>
      <c r="F415" s="376">
        <f t="shared" si="27"/>
        <v>362599</v>
      </c>
      <c r="G415" s="394"/>
      <c r="H415" s="376">
        <v>67333</v>
      </c>
      <c r="I415" s="376">
        <v>51771</v>
      </c>
      <c r="J415" s="376">
        <v>243495</v>
      </c>
      <c r="K415" s="376">
        <v>309692</v>
      </c>
      <c r="L415" s="376">
        <v>119137</v>
      </c>
      <c r="N415" s="374"/>
    </row>
    <row r="416" spans="1:14" s="366" customFormat="1" ht="9.6" customHeight="1" x14ac:dyDescent="0.25">
      <c r="A416" s="366" t="s">
        <v>282</v>
      </c>
      <c r="B416" s="386">
        <f t="shared" si="26"/>
        <v>7561180</v>
      </c>
      <c r="C416" s="386"/>
      <c r="D416" s="372">
        <v>4827709</v>
      </c>
      <c r="E416" s="372"/>
      <c r="F416" s="372">
        <f t="shared" si="27"/>
        <v>1174686</v>
      </c>
      <c r="G416" s="393"/>
      <c r="H416" s="372">
        <v>167924</v>
      </c>
      <c r="I416" s="372">
        <v>158485</v>
      </c>
      <c r="J416" s="372">
        <v>848277</v>
      </c>
      <c r="K416" s="372">
        <v>1244486</v>
      </c>
      <c r="L416" s="372">
        <v>314299</v>
      </c>
      <c r="N416" s="374"/>
    </row>
    <row r="417" spans="1:14" s="366" customFormat="1" ht="9.6" customHeight="1" x14ac:dyDescent="0.25">
      <c r="A417" s="366" t="s">
        <v>283</v>
      </c>
      <c r="B417" s="372">
        <f t="shared" si="26"/>
        <v>1869178</v>
      </c>
      <c r="C417" s="372"/>
      <c r="D417" s="372">
        <v>1158841</v>
      </c>
      <c r="E417" s="372"/>
      <c r="F417" s="372">
        <f t="shared" si="27"/>
        <v>323355</v>
      </c>
      <c r="G417" s="393"/>
      <c r="H417" s="372">
        <v>47901</v>
      </c>
      <c r="I417" s="372">
        <v>27613</v>
      </c>
      <c r="J417" s="372">
        <v>247841</v>
      </c>
      <c r="K417" s="372">
        <v>296411</v>
      </c>
      <c r="L417" s="372">
        <v>90571</v>
      </c>
      <c r="N417" s="374"/>
    </row>
    <row r="418" spans="1:14" s="366" customFormat="1" ht="9" customHeight="1" x14ac:dyDescent="0.25">
      <c r="A418" s="366" t="s">
        <v>29</v>
      </c>
      <c r="B418" s="372">
        <f>SUM(D418,F418,K418:L418)+1</f>
        <v>9929173</v>
      </c>
      <c r="C418" s="372"/>
      <c r="D418" s="372">
        <v>8288240</v>
      </c>
      <c r="E418" s="372"/>
      <c r="F418" s="372">
        <f t="shared" si="27"/>
        <v>669174</v>
      </c>
      <c r="G418" s="373"/>
      <c r="H418" s="372">
        <v>110368</v>
      </c>
      <c r="I418" s="372">
        <v>66260</v>
      </c>
      <c r="J418" s="372">
        <v>492546</v>
      </c>
      <c r="K418" s="372">
        <v>620503</v>
      </c>
      <c r="L418" s="372">
        <v>351255</v>
      </c>
      <c r="N418" s="374"/>
    </row>
    <row r="419" spans="1:14" s="366" customFormat="1" ht="9" customHeight="1" x14ac:dyDescent="0.25">
      <c r="A419" s="375" t="s">
        <v>30</v>
      </c>
      <c r="B419" s="376">
        <f t="shared" si="26"/>
        <v>8309113</v>
      </c>
      <c r="C419" s="376"/>
      <c r="D419" s="376">
        <v>5804793</v>
      </c>
      <c r="E419" s="376"/>
      <c r="F419" s="376">
        <f t="shared" si="27"/>
        <v>1177813</v>
      </c>
      <c r="G419" s="377"/>
      <c r="H419" s="376">
        <v>196822</v>
      </c>
      <c r="I419" s="376">
        <v>127849</v>
      </c>
      <c r="J419" s="376">
        <v>853142</v>
      </c>
      <c r="K419" s="376">
        <v>977652</v>
      </c>
      <c r="L419" s="376">
        <v>348855</v>
      </c>
      <c r="N419" s="374"/>
    </row>
    <row r="420" spans="1:14" s="366" customFormat="1" ht="9.6" customHeight="1" x14ac:dyDescent="0.25">
      <c r="A420" s="366" t="s">
        <v>63</v>
      </c>
      <c r="B420" s="372">
        <f t="shared" si="26"/>
        <v>29445545</v>
      </c>
      <c r="C420" s="372"/>
      <c r="D420" s="372">
        <v>15665804</v>
      </c>
      <c r="E420" s="372"/>
      <c r="F420" s="372">
        <f t="shared" si="27"/>
        <v>9092981</v>
      </c>
      <c r="G420" s="387"/>
      <c r="H420" s="372">
        <v>819128</v>
      </c>
      <c r="I420" s="372">
        <v>791367</v>
      </c>
      <c r="J420" s="372">
        <v>7482486</v>
      </c>
      <c r="K420" s="372">
        <v>3087397</v>
      </c>
      <c r="L420" s="372">
        <v>1599363</v>
      </c>
      <c r="N420" s="374"/>
    </row>
    <row r="421" spans="1:14" s="366" customFormat="1" ht="9.6" customHeight="1" x14ac:dyDescent="0.25">
      <c r="A421" s="366" t="s">
        <v>284</v>
      </c>
      <c r="B421" s="372">
        <f t="shared" si="26"/>
        <v>4680098</v>
      </c>
      <c r="C421" s="372"/>
      <c r="D421" s="372">
        <v>3413087</v>
      </c>
      <c r="E421" s="372"/>
      <c r="F421" s="372">
        <f t="shared" si="27"/>
        <v>566502</v>
      </c>
      <c r="G421" s="393"/>
      <c r="H421" s="372">
        <v>85564</v>
      </c>
      <c r="I421" s="372">
        <v>63021</v>
      </c>
      <c r="J421" s="372">
        <v>417917</v>
      </c>
      <c r="K421" s="372">
        <v>528700</v>
      </c>
      <c r="L421" s="372">
        <v>171809</v>
      </c>
    </row>
    <row r="422" spans="1:14" s="366" customFormat="1" ht="9" customHeight="1" x14ac:dyDescent="0.25">
      <c r="A422" s="366" t="s">
        <v>32</v>
      </c>
      <c r="B422" s="372">
        <f t="shared" si="26"/>
        <v>11621350</v>
      </c>
      <c r="C422" s="372"/>
      <c r="D422" s="372">
        <v>8025742</v>
      </c>
      <c r="E422" s="372"/>
      <c r="F422" s="372">
        <f t="shared" si="27"/>
        <v>1585900</v>
      </c>
      <c r="G422" s="373"/>
      <c r="H422" s="372">
        <v>231335</v>
      </c>
      <c r="I422" s="372">
        <v>177712</v>
      </c>
      <c r="J422" s="372">
        <v>1176853</v>
      </c>
      <c r="K422" s="372">
        <v>1272052</v>
      </c>
      <c r="L422" s="372">
        <v>737656</v>
      </c>
    </row>
    <row r="423" spans="1:14" s="366" customFormat="1" ht="9" customHeight="1" x14ac:dyDescent="0.25">
      <c r="A423" s="375" t="s">
        <v>33</v>
      </c>
      <c r="B423" s="376">
        <f t="shared" si="26"/>
        <v>8620611</v>
      </c>
      <c r="C423" s="376"/>
      <c r="D423" s="376">
        <v>7017730</v>
      </c>
      <c r="E423" s="376"/>
      <c r="F423" s="376">
        <f t="shared" si="27"/>
        <v>779901</v>
      </c>
      <c r="G423" s="377"/>
      <c r="H423" s="376">
        <v>132122</v>
      </c>
      <c r="I423" s="376">
        <v>90296</v>
      </c>
      <c r="J423" s="376">
        <v>557483</v>
      </c>
      <c r="K423" s="376">
        <v>504289</v>
      </c>
      <c r="L423" s="376">
        <v>318691</v>
      </c>
    </row>
    <row r="424" spans="1:14" s="366" customFormat="1" ht="9" customHeight="1" x14ac:dyDescent="0.25">
      <c r="A424" s="366" t="s">
        <v>34</v>
      </c>
      <c r="B424" s="372">
        <f t="shared" si="26"/>
        <v>6722321</v>
      </c>
      <c r="C424" s="372"/>
      <c r="D424" s="372">
        <v>5278406</v>
      </c>
      <c r="E424" s="372"/>
      <c r="F424" s="372">
        <f t="shared" si="27"/>
        <v>668428</v>
      </c>
      <c r="G424" s="373"/>
      <c r="H424" s="372">
        <v>115988</v>
      </c>
      <c r="I424" s="372">
        <v>72241</v>
      </c>
      <c r="J424" s="372">
        <v>480199</v>
      </c>
      <c r="K424" s="372">
        <v>415461</v>
      </c>
      <c r="L424" s="372">
        <v>360026</v>
      </c>
    </row>
    <row r="425" spans="1:14" s="366" customFormat="1" ht="9.6" customHeight="1" x14ac:dyDescent="0.25">
      <c r="A425" s="366" t="s">
        <v>285</v>
      </c>
      <c r="B425" s="372">
        <f t="shared" si="26"/>
        <v>16554620</v>
      </c>
      <c r="C425" s="372"/>
      <c r="D425" s="372">
        <v>10755869</v>
      </c>
      <c r="E425" s="372"/>
      <c r="F425" s="372">
        <f t="shared" si="27"/>
        <v>3136997</v>
      </c>
      <c r="G425" s="393"/>
      <c r="H425" s="372">
        <v>462510</v>
      </c>
      <c r="I425" s="372">
        <v>245251</v>
      </c>
      <c r="J425" s="372">
        <v>2429236</v>
      </c>
      <c r="K425" s="372">
        <v>1934440</v>
      </c>
      <c r="L425" s="372">
        <v>727314</v>
      </c>
    </row>
    <row r="426" spans="1:14" s="366" customFormat="1" ht="9" customHeight="1" x14ac:dyDescent="0.25">
      <c r="A426" s="366" t="s">
        <v>36</v>
      </c>
      <c r="B426" s="372">
        <f t="shared" si="26"/>
        <v>28416388</v>
      </c>
      <c r="C426" s="372"/>
      <c r="D426" s="372">
        <v>22386796</v>
      </c>
      <c r="E426" s="372"/>
      <c r="F426" s="372">
        <f t="shared" si="27"/>
        <v>2926933</v>
      </c>
      <c r="G426" s="373"/>
      <c r="H426" s="372">
        <v>489314</v>
      </c>
      <c r="I426" s="372">
        <v>315555</v>
      </c>
      <c r="J426" s="372">
        <v>2122064</v>
      </c>
      <c r="K426" s="372">
        <v>1863466</v>
      </c>
      <c r="L426" s="372">
        <v>1239193</v>
      </c>
    </row>
    <row r="427" spans="1:14" s="366" customFormat="1" ht="9" customHeight="1" x14ac:dyDescent="0.25">
      <c r="A427" s="375" t="s">
        <v>37</v>
      </c>
      <c r="B427" s="376">
        <f t="shared" si="26"/>
        <v>9823327</v>
      </c>
      <c r="C427" s="376"/>
      <c r="D427" s="376">
        <v>7470196</v>
      </c>
      <c r="E427" s="376"/>
      <c r="F427" s="376">
        <f t="shared" si="27"/>
        <v>1081369</v>
      </c>
      <c r="G427" s="377"/>
      <c r="H427" s="376">
        <v>168095</v>
      </c>
      <c r="I427" s="376">
        <v>130555</v>
      </c>
      <c r="J427" s="376">
        <v>782719</v>
      </c>
      <c r="K427" s="376">
        <v>730143</v>
      </c>
      <c r="L427" s="376">
        <v>541619</v>
      </c>
    </row>
    <row r="428" spans="1:14" s="366" customFormat="1" ht="9" customHeight="1" x14ac:dyDescent="0.25">
      <c r="A428" s="366" t="s">
        <v>38</v>
      </c>
      <c r="B428" s="372">
        <f t="shared" si="26"/>
        <v>3986585</v>
      </c>
      <c r="C428" s="372"/>
      <c r="D428" s="372">
        <v>2719477</v>
      </c>
      <c r="E428" s="372"/>
      <c r="F428" s="372">
        <f t="shared" si="27"/>
        <v>587316</v>
      </c>
      <c r="G428" s="373"/>
      <c r="H428" s="372">
        <v>77746</v>
      </c>
      <c r="I428" s="372">
        <v>44794</v>
      </c>
      <c r="J428" s="372">
        <v>464776</v>
      </c>
      <c r="K428" s="372">
        <v>482907</v>
      </c>
      <c r="L428" s="372">
        <v>196885</v>
      </c>
    </row>
    <row r="429" spans="1:14" s="366" customFormat="1" ht="9.6" customHeight="1" x14ac:dyDescent="0.25">
      <c r="A429" s="366" t="s">
        <v>39</v>
      </c>
      <c r="B429" s="372">
        <f t="shared" si="26"/>
        <v>3125764</v>
      </c>
      <c r="C429" s="372"/>
      <c r="D429" s="372">
        <v>2219537</v>
      </c>
      <c r="E429" s="372"/>
      <c r="F429" s="372">
        <f t="shared" si="27"/>
        <v>448857</v>
      </c>
      <c r="G429" s="373"/>
      <c r="H429" s="372">
        <v>64240</v>
      </c>
      <c r="I429" s="372">
        <v>49760</v>
      </c>
      <c r="J429" s="372">
        <v>334857</v>
      </c>
      <c r="K429" s="372">
        <v>320462</v>
      </c>
      <c r="L429" s="372">
        <v>136908</v>
      </c>
    </row>
    <row r="430" spans="1:14" s="366" customFormat="1" ht="9.6" customHeight="1" x14ac:dyDescent="0.25">
      <c r="A430" s="366" t="s">
        <v>286</v>
      </c>
      <c r="B430" s="372">
        <f t="shared" si="26"/>
        <v>11734155</v>
      </c>
      <c r="C430" s="372"/>
      <c r="D430" s="372">
        <v>7467280</v>
      </c>
      <c r="E430" s="372"/>
      <c r="F430" s="372">
        <f t="shared" si="27"/>
        <v>2051483</v>
      </c>
      <c r="G430" s="393"/>
      <c r="H430" s="372">
        <v>275770</v>
      </c>
      <c r="I430" s="372">
        <v>168788</v>
      </c>
      <c r="J430" s="372">
        <v>1606925</v>
      </c>
      <c r="K430" s="372">
        <v>1695357</v>
      </c>
      <c r="L430" s="372">
        <v>520035</v>
      </c>
    </row>
    <row r="431" spans="1:14" s="366" customFormat="1" ht="9" customHeight="1" x14ac:dyDescent="0.25">
      <c r="A431" s="375" t="s">
        <v>41</v>
      </c>
      <c r="B431" s="376">
        <f t="shared" si="26"/>
        <v>8116329</v>
      </c>
      <c r="C431" s="376"/>
      <c r="D431" s="376">
        <v>6539774</v>
      </c>
      <c r="E431" s="376"/>
      <c r="F431" s="376">
        <f t="shared" si="27"/>
        <v>716848</v>
      </c>
      <c r="G431" s="377"/>
      <c r="H431" s="376">
        <v>101027</v>
      </c>
      <c r="I431" s="376">
        <v>88546</v>
      </c>
      <c r="J431" s="376">
        <v>527275</v>
      </c>
      <c r="K431" s="376">
        <v>449944</v>
      </c>
      <c r="L431" s="376">
        <v>409763</v>
      </c>
    </row>
    <row r="432" spans="1:14" s="366" customFormat="1" ht="9.6" customHeight="1" x14ac:dyDescent="0.25">
      <c r="A432" s="366" t="s">
        <v>287</v>
      </c>
      <c r="B432" s="372">
        <f>SUM(D432,F432,K432:L432)-1</f>
        <v>12750559</v>
      </c>
      <c r="C432" s="372"/>
      <c r="D432" s="372">
        <v>9128013</v>
      </c>
      <c r="E432" s="372"/>
      <c r="F432" s="372">
        <f t="shared" si="27"/>
        <v>1767117</v>
      </c>
      <c r="G432" s="387"/>
      <c r="H432" s="372">
        <v>288647</v>
      </c>
      <c r="I432" s="372">
        <v>213124</v>
      </c>
      <c r="J432" s="372">
        <v>1265346</v>
      </c>
      <c r="K432" s="372">
        <v>995212</v>
      </c>
      <c r="L432" s="372">
        <v>860218</v>
      </c>
    </row>
    <row r="433" spans="1:12" s="366" customFormat="1" ht="9" customHeight="1" x14ac:dyDescent="0.25">
      <c r="A433" s="366" t="s">
        <v>43</v>
      </c>
      <c r="B433" s="372">
        <f>SUM(D433,F433,K433:L433)</f>
        <v>3949771</v>
      </c>
      <c r="C433" s="372"/>
      <c r="D433" s="372">
        <v>2869745</v>
      </c>
      <c r="E433" s="372"/>
      <c r="F433" s="372">
        <f t="shared" si="27"/>
        <v>497125</v>
      </c>
      <c r="G433" s="373"/>
      <c r="H433" s="372">
        <v>57033</v>
      </c>
      <c r="I433" s="372">
        <v>28798</v>
      </c>
      <c r="J433" s="372">
        <v>411294</v>
      </c>
      <c r="K433" s="372">
        <v>327722</v>
      </c>
      <c r="L433" s="372">
        <v>255179</v>
      </c>
    </row>
    <row r="434" spans="1:12" s="366" customFormat="1" ht="9" customHeight="1" x14ac:dyDescent="0.25">
      <c r="A434" s="366" t="s">
        <v>44</v>
      </c>
      <c r="B434" s="372">
        <f>SUM(D434,F434,K434:L434)</f>
        <v>2832274</v>
      </c>
      <c r="C434" s="372"/>
      <c r="D434" s="372">
        <v>1961463</v>
      </c>
      <c r="E434" s="372"/>
      <c r="F434" s="372">
        <f t="shared" si="27"/>
        <v>336417</v>
      </c>
      <c r="G434" s="373"/>
      <c r="H434" s="372">
        <v>69966</v>
      </c>
      <c r="I434" s="372">
        <v>38117</v>
      </c>
      <c r="J434" s="372">
        <v>228334</v>
      </c>
      <c r="K434" s="372">
        <v>400874</v>
      </c>
      <c r="L434" s="372">
        <v>133520</v>
      </c>
    </row>
    <row r="435" spans="1:12" s="366" customFormat="1" ht="9" customHeight="1" x14ac:dyDescent="0.25">
      <c r="A435" s="375" t="s">
        <v>45</v>
      </c>
      <c r="B435" s="376">
        <f>SUM(D435,F435,K435:L435)</f>
        <v>6420693</v>
      </c>
      <c r="C435" s="376"/>
      <c r="D435" s="376">
        <v>4494398</v>
      </c>
      <c r="E435" s="376"/>
      <c r="F435" s="376">
        <f t="shared" si="27"/>
        <v>860014</v>
      </c>
      <c r="G435" s="377"/>
      <c r="H435" s="376">
        <v>102581</v>
      </c>
      <c r="I435" s="376">
        <v>68373</v>
      </c>
      <c r="J435" s="376">
        <v>689060</v>
      </c>
      <c r="K435" s="376">
        <v>670113</v>
      </c>
      <c r="L435" s="376">
        <v>396168</v>
      </c>
    </row>
    <row r="436" spans="1:12" s="366" customFormat="1" ht="9" customHeight="1" x14ac:dyDescent="0.25">
      <c r="A436" s="366" t="s">
        <v>46</v>
      </c>
      <c r="B436" s="372">
        <f>SUM(D436,F436,K436:L436)</f>
        <v>8656245</v>
      </c>
      <c r="C436" s="372"/>
      <c r="D436" s="372">
        <v>6033465</v>
      </c>
      <c r="E436" s="372"/>
      <c r="F436" s="372">
        <f t="shared" si="27"/>
        <v>1346866</v>
      </c>
      <c r="G436" s="373"/>
      <c r="H436" s="372">
        <v>187221</v>
      </c>
      <c r="I436" s="372">
        <v>158655</v>
      </c>
      <c r="J436" s="372">
        <v>1000990</v>
      </c>
      <c r="K436" s="372">
        <v>861155</v>
      </c>
      <c r="L436" s="372">
        <v>414759</v>
      </c>
    </row>
    <row r="437" spans="1:12" s="366" customFormat="1" ht="9.6" customHeight="1" x14ac:dyDescent="0.25">
      <c r="A437" s="366" t="s">
        <v>288</v>
      </c>
      <c r="B437" s="372">
        <f>SUM(D437,F437,K437:L437)</f>
        <v>6721347</v>
      </c>
      <c r="C437" s="372"/>
      <c r="D437" s="372">
        <v>4258436</v>
      </c>
      <c r="E437" s="372"/>
      <c r="F437" s="372">
        <f t="shared" si="27"/>
        <v>1206864</v>
      </c>
      <c r="G437" s="387"/>
      <c r="H437" s="372">
        <v>183565</v>
      </c>
      <c r="I437" s="372">
        <v>132074</v>
      </c>
      <c r="J437" s="372">
        <v>891225</v>
      </c>
      <c r="K437" s="372">
        <v>938080</v>
      </c>
      <c r="L437" s="372">
        <v>317967</v>
      </c>
    </row>
    <row r="438" spans="1:12" s="366" customFormat="1" ht="9" customHeight="1" x14ac:dyDescent="0.25">
      <c r="A438" s="366" t="s">
        <v>48</v>
      </c>
      <c r="B438" s="372">
        <f>SUM(D438,F438,K438:L438)-1</f>
        <v>7865787</v>
      </c>
      <c r="C438" s="372"/>
      <c r="D438" s="372">
        <v>5566987</v>
      </c>
      <c r="E438" s="372"/>
      <c r="F438" s="372">
        <f t="shared" ref="F438:F443" si="28">SUM(H438:J438)</f>
        <v>1154628</v>
      </c>
      <c r="G438" s="387"/>
      <c r="H438" s="372">
        <v>154257</v>
      </c>
      <c r="I438" s="372">
        <v>189204</v>
      </c>
      <c r="J438" s="372">
        <v>811167</v>
      </c>
      <c r="K438" s="372">
        <v>670769</v>
      </c>
      <c r="L438" s="372">
        <v>473404</v>
      </c>
    </row>
    <row r="439" spans="1:12" s="366" customFormat="1" ht="9" customHeight="1" x14ac:dyDescent="0.25">
      <c r="A439" s="375" t="s">
        <v>49</v>
      </c>
      <c r="B439" s="376">
        <f>SUM(D439,F439,K439:L439)</f>
        <v>8751986</v>
      </c>
      <c r="C439" s="376"/>
      <c r="D439" s="376">
        <v>5765610</v>
      </c>
      <c r="E439" s="376"/>
      <c r="F439" s="376">
        <f t="shared" si="28"/>
        <v>1687738</v>
      </c>
      <c r="G439" s="377"/>
      <c r="H439" s="376">
        <v>215574</v>
      </c>
      <c r="I439" s="376">
        <v>230343</v>
      </c>
      <c r="J439" s="376">
        <v>1241821</v>
      </c>
      <c r="K439" s="376">
        <v>952572</v>
      </c>
      <c r="L439" s="376">
        <v>346066</v>
      </c>
    </row>
    <row r="440" spans="1:12" s="366" customFormat="1" ht="9" customHeight="1" x14ac:dyDescent="0.25">
      <c r="A440" s="366" t="s">
        <v>50</v>
      </c>
      <c r="B440" s="372">
        <f>SUM(D440,F440,K440:L440)</f>
        <v>2663068</v>
      </c>
      <c r="C440" s="372"/>
      <c r="D440" s="372">
        <v>1962830</v>
      </c>
      <c r="E440" s="372"/>
      <c r="F440" s="372">
        <f t="shared" si="28"/>
        <v>317754</v>
      </c>
      <c r="G440" s="373"/>
      <c r="H440" s="372">
        <v>41125</v>
      </c>
      <c r="I440" s="372">
        <v>40335</v>
      </c>
      <c r="J440" s="372">
        <v>236294</v>
      </c>
      <c r="K440" s="372">
        <v>232563</v>
      </c>
      <c r="L440" s="372">
        <v>149921</v>
      </c>
    </row>
    <row r="441" spans="1:12" s="366" customFormat="1" ht="9" customHeight="1" x14ac:dyDescent="0.25">
      <c r="A441" s="366" t="s">
        <v>51</v>
      </c>
      <c r="B441" s="372">
        <f>SUM(D441,F441,K441:L441)</f>
        <v>18724415</v>
      </c>
      <c r="C441" s="372"/>
      <c r="D441" s="372">
        <v>13475529</v>
      </c>
      <c r="E441" s="372"/>
      <c r="F441" s="372">
        <f t="shared" si="28"/>
        <v>2398068</v>
      </c>
      <c r="G441" s="373"/>
      <c r="H441" s="372">
        <v>343899</v>
      </c>
      <c r="I441" s="372">
        <v>301906</v>
      </c>
      <c r="J441" s="372">
        <v>1752263</v>
      </c>
      <c r="K441" s="372">
        <v>1753543</v>
      </c>
      <c r="L441" s="372">
        <v>1097275</v>
      </c>
    </row>
    <row r="442" spans="1:12" s="366" customFormat="1" ht="9" customHeight="1" x14ac:dyDescent="0.25">
      <c r="A442" s="366" t="s">
        <v>52</v>
      </c>
      <c r="B442" s="372">
        <f>SUM(D442,F442,K442:L442)</f>
        <v>6410556</v>
      </c>
      <c r="C442" s="372"/>
      <c r="D442" s="372">
        <v>4979928</v>
      </c>
      <c r="E442" s="372"/>
      <c r="F442" s="372">
        <f t="shared" si="28"/>
        <v>760278</v>
      </c>
      <c r="G442" s="373"/>
      <c r="H442" s="372">
        <v>122260</v>
      </c>
      <c r="I442" s="372">
        <v>51932</v>
      </c>
      <c r="J442" s="372">
        <v>586086</v>
      </c>
      <c r="K442" s="372">
        <v>414367</v>
      </c>
      <c r="L442" s="372">
        <v>255983</v>
      </c>
    </row>
    <row r="443" spans="1:12" s="366" customFormat="1" ht="9" customHeight="1" x14ac:dyDescent="0.25">
      <c r="A443" s="375" t="s">
        <v>53</v>
      </c>
      <c r="B443" s="376">
        <f>SUM(D443,F443,K443:L443)</f>
        <v>4129812</v>
      </c>
      <c r="C443" s="376"/>
      <c r="D443" s="376">
        <v>3033313</v>
      </c>
      <c r="E443" s="376"/>
      <c r="F443" s="376">
        <f t="shared" si="28"/>
        <v>408085</v>
      </c>
      <c r="G443" s="377"/>
      <c r="H443" s="376">
        <v>70961</v>
      </c>
      <c r="I443" s="376">
        <v>42032</v>
      </c>
      <c r="J443" s="376">
        <v>295092</v>
      </c>
      <c r="K443" s="376">
        <v>463113</v>
      </c>
      <c r="L443" s="376">
        <v>225301</v>
      </c>
    </row>
    <row r="444" spans="1:12" s="366" customFormat="1" ht="9" customHeight="1" x14ac:dyDescent="0.25">
      <c r="B444" s="372"/>
      <c r="C444" s="372"/>
      <c r="D444" s="372"/>
      <c r="E444" s="372"/>
      <c r="F444" s="372"/>
      <c r="G444" s="373"/>
      <c r="H444" s="372"/>
      <c r="I444" s="372"/>
      <c r="J444" s="372"/>
      <c r="K444" s="372"/>
      <c r="L444" s="372"/>
    </row>
    <row r="445" spans="1:12" s="366" customFormat="1" ht="9" customHeight="1" x14ac:dyDescent="0.25">
      <c r="A445" s="363">
        <v>2007</v>
      </c>
      <c r="B445" s="368"/>
      <c r="C445" s="368"/>
      <c r="D445" s="364"/>
      <c r="E445" s="364"/>
      <c r="F445" s="381"/>
      <c r="G445" s="365"/>
      <c r="H445" s="364"/>
      <c r="I445" s="364"/>
      <c r="J445" s="368"/>
      <c r="K445" s="364"/>
    </row>
    <row r="446" spans="1:12" s="371" customFormat="1" ht="9" customHeight="1" x14ac:dyDescent="0.25">
      <c r="A446" s="367" t="s">
        <v>21</v>
      </c>
      <c r="B446" s="368">
        <f>SUM(B448:B479)</f>
        <v>277767955</v>
      </c>
      <c r="C446" s="381"/>
      <c r="D446" s="368">
        <f>SUM(D448:D479)</f>
        <v>194908237</v>
      </c>
      <c r="E446" s="368"/>
      <c r="F446" s="368">
        <f>SUM(F448:F479)</f>
        <v>43546860</v>
      </c>
      <c r="G446" s="382"/>
      <c r="H446" s="368">
        <f>SUM(H448:H479)</f>
        <v>5805644</v>
      </c>
      <c r="I446" s="368">
        <f>SUM(I448:I479)</f>
        <v>4281647</v>
      </c>
      <c r="J446" s="368">
        <f>SUM(J448:J479)</f>
        <v>33459569</v>
      </c>
      <c r="K446" s="368">
        <f>SUM(K448:K479)</f>
        <v>24813422</v>
      </c>
      <c r="L446" s="368">
        <f>SUM(L448:L479)</f>
        <v>14499436</v>
      </c>
    </row>
    <row r="447" spans="1:12" s="371" customFormat="1" ht="3.95" customHeight="1" x14ac:dyDescent="0.25">
      <c r="A447" s="367"/>
      <c r="B447" s="381"/>
      <c r="C447" s="381"/>
      <c r="D447" s="381"/>
      <c r="E447" s="368"/>
      <c r="F447" s="381"/>
      <c r="G447" s="382"/>
      <c r="H447" s="368"/>
      <c r="I447" s="368"/>
      <c r="J447" s="368"/>
      <c r="K447" s="368"/>
      <c r="L447" s="368"/>
    </row>
    <row r="448" spans="1:12" s="366" customFormat="1" ht="9.6" customHeight="1" x14ac:dyDescent="0.25">
      <c r="A448" s="366" t="s">
        <v>280</v>
      </c>
      <c r="B448" s="386">
        <f t="shared" ref="B448:B460" si="29">SUM(D448,F448,K448:L448)</f>
        <v>3431794</v>
      </c>
      <c r="C448" s="386"/>
      <c r="D448" s="372">
        <v>2258626</v>
      </c>
      <c r="E448" s="372"/>
      <c r="F448" s="372">
        <f t="shared" ref="F448:F479" si="30">SUM(H448:J448)</f>
        <v>535532</v>
      </c>
      <c r="G448" s="393"/>
      <c r="H448" s="372">
        <v>84818</v>
      </c>
      <c r="I448" s="372">
        <v>36898</v>
      </c>
      <c r="J448" s="372">
        <v>413816</v>
      </c>
      <c r="K448" s="372">
        <v>459989</v>
      </c>
      <c r="L448" s="372">
        <v>177647</v>
      </c>
    </row>
    <row r="449" spans="1:12" s="366" customFormat="1" ht="9" customHeight="1" x14ac:dyDescent="0.25">
      <c r="A449" s="366" t="s">
        <v>24</v>
      </c>
      <c r="B449" s="386">
        <f t="shared" si="29"/>
        <v>6671925</v>
      </c>
      <c r="C449" s="386"/>
      <c r="D449" s="372">
        <v>4446180</v>
      </c>
      <c r="E449" s="372"/>
      <c r="F449" s="372">
        <f t="shared" si="30"/>
        <v>1109650</v>
      </c>
      <c r="G449" s="373"/>
      <c r="H449" s="372">
        <v>132513</v>
      </c>
      <c r="I449" s="372">
        <v>69859</v>
      </c>
      <c r="J449" s="372">
        <v>907278</v>
      </c>
      <c r="K449" s="372">
        <v>788564</v>
      </c>
      <c r="L449" s="372">
        <v>327531</v>
      </c>
    </row>
    <row r="450" spans="1:12" s="366" customFormat="1" ht="9" customHeight="1" x14ac:dyDescent="0.25">
      <c r="A450" s="366" t="s">
        <v>25</v>
      </c>
      <c r="B450" s="386">
        <f t="shared" si="29"/>
        <v>1732337</v>
      </c>
      <c r="C450" s="386"/>
      <c r="D450" s="372">
        <v>1188485</v>
      </c>
      <c r="E450" s="372"/>
      <c r="F450" s="372">
        <f t="shared" si="30"/>
        <v>284987</v>
      </c>
      <c r="G450" s="373"/>
      <c r="H450" s="372">
        <v>39805</v>
      </c>
      <c r="I450" s="372">
        <v>27421</v>
      </c>
      <c r="J450" s="372">
        <v>217761</v>
      </c>
      <c r="K450" s="372">
        <v>170635</v>
      </c>
      <c r="L450" s="372">
        <v>88230</v>
      </c>
    </row>
    <row r="451" spans="1:12" s="366" customFormat="1" ht="9.6" customHeight="1" x14ac:dyDescent="0.25">
      <c r="A451" s="375" t="s">
        <v>281</v>
      </c>
      <c r="B451" s="388">
        <f t="shared" si="29"/>
        <v>2410979</v>
      </c>
      <c r="C451" s="388"/>
      <c r="D451" s="376">
        <v>1705145</v>
      </c>
      <c r="E451" s="376"/>
      <c r="F451" s="376">
        <f t="shared" si="30"/>
        <v>346058</v>
      </c>
      <c r="G451" s="394"/>
      <c r="H451" s="376">
        <v>59645</v>
      </c>
      <c r="I451" s="376">
        <v>46210</v>
      </c>
      <c r="J451" s="376">
        <v>240203</v>
      </c>
      <c r="K451" s="376">
        <v>241715</v>
      </c>
      <c r="L451" s="376">
        <v>118061</v>
      </c>
    </row>
    <row r="452" spans="1:12" s="366" customFormat="1" ht="9.6" customHeight="1" x14ac:dyDescent="0.25">
      <c r="A452" s="366" t="s">
        <v>282</v>
      </c>
      <c r="B452" s="386">
        <f t="shared" si="29"/>
        <v>7703004</v>
      </c>
      <c r="C452" s="386"/>
      <c r="D452" s="372">
        <v>4881612</v>
      </c>
      <c r="E452" s="372"/>
      <c r="F452" s="372">
        <f t="shared" si="30"/>
        <v>1243877</v>
      </c>
      <c r="G452" s="393"/>
      <c r="H452" s="372">
        <v>178781</v>
      </c>
      <c r="I452" s="372">
        <v>179311</v>
      </c>
      <c r="J452" s="372">
        <v>885785</v>
      </c>
      <c r="K452" s="372">
        <v>1260251</v>
      </c>
      <c r="L452" s="372">
        <v>317264</v>
      </c>
    </row>
    <row r="453" spans="1:12" s="366" customFormat="1" ht="9.6" customHeight="1" x14ac:dyDescent="0.25">
      <c r="A453" s="366" t="s">
        <v>283</v>
      </c>
      <c r="B453" s="372">
        <f t="shared" si="29"/>
        <v>1854151</v>
      </c>
      <c r="C453" s="372"/>
      <c r="D453" s="372">
        <v>1164397</v>
      </c>
      <c r="E453" s="372"/>
      <c r="F453" s="372">
        <f t="shared" si="30"/>
        <v>324824</v>
      </c>
      <c r="G453" s="393"/>
      <c r="H453" s="372">
        <v>41222</v>
      </c>
      <c r="I453" s="372">
        <v>20632</v>
      </c>
      <c r="J453" s="372">
        <v>262970</v>
      </c>
      <c r="K453" s="372">
        <v>269395</v>
      </c>
      <c r="L453" s="372">
        <v>95535</v>
      </c>
    </row>
    <row r="454" spans="1:12" s="366" customFormat="1" ht="9" customHeight="1" x14ac:dyDescent="0.25">
      <c r="A454" s="366" t="s">
        <v>29</v>
      </c>
      <c r="B454" s="372">
        <f t="shared" si="29"/>
        <v>9644688</v>
      </c>
      <c r="C454" s="372"/>
      <c r="D454" s="372">
        <v>8072166</v>
      </c>
      <c r="E454" s="372"/>
      <c r="F454" s="372">
        <f t="shared" si="30"/>
        <v>699457</v>
      </c>
      <c r="G454" s="373"/>
      <c r="H454" s="372">
        <v>107947</v>
      </c>
      <c r="I454" s="372">
        <v>68079</v>
      </c>
      <c r="J454" s="372">
        <v>523431</v>
      </c>
      <c r="K454" s="372">
        <v>520894</v>
      </c>
      <c r="L454" s="372">
        <v>352171</v>
      </c>
    </row>
    <row r="455" spans="1:12" s="366" customFormat="1" ht="9" customHeight="1" x14ac:dyDescent="0.25">
      <c r="A455" s="375" t="s">
        <v>30</v>
      </c>
      <c r="B455" s="376">
        <f t="shared" si="29"/>
        <v>8165993</v>
      </c>
      <c r="C455" s="376"/>
      <c r="D455" s="376">
        <v>5701632</v>
      </c>
      <c r="E455" s="376"/>
      <c r="F455" s="376">
        <f t="shared" si="30"/>
        <v>1265711</v>
      </c>
      <c r="G455" s="377"/>
      <c r="H455" s="376">
        <v>191132</v>
      </c>
      <c r="I455" s="376">
        <v>117154</v>
      </c>
      <c r="J455" s="376">
        <v>957425</v>
      </c>
      <c r="K455" s="376">
        <v>845786</v>
      </c>
      <c r="L455" s="376">
        <v>352864</v>
      </c>
    </row>
    <row r="456" spans="1:12" s="366" customFormat="1" ht="9.6" customHeight="1" x14ac:dyDescent="0.25">
      <c r="A456" s="366" t="s">
        <v>63</v>
      </c>
      <c r="B456" s="372">
        <f t="shared" si="29"/>
        <v>29228344</v>
      </c>
      <c r="C456" s="372"/>
      <c r="D456" s="372">
        <v>16135159</v>
      </c>
      <c r="E456" s="372"/>
      <c r="F456" s="372">
        <f t="shared" si="30"/>
        <v>9302858</v>
      </c>
      <c r="G456" s="387"/>
      <c r="H456" s="372">
        <v>845178</v>
      </c>
      <c r="I456" s="372">
        <v>629969</v>
      </c>
      <c r="J456" s="372">
        <v>7827711</v>
      </c>
      <c r="K456" s="372">
        <v>2195338</v>
      </c>
      <c r="L456" s="372">
        <v>1594989</v>
      </c>
    </row>
    <row r="457" spans="1:12" s="366" customFormat="1" ht="9.6" customHeight="1" x14ac:dyDescent="0.25">
      <c r="A457" s="366" t="s">
        <v>284</v>
      </c>
      <c r="B457" s="372">
        <f t="shared" si="29"/>
        <v>4715671</v>
      </c>
      <c r="C457" s="372"/>
      <c r="D457" s="372">
        <v>3395874</v>
      </c>
      <c r="E457" s="372"/>
      <c r="F457" s="372">
        <f t="shared" si="30"/>
        <v>603584</v>
      </c>
      <c r="G457" s="393"/>
      <c r="H457" s="372">
        <v>90319</v>
      </c>
      <c r="I457" s="372">
        <v>63360</v>
      </c>
      <c r="J457" s="372">
        <v>449905</v>
      </c>
      <c r="K457" s="372">
        <v>536498</v>
      </c>
      <c r="L457" s="372">
        <v>179715</v>
      </c>
    </row>
    <row r="458" spans="1:12" s="366" customFormat="1" ht="9" customHeight="1" x14ac:dyDescent="0.25">
      <c r="A458" s="366" t="s">
        <v>32</v>
      </c>
      <c r="B458" s="372">
        <f t="shared" si="29"/>
        <v>11434601</v>
      </c>
      <c r="C458" s="372"/>
      <c r="D458" s="372">
        <v>8178117</v>
      </c>
      <c r="E458" s="372"/>
      <c r="F458" s="372">
        <f t="shared" si="30"/>
        <v>1671490</v>
      </c>
      <c r="G458" s="373"/>
      <c r="H458" s="372">
        <v>235890</v>
      </c>
      <c r="I458" s="372">
        <v>176811</v>
      </c>
      <c r="J458" s="372">
        <v>1258789</v>
      </c>
      <c r="K458" s="372">
        <v>806310</v>
      </c>
      <c r="L458" s="372">
        <v>778684</v>
      </c>
    </row>
    <row r="459" spans="1:12" s="366" customFormat="1" ht="9" customHeight="1" x14ac:dyDescent="0.25">
      <c r="A459" s="375" t="s">
        <v>33</v>
      </c>
      <c r="B459" s="376">
        <f t="shared" si="29"/>
        <v>8742233</v>
      </c>
      <c r="C459" s="376"/>
      <c r="D459" s="376">
        <v>6909464</v>
      </c>
      <c r="E459" s="376"/>
      <c r="F459" s="376">
        <f t="shared" si="30"/>
        <v>863276</v>
      </c>
      <c r="G459" s="377"/>
      <c r="H459" s="376">
        <v>151897</v>
      </c>
      <c r="I459" s="376">
        <v>97215</v>
      </c>
      <c r="J459" s="376">
        <v>614164</v>
      </c>
      <c r="K459" s="376">
        <v>544643</v>
      </c>
      <c r="L459" s="376">
        <v>424850</v>
      </c>
    </row>
    <row r="460" spans="1:12" s="366" customFormat="1" ht="9" customHeight="1" x14ac:dyDescent="0.25">
      <c r="A460" s="366" t="s">
        <v>34</v>
      </c>
      <c r="B460" s="372">
        <f t="shared" si="29"/>
        <v>6861043</v>
      </c>
      <c r="C460" s="372"/>
      <c r="D460" s="372">
        <v>5318122</v>
      </c>
      <c r="E460" s="372"/>
      <c r="F460" s="372">
        <f t="shared" si="30"/>
        <v>786254</v>
      </c>
      <c r="G460" s="373"/>
      <c r="H460" s="372">
        <v>128051</v>
      </c>
      <c r="I460" s="372">
        <v>74708</v>
      </c>
      <c r="J460" s="372">
        <v>583495</v>
      </c>
      <c r="K460" s="372">
        <v>377991</v>
      </c>
      <c r="L460" s="372">
        <v>378676</v>
      </c>
    </row>
    <row r="461" spans="1:12" s="366" customFormat="1" ht="9.6" customHeight="1" x14ac:dyDescent="0.25">
      <c r="A461" s="366" t="s">
        <v>285</v>
      </c>
      <c r="B461" s="372">
        <f>SUM(D461,F461,K461:L461)</f>
        <v>17015112</v>
      </c>
      <c r="C461" s="372"/>
      <c r="D461" s="372">
        <v>10902949</v>
      </c>
      <c r="E461" s="372"/>
      <c r="F461" s="372">
        <f t="shared" si="30"/>
        <v>3261919</v>
      </c>
      <c r="G461" s="393"/>
      <c r="H461" s="372">
        <v>477247</v>
      </c>
      <c r="I461" s="372">
        <v>282787</v>
      </c>
      <c r="J461" s="372">
        <v>2501885</v>
      </c>
      <c r="K461" s="372">
        <v>2077258</v>
      </c>
      <c r="L461" s="372">
        <v>772986</v>
      </c>
    </row>
    <row r="462" spans="1:12" s="366" customFormat="1" ht="9" customHeight="1" x14ac:dyDescent="0.25">
      <c r="A462" s="366" t="s">
        <v>36</v>
      </c>
      <c r="B462" s="372">
        <f t="shared" ref="B462:B479" si="31">SUM(D462,F462,K462:L462)</f>
        <v>29730320</v>
      </c>
      <c r="C462" s="372"/>
      <c r="D462" s="372">
        <v>22985999</v>
      </c>
      <c r="E462" s="372"/>
      <c r="F462" s="372">
        <f t="shared" si="30"/>
        <v>3200865</v>
      </c>
      <c r="G462" s="373"/>
      <c r="H462" s="372">
        <v>528058</v>
      </c>
      <c r="I462" s="372">
        <v>336948</v>
      </c>
      <c r="J462" s="372">
        <v>2335859</v>
      </c>
      <c r="K462" s="372">
        <v>2139715</v>
      </c>
      <c r="L462" s="372">
        <v>1403741</v>
      </c>
    </row>
    <row r="463" spans="1:12" s="366" customFormat="1" ht="9" customHeight="1" x14ac:dyDescent="0.25">
      <c r="A463" s="375" t="s">
        <v>37</v>
      </c>
      <c r="B463" s="376">
        <f t="shared" si="31"/>
        <v>9877772</v>
      </c>
      <c r="C463" s="376"/>
      <c r="D463" s="376">
        <v>7448115</v>
      </c>
      <c r="E463" s="376"/>
      <c r="F463" s="376">
        <f t="shared" si="30"/>
        <v>1095351</v>
      </c>
      <c r="G463" s="377"/>
      <c r="H463" s="376">
        <v>178675</v>
      </c>
      <c r="I463" s="376">
        <v>126807</v>
      </c>
      <c r="J463" s="376">
        <v>789869</v>
      </c>
      <c r="K463" s="376">
        <v>749022</v>
      </c>
      <c r="L463" s="376">
        <v>585284</v>
      </c>
    </row>
    <row r="464" spans="1:12" s="366" customFormat="1" ht="9" customHeight="1" x14ac:dyDescent="0.25">
      <c r="A464" s="366" t="s">
        <v>38</v>
      </c>
      <c r="B464" s="372">
        <f t="shared" si="31"/>
        <v>4055614</v>
      </c>
      <c r="C464" s="372"/>
      <c r="D464" s="372">
        <v>2852855</v>
      </c>
      <c r="E464" s="372"/>
      <c r="F464" s="372">
        <f t="shared" si="30"/>
        <v>589863</v>
      </c>
      <c r="G464" s="373"/>
      <c r="H464" s="372">
        <v>75526</v>
      </c>
      <c r="I464" s="372">
        <v>43717</v>
      </c>
      <c r="J464" s="372">
        <v>470620</v>
      </c>
      <c r="K464" s="372">
        <v>388619</v>
      </c>
      <c r="L464" s="372">
        <v>224277</v>
      </c>
    </row>
    <row r="465" spans="1:12" s="366" customFormat="1" ht="9.6" customHeight="1" x14ac:dyDescent="0.25">
      <c r="A465" s="366" t="s">
        <v>39</v>
      </c>
      <c r="B465" s="372">
        <f t="shared" si="31"/>
        <v>3246442</v>
      </c>
      <c r="C465" s="372"/>
      <c r="D465" s="372">
        <v>2318433</v>
      </c>
      <c r="E465" s="372"/>
      <c r="F465" s="372">
        <f t="shared" si="30"/>
        <v>453890</v>
      </c>
      <c r="G465" s="373"/>
      <c r="H465" s="372">
        <v>60988</v>
      </c>
      <c r="I465" s="372">
        <v>47173</v>
      </c>
      <c r="J465" s="372">
        <v>345729</v>
      </c>
      <c r="K465" s="372">
        <v>322601</v>
      </c>
      <c r="L465" s="372">
        <v>151518</v>
      </c>
    </row>
    <row r="466" spans="1:12" s="366" customFormat="1" ht="9.6" customHeight="1" x14ac:dyDescent="0.25">
      <c r="A466" s="366" t="s">
        <v>286</v>
      </c>
      <c r="B466" s="372">
        <f t="shared" si="31"/>
        <v>11499621</v>
      </c>
      <c r="C466" s="372"/>
      <c r="D466" s="372">
        <v>7421732</v>
      </c>
      <c r="E466" s="372"/>
      <c r="F466" s="372">
        <f t="shared" si="30"/>
        <v>2027500</v>
      </c>
      <c r="G466" s="393"/>
      <c r="H466" s="372">
        <v>265874</v>
      </c>
      <c r="I466" s="372">
        <v>181087</v>
      </c>
      <c r="J466" s="372">
        <v>1580539</v>
      </c>
      <c r="K466" s="372">
        <v>1539476</v>
      </c>
      <c r="L466" s="372">
        <v>510913</v>
      </c>
    </row>
    <row r="467" spans="1:12" s="366" customFormat="1" ht="9" customHeight="1" x14ac:dyDescent="0.25">
      <c r="A467" s="375" t="s">
        <v>41</v>
      </c>
      <c r="B467" s="376">
        <f t="shared" si="31"/>
        <v>8543202</v>
      </c>
      <c r="C467" s="376"/>
      <c r="D467" s="376">
        <v>6832726</v>
      </c>
      <c r="E467" s="376"/>
      <c r="F467" s="376">
        <f t="shared" si="30"/>
        <v>825248</v>
      </c>
      <c r="G467" s="377"/>
      <c r="H467" s="376">
        <v>119238</v>
      </c>
      <c r="I467" s="376">
        <v>100151</v>
      </c>
      <c r="J467" s="376">
        <v>605859</v>
      </c>
      <c r="K467" s="376">
        <v>421622</v>
      </c>
      <c r="L467" s="376">
        <v>463606</v>
      </c>
    </row>
    <row r="468" spans="1:12" s="366" customFormat="1" ht="9.6" customHeight="1" x14ac:dyDescent="0.25">
      <c r="A468" s="366" t="s">
        <v>287</v>
      </c>
      <c r="B468" s="372">
        <f t="shared" si="31"/>
        <v>13105785</v>
      </c>
      <c r="C468" s="372"/>
      <c r="D468" s="372">
        <v>9265483</v>
      </c>
      <c r="E468" s="372"/>
      <c r="F468" s="372">
        <f t="shared" si="30"/>
        <v>1878614</v>
      </c>
      <c r="G468" s="387"/>
      <c r="H468" s="372">
        <v>269954</v>
      </c>
      <c r="I468" s="372">
        <v>264888</v>
      </c>
      <c r="J468" s="372">
        <v>1343772</v>
      </c>
      <c r="K468" s="372">
        <v>1079629</v>
      </c>
      <c r="L468" s="372">
        <v>882059</v>
      </c>
    </row>
    <row r="469" spans="1:12" s="366" customFormat="1" ht="9" customHeight="1" x14ac:dyDescent="0.25">
      <c r="A469" s="366" t="s">
        <v>43</v>
      </c>
      <c r="B469" s="372">
        <f t="shared" si="31"/>
        <v>3846741</v>
      </c>
      <c r="C469" s="372"/>
      <c r="D469" s="372">
        <v>2832697</v>
      </c>
      <c r="E469" s="372"/>
      <c r="F469" s="372">
        <f t="shared" si="30"/>
        <v>505271</v>
      </c>
      <c r="G469" s="373"/>
      <c r="H469" s="372">
        <v>63612</v>
      </c>
      <c r="I469" s="372">
        <v>35188</v>
      </c>
      <c r="J469" s="372">
        <v>406471</v>
      </c>
      <c r="K469" s="372">
        <v>251986</v>
      </c>
      <c r="L469" s="372">
        <v>256787</v>
      </c>
    </row>
    <row r="470" spans="1:12" s="366" customFormat="1" ht="9" customHeight="1" x14ac:dyDescent="0.25">
      <c r="A470" s="366" t="s">
        <v>44</v>
      </c>
      <c r="B470" s="372">
        <f t="shared" si="31"/>
        <v>2728825</v>
      </c>
      <c r="C470" s="372"/>
      <c r="D470" s="372">
        <v>1976919</v>
      </c>
      <c r="E470" s="372"/>
      <c r="F470" s="372">
        <f t="shared" si="30"/>
        <v>329832</v>
      </c>
      <c r="G470" s="373"/>
      <c r="H470" s="372">
        <v>57404</v>
      </c>
      <c r="I470" s="372">
        <v>39732</v>
      </c>
      <c r="J470" s="372">
        <v>232696</v>
      </c>
      <c r="K470" s="372">
        <v>287177</v>
      </c>
      <c r="L470" s="372">
        <v>134897</v>
      </c>
    </row>
    <row r="471" spans="1:12" s="366" customFormat="1" ht="9" customHeight="1" x14ac:dyDescent="0.25">
      <c r="A471" s="375" t="s">
        <v>45</v>
      </c>
      <c r="B471" s="376">
        <f t="shared" si="31"/>
        <v>6601732</v>
      </c>
      <c r="C471" s="376"/>
      <c r="D471" s="376">
        <v>4695023</v>
      </c>
      <c r="E471" s="376"/>
      <c r="F471" s="376">
        <f t="shared" si="30"/>
        <v>894687</v>
      </c>
      <c r="G471" s="377"/>
      <c r="H471" s="376">
        <v>118946</v>
      </c>
      <c r="I471" s="376">
        <v>75430</v>
      </c>
      <c r="J471" s="376">
        <v>700311</v>
      </c>
      <c r="K471" s="376">
        <v>536209</v>
      </c>
      <c r="L471" s="376">
        <v>475813</v>
      </c>
    </row>
    <row r="472" spans="1:12" s="366" customFormat="1" ht="9" customHeight="1" x14ac:dyDescent="0.25">
      <c r="A472" s="366" t="s">
        <v>46</v>
      </c>
      <c r="B472" s="372">
        <f t="shared" si="31"/>
        <v>8569089</v>
      </c>
      <c r="C472" s="372"/>
      <c r="D472" s="372">
        <v>6146454</v>
      </c>
      <c r="E472" s="372"/>
      <c r="F472" s="372">
        <f t="shared" si="30"/>
        <v>1292256</v>
      </c>
      <c r="G472" s="373"/>
      <c r="H472" s="372">
        <v>164536</v>
      </c>
      <c r="I472" s="372">
        <v>168224</v>
      </c>
      <c r="J472" s="372">
        <v>959496</v>
      </c>
      <c r="K472" s="372">
        <v>701445</v>
      </c>
      <c r="L472" s="372">
        <v>428934</v>
      </c>
    </row>
    <row r="473" spans="1:12" s="366" customFormat="1" ht="9.6" customHeight="1" x14ac:dyDescent="0.25">
      <c r="A473" s="366" t="s">
        <v>288</v>
      </c>
      <c r="B473" s="372">
        <f t="shared" si="31"/>
        <v>7406036</v>
      </c>
      <c r="C473" s="372"/>
      <c r="D473" s="372">
        <v>4851030</v>
      </c>
      <c r="E473" s="372"/>
      <c r="F473" s="372">
        <f t="shared" si="30"/>
        <v>1216721</v>
      </c>
      <c r="G473" s="387"/>
      <c r="H473" s="372">
        <v>202983</v>
      </c>
      <c r="I473" s="372">
        <v>128209</v>
      </c>
      <c r="J473" s="372">
        <v>885529</v>
      </c>
      <c r="K473" s="372">
        <v>945429</v>
      </c>
      <c r="L473" s="372">
        <v>392856</v>
      </c>
    </row>
    <row r="474" spans="1:12" s="366" customFormat="1" ht="9" customHeight="1" x14ac:dyDescent="0.25">
      <c r="A474" s="366" t="s">
        <v>48</v>
      </c>
      <c r="B474" s="372">
        <f t="shared" si="31"/>
        <v>8134849</v>
      </c>
      <c r="C474" s="372"/>
      <c r="D474" s="372">
        <v>5648378</v>
      </c>
      <c r="E474" s="372"/>
      <c r="F474" s="372">
        <f t="shared" si="30"/>
        <v>1209662</v>
      </c>
      <c r="G474" s="387"/>
      <c r="H474" s="372">
        <v>152591</v>
      </c>
      <c r="I474" s="372">
        <v>188114</v>
      </c>
      <c r="J474" s="372">
        <v>868957</v>
      </c>
      <c r="K474" s="372">
        <v>787610</v>
      </c>
      <c r="L474" s="372">
        <v>489199</v>
      </c>
    </row>
    <row r="475" spans="1:12" s="366" customFormat="1" ht="9" customHeight="1" x14ac:dyDescent="0.25">
      <c r="A475" s="375" t="s">
        <v>49</v>
      </c>
      <c r="B475" s="376">
        <f t="shared" si="31"/>
        <v>8672088</v>
      </c>
      <c r="C475" s="376"/>
      <c r="D475" s="376">
        <v>5810816</v>
      </c>
      <c r="E475" s="376"/>
      <c r="F475" s="376">
        <f t="shared" si="30"/>
        <v>1699427</v>
      </c>
      <c r="G475" s="377"/>
      <c r="H475" s="376">
        <v>203500</v>
      </c>
      <c r="I475" s="376">
        <v>229628</v>
      </c>
      <c r="J475" s="376">
        <v>1266299</v>
      </c>
      <c r="K475" s="376">
        <v>805901</v>
      </c>
      <c r="L475" s="376">
        <v>355944</v>
      </c>
    </row>
    <row r="476" spans="1:12" s="366" customFormat="1" ht="9" customHeight="1" x14ac:dyDescent="0.25">
      <c r="A476" s="366" t="s">
        <v>50</v>
      </c>
      <c r="B476" s="372">
        <f t="shared" si="31"/>
        <v>2775585</v>
      </c>
      <c r="C476" s="372"/>
      <c r="D476" s="372">
        <v>2036979</v>
      </c>
      <c r="E476" s="372"/>
      <c r="F476" s="372">
        <f t="shared" si="30"/>
        <v>335380</v>
      </c>
      <c r="G476" s="373"/>
      <c r="H476" s="372">
        <v>43068</v>
      </c>
      <c r="I476" s="372">
        <v>36540</v>
      </c>
      <c r="J476" s="372">
        <v>255772</v>
      </c>
      <c r="K476" s="372">
        <v>242348</v>
      </c>
      <c r="L476" s="372">
        <v>160878</v>
      </c>
    </row>
    <row r="477" spans="1:12" s="366" customFormat="1" ht="9" customHeight="1" x14ac:dyDescent="0.25">
      <c r="A477" s="366" t="s">
        <v>51</v>
      </c>
      <c r="B477" s="372">
        <f t="shared" si="31"/>
        <v>18960228</v>
      </c>
      <c r="C477" s="372"/>
      <c r="D477" s="372">
        <v>13583813</v>
      </c>
      <c r="E477" s="372"/>
      <c r="F477" s="372">
        <f t="shared" si="30"/>
        <v>2550017</v>
      </c>
      <c r="G477" s="373"/>
      <c r="H477" s="372">
        <v>353725</v>
      </c>
      <c r="I477" s="372">
        <v>304818</v>
      </c>
      <c r="J477" s="372">
        <v>1891474</v>
      </c>
      <c r="K477" s="372">
        <v>1687310</v>
      </c>
      <c r="L477" s="372">
        <v>1139088</v>
      </c>
    </row>
    <row r="478" spans="1:12" s="366" customFormat="1" ht="9" customHeight="1" x14ac:dyDescent="0.25">
      <c r="A478" s="366" t="s">
        <v>52</v>
      </c>
      <c r="B478" s="372">
        <f t="shared" si="31"/>
        <v>6216775</v>
      </c>
      <c r="C478" s="372"/>
      <c r="D478" s="372">
        <v>4881819</v>
      </c>
      <c r="E478" s="372"/>
      <c r="F478" s="372">
        <f t="shared" si="30"/>
        <v>718513</v>
      </c>
      <c r="G478" s="373"/>
      <c r="H478" s="372">
        <v>117851</v>
      </c>
      <c r="I478" s="372">
        <v>43201</v>
      </c>
      <c r="J478" s="372">
        <v>557461</v>
      </c>
      <c r="K478" s="372">
        <v>351135</v>
      </c>
      <c r="L478" s="372">
        <v>265308</v>
      </c>
    </row>
    <row r="479" spans="1:12" s="366" customFormat="1" ht="9" customHeight="1" x14ac:dyDescent="0.25">
      <c r="A479" s="375" t="s">
        <v>53</v>
      </c>
      <c r="B479" s="376">
        <f t="shared" si="31"/>
        <v>4185376</v>
      </c>
      <c r="C479" s="376"/>
      <c r="D479" s="376">
        <v>3061038</v>
      </c>
      <c r="E479" s="376"/>
      <c r="F479" s="376">
        <f t="shared" si="30"/>
        <v>424286</v>
      </c>
      <c r="G479" s="377"/>
      <c r="H479" s="376">
        <v>64670</v>
      </c>
      <c r="I479" s="376">
        <v>41378</v>
      </c>
      <c r="J479" s="376">
        <v>318238</v>
      </c>
      <c r="K479" s="376">
        <v>480921</v>
      </c>
      <c r="L479" s="376">
        <v>219131</v>
      </c>
    </row>
    <row r="480" spans="1:12" s="366" customFormat="1" ht="9" customHeight="1" x14ac:dyDescent="0.25">
      <c r="B480" s="372"/>
      <c r="C480" s="372"/>
      <c r="D480" s="372"/>
      <c r="E480" s="372"/>
      <c r="F480" s="372"/>
      <c r="G480" s="373"/>
      <c r="H480" s="372"/>
      <c r="I480" s="372"/>
      <c r="J480" s="372"/>
      <c r="K480" s="372"/>
      <c r="L480" s="372"/>
    </row>
    <row r="481" spans="1:12" s="366" customFormat="1" ht="10.5" customHeight="1" x14ac:dyDescent="0.25">
      <c r="A481" s="363">
        <v>2008</v>
      </c>
      <c r="B481" s="395"/>
      <c r="C481" s="396"/>
      <c r="D481" s="395"/>
      <c r="E481" s="395"/>
      <c r="F481" s="395"/>
      <c r="G481" s="397"/>
      <c r="H481" s="395"/>
      <c r="I481" s="395"/>
      <c r="J481" s="395"/>
      <c r="K481" s="395"/>
      <c r="L481" s="395"/>
    </row>
    <row r="482" spans="1:12" s="371" customFormat="1" ht="9" customHeight="1" x14ac:dyDescent="0.25">
      <c r="A482" s="367" t="s">
        <v>21</v>
      </c>
      <c r="B482" s="368">
        <f>SUM(B484:B515)</f>
        <v>283511038</v>
      </c>
      <c r="C482" s="381"/>
      <c r="D482" s="368">
        <f>SUM(D484:D515)-1</f>
        <v>198467583</v>
      </c>
      <c r="E482" s="368"/>
      <c r="F482" s="368">
        <f>SUM(F484:F515)</f>
        <v>45338684</v>
      </c>
      <c r="G482" s="382"/>
      <c r="H482" s="368">
        <f>SUM(H484:H515)</f>
        <v>6006412</v>
      </c>
      <c r="I482" s="368">
        <f>SUM(I484:I515)</f>
        <v>4390652</v>
      </c>
      <c r="J482" s="368">
        <f>SUM(J484:J515)</f>
        <v>34941620</v>
      </c>
      <c r="K482" s="368">
        <f>SUM(K484:K515)</f>
        <v>24437757</v>
      </c>
      <c r="L482" s="368">
        <f>SUM(L484:L515)</f>
        <v>15267015</v>
      </c>
    </row>
    <row r="483" spans="1:12" s="371" customFormat="1" ht="3.95" customHeight="1" x14ac:dyDescent="0.25">
      <c r="A483" s="367"/>
      <c r="B483" s="381"/>
      <c r="C483" s="381"/>
      <c r="D483" s="381"/>
      <c r="E483" s="368"/>
      <c r="F483" s="381"/>
      <c r="G483" s="382"/>
      <c r="H483" s="368"/>
      <c r="I483" s="368"/>
      <c r="J483" s="368"/>
      <c r="K483" s="368"/>
      <c r="L483" s="368"/>
    </row>
    <row r="484" spans="1:12" s="366" customFormat="1" ht="9.6" customHeight="1" x14ac:dyDescent="0.25">
      <c r="A484" s="366" t="s">
        <v>280</v>
      </c>
      <c r="B484" s="386">
        <f t="shared" ref="B484:B497" si="32">SUM(D484,F484,K484:L484)</f>
        <v>3547124</v>
      </c>
      <c r="C484" s="386"/>
      <c r="D484" s="372">
        <v>2330279</v>
      </c>
      <c r="E484" s="372"/>
      <c r="F484" s="372">
        <f t="shared" ref="F484:F515" si="33">SUM(H484:J484)</f>
        <v>568770</v>
      </c>
      <c r="G484" s="393"/>
      <c r="H484" s="372">
        <v>90491</v>
      </c>
      <c r="I484" s="372">
        <v>37517</v>
      </c>
      <c r="J484" s="372">
        <v>440762</v>
      </c>
      <c r="K484" s="372">
        <v>457288</v>
      </c>
      <c r="L484" s="372">
        <v>190787</v>
      </c>
    </row>
    <row r="485" spans="1:12" s="366" customFormat="1" ht="9" customHeight="1" x14ac:dyDescent="0.25">
      <c r="A485" s="366" t="s">
        <v>24</v>
      </c>
      <c r="B485" s="386">
        <f t="shared" si="32"/>
        <v>6836179</v>
      </c>
      <c r="C485" s="386"/>
      <c r="D485" s="372">
        <v>4517569</v>
      </c>
      <c r="E485" s="372"/>
      <c r="F485" s="372">
        <f t="shared" si="33"/>
        <v>1180832</v>
      </c>
      <c r="G485" s="373"/>
      <c r="H485" s="372">
        <v>151047</v>
      </c>
      <c r="I485" s="372">
        <v>92255</v>
      </c>
      <c r="J485" s="372">
        <v>937530</v>
      </c>
      <c r="K485" s="372">
        <v>795606</v>
      </c>
      <c r="L485" s="372">
        <v>342172</v>
      </c>
    </row>
    <row r="486" spans="1:12" s="366" customFormat="1" ht="9" customHeight="1" x14ac:dyDescent="0.25">
      <c r="A486" s="366" t="s">
        <v>25</v>
      </c>
      <c r="B486" s="386">
        <f t="shared" si="32"/>
        <v>1752369</v>
      </c>
      <c r="C486" s="386"/>
      <c r="D486" s="372">
        <v>1219469</v>
      </c>
      <c r="E486" s="372"/>
      <c r="F486" s="372">
        <f t="shared" si="33"/>
        <v>276922</v>
      </c>
      <c r="G486" s="373"/>
      <c r="H486" s="372">
        <v>41270</v>
      </c>
      <c r="I486" s="372">
        <v>28642</v>
      </c>
      <c r="J486" s="372">
        <v>207010</v>
      </c>
      <c r="K486" s="372">
        <v>161853</v>
      </c>
      <c r="L486" s="372">
        <v>94125</v>
      </c>
    </row>
    <row r="487" spans="1:12" s="366" customFormat="1" ht="9.6" customHeight="1" x14ac:dyDescent="0.25">
      <c r="A487" s="375" t="s">
        <v>281</v>
      </c>
      <c r="B487" s="388">
        <f t="shared" si="32"/>
        <v>2418370</v>
      </c>
      <c r="C487" s="388"/>
      <c r="D487" s="376">
        <v>1720816</v>
      </c>
      <c r="E487" s="376"/>
      <c r="F487" s="376">
        <f t="shared" si="33"/>
        <v>328061</v>
      </c>
      <c r="G487" s="394"/>
      <c r="H487" s="376">
        <v>62393</v>
      </c>
      <c r="I487" s="376">
        <v>44525</v>
      </c>
      <c r="J487" s="376">
        <v>221143</v>
      </c>
      <c r="K487" s="376">
        <v>234329</v>
      </c>
      <c r="L487" s="376">
        <v>135164</v>
      </c>
    </row>
    <row r="488" spans="1:12" s="366" customFormat="1" ht="9.6" customHeight="1" x14ac:dyDescent="0.25">
      <c r="A488" s="366" t="s">
        <v>282</v>
      </c>
      <c r="B488" s="386">
        <f t="shared" si="32"/>
        <v>7650915</v>
      </c>
      <c r="C488" s="386"/>
      <c r="D488" s="372">
        <v>4886507</v>
      </c>
      <c r="E488" s="372"/>
      <c r="F488" s="372">
        <f t="shared" si="33"/>
        <v>1260952</v>
      </c>
      <c r="G488" s="393"/>
      <c r="H488" s="372">
        <v>171953</v>
      </c>
      <c r="I488" s="372">
        <v>163608</v>
      </c>
      <c r="J488" s="372">
        <v>925391</v>
      </c>
      <c r="K488" s="372">
        <v>1162032</v>
      </c>
      <c r="L488" s="372">
        <v>341424</v>
      </c>
    </row>
    <row r="489" spans="1:12" s="366" customFormat="1" ht="9.6" customHeight="1" x14ac:dyDescent="0.25">
      <c r="A489" s="366" t="s">
        <v>283</v>
      </c>
      <c r="B489" s="372">
        <f t="shared" si="32"/>
        <v>1875896</v>
      </c>
      <c r="C489" s="372"/>
      <c r="D489" s="372">
        <v>1178611</v>
      </c>
      <c r="E489" s="372"/>
      <c r="F489" s="372">
        <f t="shared" si="33"/>
        <v>330543</v>
      </c>
      <c r="G489" s="393"/>
      <c r="H489" s="372">
        <v>40725</v>
      </c>
      <c r="I489" s="372">
        <v>20314</v>
      </c>
      <c r="J489" s="372">
        <v>269504</v>
      </c>
      <c r="K489" s="372">
        <v>267856</v>
      </c>
      <c r="L489" s="372">
        <v>98886</v>
      </c>
    </row>
    <row r="490" spans="1:12" s="366" customFormat="1" ht="9" customHeight="1" x14ac:dyDescent="0.25">
      <c r="A490" s="366" t="s">
        <v>29</v>
      </c>
      <c r="B490" s="372">
        <f t="shared" si="32"/>
        <v>9972412</v>
      </c>
      <c r="C490" s="372"/>
      <c r="D490" s="372">
        <v>8353989</v>
      </c>
      <c r="E490" s="372"/>
      <c r="F490" s="372">
        <f t="shared" si="33"/>
        <v>725401</v>
      </c>
      <c r="G490" s="373"/>
      <c r="H490" s="372">
        <v>103144</v>
      </c>
      <c r="I490" s="372">
        <v>67997</v>
      </c>
      <c r="J490" s="372">
        <v>554260</v>
      </c>
      <c r="K490" s="372">
        <v>516464</v>
      </c>
      <c r="L490" s="372">
        <v>376558</v>
      </c>
    </row>
    <row r="491" spans="1:12" s="366" customFormat="1" ht="9" customHeight="1" x14ac:dyDescent="0.25">
      <c r="A491" s="375" t="s">
        <v>30</v>
      </c>
      <c r="B491" s="376">
        <f t="shared" si="32"/>
        <v>8527130</v>
      </c>
      <c r="C491" s="376"/>
      <c r="D491" s="376">
        <v>5984422</v>
      </c>
      <c r="E491" s="376"/>
      <c r="F491" s="376">
        <f t="shared" si="33"/>
        <v>1290625</v>
      </c>
      <c r="G491" s="377"/>
      <c r="H491" s="376">
        <v>211079</v>
      </c>
      <c r="I491" s="376">
        <v>128478</v>
      </c>
      <c r="J491" s="376">
        <v>951068</v>
      </c>
      <c r="K491" s="376">
        <v>868838</v>
      </c>
      <c r="L491" s="376">
        <v>383245</v>
      </c>
    </row>
    <row r="492" spans="1:12" s="366" customFormat="1" ht="9.6" customHeight="1" x14ac:dyDescent="0.25">
      <c r="A492" s="366" t="s">
        <v>63</v>
      </c>
      <c r="B492" s="372">
        <f t="shared" si="32"/>
        <v>28586418</v>
      </c>
      <c r="C492" s="372"/>
      <c r="D492" s="372">
        <v>15570718</v>
      </c>
      <c r="E492" s="372"/>
      <c r="F492" s="372">
        <f t="shared" si="33"/>
        <v>9427431</v>
      </c>
      <c r="G492" s="387"/>
      <c r="H492" s="372">
        <v>798291</v>
      </c>
      <c r="I492" s="372">
        <v>601719</v>
      </c>
      <c r="J492" s="372">
        <v>8027421</v>
      </c>
      <c r="K492" s="372">
        <v>2046115</v>
      </c>
      <c r="L492" s="372">
        <v>1542154</v>
      </c>
    </row>
    <row r="493" spans="1:12" s="366" customFormat="1" ht="9.6" customHeight="1" x14ac:dyDescent="0.25">
      <c r="A493" s="366" t="s">
        <v>284</v>
      </c>
      <c r="B493" s="372">
        <f t="shared" si="32"/>
        <v>4732453</v>
      </c>
      <c r="C493" s="372"/>
      <c r="D493" s="372">
        <v>3364676</v>
      </c>
      <c r="E493" s="372"/>
      <c r="F493" s="372">
        <f t="shared" si="33"/>
        <v>638293</v>
      </c>
      <c r="G493" s="393"/>
      <c r="H493" s="372">
        <v>94045</v>
      </c>
      <c r="I493" s="372">
        <v>68583</v>
      </c>
      <c r="J493" s="372">
        <v>475665</v>
      </c>
      <c r="K493" s="372">
        <v>545143</v>
      </c>
      <c r="L493" s="372">
        <v>184341</v>
      </c>
    </row>
    <row r="494" spans="1:12" s="366" customFormat="1" ht="9" customHeight="1" x14ac:dyDescent="0.25">
      <c r="A494" s="366" t="s">
        <v>32</v>
      </c>
      <c r="B494" s="372">
        <f t="shared" si="32"/>
        <v>11563249</v>
      </c>
      <c r="C494" s="372"/>
      <c r="D494" s="372">
        <v>8209613</v>
      </c>
      <c r="E494" s="372"/>
      <c r="F494" s="372">
        <f t="shared" si="33"/>
        <v>1794266</v>
      </c>
      <c r="G494" s="373"/>
      <c r="H494" s="372">
        <v>251470</v>
      </c>
      <c r="I494" s="372">
        <v>185782</v>
      </c>
      <c r="J494" s="372">
        <v>1357014</v>
      </c>
      <c r="K494" s="372">
        <v>753811</v>
      </c>
      <c r="L494" s="372">
        <v>805559</v>
      </c>
    </row>
    <row r="495" spans="1:12" s="366" customFormat="1" ht="9" customHeight="1" x14ac:dyDescent="0.25">
      <c r="A495" s="375" t="s">
        <v>33</v>
      </c>
      <c r="B495" s="376">
        <f t="shared" si="32"/>
        <v>8640119</v>
      </c>
      <c r="C495" s="376"/>
      <c r="D495" s="376">
        <v>6737088</v>
      </c>
      <c r="E495" s="376"/>
      <c r="F495" s="376">
        <f t="shared" si="33"/>
        <v>947703</v>
      </c>
      <c r="G495" s="377"/>
      <c r="H495" s="376">
        <v>172571</v>
      </c>
      <c r="I495" s="376">
        <v>105347</v>
      </c>
      <c r="J495" s="376">
        <v>669785</v>
      </c>
      <c r="K495" s="376">
        <v>555770</v>
      </c>
      <c r="L495" s="376">
        <v>399558</v>
      </c>
    </row>
    <row r="496" spans="1:12" s="366" customFormat="1" ht="9" customHeight="1" x14ac:dyDescent="0.25">
      <c r="A496" s="366" t="s">
        <v>34</v>
      </c>
      <c r="B496" s="372">
        <f t="shared" si="32"/>
        <v>7118008</v>
      </c>
      <c r="C496" s="372"/>
      <c r="D496" s="372">
        <v>5496653</v>
      </c>
      <c r="E496" s="372"/>
      <c r="F496" s="372">
        <f t="shared" si="33"/>
        <v>827332</v>
      </c>
      <c r="G496" s="373"/>
      <c r="H496" s="372">
        <v>138776</v>
      </c>
      <c r="I496" s="372">
        <v>73412</v>
      </c>
      <c r="J496" s="372">
        <v>615144</v>
      </c>
      <c r="K496" s="372">
        <v>391584</v>
      </c>
      <c r="L496" s="372">
        <v>402439</v>
      </c>
    </row>
    <row r="497" spans="1:12" s="366" customFormat="1" ht="9.6" customHeight="1" x14ac:dyDescent="0.25">
      <c r="A497" s="366" t="s">
        <v>285</v>
      </c>
      <c r="B497" s="372">
        <f t="shared" si="32"/>
        <v>17372538</v>
      </c>
      <c r="C497" s="372"/>
      <c r="D497" s="372">
        <v>11026793</v>
      </c>
      <c r="E497" s="372"/>
      <c r="F497" s="372">
        <f t="shared" si="33"/>
        <v>3401362</v>
      </c>
      <c r="G497" s="393"/>
      <c r="H497" s="372">
        <v>458206</v>
      </c>
      <c r="I497" s="372">
        <v>303458</v>
      </c>
      <c r="J497" s="372">
        <v>2639698</v>
      </c>
      <c r="K497" s="372">
        <v>2142856</v>
      </c>
      <c r="L497" s="372">
        <v>801527</v>
      </c>
    </row>
    <row r="498" spans="1:12" s="366" customFormat="1" ht="9" customHeight="1" x14ac:dyDescent="0.25">
      <c r="A498" s="366" t="s">
        <v>36</v>
      </c>
      <c r="B498" s="372">
        <f>SUM(D498,F498,K498:L498)-1</f>
        <v>32397772</v>
      </c>
      <c r="C498" s="372"/>
      <c r="D498" s="372">
        <v>25300618</v>
      </c>
      <c r="E498" s="372"/>
      <c r="F498" s="372">
        <f t="shared" si="33"/>
        <v>3481588</v>
      </c>
      <c r="G498" s="373"/>
      <c r="H498" s="372">
        <v>587592</v>
      </c>
      <c r="I498" s="372">
        <v>392994</v>
      </c>
      <c r="J498" s="372">
        <v>2501002</v>
      </c>
      <c r="K498" s="372">
        <v>2065333</v>
      </c>
      <c r="L498" s="372">
        <v>1550234</v>
      </c>
    </row>
    <row r="499" spans="1:12" s="366" customFormat="1" ht="9" customHeight="1" x14ac:dyDescent="0.25">
      <c r="A499" s="375" t="s">
        <v>37</v>
      </c>
      <c r="B499" s="376">
        <f t="shared" ref="B499:B512" si="34">SUM(D499,F499,K499:L499)</f>
        <v>9844999</v>
      </c>
      <c r="C499" s="376"/>
      <c r="D499" s="376">
        <v>7368914</v>
      </c>
      <c r="E499" s="376"/>
      <c r="F499" s="376">
        <f t="shared" si="33"/>
        <v>1153178</v>
      </c>
      <c r="G499" s="377"/>
      <c r="H499" s="376">
        <v>188731</v>
      </c>
      <c r="I499" s="376">
        <v>129591</v>
      </c>
      <c r="J499" s="376">
        <v>834856</v>
      </c>
      <c r="K499" s="376">
        <v>732264</v>
      </c>
      <c r="L499" s="376">
        <v>590643</v>
      </c>
    </row>
    <row r="500" spans="1:12" s="366" customFormat="1" ht="9" customHeight="1" x14ac:dyDescent="0.25">
      <c r="A500" s="366" t="s">
        <v>38</v>
      </c>
      <c r="B500" s="372">
        <f t="shared" si="34"/>
        <v>4123904</v>
      </c>
      <c r="C500" s="372"/>
      <c r="D500" s="372">
        <v>2881034</v>
      </c>
      <c r="E500" s="372"/>
      <c r="F500" s="372">
        <f t="shared" si="33"/>
        <v>630039</v>
      </c>
      <c r="G500" s="373"/>
      <c r="H500" s="372">
        <v>94044</v>
      </c>
      <c r="I500" s="372">
        <v>46755</v>
      </c>
      <c r="J500" s="372">
        <v>489240</v>
      </c>
      <c r="K500" s="372">
        <v>383781</v>
      </c>
      <c r="L500" s="372">
        <v>229050</v>
      </c>
    </row>
    <row r="501" spans="1:12" s="366" customFormat="1" ht="9.6" customHeight="1" x14ac:dyDescent="0.25">
      <c r="A501" s="366" t="s">
        <v>39</v>
      </c>
      <c r="B501" s="372">
        <f t="shared" si="34"/>
        <v>3397312</v>
      </c>
      <c r="C501" s="372"/>
      <c r="D501" s="372">
        <v>2441729</v>
      </c>
      <c r="E501" s="372"/>
      <c r="F501" s="372">
        <f t="shared" si="33"/>
        <v>473468</v>
      </c>
      <c r="G501" s="373"/>
      <c r="H501" s="372">
        <v>62518</v>
      </c>
      <c r="I501" s="372">
        <v>43809</v>
      </c>
      <c r="J501" s="372">
        <v>367141</v>
      </c>
      <c r="K501" s="372">
        <v>321638</v>
      </c>
      <c r="L501" s="372">
        <v>160477</v>
      </c>
    </row>
    <row r="502" spans="1:12" s="366" customFormat="1" ht="9.6" customHeight="1" x14ac:dyDescent="0.25">
      <c r="A502" s="366" t="s">
        <v>286</v>
      </c>
      <c r="B502" s="372">
        <f t="shared" si="34"/>
        <v>11440646</v>
      </c>
      <c r="C502" s="372"/>
      <c r="D502" s="372">
        <v>7262918</v>
      </c>
      <c r="E502" s="372"/>
      <c r="F502" s="372">
        <f t="shared" si="33"/>
        <v>2119762</v>
      </c>
      <c r="G502" s="393"/>
      <c r="H502" s="372">
        <v>276014</v>
      </c>
      <c r="I502" s="372">
        <v>185462</v>
      </c>
      <c r="J502" s="372">
        <v>1658286</v>
      </c>
      <c r="K502" s="372">
        <v>1524699</v>
      </c>
      <c r="L502" s="372">
        <v>533267</v>
      </c>
    </row>
    <row r="503" spans="1:12" s="366" customFormat="1" ht="9" customHeight="1" x14ac:dyDescent="0.25">
      <c r="A503" s="375" t="s">
        <v>41</v>
      </c>
      <c r="B503" s="376">
        <f t="shared" si="34"/>
        <v>9268177</v>
      </c>
      <c r="C503" s="376"/>
      <c r="D503" s="376">
        <v>7412685</v>
      </c>
      <c r="E503" s="376"/>
      <c r="F503" s="376">
        <f t="shared" si="33"/>
        <v>851877</v>
      </c>
      <c r="G503" s="377"/>
      <c r="H503" s="376">
        <v>125965</v>
      </c>
      <c r="I503" s="376">
        <v>100034</v>
      </c>
      <c r="J503" s="376">
        <v>625878</v>
      </c>
      <c r="K503" s="376">
        <v>372820</v>
      </c>
      <c r="L503" s="376">
        <v>630795</v>
      </c>
    </row>
    <row r="504" spans="1:12" s="366" customFormat="1" ht="9.6" customHeight="1" x14ac:dyDescent="0.25">
      <c r="A504" s="366" t="s">
        <v>287</v>
      </c>
      <c r="B504" s="372">
        <f t="shared" si="34"/>
        <v>12980185</v>
      </c>
      <c r="C504" s="372"/>
      <c r="D504" s="372">
        <v>9113947</v>
      </c>
      <c r="E504" s="372"/>
      <c r="F504" s="372">
        <f t="shared" si="33"/>
        <v>1929026</v>
      </c>
      <c r="G504" s="387"/>
      <c r="H504" s="372">
        <v>266608</v>
      </c>
      <c r="I504" s="372">
        <v>275245</v>
      </c>
      <c r="J504" s="372">
        <v>1387173</v>
      </c>
      <c r="K504" s="372">
        <v>1069934</v>
      </c>
      <c r="L504" s="372">
        <v>867278</v>
      </c>
    </row>
    <row r="505" spans="1:12" s="366" customFormat="1" ht="9" customHeight="1" x14ac:dyDescent="0.25">
      <c r="A505" s="366" t="s">
        <v>43</v>
      </c>
      <c r="B505" s="372">
        <f t="shared" si="34"/>
        <v>3809091</v>
      </c>
      <c r="C505" s="372"/>
      <c r="D505" s="372">
        <v>2742371</v>
      </c>
      <c r="E505" s="372"/>
      <c r="F505" s="372">
        <f t="shared" si="33"/>
        <v>522902</v>
      </c>
      <c r="G505" s="373"/>
      <c r="H505" s="372">
        <v>63989</v>
      </c>
      <c r="I505" s="372">
        <v>34180</v>
      </c>
      <c r="J505" s="372">
        <v>424733</v>
      </c>
      <c r="K505" s="372">
        <v>279967</v>
      </c>
      <c r="L505" s="372">
        <v>263851</v>
      </c>
    </row>
    <row r="506" spans="1:12" s="366" customFormat="1" ht="9" customHeight="1" x14ac:dyDescent="0.25">
      <c r="A506" s="366" t="s">
        <v>44</v>
      </c>
      <c r="B506" s="372">
        <f t="shared" si="34"/>
        <v>2710420</v>
      </c>
      <c r="C506" s="372"/>
      <c r="D506" s="372">
        <v>1944753</v>
      </c>
      <c r="E506" s="372"/>
      <c r="F506" s="372">
        <f t="shared" si="33"/>
        <v>356933</v>
      </c>
      <c r="G506" s="373"/>
      <c r="H506" s="372">
        <v>64362</v>
      </c>
      <c r="I506" s="372">
        <v>39127</v>
      </c>
      <c r="J506" s="372">
        <v>253444</v>
      </c>
      <c r="K506" s="372">
        <v>268254</v>
      </c>
      <c r="L506" s="372">
        <v>140480</v>
      </c>
    </row>
    <row r="507" spans="1:12" s="366" customFormat="1" ht="9" customHeight="1" x14ac:dyDescent="0.25">
      <c r="A507" s="375" t="s">
        <v>45</v>
      </c>
      <c r="B507" s="376">
        <f t="shared" si="34"/>
        <v>6830523</v>
      </c>
      <c r="C507" s="376"/>
      <c r="D507" s="376">
        <v>4817541</v>
      </c>
      <c r="E507" s="376"/>
      <c r="F507" s="376">
        <f t="shared" si="33"/>
        <v>944363</v>
      </c>
      <c r="G507" s="377"/>
      <c r="H507" s="376">
        <v>124922</v>
      </c>
      <c r="I507" s="376">
        <v>77115</v>
      </c>
      <c r="J507" s="376">
        <v>742326</v>
      </c>
      <c r="K507" s="376">
        <v>531721</v>
      </c>
      <c r="L507" s="376">
        <v>536898</v>
      </c>
    </row>
    <row r="508" spans="1:12" s="366" customFormat="1" ht="9" customHeight="1" x14ac:dyDescent="0.25">
      <c r="A508" s="366" t="s">
        <v>46</v>
      </c>
      <c r="B508" s="372">
        <f t="shared" si="34"/>
        <v>8888358</v>
      </c>
      <c r="C508" s="372"/>
      <c r="D508" s="372">
        <v>6298257</v>
      </c>
      <c r="E508" s="372"/>
      <c r="F508" s="372">
        <f t="shared" si="33"/>
        <v>1369486</v>
      </c>
      <c r="G508" s="373"/>
      <c r="H508" s="372">
        <v>188620</v>
      </c>
      <c r="I508" s="372">
        <v>163445</v>
      </c>
      <c r="J508" s="372">
        <v>1017421</v>
      </c>
      <c r="K508" s="372">
        <v>739842</v>
      </c>
      <c r="L508" s="372">
        <v>480773</v>
      </c>
    </row>
    <row r="509" spans="1:12" s="366" customFormat="1" ht="9.6" customHeight="1" x14ac:dyDescent="0.25">
      <c r="A509" s="366" t="s">
        <v>288</v>
      </c>
      <c r="B509" s="372">
        <f t="shared" si="34"/>
        <v>8039061</v>
      </c>
      <c r="C509" s="372"/>
      <c r="D509" s="372">
        <v>5255811</v>
      </c>
      <c r="E509" s="372"/>
      <c r="F509" s="372">
        <f t="shared" si="33"/>
        <v>1358004</v>
      </c>
      <c r="G509" s="387"/>
      <c r="H509" s="372">
        <v>210944</v>
      </c>
      <c r="I509" s="372">
        <v>132580</v>
      </c>
      <c r="J509" s="372">
        <v>1014480</v>
      </c>
      <c r="K509" s="372">
        <v>966820</v>
      </c>
      <c r="L509" s="372">
        <v>458426</v>
      </c>
    </row>
    <row r="510" spans="1:12" s="366" customFormat="1" ht="9" customHeight="1" x14ac:dyDescent="0.25">
      <c r="A510" s="366" t="s">
        <v>48</v>
      </c>
      <c r="B510" s="372">
        <f t="shared" si="34"/>
        <v>7948851</v>
      </c>
      <c r="C510" s="372"/>
      <c r="D510" s="372">
        <v>5468793</v>
      </c>
      <c r="E510" s="372"/>
      <c r="F510" s="372">
        <f t="shared" si="33"/>
        <v>1241698</v>
      </c>
      <c r="G510" s="387"/>
      <c r="H510" s="372">
        <v>153695</v>
      </c>
      <c r="I510" s="372">
        <v>171122</v>
      </c>
      <c r="J510" s="372">
        <v>916881</v>
      </c>
      <c r="K510" s="372">
        <v>772896</v>
      </c>
      <c r="L510" s="372">
        <v>465464</v>
      </c>
    </row>
    <row r="511" spans="1:12" s="366" customFormat="1" ht="9" customHeight="1" x14ac:dyDescent="0.25">
      <c r="A511" s="375" t="s">
        <v>49</v>
      </c>
      <c r="B511" s="376">
        <f t="shared" si="34"/>
        <v>8774691</v>
      </c>
      <c r="C511" s="376"/>
      <c r="D511" s="376">
        <v>5860317</v>
      </c>
      <c r="E511" s="376"/>
      <c r="F511" s="376">
        <f t="shared" si="33"/>
        <v>1700204</v>
      </c>
      <c r="G511" s="377"/>
      <c r="H511" s="376">
        <v>216261</v>
      </c>
      <c r="I511" s="376">
        <v>230846</v>
      </c>
      <c r="J511" s="376">
        <v>1253097</v>
      </c>
      <c r="K511" s="376">
        <v>807981</v>
      </c>
      <c r="L511" s="376">
        <v>406189</v>
      </c>
    </row>
    <row r="512" spans="1:12" s="366" customFormat="1" ht="9" customHeight="1" x14ac:dyDescent="0.25">
      <c r="A512" s="366" t="s">
        <v>50</v>
      </c>
      <c r="B512" s="372">
        <f t="shared" si="34"/>
        <v>2847176</v>
      </c>
      <c r="C512" s="372"/>
      <c r="D512" s="372">
        <v>2040088</v>
      </c>
      <c r="E512" s="372"/>
      <c r="F512" s="372">
        <f t="shared" si="33"/>
        <v>381730</v>
      </c>
      <c r="G512" s="373"/>
      <c r="H512" s="372">
        <v>46264</v>
      </c>
      <c r="I512" s="372">
        <v>42029</v>
      </c>
      <c r="J512" s="372">
        <v>293437</v>
      </c>
      <c r="K512" s="372">
        <v>237534</v>
      </c>
      <c r="L512" s="372">
        <v>187824</v>
      </c>
    </row>
    <row r="513" spans="1:12" s="366" customFormat="1" ht="9" customHeight="1" x14ac:dyDescent="0.25">
      <c r="A513" s="366" t="s">
        <v>51</v>
      </c>
      <c r="B513" s="372">
        <f>SUM(D513,F513,K513:L513)-1</f>
        <v>19022932</v>
      </c>
      <c r="C513" s="372"/>
      <c r="D513" s="372">
        <v>13631255</v>
      </c>
      <c r="E513" s="372"/>
      <c r="F513" s="372">
        <f t="shared" si="33"/>
        <v>2583625</v>
      </c>
      <c r="G513" s="373"/>
      <c r="H513" s="372">
        <v>348845</v>
      </c>
      <c r="I513" s="372">
        <v>307168</v>
      </c>
      <c r="J513" s="372">
        <v>1927612</v>
      </c>
      <c r="K513" s="372">
        <v>1648288</v>
      </c>
      <c r="L513" s="372">
        <v>1159765</v>
      </c>
    </row>
    <row r="514" spans="1:12" s="366" customFormat="1" ht="9" customHeight="1" x14ac:dyDescent="0.25">
      <c r="A514" s="366" t="s">
        <v>52</v>
      </c>
      <c r="B514" s="372">
        <f>SUM(D514,F514,K514:L514)</f>
        <v>6400292</v>
      </c>
      <c r="C514" s="372"/>
      <c r="D514" s="372">
        <v>4969498</v>
      </c>
      <c r="E514" s="372"/>
      <c r="F514" s="372">
        <f t="shared" si="33"/>
        <v>802104</v>
      </c>
      <c r="G514" s="373"/>
      <c r="H514" s="372">
        <v>130832</v>
      </c>
      <c r="I514" s="372">
        <v>53558</v>
      </c>
      <c r="J514" s="372">
        <v>617714</v>
      </c>
      <c r="K514" s="372">
        <v>352675</v>
      </c>
      <c r="L514" s="372">
        <v>276015</v>
      </c>
    </row>
    <row r="515" spans="1:12" s="366" customFormat="1" ht="9" customHeight="1" x14ac:dyDescent="0.25">
      <c r="A515" s="375" t="s">
        <v>53</v>
      </c>
      <c r="B515" s="376">
        <f>SUM(D515,F515,K515:L515)</f>
        <v>4193468</v>
      </c>
      <c r="C515" s="376"/>
      <c r="D515" s="376">
        <v>3059852</v>
      </c>
      <c r="E515" s="376"/>
      <c r="F515" s="376">
        <f t="shared" si="33"/>
        <v>440204</v>
      </c>
      <c r="G515" s="377"/>
      <c r="H515" s="376">
        <v>70745</v>
      </c>
      <c r="I515" s="376">
        <v>43955</v>
      </c>
      <c r="J515" s="376">
        <v>325504</v>
      </c>
      <c r="K515" s="376">
        <v>461765</v>
      </c>
      <c r="L515" s="376">
        <v>231647</v>
      </c>
    </row>
    <row r="516" spans="1:12" s="366" customFormat="1" ht="9" customHeight="1" x14ac:dyDescent="0.25">
      <c r="B516" s="372"/>
      <c r="C516" s="372"/>
      <c r="D516" s="372"/>
      <c r="E516" s="372"/>
      <c r="F516" s="372"/>
      <c r="G516" s="373"/>
      <c r="H516" s="372"/>
      <c r="I516" s="372"/>
      <c r="J516" s="372"/>
      <c r="K516" s="372"/>
      <c r="L516" s="372"/>
    </row>
    <row r="517" spans="1:12" s="366" customFormat="1" ht="10.5" customHeight="1" x14ac:dyDescent="0.25">
      <c r="A517" s="363">
        <v>2009</v>
      </c>
      <c r="B517" s="395"/>
      <c r="C517" s="396"/>
      <c r="D517" s="395"/>
      <c r="E517" s="395"/>
      <c r="F517" s="395"/>
      <c r="G517" s="397"/>
      <c r="H517" s="395"/>
      <c r="I517" s="395"/>
      <c r="J517" s="395"/>
      <c r="K517" s="395"/>
      <c r="L517" s="395"/>
    </row>
    <row r="518" spans="1:12" s="371" customFormat="1" ht="9" customHeight="1" x14ac:dyDescent="0.25">
      <c r="A518" s="367" t="s">
        <v>240</v>
      </c>
      <c r="B518" s="368">
        <f>SUM(B520:B551)+2536515</f>
        <v>303930542</v>
      </c>
      <c r="C518" s="381"/>
      <c r="D518" s="368">
        <f>SUM(D520:D551)+584261</f>
        <v>210657238</v>
      </c>
      <c r="E518" s="368"/>
      <c r="F518" s="368">
        <f>SUM(F520:F551)+1305780</f>
        <v>47734720</v>
      </c>
      <c r="G518" s="382"/>
      <c r="H518" s="368">
        <f>SUM(H520:H551)+142692</f>
        <v>6299899</v>
      </c>
      <c r="I518" s="368">
        <f>SUM(I520:I551)+137812</f>
        <v>4586271</v>
      </c>
      <c r="J518" s="368">
        <f>SUM(J520:J551)+1025276</f>
        <v>36848550</v>
      </c>
      <c r="K518" s="368">
        <f>SUM(K520:K551)+272392</f>
        <v>29472250</v>
      </c>
      <c r="L518" s="368">
        <f>SUM(L520:L551)+374082</f>
        <v>16066334</v>
      </c>
    </row>
    <row r="519" spans="1:12" s="371" customFormat="1" ht="3.95" customHeight="1" x14ac:dyDescent="0.25">
      <c r="A519" s="367"/>
      <c r="B519" s="381"/>
      <c r="C519" s="381"/>
      <c r="D519" s="381"/>
      <c r="E519" s="368"/>
      <c r="F519" s="381"/>
      <c r="G519" s="382"/>
      <c r="H519" s="368"/>
      <c r="I519" s="368"/>
      <c r="J519" s="368"/>
      <c r="K519" s="368"/>
      <c r="L519" s="368"/>
    </row>
    <row r="520" spans="1:12" s="366" customFormat="1" ht="9.6" customHeight="1" x14ac:dyDescent="0.25">
      <c r="A520" s="366" t="s">
        <v>280</v>
      </c>
      <c r="B520" s="386">
        <f t="shared" ref="B520:B551" si="35">SUM(D520,F520,K520:L520)</f>
        <v>3734766</v>
      </c>
      <c r="C520" s="386"/>
      <c r="D520" s="372">
        <v>2467123</v>
      </c>
      <c r="E520" s="372"/>
      <c r="F520" s="372">
        <f t="shared" ref="F520:F551" si="36">SUM(H520:J520)</f>
        <v>568700</v>
      </c>
      <c r="G520" s="393"/>
      <c r="H520" s="372">
        <v>85700</v>
      </c>
      <c r="I520" s="372">
        <v>38676</v>
      </c>
      <c r="J520" s="372">
        <v>444324</v>
      </c>
      <c r="K520" s="372">
        <v>517073</v>
      </c>
      <c r="L520" s="372">
        <v>181870</v>
      </c>
    </row>
    <row r="521" spans="1:12" s="366" customFormat="1" ht="9" customHeight="1" x14ac:dyDescent="0.25">
      <c r="A521" s="366" t="s">
        <v>24</v>
      </c>
      <c r="B521" s="386">
        <f t="shared" si="35"/>
        <v>7496996</v>
      </c>
      <c r="C521" s="386"/>
      <c r="D521" s="372">
        <v>4931935</v>
      </c>
      <c r="E521" s="372"/>
      <c r="F521" s="372">
        <f t="shared" si="36"/>
        <v>1207887</v>
      </c>
      <c r="G521" s="373"/>
      <c r="H521" s="372">
        <v>159622</v>
      </c>
      <c r="I521" s="372">
        <v>107377</v>
      </c>
      <c r="J521" s="372">
        <v>940888</v>
      </c>
      <c r="K521" s="372">
        <v>1003603</v>
      </c>
      <c r="L521" s="372">
        <v>353571</v>
      </c>
    </row>
    <row r="522" spans="1:12" s="366" customFormat="1" ht="9" customHeight="1" x14ac:dyDescent="0.25">
      <c r="A522" s="366" t="s">
        <v>25</v>
      </c>
      <c r="B522" s="386">
        <f t="shared" si="35"/>
        <v>1967902</v>
      </c>
      <c r="C522" s="386"/>
      <c r="D522" s="372">
        <v>1320969</v>
      </c>
      <c r="E522" s="372"/>
      <c r="F522" s="372">
        <f t="shared" si="36"/>
        <v>294489</v>
      </c>
      <c r="G522" s="373"/>
      <c r="H522" s="372">
        <v>48420</v>
      </c>
      <c r="I522" s="372">
        <v>22608</v>
      </c>
      <c r="J522" s="372">
        <v>223461</v>
      </c>
      <c r="K522" s="372">
        <v>255500</v>
      </c>
      <c r="L522" s="372">
        <v>96944</v>
      </c>
    </row>
    <row r="523" spans="1:12" s="366" customFormat="1" ht="9.6" customHeight="1" x14ac:dyDescent="0.25">
      <c r="A523" s="375" t="s">
        <v>281</v>
      </c>
      <c r="B523" s="388">
        <f t="shared" si="35"/>
        <v>2612118</v>
      </c>
      <c r="C523" s="388"/>
      <c r="D523" s="376">
        <v>1851750</v>
      </c>
      <c r="E523" s="376"/>
      <c r="F523" s="376">
        <f t="shared" si="36"/>
        <v>330209</v>
      </c>
      <c r="G523" s="394"/>
      <c r="H523" s="376">
        <v>61897</v>
      </c>
      <c r="I523" s="376">
        <v>44093</v>
      </c>
      <c r="J523" s="376">
        <v>224219</v>
      </c>
      <c r="K523" s="376">
        <v>301151</v>
      </c>
      <c r="L523" s="376">
        <v>129008</v>
      </c>
    </row>
    <row r="524" spans="1:12" s="366" customFormat="1" ht="9.6" customHeight="1" x14ac:dyDescent="0.25">
      <c r="A524" s="366" t="s">
        <v>282</v>
      </c>
      <c r="B524" s="386">
        <f t="shared" si="35"/>
        <v>7916362</v>
      </c>
      <c r="C524" s="386"/>
      <c r="D524" s="372">
        <v>5063032</v>
      </c>
      <c r="E524" s="372"/>
      <c r="F524" s="372">
        <f t="shared" si="36"/>
        <v>1287027</v>
      </c>
      <c r="G524" s="393"/>
      <c r="H524" s="372">
        <v>182584</v>
      </c>
      <c r="I524" s="372">
        <v>167358</v>
      </c>
      <c r="J524" s="372">
        <v>937085</v>
      </c>
      <c r="K524" s="372">
        <v>1204907</v>
      </c>
      <c r="L524" s="372">
        <v>361396</v>
      </c>
    </row>
    <row r="525" spans="1:12" s="366" customFormat="1" ht="9.6" customHeight="1" x14ac:dyDescent="0.25">
      <c r="A525" s="366" t="s">
        <v>283</v>
      </c>
      <c r="B525" s="372">
        <f t="shared" si="35"/>
        <v>2090230</v>
      </c>
      <c r="C525" s="372"/>
      <c r="D525" s="372">
        <v>1251564</v>
      </c>
      <c r="E525" s="372"/>
      <c r="F525" s="372">
        <f t="shared" si="36"/>
        <v>365968</v>
      </c>
      <c r="G525" s="393"/>
      <c r="H525" s="372">
        <v>46329</v>
      </c>
      <c r="I525" s="372">
        <v>20227</v>
      </c>
      <c r="J525" s="372">
        <v>299412</v>
      </c>
      <c r="K525" s="372">
        <v>373722</v>
      </c>
      <c r="L525" s="372">
        <v>98976</v>
      </c>
    </row>
    <row r="526" spans="1:12" s="366" customFormat="1" ht="9" customHeight="1" x14ac:dyDescent="0.25">
      <c r="A526" s="366" t="s">
        <v>29</v>
      </c>
      <c r="B526" s="372">
        <f t="shared" si="35"/>
        <v>10731362</v>
      </c>
      <c r="C526" s="372"/>
      <c r="D526" s="372">
        <v>8928429</v>
      </c>
      <c r="E526" s="372"/>
      <c r="F526" s="372">
        <f t="shared" si="36"/>
        <v>742950</v>
      </c>
      <c r="G526" s="373"/>
      <c r="H526" s="372">
        <v>105324</v>
      </c>
      <c r="I526" s="372">
        <v>68410</v>
      </c>
      <c r="J526" s="372">
        <v>569216</v>
      </c>
      <c r="K526" s="372">
        <v>667686</v>
      </c>
      <c r="L526" s="372">
        <v>392297</v>
      </c>
    </row>
    <row r="527" spans="1:12" s="366" customFormat="1" ht="9" customHeight="1" x14ac:dyDescent="0.25">
      <c r="A527" s="375" t="s">
        <v>30</v>
      </c>
      <c r="B527" s="376">
        <f t="shared" si="35"/>
        <v>8835146</v>
      </c>
      <c r="C527" s="376"/>
      <c r="D527" s="376">
        <v>6229176</v>
      </c>
      <c r="E527" s="376"/>
      <c r="F527" s="376">
        <f t="shared" si="36"/>
        <v>1311574</v>
      </c>
      <c r="G527" s="377"/>
      <c r="H527" s="376">
        <v>223923</v>
      </c>
      <c r="I527" s="376">
        <v>133374</v>
      </c>
      <c r="J527" s="376">
        <v>954277</v>
      </c>
      <c r="K527" s="376">
        <v>874421</v>
      </c>
      <c r="L527" s="376">
        <v>419975</v>
      </c>
    </row>
    <row r="528" spans="1:12" s="366" customFormat="1" ht="9.6" customHeight="1" x14ac:dyDescent="0.25">
      <c r="A528" s="366" t="s">
        <v>63</v>
      </c>
      <c r="B528" s="372">
        <f t="shared" si="35"/>
        <v>29910325</v>
      </c>
      <c r="C528" s="372"/>
      <c r="D528" s="372">
        <v>16153457</v>
      </c>
      <c r="E528" s="372"/>
      <c r="F528" s="372">
        <f t="shared" si="36"/>
        <v>9513220</v>
      </c>
      <c r="G528" s="387"/>
      <c r="H528" s="372">
        <v>776641</v>
      </c>
      <c r="I528" s="372">
        <v>569347</v>
      </c>
      <c r="J528" s="372">
        <v>8167232</v>
      </c>
      <c r="K528" s="372">
        <v>2649255</v>
      </c>
      <c r="L528" s="372">
        <v>1594393</v>
      </c>
    </row>
    <row r="529" spans="1:12" s="366" customFormat="1" ht="9.6" customHeight="1" x14ac:dyDescent="0.25">
      <c r="A529" s="366" t="s">
        <v>284</v>
      </c>
      <c r="B529" s="372">
        <f t="shared" si="35"/>
        <v>5009005</v>
      </c>
      <c r="C529" s="372"/>
      <c r="D529" s="372">
        <v>3545625</v>
      </c>
      <c r="E529" s="372"/>
      <c r="F529" s="372">
        <f t="shared" si="36"/>
        <v>674894</v>
      </c>
      <c r="G529" s="393"/>
      <c r="H529" s="372">
        <v>102711</v>
      </c>
      <c r="I529" s="372">
        <v>74011</v>
      </c>
      <c r="J529" s="372">
        <v>498172</v>
      </c>
      <c r="K529" s="372">
        <v>586790</v>
      </c>
      <c r="L529" s="372">
        <v>201696</v>
      </c>
    </row>
    <row r="530" spans="1:12" s="366" customFormat="1" ht="9" customHeight="1" x14ac:dyDescent="0.25">
      <c r="A530" s="366" t="s">
        <v>32</v>
      </c>
      <c r="B530" s="372">
        <f t="shared" si="35"/>
        <v>13066748</v>
      </c>
      <c r="C530" s="372"/>
      <c r="D530" s="372">
        <v>9136966</v>
      </c>
      <c r="E530" s="372"/>
      <c r="F530" s="372">
        <f t="shared" si="36"/>
        <v>1911123</v>
      </c>
      <c r="G530" s="373"/>
      <c r="H530" s="372">
        <v>275744</v>
      </c>
      <c r="I530" s="372">
        <v>212294</v>
      </c>
      <c r="J530" s="372">
        <v>1423085</v>
      </c>
      <c r="K530" s="372">
        <v>1208715</v>
      </c>
      <c r="L530" s="372">
        <v>809944</v>
      </c>
    </row>
    <row r="531" spans="1:12" s="366" customFormat="1" ht="9" customHeight="1" x14ac:dyDescent="0.25">
      <c r="A531" s="375" t="s">
        <v>33</v>
      </c>
      <c r="B531" s="376">
        <f t="shared" si="35"/>
        <v>9306537</v>
      </c>
      <c r="C531" s="376"/>
      <c r="D531" s="376">
        <v>7210293</v>
      </c>
      <c r="E531" s="376"/>
      <c r="F531" s="376">
        <f t="shared" si="36"/>
        <v>979789</v>
      </c>
      <c r="G531" s="377"/>
      <c r="H531" s="376">
        <v>172383</v>
      </c>
      <c r="I531" s="376">
        <v>116539</v>
      </c>
      <c r="J531" s="376">
        <v>690867</v>
      </c>
      <c r="K531" s="376">
        <v>625391</v>
      </c>
      <c r="L531" s="376">
        <v>491064</v>
      </c>
    </row>
    <row r="532" spans="1:12" s="366" customFormat="1" ht="9" customHeight="1" x14ac:dyDescent="0.25">
      <c r="A532" s="366" t="s">
        <v>34</v>
      </c>
      <c r="B532" s="372">
        <f t="shared" si="35"/>
        <v>7690719</v>
      </c>
      <c r="C532" s="372"/>
      <c r="D532" s="372">
        <v>5938675</v>
      </c>
      <c r="E532" s="372"/>
      <c r="F532" s="372">
        <f t="shared" si="36"/>
        <v>841146</v>
      </c>
      <c r="G532" s="373"/>
      <c r="H532" s="372">
        <v>139994</v>
      </c>
      <c r="I532" s="372">
        <v>77273</v>
      </c>
      <c r="J532" s="372">
        <v>623879</v>
      </c>
      <c r="K532" s="372">
        <v>496007</v>
      </c>
      <c r="L532" s="372">
        <v>414891</v>
      </c>
    </row>
    <row r="533" spans="1:12" s="366" customFormat="1" ht="9.6" customHeight="1" x14ac:dyDescent="0.25">
      <c r="A533" s="366" t="s">
        <v>285</v>
      </c>
      <c r="B533" s="372">
        <f t="shared" si="35"/>
        <v>18763308</v>
      </c>
      <c r="C533" s="372"/>
      <c r="D533" s="372">
        <v>11883431</v>
      </c>
      <c r="E533" s="372"/>
      <c r="F533" s="372">
        <f t="shared" si="36"/>
        <v>3438567</v>
      </c>
      <c r="G533" s="393"/>
      <c r="H533" s="372">
        <v>453220</v>
      </c>
      <c r="I533" s="372">
        <v>277507</v>
      </c>
      <c r="J533" s="372">
        <v>2707840</v>
      </c>
      <c r="K533" s="372">
        <v>2593718</v>
      </c>
      <c r="L533" s="372">
        <v>847592</v>
      </c>
    </row>
    <row r="534" spans="1:12" s="366" customFormat="1" ht="9" customHeight="1" x14ac:dyDescent="0.25">
      <c r="A534" s="366" t="s">
        <v>36</v>
      </c>
      <c r="B534" s="372">
        <f t="shared" si="35"/>
        <v>35318734</v>
      </c>
      <c r="C534" s="372"/>
      <c r="D534" s="372">
        <v>27682441</v>
      </c>
      <c r="E534" s="372"/>
      <c r="F534" s="372">
        <f t="shared" si="36"/>
        <v>3607460</v>
      </c>
      <c r="G534" s="373"/>
      <c r="H534" s="372">
        <v>625150</v>
      </c>
      <c r="I534" s="372">
        <v>456811</v>
      </c>
      <c r="J534" s="372">
        <v>2525499</v>
      </c>
      <c r="K534" s="372">
        <v>2387917</v>
      </c>
      <c r="L534" s="372">
        <v>1640916</v>
      </c>
    </row>
    <row r="535" spans="1:12" s="366" customFormat="1" ht="9" customHeight="1" x14ac:dyDescent="0.25">
      <c r="A535" s="375" t="s">
        <v>37</v>
      </c>
      <c r="B535" s="376">
        <f t="shared" si="35"/>
        <v>10250276</v>
      </c>
      <c r="C535" s="376"/>
      <c r="D535" s="376">
        <v>7657000</v>
      </c>
      <c r="E535" s="376"/>
      <c r="F535" s="376">
        <f t="shared" si="36"/>
        <v>1191502</v>
      </c>
      <c r="G535" s="377"/>
      <c r="H535" s="376">
        <v>205436</v>
      </c>
      <c r="I535" s="376">
        <v>136957</v>
      </c>
      <c r="J535" s="376">
        <v>849109</v>
      </c>
      <c r="K535" s="376">
        <v>806147</v>
      </c>
      <c r="L535" s="376">
        <v>595627</v>
      </c>
    </row>
    <row r="536" spans="1:12" s="366" customFormat="1" ht="9" customHeight="1" x14ac:dyDescent="0.25">
      <c r="A536" s="366" t="s">
        <v>38</v>
      </c>
      <c r="B536" s="372">
        <f t="shared" si="35"/>
        <v>4359066</v>
      </c>
      <c r="C536" s="372"/>
      <c r="D536" s="372">
        <v>2972209</v>
      </c>
      <c r="E536" s="372"/>
      <c r="F536" s="372">
        <f t="shared" si="36"/>
        <v>670099</v>
      </c>
      <c r="G536" s="373"/>
      <c r="H536" s="372">
        <v>105900</v>
      </c>
      <c r="I536" s="372">
        <v>49978</v>
      </c>
      <c r="J536" s="372">
        <v>514221</v>
      </c>
      <c r="K536" s="372">
        <v>478811</v>
      </c>
      <c r="L536" s="372">
        <v>237947</v>
      </c>
    </row>
    <row r="537" spans="1:12" s="366" customFormat="1" ht="9.6" customHeight="1" x14ac:dyDescent="0.25">
      <c r="A537" s="366" t="s">
        <v>39</v>
      </c>
      <c r="B537" s="372">
        <f t="shared" si="35"/>
        <v>3712144</v>
      </c>
      <c r="C537" s="372"/>
      <c r="D537" s="372">
        <v>2633995</v>
      </c>
      <c r="E537" s="372"/>
      <c r="F537" s="372">
        <f t="shared" si="36"/>
        <v>489529</v>
      </c>
      <c r="G537" s="373"/>
      <c r="H537" s="372">
        <v>63721</v>
      </c>
      <c r="I537" s="372">
        <v>44616</v>
      </c>
      <c r="J537" s="372">
        <v>381192</v>
      </c>
      <c r="K537" s="372">
        <v>413484</v>
      </c>
      <c r="L537" s="372">
        <v>175136</v>
      </c>
    </row>
    <row r="538" spans="1:12" s="366" customFormat="1" ht="9.6" customHeight="1" x14ac:dyDescent="0.25">
      <c r="A538" s="366" t="s">
        <v>286</v>
      </c>
      <c r="B538" s="372">
        <f t="shared" si="35"/>
        <v>11941329</v>
      </c>
      <c r="C538" s="372"/>
      <c r="D538" s="372">
        <v>7555973</v>
      </c>
      <c r="E538" s="372"/>
      <c r="F538" s="372">
        <f t="shared" si="36"/>
        <v>2112930</v>
      </c>
      <c r="G538" s="393"/>
      <c r="H538" s="372">
        <v>290350</v>
      </c>
      <c r="I538" s="372">
        <v>192653</v>
      </c>
      <c r="J538" s="372">
        <v>1629927</v>
      </c>
      <c r="K538" s="372">
        <v>1741375</v>
      </c>
      <c r="L538" s="372">
        <v>531051</v>
      </c>
    </row>
    <row r="539" spans="1:12" s="366" customFormat="1" ht="9" customHeight="1" x14ac:dyDescent="0.25">
      <c r="A539" s="375" t="s">
        <v>41</v>
      </c>
      <c r="B539" s="376">
        <f t="shared" si="35"/>
        <v>10023711</v>
      </c>
      <c r="C539" s="376"/>
      <c r="D539" s="376">
        <v>8028456</v>
      </c>
      <c r="E539" s="376"/>
      <c r="F539" s="376">
        <f t="shared" si="36"/>
        <v>939852</v>
      </c>
      <c r="G539" s="377"/>
      <c r="H539" s="376">
        <v>129434</v>
      </c>
      <c r="I539" s="376">
        <v>101669</v>
      </c>
      <c r="J539" s="376">
        <v>708749</v>
      </c>
      <c r="K539" s="376">
        <v>459716</v>
      </c>
      <c r="L539" s="376">
        <v>595687</v>
      </c>
    </row>
    <row r="540" spans="1:12" s="366" customFormat="1" ht="9.6" customHeight="1" x14ac:dyDescent="0.25">
      <c r="A540" s="366" t="s">
        <v>287</v>
      </c>
      <c r="B540" s="372">
        <f t="shared" si="35"/>
        <v>13507161</v>
      </c>
      <c r="C540" s="372"/>
      <c r="D540" s="372">
        <v>9462682</v>
      </c>
      <c r="E540" s="372"/>
      <c r="F540" s="372">
        <f t="shared" si="36"/>
        <v>1939096</v>
      </c>
      <c r="G540" s="387"/>
      <c r="H540" s="372">
        <v>272288</v>
      </c>
      <c r="I540" s="372">
        <v>242140</v>
      </c>
      <c r="J540" s="372">
        <v>1424668</v>
      </c>
      <c r="K540" s="372">
        <v>1218689</v>
      </c>
      <c r="L540" s="372">
        <v>886694</v>
      </c>
    </row>
    <row r="541" spans="1:12" s="366" customFormat="1" ht="9" customHeight="1" x14ac:dyDescent="0.25">
      <c r="A541" s="366" t="s">
        <v>43</v>
      </c>
      <c r="B541" s="372">
        <f t="shared" si="35"/>
        <v>3953048</v>
      </c>
      <c r="C541" s="372"/>
      <c r="D541" s="372">
        <v>2818938</v>
      </c>
      <c r="E541" s="372"/>
      <c r="F541" s="372">
        <f t="shared" si="36"/>
        <v>539257</v>
      </c>
      <c r="G541" s="373"/>
      <c r="H541" s="372">
        <v>62822</v>
      </c>
      <c r="I541" s="372">
        <v>33734</v>
      </c>
      <c r="J541" s="372">
        <v>442701</v>
      </c>
      <c r="K541" s="372">
        <v>336895</v>
      </c>
      <c r="L541" s="372">
        <v>257958</v>
      </c>
    </row>
    <row r="542" spans="1:12" s="366" customFormat="1" ht="9" customHeight="1" x14ac:dyDescent="0.25">
      <c r="A542" s="366" t="s">
        <v>44</v>
      </c>
      <c r="B542" s="372">
        <f t="shared" si="35"/>
        <v>2889721</v>
      </c>
      <c r="C542" s="372"/>
      <c r="D542" s="372">
        <v>1969143</v>
      </c>
      <c r="E542" s="372"/>
      <c r="F542" s="372">
        <f t="shared" si="36"/>
        <v>396815</v>
      </c>
      <c r="G542" s="373"/>
      <c r="H542" s="372">
        <v>69016</v>
      </c>
      <c r="I542" s="372">
        <v>38464</v>
      </c>
      <c r="J542" s="372">
        <v>289335</v>
      </c>
      <c r="K542" s="372">
        <v>368132</v>
      </c>
      <c r="L542" s="372">
        <v>155631</v>
      </c>
    </row>
    <row r="543" spans="1:12" s="366" customFormat="1" ht="9" customHeight="1" x14ac:dyDescent="0.25">
      <c r="A543" s="375" t="s">
        <v>45</v>
      </c>
      <c r="B543" s="376">
        <f t="shared" si="35"/>
        <v>7065893</v>
      </c>
      <c r="C543" s="376"/>
      <c r="D543" s="376">
        <v>4955773</v>
      </c>
      <c r="E543" s="376"/>
      <c r="F543" s="376">
        <f t="shared" si="36"/>
        <v>934152</v>
      </c>
      <c r="G543" s="377"/>
      <c r="H543" s="376">
        <v>122544</v>
      </c>
      <c r="I543" s="376">
        <v>75008</v>
      </c>
      <c r="J543" s="376">
        <v>736600</v>
      </c>
      <c r="K543" s="376">
        <v>643143</v>
      </c>
      <c r="L543" s="376">
        <v>532825</v>
      </c>
    </row>
    <row r="544" spans="1:12" s="366" customFormat="1" ht="9" customHeight="1" x14ac:dyDescent="0.25">
      <c r="A544" s="366" t="s">
        <v>46</v>
      </c>
      <c r="B544" s="372">
        <f t="shared" si="35"/>
        <v>9339575</v>
      </c>
      <c r="C544" s="372"/>
      <c r="D544" s="372">
        <v>6552422</v>
      </c>
      <c r="E544" s="372"/>
      <c r="F544" s="372">
        <f t="shared" si="36"/>
        <v>1398085</v>
      </c>
      <c r="G544" s="373"/>
      <c r="H544" s="372">
        <v>199847</v>
      </c>
      <c r="I544" s="372">
        <v>164210</v>
      </c>
      <c r="J544" s="372">
        <v>1034028</v>
      </c>
      <c r="K544" s="372">
        <v>923843</v>
      </c>
      <c r="L544" s="372">
        <v>465225</v>
      </c>
    </row>
    <row r="545" spans="1:15" s="366" customFormat="1" ht="9.6" customHeight="1" x14ac:dyDescent="0.25">
      <c r="A545" s="366" t="s">
        <v>288</v>
      </c>
      <c r="B545" s="372">
        <f t="shared" si="35"/>
        <v>8209908</v>
      </c>
      <c r="C545" s="372"/>
      <c r="D545" s="372">
        <v>5357110</v>
      </c>
      <c r="E545" s="372"/>
      <c r="F545" s="372">
        <f t="shared" si="36"/>
        <v>1377389</v>
      </c>
      <c r="G545" s="387"/>
      <c r="H545" s="372">
        <v>176601</v>
      </c>
      <c r="I545" s="372">
        <v>107591</v>
      </c>
      <c r="J545" s="372">
        <v>1093197</v>
      </c>
      <c r="K545" s="372">
        <v>1036703</v>
      </c>
      <c r="L545" s="372">
        <v>438706</v>
      </c>
    </row>
    <row r="546" spans="1:15" s="366" customFormat="1" ht="9" customHeight="1" x14ac:dyDescent="0.25">
      <c r="A546" s="366" t="s">
        <v>48</v>
      </c>
      <c r="B546" s="372">
        <f t="shared" si="35"/>
        <v>8297768</v>
      </c>
      <c r="C546" s="372"/>
      <c r="D546" s="372">
        <v>5631442</v>
      </c>
      <c r="E546" s="372"/>
      <c r="F546" s="372">
        <f t="shared" si="36"/>
        <v>1249340</v>
      </c>
      <c r="G546" s="387"/>
      <c r="H546" s="372">
        <v>153601</v>
      </c>
      <c r="I546" s="372">
        <v>171879</v>
      </c>
      <c r="J546" s="372">
        <v>923860</v>
      </c>
      <c r="K546" s="372">
        <v>951041</v>
      </c>
      <c r="L546" s="372">
        <v>465945</v>
      </c>
    </row>
    <row r="547" spans="1:15" s="366" customFormat="1" ht="9" customHeight="1" x14ac:dyDescent="0.25">
      <c r="A547" s="375" t="s">
        <v>49</v>
      </c>
      <c r="B547" s="376">
        <f t="shared" si="35"/>
        <v>9337165</v>
      </c>
      <c r="C547" s="376"/>
      <c r="D547" s="376">
        <v>6083398</v>
      </c>
      <c r="E547" s="376"/>
      <c r="F547" s="376">
        <f t="shared" si="36"/>
        <v>1795991</v>
      </c>
      <c r="G547" s="377"/>
      <c r="H547" s="376">
        <v>230350</v>
      </c>
      <c r="I547" s="376">
        <v>236428</v>
      </c>
      <c r="J547" s="376">
        <v>1329213</v>
      </c>
      <c r="K547" s="376">
        <v>984657</v>
      </c>
      <c r="L547" s="376">
        <v>473119</v>
      </c>
    </row>
    <row r="548" spans="1:15" s="366" customFormat="1" ht="9" customHeight="1" x14ac:dyDescent="0.25">
      <c r="A548" s="366" t="s">
        <v>50</v>
      </c>
      <c r="B548" s="372">
        <f t="shared" si="35"/>
        <v>3214516</v>
      </c>
      <c r="C548" s="372"/>
      <c r="D548" s="372">
        <v>2326686</v>
      </c>
      <c r="E548" s="372"/>
      <c r="F548" s="372">
        <f t="shared" si="36"/>
        <v>405625</v>
      </c>
      <c r="G548" s="373"/>
      <c r="H548" s="372">
        <v>49878</v>
      </c>
      <c r="I548" s="372">
        <v>49734</v>
      </c>
      <c r="J548" s="372">
        <v>306013</v>
      </c>
      <c r="K548" s="372">
        <v>275300</v>
      </c>
      <c r="L548" s="372">
        <v>206905</v>
      </c>
    </row>
    <row r="549" spans="1:15" s="366" customFormat="1" ht="9" customHeight="1" x14ac:dyDescent="0.25">
      <c r="A549" s="366" t="s">
        <v>51</v>
      </c>
      <c r="B549" s="372">
        <f t="shared" si="35"/>
        <v>19471817</v>
      </c>
      <c r="C549" s="372"/>
      <c r="D549" s="372">
        <v>13938661</v>
      </c>
      <c r="E549" s="372"/>
      <c r="F549" s="372">
        <f t="shared" si="36"/>
        <v>2581132</v>
      </c>
      <c r="G549" s="373"/>
      <c r="H549" s="372">
        <v>352333</v>
      </c>
      <c r="I549" s="372">
        <v>308928</v>
      </c>
      <c r="J549" s="372">
        <v>1919871</v>
      </c>
      <c r="K549" s="372">
        <v>1863951</v>
      </c>
      <c r="L549" s="372">
        <v>1088073</v>
      </c>
    </row>
    <row r="550" spans="1:15" s="366" customFormat="1" ht="9" customHeight="1" x14ac:dyDescent="0.25">
      <c r="A550" s="366" t="s">
        <v>52</v>
      </c>
      <c r="B550" s="372">
        <f t="shared" si="35"/>
        <v>6702726</v>
      </c>
      <c r="C550" s="372"/>
      <c r="D550" s="372">
        <v>5176144</v>
      </c>
      <c r="E550" s="372"/>
      <c r="F550" s="372">
        <f t="shared" si="36"/>
        <v>850353</v>
      </c>
      <c r="G550" s="373"/>
      <c r="H550" s="372">
        <v>139622</v>
      </c>
      <c r="I550" s="372">
        <v>59733</v>
      </c>
      <c r="J550" s="372">
        <v>650998</v>
      </c>
      <c r="K550" s="372">
        <v>415359</v>
      </c>
      <c r="L550" s="372">
        <v>260870</v>
      </c>
    </row>
    <row r="551" spans="1:15" s="366" customFormat="1" ht="9" customHeight="1" x14ac:dyDescent="0.25">
      <c r="A551" s="375" t="s">
        <v>53</v>
      </c>
      <c r="B551" s="376">
        <f t="shared" si="35"/>
        <v>4667945</v>
      </c>
      <c r="C551" s="376"/>
      <c r="D551" s="376">
        <v>3358079</v>
      </c>
      <c r="E551" s="376"/>
      <c r="F551" s="376">
        <f t="shared" si="36"/>
        <v>482790</v>
      </c>
      <c r="G551" s="377"/>
      <c r="H551" s="376">
        <v>73822</v>
      </c>
      <c r="I551" s="376">
        <v>48832</v>
      </c>
      <c r="J551" s="376">
        <v>360136</v>
      </c>
      <c r="K551" s="376">
        <v>536756</v>
      </c>
      <c r="L551" s="376">
        <v>290320</v>
      </c>
    </row>
    <row r="552" spans="1:15" s="366" customFormat="1" ht="9" customHeight="1" x14ac:dyDescent="0.25">
      <c r="B552" s="372"/>
      <c r="C552" s="372"/>
      <c r="D552" s="372"/>
      <c r="E552" s="372"/>
      <c r="F552" s="372"/>
      <c r="G552" s="373"/>
      <c r="H552" s="372"/>
      <c r="I552" s="372"/>
      <c r="J552" s="372"/>
      <c r="K552" s="372"/>
      <c r="L552" s="372"/>
    </row>
    <row r="553" spans="1:15" s="366" customFormat="1" ht="10.5" customHeight="1" x14ac:dyDescent="0.25">
      <c r="A553" s="363">
        <v>2010</v>
      </c>
      <c r="B553" s="395"/>
      <c r="C553" s="396"/>
      <c r="D553" s="395"/>
      <c r="E553" s="395"/>
      <c r="F553" s="395"/>
      <c r="G553" s="397"/>
      <c r="H553" s="395"/>
      <c r="I553" s="395"/>
      <c r="J553" s="395"/>
      <c r="K553" s="395"/>
      <c r="L553" s="395"/>
    </row>
    <row r="554" spans="1:15" s="371" customFormat="1" ht="9" customHeight="1" x14ac:dyDescent="0.25">
      <c r="A554" s="367" t="s">
        <v>240</v>
      </c>
      <c r="B554" s="368">
        <f>SUM(B556:B587)+2165425</f>
        <v>305324024</v>
      </c>
      <c r="C554" s="381"/>
      <c r="D554" s="368">
        <f>SUM(D556:D587)+578949</f>
        <v>210387560</v>
      </c>
      <c r="E554" s="368"/>
      <c r="F554" s="368">
        <f>SUM(F556:F587)+949124</f>
        <v>48216967</v>
      </c>
      <c r="G554" s="368"/>
      <c r="H554" s="368">
        <f>SUM(H556:H587)+133165</f>
        <v>6420760</v>
      </c>
      <c r="I554" s="368">
        <f>SUM(I556:I587)+128274</f>
        <v>4594915</v>
      </c>
      <c r="J554" s="368">
        <f>SUM(J556:J587)+687685</f>
        <v>37201292</v>
      </c>
      <c r="K554" s="368">
        <f>SUM(K556:K587)+360857</f>
        <v>29806011</v>
      </c>
      <c r="L554" s="368">
        <f>SUM(L556:L587)+276495</f>
        <v>16506870</v>
      </c>
    </row>
    <row r="555" spans="1:15" s="371" customFormat="1" ht="3.95" customHeight="1" x14ac:dyDescent="0.25">
      <c r="A555" s="367"/>
      <c r="B555" s="381"/>
      <c r="C555" s="381"/>
      <c r="D555" s="381"/>
      <c r="E555" s="368"/>
      <c r="F555" s="381"/>
      <c r="G555" s="382"/>
      <c r="H555" s="368"/>
      <c r="I555" s="368"/>
      <c r="J555" s="368"/>
      <c r="K555" s="368"/>
      <c r="L555" s="368"/>
    </row>
    <row r="556" spans="1:15" s="366" customFormat="1" ht="9.6" customHeight="1" x14ac:dyDescent="0.25">
      <c r="A556" s="366" t="s">
        <v>280</v>
      </c>
      <c r="B556" s="386">
        <f>SUM(D556,F556,K556:L556)</f>
        <v>3780604</v>
      </c>
      <c r="C556" s="386"/>
      <c r="D556" s="386">
        <v>2530520</v>
      </c>
      <c r="E556" s="372"/>
      <c r="F556" s="372">
        <f t="shared" ref="F556:F587" si="37">SUM(H556:J556)</f>
        <v>557090</v>
      </c>
      <c r="G556" s="372"/>
      <c r="H556" s="372">
        <v>78668</v>
      </c>
      <c r="I556" s="372">
        <v>46417</v>
      </c>
      <c r="J556" s="372">
        <v>432005</v>
      </c>
      <c r="K556" s="372">
        <v>514692</v>
      </c>
      <c r="L556" s="372">
        <v>178302</v>
      </c>
      <c r="O556" s="372"/>
    </row>
    <row r="557" spans="1:15" s="366" customFormat="1" ht="9" customHeight="1" x14ac:dyDescent="0.25">
      <c r="A557" s="366" t="s">
        <v>290</v>
      </c>
      <c r="B557" s="386">
        <f>SUM(D557,F557,K557:L557)+321668</f>
        <v>7650085</v>
      </c>
      <c r="C557" s="386"/>
      <c r="D557" s="386">
        <v>4746558</v>
      </c>
      <c r="E557" s="372"/>
      <c r="F557" s="372">
        <f t="shared" si="37"/>
        <v>1204830</v>
      </c>
      <c r="G557" s="373"/>
      <c r="H557" s="372">
        <v>150640</v>
      </c>
      <c r="I557" s="372">
        <v>115572</v>
      </c>
      <c r="J557" s="372">
        <v>938618</v>
      </c>
      <c r="K557" s="372">
        <v>993969</v>
      </c>
      <c r="L557" s="372">
        <v>383060</v>
      </c>
      <c r="O557" s="372"/>
    </row>
    <row r="558" spans="1:15" s="366" customFormat="1" ht="9" customHeight="1" x14ac:dyDescent="0.25">
      <c r="A558" s="366" t="s">
        <v>25</v>
      </c>
      <c r="B558" s="386">
        <f t="shared" ref="B558:B587" si="38">SUM(D558,F558,K558:L558)</f>
        <v>2060005</v>
      </c>
      <c r="C558" s="386"/>
      <c r="D558" s="386">
        <v>1404794</v>
      </c>
      <c r="E558" s="372"/>
      <c r="F558" s="372">
        <f t="shared" si="37"/>
        <v>312845</v>
      </c>
      <c r="G558" s="373"/>
      <c r="H558" s="372">
        <v>51703</v>
      </c>
      <c r="I558" s="372">
        <v>23117</v>
      </c>
      <c r="J558" s="372">
        <v>238025</v>
      </c>
      <c r="K558" s="372">
        <v>235879</v>
      </c>
      <c r="L558" s="372">
        <v>106487</v>
      </c>
      <c r="O558" s="372"/>
    </row>
    <row r="559" spans="1:15" s="366" customFormat="1" ht="9.6" customHeight="1" x14ac:dyDescent="0.25">
      <c r="A559" s="375" t="s">
        <v>281</v>
      </c>
      <c r="B559" s="388">
        <f t="shared" si="38"/>
        <v>2685666</v>
      </c>
      <c r="C559" s="388"/>
      <c r="D559" s="388">
        <v>1836458</v>
      </c>
      <c r="E559" s="376"/>
      <c r="F559" s="376">
        <f t="shared" si="37"/>
        <v>365953</v>
      </c>
      <c r="G559" s="394"/>
      <c r="H559" s="376">
        <v>63403</v>
      </c>
      <c r="I559" s="376">
        <v>46429</v>
      </c>
      <c r="J559" s="376">
        <v>256121</v>
      </c>
      <c r="K559" s="376">
        <v>339846</v>
      </c>
      <c r="L559" s="376">
        <v>143409</v>
      </c>
      <c r="O559" s="372"/>
    </row>
    <row r="560" spans="1:15" s="366" customFormat="1" ht="9.6" customHeight="1" x14ac:dyDescent="0.25">
      <c r="A560" s="366" t="s">
        <v>291</v>
      </c>
      <c r="B560" s="386">
        <f>SUM(D560,F560,K560:L560)+2151</f>
        <v>8194217</v>
      </c>
      <c r="C560" s="386"/>
      <c r="D560" s="386">
        <v>5267385</v>
      </c>
      <c r="E560" s="372"/>
      <c r="F560" s="372">
        <f t="shared" si="37"/>
        <v>1275639</v>
      </c>
      <c r="G560" s="393"/>
      <c r="H560" s="372">
        <v>171084</v>
      </c>
      <c r="I560" s="372">
        <v>168349</v>
      </c>
      <c r="J560" s="372">
        <v>936206</v>
      </c>
      <c r="K560" s="372">
        <v>1270751</v>
      </c>
      <c r="L560" s="372">
        <v>378291</v>
      </c>
      <c r="O560" s="372"/>
    </row>
    <row r="561" spans="1:15" s="366" customFormat="1" ht="9.6" customHeight="1" x14ac:dyDescent="0.25">
      <c r="A561" s="366" t="s">
        <v>283</v>
      </c>
      <c r="B561" s="372">
        <f t="shared" si="38"/>
        <v>2074551</v>
      </c>
      <c r="C561" s="372"/>
      <c r="D561" s="372">
        <v>1270878</v>
      </c>
      <c r="E561" s="372"/>
      <c r="F561" s="372">
        <f t="shared" si="37"/>
        <v>359590</v>
      </c>
      <c r="G561" s="393"/>
      <c r="H561" s="372">
        <v>43725</v>
      </c>
      <c r="I561" s="372">
        <v>22780</v>
      </c>
      <c r="J561" s="372">
        <v>293085</v>
      </c>
      <c r="K561" s="372">
        <v>342697</v>
      </c>
      <c r="L561" s="372">
        <v>101386</v>
      </c>
      <c r="O561" s="372"/>
    </row>
    <row r="562" spans="1:15" s="366" customFormat="1" ht="9" customHeight="1" x14ac:dyDescent="0.25">
      <c r="A562" s="366" t="s">
        <v>29</v>
      </c>
      <c r="B562" s="372">
        <f t="shared" si="38"/>
        <v>10892113</v>
      </c>
      <c r="C562" s="372"/>
      <c r="D562" s="372">
        <v>8988813</v>
      </c>
      <c r="E562" s="372"/>
      <c r="F562" s="372">
        <f t="shared" si="37"/>
        <v>787119</v>
      </c>
      <c r="G562" s="373"/>
      <c r="H562" s="372">
        <v>113428</v>
      </c>
      <c r="I562" s="372">
        <v>67418</v>
      </c>
      <c r="J562" s="372">
        <v>606273</v>
      </c>
      <c r="K562" s="372">
        <v>688613</v>
      </c>
      <c r="L562" s="372">
        <v>427568</v>
      </c>
      <c r="O562" s="372"/>
    </row>
    <row r="563" spans="1:15" s="366" customFormat="1" ht="9" customHeight="1" x14ac:dyDescent="0.25">
      <c r="A563" s="375" t="s">
        <v>30</v>
      </c>
      <c r="B563" s="376">
        <f t="shared" si="38"/>
        <v>9151623</v>
      </c>
      <c r="C563" s="376"/>
      <c r="D563" s="376">
        <v>6477499</v>
      </c>
      <c r="E563" s="376"/>
      <c r="F563" s="376">
        <f t="shared" si="37"/>
        <v>1369005</v>
      </c>
      <c r="G563" s="377"/>
      <c r="H563" s="376">
        <v>231516</v>
      </c>
      <c r="I563" s="376">
        <v>141646</v>
      </c>
      <c r="J563" s="376">
        <v>995843</v>
      </c>
      <c r="K563" s="376">
        <v>860842</v>
      </c>
      <c r="L563" s="376">
        <v>444277</v>
      </c>
      <c r="O563" s="372"/>
    </row>
    <row r="564" spans="1:15" s="366" customFormat="1" ht="9.6" customHeight="1" x14ac:dyDescent="0.25">
      <c r="A564" s="366" t="s">
        <v>63</v>
      </c>
      <c r="B564" s="372">
        <f t="shared" si="38"/>
        <v>29494172</v>
      </c>
      <c r="C564" s="372"/>
      <c r="D564" s="372">
        <v>15702267</v>
      </c>
      <c r="E564" s="372"/>
      <c r="F564" s="372">
        <f t="shared" si="37"/>
        <v>9457186</v>
      </c>
      <c r="G564" s="387"/>
      <c r="H564" s="372">
        <v>766640</v>
      </c>
      <c r="I564" s="372">
        <v>581614</v>
      </c>
      <c r="J564" s="372">
        <v>8108932</v>
      </c>
      <c r="K564" s="372">
        <v>2784202</v>
      </c>
      <c r="L564" s="372">
        <v>1550517</v>
      </c>
      <c r="O564" s="372"/>
    </row>
    <row r="565" spans="1:15" s="366" customFormat="1" ht="9.6" customHeight="1" x14ac:dyDescent="0.25">
      <c r="A565" s="366" t="s">
        <v>284</v>
      </c>
      <c r="B565" s="372">
        <f t="shared" si="38"/>
        <v>5201678</v>
      </c>
      <c r="C565" s="372"/>
      <c r="D565" s="372">
        <v>3659265</v>
      </c>
      <c r="E565" s="372"/>
      <c r="F565" s="372">
        <f t="shared" si="37"/>
        <v>701064</v>
      </c>
      <c r="G565" s="393"/>
      <c r="H565" s="372">
        <v>108424</v>
      </c>
      <c r="I565" s="372">
        <v>83222</v>
      </c>
      <c r="J565" s="372">
        <v>509418</v>
      </c>
      <c r="K565" s="372">
        <v>628259</v>
      </c>
      <c r="L565" s="372">
        <v>213090</v>
      </c>
      <c r="O565" s="372"/>
    </row>
    <row r="566" spans="1:15" s="366" customFormat="1" ht="9" customHeight="1" x14ac:dyDescent="0.25">
      <c r="A566" s="366" t="s">
        <v>32</v>
      </c>
      <c r="B566" s="372">
        <f t="shared" si="38"/>
        <v>13465251</v>
      </c>
      <c r="C566" s="372"/>
      <c r="D566" s="372">
        <v>9349329</v>
      </c>
      <c r="E566" s="372"/>
      <c r="F566" s="372">
        <f t="shared" si="37"/>
        <v>1896517</v>
      </c>
      <c r="G566" s="373"/>
      <c r="H566" s="372">
        <v>281920</v>
      </c>
      <c r="I566" s="372">
        <v>214314</v>
      </c>
      <c r="J566" s="372">
        <v>1400283</v>
      </c>
      <c r="K566" s="372">
        <v>1392605</v>
      </c>
      <c r="L566" s="372">
        <v>826800</v>
      </c>
      <c r="O566" s="372"/>
    </row>
    <row r="567" spans="1:15" s="366" customFormat="1" ht="9" customHeight="1" x14ac:dyDescent="0.25">
      <c r="A567" s="375" t="s">
        <v>33</v>
      </c>
      <c r="B567" s="376">
        <f t="shared" si="38"/>
        <v>9306902</v>
      </c>
      <c r="C567" s="376"/>
      <c r="D567" s="376">
        <v>7325408</v>
      </c>
      <c r="E567" s="376"/>
      <c r="F567" s="376">
        <f t="shared" si="37"/>
        <v>978232</v>
      </c>
      <c r="G567" s="377"/>
      <c r="H567" s="376">
        <v>169030</v>
      </c>
      <c r="I567" s="376">
        <v>101479</v>
      </c>
      <c r="J567" s="376">
        <v>707723</v>
      </c>
      <c r="K567" s="376">
        <v>595719</v>
      </c>
      <c r="L567" s="376">
        <v>407543</v>
      </c>
      <c r="O567" s="372"/>
    </row>
    <row r="568" spans="1:15" s="366" customFormat="1" ht="9" customHeight="1" x14ac:dyDescent="0.25">
      <c r="A568" s="366" t="s">
        <v>34</v>
      </c>
      <c r="B568" s="372">
        <f t="shared" si="38"/>
        <v>7690033</v>
      </c>
      <c r="C568" s="372"/>
      <c r="D568" s="372">
        <v>5919499</v>
      </c>
      <c r="E568" s="372"/>
      <c r="F568" s="372">
        <f t="shared" si="37"/>
        <v>833286</v>
      </c>
      <c r="G568" s="373"/>
      <c r="H568" s="372">
        <v>141344</v>
      </c>
      <c r="I568" s="372">
        <v>77887</v>
      </c>
      <c r="J568" s="372">
        <v>614055</v>
      </c>
      <c r="K568" s="372">
        <v>494871</v>
      </c>
      <c r="L568" s="372">
        <v>442377</v>
      </c>
      <c r="O568" s="372"/>
    </row>
    <row r="569" spans="1:15" s="366" customFormat="1" ht="9.6" customHeight="1" x14ac:dyDescent="0.25">
      <c r="A569" s="366" t="s">
        <v>285</v>
      </c>
      <c r="B569" s="372">
        <f t="shared" si="38"/>
        <v>18698764</v>
      </c>
      <c r="C569" s="372"/>
      <c r="D569" s="372">
        <v>11785910</v>
      </c>
      <c r="E569" s="372"/>
      <c r="F569" s="372">
        <f t="shared" si="37"/>
        <v>3569238</v>
      </c>
      <c r="G569" s="393"/>
      <c r="H569" s="372">
        <v>478444</v>
      </c>
      <c r="I569" s="372">
        <v>290522</v>
      </c>
      <c r="J569" s="372">
        <v>2800272</v>
      </c>
      <c r="K569" s="372">
        <v>2423852</v>
      </c>
      <c r="L569" s="372">
        <v>919764</v>
      </c>
      <c r="O569" s="372"/>
    </row>
    <row r="570" spans="1:15" s="366" customFormat="1" ht="9" customHeight="1" x14ac:dyDescent="0.25">
      <c r="A570" s="366" t="s">
        <v>36</v>
      </c>
      <c r="B570" s="372">
        <f t="shared" si="38"/>
        <v>35027890</v>
      </c>
      <c r="C570" s="372"/>
      <c r="D570" s="372">
        <v>27150874</v>
      </c>
      <c r="E570" s="372"/>
      <c r="F570" s="372">
        <f t="shared" si="37"/>
        <v>3777319</v>
      </c>
      <c r="G570" s="373"/>
      <c r="H570" s="372">
        <v>649610</v>
      </c>
      <c r="I570" s="372">
        <v>469941</v>
      </c>
      <c r="J570" s="372">
        <v>2657768</v>
      </c>
      <c r="K570" s="372">
        <v>2393651</v>
      </c>
      <c r="L570" s="372">
        <v>1706046</v>
      </c>
      <c r="O570" s="372"/>
    </row>
    <row r="571" spans="1:15" s="366" customFormat="1" ht="9" customHeight="1" x14ac:dyDescent="0.25">
      <c r="A571" s="375" t="s">
        <v>37</v>
      </c>
      <c r="B571" s="376">
        <f t="shared" si="38"/>
        <v>10519568</v>
      </c>
      <c r="C571" s="376"/>
      <c r="D571" s="376">
        <v>7815550</v>
      </c>
      <c r="E571" s="376"/>
      <c r="F571" s="376">
        <f t="shared" si="37"/>
        <v>1257542</v>
      </c>
      <c r="G571" s="377"/>
      <c r="H571" s="376">
        <v>227663</v>
      </c>
      <c r="I571" s="376">
        <v>135587</v>
      </c>
      <c r="J571" s="376">
        <v>894292</v>
      </c>
      <c r="K571" s="376">
        <v>812700</v>
      </c>
      <c r="L571" s="376">
        <v>633776</v>
      </c>
      <c r="O571" s="372"/>
    </row>
    <row r="572" spans="1:15" s="366" customFormat="1" ht="9" customHeight="1" x14ac:dyDescent="0.25">
      <c r="A572" s="366" t="s">
        <v>38</v>
      </c>
      <c r="B572" s="372">
        <f t="shared" si="38"/>
        <v>4493067</v>
      </c>
      <c r="C572" s="372"/>
      <c r="D572" s="372">
        <v>3042080</v>
      </c>
      <c r="E572" s="372"/>
      <c r="F572" s="372">
        <f t="shared" si="37"/>
        <v>652753</v>
      </c>
      <c r="G572" s="373"/>
      <c r="H572" s="372">
        <v>97216</v>
      </c>
      <c r="I572" s="372">
        <v>49010</v>
      </c>
      <c r="J572" s="372">
        <v>506527</v>
      </c>
      <c r="K572" s="372">
        <v>539101</v>
      </c>
      <c r="L572" s="372">
        <v>259133</v>
      </c>
      <c r="O572" s="372"/>
    </row>
    <row r="573" spans="1:15" s="366" customFormat="1" ht="9.6" customHeight="1" x14ac:dyDescent="0.25">
      <c r="A573" s="366" t="s">
        <v>39</v>
      </c>
      <c r="B573" s="372">
        <f t="shared" si="38"/>
        <v>3544047</v>
      </c>
      <c r="C573" s="372"/>
      <c r="D573" s="372">
        <v>2532698</v>
      </c>
      <c r="E573" s="372"/>
      <c r="F573" s="372">
        <f t="shared" si="37"/>
        <v>476916</v>
      </c>
      <c r="G573" s="373"/>
      <c r="H573" s="372">
        <v>71688</v>
      </c>
      <c r="I573" s="372">
        <v>42961</v>
      </c>
      <c r="J573" s="372">
        <v>362267</v>
      </c>
      <c r="K573" s="372">
        <v>365306</v>
      </c>
      <c r="L573" s="372">
        <v>169127</v>
      </c>
      <c r="O573" s="372"/>
    </row>
    <row r="574" spans="1:15" s="366" customFormat="1" ht="9.6" customHeight="1" x14ac:dyDescent="0.25">
      <c r="A574" s="366" t="s">
        <v>286</v>
      </c>
      <c r="B574" s="372">
        <f t="shared" si="38"/>
        <v>12167654</v>
      </c>
      <c r="C574" s="372"/>
      <c r="D574" s="372">
        <v>7593598</v>
      </c>
      <c r="E574" s="372"/>
      <c r="F574" s="372">
        <f t="shared" si="37"/>
        <v>2248733</v>
      </c>
      <c r="G574" s="393"/>
      <c r="H574" s="372">
        <v>310325</v>
      </c>
      <c r="I574" s="372">
        <v>190129</v>
      </c>
      <c r="J574" s="372">
        <v>1748279</v>
      </c>
      <c r="K574" s="372">
        <v>1788133</v>
      </c>
      <c r="L574" s="372">
        <v>537190</v>
      </c>
      <c r="O574" s="372"/>
    </row>
    <row r="575" spans="1:15" s="366" customFormat="1" ht="9" customHeight="1" x14ac:dyDescent="0.25">
      <c r="A575" s="375" t="s">
        <v>41</v>
      </c>
      <c r="B575" s="376">
        <f t="shared" si="38"/>
        <v>9991633</v>
      </c>
      <c r="C575" s="376"/>
      <c r="D575" s="376">
        <v>7929760</v>
      </c>
      <c r="E575" s="376"/>
      <c r="F575" s="376">
        <f t="shared" si="37"/>
        <v>943740</v>
      </c>
      <c r="G575" s="377"/>
      <c r="H575" s="376">
        <v>129993</v>
      </c>
      <c r="I575" s="376">
        <v>102841</v>
      </c>
      <c r="J575" s="376">
        <v>710906</v>
      </c>
      <c r="K575" s="376">
        <v>501562</v>
      </c>
      <c r="L575" s="376">
        <v>616571</v>
      </c>
      <c r="O575" s="372"/>
    </row>
    <row r="576" spans="1:15" s="366" customFormat="1" ht="9.6" customHeight="1" x14ac:dyDescent="0.25">
      <c r="A576" s="366" t="s">
        <v>287</v>
      </c>
      <c r="B576" s="372">
        <f t="shared" si="38"/>
        <v>13671583</v>
      </c>
      <c r="C576" s="372"/>
      <c r="D576" s="372">
        <v>9533528</v>
      </c>
      <c r="E576" s="372"/>
      <c r="F576" s="372">
        <f t="shared" si="37"/>
        <v>2022855</v>
      </c>
      <c r="G576" s="387"/>
      <c r="H576" s="372">
        <v>278695</v>
      </c>
      <c r="I576" s="372">
        <v>206209</v>
      </c>
      <c r="J576" s="372">
        <v>1537951</v>
      </c>
      <c r="K576" s="372">
        <v>1168089</v>
      </c>
      <c r="L576" s="372">
        <v>947111</v>
      </c>
      <c r="O576" s="372"/>
    </row>
    <row r="577" spans="1:15" s="366" customFormat="1" ht="9" customHeight="1" x14ac:dyDescent="0.25">
      <c r="A577" s="366" t="s">
        <v>43</v>
      </c>
      <c r="B577" s="372">
        <f t="shared" si="38"/>
        <v>4145440</v>
      </c>
      <c r="C577" s="372"/>
      <c r="D577" s="372">
        <v>2945114</v>
      </c>
      <c r="E577" s="372"/>
      <c r="F577" s="372">
        <f t="shared" si="37"/>
        <v>563610</v>
      </c>
      <c r="G577" s="373"/>
      <c r="H577" s="372">
        <v>63531</v>
      </c>
      <c r="I577" s="372">
        <v>38468</v>
      </c>
      <c r="J577" s="372">
        <v>461611</v>
      </c>
      <c r="K577" s="372">
        <v>351107</v>
      </c>
      <c r="L577" s="372">
        <v>285609</v>
      </c>
      <c r="O577" s="372"/>
    </row>
    <row r="578" spans="1:15" s="366" customFormat="1" ht="9" customHeight="1" x14ac:dyDescent="0.25">
      <c r="A578" s="366" t="s">
        <v>44</v>
      </c>
      <c r="B578" s="372">
        <f t="shared" si="38"/>
        <v>3085428</v>
      </c>
      <c r="C578" s="372"/>
      <c r="D578" s="372">
        <v>2111370</v>
      </c>
      <c r="E578" s="372"/>
      <c r="F578" s="372">
        <f t="shared" si="37"/>
        <v>420581</v>
      </c>
      <c r="G578" s="373"/>
      <c r="H578" s="372">
        <v>70404</v>
      </c>
      <c r="I578" s="372">
        <v>39029</v>
      </c>
      <c r="J578" s="372">
        <v>311148</v>
      </c>
      <c r="K578" s="372">
        <v>363172</v>
      </c>
      <c r="L578" s="372">
        <v>190305</v>
      </c>
      <c r="O578" s="372"/>
    </row>
    <row r="579" spans="1:15" s="366" customFormat="1" ht="9" customHeight="1" x14ac:dyDescent="0.25">
      <c r="A579" s="375" t="s">
        <v>45</v>
      </c>
      <c r="B579" s="376">
        <f t="shared" si="38"/>
        <v>7267035</v>
      </c>
      <c r="C579" s="376"/>
      <c r="D579" s="376">
        <v>5104029</v>
      </c>
      <c r="E579" s="376"/>
      <c r="F579" s="376">
        <f t="shared" si="37"/>
        <v>942800</v>
      </c>
      <c r="G579" s="377"/>
      <c r="H579" s="376">
        <v>125215</v>
      </c>
      <c r="I579" s="376">
        <v>81303</v>
      </c>
      <c r="J579" s="376">
        <v>736282</v>
      </c>
      <c r="K579" s="376">
        <v>649430</v>
      </c>
      <c r="L579" s="376">
        <v>570776</v>
      </c>
      <c r="O579" s="372"/>
    </row>
    <row r="580" spans="1:15" s="366" customFormat="1" ht="9" customHeight="1" x14ac:dyDescent="0.25">
      <c r="A580" s="366" t="s">
        <v>292</v>
      </c>
      <c r="B580" s="372">
        <f>SUM(D580,F580,K580:L580)+82797</f>
        <v>9045138</v>
      </c>
      <c r="C580" s="372"/>
      <c r="D580" s="372">
        <v>6305511</v>
      </c>
      <c r="E580" s="372"/>
      <c r="F580" s="372">
        <f t="shared" si="37"/>
        <v>1322941</v>
      </c>
      <c r="G580" s="373"/>
      <c r="H580" s="372">
        <v>186097</v>
      </c>
      <c r="I580" s="372">
        <v>171208</v>
      </c>
      <c r="J580" s="372">
        <v>965636</v>
      </c>
      <c r="K580" s="372">
        <v>861763</v>
      </c>
      <c r="L580" s="372">
        <v>472126</v>
      </c>
      <c r="O580" s="372"/>
    </row>
    <row r="581" spans="1:15" s="366" customFormat="1" ht="9.6" customHeight="1" x14ac:dyDescent="0.25">
      <c r="A581" s="366" t="s">
        <v>288</v>
      </c>
      <c r="B581" s="372">
        <f t="shared" si="38"/>
        <v>8637911</v>
      </c>
      <c r="C581" s="372"/>
      <c r="D581" s="372">
        <v>5609868</v>
      </c>
      <c r="E581" s="372"/>
      <c r="F581" s="372">
        <f t="shared" si="37"/>
        <v>1520921</v>
      </c>
      <c r="G581" s="387"/>
      <c r="H581" s="372">
        <v>208572</v>
      </c>
      <c r="I581" s="372">
        <v>137601</v>
      </c>
      <c r="J581" s="372">
        <v>1174748</v>
      </c>
      <c r="K581" s="372">
        <v>1073041</v>
      </c>
      <c r="L581" s="372">
        <v>434081</v>
      </c>
      <c r="O581" s="372"/>
    </row>
    <row r="582" spans="1:15" s="366" customFormat="1" ht="9" customHeight="1" x14ac:dyDescent="0.25">
      <c r="A582" s="366" t="s">
        <v>48</v>
      </c>
      <c r="B582" s="372">
        <f t="shared" si="38"/>
        <v>8027430</v>
      </c>
      <c r="C582" s="372"/>
      <c r="D582" s="372">
        <v>5511083</v>
      </c>
      <c r="E582" s="372"/>
      <c r="F582" s="372">
        <f t="shared" si="37"/>
        <v>1214656</v>
      </c>
      <c r="G582" s="387"/>
      <c r="H582" s="372">
        <v>146557</v>
      </c>
      <c r="I582" s="372">
        <v>165211</v>
      </c>
      <c r="J582" s="372">
        <v>902888</v>
      </c>
      <c r="K582" s="372">
        <v>860148</v>
      </c>
      <c r="L582" s="372">
        <v>441543</v>
      </c>
      <c r="O582" s="372"/>
    </row>
    <row r="583" spans="1:15" s="366" customFormat="1" ht="9" customHeight="1" x14ac:dyDescent="0.25">
      <c r="A583" s="375" t="s">
        <v>49</v>
      </c>
      <c r="B583" s="376">
        <f t="shared" si="38"/>
        <v>9424629</v>
      </c>
      <c r="C583" s="376"/>
      <c r="D583" s="376">
        <v>6049418</v>
      </c>
      <c r="E583" s="376"/>
      <c r="F583" s="376">
        <f t="shared" si="37"/>
        <v>1835348</v>
      </c>
      <c r="G583" s="377"/>
      <c r="H583" s="376">
        <v>238000</v>
      </c>
      <c r="I583" s="376">
        <v>223749</v>
      </c>
      <c r="J583" s="376">
        <v>1373599</v>
      </c>
      <c r="K583" s="376">
        <v>1033363</v>
      </c>
      <c r="L583" s="376">
        <v>506500</v>
      </c>
      <c r="O583" s="372"/>
    </row>
    <row r="584" spans="1:15" s="366" customFormat="1" ht="9" customHeight="1" x14ac:dyDescent="0.25">
      <c r="A584" s="366" t="s">
        <v>50</v>
      </c>
      <c r="B584" s="372">
        <f t="shared" si="38"/>
        <v>3243424</v>
      </c>
      <c r="C584" s="372"/>
      <c r="D584" s="372">
        <v>2319313</v>
      </c>
      <c r="E584" s="372"/>
      <c r="F584" s="372">
        <f t="shared" si="37"/>
        <v>415488</v>
      </c>
      <c r="G584" s="373"/>
      <c r="H584" s="372">
        <v>53604</v>
      </c>
      <c r="I584" s="372">
        <v>51502</v>
      </c>
      <c r="J584" s="372">
        <v>310382</v>
      </c>
      <c r="K584" s="372">
        <v>259986</v>
      </c>
      <c r="L584" s="372">
        <v>248637</v>
      </c>
      <c r="O584" s="372"/>
    </row>
    <row r="585" spans="1:15" s="366" customFormat="1" ht="9" customHeight="1" x14ac:dyDescent="0.25">
      <c r="A585" s="366" t="s">
        <v>51</v>
      </c>
      <c r="B585" s="372">
        <f t="shared" si="38"/>
        <v>19012870</v>
      </c>
      <c r="C585" s="372"/>
      <c r="D585" s="372">
        <v>13338497</v>
      </c>
      <c r="E585" s="372"/>
      <c r="F585" s="372">
        <f t="shared" si="37"/>
        <v>2635184</v>
      </c>
      <c r="G585" s="373"/>
      <c r="H585" s="372">
        <v>352395</v>
      </c>
      <c r="I585" s="372">
        <v>278241</v>
      </c>
      <c r="J585" s="372">
        <v>2004548</v>
      </c>
      <c r="K585" s="372">
        <v>1874536</v>
      </c>
      <c r="L585" s="372">
        <v>1164653</v>
      </c>
      <c r="O585" s="372"/>
    </row>
    <row r="586" spans="1:15" s="366" customFormat="1" ht="9" customHeight="1" x14ac:dyDescent="0.25">
      <c r="A586" s="366" t="s">
        <v>52</v>
      </c>
      <c r="B586" s="372">
        <f t="shared" si="38"/>
        <v>6891316</v>
      </c>
      <c r="C586" s="372"/>
      <c r="D586" s="372">
        <v>5326664</v>
      </c>
      <c r="E586" s="372"/>
      <c r="F586" s="372">
        <f t="shared" si="37"/>
        <v>864637</v>
      </c>
      <c r="G586" s="373"/>
      <c r="H586" s="372">
        <v>147108</v>
      </c>
      <c r="I586" s="372">
        <v>55365</v>
      </c>
      <c r="J586" s="372">
        <v>662164</v>
      </c>
      <c r="K586" s="372">
        <v>415903</v>
      </c>
      <c r="L586" s="372">
        <v>284112</v>
      </c>
      <c r="O586" s="372"/>
    </row>
    <row r="587" spans="1:15" s="366" customFormat="1" ht="9" customHeight="1" x14ac:dyDescent="0.25">
      <c r="A587" s="375" t="s">
        <v>53</v>
      </c>
      <c r="B587" s="376">
        <f t="shared" si="38"/>
        <v>4616872</v>
      </c>
      <c r="C587" s="376"/>
      <c r="D587" s="376">
        <v>3325073</v>
      </c>
      <c r="E587" s="376"/>
      <c r="F587" s="376">
        <f t="shared" si="37"/>
        <v>484225</v>
      </c>
      <c r="G587" s="377"/>
      <c r="H587" s="376">
        <v>80953</v>
      </c>
      <c r="I587" s="376">
        <v>47520</v>
      </c>
      <c r="J587" s="376">
        <v>355752</v>
      </c>
      <c r="K587" s="376">
        <v>567366</v>
      </c>
      <c r="L587" s="376">
        <v>240208</v>
      </c>
      <c r="O587" s="372"/>
    </row>
    <row r="588" spans="1:15" s="366" customFormat="1" ht="9" customHeight="1" x14ac:dyDescent="0.25">
      <c r="A588" s="398"/>
      <c r="B588" s="381"/>
      <c r="C588" s="381"/>
      <c r="D588" s="381"/>
      <c r="E588" s="368"/>
      <c r="F588" s="381"/>
      <c r="G588" s="382"/>
      <c r="H588" s="368"/>
      <c r="I588" s="368"/>
      <c r="J588" s="368"/>
      <c r="K588" s="368"/>
      <c r="L588" s="368"/>
      <c r="M588" s="399"/>
      <c r="O588" s="372"/>
    </row>
    <row r="589" spans="1:15" s="366" customFormat="1" ht="9" customHeight="1" x14ac:dyDescent="0.25">
      <c r="A589" s="400">
        <v>2011</v>
      </c>
      <c r="B589" s="401"/>
      <c r="C589" s="401"/>
      <c r="D589" s="402"/>
      <c r="E589" s="402"/>
      <c r="F589" s="403"/>
      <c r="G589" s="404"/>
      <c r="H589" s="402"/>
      <c r="I589" s="402"/>
      <c r="J589" s="401"/>
      <c r="K589" s="402"/>
      <c r="L589" s="405"/>
      <c r="M589" s="405"/>
      <c r="O589" s="372"/>
    </row>
    <row r="590" spans="1:15" s="366" customFormat="1" ht="9" customHeight="1" x14ac:dyDescent="0.25">
      <c r="A590" s="398" t="s">
        <v>21</v>
      </c>
      <c r="B590" s="368">
        <f>SUM(B592:B623)</f>
        <v>316409666</v>
      </c>
      <c r="C590" s="381"/>
      <c r="D590" s="368">
        <f>SUM(D592:D623)</f>
        <v>217065306</v>
      </c>
      <c r="E590" s="368"/>
      <c r="F590" s="368">
        <f>SUM(F592:F623)</f>
        <v>50089261</v>
      </c>
      <c r="G590" s="368"/>
      <c r="H590" s="368">
        <f>SUM(H592:H623)</f>
        <v>6777837</v>
      </c>
      <c r="I590" s="368">
        <f>SUM(I592:I623)</f>
        <v>4761202</v>
      </c>
      <c r="J590" s="368">
        <f>SUM(J592:J623)</f>
        <v>38550222</v>
      </c>
      <c r="K590" s="368">
        <f>SUM(K592:K623)</f>
        <v>30546510</v>
      </c>
      <c r="L590" s="368">
        <f>SUM(L592:L623)</f>
        <v>17079926</v>
      </c>
      <c r="M590" s="399"/>
      <c r="O590" s="372"/>
    </row>
    <row r="591" spans="1:15" s="366" customFormat="1" ht="3.95" customHeight="1" x14ac:dyDescent="0.25">
      <c r="A591" s="398"/>
      <c r="B591" s="381"/>
      <c r="C591" s="381"/>
      <c r="D591" s="381"/>
      <c r="E591" s="368"/>
      <c r="F591" s="381"/>
      <c r="G591" s="382"/>
      <c r="H591" s="368"/>
      <c r="I591" s="368"/>
      <c r="J591" s="368"/>
      <c r="K591" s="368"/>
      <c r="L591" s="368"/>
      <c r="M591" s="399"/>
      <c r="O591" s="372"/>
    </row>
    <row r="592" spans="1:15" s="366" customFormat="1" ht="9" customHeight="1" x14ac:dyDescent="0.25">
      <c r="A592" s="405" t="s">
        <v>280</v>
      </c>
      <c r="B592" s="386">
        <f>SUM(D592,F592,K592:L592)</f>
        <v>3977804</v>
      </c>
      <c r="C592" s="386"/>
      <c r="D592" s="386">
        <v>2697126</v>
      </c>
      <c r="E592" s="372"/>
      <c r="F592" s="372">
        <f t="shared" ref="F592:F623" si="39">SUM(H592:J592)</f>
        <v>587587</v>
      </c>
      <c r="G592" s="372"/>
      <c r="H592" s="372">
        <v>77980</v>
      </c>
      <c r="I592" s="372">
        <v>54002</v>
      </c>
      <c r="J592" s="372">
        <v>455605</v>
      </c>
      <c r="K592" s="372">
        <v>518707</v>
      </c>
      <c r="L592" s="372">
        <v>174384</v>
      </c>
      <c r="M592" s="405"/>
      <c r="O592" s="372"/>
    </row>
    <row r="593" spans="1:15" s="366" customFormat="1" ht="9" customHeight="1" x14ac:dyDescent="0.25">
      <c r="A593" s="405" t="s">
        <v>293</v>
      </c>
      <c r="B593" s="386">
        <f>SUM(D593,F593,K593:L593)+774198</f>
        <v>8601529</v>
      </c>
      <c r="C593" s="386"/>
      <c r="D593" s="386">
        <v>5017474</v>
      </c>
      <c r="E593" s="372"/>
      <c r="F593" s="372">
        <f t="shared" si="39"/>
        <v>1363657</v>
      </c>
      <c r="G593" s="373"/>
      <c r="H593" s="372">
        <v>170275</v>
      </c>
      <c r="I593" s="372">
        <v>124628</v>
      </c>
      <c r="J593" s="372">
        <v>1068754</v>
      </c>
      <c r="K593" s="372">
        <v>1019164</v>
      </c>
      <c r="L593" s="372">
        <v>427036</v>
      </c>
      <c r="M593" s="405"/>
      <c r="O593" s="372"/>
    </row>
    <row r="594" spans="1:15" s="366" customFormat="1" ht="9" customHeight="1" x14ac:dyDescent="0.25">
      <c r="A594" s="405" t="s">
        <v>25</v>
      </c>
      <c r="B594" s="386">
        <f>SUM(D594,F594,K594:L594)</f>
        <v>2156441</v>
      </c>
      <c r="C594" s="386"/>
      <c r="D594" s="386">
        <v>1440502</v>
      </c>
      <c r="E594" s="372"/>
      <c r="F594" s="372">
        <f t="shared" si="39"/>
        <v>352741</v>
      </c>
      <c r="G594" s="373"/>
      <c r="H594" s="372">
        <v>55197</v>
      </c>
      <c r="I594" s="372">
        <v>27783</v>
      </c>
      <c r="J594" s="372">
        <v>269761</v>
      </c>
      <c r="K594" s="372">
        <v>244800</v>
      </c>
      <c r="L594" s="372">
        <v>118398</v>
      </c>
      <c r="M594" s="405"/>
      <c r="O594" s="372"/>
    </row>
    <row r="595" spans="1:15" s="366" customFormat="1" ht="9" customHeight="1" x14ac:dyDescent="0.25">
      <c r="A595" s="406" t="s">
        <v>281</v>
      </c>
      <c r="B595" s="388">
        <f>SUM(D595,F595,K595:L595)</f>
        <v>2764139</v>
      </c>
      <c r="C595" s="388"/>
      <c r="D595" s="388">
        <v>1885285</v>
      </c>
      <c r="E595" s="376"/>
      <c r="F595" s="376">
        <f t="shared" si="39"/>
        <v>388222</v>
      </c>
      <c r="G595" s="394"/>
      <c r="H595" s="376">
        <v>65324</v>
      </c>
      <c r="I595" s="376">
        <v>48952</v>
      </c>
      <c r="J595" s="376">
        <v>273946</v>
      </c>
      <c r="K595" s="376">
        <v>341814</v>
      </c>
      <c r="L595" s="376">
        <v>148818</v>
      </c>
      <c r="M595" s="405"/>
      <c r="O595" s="372"/>
    </row>
    <row r="596" spans="1:15" s="366" customFormat="1" ht="9" customHeight="1" x14ac:dyDescent="0.25">
      <c r="A596" s="405" t="s">
        <v>27</v>
      </c>
      <c r="B596" s="386">
        <f>SUM(D596,F596,K596:L596)</f>
        <v>8399071</v>
      </c>
      <c r="C596" s="386"/>
      <c r="D596" s="386">
        <v>5394735</v>
      </c>
      <c r="E596" s="372"/>
      <c r="F596" s="372">
        <f t="shared" si="39"/>
        <v>1346778</v>
      </c>
      <c r="G596" s="393"/>
      <c r="H596" s="372">
        <v>181468</v>
      </c>
      <c r="I596" s="372">
        <v>158808</v>
      </c>
      <c r="J596" s="372">
        <v>1006502</v>
      </c>
      <c r="K596" s="372">
        <v>1253957</v>
      </c>
      <c r="L596" s="372">
        <v>403601</v>
      </c>
      <c r="M596" s="405"/>
      <c r="O596" s="372"/>
    </row>
    <row r="597" spans="1:15" s="366" customFormat="1" ht="9" customHeight="1" x14ac:dyDescent="0.25">
      <c r="A597" s="405" t="s">
        <v>283</v>
      </c>
      <c r="B597" s="372">
        <f t="shared" ref="B597:B611" si="40">SUM(D597,F597,K597:L597)</f>
        <v>2081303</v>
      </c>
      <c r="C597" s="372"/>
      <c r="D597" s="372">
        <v>1278307</v>
      </c>
      <c r="E597" s="372"/>
      <c r="F597" s="372">
        <f t="shared" si="39"/>
        <v>362912</v>
      </c>
      <c r="G597" s="393"/>
      <c r="H597" s="372">
        <v>38886</v>
      </c>
      <c r="I597" s="372">
        <v>22326</v>
      </c>
      <c r="J597" s="372">
        <v>301700</v>
      </c>
      <c r="K597" s="372">
        <v>345307</v>
      </c>
      <c r="L597" s="372">
        <v>94777</v>
      </c>
      <c r="M597" s="405"/>
      <c r="O597" s="372"/>
    </row>
    <row r="598" spans="1:15" s="366" customFormat="1" ht="9" customHeight="1" x14ac:dyDescent="0.25">
      <c r="A598" s="405" t="s">
        <v>29</v>
      </c>
      <c r="B598" s="372">
        <f t="shared" si="40"/>
        <v>11520683</v>
      </c>
      <c r="C598" s="372"/>
      <c r="D598" s="372">
        <v>9393273</v>
      </c>
      <c r="E598" s="372"/>
      <c r="F598" s="372">
        <f t="shared" si="39"/>
        <v>914775</v>
      </c>
      <c r="G598" s="373"/>
      <c r="H598" s="372">
        <v>132961</v>
      </c>
      <c r="I598" s="372">
        <v>89212</v>
      </c>
      <c r="J598" s="372">
        <v>692602</v>
      </c>
      <c r="K598" s="372">
        <v>755521</v>
      </c>
      <c r="L598" s="372">
        <v>457114</v>
      </c>
      <c r="M598" s="405"/>
      <c r="O598" s="372"/>
    </row>
    <row r="599" spans="1:15" s="366" customFormat="1" ht="9" customHeight="1" x14ac:dyDescent="0.25">
      <c r="A599" s="406" t="s">
        <v>30</v>
      </c>
      <c r="B599" s="376">
        <f t="shared" si="40"/>
        <v>9489885</v>
      </c>
      <c r="C599" s="376"/>
      <c r="D599" s="376">
        <v>6685014</v>
      </c>
      <c r="E599" s="376"/>
      <c r="F599" s="376">
        <f t="shared" si="39"/>
        <v>1469498</v>
      </c>
      <c r="G599" s="377"/>
      <c r="H599" s="376">
        <v>248533</v>
      </c>
      <c r="I599" s="376">
        <v>141983</v>
      </c>
      <c r="J599" s="376">
        <v>1078982</v>
      </c>
      <c r="K599" s="376">
        <v>875248</v>
      </c>
      <c r="L599" s="376">
        <v>460125</v>
      </c>
      <c r="M599" s="405"/>
      <c r="O599" s="372"/>
    </row>
    <row r="600" spans="1:15" s="366" customFormat="1" ht="9" customHeight="1" x14ac:dyDescent="0.25">
      <c r="A600" s="405" t="s">
        <v>63</v>
      </c>
      <c r="B600" s="372">
        <f t="shared" si="40"/>
        <v>30994803</v>
      </c>
      <c r="C600" s="372"/>
      <c r="D600" s="372">
        <v>16176445</v>
      </c>
      <c r="E600" s="372"/>
      <c r="F600" s="372">
        <f t="shared" si="39"/>
        <v>10130261</v>
      </c>
      <c r="G600" s="387"/>
      <c r="H600" s="372">
        <v>895434</v>
      </c>
      <c r="I600" s="372">
        <v>741711</v>
      </c>
      <c r="J600" s="372">
        <v>8493116</v>
      </c>
      <c r="K600" s="372">
        <v>2978197</v>
      </c>
      <c r="L600" s="372">
        <v>1709900</v>
      </c>
      <c r="M600" s="405"/>
      <c r="O600" s="372"/>
    </row>
    <row r="601" spans="1:15" s="366" customFormat="1" ht="9" customHeight="1" x14ac:dyDescent="0.25">
      <c r="A601" s="405" t="s">
        <v>284</v>
      </c>
      <c r="B601" s="372">
        <f t="shared" si="40"/>
        <v>5487332</v>
      </c>
      <c r="C601" s="372"/>
      <c r="D601" s="372">
        <v>3883844</v>
      </c>
      <c r="E601" s="372"/>
      <c r="F601" s="372">
        <f t="shared" si="39"/>
        <v>732352</v>
      </c>
      <c r="G601" s="393"/>
      <c r="H601" s="372">
        <v>120539</v>
      </c>
      <c r="I601" s="372">
        <v>94151</v>
      </c>
      <c r="J601" s="372">
        <v>517662</v>
      </c>
      <c r="K601" s="372">
        <v>662871</v>
      </c>
      <c r="L601" s="372">
        <v>208265</v>
      </c>
      <c r="M601" s="405"/>
      <c r="O601" s="372"/>
    </row>
    <row r="602" spans="1:15" s="366" customFormat="1" ht="9" customHeight="1" x14ac:dyDescent="0.25">
      <c r="A602" s="405" t="s">
        <v>32</v>
      </c>
      <c r="B602" s="372">
        <f t="shared" si="40"/>
        <v>13904208</v>
      </c>
      <c r="C602" s="372"/>
      <c r="D602" s="372">
        <v>9607644</v>
      </c>
      <c r="E602" s="372"/>
      <c r="F602" s="372">
        <f t="shared" si="39"/>
        <v>1979966</v>
      </c>
      <c r="G602" s="373"/>
      <c r="H602" s="372">
        <v>292826</v>
      </c>
      <c r="I602" s="372">
        <v>212598</v>
      </c>
      <c r="J602" s="372">
        <v>1474542</v>
      </c>
      <c r="K602" s="372">
        <v>1498551</v>
      </c>
      <c r="L602" s="372">
        <v>818047</v>
      </c>
      <c r="M602" s="405"/>
      <c r="O602" s="372"/>
    </row>
    <row r="603" spans="1:15" s="366" customFormat="1" ht="9" customHeight="1" x14ac:dyDescent="0.25">
      <c r="A603" s="406" t="s">
        <v>33</v>
      </c>
      <c r="B603" s="376">
        <f t="shared" si="40"/>
        <v>9477880</v>
      </c>
      <c r="C603" s="376"/>
      <c r="D603" s="376">
        <v>7433072</v>
      </c>
      <c r="E603" s="376"/>
      <c r="F603" s="376">
        <f t="shared" si="39"/>
        <v>984548</v>
      </c>
      <c r="G603" s="377"/>
      <c r="H603" s="376">
        <v>165889</v>
      </c>
      <c r="I603" s="376">
        <v>92164</v>
      </c>
      <c r="J603" s="376">
        <v>726495</v>
      </c>
      <c r="K603" s="376">
        <v>595315</v>
      </c>
      <c r="L603" s="376">
        <v>464945</v>
      </c>
      <c r="M603" s="405"/>
      <c r="O603" s="372"/>
    </row>
    <row r="604" spans="1:15" s="366" customFormat="1" ht="9" customHeight="1" x14ac:dyDescent="0.25">
      <c r="A604" s="405" t="s">
        <v>34</v>
      </c>
      <c r="B604" s="372">
        <f t="shared" si="40"/>
        <v>8049530</v>
      </c>
      <c r="C604" s="372"/>
      <c r="D604" s="372">
        <v>6182511</v>
      </c>
      <c r="E604" s="372"/>
      <c r="F604" s="372">
        <f t="shared" si="39"/>
        <v>859289</v>
      </c>
      <c r="G604" s="373"/>
      <c r="H604" s="372">
        <v>145171</v>
      </c>
      <c r="I604" s="372">
        <v>76765</v>
      </c>
      <c r="J604" s="372">
        <v>637353</v>
      </c>
      <c r="K604" s="372">
        <v>542601</v>
      </c>
      <c r="L604" s="372">
        <v>465129</v>
      </c>
      <c r="M604" s="405"/>
      <c r="O604" s="372"/>
    </row>
    <row r="605" spans="1:15" s="366" customFormat="1" ht="9" customHeight="1" x14ac:dyDescent="0.25">
      <c r="A605" s="405" t="s">
        <v>285</v>
      </c>
      <c r="B605" s="372">
        <f t="shared" si="40"/>
        <v>19315677</v>
      </c>
      <c r="C605" s="372"/>
      <c r="D605" s="372">
        <v>12005310</v>
      </c>
      <c r="E605" s="372"/>
      <c r="F605" s="372">
        <f t="shared" si="39"/>
        <v>3857122</v>
      </c>
      <c r="G605" s="393"/>
      <c r="H605" s="372">
        <v>533712</v>
      </c>
      <c r="I605" s="372">
        <v>304650</v>
      </c>
      <c r="J605" s="372">
        <v>3018760</v>
      </c>
      <c r="K605" s="372">
        <v>2527918</v>
      </c>
      <c r="L605" s="372">
        <v>925327</v>
      </c>
      <c r="M605" s="405"/>
      <c r="O605" s="372"/>
    </row>
    <row r="606" spans="1:15" s="366" customFormat="1" ht="9" customHeight="1" x14ac:dyDescent="0.25">
      <c r="A606" s="405" t="s">
        <v>36</v>
      </c>
      <c r="B606" s="372">
        <f t="shared" si="40"/>
        <v>37625353</v>
      </c>
      <c r="C606" s="372"/>
      <c r="D606" s="372">
        <v>28718116</v>
      </c>
      <c r="E606" s="372"/>
      <c r="F606" s="372">
        <f t="shared" si="39"/>
        <v>4315980</v>
      </c>
      <c r="G606" s="373"/>
      <c r="H606" s="372">
        <v>735660</v>
      </c>
      <c r="I606" s="372">
        <v>520175</v>
      </c>
      <c r="J606" s="372">
        <v>3060145</v>
      </c>
      <c r="K606" s="372">
        <v>2609197</v>
      </c>
      <c r="L606" s="372">
        <v>1982060</v>
      </c>
      <c r="M606" s="405"/>
      <c r="O606" s="372"/>
    </row>
    <row r="607" spans="1:15" s="366" customFormat="1" ht="9" customHeight="1" x14ac:dyDescent="0.25">
      <c r="A607" s="406" t="s">
        <v>37</v>
      </c>
      <c r="B607" s="376">
        <f t="shared" si="40"/>
        <v>10937024</v>
      </c>
      <c r="C607" s="376"/>
      <c r="D607" s="376">
        <v>7975788</v>
      </c>
      <c r="E607" s="376"/>
      <c r="F607" s="376">
        <f t="shared" si="39"/>
        <v>1391677</v>
      </c>
      <c r="G607" s="377"/>
      <c r="H607" s="376">
        <v>269116</v>
      </c>
      <c r="I607" s="376">
        <v>146240</v>
      </c>
      <c r="J607" s="376">
        <v>976321</v>
      </c>
      <c r="K607" s="376">
        <v>897721</v>
      </c>
      <c r="L607" s="376">
        <v>671838</v>
      </c>
      <c r="M607" s="405"/>
      <c r="O607" s="372"/>
    </row>
    <row r="608" spans="1:15" s="366" customFormat="1" ht="9" customHeight="1" x14ac:dyDescent="0.25">
      <c r="A608" s="405" t="s">
        <v>38</v>
      </c>
      <c r="B608" s="372">
        <f t="shared" si="40"/>
        <v>4680525</v>
      </c>
      <c r="C608" s="372"/>
      <c r="D608" s="372">
        <v>3033453</v>
      </c>
      <c r="E608" s="372"/>
      <c r="F608" s="372">
        <f t="shared" si="39"/>
        <v>762341</v>
      </c>
      <c r="G608" s="373"/>
      <c r="H608" s="372">
        <v>112595</v>
      </c>
      <c r="I608" s="372">
        <v>55909</v>
      </c>
      <c r="J608" s="372">
        <v>593837</v>
      </c>
      <c r="K608" s="372">
        <v>595381</v>
      </c>
      <c r="L608" s="372">
        <v>289350</v>
      </c>
      <c r="M608" s="405"/>
      <c r="O608" s="372"/>
    </row>
    <row r="609" spans="1:15" s="366" customFormat="1" ht="9" customHeight="1" x14ac:dyDescent="0.25">
      <c r="A609" s="405" t="s">
        <v>39</v>
      </c>
      <c r="B609" s="372">
        <f t="shared" si="40"/>
        <v>3464393</v>
      </c>
      <c r="C609" s="372"/>
      <c r="D609" s="372">
        <v>2469113</v>
      </c>
      <c r="E609" s="372"/>
      <c r="F609" s="372">
        <f t="shared" si="39"/>
        <v>470219</v>
      </c>
      <c r="G609" s="373"/>
      <c r="H609" s="372">
        <v>67777</v>
      </c>
      <c r="I609" s="372">
        <v>43443</v>
      </c>
      <c r="J609" s="372">
        <v>358999</v>
      </c>
      <c r="K609" s="372">
        <v>344423</v>
      </c>
      <c r="L609" s="372">
        <v>180638</v>
      </c>
      <c r="M609" s="405"/>
      <c r="O609" s="372"/>
    </row>
    <row r="610" spans="1:15" s="366" customFormat="1" ht="9" customHeight="1" x14ac:dyDescent="0.25">
      <c r="A610" s="405" t="s">
        <v>286</v>
      </c>
      <c r="B610" s="372">
        <f t="shared" si="40"/>
        <v>12087628</v>
      </c>
      <c r="C610" s="372"/>
      <c r="D610" s="372">
        <v>7935337</v>
      </c>
      <c r="E610" s="372"/>
      <c r="F610" s="372">
        <f t="shared" si="39"/>
        <v>1965994</v>
      </c>
      <c r="G610" s="393"/>
      <c r="H610" s="372">
        <v>293039</v>
      </c>
      <c r="I610" s="372">
        <v>173350</v>
      </c>
      <c r="J610" s="372">
        <v>1499605</v>
      </c>
      <c r="K610" s="372">
        <v>1681234</v>
      </c>
      <c r="L610" s="372">
        <v>505063</v>
      </c>
      <c r="M610" s="405"/>
      <c r="O610" s="372"/>
    </row>
    <row r="611" spans="1:15" s="366" customFormat="1" ht="9" customHeight="1" x14ac:dyDescent="0.25">
      <c r="A611" s="406" t="s">
        <v>41</v>
      </c>
      <c r="B611" s="376">
        <f t="shared" si="40"/>
        <v>10515268</v>
      </c>
      <c r="C611" s="376"/>
      <c r="D611" s="376">
        <v>8335409</v>
      </c>
      <c r="E611" s="376"/>
      <c r="F611" s="376">
        <f t="shared" si="39"/>
        <v>1012515</v>
      </c>
      <c r="G611" s="377"/>
      <c r="H611" s="376">
        <v>144266</v>
      </c>
      <c r="I611" s="376">
        <v>113580</v>
      </c>
      <c r="J611" s="376">
        <v>754669</v>
      </c>
      <c r="K611" s="376">
        <v>519723</v>
      </c>
      <c r="L611" s="376">
        <v>647621</v>
      </c>
      <c r="M611" s="405"/>
      <c r="O611" s="372"/>
    </row>
    <row r="612" spans="1:15" s="366" customFormat="1" ht="9" customHeight="1" x14ac:dyDescent="0.25">
      <c r="A612" s="405" t="s">
        <v>294</v>
      </c>
      <c r="B612" s="372">
        <f>SUM(D612,F612,K612:L612)+854465</f>
        <v>15374875</v>
      </c>
      <c r="C612" s="372"/>
      <c r="D612" s="372">
        <v>10146183</v>
      </c>
      <c r="E612" s="372"/>
      <c r="F612" s="372">
        <f t="shared" si="39"/>
        <v>2116853</v>
      </c>
      <c r="G612" s="387"/>
      <c r="H612" s="372">
        <v>273409</v>
      </c>
      <c r="I612" s="372">
        <v>217305</v>
      </c>
      <c r="J612" s="372">
        <v>1626139</v>
      </c>
      <c r="K612" s="372">
        <v>1222166</v>
      </c>
      <c r="L612" s="372">
        <v>1035208</v>
      </c>
      <c r="M612" s="405"/>
      <c r="O612" s="372"/>
    </row>
    <row r="613" spans="1:15" s="366" customFormat="1" ht="9" customHeight="1" x14ac:dyDescent="0.25">
      <c r="A613" s="405" t="s">
        <v>43</v>
      </c>
      <c r="B613" s="372">
        <f>SUM(D613,F613,K613:L613)</f>
        <v>4416208</v>
      </c>
      <c r="C613" s="372"/>
      <c r="D613" s="372">
        <v>3114881</v>
      </c>
      <c r="E613" s="372"/>
      <c r="F613" s="372">
        <f t="shared" si="39"/>
        <v>624823</v>
      </c>
      <c r="G613" s="373"/>
      <c r="H613" s="372">
        <v>67776</v>
      </c>
      <c r="I613" s="372">
        <v>47709</v>
      </c>
      <c r="J613" s="372">
        <v>509338</v>
      </c>
      <c r="K613" s="372">
        <v>366589</v>
      </c>
      <c r="L613" s="372">
        <v>309915</v>
      </c>
      <c r="M613" s="405"/>
      <c r="O613" s="372"/>
    </row>
    <row r="614" spans="1:15" s="366" customFormat="1" ht="9" customHeight="1" x14ac:dyDescent="0.25">
      <c r="A614" s="405" t="s">
        <v>44</v>
      </c>
      <c r="B614" s="372">
        <f>SUM(D614,F614,K614:L614)</f>
        <v>3263811</v>
      </c>
      <c r="C614" s="372"/>
      <c r="D614" s="372">
        <v>2182673</v>
      </c>
      <c r="E614" s="372"/>
      <c r="F614" s="372">
        <f t="shared" si="39"/>
        <v>475645</v>
      </c>
      <c r="G614" s="373"/>
      <c r="H614" s="372">
        <v>85905</v>
      </c>
      <c r="I614" s="372">
        <v>39098</v>
      </c>
      <c r="J614" s="372">
        <v>350642</v>
      </c>
      <c r="K614" s="372">
        <v>410154</v>
      </c>
      <c r="L614" s="372">
        <v>195339</v>
      </c>
      <c r="M614" s="405"/>
      <c r="O614" s="372"/>
    </row>
    <row r="615" spans="1:15" s="366" customFormat="1" ht="9" customHeight="1" x14ac:dyDescent="0.25">
      <c r="A615" s="406" t="s">
        <v>45</v>
      </c>
      <c r="B615" s="376">
        <f>SUM(D615,F615,K615:L615)</f>
        <v>7492110</v>
      </c>
      <c r="C615" s="376"/>
      <c r="D615" s="376">
        <v>5167148</v>
      </c>
      <c r="E615" s="376"/>
      <c r="F615" s="376">
        <f t="shared" si="39"/>
        <v>1030548</v>
      </c>
      <c r="G615" s="377"/>
      <c r="H615" s="376">
        <v>141352</v>
      </c>
      <c r="I615" s="376">
        <v>103025</v>
      </c>
      <c r="J615" s="376">
        <v>786171</v>
      </c>
      <c r="K615" s="376">
        <v>687163</v>
      </c>
      <c r="L615" s="376">
        <v>607251</v>
      </c>
      <c r="M615" s="405"/>
      <c r="O615" s="372"/>
    </row>
    <row r="616" spans="1:15" s="366" customFormat="1" ht="9" customHeight="1" x14ac:dyDescent="0.25">
      <c r="A616" s="405" t="s">
        <v>46</v>
      </c>
      <c r="B616" s="372">
        <f>SUM(D616,F616,K616:L616)</f>
        <v>9263476</v>
      </c>
      <c r="C616" s="372"/>
      <c r="D616" s="372">
        <v>6501371</v>
      </c>
      <c r="E616" s="372"/>
      <c r="F616" s="372">
        <f t="shared" si="39"/>
        <v>1355805</v>
      </c>
      <c r="G616" s="373"/>
      <c r="H616" s="372">
        <v>198080</v>
      </c>
      <c r="I616" s="372">
        <v>162930</v>
      </c>
      <c r="J616" s="372">
        <v>994795</v>
      </c>
      <c r="K616" s="372">
        <v>896498</v>
      </c>
      <c r="L616" s="372">
        <v>509802</v>
      </c>
      <c r="M616" s="405"/>
      <c r="O616" s="372"/>
    </row>
    <row r="617" spans="1:15" s="366" customFormat="1" ht="9" customHeight="1" x14ac:dyDescent="0.25">
      <c r="A617" s="405" t="s">
        <v>288</v>
      </c>
      <c r="B617" s="372">
        <f t="shared" ref="B617:B623" si="41">SUM(D617,F617,K617:L617)</f>
        <v>8609258</v>
      </c>
      <c r="C617" s="372"/>
      <c r="D617" s="372">
        <v>5662828</v>
      </c>
      <c r="E617" s="372"/>
      <c r="F617" s="372">
        <f t="shared" si="39"/>
        <v>1437904</v>
      </c>
      <c r="G617" s="387"/>
      <c r="H617" s="372">
        <v>186322</v>
      </c>
      <c r="I617" s="372">
        <v>123816</v>
      </c>
      <c r="J617" s="372">
        <v>1127766</v>
      </c>
      <c r="K617" s="372">
        <v>1120084</v>
      </c>
      <c r="L617" s="372">
        <v>388442</v>
      </c>
      <c r="M617" s="405"/>
      <c r="O617" s="372"/>
    </row>
    <row r="618" spans="1:15" s="366" customFormat="1" ht="9" customHeight="1" x14ac:dyDescent="0.25">
      <c r="A618" s="405" t="s">
        <v>48</v>
      </c>
      <c r="B618" s="372">
        <f t="shared" si="41"/>
        <v>8119658</v>
      </c>
      <c r="C618" s="372"/>
      <c r="D618" s="372">
        <v>5595756</v>
      </c>
      <c r="E618" s="372"/>
      <c r="F618" s="372">
        <f t="shared" si="39"/>
        <v>1244536</v>
      </c>
      <c r="G618" s="387"/>
      <c r="H618" s="372">
        <v>144041</v>
      </c>
      <c r="I618" s="372">
        <v>156873</v>
      </c>
      <c r="J618" s="372">
        <v>943622</v>
      </c>
      <c r="K618" s="372">
        <v>841536</v>
      </c>
      <c r="L618" s="372">
        <v>437830</v>
      </c>
      <c r="M618" s="405"/>
      <c r="O618" s="372"/>
    </row>
    <row r="619" spans="1:15" s="366" customFormat="1" ht="9" customHeight="1" x14ac:dyDescent="0.25">
      <c r="A619" s="406" t="s">
        <v>49</v>
      </c>
      <c r="B619" s="376">
        <f t="shared" si="41"/>
        <v>9811002</v>
      </c>
      <c r="C619" s="376"/>
      <c r="D619" s="376">
        <v>6391699</v>
      </c>
      <c r="E619" s="376"/>
      <c r="F619" s="376">
        <f t="shared" si="39"/>
        <v>1900765</v>
      </c>
      <c r="G619" s="377"/>
      <c r="H619" s="376">
        <v>260719</v>
      </c>
      <c r="I619" s="376">
        <v>217735</v>
      </c>
      <c r="J619" s="376">
        <v>1422311</v>
      </c>
      <c r="K619" s="376">
        <v>1006801</v>
      </c>
      <c r="L619" s="376">
        <v>511737</v>
      </c>
      <c r="M619" s="405"/>
      <c r="O619" s="372"/>
    </row>
    <row r="620" spans="1:15" s="366" customFormat="1" ht="9" customHeight="1" x14ac:dyDescent="0.25">
      <c r="A620" s="405" t="s">
        <v>50</v>
      </c>
      <c r="B620" s="372">
        <f t="shared" si="41"/>
        <v>3506789</v>
      </c>
      <c r="C620" s="372"/>
      <c r="D620" s="372">
        <v>2520103</v>
      </c>
      <c r="E620" s="372"/>
      <c r="F620" s="372">
        <f t="shared" si="39"/>
        <v>447811</v>
      </c>
      <c r="G620" s="373"/>
      <c r="H620" s="372">
        <v>60787</v>
      </c>
      <c r="I620" s="372">
        <v>53732</v>
      </c>
      <c r="J620" s="372">
        <v>333292</v>
      </c>
      <c r="K620" s="372">
        <v>277212</v>
      </c>
      <c r="L620" s="372">
        <v>261663</v>
      </c>
      <c r="M620" s="405"/>
      <c r="O620" s="372"/>
    </row>
    <row r="621" spans="1:15" s="366" customFormat="1" ht="9" customHeight="1" x14ac:dyDescent="0.25">
      <c r="A621" s="405" t="s">
        <v>51</v>
      </c>
      <c r="B621" s="372">
        <f t="shared" si="41"/>
        <v>19341720</v>
      </c>
      <c r="C621" s="372"/>
      <c r="D621" s="372">
        <v>13581741</v>
      </c>
      <c r="E621" s="372"/>
      <c r="F621" s="372">
        <f t="shared" si="39"/>
        <v>2729061</v>
      </c>
      <c r="G621" s="373"/>
      <c r="H621" s="372">
        <v>380685</v>
      </c>
      <c r="I621" s="372">
        <v>279558</v>
      </c>
      <c r="J621" s="372">
        <v>2068818</v>
      </c>
      <c r="K621" s="372">
        <v>1909000</v>
      </c>
      <c r="L621" s="372">
        <v>1121918</v>
      </c>
      <c r="M621" s="405"/>
      <c r="O621" s="372"/>
    </row>
    <row r="622" spans="1:15" s="366" customFormat="1" ht="9" customHeight="1" x14ac:dyDescent="0.25">
      <c r="A622" s="405" t="s">
        <v>52</v>
      </c>
      <c r="B622" s="372">
        <f t="shared" si="41"/>
        <v>6988580</v>
      </c>
      <c r="C622" s="372"/>
      <c r="D622" s="372">
        <v>5264637</v>
      </c>
      <c r="E622" s="372"/>
      <c r="F622" s="372">
        <f t="shared" si="39"/>
        <v>969969</v>
      </c>
      <c r="G622" s="373"/>
      <c r="H622" s="372">
        <v>150899</v>
      </c>
      <c r="I622" s="372">
        <v>64111</v>
      </c>
      <c r="J622" s="372">
        <v>754959</v>
      </c>
      <c r="K622" s="372">
        <v>462900</v>
      </c>
      <c r="L622" s="372">
        <v>291074</v>
      </c>
      <c r="M622" s="405"/>
      <c r="O622" s="372"/>
    </row>
    <row r="623" spans="1:15" s="366" customFormat="1" ht="9" customHeight="1" x14ac:dyDescent="0.25">
      <c r="A623" s="406" t="s">
        <v>53</v>
      </c>
      <c r="B623" s="376">
        <f t="shared" si="41"/>
        <v>4691703</v>
      </c>
      <c r="C623" s="376"/>
      <c r="D623" s="376">
        <v>3388528</v>
      </c>
      <c r="E623" s="376"/>
      <c r="F623" s="376">
        <f t="shared" si="39"/>
        <v>507107</v>
      </c>
      <c r="G623" s="377"/>
      <c r="H623" s="376">
        <v>81214</v>
      </c>
      <c r="I623" s="376">
        <v>52880</v>
      </c>
      <c r="J623" s="376">
        <v>373013</v>
      </c>
      <c r="K623" s="376">
        <v>538757</v>
      </c>
      <c r="L623" s="376">
        <v>257311</v>
      </c>
      <c r="M623" s="405"/>
      <c r="O623" s="372"/>
    </row>
    <row r="624" spans="1:15" s="366" customFormat="1" ht="9" customHeight="1" x14ac:dyDescent="0.25">
      <c r="A624" s="398"/>
      <c r="B624" s="381"/>
      <c r="C624" s="381"/>
      <c r="D624" s="381"/>
      <c r="E624" s="368"/>
      <c r="F624" s="381"/>
      <c r="G624" s="382"/>
      <c r="H624" s="368"/>
      <c r="I624" s="368"/>
      <c r="J624" s="368"/>
      <c r="K624" s="368"/>
      <c r="L624" s="368"/>
      <c r="M624" s="399"/>
      <c r="O624" s="372"/>
    </row>
    <row r="625" spans="1:15" s="405" customFormat="1" ht="9" customHeight="1" x14ac:dyDescent="0.25">
      <c r="A625" s="400">
        <v>2012</v>
      </c>
      <c r="B625" s="401"/>
      <c r="C625" s="401"/>
      <c r="D625" s="402"/>
      <c r="E625" s="402"/>
      <c r="F625" s="403"/>
      <c r="G625" s="404"/>
      <c r="H625" s="402"/>
      <c r="I625" s="402"/>
      <c r="J625" s="401"/>
      <c r="K625" s="402"/>
    </row>
    <row r="626" spans="1:15" s="399" customFormat="1" ht="9" customHeight="1" x14ac:dyDescent="0.25">
      <c r="A626" s="398" t="s">
        <v>21</v>
      </c>
      <c r="B626" s="368">
        <f>SUM(B628:B659)</f>
        <v>327048918</v>
      </c>
      <c r="C626" s="381"/>
      <c r="D626" s="368">
        <f>SUM(D628:D659)</f>
        <v>223463555</v>
      </c>
      <c r="E626" s="368"/>
      <c r="F626" s="368">
        <f>SUM(F628:F659)</f>
        <v>52584099</v>
      </c>
      <c r="G626" s="368"/>
      <c r="H626" s="368">
        <f>SUM(H628:H659)</f>
        <v>6967443</v>
      </c>
      <c r="I626" s="368">
        <f>SUM(I628:I659)</f>
        <v>4775070</v>
      </c>
      <c r="J626" s="368">
        <f>SUM(J628:J659)</f>
        <v>40841586</v>
      </c>
      <c r="K626" s="368">
        <f>SUM(K628:K659)</f>
        <v>32429840</v>
      </c>
      <c r="L626" s="368">
        <f>SUM(L628:L659)</f>
        <v>17610899</v>
      </c>
    </row>
    <row r="627" spans="1:15" s="399" customFormat="1" ht="3.95" customHeight="1" x14ac:dyDescent="0.25">
      <c r="A627" s="398"/>
      <c r="B627" s="381"/>
      <c r="C627" s="381"/>
      <c r="D627" s="381"/>
      <c r="E627" s="368"/>
      <c r="F627" s="381"/>
      <c r="G627" s="382"/>
      <c r="H627" s="368"/>
      <c r="I627" s="368"/>
      <c r="J627" s="368"/>
      <c r="K627" s="368"/>
      <c r="L627" s="368"/>
    </row>
    <row r="628" spans="1:15" s="405" customFormat="1" ht="9.6" customHeight="1" x14ac:dyDescent="0.25">
      <c r="A628" s="405" t="s">
        <v>280</v>
      </c>
      <c r="B628" s="386">
        <f>SUM(D628,F628,K628:L628)</f>
        <v>4366890</v>
      </c>
      <c r="C628" s="386"/>
      <c r="D628" s="386">
        <v>2970357</v>
      </c>
      <c r="E628" s="372"/>
      <c r="F628" s="372">
        <f t="shared" ref="F628:F659" si="42">SUM(H628:J628)</f>
        <v>623096</v>
      </c>
      <c r="G628" s="372"/>
      <c r="H628" s="372">
        <v>88691</v>
      </c>
      <c r="I628" s="372">
        <v>58022</v>
      </c>
      <c r="J628" s="372">
        <v>476383</v>
      </c>
      <c r="K628" s="372">
        <v>564473</v>
      </c>
      <c r="L628" s="372">
        <v>208964</v>
      </c>
      <c r="O628" s="407"/>
    </row>
    <row r="629" spans="1:15" s="405" customFormat="1" ht="9" customHeight="1" x14ac:dyDescent="0.25">
      <c r="A629" s="405" t="s">
        <v>293</v>
      </c>
      <c r="B629" s="386">
        <f>SUM(D629,F629,K629:L629)+843502</f>
        <v>9175968</v>
      </c>
      <c r="C629" s="386"/>
      <c r="D629" s="386">
        <v>5335329</v>
      </c>
      <c r="E629" s="372"/>
      <c r="F629" s="372">
        <f t="shared" si="42"/>
        <v>1455802</v>
      </c>
      <c r="G629" s="373"/>
      <c r="H629" s="372">
        <v>167648</v>
      </c>
      <c r="I629" s="372">
        <v>135680</v>
      </c>
      <c r="J629" s="372">
        <v>1152474</v>
      </c>
      <c r="K629" s="372">
        <v>1091654</v>
      </c>
      <c r="L629" s="372">
        <v>449681</v>
      </c>
      <c r="O629" s="407"/>
    </row>
    <row r="630" spans="1:15" s="405" customFormat="1" ht="9" customHeight="1" x14ac:dyDescent="0.25">
      <c r="A630" s="405" t="s">
        <v>25</v>
      </c>
      <c r="B630" s="386">
        <f t="shared" ref="B630:B659" si="43">SUM(D630,F630,K630:L630)</f>
        <v>2288513</v>
      </c>
      <c r="C630" s="386"/>
      <c r="D630" s="386">
        <v>1486860</v>
      </c>
      <c r="E630" s="372"/>
      <c r="F630" s="372">
        <f t="shared" si="42"/>
        <v>393087</v>
      </c>
      <c r="G630" s="373"/>
      <c r="H630" s="372">
        <v>58061</v>
      </c>
      <c r="I630" s="372">
        <v>28712</v>
      </c>
      <c r="J630" s="372">
        <v>306314</v>
      </c>
      <c r="K630" s="372">
        <v>289608</v>
      </c>
      <c r="L630" s="372">
        <v>118958</v>
      </c>
      <c r="O630" s="407"/>
    </row>
    <row r="631" spans="1:15" s="405" customFormat="1" ht="9.6" customHeight="1" x14ac:dyDescent="0.25">
      <c r="A631" s="406" t="s">
        <v>281</v>
      </c>
      <c r="B631" s="388">
        <f t="shared" si="43"/>
        <v>2814546</v>
      </c>
      <c r="C631" s="388"/>
      <c r="D631" s="388">
        <v>1925855</v>
      </c>
      <c r="E631" s="376"/>
      <c r="F631" s="376">
        <f t="shared" si="42"/>
        <v>411027</v>
      </c>
      <c r="G631" s="394"/>
      <c r="H631" s="376">
        <v>71059</v>
      </c>
      <c r="I631" s="376">
        <v>45482</v>
      </c>
      <c r="J631" s="376">
        <v>294486</v>
      </c>
      <c r="K631" s="376">
        <v>329584</v>
      </c>
      <c r="L631" s="376">
        <v>148080</v>
      </c>
      <c r="O631" s="407"/>
    </row>
    <row r="632" spans="1:15" s="405" customFormat="1" ht="9.6" customHeight="1" x14ac:dyDescent="0.25">
      <c r="A632" s="405" t="s">
        <v>27</v>
      </c>
      <c r="B632" s="386">
        <f>SUM(D632,F632,K632:L632)</f>
        <v>8761793</v>
      </c>
      <c r="C632" s="386"/>
      <c r="D632" s="386">
        <v>5464318</v>
      </c>
      <c r="E632" s="372"/>
      <c r="F632" s="372">
        <f t="shared" si="42"/>
        <v>1361228</v>
      </c>
      <c r="G632" s="393"/>
      <c r="H632" s="372">
        <v>192405</v>
      </c>
      <c r="I632" s="372">
        <v>152866</v>
      </c>
      <c r="J632" s="372">
        <v>1015957</v>
      </c>
      <c r="K632" s="372">
        <v>1541497</v>
      </c>
      <c r="L632" s="372">
        <v>394750</v>
      </c>
      <c r="O632" s="407"/>
    </row>
    <row r="633" spans="1:15" s="405" customFormat="1" ht="9.6" customHeight="1" x14ac:dyDescent="0.25">
      <c r="A633" s="405" t="s">
        <v>283</v>
      </c>
      <c r="B633" s="372">
        <f t="shared" si="43"/>
        <v>2167268</v>
      </c>
      <c r="C633" s="372"/>
      <c r="D633" s="372">
        <v>1360253</v>
      </c>
      <c r="E633" s="372"/>
      <c r="F633" s="372">
        <f t="shared" si="42"/>
        <v>359824</v>
      </c>
      <c r="G633" s="393"/>
      <c r="H633" s="372">
        <v>38542</v>
      </c>
      <c r="I633" s="372">
        <v>22232</v>
      </c>
      <c r="J633" s="372">
        <v>299050</v>
      </c>
      <c r="K633" s="372">
        <v>356034</v>
      </c>
      <c r="L633" s="372">
        <v>91157</v>
      </c>
      <c r="O633" s="407"/>
    </row>
    <row r="634" spans="1:15" s="405" customFormat="1" ht="9" customHeight="1" x14ac:dyDescent="0.25">
      <c r="A634" s="405" t="s">
        <v>29</v>
      </c>
      <c r="B634" s="372">
        <f t="shared" si="43"/>
        <v>11702249</v>
      </c>
      <c r="C634" s="372"/>
      <c r="D634" s="372">
        <v>9629497</v>
      </c>
      <c r="E634" s="372"/>
      <c r="F634" s="372">
        <f t="shared" si="42"/>
        <v>1003474</v>
      </c>
      <c r="G634" s="373"/>
      <c r="H634" s="372">
        <v>143406</v>
      </c>
      <c r="I634" s="372">
        <v>103989</v>
      </c>
      <c r="J634" s="372">
        <v>756079</v>
      </c>
      <c r="K634" s="372">
        <v>611354</v>
      </c>
      <c r="L634" s="372">
        <v>457924</v>
      </c>
      <c r="O634" s="407"/>
    </row>
    <row r="635" spans="1:15" s="405" customFormat="1" ht="9" customHeight="1" x14ac:dyDescent="0.25">
      <c r="A635" s="406" t="s">
        <v>30</v>
      </c>
      <c r="B635" s="376">
        <f t="shared" si="43"/>
        <v>9918228</v>
      </c>
      <c r="C635" s="376"/>
      <c r="D635" s="376">
        <v>6945016</v>
      </c>
      <c r="E635" s="376"/>
      <c r="F635" s="376">
        <f t="shared" si="42"/>
        <v>1526863</v>
      </c>
      <c r="G635" s="377"/>
      <c r="H635" s="376">
        <v>246988</v>
      </c>
      <c r="I635" s="376">
        <v>146272</v>
      </c>
      <c r="J635" s="376">
        <v>1133603</v>
      </c>
      <c r="K635" s="376">
        <v>963765</v>
      </c>
      <c r="L635" s="376">
        <v>482584</v>
      </c>
      <c r="O635" s="407"/>
    </row>
    <row r="636" spans="1:15" s="405" customFormat="1" ht="9.6" customHeight="1" x14ac:dyDescent="0.25">
      <c r="A636" s="405" t="s">
        <v>63</v>
      </c>
      <c r="B636" s="372">
        <f t="shared" si="43"/>
        <v>31635420</v>
      </c>
      <c r="C636" s="372"/>
      <c r="D636" s="372">
        <v>16404843</v>
      </c>
      <c r="E636" s="372"/>
      <c r="F636" s="372">
        <f t="shared" si="42"/>
        <v>10318727</v>
      </c>
      <c r="G636" s="387"/>
      <c r="H636" s="372">
        <v>868875</v>
      </c>
      <c r="I636" s="372">
        <v>571823</v>
      </c>
      <c r="J636" s="372">
        <v>8878029</v>
      </c>
      <c r="K636" s="372">
        <v>3278499</v>
      </c>
      <c r="L636" s="372">
        <v>1633351</v>
      </c>
      <c r="O636" s="407"/>
    </row>
    <row r="637" spans="1:15" s="405" customFormat="1" ht="9.6" customHeight="1" x14ac:dyDescent="0.25">
      <c r="A637" s="405" t="s">
        <v>284</v>
      </c>
      <c r="B637" s="372">
        <f t="shared" si="43"/>
        <v>5600922</v>
      </c>
      <c r="C637" s="372"/>
      <c r="D637" s="372">
        <v>3935820</v>
      </c>
      <c r="E637" s="372"/>
      <c r="F637" s="372">
        <f t="shared" si="42"/>
        <v>777407</v>
      </c>
      <c r="G637" s="393"/>
      <c r="H637" s="372">
        <v>129211</v>
      </c>
      <c r="I637" s="372">
        <v>90262</v>
      </c>
      <c r="J637" s="372">
        <v>557934</v>
      </c>
      <c r="K637" s="372">
        <v>673526</v>
      </c>
      <c r="L637" s="372">
        <v>214169</v>
      </c>
      <c r="O637" s="407"/>
    </row>
    <row r="638" spans="1:15" s="405" customFormat="1" ht="9" customHeight="1" x14ac:dyDescent="0.25">
      <c r="A638" s="405" t="s">
        <v>32</v>
      </c>
      <c r="B638" s="372">
        <f t="shared" si="43"/>
        <v>14646074</v>
      </c>
      <c r="C638" s="372"/>
      <c r="D638" s="372">
        <v>10146970</v>
      </c>
      <c r="E638" s="372"/>
      <c r="F638" s="372">
        <f t="shared" si="42"/>
        <v>2067000</v>
      </c>
      <c r="G638" s="373"/>
      <c r="H638" s="372">
        <v>305316</v>
      </c>
      <c r="I638" s="372">
        <v>220807</v>
      </c>
      <c r="J638" s="372">
        <v>1540877</v>
      </c>
      <c r="K638" s="372">
        <v>1589158</v>
      </c>
      <c r="L638" s="372">
        <v>842946</v>
      </c>
      <c r="O638" s="407"/>
    </row>
    <row r="639" spans="1:15" s="405" customFormat="1" ht="9" customHeight="1" x14ac:dyDescent="0.25">
      <c r="A639" s="406" t="s">
        <v>33</v>
      </c>
      <c r="B639" s="376">
        <f t="shared" si="43"/>
        <v>10413171</v>
      </c>
      <c r="C639" s="376"/>
      <c r="D639" s="376">
        <v>8084888</v>
      </c>
      <c r="E639" s="376"/>
      <c r="F639" s="376">
        <f t="shared" si="42"/>
        <v>1104650</v>
      </c>
      <c r="G639" s="377"/>
      <c r="H639" s="376">
        <v>186271</v>
      </c>
      <c r="I639" s="376">
        <v>105139</v>
      </c>
      <c r="J639" s="376">
        <v>813240</v>
      </c>
      <c r="K639" s="376">
        <v>625289</v>
      </c>
      <c r="L639" s="376">
        <v>598344</v>
      </c>
      <c r="O639" s="407"/>
    </row>
    <row r="640" spans="1:15" s="405" customFormat="1" ht="9" customHeight="1" x14ac:dyDescent="0.25">
      <c r="A640" s="405" t="s">
        <v>34</v>
      </c>
      <c r="B640" s="372">
        <f t="shared" si="43"/>
        <v>8386199</v>
      </c>
      <c r="C640" s="372"/>
      <c r="D640" s="372">
        <v>6428742</v>
      </c>
      <c r="E640" s="372"/>
      <c r="F640" s="372">
        <f t="shared" si="42"/>
        <v>909037</v>
      </c>
      <c r="G640" s="373"/>
      <c r="H640" s="372">
        <v>152962</v>
      </c>
      <c r="I640" s="372">
        <v>71049</v>
      </c>
      <c r="J640" s="372">
        <v>685026</v>
      </c>
      <c r="K640" s="372">
        <v>556871</v>
      </c>
      <c r="L640" s="372">
        <v>491549</v>
      </c>
      <c r="O640" s="407"/>
    </row>
    <row r="641" spans="1:15" s="405" customFormat="1" ht="9.6" customHeight="1" x14ac:dyDescent="0.25">
      <c r="A641" s="405" t="s">
        <v>285</v>
      </c>
      <c r="B641" s="372">
        <f t="shared" si="43"/>
        <v>20208905</v>
      </c>
      <c r="C641" s="372"/>
      <c r="D641" s="372">
        <v>12173323</v>
      </c>
      <c r="E641" s="372"/>
      <c r="F641" s="372">
        <f t="shared" si="42"/>
        <v>4371886</v>
      </c>
      <c r="G641" s="393"/>
      <c r="H641" s="372">
        <v>586025</v>
      </c>
      <c r="I641" s="372">
        <v>322361</v>
      </c>
      <c r="J641" s="372">
        <v>3463500</v>
      </c>
      <c r="K641" s="372">
        <v>2671543</v>
      </c>
      <c r="L641" s="372">
        <v>992153</v>
      </c>
      <c r="O641" s="407"/>
    </row>
    <row r="642" spans="1:15" s="405" customFormat="1" ht="9" customHeight="1" x14ac:dyDescent="0.25">
      <c r="A642" s="405" t="s">
        <v>36</v>
      </c>
      <c r="B642" s="372">
        <f t="shared" si="43"/>
        <v>39908208</v>
      </c>
      <c r="C642" s="372"/>
      <c r="D642" s="372">
        <v>30493817</v>
      </c>
      <c r="E642" s="372"/>
      <c r="F642" s="372">
        <f t="shared" si="42"/>
        <v>4558903</v>
      </c>
      <c r="G642" s="373"/>
      <c r="H642" s="372">
        <v>765481</v>
      </c>
      <c r="I642" s="372">
        <v>523117</v>
      </c>
      <c r="J642" s="372">
        <v>3270305</v>
      </c>
      <c r="K642" s="372">
        <v>2780984</v>
      </c>
      <c r="L642" s="372">
        <v>2074504</v>
      </c>
      <c r="O642" s="407"/>
    </row>
    <row r="643" spans="1:15" s="405" customFormat="1" ht="9" customHeight="1" x14ac:dyDescent="0.25">
      <c r="A643" s="406" t="s">
        <v>37</v>
      </c>
      <c r="B643" s="376">
        <f t="shared" si="43"/>
        <v>11113757</v>
      </c>
      <c r="C643" s="376"/>
      <c r="D643" s="376">
        <v>8060543</v>
      </c>
      <c r="E643" s="376"/>
      <c r="F643" s="376">
        <f t="shared" si="42"/>
        <v>1370479</v>
      </c>
      <c r="G643" s="377"/>
      <c r="H643" s="376">
        <v>236139</v>
      </c>
      <c r="I643" s="376">
        <v>130402</v>
      </c>
      <c r="J643" s="376">
        <v>1003938</v>
      </c>
      <c r="K643" s="376">
        <v>983445</v>
      </c>
      <c r="L643" s="376">
        <v>699290</v>
      </c>
      <c r="O643" s="407"/>
    </row>
    <row r="644" spans="1:15" s="405" customFormat="1" ht="9" customHeight="1" x14ac:dyDescent="0.25">
      <c r="A644" s="405" t="s">
        <v>38</v>
      </c>
      <c r="B644" s="372">
        <f t="shared" si="43"/>
        <v>4702378</v>
      </c>
      <c r="C644" s="372"/>
      <c r="D644" s="372">
        <v>3165704</v>
      </c>
      <c r="E644" s="372"/>
      <c r="F644" s="372">
        <f t="shared" si="42"/>
        <v>745408</v>
      </c>
      <c r="G644" s="373"/>
      <c r="H644" s="372">
        <v>109602</v>
      </c>
      <c r="I644" s="372">
        <v>55523</v>
      </c>
      <c r="J644" s="372">
        <v>580283</v>
      </c>
      <c r="K644" s="372">
        <v>523622</v>
      </c>
      <c r="L644" s="372">
        <v>267644</v>
      </c>
      <c r="O644" s="407"/>
    </row>
    <row r="645" spans="1:15" s="405" customFormat="1" ht="9.6" customHeight="1" x14ac:dyDescent="0.25">
      <c r="A645" s="405" t="s">
        <v>39</v>
      </c>
      <c r="B645" s="372">
        <f t="shared" si="43"/>
        <v>3449178</v>
      </c>
      <c r="C645" s="372"/>
      <c r="D645" s="372">
        <v>2401479</v>
      </c>
      <c r="E645" s="372"/>
      <c r="F645" s="372">
        <f t="shared" si="42"/>
        <v>494650</v>
      </c>
      <c r="G645" s="373"/>
      <c r="H645" s="372">
        <v>66333</v>
      </c>
      <c r="I645" s="372">
        <v>43290</v>
      </c>
      <c r="J645" s="372">
        <v>385027</v>
      </c>
      <c r="K645" s="372">
        <v>362873</v>
      </c>
      <c r="L645" s="372">
        <v>190176</v>
      </c>
      <c r="O645" s="407"/>
    </row>
    <row r="646" spans="1:15" s="405" customFormat="1" ht="9.6" customHeight="1" x14ac:dyDescent="0.25">
      <c r="A646" s="405" t="s">
        <v>286</v>
      </c>
      <c r="B646" s="372">
        <f t="shared" si="43"/>
        <v>13322729</v>
      </c>
      <c r="C646" s="372"/>
      <c r="D646" s="372">
        <v>8249858</v>
      </c>
      <c r="E646" s="372"/>
      <c r="F646" s="372">
        <f t="shared" si="42"/>
        <v>2672202</v>
      </c>
      <c r="G646" s="393"/>
      <c r="H646" s="372">
        <v>345263</v>
      </c>
      <c r="I646" s="372">
        <v>270783</v>
      </c>
      <c r="J646" s="372">
        <v>2056156</v>
      </c>
      <c r="K646" s="372">
        <v>1861345</v>
      </c>
      <c r="L646" s="372">
        <v>539324</v>
      </c>
      <c r="O646" s="407"/>
    </row>
    <row r="647" spans="1:15" s="405" customFormat="1" ht="9" customHeight="1" x14ac:dyDescent="0.25">
      <c r="A647" s="406" t="s">
        <v>41</v>
      </c>
      <c r="B647" s="376">
        <f t="shared" si="43"/>
        <v>10479699</v>
      </c>
      <c r="C647" s="376"/>
      <c r="D647" s="376">
        <v>8245335</v>
      </c>
      <c r="E647" s="376"/>
      <c r="F647" s="376">
        <f t="shared" si="42"/>
        <v>1037004</v>
      </c>
      <c r="G647" s="377"/>
      <c r="H647" s="376">
        <v>148085</v>
      </c>
      <c r="I647" s="376">
        <v>119020</v>
      </c>
      <c r="J647" s="376">
        <v>769899</v>
      </c>
      <c r="K647" s="376">
        <v>581476</v>
      </c>
      <c r="L647" s="376">
        <v>615884</v>
      </c>
      <c r="O647" s="407"/>
    </row>
    <row r="648" spans="1:15" s="405" customFormat="1" ht="9.6" customHeight="1" x14ac:dyDescent="0.25">
      <c r="A648" s="405" t="s">
        <v>294</v>
      </c>
      <c r="B648" s="372">
        <f>SUM(D648,F648,K648:L648)+117023</f>
        <v>14883845</v>
      </c>
      <c r="C648" s="372"/>
      <c r="D648" s="372">
        <v>10224842</v>
      </c>
      <c r="E648" s="372"/>
      <c r="F648" s="372">
        <f t="shared" si="42"/>
        <v>2165538</v>
      </c>
      <c r="G648" s="387"/>
      <c r="H648" s="372">
        <v>266446</v>
      </c>
      <c r="I648" s="372">
        <v>229814</v>
      </c>
      <c r="J648" s="372">
        <v>1669278</v>
      </c>
      <c r="K648" s="372">
        <v>1316830</v>
      </c>
      <c r="L648" s="372">
        <v>1059612</v>
      </c>
      <c r="O648" s="407"/>
    </row>
    <row r="649" spans="1:15" s="405" customFormat="1" ht="9" customHeight="1" x14ac:dyDescent="0.25">
      <c r="A649" s="405" t="s">
        <v>43</v>
      </c>
      <c r="B649" s="372">
        <f t="shared" si="43"/>
        <v>4736572</v>
      </c>
      <c r="C649" s="372"/>
      <c r="D649" s="372">
        <v>3266640</v>
      </c>
      <c r="E649" s="372"/>
      <c r="F649" s="372">
        <f t="shared" si="42"/>
        <v>694483</v>
      </c>
      <c r="G649" s="373"/>
      <c r="H649" s="372">
        <v>78738</v>
      </c>
      <c r="I649" s="372">
        <v>56471</v>
      </c>
      <c r="J649" s="372">
        <v>559274</v>
      </c>
      <c r="K649" s="372">
        <v>424267</v>
      </c>
      <c r="L649" s="372">
        <v>351182</v>
      </c>
      <c r="O649" s="407"/>
    </row>
    <row r="650" spans="1:15" s="405" customFormat="1" ht="9" customHeight="1" x14ac:dyDescent="0.25">
      <c r="A650" s="405" t="s">
        <v>44</v>
      </c>
      <c r="B650" s="372">
        <f t="shared" si="43"/>
        <v>3368115</v>
      </c>
      <c r="C650" s="372"/>
      <c r="D650" s="372">
        <v>2252853</v>
      </c>
      <c r="E650" s="372"/>
      <c r="F650" s="372">
        <f t="shared" si="42"/>
        <v>506713</v>
      </c>
      <c r="G650" s="373"/>
      <c r="H650" s="372">
        <v>88299</v>
      </c>
      <c r="I650" s="372">
        <v>42542</v>
      </c>
      <c r="J650" s="372">
        <v>375872</v>
      </c>
      <c r="K650" s="372">
        <v>406540</v>
      </c>
      <c r="L650" s="372">
        <v>202009</v>
      </c>
      <c r="O650" s="407"/>
    </row>
    <row r="651" spans="1:15" s="405" customFormat="1" ht="9" customHeight="1" x14ac:dyDescent="0.25">
      <c r="A651" s="406" t="s">
        <v>45</v>
      </c>
      <c r="B651" s="376">
        <f t="shared" si="43"/>
        <v>7647602</v>
      </c>
      <c r="C651" s="376"/>
      <c r="D651" s="376">
        <v>5261842</v>
      </c>
      <c r="E651" s="376"/>
      <c r="F651" s="376">
        <f t="shared" si="42"/>
        <v>1086986</v>
      </c>
      <c r="G651" s="377"/>
      <c r="H651" s="376">
        <v>143637</v>
      </c>
      <c r="I651" s="376">
        <v>107036</v>
      </c>
      <c r="J651" s="376">
        <v>836313</v>
      </c>
      <c r="K651" s="376">
        <v>704313</v>
      </c>
      <c r="L651" s="376">
        <v>594461</v>
      </c>
      <c r="O651" s="407"/>
    </row>
    <row r="652" spans="1:15" s="405" customFormat="1" ht="9" customHeight="1" x14ac:dyDescent="0.25">
      <c r="A652" s="405" t="s">
        <v>46</v>
      </c>
      <c r="B652" s="372">
        <f>SUM(D652,F652,K652:L652)</f>
        <v>9847543</v>
      </c>
      <c r="C652" s="372"/>
      <c r="D652" s="372">
        <v>6780496</v>
      </c>
      <c r="E652" s="372"/>
      <c r="F652" s="372">
        <f t="shared" si="42"/>
        <v>1460459</v>
      </c>
      <c r="G652" s="373"/>
      <c r="H652" s="372">
        <v>199027</v>
      </c>
      <c r="I652" s="372">
        <v>187711</v>
      </c>
      <c r="J652" s="372">
        <v>1073721</v>
      </c>
      <c r="K652" s="372">
        <v>1021422</v>
      </c>
      <c r="L652" s="372">
        <v>585166</v>
      </c>
      <c r="O652" s="407"/>
    </row>
    <row r="653" spans="1:15" s="405" customFormat="1" ht="9.6" customHeight="1" x14ac:dyDescent="0.25">
      <c r="A653" s="405" t="s">
        <v>288</v>
      </c>
      <c r="B653" s="372">
        <f t="shared" si="43"/>
        <v>7575298</v>
      </c>
      <c r="C653" s="372"/>
      <c r="D653" s="372">
        <v>4955754</v>
      </c>
      <c r="E653" s="372"/>
      <c r="F653" s="372">
        <f t="shared" si="42"/>
        <v>1247958</v>
      </c>
      <c r="G653" s="387"/>
      <c r="H653" s="372">
        <v>189834</v>
      </c>
      <c r="I653" s="372">
        <v>125589</v>
      </c>
      <c r="J653" s="372">
        <v>932535</v>
      </c>
      <c r="K653" s="372">
        <v>1039578</v>
      </c>
      <c r="L653" s="372">
        <v>332008</v>
      </c>
      <c r="O653" s="407"/>
    </row>
    <row r="654" spans="1:15" s="405" customFormat="1" ht="9" customHeight="1" x14ac:dyDescent="0.25">
      <c r="A654" s="405" t="s">
        <v>48</v>
      </c>
      <c r="B654" s="372">
        <f t="shared" si="43"/>
        <v>8190154</v>
      </c>
      <c r="C654" s="372"/>
      <c r="D654" s="372">
        <v>5608114</v>
      </c>
      <c r="E654" s="372"/>
      <c r="F654" s="372">
        <f t="shared" si="42"/>
        <v>1268735</v>
      </c>
      <c r="G654" s="387"/>
      <c r="H654" s="372">
        <v>156014</v>
      </c>
      <c r="I654" s="372">
        <v>150300</v>
      </c>
      <c r="J654" s="372">
        <v>962421</v>
      </c>
      <c r="K654" s="372">
        <v>871787</v>
      </c>
      <c r="L654" s="372">
        <v>441518</v>
      </c>
      <c r="O654" s="407"/>
    </row>
    <row r="655" spans="1:15" s="405" customFormat="1" ht="9" customHeight="1" x14ac:dyDescent="0.25">
      <c r="A655" s="406" t="s">
        <v>49</v>
      </c>
      <c r="B655" s="376">
        <f t="shared" si="43"/>
        <v>10402390</v>
      </c>
      <c r="C655" s="376"/>
      <c r="D655" s="376">
        <v>6943307</v>
      </c>
      <c r="E655" s="376"/>
      <c r="F655" s="376">
        <f t="shared" si="42"/>
        <v>1881256</v>
      </c>
      <c r="G655" s="377"/>
      <c r="H655" s="376">
        <v>258619</v>
      </c>
      <c r="I655" s="376">
        <v>214471</v>
      </c>
      <c r="J655" s="376">
        <v>1408166</v>
      </c>
      <c r="K655" s="376">
        <v>1036015</v>
      </c>
      <c r="L655" s="376">
        <v>541812</v>
      </c>
      <c r="O655" s="407"/>
    </row>
    <row r="656" spans="1:15" s="405" customFormat="1" ht="9" customHeight="1" x14ac:dyDescent="0.25">
      <c r="A656" s="405" t="s">
        <v>50</v>
      </c>
      <c r="B656" s="372">
        <f t="shared" si="43"/>
        <v>3646023</v>
      </c>
      <c r="C656" s="372"/>
      <c r="D656" s="372">
        <v>2617930</v>
      </c>
      <c r="E656" s="372"/>
      <c r="F656" s="372">
        <f t="shared" si="42"/>
        <v>458714</v>
      </c>
      <c r="G656" s="373"/>
      <c r="H656" s="372">
        <v>67243</v>
      </c>
      <c r="I656" s="372">
        <v>50001</v>
      </c>
      <c r="J656" s="372">
        <v>341470</v>
      </c>
      <c r="K656" s="372">
        <v>281333</v>
      </c>
      <c r="L656" s="372">
        <v>288046</v>
      </c>
      <c r="O656" s="407"/>
    </row>
    <row r="657" spans="1:15" s="405" customFormat="1" ht="9" customHeight="1" x14ac:dyDescent="0.25">
      <c r="A657" s="405" t="s">
        <v>51</v>
      </c>
      <c r="B657" s="372">
        <f t="shared" si="43"/>
        <v>19855872</v>
      </c>
      <c r="C657" s="372"/>
      <c r="D657" s="372">
        <v>13978370</v>
      </c>
      <c r="E657" s="372"/>
      <c r="F657" s="372">
        <f t="shared" si="42"/>
        <v>2728406</v>
      </c>
      <c r="G657" s="373"/>
      <c r="H657" s="372">
        <v>389565</v>
      </c>
      <c r="I657" s="372">
        <v>281043</v>
      </c>
      <c r="J657" s="372">
        <v>2057798</v>
      </c>
      <c r="K657" s="372">
        <v>1991995</v>
      </c>
      <c r="L657" s="372">
        <v>1157101</v>
      </c>
      <c r="O657" s="407"/>
    </row>
    <row r="658" spans="1:15" s="405" customFormat="1" ht="9" customHeight="1" x14ac:dyDescent="0.25">
      <c r="A658" s="405" t="s">
        <v>52</v>
      </c>
      <c r="B658" s="372">
        <f t="shared" si="43"/>
        <v>6986878</v>
      </c>
      <c r="C658" s="372"/>
      <c r="D658" s="372">
        <v>5227326</v>
      </c>
      <c r="E658" s="372"/>
      <c r="F658" s="372">
        <f t="shared" si="42"/>
        <v>1008708</v>
      </c>
      <c r="G658" s="373"/>
      <c r="H658" s="372">
        <v>144337</v>
      </c>
      <c r="I658" s="372">
        <v>59970</v>
      </c>
      <c r="J658" s="372">
        <v>804401</v>
      </c>
      <c r="K658" s="372">
        <v>460941</v>
      </c>
      <c r="L658" s="372">
        <v>289903</v>
      </c>
      <c r="O658" s="407"/>
    </row>
    <row r="659" spans="1:15" s="405" customFormat="1" ht="9" customHeight="1" x14ac:dyDescent="0.25">
      <c r="A659" s="406" t="s">
        <v>53</v>
      </c>
      <c r="B659" s="376">
        <f t="shared" si="43"/>
        <v>4846531</v>
      </c>
      <c r="C659" s="376"/>
      <c r="D659" s="376">
        <v>3437274</v>
      </c>
      <c r="E659" s="376"/>
      <c r="F659" s="376">
        <f t="shared" si="42"/>
        <v>514389</v>
      </c>
      <c r="G659" s="377"/>
      <c r="H659" s="376">
        <v>79321</v>
      </c>
      <c r="I659" s="376">
        <v>53291</v>
      </c>
      <c r="J659" s="376">
        <v>381777</v>
      </c>
      <c r="K659" s="376">
        <v>638219</v>
      </c>
      <c r="L659" s="376">
        <v>256649</v>
      </c>
      <c r="O659" s="407"/>
    </row>
    <row r="660" spans="1:15" s="366" customFormat="1" ht="9" customHeight="1" x14ac:dyDescent="0.25">
      <c r="A660" s="398"/>
      <c r="B660" s="381"/>
      <c r="C660" s="381"/>
      <c r="D660" s="381"/>
      <c r="E660" s="368"/>
      <c r="F660" s="381"/>
      <c r="G660" s="382"/>
      <c r="H660" s="368"/>
      <c r="I660" s="368"/>
      <c r="J660" s="368"/>
      <c r="K660" s="368"/>
      <c r="L660" s="368"/>
      <c r="M660" s="399"/>
      <c r="O660" s="372"/>
    </row>
    <row r="661" spans="1:15" s="405" customFormat="1" ht="9" customHeight="1" x14ac:dyDescent="0.25">
      <c r="A661" s="400">
        <v>2013</v>
      </c>
      <c r="B661" s="401"/>
      <c r="C661" s="401"/>
      <c r="D661" s="402"/>
      <c r="E661" s="402"/>
      <c r="F661" s="403"/>
      <c r="G661" s="404"/>
      <c r="H661" s="402"/>
      <c r="I661" s="402"/>
      <c r="J661" s="401"/>
      <c r="K661" s="402"/>
    </row>
    <row r="662" spans="1:15" s="399" customFormat="1" ht="9" customHeight="1" x14ac:dyDescent="0.25">
      <c r="A662" s="398" t="s">
        <v>21</v>
      </c>
      <c r="B662" s="368">
        <f>SUM(B664:B695)</f>
        <v>327639886</v>
      </c>
      <c r="C662" s="381"/>
      <c r="D662" s="368">
        <f>SUM(D664:D695)</f>
        <v>223077451</v>
      </c>
      <c r="E662" s="368"/>
      <c r="F662" s="368">
        <f>SUM(F664:F695)</f>
        <v>51558943</v>
      </c>
      <c r="G662" s="368"/>
      <c r="H662" s="368">
        <f>SUM(H664:H695)</f>
        <v>6882486</v>
      </c>
      <c r="I662" s="368">
        <f>SUM(I664:I695)</f>
        <v>4885725</v>
      </c>
      <c r="J662" s="368">
        <f>SUM(J664:J695)</f>
        <v>39790732</v>
      </c>
      <c r="K662" s="368">
        <f>SUM(K664:K695)</f>
        <v>35604900</v>
      </c>
      <c r="L662" s="368">
        <f>SUM(L664:L695)</f>
        <v>17398592</v>
      </c>
    </row>
    <row r="663" spans="1:15" s="399" customFormat="1" ht="3.95" customHeight="1" x14ac:dyDescent="0.25">
      <c r="A663" s="398"/>
      <c r="B663" s="381"/>
      <c r="C663" s="381"/>
      <c r="D663" s="381"/>
      <c r="E663" s="368"/>
      <c r="F663" s="381"/>
      <c r="G663" s="382"/>
      <c r="H663" s="368"/>
      <c r="I663" s="368"/>
      <c r="J663" s="368"/>
      <c r="K663" s="368"/>
      <c r="L663" s="368"/>
    </row>
    <row r="664" spans="1:15" s="405" customFormat="1" ht="9.6" customHeight="1" x14ac:dyDescent="0.25">
      <c r="A664" s="405" t="s">
        <v>280</v>
      </c>
      <c r="B664" s="386">
        <f>SUM(D664,F664,K664:L664)</f>
        <v>4357045</v>
      </c>
      <c r="C664" s="386"/>
      <c r="D664" s="386">
        <v>2911260</v>
      </c>
      <c r="E664" s="372"/>
      <c r="F664" s="372">
        <f>SUM(H664:J664)</f>
        <v>612973</v>
      </c>
      <c r="G664" s="372"/>
      <c r="H664" s="372">
        <v>93730</v>
      </c>
      <c r="I664" s="372">
        <v>58379</v>
      </c>
      <c r="J664" s="372">
        <v>460864</v>
      </c>
      <c r="K664" s="372">
        <v>605028</v>
      </c>
      <c r="L664" s="372">
        <v>227784</v>
      </c>
      <c r="O664" s="407"/>
    </row>
    <row r="665" spans="1:15" s="405" customFormat="1" ht="9" customHeight="1" x14ac:dyDescent="0.25">
      <c r="A665" s="405" t="s">
        <v>24</v>
      </c>
      <c r="B665" s="386">
        <f>SUM(D665,F665,K665:L665)</f>
        <v>8472135</v>
      </c>
      <c r="C665" s="386"/>
      <c r="D665" s="386">
        <v>5260547</v>
      </c>
      <c r="E665" s="372"/>
      <c r="F665" s="372">
        <f t="shared" ref="F665:F695" si="44">SUM(H665:J665)</f>
        <v>1446040</v>
      </c>
      <c r="G665" s="373"/>
      <c r="H665" s="372">
        <v>176609</v>
      </c>
      <c r="I665" s="372">
        <v>133027</v>
      </c>
      <c r="J665" s="372">
        <v>1136404</v>
      </c>
      <c r="K665" s="372">
        <v>1298351</v>
      </c>
      <c r="L665" s="372">
        <v>467197</v>
      </c>
      <c r="O665" s="407"/>
    </row>
    <row r="666" spans="1:15" s="405" customFormat="1" ht="9" customHeight="1" x14ac:dyDescent="0.25">
      <c r="A666" s="405" t="s">
        <v>25</v>
      </c>
      <c r="B666" s="386">
        <f>SUM(D666,F666,K666:L666)</f>
        <v>2400141</v>
      </c>
      <c r="C666" s="386"/>
      <c r="D666" s="386">
        <v>1524971</v>
      </c>
      <c r="E666" s="372"/>
      <c r="F666" s="372">
        <f t="shared" si="44"/>
        <v>422753</v>
      </c>
      <c r="G666" s="373"/>
      <c r="H666" s="372">
        <v>59321</v>
      </c>
      <c r="I666" s="372">
        <v>34910</v>
      </c>
      <c r="J666" s="372">
        <v>328522</v>
      </c>
      <c r="K666" s="372">
        <v>313860</v>
      </c>
      <c r="L666" s="372">
        <v>138557</v>
      </c>
      <c r="O666" s="407"/>
    </row>
    <row r="667" spans="1:15" s="405" customFormat="1" ht="9.6" customHeight="1" x14ac:dyDescent="0.25">
      <c r="A667" s="406" t="s">
        <v>281</v>
      </c>
      <c r="B667" s="388">
        <f>SUM(D667,F667,K667:L667)</f>
        <v>2775205</v>
      </c>
      <c r="C667" s="388"/>
      <c r="D667" s="388">
        <v>1887972</v>
      </c>
      <c r="E667" s="376"/>
      <c r="F667" s="376">
        <f t="shared" si="44"/>
        <v>402837</v>
      </c>
      <c r="G667" s="394"/>
      <c r="H667" s="376">
        <v>64216</v>
      </c>
      <c r="I667" s="376">
        <v>43234</v>
      </c>
      <c r="J667" s="376">
        <v>295387</v>
      </c>
      <c r="K667" s="376">
        <v>332829</v>
      </c>
      <c r="L667" s="376">
        <v>151567</v>
      </c>
      <c r="O667" s="407"/>
    </row>
    <row r="668" spans="1:15" s="405" customFormat="1" ht="9.6" customHeight="1" x14ac:dyDescent="0.25">
      <c r="A668" s="405" t="s">
        <v>27</v>
      </c>
      <c r="B668" s="386">
        <f>SUM(D668,F668,K668:L668)</f>
        <v>8542588</v>
      </c>
      <c r="C668" s="386"/>
      <c r="D668" s="386">
        <v>5492926</v>
      </c>
      <c r="E668" s="372"/>
      <c r="F668" s="372">
        <f t="shared" si="44"/>
        <v>1319700</v>
      </c>
      <c r="G668" s="393"/>
      <c r="H668" s="372">
        <v>196347</v>
      </c>
      <c r="I668" s="372">
        <v>154060</v>
      </c>
      <c r="J668" s="372">
        <v>969293</v>
      </c>
      <c r="K668" s="372">
        <v>1379878</v>
      </c>
      <c r="L668" s="372">
        <v>350084</v>
      </c>
      <c r="O668" s="407"/>
    </row>
    <row r="669" spans="1:15" s="405" customFormat="1" ht="9.6" customHeight="1" x14ac:dyDescent="0.25">
      <c r="A669" s="405" t="s">
        <v>283</v>
      </c>
      <c r="B669" s="372">
        <f t="shared" ref="B669:B683" si="45">SUM(D669,F669,K669:L669)</f>
        <v>2265795</v>
      </c>
      <c r="C669" s="372"/>
      <c r="D669" s="372">
        <v>1402315</v>
      </c>
      <c r="E669" s="372"/>
      <c r="F669" s="372">
        <f t="shared" si="44"/>
        <v>363524</v>
      </c>
      <c r="G669" s="393"/>
      <c r="H669" s="372">
        <v>42655</v>
      </c>
      <c r="I669" s="372">
        <v>22771</v>
      </c>
      <c r="J669" s="372">
        <v>298098</v>
      </c>
      <c r="K669" s="372">
        <v>390466</v>
      </c>
      <c r="L669" s="372">
        <v>109490</v>
      </c>
      <c r="O669" s="407"/>
    </row>
    <row r="670" spans="1:15" s="405" customFormat="1" ht="9" customHeight="1" x14ac:dyDescent="0.25">
      <c r="A670" s="405" t="s">
        <v>29</v>
      </c>
      <c r="B670" s="372">
        <f t="shared" si="45"/>
        <v>12048189</v>
      </c>
      <c r="C670" s="372"/>
      <c r="D670" s="372">
        <v>9700467</v>
      </c>
      <c r="E670" s="372"/>
      <c r="F670" s="372">
        <f t="shared" si="44"/>
        <v>1003682</v>
      </c>
      <c r="G670" s="373"/>
      <c r="H670" s="372">
        <v>137726</v>
      </c>
      <c r="I670" s="372">
        <v>110228</v>
      </c>
      <c r="J670" s="372">
        <v>755728</v>
      </c>
      <c r="K670" s="372">
        <v>858828</v>
      </c>
      <c r="L670" s="372">
        <v>485212</v>
      </c>
      <c r="O670" s="407"/>
    </row>
    <row r="671" spans="1:15" s="405" customFormat="1" ht="9" customHeight="1" x14ac:dyDescent="0.25">
      <c r="A671" s="406" t="s">
        <v>30</v>
      </c>
      <c r="B671" s="376">
        <f t="shared" si="45"/>
        <v>9768238</v>
      </c>
      <c r="C671" s="376"/>
      <c r="D671" s="376">
        <v>6787957</v>
      </c>
      <c r="E671" s="376"/>
      <c r="F671" s="376">
        <f t="shared" si="44"/>
        <v>1471308</v>
      </c>
      <c r="G671" s="377"/>
      <c r="H671" s="376">
        <v>239352</v>
      </c>
      <c r="I671" s="376">
        <v>141224</v>
      </c>
      <c r="J671" s="376">
        <v>1090732</v>
      </c>
      <c r="K671" s="376">
        <v>1045080</v>
      </c>
      <c r="L671" s="376">
        <v>463893</v>
      </c>
      <c r="O671" s="407"/>
    </row>
    <row r="672" spans="1:15" s="405" customFormat="1" ht="9.6" customHeight="1" x14ac:dyDescent="0.25">
      <c r="A672" s="405" t="s">
        <v>63</v>
      </c>
      <c r="B672" s="372">
        <f t="shared" si="45"/>
        <v>31721030</v>
      </c>
      <c r="C672" s="372"/>
      <c r="D672" s="372">
        <v>16953653</v>
      </c>
      <c r="E672" s="372"/>
      <c r="F672" s="372">
        <f t="shared" si="44"/>
        <v>9690954</v>
      </c>
      <c r="G672" s="387"/>
      <c r="H672" s="372">
        <v>859113</v>
      </c>
      <c r="I672" s="372">
        <v>721780</v>
      </c>
      <c r="J672" s="372">
        <v>8110061</v>
      </c>
      <c r="K672" s="372">
        <v>3325932</v>
      </c>
      <c r="L672" s="372">
        <v>1750491</v>
      </c>
      <c r="O672" s="407"/>
    </row>
    <row r="673" spans="1:15" s="405" customFormat="1" ht="9.6" customHeight="1" x14ac:dyDescent="0.25">
      <c r="A673" s="405" t="s">
        <v>284</v>
      </c>
      <c r="B673" s="372">
        <f t="shared" si="45"/>
        <v>5766106</v>
      </c>
      <c r="C673" s="372"/>
      <c r="D673" s="372">
        <v>4067177</v>
      </c>
      <c r="E673" s="372"/>
      <c r="F673" s="372">
        <f t="shared" si="44"/>
        <v>771287</v>
      </c>
      <c r="G673" s="393"/>
      <c r="H673" s="372">
        <v>117707</v>
      </c>
      <c r="I673" s="372">
        <v>94744</v>
      </c>
      <c r="J673" s="372">
        <v>558836</v>
      </c>
      <c r="K673" s="372">
        <v>705008</v>
      </c>
      <c r="L673" s="372">
        <v>222634</v>
      </c>
      <c r="O673" s="407"/>
    </row>
    <row r="674" spans="1:15" s="405" customFormat="1" ht="9" customHeight="1" x14ac:dyDescent="0.25">
      <c r="A674" s="405" t="s">
        <v>32</v>
      </c>
      <c r="B674" s="372">
        <f t="shared" si="45"/>
        <v>14541762</v>
      </c>
      <c r="C674" s="372"/>
      <c r="D674" s="372">
        <v>9911854</v>
      </c>
      <c r="E674" s="372"/>
      <c r="F674" s="372">
        <f t="shared" si="44"/>
        <v>2087172</v>
      </c>
      <c r="G674" s="373"/>
      <c r="H674" s="372">
        <v>295034</v>
      </c>
      <c r="I674" s="372">
        <v>241498</v>
      </c>
      <c r="J674" s="372">
        <v>1550640</v>
      </c>
      <c r="K674" s="372">
        <v>1773972</v>
      </c>
      <c r="L674" s="372">
        <v>768764</v>
      </c>
      <c r="O674" s="407"/>
    </row>
    <row r="675" spans="1:15" s="405" customFormat="1" ht="9" customHeight="1" x14ac:dyDescent="0.25">
      <c r="A675" s="406" t="s">
        <v>33</v>
      </c>
      <c r="B675" s="376">
        <f t="shared" si="45"/>
        <v>10668122</v>
      </c>
      <c r="C675" s="376"/>
      <c r="D675" s="376">
        <v>8356151</v>
      </c>
      <c r="E675" s="376"/>
      <c r="F675" s="376">
        <f t="shared" si="44"/>
        <v>1086694</v>
      </c>
      <c r="G675" s="377"/>
      <c r="H675" s="376">
        <v>179747</v>
      </c>
      <c r="I675" s="376">
        <v>102252</v>
      </c>
      <c r="J675" s="376">
        <v>804695</v>
      </c>
      <c r="K675" s="376">
        <v>600807</v>
      </c>
      <c r="L675" s="376">
        <v>624470</v>
      </c>
      <c r="O675" s="407"/>
    </row>
    <row r="676" spans="1:15" s="405" customFormat="1" ht="9" customHeight="1" x14ac:dyDescent="0.25">
      <c r="A676" s="405" t="s">
        <v>34</v>
      </c>
      <c r="B676" s="372">
        <f t="shared" si="45"/>
        <v>8394919</v>
      </c>
      <c r="C676" s="372"/>
      <c r="D676" s="372">
        <v>6388608</v>
      </c>
      <c r="E676" s="372"/>
      <c r="F676" s="372">
        <f t="shared" si="44"/>
        <v>901407</v>
      </c>
      <c r="G676" s="373"/>
      <c r="H676" s="372">
        <v>157815</v>
      </c>
      <c r="I676" s="372">
        <v>71894</v>
      </c>
      <c r="J676" s="372">
        <v>671698</v>
      </c>
      <c r="K676" s="372">
        <v>619312</v>
      </c>
      <c r="L676" s="372">
        <v>485592</v>
      </c>
      <c r="O676" s="407"/>
    </row>
    <row r="677" spans="1:15" s="405" customFormat="1" ht="9.6" customHeight="1" x14ac:dyDescent="0.25">
      <c r="A677" s="405" t="s">
        <v>285</v>
      </c>
      <c r="B677" s="372">
        <f t="shared" si="45"/>
        <v>20228719</v>
      </c>
      <c r="C677" s="372"/>
      <c r="D677" s="372">
        <v>11812093</v>
      </c>
      <c r="E677" s="372"/>
      <c r="F677" s="372">
        <f t="shared" si="44"/>
        <v>4178079</v>
      </c>
      <c r="G677" s="393"/>
      <c r="H677" s="372">
        <v>556447</v>
      </c>
      <c r="I677" s="372">
        <v>302859</v>
      </c>
      <c r="J677" s="372">
        <v>3318773</v>
      </c>
      <c r="K677" s="372">
        <v>3212911</v>
      </c>
      <c r="L677" s="372">
        <v>1025636</v>
      </c>
      <c r="O677" s="407"/>
    </row>
    <row r="678" spans="1:15" s="405" customFormat="1" ht="9" customHeight="1" x14ac:dyDescent="0.25">
      <c r="A678" s="405" t="s">
        <v>36</v>
      </c>
      <c r="B678" s="372">
        <f t="shared" si="45"/>
        <v>40672311</v>
      </c>
      <c r="C678" s="372"/>
      <c r="D678" s="372">
        <v>31104982</v>
      </c>
      <c r="E678" s="372"/>
      <c r="F678" s="372">
        <f t="shared" si="44"/>
        <v>4662347</v>
      </c>
      <c r="G678" s="373"/>
      <c r="H678" s="372">
        <v>771222</v>
      </c>
      <c r="I678" s="372">
        <v>506615</v>
      </c>
      <c r="J678" s="372">
        <v>3384510</v>
      </c>
      <c r="K678" s="372">
        <v>3078325</v>
      </c>
      <c r="L678" s="372">
        <v>1826657</v>
      </c>
      <c r="O678" s="407"/>
    </row>
    <row r="679" spans="1:15" s="405" customFormat="1" ht="9" customHeight="1" x14ac:dyDescent="0.25">
      <c r="A679" s="406" t="s">
        <v>37</v>
      </c>
      <c r="B679" s="376">
        <f t="shared" si="45"/>
        <v>11217344</v>
      </c>
      <c r="C679" s="376"/>
      <c r="D679" s="376">
        <v>7958300</v>
      </c>
      <c r="E679" s="376"/>
      <c r="F679" s="376">
        <f t="shared" si="44"/>
        <v>1413778</v>
      </c>
      <c r="G679" s="377"/>
      <c r="H679" s="376">
        <v>235424</v>
      </c>
      <c r="I679" s="376">
        <v>133847</v>
      </c>
      <c r="J679" s="376">
        <v>1044507</v>
      </c>
      <c r="K679" s="376">
        <v>1146495</v>
      </c>
      <c r="L679" s="376">
        <v>698771</v>
      </c>
      <c r="O679" s="407"/>
    </row>
    <row r="680" spans="1:15" s="405" customFormat="1" ht="9" customHeight="1" x14ac:dyDescent="0.25">
      <c r="A680" s="405" t="s">
        <v>38</v>
      </c>
      <c r="B680" s="372">
        <f t="shared" si="45"/>
        <v>4894259</v>
      </c>
      <c r="C680" s="372"/>
      <c r="D680" s="372">
        <v>3178923</v>
      </c>
      <c r="E680" s="372"/>
      <c r="F680" s="372">
        <f t="shared" si="44"/>
        <v>758910</v>
      </c>
      <c r="G680" s="373"/>
      <c r="H680" s="372">
        <v>108006</v>
      </c>
      <c r="I680" s="372">
        <v>61200</v>
      </c>
      <c r="J680" s="372">
        <v>589704</v>
      </c>
      <c r="K680" s="372">
        <v>693853</v>
      </c>
      <c r="L680" s="372">
        <v>262573</v>
      </c>
      <c r="O680" s="407"/>
    </row>
    <row r="681" spans="1:15" s="405" customFormat="1" ht="9.6" customHeight="1" x14ac:dyDescent="0.25">
      <c r="A681" s="405" t="s">
        <v>39</v>
      </c>
      <c r="B681" s="372">
        <f t="shared" si="45"/>
        <v>3615888</v>
      </c>
      <c r="C681" s="372"/>
      <c r="D681" s="372">
        <v>2446593</v>
      </c>
      <c r="E681" s="372"/>
      <c r="F681" s="372">
        <f t="shared" si="44"/>
        <v>480952</v>
      </c>
      <c r="G681" s="373"/>
      <c r="H681" s="372">
        <v>71104</v>
      </c>
      <c r="I681" s="372">
        <v>42226</v>
      </c>
      <c r="J681" s="372">
        <v>367622</v>
      </c>
      <c r="K681" s="372">
        <v>494355</v>
      </c>
      <c r="L681" s="372">
        <v>193988</v>
      </c>
      <c r="O681" s="407"/>
    </row>
    <row r="682" spans="1:15" s="405" customFormat="1" ht="9.6" customHeight="1" x14ac:dyDescent="0.25">
      <c r="A682" s="405" t="s">
        <v>286</v>
      </c>
      <c r="B682" s="372">
        <f t="shared" si="45"/>
        <v>13094984</v>
      </c>
      <c r="C682" s="372"/>
      <c r="D682" s="372">
        <v>8231727</v>
      </c>
      <c r="E682" s="372"/>
      <c r="F682" s="372">
        <f t="shared" si="44"/>
        <v>2497661</v>
      </c>
      <c r="G682" s="393"/>
      <c r="H682" s="372">
        <v>346205</v>
      </c>
      <c r="I682" s="372">
        <v>257690</v>
      </c>
      <c r="J682" s="372">
        <v>1893766</v>
      </c>
      <c r="K682" s="372">
        <v>1828956</v>
      </c>
      <c r="L682" s="372">
        <v>536640</v>
      </c>
      <c r="O682" s="407"/>
    </row>
    <row r="683" spans="1:15" s="405" customFormat="1" ht="9" customHeight="1" x14ac:dyDescent="0.25">
      <c r="A683" s="406" t="s">
        <v>41</v>
      </c>
      <c r="B683" s="376">
        <f t="shared" si="45"/>
        <v>10315553</v>
      </c>
      <c r="C683" s="376"/>
      <c r="D683" s="376">
        <v>7979344</v>
      </c>
      <c r="E683" s="376"/>
      <c r="F683" s="376">
        <f t="shared" si="44"/>
        <v>1022350</v>
      </c>
      <c r="G683" s="377"/>
      <c r="H683" s="376">
        <v>151888</v>
      </c>
      <c r="I683" s="376">
        <v>120075</v>
      </c>
      <c r="J683" s="376">
        <v>750387</v>
      </c>
      <c r="K683" s="376">
        <v>697377</v>
      </c>
      <c r="L683" s="376">
        <v>616482</v>
      </c>
      <c r="O683" s="407"/>
    </row>
    <row r="684" spans="1:15" s="405" customFormat="1" ht="9.6" customHeight="1" x14ac:dyDescent="0.25">
      <c r="A684" s="405" t="s">
        <v>42</v>
      </c>
      <c r="B684" s="372">
        <f>SUM(D684,F684,K684:L684)</f>
        <v>14553350</v>
      </c>
      <c r="C684" s="372"/>
      <c r="D684" s="372">
        <v>10227444</v>
      </c>
      <c r="E684" s="372"/>
      <c r="F684" s="372">
        <f t="shared" si="44"/>
        <v>2001413</v>
      </c>
      <c r="G684" s="387"/>
      <c r="H684" s="372">
        <v>254675</v>
      </c>
      <c r="I684" s="372">
        <v>184986</v>
      </c>
      <c r="J684" s="372">
        <v>1561752</v>
      </c>
      <c r="K684" s="372">
        <v>1308254</v>
      </c>
      <c r="L684" s="372">
        <v>1016239</v>
      </c>
      <c r="O684" s="407"/>
    </row>
    <row r="685" spans="1:15" s="405" customFormat="1" ht="9" customHeight="1" x14ac:dyDescent="0.25">
      <c r="A685" s="405" t="s">
        <v>43</v>
      </c>
      <c r="B685" s="372">
        <f>SUM(D685,F685,K685:L685)</f>
        <v>4793687</v>
      </c>
      <c r="C685" s="372"/>
      <c r="D685" s="372">
        <v>3298832</v>
      </c>
      <c r="E685" s="372"/>
      <c r="F685" s="372">
        <f t="shared" si="44"/>
        <v>694953</v>
      </c>
      <c r="G685" s="373"/>
      <c r="H685" s="372">
        <v>78172</v>
      </c>
      <c r="I685" s="372">
        <v>50896</v>
      </c>
      <c r="J685" s="372">
        <v>565885</v>
      </c>
      <c r="K685" s="372">
        <v>478233</v>
      </c>
      <c r="L685" s="372">
        <v>321669</v>
      </c>
      <c r="O685" s="407"/>
    </row>
    <row r="686" spans="1:15" s="405" customFormat="1" ht="9" customHeight="1" x14ac:dyDescent="0.25">
      <c r="A686" s="405" t="s">
        <v>44</v>
      </c>
      <c r="B686" s="372">
        <f>SUM(D686,F686,K686:L686)</f>
        <v>3484892</v>
      </c>
      <c r="C686" s="372"/>
      <c r="D686" s="372">
        <v>2279119</v>
      </c>
      <c r="E686" s="372"/>
      <c r="F686" s="372">
        <f t="shared" si="44"/>
        <v>521465</v>
      </c>
      <c r="G686" s="373"/>
      <c r="H686" s="372">
        <v>89074</v>
      </c>
      <c r="I686" s="372">
        <v>41497</v>
      </c>
      <c r="J686" s="372">
        <v>390894</v>
      </c>
      <c r="K686" s="372">
        <v>478271</v>
      </c>
      <c r="L686" s="372">
        <v>206037</v>
      </c>
      <c r="O686" s="407"/>
    </row>
    <row r="687" spans="1:15" s="405" customFormat="1" ht="9" customHeight="1" x14ac:dyDescent="0.25">
      <c r="A687" s="406" t="s">
        <v>45</v>
      </c>
      <c r="B687" s="376">
        <f>SUM(D687,F687,K687:L687)</f>
        <v>7807404</v>
      </c>
      <c r="C687" s="376"/>
      <c r="D687" s="376">
        <v>5314513</v>
      </c>
      <c r="E687" s="376"/>
      <c r="F687" s="376">
        <f t="shared" si="44"/>
        <v>1163662</v>
      </c>
      <c r="G687" s="377"/>
      <c r="H687" s="376">
        <v>155213</v>
      </c>
      <c r="I687" s="376">
        <v>104783</v>
      </c>
      <c r="J687" s="376">
        <v>903666</v>
      </c>
      <c r="K687" s="376">
        <v>777283</v>
      </c>
      <c r="L687" s="376">
        <v>551946</v>
      </c>
      <c r="O687" s="407"/>
    </row>
    <row r="688" spans="1:15" s="405" customFormat="1" ht="9" customHeight="1" x14ac:dyDescent="0.25">
      <c r="A688" s="405" t="s">
        <v>46</v>
      </c>
      <c r="B688" s="372">
        <f>SUM(D688,F688,K688:L688)</f>
        <v>9928554</v>
      </c>
      <c r="C688" s="372"/>
      <c r="D688" s="372">
        <v>6641444</v>
      </c>
      <c r="E688" s="372"/>
      <c r="F688" s="372">
        <f t="shared" si="44"/>
        <v>1517840</v>
      </c>
      <c r="G688" s="373"/>
      <c r="H688" s="372">
        <v>193684</v>
      </c>
      <c r="I688" s="372">
        <v>245922</v>
      </c>
      <c r="J688" s="372">
        <v>1078234</v>
      </c>
      <c r="K688" s="372">
        <v>1197641</v>
      </c>
      <c r="L688" s="372">
        <v>571629</v>
      </c>
      <c r="O688" s="407"/>
    </row>
    <row r="689" spans="1:15" s="405" customFormat="1" ht="9.6" customHeight="1" x14ac:dyDescent="0.25">
      <c r="A689" s="405" t="s">
        <v>288</v>
      </c>
      <c r="B689" s="372">
        <f t="shared" ref="B689:B695" si="46">SUM(D689,F689,K689:L689)</f>
        <v>7507098</v>
      </c>
      <c r="C689" s="372"/>
      <c r="D689" s="372">
        <v>4805220</v>
      </c>
      <c r="E689" s="372"/>
      <c r="F689" s="372">
        <f t="shared" si="44"/>
        <v>1271322</v>
      </c>
      <c r="G689" s="387"/>
      <c r="H689" s="372">
        <v>196407</v>
      </c>
      <c r="I689" s="372">
        <v>114295</v>
      </c>
      <c r="J689" s="372">
        <v>960620</v>
      </c>
      <c r="K689" s="372">
        <v>1098837</v>
      </c>
      <c r="L689" s="372">
        <v>331719</v>
      </c>
      <c r="O689" s="407"/>
    </row>
    <row r="690" spans="1:15" s="405" customFormat="1" ht="9" customHeight="1" x14ac:dyDescent="0.25">
      <c r="A690" s="405" t="s">
        <v>48</v>
      </c>
      <c r="B690" s="372">
        <f t="shared" si="46"/>
        <v>7943995</v>
      </c>
      <c r="C690" s="372"/>
      <c r="D690" s="372">
        <v>5353254</v>
      </c>
      <c r="E690" s="372"/>
      <c r="F690" s="372">
        <f t="shared" si="44"/>
        <v>1228849</v>
      </c>
      <c r="G690" s="387"/>
      <c r="H690" s="372">
        <v>141489</v>
      </c>
      <c r="I690" s="372">
        <v>145538</v>
      </c>
      <c r="J690" s="372">
        <v>941822</v>
      </c>
      <c r="K690" s="372">
        <v>945201</v>
      </c>
      <c r="L690" s="372">
        <v>416691</v>
      </c>
      <c r="O690" s="407"/>
    </row>
    <row r="691" spans="1:15" s="405" customFormat="1" ht="9" customHeight="1" x14ac:dyDescent="0.25">
      <c r="A691" s="406" t="s">
        <v>49</v>
      </c>
      <c r="B691" s="376">
        <f t="shared" si="46"/>
        <v>10617160</v>
      </c>
      <c r="C691" s="376"/>
      <c r="D691" s="376">
        <v>7126340</v>
      </c>
      <c r="E691" s="376"/>
      <c r="F691" s="376">
        <f t="shared" si="44"/>
        <v>1836706</v>
      </c>
      <c r="G691" s="377"/>
      <c r="H691" s="376">
        <v>247305</v>
      </c>
      <c r="I691" s="376">
        <v>213336</v>
      </c>
      <c r="J691" s="376">
        <v>1376065</v>
      </c>
      <c r="K691" s="376">
        <v>1075632</v>
      </c>
      <c r="L691" s="376">
        <v>578482</v>
      </c>
      <c r="O691" s="407"/>
    </row>
    <row r="692" spans="1:15" s="405" customFormat="1" ht="9" customHeight="1" x14ac:dyDescent="0.25">
      <c r="A692" s="405" t="s">
        <v>50</v>
      </c>
      <c r="B692" s="372">
        <f t="shared" si="46"/>
        <v>3671066</v>
      </c>
      <c r="C692" s="372"/>
      <c r="D692" s="372">
        <v>2617073</v>
      </c>
      <c r="E692" s="372"/>
      <c r="F692" s="372">
        <f t="shared" si="44"/>
        <v>424415</v>
      </c>
      <c r="G692" s="373"/>
      <c r="H692" s="372">
        <v>60270</v>
      </c>
      <c r="I692" s="372">
        <v>46760</v>
      </c>
      <c r="J692" s="372">
        <v>317385</v>
      </c>
      <c r="K692" s="372">
        <v>331093</v>
      </c>
      <c r="L692" s="372">
        <v>298485</v>
      </c>
      <c r="O692" s="407"/>
    </row>
    <row r="693" spans="1:15" s="405" customFormat="1" ht="9" customHeight="1" x14ac:dyDescent="0.25">
      <c r="A693" s="405" t="s">
        <v>51</v>
      </c>
      <c r="B693" s="372">
        <f t="shared" si="46"/>
        <v>19635063</v>
      </c>
      <c r="C693" s="372"/>
      <c r="D693" s="372">
        <v>13462350</v>
      </c>
      <c r="E693" s="372"/>
      <c r="F693" s="372">
        <f t="shared" si="44"/>
        <v>2744746</v>
      </c>
      <c r="G693" s="373"/>
      <c r="H693" s="372">
        <v>381519</v>
      </c>
      <c r="I693" s="372">
        <v>260362</v>
      </c>
      <c r="J693" s="372">
        <v>2102865</v>
      </c>
      <c r="K693" s="372">
        <v>2278827</v>
      </c>
      <c r="L693" s="372">
        <v>1149140</v>
      </c>
      <c r="O693" s="407"/>
    </row>
    <row r="694" spans="1:15" s="405" customFormat="1" ht="9" customHeight="1" x14ac:dyDescent="0.25">
      <c r="A694" s="405" t="s">
        <v>52</v>
      </c>
      <c r="B694" s="372">
        <f t="shared" si="46"/>
        <v>7173723</v>
      </c>
      <c r="C694" s="372"/>
      <c r="D694" s="372">
        <v>5244987</v>
      </c>
      <c r="E694" s="372"/>
      <c r="F694" s="372">
        <f t="shared" si="44"/>
        <v>1038016</v>
      </c>
      <c r="G694" s="373"/>
      <c r="H694" s="372">
        <v>141122</v>
      </c>
      <c r="I694" s="372">
        <v>68375</v>
      </c>
      <c r="J694" s="372">
        <v>828519</v>
      </c>
      <c r="K694" s="372">
        <v>594493</v>
      </c>
      <c r="L694" s="372">
        <v>296227</v>
      </c>
      <c r="O694" s="407"/>
    </row>
    <row r="695" spans="1:15" s="405" customFormat="1" ht="9" customHeight="1" x14ac:dyDescent="0.25">
      <c r="A695" s="406" t="s">
        <v>53</v>
      </c>
      <c r="B695" s="376">
        <f t="shared" si="46"/>
        <v>4763561</v>
      </c>
      <c r="C695" s="376"/>
      <c r="D695" s="376">
        <v>3349055</v>
      </c>
      <c r="E695" s="376"/>
      <c r="F695" s="376">
        <f t="shared" si="44"/>
        <v>521148</v>
      </c>
      <c r="G695" s="377"/>
      <c r="H695" s="376">
        <v>83888</v>
      </c>
      <c r="I695" s="376">
        <v>54462</v>
      </c>
      <c r="J695" s="376">
        <v>382798</v>
      </c>
      <c r="K695" s="376">
        <v>639512</v>
      </c>
      <c r="L695" s="376">
        <v>253846</v>
      </c>
      <c r="O695" s="407"/>
    </row>
    <row r="696" spans="1:15" s="405" customFormat="1" ht="9" customHeight="1" x14ac:dyDescent="0.25">
      <c r="A696" s="398"/>
      <c r="B696" s="381"/>
      <c r="C696" s="381"/>
      <c r="D696" s="381"/>
      <c r="E696" s="368"/>
      <c r="F696" s="381"/>
      <c r="G696" s="382"/>
      <c r="H696" s="368"/>
      <c r="I696" s="368"/>
      <c r="J696" s="368"/>
      <c r="K696" s="368"/>
      <c r="L696" s="368"/>
      <c r="M696" s="399"/>
      <c r="O696" s="407"/>
    </row>
    <row r="697" spans="1:15" s="405" customFormat="1" ht="9" customHeight="1" x14ac:dyDescent="0.25">
      <c r="A697" s="400">
        <v>2014</v>
      </c>
      <c r="B697" s="401"/>
      <c r="C697" s="401"/>
      <c r="D697" s="402"/>
      <c r="E697" s="402"/>
      <c r="F697" s="403"/>
      <c r="G697" s="404"/>
      <c r="H697" s="402"/>
      <c r="I697" s="402"/>
      <c r="J697" s="401"/>
      <c r="K697" s="402"/>
      <c r="O697" s="407"/>
    </row>
    <row r="698" spans="1:15" s="405" customFormat="1" ht="9" customHeight="1" x14ac:dyDescent="0.25">
      <c r="A698" s="398" t="s">
        <v>21</v>
      </c>
      <c r="B698" s="368">
        <f>SUM(B700:B731)</f>
        <v>332336069</v>
      </c>
      <c r="C698" s="381"/>
      <c r="D698" s="368">
        <f>SUM(D700:D731)</f>
        <v>226598001</v>
      </c>
      <c r="E698" s="368"/>
      <c r="F698" s="368">
        <f>SUM(F700:F731)</f>
        <v>51905761</v>
      </c>
      <c r="G698" s="368"/>
      <c r="H698" s="368">
        <f>SUM(H700:H731)</f>
        <v>6811583</v>
      </c>
      <c r="I698" s="368">
        <f>SUM(I700:I731)</f>
        <v>4891392</v>
      </c>
      <c r="J698" s="368">
        <f>SUM(J700:J731)</f>
        <v>40202786</v>
      </c>
      <c r="K698" s="368">
        <f>SUM(K700:K731)</f>
        <v>35924068</v>
      </c>
      <c r="L698" s="368">
        <f>SUM(L700:L731)</f>
        <v>17908239</v>
      </c>
      <c r="M698" s="399"/>
      <c r="O698" s="407"/>
    </row>
    <row r="699" spans="1:15" s="405" customFormat="1" ht="3.95" customHeight="1" x14ac:dyDescent="0.25">
      <c r="A699" s="398"/>
      <c r="B699" s="381"/>
      <c r="C699" s="381"/>
      <c r="D699" s="381"/>
      <c r="E699" s="368"/>
      <c r="F699" s="381"/>
      <c r="G699" s="382"/>
      <c r="H699" s="368"/>
      <c r="I699" s="368"/>
      <c r="J699" s="368"/>
      <c r="K699" s="368"/>
      <c r="L699" s="368"/>
      <c r="M699" s="399"/>
      <c r="O699" s="407"/>
    </row>
    <row r="700" spans="1:15" s="405" customFormat="1" ht="9" customHeight="1" x14ac:dyDescent="0.25">
      <c r="A700" s="405" t="s">
        <v>280</v>
      </c>
      <c r="B700" s="386">
        <f>SUM(D700,F700,K700:L700)</f>
        <v>5356585</v>
      </c>
      <c r="C700" s="386"/>
      <c r="D700" s="386">
        <v>3389418</v>
      </c>
      <c r="E700" s="372"/>
      <c r="F700" s="372">
        <f>SUM(H700:J700)</f>
        <v>931627</v>
      </c>
      <c r="G700" s="372"/>
      <c r="H700" s="372">
        <v>99047</v>
      </c>
      <c r="I700" s="372">
        <v>114934</v>
      </c>
      <c r="J700" s="372">
        <v>717646</v>
      </c>
      <c r="K700" s="372">
        <v>762249</v>
      </c>
      <c r="L700" s="372">
        <v>273291</v>
      </c>
      <c r="O700" s="407"/>
    </row>
    <row r="701" spans="1:15" s="405" customFormat="1" ht="9" customHeight="1" x14ac:dyDescent="0.25">
      <c r="A701" s="405" t="s">
        <v>24</v>
      </c>
      <c r="B701" s="386">
        <f>SUM(D701,F701,K701:L701)</f>
        <v>8440738</v>
      </c>
      <c r="C701" s="386"/>
      <c r="D701" s="386">
        <v>5165795</v>
      </c>
      <c r="E701" s="372"/>
      <c r="F701" s="372">
        <f t="shared" ref="F701:F731" si="47">SUM(H701:J701)</f>
        <v>1442613</v>
      </c>
      <c r="G701" s="373"/>
      <c r="H701" s="372">
        <v>178549</v>
      </c>
      <c r="I701" s="372">
        <v>132094</v>
      </c>
      <c r="J701" s="372">
        <v>1131970</v>
      </c>
      <c r="K701" s="372">
        <v>1353546</v>
      </c>
      <c r="L701" s="372">
        <v>478784</v>
      </c>
      <c r="O701" s="407"/>
    </row>
    <row r="702" spans="1:15" s="405" customFormat="1" ht="9" customHeight="1" x14ac:dyDescent="0.25">
      <c r="A702" s="405" t="s">
        <v>25</v>
      </c>
      <c r="B702" s="386">
        <f>SUM(D702,F702,K702:L702)</f>
        <v>2376651</v>
      </c>
      <c r="C702" s="386"/>
      <c r="D702" s="386">
        <v>1518245</v>
      </c>
      <c r="E702" s="372"/>
      <c r="F702" s="372">
        <f t="shared" si="47"/>
        <v>423097</v>
      </c>
      <c r="G702" s="373"/>
      <c r="H702" s="372">
        <v>54811</v>
      </c>
      <c r="I702" s="372">
        <v>30548</v>
      </c>
      <c r="J702" s="372">
        <v>337738</v>
      </c>
      <c r="K702" s="372">
        <v>309721</v>
      </c>
      <c r="L702" s="372">
        <v>125588</v>
      </c>
      <c r="O702" s="407"/>
    </row>
    <row r="703" spans="1:15" s="405" customFormat="1" ht="9" customHeight="1" x14ac:dyDescent="0.25">
      <c r="A703" s="406" t="s">
        <v>281</v>
      </c>
      <c r="B703" s="388">
        <f>SUM(D703,F703,K703:L703)</f>
        <v>2681127</v>
      </c>
      <c r="C703" s="388"/>
      <c r="D703" s="388">
        <v>1799258</v>
      </c>
      <c r="E703" s="376"/>
      <c r="F703" s="376">
        <f t="shared" si="47"/>
        <v>423144</v>
      </c>
      <c r="G703" s="394"/>
      <c r="H703" s="376">
        <v>63373</v>
      </c>
      <c r="I703" s="376">
        <v>39611</v>
      </c>
      <c r="J703" s="376">
        <v>320160</v>
      </c>
      <c r="K703" s="376">
        <v>333830</v>
      </c>
      <c r="L703" s="376">
        <v>124895</v>
      </c>
      <c r="O703" s="407"/>
    </row>
    <row r="704" spans="1:15" s="405" customFormat="1" ht="9" customHeight="1" x14ac:dyDescent="0.25">
      <c r="A704" s="405" t="s">
        <v>27</v>
      </c>
      <c r="B704" s="386">
        <f>SUM(D704,F704,K704:L704)</f>
        <v>8591644</v>
      </c>
      <c r="C704" s="386"/>
      <c r="D704" s="386">
        <v>5363338</v>
      </c>
      <c r="E704" s="372"/>
      <c r="F704" s="372">
        <f t="shared" si="47"/>
        <v>1275918</v>
      </c>
      <c r="G704" s="393"/>
      <c r="H704" s="372">
        <v>187837</v>
      </c>
      <c r="I704" s="372">
        <v>143522</v>
      </c>
      <c r="J704" s="372">
        <v>944559</v>
      </c>
      <c r="K704" s="372">
        <v>1582121</v>
      </c>
      <c r="L704" s="372">
        <v>370267</v>
      </c>
      <c r="O704" s="407"/>
    </row>
    <row r="705" spans="1:15" s="405" customFormat="1" ht="9" customHeight="1" x14ac:dyDescent="0.25">
      <c r="A705" s="405" t="s">
        <v>283</v>
      </c>
      <c r="B705" s="372">
        <f t="shared" ref="B705:B719" si="48">SUM(D705,F705,K705:L705)</f>
        <v>2257838</v>
      </c>
      <c r="C705" s="372"/>
      <c r="D705" s="372">
        <v>1356677</v>
      </c>
      <c r="E705" s="372"/>
      <c r="F705" s="372">
        <f t="shared" si="47"/>
        <v>364430</v>
      </c>
      <c r="G705" s="393"/>
      <c r="H705" s="372">
        <v>41284</v>
      </c>
      <c r="I705" s="372">
        <v>23444</v>
      </c>
      <c r="J705" s="372">
        <v>299702</v>
      </c>
      <c r="K705" s="372">
        <v>432854</v>
      </c>
      <c r="L705" s="372">
        <v>103877</v>
      </c>
      <c r="O705" s="407"/>
    </row>
    <row r="706" spans="1:15" s="405" customFormat="1" ht="9" customHeight="1" x14ac:dyDescent="0.25">
      <c r="A706" s="405" t="s">
        <v>29</v>
      </c>
      <c r="B706" s="372">
        <f t="shared" si="48"/>
        <v>11801992</v>
      </c>
      <c r="C706" s="372"/>
      <c r="D706" s="372">
        <v>9903629</v>
      </c>
      <c r="E706" s="372"/>
      <c r="F706" s="372">
        <f t="shared" si="47"/>
        <v>884344</v>
      </c>
      <c r="G706" s="373"/>
      <c r="H706" s="372">
        <v>126969</v>
      </c>
      <c r="I706" s="372">
        <v>103327</v>
      </c>
      <c r="J706" s="372">
        <v>654048</v>
      </c>
      <c r="K706" s="372">
        <v>552391</v>
      </c>
      <c r="L706" s="372">
        <v>461628</v>
      </c>
      <c r="O706" s="407"/>
    </row>
    <row r="707" spans="1:15" s="405" customFormat="1" ht="9" customHeight="1" x14ac:dyDescent="0.25">
      <c r="A707" s="406" t="s">
        <v>30</v>
      </c>
      <c r="B707" s="376">
        <f t="shared" si="48"/>
        <v>9782221</v>
      </c>
      <c r="C707" s="376"/>
      <c r="D707" s="376">
        <v>6813154</v>
      </c>
      <c r="E707" s="376"/>
      <c r="F707" s="376">
        <f t="shared" si="47"/>
        <v>1454053</v>
      </c>
      <c r="G707" s="377"/>
      <c r="H707" s="376">
        <v>222580</v>
      </c>
      <c r="I707" s="376">
        <v>148570</v>
      </c>
      <c r="J707" s="376">
        <v>1082903</v>
      </c>
      <c r="K707" s="376">
        <v>1071769</v>
      </c>
      <c r="L707" s="376">
        <v>443245</v>
      </c>
      <c r="O707" s="407"/>
    </row>
    <row r="708" spans="1:15" s="405" customFormat="1" ht="9" customHeight="1" x14ac:dyDescent="0.25">
      <c r="A708" s="405" t="s">
        <v>63</v>
      </c>
      <c r="B708" s="372">
        <f t="shared" si="48"/>
        <v>32033354</v>
      </c>
      <c r="C708" s="372"/>
      <c r="D708" s="372">
        <v>17462255</v>
      </c>
      <c r="E708" s="372"/>
      <c r="F708" s="372">
        <f t="shared" si="47"/>
        <v>9565788</v>
      </c>
      <c r="G708" s="387"/>
      <c r="H708" s="372">
        <v>843921</v>
      </c>
      <c r="I708" s="372">
        <v>659142</v>
      </c>
      <c r="J708" s="372">
        <v>8062725</v>
      </c>
      <c r="K708" s="372">
        <v>3245884</v>
      </c>
      <c r="L708" s="372">
        <v>1759427</v>
      </c>
      <c r="O708" s="407"/>
    </row>
    <row r="709" spans="1:15" s="405" customFormat="1" ht="9" customHeight="1" x14ac:dyDescent="0.25">
      <c r="A709" s="405" t="s">
        <v>284</v>
      </c>
      <c r="B709" s="372">
        <f t="shared" si="48"/>
        <v>5844314</v>
      </c>
      <c r="C709" s="372"/>
      <c r="D709" s="372">
        <v>4120793</v>
      </c>
      <c r="E709" s="372"/>
      <c r="F709" s="372">
        <f t="shared" si="47"/>
        <v>772855</v>
      </c>
      <c r="G709" s="393"/>
      <c r="H709" s="372">
        <v>119226</v>
      </c>
      <c r="I709" s="372">
        <v>89909</v>
      </c>
      <c r="J709" s="372">
        <v>563720</v>
      </c>
      <c r="K709" s="372">
        <v>720997</v>
      </c>
      <c r="L709" s="372">
        <v>229669</v>
      </c>
      <c r="O709" s="407"/>
    </row>
    <row r="710" spans="1:15" s="405" customFormat="1" ht="9" customHeight="1" x14ac:dyDescent="0.25">
      <c r="A710" s="405" t="s">
        <v>32</v>
      </c>
      <c r="B710" s="372">
        <f t="shared" si="48"/>
        <v>14573772</v>
      </c>
      <c r="C710" s="372"/>
      <c r="D710" s="372">
        <v>9788463</v>
      </c>
      <c r="E710" s="372"/>
      <c r="F710" s="372">
        <f t="shared" si="47"/>
        <v>2144775</v>
      </c>
      <c r="G710" s="373"/>
      <c r="H710" s="372">
        <v>288683</v>
      </c>
      <c r="I710" s="372">
        <v>245750</v>
      </c>
      <c r="J710" s="372">
        <v>1610342</v>
      </c>
      <c r="K710" s="372">
        <v>1836687</v>
      </c>
      <c r="L710" s="372">
        <v>803847</v>
      </c>
      <c r="O710" s="407"/>
    </row>
    <row r="711" spans="1:15" s="405" customFormat="1" ht="9" customHeight="1" x14ac:dyDescent="0.25">
      <c r="A711" s="406" t="s">
        <v>33</v>
      </c>
      <c r="B711" s="376">
        <f t="shared" si="48"/>
        <v>10999016</v>
      </c>
      <c r="C711" s="376"/>
      <c r="D711" s="376">
        <v>8624973</v>
      </c>
      <c r="E711" s="376"/>
      <c r="F711" s="376">
        <f t="shared" si="47"/>
        <v>1111135</v>
      </c>
      <c r="G711" s="377"/>
      <c r="H711" s="376">
        <v>181216</v>
      </c>
      <c r="I711" s="376">
        <v>98497</v>
      </c>
      <c r="J711" s="376">
        <v>831422</v>
      </c>
      <c r="K711" s="376">
        <v>617385</v>
      </c>
      <c r="L711" s="376">
        <v>645523</v>
      </c>
      <c r="O711" s="407"/>
    </row>
    <row r="712" spans="1:15" s="405" customFormat="1" ht="9" customHeight="1" x14ac:dyDescent="0.25">
      <c r="A712" s="405" t="s">
        <v>34</v>
      </c>
      <c r="B712" s="372">
        <f t="shared" si="48"/>
        <v>8458386</v>
      </c>
      <c r="C712" s="372"/>
      <c r="D712" s="372">
        <v>6450913</v>
      </c>
      <c r="E712" s="372"/>
      <c r="F712" s="372">
        <f t="shared" si="47"/>
        <v>919616</v>
      </c>
      <c r="G712" s="373"/>
      <c r="H712" s="372">
        <v>160480</v>
      </c>
      <c r="I712" s="372">
        <v>75749</v>
      </c>
      <c r="J712" s="372">
        <v>683387</v>
      </c>
      <c r="K712" s="372">
        <v>616371</v>
      </c>
      <c r="L712" s="372">
        <v>471486</v>
      </c>
      <c r="O712" s="407"/>
    </row>
    <row r="713" spans="1:15" s="405" customFormat="1" ht="9" customHeight="1" x14ac:dyDescent="0.25">
      <c r="A713" s="405" t="s">
        <v>285</v>
      </c>
      <c r="B713" s="372">
        <f t="shared" si="48"/>
        <v>19891382</v>
      </c>
      <c r="C713" s="372"/>
      <c r="D713" s="372">
        <v>11707293</v>
      </c>
      <c r="E713" s="372"/>
      <c r="F713" s="372">
        <f t="shared" si="47"/>
        <v>4024229</v>
      </c>
      <c r="G713" s="393"/>
      <c r="H713" s="372">
        <v>509964</v>
      </c>
      <c r="I713" s="372">
        <v>295200</v>
      </c>
      <c r="J713" s="372">
        <v>3219065</v>
      </c>
      <c r="K713" s="372">
        <v>3146793</v>
      </c>
      <c r="L713" s="372">
        <v>1013067</v>
      </c>
      <c r="O713" s="407"/>
    </row>
    <row r="714" spans="1:15" s="405" customFormat="1" ht="9" customHeight="1" x14ac:dyDescent="0.25">
      <c r="A714" s="405" t="s">
        <v>36</v>
      </c>
      <c r="B714" s="372">
        <f t="shared" si="48"/>
        <v>41562309</v>
      </c>
      <c r="C714" s="372"/>
      <c r="D714" s="372">
        <v>31581695</v>
      </c>
      <c r="E714" s="372"/>
      <c r="F714" s="372">
        <f t="shared" si="47"/>
        <v>4693981</v>
      </c>
      <c r="G714" s="373"/>
      <c r="H714" s="372">
        <v>783976</v>
      </c>
      <c r="I714" s="372">
        <v>526427</v>
      </c>
      <c r="J714" s="372">
        <v>3383578</v>
      </c>
      <c r="K714" s="372">
        <v>3201769</v>
      </c>
      <c r="L714" s="372">
        <v>2084864</v>
      </c>
      <c r="O714" s="407"/>
    </row>
    <row r="715" spans="1:15" s="405" customFormat="1" ht="9" customHeight="1" x14ac:dyDescent="0.25">
      <c r="A715" s="406" t="s">
        <v>37</v>
      </c>
      <c r="B715" s="376">
        <f t="shared" si="48"/>
        <v>11053350</v>
      </c>
      <c r="C715" s="376"/>
      <c r="D715" s="376">
        <v>7826603</v>
      </c>
      <c r="E715" s="376"/>
      <c r="F715" s="376">
        <f t="shared" si="47"/>
        <v>1386199</v>
      </c>
      <c r="G715" s="377"/>
      <c r="H715" s="376">
        <v>238267</v>
      </c>
      <c r="I715" s="376">
        <v>127539</v>
      </c>
      <c r="J715" s="376">
        <v>1020393</v>
      </c>
      <c r="K715" s="376">
        <v>1168606</v>
      </c>
      <c r="L715" s="376">
        <v>671942</v>
      </c>
      <c r="O715" s="407"/>
    </row>
    <row r="716" spans="1:15" s="405" customFormat="1" ht="9" customHeight="1" x14ac:dyDescent="0.25">
      <c r="A716" s="405" t="s">
        <v>38</v>
      </c>
      <c r="B716" s="372">
        <f t="shared" si="48"/>
        <v>5226520</v>
      </c>
      <c r="C716" s="372"/>
      <c r="D716" s="372">
        <v>3449659</v>
      </c>
      <c r="E716" s="372"/>
      <c r="F716" s="372">
        <f t="shared" si="47"/>
        <v>790052</v>
      </c>
      <c r="G716" s="373"/>
      <c r="H716" s="372">
        <v>105046</v>
      </c>
      <c r="I716" s="372">
        <v>62020</v>
      </c>
      <c r="J716" s="372">
        <v>622986</v>
      </c>
      <c r="K716" s="372">
        <v>713710</v>
      </c>
      <c r="L716" s="372">
        <v>273099</v>
      </c>
      <c r="O716" s="407"/>
    </row>
    <row r="717" spans="1:15" s="405" customFormat="1" ht="9" customHeight="1" x14ac:dyDescent="0.25">
      <c r="A717" s="405" t="s">
        <v>39</v>
      </c>
      <c r="B717" s="372">
        <f t="shared" si="48"/>
        <v>3557964</v>
      </c>
      <c r="C717" s="372"/>
      <c r="D717" s="372">
        <v>2455767</v>
      </c>
      <c r="E717" s="372"/>
      <c r="F717" s="372">
        <f t="shared" si="47"/>
        <v>466170</v>
      </c>
      <c r="G717" s="373"/>
      <c r="H717" s="372">
        <v>65267</v>
      </c>
      <c r="I717" s="372">
        <v>42556</v>
      </c>
      <c r="J717" s="372">
        <v>358347</v>
      </c>
      <c r="K717" s="372">
        <v>452493</v>
      </c>
      <c r="L717" s="372">
        <v>183534</v>
      </c>
      <c r="O717" s="407"/>
    </row>
    <row r="718" spans="1:15" s="405" customFormat="1" ht="9" customHeight="1" x14ac:dyDescent="0.25">
      <c r="A718" s="405" t="s">
        <v>286</v>
      </c>
      <c r="B718" s="372">
        <f t="shared" si="48"/>
        <v>13244353</v>
      </c>
      <c r="C718" s="372"/>
      <c r="D718" s="372">
        <v>8354636</v>
      </c>
      <c r="E718" s="372"/>
      <c r="F718" s="372">
        <f t="shared" si="47"/>
        <v>2551927</v>
      </c>
      <c r="G718" s="393"/>
      <c r="H718" s="372">
        <v>364342</v>
      </c>
      <c r="I718" s="372">
        <v>254353</v>
      </c>
      <c r="J718" s="372">
        <v>1933232</v>
      </c>
      <c r="K718" s="372">
        <v>1793344</v>
      </c>
      <c r="L718" s="372">
        <v>544446</v>
      </c>
      <c r="O718" s="407"/>
    </row>
    <row r="719" spans="1:15" s="405" customFormat="1" ht="9" customHeight="1" x14ac:dyDescent="0.25">
      <c r="A719" s="406" t="s">
        <v>41</v>
      </c>
      <c r="B719" s="376">
        <f t="shared" si="48"/>
        <v>10479131</v>
      </c>
      <c r="C719" s="376"/>
      <c r="D719" s="376">
        <v>8134479</v>
      </c>
      <c r="E719" s="376"/>
      <c r="F719" s="376">
        <f t="shared" si="47"/>
        <v>1025021</v>
      </c>
      <c r="G719" s="377"/>
      <c r="H719" s="376">
        <v>157246</v>
      </c>
      <c r="I719" s="376">
        <v>121465</v>
      </c>
      <c r="J719" s="376">
        <v>746310</v>
      </c>
      <c r="K719" s="376">
        <v>723700</v>
      </c>
      <c r="L719" s="376">
        <v>595931</v>
      </c>
      <c r="O719" s="407"/>
    </row>
    <row r="720" spans="1:15" s="405" customFormat="1" ht="9" customHeight="1" x14ac:dyDescent="0.25">
      <c r="A720" s="405" t="s">
        <v>42</v>
      </c>
      <c r="B720" s="372">
        <f>SUM(D720,F720,K720:L720)</f>
        <v>15340147</v>
      </c>
      <c r="C720" s="372"/>
      <c r="D720" s="372">
        <v>10682123</v>
      </c>
      <c r="E720" s="372"/>
      <c r="F720" s="372">
        <f t="shared" si="47"/>
        <v>2185288</v>
      </c>
      <c r="G720" s="387"/>
      <c r="H720" s="372">
        <v>276265</v>
      </c>
      <c r="I720" s="372">
        <v>272527</v>
      </c>
      <c r="J720" s="372">
        <v>1636496</v>
      </c>
      <c r="K720" s="372">
        <v>1387881</v>
      </c>
      <c r="L720" s="372">
        <v>1084855</v>
      </c>
      <c r="O720" s="407"/>
    </row>
    <row r="721" spans="1:15" s="405" customFormat="1" ht="9" customHeight="1" x14ac:dyDescent="0.25">
      <c r="A721" s="405" t="s">
        <v>43</v>
      </c>
      <c r="B721" s="372">
        <f>SUM(D721,F721,K721:L721)</f>
        <v>4942955</v>
      </c>
      <c r="C721" s="372"/>
      <c r="D721" s="372">
        <v>3397814</v>
      </c>
      <c r="E721" s="372"/>
      <c r="F721" s="372">
        <f t="shared" si="47"/>
        <v>714381</v>
      </c>
      <c r="G721" s="373"/>
      <c r="H721" s="372">
        <v>77169</v>
      </c>
      <c r="I721" s="372">
        <v>51623</v>
      </c>
      <c r="J721" s="372">
        <v>585589</v>
      </c>
      <c r="K721" s="372">
        <v>507360</v>
      </c>
      <c r="L721" s="372">
        <v>323400</v>
      </c>
      <c r="O721" s="407"/>
    </row>
    <row r="722" spans="1:15" s="405" customFormat="1" ht="9" customHeight="1" x14ac:dyDescent="0.25">
      <c r="A722" s="405" t="s">
        <v>44</v>
      </c>
      <c r="B722" s="372">
        <f>SUM(D722,F722,K722:L722)</f>
        <v>3534539</v>
      </c>
      <c r="C722" s="372"/>
      <c r="D722" s="372">
        <v>2373524</v>
      </c>
      <c r="E722" s="372"/>
      <c r="F722" s="372">
        <f t="shared" si="47"/>
        <v>538015</v>
      </c>
      <c r="G722" s="373"/>
      <c r="H722" s="372">
        <v>92317</v>
      </c>
      <c r="I722" s="372">
        <v>43825</v>
      </c>
      <c r="J722" s="372">
        <v>401873</v>
      </c>
      <c r="K722" s="372">
        <v>408194</v>
      </c>
      <c r="L722" s="372">
        <v>214806</v>
      </c>
      <c r="O722" s="407"/>
    </row>
    <row r="723" spans="1:15" s="405" customFormat="1" ht="9" customHeight="1" x14ac:dyDescent="0.25">
      <c r="A723" s="406" t="s">
        <v>45</v>
      </c>
      <c r="B723" s="376">
        <f>SUM(D723,F723,K723:L723)</f>
        <v>7837825</v>
      </c>
      <c r="C723" s="376"/>
      <c r="D723" s="376">
        <v>5330864</v>
      </c>
      <c r="E723" s="376"/>
      <c r="F723" s="376">
        <f t="shared" si="47"/>
        <v>1154033</v>
      </c>
      <c r="G723" s="377"/>
      <c r="H723" s="376">
        <v>154452</v>
      </c>
      <c r="I723" s="376">
        <v>96106</v>
      </c>
      <c r="J723" s="376">
        <v>903475</v>
      </c>
      <c r="K723" s="376">
        <v>785273</v>
      </c>
      <c r="L723" s="376">
        <v>567655</v>
      </c>
      <c r="O723" s="407"/>
    </row>
    <row r="724" spans="1:15" s="405" customFormat="1" ht="9" customHeight="1" x14ac:dyDescent="0.25">
      <c r="A724" s="405" t="s">
        <v>46</v>
      </c>
      <c r="B724" s="372">
        <f>SUM(D724,F724,K724:L724)</f>
        <v>9954790</v>
      </c>
      <c r="C724" s="372"/>
      <c r="D724" s="372">
        <v>6684087</v>
      </c>
      <c r="E724" s="372"/>
      <c r="F724" s="372">
        <f t="shared" si="47"/>
        <v>1508690</v>
      </c>
      <c r="G724" s="373"/>
      <c r="H724" s="372">
        <v>188957</v>
      </c>
      <c r="I724" s="372">
        <v>195676</v>
      </c>
      <c r="J724" s="372">
        <v>1124057</v>
      </c>
      <c r="K724" s="372">
        <v>1200835</v>
      </c>
      <c r="L724" s="372">
        <v>561178</v>
      </c>
      <c r="O724" s="407"/>
    </row>
    <row r="725" spans="1:15" s="405" customFormat="1" ht="9" customHeight="1" x14ac:dyDescent="0.25">
      <c r="A725" s="405" t="s">
        <v>288</v>
      </c>
      <c r="B725" s="372">
        <f t="shared" ref="B725:B731" si="49">SUM(D725,F725,K725:L725)</f>
        <v>9070316</v>
      </c>
      <c r="C725" s="372"/>
      <c r="D725" s="372">
        <v>5713989</v>
      </c>
      <c r="E725" s="372"/>
      <c r="F725" s="372">
        <f t="shared" si="47"/>
        <v>1572386</v>
      </c>
      <c r="G725" s="387"/>
      <c r="H725" s="372">
        <v>226852</v>
      </c>
      <c r="I725" s="372">
        <v>149907</v>
      </c>
      <c r="J725" s="372">
        <v>1195627</v>
      </c>
      <c r="K725" s="372">
        <v>1282521</v>
      </c>
      <c r="L725" s="372">
        <v>501420</v>
      </c>
      <c r="O725" s="407"/>
    </row>
    <row r="726" spans="1:15" s="405" customFormat="1" ht="9" customHeight="1" x14ac:dyDescent="0.25">
      <c r="A726" s="405" t="s">
        <v>48</v>
      </c>
      <c r="B726" s="372">
        <f t="shared" si="49"/>
        <v>7586360</v>
      </c>
      <c r="C726" s="372"/>
      <c r="D726" s="372">
        <v>5158648</v>
      </c>
      <c r="E726" s="372"/>
      <c r="F726" s="372">
        <f t="shared" si="47"/>
        <v>1147224</v>
      </c>
      <c r="G726" s="387"/>
      <c r="H726" s="372">
        <v>131254</v>
      </c>
      <c r="I726" s="372">
        <v>126303</v>
      </c>
      <c r="J726" s="372">
        <v>889667</v>
      </c>
      <c r="K726" s="372">
        <v>896236</v>
      </c>
      <c r="L726" s="372">
        <v>384252</v>
      </c>
      <c r="O726" s="407"/>
    </row>
    <row r="727" spans="1:15" s="405" customFormat="1" ht="9" customHeight="1" x14ac:dyDescent="0.25">
      <c r="A727" s="406" t="s">
        <v>49</v>
      </c>
      <c r="B727" s="376">
        <f t="shared" si="49"/>
        <v>10644115</v>
      </c>
      <c r="C727" s="376"/>
      <c r="D727" s="376">
        <v>7211152</v>
      </c>
      <c r="E727" s="376"/>
      <c r="F727" s="376">
        <f t="shared" si="47"/>
        <v>1797062</v>
      </c>
      <c r="G727" s="377"/>
      <c r="H727" s="376">
        <v>235682</v>
      </c>
      <c r="I727" s="376">
        <v>197764</v>
      </c>
      <c r="J727" s="376">
        <v>1363616</v>
      </c>
      <c r="K727" s="376">
        <v>1020124</v>
      </c>
      <c r="L727" s="376">
        <v>615777</v>
      </c>
      <c r="O727" s="407"/>
    </row>
    <row r="728" spans="1:15" s="405" customFormat="1" ht="9" customHeight="1" x14ac:dyDescent="0.25">
      <c r="A728" s="405" t="s">
        <v>50</v>
      </c>
      <c r="B728" s="372">
        <f t="shared" si="49"/>
        <v>3812692</v>
      </c>
      <c r="C728" s="372"/>
      <c r="D728" s="372">
        <v>2737654</v>
      </c>
      <c r="E728" s="372"/>
      <c r="F728" s="372">
        <f t="shared" si="47"/>
        <v>430756</v>
      </c>
      <c r="G728" s="373"/>
      <c r="H728" s="372">
        <v>60632</v>
      </c>
      <c r="I728" s="372">
        <v>46965</v>
      </c>
      <c r="J728" s="372">
        <v>323159</v>
      </c>
      <c r="K728" s="372">
        <v>335690</v>
      </c>
      <c r="L728" s="372">
        <v>308592</v>
      </c>
      <c r="O728" s="407"/>
    </row>
    <row r="729" spans="1:15" s="405" customFormat="1" ht="9" customHeight="1" x14ac:dyDescent="0.25">
      <c r="A729" s="405" t="s">
        <v>51</v>
      </c>
      <c r="B729" s="372">
        <f t="shared" si="49"/>
        <v>19477755</v>
      </c>
      <c r="C729" s="372"/>
      <c r="D729" s="372">
        <v>13428735</v>
      </c>
      <c r="E729" s="372"/>
      <c r="F729" s="372">
        <f t="shared" si="47"/>
        <v>2634261</v>
      </c>
      <c r="G729" s="373"/>
      <c r="H729" s="372">
        <v>356104</v>
      </c>
      <c r="I729" s="372">
        <v>266144</v>
      </c>
      <c r="J729" s="372">
        <v>2012013</v>
      </c>
      <c r="K729" s="372">
        <v>2274728</v>
      </c>
      <c r="L729" s="372">
        <v>1140031</v>
      </c>
      <c r="O729" s="407"/>
    </row>
    <row r="730" spans="1:15" s="405" customFormat="1" ht="9" customHeight="1" x14ac:dyDescent="0.25">
      <c r="A730" s="405" t="s">
        <v>52</v>
      </c>
      <c r="B730" s="372">
        <f t="shared" si="49"/>
        <v>7214532</v>
      </c>
      <c r="C730" s="372"/>
      <c r="D730" s="372">
        <v>5301112</v>
      </c>
      <c r="E730" s="372"/>
      <c r="F730" s="372">
        <f t="shared" si="47"/>
        <v>1070453</v>
      </c>
      <c r="G730" s="373"/>
      <c r="H730" s="372">
        <v>140252</v>
      </c>
      <c r="I730" s="372">
        <v>56069</v>
      </c>
      <c r="J730" s="372">
        <v>874132</v>
      </c>
      <c r="K730" s="372">
        <v>543620</v>
      </c>
      <c r="L730" s="372">
        <v>299347</v>
      </c>
      <c r="O730" s="407"/>
    </row>
    <row r="731" spans="1:15" s="405" customFormat="1" ht="9" customHeight="1" x14ac:dyDescent="0.25">
      <c r="A731" s="406" t="s">
        <v>53</v>
      </c>
      <c r="B731" s="376">
        <f t="shared" si="49"/>
        <v>4707396</v>
      </c>
      <c r="C731" s="376"/>
      <c r="D731" s="376">
        <v>3311256</v>
      </c>
      <c r="E731" s="376"/>
      <c r="F731" s="376">
        <f t="shared" si="47"/>
        <v>502238</v>
      </c>
      <c r="G731" s="377"/>
      <c r="H731" s="376">
        <v>79563</v>
      </c>
      <c r="I731" s="376">
        <v>53826</v>
      </c>
      <c r="J731" s="376">
        <v>368849</v>
      </c>
      <c r="K731" s="376">
        <v>645386</v>
      </c>
      <c r="L731" s="376">
        <v>248516</v>
      </c>
      <c r="O731" s="407"/>
    </row>
    <row r="732" spans="1:15" s="366" customFormat="1" ht="9" customHeight="1" x14ac:dyDescent="0.25">
      <c r="A732" s="398"/>
      <c r="B732" s="381"/>
      <c r="C732" s="381"/>
      <c r="D732" s="381"/>
      <c r="E732" s="368"/>
      <c r="F732" s="381"/>
      <c r="G732" s="382"/>
      <c r="H732" s="368"/>
      <c r="I732" s="368"/>
      <c r="J732" s="368"/>
      <c r="K732" s="368"/>
      <c r="L732" s="368"/>
      <c r="M732" s="399"/>
      <c r="O732" s="372"/>
    </row>
    <row r="733" spans="1:15" s="405" customFormat="1" ht="9" customHeight="1" x14ac:dyDescent="0.25">
      <c r="A733" s="400">
        <v>2015</v>
      </c>
      <c r="B733" s="401"/>
      <c r="C733" s="401"/>
      <c r="D733" s="402"/>
      <c r="E733" s="402"/>
      <c r="F733" s="403"/>
      <c r="G733" s="404"/>
      <c r="H733" s="402"/>
      <c r="I733" s="402"/>
      <c r="J733" s="401"/>
      <c r="K733" s="402"/>
    </row>
    <row r="734" spans="1:15" s="399" customFormat="1" ht="9" customHeight="1" x14ac:dyDescent="0.25">
      <c r="A734" s="398" t="s">
        <v>21</v>
      </c>
      <c r="B734" s="368">
        <f>SUM(B736:B767)</f>
        <v>324754054</v>
      </c>
      <c r="C734" s="381"/>
      <c r="D734" s="368">
        <f>SUM(D736:D767)</f>
        <v>218903706</v>
      </c>
      <c r="E734" s="368"/>
      <c r="F734" s="368">
        <f>SUM(F736:F767)</f>
        <v>51026175</v>
      </c>
      <c r="G734" s="368"/>
      <c r="H734" s="368">
        <f t="shared" ref="H734:J734" si="50">SUM(H736:H767)</f>
        <v>6613177</v>
      </c>
      <c r="I734" s="368">
        <f t="shared" si="50"/>
        <v>4542526</v>
      </c>
      <c r="J734" s="368">
        <f t="shared" si="50"/>
        <v>39870472</v>
      </c>
      <c r="K734" s="368">
        <f>SUM(K736:K767)</f>
        <v>37471913</v>
      </c>
      <c r="L734" s="368">
        <f>SUM(L736:L767)</f>
        <v>17075578</v>
      </c>
    </row>
    <row r="735" spans="1:15" s="399" customFormat="1" ht="3.95" customHeight="1" x14ac:dyDescent="0.25">
      <c r="A735" s="398"/>
      <c r="B735" s="381"/>
      <c r="C735" s="381"/>
      <c r="D735" s="381"/>
      <c r="E735" s="368"/>
      <c r="F735" s="381"/>
      <c r="G735" s="382"/>
      <c r="H735" s="368"/>
      <c r="I735" s="368"/>
      <c r="J735" s="368"/>
      <c r="K735" s="368"/>
      <c r="L735" s="368"/>
    </row>
    <row r="736" spans="1:15" s="405" customFormat="1" ht="9.6" customHeight="1" x14ac:dyDescent="0.25">
      <c r="A736" s="405" t="s">
        <v>280</v>
      </c>
      <c r="B736" s="386">
        <f>SUM(D736,F736,K736:L736)</f>
        <v>4057408</v>
      </c>
      <c r="C736" s="386"/>
      <c r="D736" s="386">
        <v>2688611</v>
      </c>
      <c r="E736" s="372"/>
      <c r="F736" s="372">
        <f>SUM(H736:J736)</f>
        <v>585390</v>
      </c>
      <c r="G736" s="372"/>
      <c r="H736" s="408">
        <v>67072</v>
      </c>
      <c r="I736" s="409">
        <v>55394</v>
      </c>
      <c r="J736" s="409">
        <v>462924</v>
      </c>
      <c r="K736" s="372">
        <v>600966</v>
      </c>
      <c r="L736" s="372">
        <v>182441</v>
      </c>
      <c r="O736" s="407"/>
    </row>
    <row r="737" spans="1:15" s="405" customFormat="1" ht="9" customHeight="1" x14ac:dyDescent="0.25">
      <c r="A737" s="405" t="s">
        <v>293</v>
      </c>
      <c r="B737" s="386">
        <f>SUM(D737,F737,K737:L737)+319516</f>
        <v>8605692</v>
      </c>
      <c r="C737" s="386"/>
      <c r="D737" s="386">
        <v>5024399</v>
      </c>
      <c r="E737" s="372"/>
      <c r="F737" s="372">
        <f t="shared" ref="F737:F767" si="51">SUM(H737:J737)</f>
        <v>1436771</v>
      </c>
      <c r="G737" s="373"/>
      <c r="H737" s="408">
        <v>173348</v>
      </c>
      <c r="I737" s="409">
        <v>129741</v>
      </c>
      <c r="J737" s="409">
        <v>1133682</v>
      </c>
      <c r="K737" s="372">
        <v>1348205</v>
      </c>
      <c r="L737" s="372">
        <v>476801</v>
      </c>
      <c r="O737" s="407"/>
    </row>
    <row r="738" spans="1:15" s="405" customFormat="1" ht="9" customHeight="1" x14ac:dyDescent="0.25">
      <c r="A738" s="405" t="s">
        <v>25</v>
      </c>
      <c r="B738" s="386">
        <f t="shared" ref="B738:B767" si="52">SUM(D738,F738,K738:L738)</f>
        <v>2359462</v>
      </c>
      <c r="C738" s="386"/>
      <c r="D738" s="386">
        <v>1471776</v>
      </c>
      <c r="E738" s="372"/>
      <c r="F738" s="372">
        <f t="shared" si="51"/>
        <v>421052</v>
      </c>
      <c r="G738" s="373"/>
      <c r="H738" s="408">
        <v>55994</v>
      </c>
      <c r="I738" s="409">
        <v>31905</v>
      </c>
      <c r="J738" s="409">
        <v>333153</v>
      </c>
      <c r="K738" s="372">
        <v>345728</v>
      </c>
      <c r="L738" s="372">
        <v>120906</v>
      </c>
      <c r="O738" s="407"/>
    </row>
    <row r="739" spans="1:15" s="405" customFormat="1" ht="9.6" customHeight="1" x14ac:dyDescent="0.25">
      <c r="A739" s="406" t="s">
        <v>281</v>
      </c>
      <c r="B739" s="388">
        <f t="shared" si="52"/>
        <v>2740234</v>
      </c>
      <c r="C739" s="388"/>
      <c r="D739" s="388">
        <v>1823123</v>
      </c>
      <c r="E739" s="376"/>
      <c r="F739" s="376">
        <f t="shared" si="51"/>
        <v>420915</v>
      </c>
      <c r="G739" s="394"/>
      <c r="H739" s="410">
        <v>63199</v>
      </c>
      <c r="I739" s="411">
        <v>42487</v>
      </c>
      <c r="J739" s="411">
        <v>315229</v>
      </c>
      <c r="K739" s="376">
        <v>369202</v>
      </c>
      <c r="L739" s="376">
        <v>126994</v>
      </c>
      <c r="O739" s="407"/>
    </row>
    <row r="740" spans="1:15" s="405" customFormat="1" ht="9.6" customHeight="1" x14ac:dyDescent="0.25">
      <c r="A740" s="405" t="s">
        <v>27</v>
      </c>
      <c r="B740" s="386">
        <f t="shared" si="52"/>
        <v>8208856</v>
      </c>
      <c r="C740" s="386"/>
      <c r="D740" s="386">
        <v>5209334</v>
      </c>
      <c r="E740" s="372"/>
      <c r="F740" s="372">
        <f t="shared" si="51"/>
        <v>1282344</v>
      </c>
      <c r="G740" s="393"/>
      <c r="H740" s="408">
        <v>190527</v>
      </c>
      <c r="I740" s="409">
        <v>142018</v>
      </c>
      <c r="J740" s="409">
        <v>949799</v>
      </c>
      <c r="K740" s="372">
        <v>1355258</v>
      </c>
      <c r="L740" s="372">
        <v>361920</v>
      </c>
      <c r="O740" s="407"/>
    </row>
    <row r="741" spans="1:15" s="405" customFormat="1" ht="9.6" customHeight="1" x14ac:dyDescent="0.25">
      <c r="A741" s="405" t="s">
        <v>283</v>
      </c>
      <c r="B741" s="372">
        <f t="shared" si="52"/>
        <v>2230770</v>
      </c>
      <c r="C741" s="372"/>
      <c r="D741" s="372">
        <v>1335279</v>
      </c>
      <c r="E741" s="372"/>
      <c r="F741" s="372">
        <f t="shared" si="51"/>
        <v>345297</v>
      </c>
      <c r="G741" s="393"/>
      <c r="H741" s="409">
        <v>37857</v>
      </c>
      <c r="I741" s="409">
        <v>20388</v>
      </c>
      <c r="J741" s="409">
        <v>287052</v>
      </c>
      <c r="K741" s="372">
        <v>452191</v>
      </c>
      <c r="L741" s="372">
        <v>98003</v>
      </c>
      <c r="O741" s="407"/>
    </row>
    <row r="742" spans="1:15" s="405" customFormat="1" ht="9" customHeight="1" x14ac:dyDescent="0.25">
      <c r="A742" s="405" t="s">
        <v>29</v>
      </c>
      <c r="B742" s="372">
        <f t="shared" si="52"/>
        <v>12592631</v>
      </c>
      <c r="C742" s="372"/>
      <c r="D742" s="372">
        <v>10121370</v>
      </c>
      <c r="E742" s="372"/>
      <c r="F742" s="372">
        <f t="shared" si="51"/>
        <v>963105</v>
      </c>
      <c r="G742" s="373"/>
      <c r="H742" s="409">
        <v>131847</v>
      </c>
      <c r="I742" s="409">
        <v>108495</v>
      </c>
      <c r="J742" s="409">
        <v>722763</v>
      </c>
      <c r="K742" s="372">
        <v>1019850</v>
      </c>
      <c r="L742" s="372">
        <v>488306</v>
      </c>
      <c r="O742" s="407"/>
    </row>
    <row r="743" spans="1:15" s="405" customFormat="1" ht="9" customHeight="1" x14ac:dyDescent="0.25">
      <c r="A743" s="406" t="s">
        <v>30</v>
      </c>
      <c r="B743" s="376">
        <f t="shared" si="52"/>
        <v>9708241</v>
      </c>
      <c r="C743" s="376"/>
      <c r="D743" s="376">
        <v>6543697</v>
      </c>
      <c r="E743" s="376"/>
      <c r="F743" s="376">
        <f t="shared" si="51"/>
        <v>1513784</v>
      </c>
      <c r="G743" s="377"/>
      <c r="H743" s="411">
        <v>239899</v>
      </c>
      <c r="I743" s="411">
        <v>143702</v>
      </c>
      <c r="J743" s="411">
        <v>1130183</v>
      </c>
      <c r="K743" s="376">
        <v>1209977</v>
      </c>
      <c r="L743" s="376">
        <v>440783</v>
      </c>
      <c r="O743" s="407"/>
    </row>
    <row r="744" spans="1:15" s="405" customFormat="1" ht="9.6" customHeight="1" x14ac:dyDescent="0.25">
      <c r="A744" s="405" t="s">
        <v>63</v>
      </c>
      <c r="B744" s="372">
        <f t="shared" si="52"/>
        <v>31540940</v>
      </c>
      <c r="C744" s="372"/>
      <c r="D744" s="372">
        <v>17079737</v>
      </c>
      <c r="E744" s="372"/>
      <c r="F744" s="372">
        <f t="shared" si="51"/>
        <v>9292141</v>
      </c>
      <c r="G744" s="387"/>
      <c r="H744" s="409">
        <v>748720</v>
      </c>
      <c r="I744" s="409">
        <v>526571</v>
      </c>
      <c r="J744" s="409">
        <v>8016850</v>
      </c>
      <c r="K744" s="372">
        <v>3553246</v>
      </c>
      <c r="L744" s="372">
        <v>1615816</v>
      </c>
      <c r="O744" s="407"/>
    </row>
    <row r="745" spans="1:15" s="405" customFormat="1" ht="9.6" customHeight="1" x14ac:dyDescent="0.25">
      <c r="A745" s="405" t="s">
        <v>284</v>
      </c>
      <c r="B745" s="372">
        <f t="shared" si="52"/>
        <v>5822000</v>
      </c>
      <c r="C745" s="372"/>
      <c r="D745" s="372">
        <v>4047828</v>
      </c>
      <c r="E745" s="372"/>
      <c r="F745" s="372">
        <f t="shared" si="51"/>
        <v>768048</v>
      </c>
      <c r="G745" s="393"/>
      <c r="H745" s="409">
        <v>119599</v>
      </c>
      <c r="I745" s="409">
        <v>89675</v>
      </c>
      <c r="J745" s="409">
        <v>558774</v>
      </c>
      <c r="K745" s="372">
        <v>782874</v>
      </c>
      <c r="L745" s="372">
        <v>223250</v>
      </c>
      <c r="O745" s="407"/>
    </row>
    <row r="746" spans="1:15" s="405" customFormat="1" ht="9" customHeight="1" x14ac:dyDescent="0.25">
      <c r="A746" s="405" t="s">
        <v>32</v>
      </c>
      <c r="B746" s="372">
        <f t="shared" si="52"/>
        <v>14297663</v>
      </c>
      <c r="C746" s="372"/>
      <c r="D746" s="372">
        <v>9370717</v>
      </c>
      <c r="E746" s="372"/>
      <c r="F746" s="372">
        <f t="shared" si="51"/>
        <v>2211486</v>
      </c>
      <c r="G746" s="373"/>
      <c r="H746" s="409">
        <v>285284</v>
      </c>
      <c r="I746" s="409">
        <v>262249</v>
      </c>
      <c r="J746" s="409">
        <v>1663953</v>
      </c>
      <c r="K746" s="372">
        <v>1929012</v>
      </c>
      <c r="L746" s="372">
        <v>786448</v>
      </c>
      <c r="O746" s="407"/>
    </row>
    <row r="747" spans="1:15" s="405" customFormat="1" ht="9" customHeight="1" x14ac:dyDescent="0.25">
      <c r="A747" s="406" t="s">
        <v>33</v>
      </c>
      <c r="B747" s="376">
        <f t="shared" si="52"/>
        <v>11212404</v>
      </c>
      <c r="C747" s="376"/>
      <c r="D747" s="376">
        <v>8743535</v>
      </c>
      <c r="E747" s="376"/>
      <c r="F747" s="376">
        <f t="shared" si="51"/>
        <v>1105783</v>
      </c>
      <c r="G747" s="377"/>
      <c r="H747" s="411">
        <v>175423</v>
      </c>
      <c r="I747" s="411">
        <v>93931</v>
      </c>
      <c r="J747" s="411">
        <v>836429</v>
      </c>
      <c r="K747" s="376">
        <v>698935</v>
      </c>
      <c r="L747" s="376">
        <v>664151</v>
      </c>
      <c r="O747" s="407"/>
    </row>
    <row r="748" spans="1:15" s="405" customFormat="1" ht="9" customHeight="1" x14ac:dyDescent="0.25">
      <c r="A748" s="405" t="s">
        <v>34</v>
      </c>
      <c r="B748" s="372">
        <f t="shared" si="52"/>
        <v>8284546</v>
      </c>
      <c r="C748" s="372"/>
      <c r="D748" s="372">
        <v>6243107</v>
      </c>
      <c r="E748" s="372"/>
      <c r="F748" s="372">
        <f t="shared" si="51"/>
        <v>918111</v>
      </c>
      <c r="G748" s="373"/>
      <c r="H748" s="409">
        <v>157982</v>
      </c>
      <c r="I748" s="409">
        <v>71275</v>
      </c>
      <c r="J748" s="409">
        <v>688854</v>
      </c>
      <c r="K748" s="372">
        <v>655007</v>
      </c>
      <c r="L748" s="372">
        <v>468321</v>
      </c>
      <c r="O748" s="407"/>
    </row>
    <row r="749" spans="1:15" s="405" customFormat="1" ht="9.6" customHeight="1" x14ac:dyDescent="0.25">
      <c r="A749" s="405" t="s">
        <v>285</v>
      </c>
      <c r="B749" s="372">
        <f t="shared" si="52"/>
        <v>19682217</v>
      </c>
      <c r="C749" s="372"/>
      <c r="D749" s="372">
        <v>11627399</v>
      </c>
      <c r="E749" s="372"/>
      <c r="F749" s="372">
        <f t="shared" si="51"/>
        <v>3907440</v>
      </c>
      <c r="G749" s="393"/>
      <c r="H749" s="409">
        <v>488861</v>
      </c>
      <c r="I749" s="409">
        <v>271465</v>
      </c>
      <c r="J749" s="409">
        <v>3147114</v>
      </c>
      <c r="K749" s="372">
        <v>3135304</v>
      </c>
      <c r="L749" s="372">
        <v>1012074</v>
      </c>
      <c r="O749" s="407"/>
    </row>
    <row r="750" spans="1:15" s="405" customFormat="1" ht="9" customHeight="1" x14ac:dyDescent="0.25">
      <c r="A750" s="405" t="s">
        <v>36</v>
      </c>
      <c r="B750" s="372">
        <f t="shared" si="52"/>
        <v>42573368</v>
      </c>
      <c r="C750" s="372"/>
      <c r="D750" s="372">
        <v>32340281</v>
      </c>
      <c r="E750" s="372"/>
      <c r="F750" s="372">
        <f t="shared" si="51"/>
        <v>4944154</v>
      </c>
      <c r="G750" s="373"/>
      <c r="H750" s="409">
        <v>815313</v>
      </c>
      <c r="I750" s="409">
        <v>532413</v>
      </c>
      <c r="J750" s="409">
        <v>3596428</v>
      </c>
      <c r="K750" s="372">
        <v>3227650</v>
      </c>
      <c r="L750" s="372">
        <v>2061283</v>
      </c>
      <c r="O750" s="407"/>
    </row>
    <row r="751" spans="1:15" s="405" customFormat="1" ht="9" customHeight="1" x14ac:dyDescent="0.25">
      <c r="A751" s="406" t="s">
        <v>37</v>
      </c>
      <c r="B751" s="376">
        <f t="shared" si="52"/>
        <v>10967759</v>
      </c>
      <c r="C751" s="376"/>
      <c r="D751" s="376">
        <v>7567136</v>
      </c>
      <c r="E751" s="376"/>
      <c r="F751" s="376">
        <f t="shared" si="51"/>
        <v>1431921</v>
      </c>
      <c r="G751" s="377"/>
      <c r="H751" s="411">
        <v>233543</v>
      </c>
      <c r="I751" s="411">
        <v>124476</v>
      </c>
      <c r="J751" s="411">
        <v>1073902</v>
      </c>
      <c r="K751" s="376">
        <v>1248730</v>
      </c>
      <c r="L751" s="376">
        <v>719972</v>
      </c>
      <c r="O751" s="407"/>
    </row>
    <row r="752" spans="1:15" s="405" customFormat="1" ht="9" customHeight="1" x14ac:dyDescent="0.25">
      <c r="A752" s="405" t="s">
        <v>38</v>
      </c>
      <c r="B752" s="372">
        <f t="shared" si="52"/>
        <v>5422200</v>
      </c>
      <c r="C752" s="372"/>
      <c r="D752" s="372">
        <v>3571745</v>
      </c>
      <c r="E752" s="372"/>
      <c r="F752" s="372">
        <f t="shared" si="51"/>
        <v>817794</v>
      </c>
      <c r="G752" s="373"/>
      <c r="H752" s="409">
        <v>102591</v>
      </c>
      <c r="I752" s="409">
        <v>67946</v>
      </c>
      <c r="J752" s="409">
        <v>647257</v>
      </c>
      <c r="K752" s="372">
        <v>744952</v>
      </c>
      <c r="L752" s="372">
        <v>287709</v>
      </c>
      <c r="O752" s="407"/>
    </row>
    <row r="753" spans="1:15" s="405" customFormat="1" ht="9.6" customHeight="1" x14ac:dyDescent="0.25">
      <c r="A753" s="405" t="s">
        <v>39</v>
      </c>
      <c r="B753" s="372">
        <f t="shared" si="52"/>
        <v>3469230</v>
      </c>
      <c r="C753" s="372"/>
      <c r="D753" s="372">
        <v>2327736</v>
      </c>
      <c r="E753" s="372"/>
      <c r="F753" s="372">
        <f t="shared" si="51"/>
        <v>455314</v>
      </c>
      <c r="G753" s="373"/>
      <c r="H753" s="409">
        <v>60899</v>
      </c>
      <c r="I753" s="409">
        <v>38027</v>
      </c>
      <c r="J753" s="409">
        <v>356388</v>
      </c>
      <c r="K753" s="372">
        <v>507487</v>
      </c>
      <c r="L753" s="372">
        <v>178693</v>
      </c>
      <c r="O753" s="407"/>
    </row>
    <row r="754" spans="1:15" s="405" customFormat="1" ht="9.6" customHeight="1" x14ac:dyDescent="0.25">
      <c r="A754" s="405" t="s">
        <v>295</v>
      </c>
      <c r="B754" s="372">
        <f>SUM(D754,F754,K754:L754)+11748</f>
        <v>12885344</v>
      </c>
      <c r="C754" s="372"/>
      <c r="D754" s="372">
        <v>8134267</v>
      </c>
      <c r="E754" s="372"/>
      <c r="F754" s="372">
        <f t="shared" si="51"/>
        <v>2406296</v>
      </c>
      <c r="G754" s="393"/>
      <c r="H754" s="409">
        <v>327682</v>
      </c>
      <c r="I754" s="409">
        <v>214185</v>
      </c>
      <c r="J754" s="409">
        <v>1864429</v>
      </c>
      <c r="K754" s="372">
        <v>1801144</v>
      </c>
      <c r="L754" s="372">
        <v>531889</v>
      </c>
      <c r="O754" s="407"/>
    </row>
    <row r="755" spans="1:15" s="405" customFormat="1" ht="9" customHeight="1" x14ac:dyDescent="0.25">
      <c r="A755" s="406" t="s">
        <v>41</v>
      </c>
      <c r="B755" s="376">
        <f t="shared" si="52"/>
        <v>9293755</v>
      </c>
      <c r="C755" s="376"/>
      <c r="D755" s="376">
        <v>7051197</v>
      </c>
      <c r="E755" s="376"/>
      <c r="F755" s="376">
        <f t="shared" si="51"/>
        <v>956310</v>
      </c>
      <c r="G755" s="377"/>
      <c r="H755" s="411">
        <v>148721</v>
      </c>
      <c r="I755" s="411">
        <v>107619</v>
      </c>
      <c r="J755" s="411">
        <v>699970</v>
      </c>
      <c r="K755" s="376">
        <v>753806</v>
      </c>
      <c r="L755" s="376">
        <v>532442</v>
      </c>
      <c r="O755" s="407"/>
    </row>
    <row r="756" spans="1:15" s="405" customFormat="1" ht="9.6" customHeight="1" x14ac:dyDescent="0.25">
      <c r="A756" s="405" t="s">
        <v>296</v>
      </c>
      <c r="B756" s="379">
        <f>SUM(D756,F756,K756:L756)-54582</f>
        <v>15329766</v>
      </c>
      <c r="C756" s="372"/>
      <c r="D756" s="372">
        <v>10578298</v>
      </c>
      <c r="E756" s="372"/>
      <c r="F756" s="372">
        <f t="shared" si="51"/>
        <v>2260899</v>
      </c>
      <c r="G756" s="387"/>
      <c r="H756" s="409">
        <v>301504</v>
      </c>
      <c r="I756" s="409">
        <v>186805</v>
      </c>
      <c r="J756" s="409">
        <v>1772590</v>
      </c>
      <c r="K756" s="372">
        <v>1375564</v>
      </c>
      <c r="L756" s="372">
        <v>1169587</v>
      </c>
      <c r="O756" s="407"/>
    </row>
    <row r="757" spans="1:15" s="405" customFormat="1" ht="9" customHeight="1" x14ac:dyDescent="0.25">
      <c r="A757" s="405" t="s">
        <v>43</v>
      </c>
      <c r="B757" s="372">
        <f t="shared" si="52"/>
        <v>4930982</v>
      </c>
      <c r="C757" s="372"/>
      <c r="D757" s="372">
        <v>3377112</v>
      </c>
      <c r="E757" s="372"/>
      <c r="F757" s="372">
        <f t="shared" si="51"/>
        <v>693934</v>
      </c>
      <c r="G757" s="373"/>
      <c r="H757" s="409">
        <v>79948</v>
      </c>
      <c r="I757" s="409">
        <v>61661</v>
      </c>
      <c r="J757" s="409">
        <v>552325</v>
      </c>
      <c r="K757" s="372">
        <v>538513</v>
      </c>
      <c r="L757" s="372">
        <v>321423</v>
      </c>
      <c r="O757" s="407"/>
    </row>
    <row r="758" spans="1:15" s="405" customFormat="1" ht="9" customHeight="1" x14ac:dyDescent="0.25">
      <c r="A758" s="405" t="s">
        <v>44</v>
      </c>
      <c r="B758" s="372">
        <f t="shared" si="52"/>
        <v>3589708</v>
      </c>
      <c r="C758" s="372"/>
      <c r="D758" s="372">
        <v>2359670</v>
      </c>
      <c r="E758" s="372"/>
      <c r="F758" s="372">
        <f t="shared" si="51"/>
        <v>528336</v>
      </c>
      <c r="G758" s="373"/>
      <c r="H758" s="409">
        <v>94595</v>
      </c>
      <c r="I758" s="409">
        <v>40449</v>
      </c>
      <c r="J758" s="409">
        <v>393292</v>
      </c>
      <c r="K758" s="372">
        <v>485896</v>
      </c>
      <c r="L758" s="372">
        <v>215806</v>
      </c>
      <c r="O758" s="407"/>
    </row>
    <row r="759" spans="1:15" s="405" customFormat="1" ht="9" customHeight="1" x14ac:dyDescent="0.25">
      <c r="A759" s="406" t="s">
        <v>45</v>
      </c>
      <c r="B759" s="376">
        <f t="shared" si="52"/>
        <v>7967308</v>
      </c>
      <c r="C759" s="376"/>
      <c r="D759" s="376">
        <v>5287451</v>
      </c>
      <c r="E759" s="376"/>
      <c r="F759" s="376">
        <f t="shared" si="51"/>
        <v>1184907</v>
      </c>
      <c r="G759" s="377"/>
      <c r="H759" s="411">
        <v>155453</v>
      </c>
      <c r="I759" s="411">
        <v>95182</v>
      </c>
      <c r="J759" s="411">
        <v>934272</v>
      </c>
      <c r="K759" s="376">
        <v>907444</v>
      </c>
      <c r="L759" s="376">
        <v>587506</v>
      </c>
      <c r="O759" s="407"/>
    </row>
    <row r="760" spans="1:15" s="405" customFormat="1" ht="9" customHeight="1" x14ac:dyDescent="0.25">
      <c r="A760" s="405" t="s">
        <v>46</v>
      </c>
      <c r="B760" s="372">
        <f t="shared" si="52"/>
        <v>9781821</v>
      </c>
      <c r="C760" s="372"/>
      <c r="D760" s="372">
        <v>6451118</v>
      </c>
      <c r="E760" s="372"/>
      <c r="F760" s="372">
        <f t="shared" si="51"/>
        <v>1554427</v>
      </c>
      <c r="G760" s="373"/>
      <c r="H760" s="409">
        <v>182907</v>
      </c>
      <c r="I760" s="409">
        <v>247741</v>
      </c>
      <c r="J760" s="409">
        <v>1123779</v>
      </c>
      <c r="K760" s="372">
        <v>1238602</v>
      </c>
      <c r="L760" s="372">
        <v>537674</v>
      </c>
      <c r="O760" s="407"/>
    </row>
    <row r="761" spans="1:15" s="405" customFormat="1" ht="9.6" customHeight="1" x14ac:dyDescent="0.25">
      <c r="A761" s="405" t="s">
        <v>288</v>
      </c>
      <c r="B761" s="372">
        <f t="shared" si="52"/>
        <v>7209741</v>
      </c>
      <c r="C761" s="372"/>
      <c r="D761" s="372">
        <v>4499856</v>
      </c>
      <c r="E761" s="372"/>
      <c r="F761" s="372">
        <f t="shared" si="51"/>
        <v>1245816</v>
      </c>
      <c r="G761" s="387"/>
      <c r="H761" s="409">
        <v>186088</v>
      </c>
      <c r="I761" s="409">
        <v>116621</v>
      </c>
      <c r="J761" s="409">
        <v>943107</v>
      </c>
      <c r="K761" s="372">
        <v>1154972</v>
      </c>
      <c r="L761" s="372">
        <v>309097</v>
      </c>
      <c r="O761" s="407"/>
    </row>
    <row r="762" spans="1:15" s="405" customFormat="1" ht="9" customHeight="1" x14ac:dyDescent="0.25">
      <c r="A762" s="405" t="s">
        <v>48</v>
      </c>
      <c r="B762" s="372">
        <f t="shared" si="52"/>
        <v>7417699</v>
      </c>
      <c r="C762" s="372"/>
      <c r="D762" s="372">
        <v>4982402</v>
      </c>
      <c r="E762" s="372"/>
      <c r="F762" s="372">
        <f t="shared" si="51"/>
        <v>1148963</v>
      </c>
      <c r="G762" s="387"/>
      <c r="H762" s="409">
        <v>134808</v>
      </c>
      <c r="I762" s="409">
        <v>132402</v>
      </c>
      <c r="J762" s="409">
        <v>881753</v>
      </c>
      <c r="K762" s="372">
        <v>903484</v>
      </c>
      <c r="L762" s="372">
        <v>382850</v>
      </c>
      <c r="O762" s="407"/>
    </row>
    <row r="763" spans="1:15" s="405" customFormat="1" ht="9" customHeight="1" x14ac:dyDescent="0.25">
      <c r="A763" s="406" t="s">
        <v>49</v>
      </c>
      <c r="B763" s="376">
        <f t="shared" si="52"/>
        <v>10579772</v>
      </c>
      <c r="C763" s="376"/>
      <c r="D763" s="376">
        <v>7215444</v>
      </c>
      <c r="E763" s="376"/>
      <c r="F763" s="376">
        <f t="shared" si="51"/>
        <v>1742609</v>
      </c>
      <c r="G763" s="377"/>
      <c r="H763" s="411">
        <v>236457</v>
      </c>
      <c r="I763" s="411">
        <v>185953</v>
      </c>
      <c r="J763" s="411">
        <v>1320199</v>
      </c>
      <c r="K763" s="376">
        <v>1047497</v>
      </c>
      <c r="L763" s="376">
        <v>574222</v>
      </c>
      <c r="O763" s="407"/>
    </row>
    <row r="764" spans="1:15" s="405" customFormat="1" ht="9" customHeight="1" x14ac:dyDescent="0.25">
      <c r="A764" s="405" t="s">
        <v>50</v>
      </c>
      <c r="B764" s="372">
        <f t="shared" si="52"/>
        <v>3863575</v>
      </c>
      <c r="C764" s="372"/>
      <c r="D764" s="372">
        <v>2760250</v>
      </c>
      <c r="E764" s="372"/>
      <c r="F764" s="372">
        <f t="shared" si="51"/>
        <v>435202</v>
      </c>
      <c r="G764" s="373"/>
      <c r="H764" s="409">
        <v>58476</v>
      </c>
      <c r="I764" s="409">
        <v>45459</v>
      </c>
      <c r="J764" s="409">
        <v>331267</v>
      </c>
      <c r="K764" s="372">
        <v>368317</v>
      </c>
      <c r="L764" s="372">
        <v>299806</v>
      </c>
      <c r="O764" s="407"/>
    </row>
    <row r="765" spans="1:15" s="405" customFormat="1" ht="9" customHeight="1" x14ac:dyDescent="0.25">
      <c r="A765" s="405" t="s">
        <v>51</v>
      </c>
      <c r="B765" s="372">
        <f t="shared" si="52"/>
        <v>16135768</v>
      </c>
      <c r="C765" s="372"/>
      <c r="D765" s="372">
        <v>10338645</v>
      </c>
      <c r="E765" s="372"/>
      <c r="F765" s="372">
        <f t="shared" si="51"/>
        <v>2591554</v>
      </c>
      <c r="G765" s="373"/>
      <c r="H765" s="409">
        <v>346836</v>
      </c>
      <c r="I765" s="409">
        <v>252972</v>
      </c>
      <c r="J765" s="409">
        <v>1991746</v>
      </c>
      <c r="K765" s="372">
        <v>2456112</v>
      </c>
      <c r="L765" s="372">
        <v>749457</v>
      </c>
      <c r="O765" s="407"/>
    </row>
    <row r="766" spans="1:15" s="405" customFormat="1" ht="9" customHeight="1" x14ac:dyDescent="0.25">
      <c r="A766" s="405" t="s">
        <v>52</v>
      </c>
      <c r="B766" s="372">
        <f t="shared" si="52"/>
        <v>7381490</v>
      </c>
      <c r="C766" s="372"/>
      <c r="D766" s="372">
        <v>5516492</v>
      </c>
      <c r="E766" s="372"/>
      <c r="F766" s="372">
        <f t="shared" si="51"/>
        <v>952682</v>
      </c>
      <c r="G766" s="373"/>
      <c r="H766" s="409">
        <v>139878</v>
      </c>
      <c r="I766" s="409">
        <v>50765</v>
      </c>
      <c r="J766" s="409">
        <v>762039</v>
      </c>
      <c r="K766" s="372">
        <v>607389</v>
      </c>
      <c r="L766" s="372">
        <v>304927</v>
      </c>
      <c r="O766" s="407"/>
    </row>
    <row r="767" spans="1:15" s="405" customFormat="1" ht="9" customHeight="1" x14ac:dyDescent="0.25">
      <c r="A767" s="406" t="s">
        <v>53</v>
      </c>
      <c r="B767" s="376">
        <f t="shared" si="52"/>
        <v>4611704</v>
      </c>
      <c r="C767" s="376"/>
      <c r="D767" s="376">
        <v>3214694</v>
      </c>
      <c r="E767" s="376"/>
      <c r="F767" s="376">
        <f t="shared" si="51"/>
        <v>503390</v>
      </c>
      <c r="G767" s="377"/>
      <c r="H767" s="411">
        <v>71866</v>
      </c>
      <c r="I767" s="411">
        <v>52554</v>
      </c>
      <c r="J767" s="411">
        <v>378970</v>
      </c>
      <c r="K767" s="376">
        <v>648599</v>
      </c>
      <c r="L767" s="376">
        <v>245021</v>
      </c>
      <c r="O767" s="407"/>
    </row>
    <row r="768" spans="1:15" s="366" customFormat="1" ht="9" customHeight="1" x14ac:dyDescent="0.25">
      <c r="A768" s="398"/>
      <c r="B768" s="381"/>
      <c r="C768" s="381"/>
      <c r="D768" s="381"/>
      <c r="E768" s="368"/>
      <c r="F768" s="381"/>
      <c r="G768" s="382"/>
      <c r="H768" s="368"/>
      <c r="I768" s="368"/>
      <c r="J768" s="368"/>
      <c r="K768" s="368"/>
      <c r="L768" s="368"/>
      <c r="M768" s="399"/>
      <c r="O768" s="372"/>
    </row>
    <row r="769" spans="1:15" s="405" customFormat="1" ht="9" customHeight="1" x14ac:dyDescent="0.25">
      <c r="A769" s="400">
        <v>2016</v>
      </c>
      <c r="B769" s="401"/>
      <c r="C769" s="401"/>
      <c r="D769" s="402"/>
      <c r="E769" s="402"/>
      <c r="F769" s="403"/>
      <c r="G769" s="404"/>
      <c r="H769" s="402"/>
      <c r="I769" s="402"/>
      <c r="J769" s="401"/>
      <c r="K769" s="402"/>
    </row>
    <row r="770" spans="1:15" s="399" customFormat="1" ht="9" customHeight="1" x14ac:dyDescent="0.25">
      <c r="A770" s="398" t="s">
        <v>297</v>
      </c>
      <c r="B770" s="368">
        <f>SUM(B772:B803)+32695</f>
        <v>322471224</v>
      </c>
      <c r="C770" s="381"/>
      <c r="D770" s="368">
        <f>SUM(D772:D803)</f>
        <v>218694280</v>
      </c>
      <c r="E770" s="368"/>
      <c r="F770" s="368">
        <f>SUM(F772:F803)</f>
        <v>49894745</v>
      </c>
      <c r="G770" s="368"/>
      <c r="H770" s="368">
        <f t="shared" ref="H770:J770" si="53">SUM(H772:H803)</f>
        <v>6341883</v>
      </c>
      <c r="I770" s="368">
        <f t="shared" si="53"/>
        <v>4322644</v>
      </c>
      <c r="J770" s="368">
        <f t="shared" si="53"/>
        <v>39230218</v>
      </c>
      <c r="K770" s="368">
        <f>SUM(K772:K803)+32695</f>
        <v>37120406</v>
      </c>
      <c r="L770" s="368">
        <f>SUM(L772:L803)</f>
        <v>16761793</v>
      </c>
    </row>
    <row r="771" spans="1:15" s="399" customFormat="1" ht="3.95" customHeight="1" x14ac:dyDescent="0.25">
      <c r="A771" s="398"/>
      <c r="B771" s="381"/>
      <c r="C771" s="381"/>
      <c r="D771" s="381"/>
      <c r="E771" s="368"/>
      <c r="F771" s="381"/>
      <c r="G771" s="382"/>
      <c r="H771" s="368"/>
      <c r="I771" s="368"/>
      <c r="J771" s="368"/>
      <c r="K771" s="368"/>
      <c r="L771" s="368"/>
    </row>
    <row r="772" spans="1:15" s="405" customFormat="1" ht="9.6" customHeight="1" x14ac:dyDescent="0.25">
      <c r="A772" s="405" t="s">
        <v>280</v>
      </c>
      <c r="B772" s="386">
        <f>SUM(D772,F772,K772:L772)</f>
        <v>4083446</v>
      </c>
      <c r="C772" s="386"/>
      <c r="D772" s="386">
        <v>2673119</v>
      </c>
      <c r="E772" s="372"/>
      <c r="F772" s="372">
        <f>SUM(H772:J772)</f>
        <v>579573</v>
      </c>
      <c r="G772" s="372"/>
      <c r="H772" s="408">
        <v>63183</v>
      </c>
      <c r="I772" s="409">
        <v>58187</v>
      </c>
      <c r="J772" s="409">
        <v>458203</v>
      </c>
      <c r="K772" s="372">
        <v>623558</v>
      </c>
      <c r="L772" s="372">
        <v>207196</v>
      </c>
      <c r="O772" s="407"/>
    </row>
    <row r="773" spans="1:15" s="405" customFormat="1" ht="9" customHeight="1" x14ac:dyDescent="0.25">
      <c r="A773" s="405" t="s">
        <v>24</v>
      </c>
      <c r="B773" s="386">
        <f t="shared" ref="B773:B803" si="54">SUM(D773,F773,K773:L773)</f>
        <v>8265985</v>
      </c>
      <c r="C773" s="386"/>
      <c r="D773" s="386">
        <v>5069298</v>
      </c>
      <c r="E773" s="372"/>
      <c r="F773" s="372">
        <f t="shared" ref="F773:F803" si="55">SUM(H773:J773)</f>
        <v>1409603</v>
      </c>
      <c r="G773" s="373"/>
      <c r="H773" s="408">
        <v>162655</v>
      </c>
      <c r="I773" s="409">
        <v>125296</v>
      </c>
      <c r="J773" s="409">
        <v>1121652</v>
      </c>
      <c r="K773" s="372">
        <v>1327472</v>
      </c>
      <c r="L773" s="372">
        <v>459612</v>
      </c>
      <c r="O773" s="407"/>
    </row>
    <row r="774" spans="1:15" s="405" customFormat="1" ht="9" customHeight="1" x14ac:dyDescent="0.25">
      <c r="A774" s="405" t="s">
        <v>25</v>
      </c>
      <c r="B774" s="386">
        <f t="shared" si="54"/>
        <v>2509703</v>
      </c>
      <c r="C774" s="386"/>
      <c r="D774" s="386">
        <v>1579123</v>
      </c>
      <c r="E774" s="372"/>
      <c r="F774" s="372">
        <f t="shared" si="55"/>
        <v>431336</v>
      </c>
      <c r="G774" s="373"/>
      <c r="H774" s="408">
        <v>57618</v>
      </c>
      <c r="I774" s="409">
        <v>34307</v>
      </c>
      <c r="J774" s="409">
        <v>339411</v>
      </c>
      <c r="K774" s="372">
        <v>373929</v>
      </c>
      <c r="L774" s="372">
        <v>125315</v>
      </c>
      <c r="O774" s="407"/>
    </row>
    <row r="775" spans="1:15" s="405" customFormat="1" ht="9.6" customHeight="1" x14ac:dyDescent="0.25">
      <c r="A775" s="406" t="s">
        <v>281</v>
      </c>
      <c r="B775" s="388">
        <f t="shared" si="54"/>
        <v>2825102</v>
      </c>
      <c r="C775" s="388"/>
      <c r="D775" s="388">
        <v>1952472</v>
      </c>
      <c r="E775" s="376"/>
      <c r="F775" s="376">
        <f t="shared" si="55"/>
        <v>404089</v>
      </c>
      <c r="G775" s="394"/>
      <c r="H775" s="410">
        <v>58739</v>
      </c>
      <c r="I775" s="411">
        <v>42690</v>
      </c>
      <c r="J775" s="411">
        <v>302660</v>
      </c>
      <c r="K775" s="376">
        <v>329883</v>
      </c>
      <c r="L775" s="376">
        <v>138658</v>
      </c>
      <c r="O775" s="407"/>
    </row>
    <row r="776" spans="1:15" s="405" customFormat="1" ht="9.6" customHeight="1" x14ac:dyDescent="0.25">
      <c r="A776" s="405" t="s">
        <v>27</v>
      </c>
      <c r="B776" s="386">
        <f t="shared" si="54"/>
        <v>8048437</v>
      </c>
      <c r="C776" s="386"/>
      <c r="D776" s="386">
        <v>5140469</v>
      </c>
      <c r="E776" s="372"/>
      <c r="F776" s="372">
        <f t="shared" si="55"/>
        <v>1225713</v>
      </c>
      <c r="G776" s="393"/>
      <c r="H776" s="408">
        <v>164773</v>
      </c>
      <c r="I776" s="409">
        <v>136736</v>
      </c>
      <c r="J776" s="409">
        <v>924204</v>
      </c>
      <c r="K776" s="372">
        <v>1325978</v>
      </c>
      <c r="L776" s="372">
        <v>356277</v>
      </c>
      <c r="O776" s="407"/>
    </row>
    <row r="777" spans="1:15" s="405" customFormat="1" ht="9.6" customHeight="1" x14ac:dyDescent="0.25">
      <c r="A777" s="405" t="s">
        <v>283</v>
      </c>
      <c r="B777" s="372">
        <f t="shared" si="54"/>
        <v>2172972</v>
      </c>
      <c r="C777" s="372"/>
      <c r="D777" s="372">
        <v>1293519</v>
      </c>
      <c r="E777" s="372"/>
      <c r="F777" s="372">
        <f t="shared" si="55"/>
        <v>348036</v>
      </c>
      <c r="G777" s="393"/>
      <c r="H777" s="409">
        <v>38530</v>
      </c>
      <c r="I777" s="409">
        <v>22301</v>
      </c>
      <c r="J777" s="409">
        <v>287205</v>
      </c>
      <c r="K777" s="372">
        <v>430261</v>
      </c>
      <c r="L777" s="372">
        <v>101156</v>
      </c>
      <c r="O777" s="407"/>
    </row>
    <row r="778" spans="1:15" s="405" customFormat="1" ht="9" customHeight="1" x14ac:dyDescent="0.25">
      <c r="A778" s="405" t="s">
        <v>29</v>
      </c>
      <c r="B778" s="372">
        <f t="shared" si="54"/>
        <v>12861899</v>
      </c>
      <c r="C778" s="372"/>
      <c r="D778" s="372">
        <v>10050382</v>
      </c>
      <c r="E778" s="372"/>
      <c r="F778" s="372">
        <f t="shared" si="55"/>
        <v>1366829</v>
      </c>
      <c r="G778" s="373"/>
      <c r="H778" s="409">
        <v>140555</v>
      </c>
      <c r="I778" s="409">
        <v>132278</v>
      </c>
      <c r="J778" s="409">
        <v>1093996</v>
      </c>
      <c r="K778" s="372">
        <v>975966</v>
      </c>
      <c r="L778" s="372">
        <v>468722</v>
      </c>
      <c r="O778" s="407"/>
    </row>
    <row r="779" spans="1:15" s="405" customFormat="1" ht="9" customHeight="1" x14ac:dyDescent="0.25">
      <c r="A779" s="406" t="s">
        <v>30</v>
      </c>
      <c r="B779" s="376">
        <f t="shared" si="54"/>
        <v>9760524</v>
      </c>
      <c r="C779" s="376"/>
      <c r="D779" s="376">
        <v>6523683</v>
      </c>
      <c r="E779" s="376"/>
      <c r="F779" s="376">
        <f t="shared" si="55"/>
        <v>1536935</v>
      </c>
      <c r="G779" s="377"/>
      <c r="H779" s="411">
        <v>218943</v>
      </c>
      <c r="I779" s="411">
        <v>132592</v>
      </c>
      <c r="J779" s="411">
        <v>1185400</v>
      </c>
      <c r="K779" s="376">
        <v>1279476</v>
      </c>
      <c r="L779" s="376">
        <v>420430</v>
      </c>
      <c r="O779" s="407"/>
    </row>
    <row r="780" spans="1:15" s="405" customFormat="1" ht="9.6" customHeight="1" x14ac:dyDescent="0.25">
      <c r="A780" s="405" t="s">
        <v>63</v>
      </c>
      <c r="B780" s="372">
        <f t="shared" si="54"/>
        <v>30868656</v>
      </c>
      <c r="C780" s="372"/>
      <c r="D780" s="372">
        <v>16919268</v>
      </c>
      <c r="E780" s="372"/>
      <c r="F780" s="372">
        <f t="shared" si="55"/>
        <v>8928628</v>
      </c>
      <c r="G780" s="387"/>
      <c r="H780" s="409">
        <v>743723</v>
      </c>
      <c r="I780" s="409">
        <v>467055</v>
      </c>
      <c r="J780" s="409">
        <v>7717850</v>
      </c>
      <c r="K780" s="372">
        <v>3477979</v>
      </c>
      <c r="L780" s="372">
        <v>1542781</v>
      </c>
      <c r="O780" s="407"/>
    </row>
    <row r="781" spans="1:15" s="405" customFormat="1" ht="9.6" customHeight="1" x14ac:dyDescent="0.25">
      <c r="A781" s="405" t="s">
        <v>284</v>
      </c>
      <c r="B781" s="372">
        <f t="shared" si="54"/>
        <v>5856055</v>
      </c>
      <c r="C781" s="372"/>
      <c r="D781" s="372">
        <v>4083975</v>
      </c>
      <c r="E781" s="372"/>
      <c r="F781" s="372">
        <f t="shared" si="55"/>
        <v>741648</v>
      </c>
      <c r="G781" s="393"/>
      <c r="H781" s="409">
        <v>113698</v>
      </c>
      <c r="I781" s="409">
        <v>83697</v>
      </c>
      <c r="J781" s="409">
        <v>544253</v>
      </c>
      <c r="K781" s="372">
        <v>815005</v>
      </c>
      <c r="L781" s="372">
        <v>215427</v>
      </c>
      <c r="O781" s="407"/>
    </row>
    <row r="782" spans="1:15" s="405" customFormat="1" ht="9" customHeight="1" x14ac:dyDescent="0.25">
      <c r="A782" s="405" t="s">
        <v>32</v>
      </c>
      <c r="B782" s="372">
        <f t="shared" si="54"/>
        <v>13919961</v>
      </c>
      <c r="C782" s="372"/>
      <c r="D782" s="372">
        <v>9046925</v>
      </c>
      <c r="E782" s="372"/>
      <c r="F782" s="372">
        <f t="shared" si="55"/>
        <v>2204186</v>
      </c>
      <c r="G782" s="373"/>
      <c r="H782" s="409">
        <v>270562</v>
      </c>
      <c r="I782" s="409">
        <v>253553</v>
      </c>
      <c r="J782" s="409">
        <v>1680071</v>
      </c>
      <c r="K782" s="372">
        <v>1923410</v>
      </c>
      <c r="L782" s="372">
        <v>745440</v>
      </c>
      <c r="O782" s="407"/>
    </row>
    <row r="783" spans="1:15" s="405" customFormat="1" ht="9" customHeight="1" x14ac:dyDescent="0.25">
      <c r="A783" s="406" t="s">
        <v>33</v>
      </c>
      <c r="B783" s="376">
        <f t="shared" si="54"/>
        <v>11135636</v>
      </c>
      <c r="C783" s="376"/>
      <c r="D783" s="376">
        <v>8691000</v>
      </c>
      <c r="E783" s="376"/>
      <c r="F783" s="376">
        <f t="shared" si="55"/>
        <v>1071101</v>
      </c>
      <c r="G783" s="377"/>
      <c r="H783" s="411">
        <v>172744</v>
      </c>
      <c r="I783" s="411">
        <v>91245</v>
      </c>
      <c r="J783" s="411">
        <v>807112</v>
      </c>
      <c r="K783" s="376">
        <v>712074</v>
      </c>
      <c r="L783" s="376">
        <v>661461</v>
      </c>
      <c r="O783" s="407"/>
    </row>
    <row r="784" spans="1:15" s="405" customFormat="1" ht="9" customHeight="1" x14ac:dyDescent="0.25">
      <c r="A784" s="405" t="s">
        <v>34</v>
      </c>
      <c r="B784" s="372">
        <f t="shared" si="54"/>
        <v>8441323</v>
      </c>
      <c r="C784" s="372"/>
      <c r="D784" s="372">
        <v>6409468</v>
      </c>
      <c r="E784" s="372"/>
      <c r="F784" s="372">
        <f t="shared" si="55"/>
        <v>893241</v>
      </c>
      <c r="G784" s="373"/>
      <c r="H784" s="409">
        <v>151859</v>
      </c>
      <c r="I784" s="409">
        <v>63686</v>
      </c>
      <c r="J784" s="409">
        <v>677696</v>
      </c>
      <c r="K784" s="372">
        <v>646821</v>
      </c>
      <c r="L784" s="372">
        <v>491793</v>
      </c>
      <c r="O784" s="407"/>
    </row>
    <row r="785" spans="1:15" s="405" customFormat="1" ht="9.6" customHeight="1" x14ac:dyDescent="0.25">
      <c r="A785" s="405" t="s">
        <v>285</v>
      </c>
      <c r="B785" s="372">
        <f t="shared" si="54"/>
        <v>18979591</v>
      </c>
      <c r="C785" s="372"/>
      <c r="D785" s="372">
        <v>11355210</v>
      </c>
      <c r="E785" s="372"/>
      <c r="F785" s="372">
        <f t="shared" si="55"/>
        <v>3605997</v>
      </c>
      <c r="G785" s="393"/>
      <c r="H785" s="409">
        <v>446252</v>
      </c>
      <c r="I785" s="409">
        <v>226488</v>
      </c>
      <c r="J785" s="409">
        <v>2933257</v>
      </c>
      <c r="K785" s="372">
        <v>3068560</v>
      </c>
      <c r="L785" s="372">
        <v>949824</v>
      </c>
      <c r="O785" s="407"/>
    </row>
    <row r="786" spans="1:15" s="405" customFormat="1" ht="9" customHeight="1" x14ac:dyDescent="0.25">
      <c r="A786" s="405" t="s">
        <v>36</v>
      </c>
      <c r="B786" s="372">
        <f t="shared" si="54"/>
        <v>42348173</v>
      </c>
      <c r="C786" s="372"/>
      <c r="D786" s="372">
        <v>31964436</v>
      </c>
      <c r="E786" s="372"/>
      <c r="F786" s="372">
        <f t="shared" si="55"/>
        <v>4955175</v>
      </c>
      <c r="G786" s="373"/>
      <c r="H786" s="409">
        <v>792868</v>
      </c>
      <c r="I786" s="409">
        <v>523492</v>
      </c>
      <c r="J786" s="409">
        <v>3638815</v>
      </c>
      <c r="K786" s="372">
        <v>3425576</v>
      </c>
      <c r="L786" s="372">
        <v>2002986</v>
      </c>
      <c r="O786" s="407"/>
    </row>
    <row r="787" spans="1:15" s="405" customFormat="1" ht="9" customHeight="1" x14ac:dyDescent="0.25">
      <c r="A787" s="406" t="s">
        <v>37</v>
      </c>
      <c r="B787" s="376">
        <f t="shared" si="54"/>
        <v>10903528</v>
      </c>
      <c r="C787" s="376"/>
      <c r="D787" s="376">
        <v>7555183</v>
      </c>
      <c r="E787" s="376"/>
      <c r="F787" s="376">
        <f t="shared" si="55"/>
        <v>1434705</v>
      </c>
      <c r="G787" s="377"/>
      <c r="H787" s="411">
        <v>232206</v>
      </c>
      <c r="I787" s="411">
        <v>121445</v>
      </c>
      <c r="J787" s="411">
        <v>1081054</v>
      </c>
      <c r="K787" s="376">
        <v>1183076</v>
      </c>
      <c r="L787" s="376">
        <v>730564</v>
      </c>
      <c r="O787" s="407"/>
    </row>
    <row r="788" spans="1:15" s="405" customFormat="1" ht="9" customHeight="1" x14ac:dyDescent="0.25">
      <c r="A788" s="405" t="s">
        <v>38</v>
      </c>
      <c r="B788" s="372">
        <f t="shared" si="54"/>
        <v>5289136</v>
      </c>
      <c r="C788" s="372"/>
      <c r="D788" s="372">
        <v>3462779</v>
      </c>
      <c r="E788" s="372"/>
      <c r="F788" s="372">
        <f t="shared" si="55"/>
        <v>815776</v>
      </c>
      <c r="G788" s="373"/>
      <c r="H788" s="409">
        <v>100618</v>
      </c>
      <c r="I788" s="409">
        <v>59088</v>
      </c>
      <c r="J788" s="409">
        <v>656070</v>
      </c>
      <c r="K788" s="372">
        <v>721641</v>
      </c>
      <c r="L788" s="372">
        <v>288940</v>
      </c>
      <c r="O788" s="407"/>
    </row>
    <row r="789" spans="1:15" s="405" customFormat="1" ht="9.6" customHeight="1" x14ac:dyDescent="0.25">
      <c r="A789" s="405" t="s">
        <v>39</v>
      </c>
      <c r="B789" s="372">
        <f t="shared" si="54"/>
        <v>3398212</v>
      </c>
      <c r="C789" s="372"/>
      <c r="D789" s="372">
        <v>2308284</v>
      </c>
      <c r="E789" s="372"/>
      <c r="F789" s="372">
        <f t="shared" si="55"/>
        <v>443485</v>
      </c>
      <c r="G789" s="373"/>
      <c r="H789" s="409">
        <v>60213</v>
      </c>
      <c r="I789" s="409">
        <v>33560</v>
      </c>
      <c r="J789" s="409">
        <v>349712</v>
      </c>
      <c r="K789" s="372">
        <v>476084</v>
      </c>
      <c r="L789" s="372">
        <v>170359</v>
      </c>
      <c r="O789" s="407"/>
    </row>
    <row r="790" spans="1:15" s="405" customFormat="1" ht="9.6" customHeight="1" x14ac:dyDescent="0.25">
      <c r="A790" s="405" t="s">
        <v>40</v>
      </c>
      <c r="B790" s="372">
        <f t="shared" si="54"/>
        <v>12741982</v>
      </c>
      <c r="C790" s="372"/>
      <c r="D790" s="372">
        <v>8105714</v>
      </c>
      <c r="E790" s="372"/>
      <c r="F790" s="372">
        <f t="shared" si="55"/>
        <v>2270696</v>
      </c>
      <c r="G790" s="393"/>
      <c r="H790" s="409">
        <v>318394</v>
      </c>
      <c r="I790" s="409">
        <v>216387</v>
      </c>
      <c r="J790" s="409">
        <v>1735915</v>
      </c>
      <c r="K790" s="372">
        <v>1823908</v>
      </c>
      <c r="L790" s="372">
        <v>541664</v>
      </c>
      <c r="O790" s="407"/>
    </row>
    <row r="791" spans="1:15" s="405" customFormat="1" ht="9" customHeight="1" x14ac:dyDescent="0.25">
      <c r="A791" s="406" t="s">
        <v>41</v>
      </c>
      <c r="B791" s="376">
        <f t="shared" si="54"/>
        <v>8804508</v>
      </c>
      <c r="C791" s="376"/>
      <c r="D791" s="376">
        <v>6662901</v>
      </c>
      <c r="E791" s="376"/>
      <c r="F791" s="376">
        <f t="shared" si="55"/>
        <v>936607</v>
      </c>
      <c r="G791" s="377"/>
      <c r="H791" s="411">
        <v>142033</v>
      </c>
      <c r="I791" s="411">
        <v>100013</v>
      </c>
      <c r="J791" s="411">
        <v>694561</v>
      </c>
      <c r="K791" s="376">
        <v>712341</v>
      </c>
      <c r="L791" s="376">
        <v>492659</v>
      </c>
      <c r="O791" s="407"/>
    </row>
    <row r="792" spans="1:15" s="405" customFormat="1" ht="9.6" customHeight="1" x14ac:dyDescent="0.25">
      <c r="A792" s="405" t="s">
        <v>42</v>
      </c>
      <c r="B792" s="372">
        <f t="shared" si="54"/>
        <v>15428086</v>
      </c>
      <c r="C792" s="372"/>
      <c r="D792" s="372">
        <v>10704356</v>
      </c>
      <c r="E792" s="372"/>
      <c r="F792" s="372">
        <f t="shared" si="55"/>
        <v>2142510</v>
      </c>
      <c r="G792" s="387"/>
      <c r="H792" s="409">
        <v>278750</v>
      </c>
      <c r="I792" s="409">
        <v>198790</v>
      </c>
      <c r="J792" s="409">
        <v>1664970</v>
      </c>
      <c r="K792" s="372">
        <v>1414172</v>
      </c>
      <c r="L792" s="372">
        <v>1167048</v>
      </c>
      <c r="O792" s="407"/>
    </row>
    <row r="793" spans="1:15" s="405" customFormat="1" ht="9" customHeight="1" x14ac:dyDescent="0.25">
      <c r="A793" s="405" t="s">
        <v>43</v>
      </c>
      <c r="B793" s="372">
        <f t="shared" si="54"/>
        <v>4914558</v>
      </c>
      <c r="C793" s="372"/>
      <c r="D793" s="372">
        <v>3367271</v>
      </c>
      <c r="E793" s="372"/>
      <c r="F793" s="372">
        <f t="shared" si="55"/>
        <v>687785</v>
      </c>
      <c r="G793" s="373"/>
      <c r="H793" s="409">
        <v>77530</v>
      </c>
      <c r="I793" s="409">
        <v>58446</v>
      </c>
      <c r="J793" s="409">
        <v>551809</v>
      </c>
      <c r="K793" s="372">
        <v>535541</v>
      </c>
      <c r="L793" s="372">
        <v>323961</v>
      </c>
      <c r="O793" s="407"/>
    </row>
    <row r="794" spans="1:15" s="405" customFormat="1" ht="9" customHeight="1" x14ac:dyDescent="0.25">
      <c r="A794" s="405" t="s">
        <v>44</v>
      </c>
      <c r="B794" s="372">
        <f t="shared" si="54"/>
        <v>3469374</v>
      </c>
      <c r="C794" s="372"/>
      <c r="D794" s="372">
        <v>2309204</v>
      </c>
      <c r="E794" s="372"/>
      <c r="F794" s="372">
        <f t="shared" si="55"/>
        <v>512131</v>
      </c>
      <c r="G794" s="373"/>
      <c r="H794" s="409">
        <v>90787</v>
      </c>
      <c r="I794" s="409">
        <v>35568</v>
      </c>
      <c r="J794" s="409">
        <v>385776</v>
      </c>
      <c r="K794" s="372">
        <v>441214</v>
      </c>
      <c r="L794" s="372">
        <v>206825</v>
      </c>
      <c r="O794" s="407"/>
    </row>
    <row r="795" spans="1:15" s="405" customFormat="1" ht="9" customHeight="1" x14ac:dyDescent="0.25">
      <c r="A795" s="406" t="s">
        <v>45</v>
      </c>
      <c r="B795" s="376">
        <f t="shared" si="54"/>
        <v>7917606</v>
      </c>
      <c r="C795" s="376"/>
      <c r="D795" s="376">
        <v>5322102</v>
      </c>
      <c r="E795" s="376"/>
      <c r="F795" s="376">
        <f t="shared" si="55"/>
        <v>1175556</v>
      </c>
      <c r="G795" s="377"/>
      <c r="H795" s="411">
        <v>151557</v>
      </c>
      <c r="I795" s="411">
        <v>103821</v>
      </c>
      <c r="J795" s="411">
        <v>920178</v>
      </c>
      <c r="K795" s="376">
        <v>903124</v>
      </c>
      <c r="L795" s="376">
        <v>516824</v>
      </c>
      <c r="O795" s="407"/>
    </row>
    <row r="796" spans="1:15" s="405" customFormat="1" ht="9" customHeight="1" x14ac:dyDescent="0.25">
      <c r="A796" s="405" t="s">
        <v>46</v>
      </c>
      <c r="B796" s="372">
        <f t="shared" si="54"/>
        <v>9512807</v>
      </c>
      <c r="C796" s="372"/>
      <c r="D796" s="372">
        <v>6370372</v>
      </c>
      <c r="E796" s="372"/>
      <c r="F796" s="372">
        <f t="shared" si="55"/>
        <v>1418843</v>
      </c>
      <c r="G796" s="373"/>
      <c r="H796" s="409">
        <v>165547</v>
      </c>
      <c r="I796" s="409">
        <v>187407</v>
      </c>
      <c r="J796" s="409">
        <v>1065889</v>
      </c>
      <c r="K796" s="372">
        <v>1245945</v>
      </c>
      <c r="L796" s="372">
        <v>477647</v>
      </c>
      <c r="O796" s="407"/>
    </row>
    <row r="797" spans="1:15" s="405" customFormat="1" ht="9.6" customHeight="1" x14ac:dyDescent="0.25">
      <c r="A797" s="405" t="s">
        <v>288</v>
      </c>
      <c r="B797" s="372">
        <f t="shared" si="54"/>
        <v>7121299</v>
      </c>
      <c r="C797" s="372"/>
      <c r="D797" s="372">
        <v>4417074</v>
      </c>
      <c r="E797" s="372"/>
      <c r="F797" s="372">
        <f t="shared" si="55"/>
        <v>1251689</v>
      </c>
      <c r="G797" s="387"/>
      <c r="H797" s="409">
        <v>176655</v>
      </c>
      <c r="I797" s="409">
        <v>122730</v>
      </c>
      <c r="J797" s="409">
        <v>952304</v>
      </c>
      <c r="K797" s="372">
        <v>1154513</v>
      </c>
      <c r="L797" s="372">
        <v>298023</v>
      </c>
      <c r="O797" s="407"/>
    </row>
    <row r="798" spans="1:15" s="405" customFormat="1" ht="9" customHeight="1" x14ac:dyDescent="0.25">
      <c r="A798" s="405" t="s">
        <v>48</v>
      </c>
      <c r="B798" s="372">
        <f t="shared" si="54"/>
        <v>6657646</v>
      </c>
      <c r="C798" s="372"/>
      <c r="D798" s="372">
        <v>4475632</v>
      </c>
      <c r="E798" s="372"/>
      <c r="F798" s="372">
        <f t="shared" si="55"/>
        <v>992196</v>
      </c>
      <c r="G798" s="387"/>
      <c r="H798" s="409">
        <v>112003</v>
      </c>
      <c r="I798" s="409">
        <v>128221</v>
      </c>
      <c r="J798" s="409">
        <v>751972</v>
      </c>
      <c r="K798" s="372">
        <v>829289</v>
      </c>
      <c r="L798" s="372">
        <v>360529</v>
      </c>
      <c r="O798" s="407"/>
    </row>
    <row r="799" spans="1:15" s="405" customFormat="1" ht="9" customHeight="1" x14ac:dyDescent="0.25">
      <c r="A799" s="406" t="s">
        <v>49</v>
      </c>
      <c r="B799" s="376">
        <f t="shared" si="54"/>
        <v>10219074</v>
      </c>
      <c r="C799" s="376"/>
      <c r="D799" s="376">
        <v>7033025</v>
      </c>
      <c r="E799" s="376"/>
      <c r="F799" s="376">
        <f t="shared" si="55"/>
        <v>1651028</v>
      </c>
      <c r="G799" s="377"/>
      <c r="H799" s="411">
        <v>216542</v>
      </c>
      <c r="I799" s="411">
        <v>176263</v>
      </c>
      <c r="J799" s="411">
        <v>1258223</v>
      </c>
      <c r="K799" s="376">
        <v>997935</v>
      </c>
      <c r="L799" s="376">
        <v>537086</v>
      </c>
      <c r="O799" s="407"/>
    </row>
    <row r="800" spans="1:15" s="405" customFormat="1" ht="9" customHeight="1" x14ac:dyDescent="0.25">
      <c r="A800" s="405" t="s">
        <v>50</v>
      </c>
      <c r="B800" s="372">
        <f t="shared" si="54"/>
        <v>3710548</v>
      </c>
      <c r="C800" s="372"/>
      <c r="D800" s="372">
        <v>2594295</v>
      </c>
      <c r="E800" s="372"/>
      <c r="F800" s="372">
        <f t="shared" si="55"/>
        <v>431484</v>
      </c>
      <c r="G800" s="373"/>
      <c r="H800" s="409">
        <v>52704</v>
      </c>
      <c r="I800" s="409">
        <v>41786</v>
      </c>
      <c r="J800" s="409">
        <v>336994</v>
      </c>
      <c r="K800" s="372">
        <v>372137</v>
      </c>
      <c r="L800" s="372">
        <v>312632</v>
      </c>
      <c r="O800" s="407"/>
    </row>
    <row r="801" spans="1:15" s="405" customFormat="1" ht="9" customHeight="1" x14ac:dyDescent="0.25">
      <c r="A801" s="405" t="s">
        <v>51</v>
      </c>
      <c r="B801" s="372">
        <f t="shared" si="54"/>
        <v>18028354</v>
      </c>
      <c r="C801" s="372"/>
      <c r="D801" s="372">
        <v>12207539</v>
      </c>
      <c r="E801" s="372"/>
      <c r="F801" s="372">
        <f t="shared" si="55"/>
        <v>2588681</v>
      </c>
      <c r="G801" s="373"/>
      <c r="H801" s="409">
        <v>342049</v>
      </c>
      <c r="I801" s="409">
        <v>243991</v>
      </c>
      <c r="J801" s="409">
        <v>2002641</v>
      </c>
      <c r="K801" s="372">
        <v>2303375</v>
      </c>
      <c r="L801" s="372">
        <v>928759</v>
      </c>
      <c r="O801" s="407"/>
    </row>
    <row r="802" spans="1:15" s="405" customFormat="1" ht="9" customHeight="1" x14ac:dyDescent="0.25">
      <c r="A802" s="405" t="s">
        <v>52</v>
      </c>
      <c r="B802" s="372">
        <f t="shared" si="54"/>
        <v>7609116</v>
      </c>
      <c r="C802" s="372"/>
      <c r="D802" s="372">
        <v>5773316</v>
      </c>
      <c r="E802" s="372"/>
      <c r="F802" s="372">
        <f t="shared" si="55"/>
        <v>949352</v>
      </c>
      <c r="G802" s="373"/>
      <c r="H802" s="409">
        <v>161219</v>
      </c>
      <c r="I802" s="409">
        <v>51390</v>
      </c>
      <c r="J802" s="409">
        <v>736743</v>
      </c>
      <c r="K802" s="372">
        <v>596427</v>
      </c>
      <c r="L802" s="372">
        <v>290021</v>
      </c>
      <c r="O802" s="407"/>
    </row>
    <row r="803" spans="1:15" s="405" customFormat="1" ht="9" customHeight="1" x14ac:dyDescent="0.25">
      <c r="A803" s="406" t="s">
        <v>53</v>
      </c>
      <c r="B803" s="376">
        <f t="shared" si="54"/>
        <v>4635232</v>
      </c>
      <c r="C803" s="376"/>
      <c r="D803" s="376">
        <v>3272886</v>
      </c>
      <c r="E803" s="376"/>
      <c r="F803" s="376">
        <f t="shared" si="55"/>
        <v>490131</v>
      </c>
      <c r="G803" s="377"/>
      <c r="H803" s="411">
        <v>66374</v>
      </c>
      <c r="I803" s="411">
        <v>50135</v>
      </c>
      <c r="J803" s="411">
        <v>373622</v>
      </c>
      <c r="K803" s="376">
        <v>641041</v>
      </c>
      <c r="L803" s="376">
        <v>231174</v>
      </c>
      <c r="O803" s="407"/>
    </row>
    <row r="804" spans="1:15" ht="3" customHeight="1" x14ac:dyDescent="0.25">
      <c r="A804" s="344"/>
      <c r="B804" s="344"/>
      <c r="C804" s="344"/>
      <c r="D804" s="344"/>
      <c r="E804" s="344"/>
      <c r="F804" s="344"/>
      <c r="G804" s="345"/>
      <c r="H804" s="344"/>
      <c r="I804" s="344"/>
      <c r="J804" s="344"/>
      <c r="K804" s="344"/>
      <c r="L804" s="344"/>
    </row>
    <row r="805" spans="1:15" ht="3" customHeight="1" x14ac:dyDescent="0.25"/>
    <row r="806" spans="1:15" s="258" customFormat="1" ht="9.6" customHeight="1" x14ac:dyDescent="0.15">
      <c r="A806" s="273" t="s">
        <v>242</v>
      </c>
    </row>
    <row r="807" spans="1:15" s="258" customFormat="1" ht="9.6" customHeight="1" x14ac:dyDescent="0.15">
      <c r="A807" s="273" t="s">
        <v>243</v>
      </c>
    </row>
    <row r="808" spans="1:15" s="258" customFormat="1" ht="9.6" customHeight="1" x14ac:dyDescent="0.15">
      <c r="A808" s="273" t="s">
        <v>244</v>
      </c>
    </row>
    <row r="809" spans="1:15" s="258" customFormat="1" ht="9.6" customHeight="1" x14ac:dyDescent="0.15">
      <c r="A809" s="273" t="s">
        <v>513</v>
      </c>
    </row>
    <row r="810" spans="1:15" s="356" customFormat="1" ht="9" customHeight="1" x14ac:dyDescent="0.25">
      <c r="A810" s="413" t="s">
        <v>298</v>
      </c>
      <c r="G810" s="412"/>
    </row>
    <row r="811" spans="1:15" s="356" customFormat="1" ht="9" customHeight="1" x14ac:dyDescent="0.25">
      <c r="A811" s="413" t="s">
        <v>299</v>
      </c>
      <c r="G811" s="412"/>
    </row>
    <row r="812" spans="1:15" s="356" customFormat="1" ht="9" customHeight="1" x14ac:dyDescent="0.25">
      <c r="A812" s="413" t="s">
        <v>300</v>
      </c>
      <c r="G812" s="412"/>
    </row>
    <row r="813" spans="1:15" s="356" customFormat="1" ht="9" customHeight="1" x14ac:dyDescent="0.25">
      <c r="A813" s="413" t="s">
        <v>301</v>
      </c>
      <c r="G813" s="412"/>
    </row>
    <row r="814" spans="1:15" s="356" customFormat="1" ht="9" customHeight="1" x14ac:dyDescent="0.25">
      <c r="A814" s="413" t="s">
        <v>302</v>
      </c>
      <c r="G814" s="412"/>
    </row>
    <row r="815" spans="1:15" s="356" customFormat="1" ht="9" customHeight="1" x14ac:dyDescent="0.25">
      <c r="A815" s="413" t="s">
        <v>303</v>
      </c>
      <c r="G815" s="412"/>
    </row>
    <row r="816" spans="1:15" s="356" customFormat="1" ht="9" customHeight="1" x14ac:dyDescent="0.25">
      <c r="A816" s="413" t="s">
        <v>304</v>
      </c>
      <c r="G816" s="412"/>
    </row>
    <row r="817" spans="1:7" s="356" customFormat="1" ht="9" customHeight="1" x14ac:dyDescent="0.25">
      <c r="A817" s="413" t="s">
        <v>305</v>
      </c>
      <c r="G817" s="412"/>
    </row>
    <row r="818" spans="1:7" s="356" customFormat="1" ht="9" customHeight="1" x14ac:dyDescent="0.25">
      <c r="A818" s="356" t="s">
        <v>306</v>
      </c>
      <c r="G818" s="412"/>
    </row>
    <row r="819" spans="1:7" s="356" customFormat="1" ht="9" customHeight="1" x14ac:dyDescent="0.25">
      <c r="A819" s="225" t="s">
        <v>307</v>
      </c>
      <c r="G819" s="412"/>
    </row>
    <row r="820" spans="1:7" s="356" customFormat="1" ht="9" customHeight="1" x14ac:dyDescent="0.25">
      <c r="A820" s="225" t="s">
        <v>308</v>
      </c>
      <c r="G820" s="412"/>
    </row>
    <row r="821" spans="1:7" ht="11.25" customHeight="1" x14ac:dyDescent="0.25"/>
  </sheetData>
  <sheetProtection sheet="1" objects="1" scenarios="1"/>
  <mergeCells count="4">
    <mergeCell ref="K6:K8"/>
    <mergeCell ref="L6:L8"/>
    <mergeCell ref="A8:A9"/>
    <mergeCell ref="H8:H10"/>
  </mergeCells>
  <hyperlinks>
    <hyperlink ref="L1" location="Índice!A1" tooltip="Ir a Índice" display="Índice!A1"/>
  </hyperlinks>
  <printOptions horizontalCentered="1" verticalCentered="1" gridLinesSet="0"/>
  <pageMargins left="0.39370078740157483" right="0.39370078740157483" top="0.39370078740157483" bottom="0.39370078740157483" header="0.39370078740157483" footer="0.39370078740157483"/>
  <pageSetup orientation="portrait" r:id="rId1"/>
  <headerFooter>
    <oddHeader>&amp;L&amp;"Arial,Normal"&amp;10&amp;K000080INEGI. Anuario estadístico y geográfico por entidad federativa 2019.</oddHeader>
  </headerFooter>
  <rowBreaks count="11" manualBreakCount="11">
    <brk id="84" max="16383" man="1"/>
    <brk id="156" max="16383" man="1"/>
    <brk id="228" max="16383" man="1"/>
    <brk id="300" max="11" man="1"/>
    <brk id="372" max="11" man="1"/>
    <brk id="444" max="11" man="1"/>
    <brk id="516" max="11" man="1"/>
    <brk id="588" max="11" man="1"/>
    <brk id="660" max="16383" man="1"/>
    <brk id="732" max="11" man="1"/>
    <brk id="768" max="11" man="1"/>
  </row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817"/>
  <sheetViews>
    <sheetView showGridLines="0" showRowColHeaders="0" zoomScale="130" zoomScaleNormal="130" workbookViewId="0">
      <pane xSplit="1" ySplit="8" topLeftCell="B9" activePane="bottomRight" state="frozen"/>
      <selection activeCell="B5" sqref="B5"/>
      <selection pane="topRight" activeCell="B5" sqref="B5"/>
      <selection pane="bottomLeft" activeCell="B5" sqref="B5"/>
      <selection pane="bottomRight"/>
    </sheetView>
  </sheetViews>
  <sheetFormatPr baseColWidth="10" defaultColWidth="0" defaultRowHeight="11.25" customHeight="1" zeroHeight="1" x14ac:dyDescent="0.25"/>
  <cols>
    <col min="1" max="1" width="18.5703125" style="454" customWidth="1"/>
    <col min="2" max="2" width="7.7109375" style="454" customWidth="1"/>
    <col min="3" max="3" width="1.85546875" style="454" customWidth="1"/>
    <col min="4" max="4" width="7.7109375" style="454" customWidth="1"/>
    <col min="5" max="5" width="10.140625" style="454" customWidth="1"/>
    <col min="6" max="7" width="7.42578125" style="454" customWidth="1"/>
    <col min="8" max="8" width="7.28515625" style="454" customWidth="1"/>
    <col min="9" max="9" width="7.28515625" style="420" customWidth="1"/>
    <col min="10" max="10" width="6.28515625" style="420" customWidth="1"/>
    <col min="11" max="11" width="7.5703125" style="420" customWidth="1"/>
    <col min="12" max="12" width="8" style="420" customWidth="1"/>
    <col min="13" max="13" width="0.85546875" style="420" customWidth="1"/>
    <col min="14" max="16384" width="11.42578125" style="420" hidden="1"/>
  </cols>
  <sheetData>
    <row r="1" spans="1:12" s="416" customFormat="1" ht="12" customHeight="1" x14ac:dyDescent="0.2">
      <c r="A1" s="414" t="s">
        <v>309</v>
      </c>
      <c r="B1" s="415"/>
      <c r="C1" s="415"/>
      <c r="D1" s="415"/>
      <c r="E1" s="415"/>
      <c r="F1" s="415"/>
      <c r="G1" s="415"/>
      <c r="H1" s="415"/>
      <c r="I1" s="415"/>
      <c r="J1" s="415"/>
      <c r="K1" s="823" t="s">
        <v>310</v>
      </c>
      <c r="L1" s="823"/>
    </row>
    <row r="2" spans="1:12" s="416" customFormat="1" ht="12" customHeight="1" x14ac:dyDescent="0.2">
      <c r="A2" s="414" t="s">
        <v>311</v>
      </c>
      <c r="B2" s="415"/>
      <c r="C2" s="415"/>
      <c r="D2" s="415"/>
      <c r="E2" s="415"/>
      <c r="F2" s="415"/>
      <c r="G2" s="415"/>
      <c r="H2" s="415"/>
      <c r="I2" s="415"/>
      <c r="J2" s="415"/>
      <c r="K2" s="417"/>
      <c r="L2" s="417"/>
    </row>
    <row r="3" spans="1:12" s="416" customFormat="1" ht="12" customHeight="1" x14ac:dyDescent="0.25">
      <c r="A3" s="418" t="s">
        <v>272</v>
      </c>
      <c r="B3" s="415"/>
      <c r="C3" s="415"/>
      <c r="D3" s="415"/>
      <c r="E3" s="415"/>
      <c r="F3" s="415"/>
      <c r="G3" s="415"/>
      <c r="H3" s="415"/>
      <c r="I3" s="415"/>
      <c r="J3" s="415"/>
      <c r="L3" s="415"/>
    </row>
    <row r="4" spans="1:12" ht="3" customHeight="1" x14ac:dyDescent="0.25">
      <c r="A4" s="419"/>
      <c r="B4" s="419"/>
      <c r="C4" s="419"/>
      <c r="D4" s="419"/>
      <c r="E4" s="419"/>
      <c r="F4" s="419"/>
      <c r="G4" s="419"/>
      <c r="H4" s="419"/>
      <c r="I4" s="419"/>
      <c r="J4" s="419"/>
      <c r="K4" s="419"/>
      <c r="L4" s="419"/>
    </row>
    <row r="5" spans="1:12" ht="3" customHeight="1" x14ac:dyDescent="0.25">
      <c r="A5" s="421"/>
      <c r="B5" s="421"/>
      <c r="C5" s="421"/>
      <c r="D5" s="421"/>
      <c r="E5" s="421"/>
      <c r="F5" s="421"/>
      <c r="G5" s="421"/>
      <c r="H5" s="421"/>
      <c r="I5" s="421"/>
      <c r="J5" s="421"/>
      <c r="L5" s="421"/>
    </row>
    <row r="6" spans="1:12" s="423" customFormat="1" ht="9.6" customHeight="1" x14ac:dyDescent="0.25">
      <c r="A6" s="798" t="s">
        <v>4</v>
      </c>
      <c r="B6" s="422" t="s">
        <v>13</v>
      </c>
      <c r="C6" s="763"/>
      <c r="D6" s="422" t="s">
        <v>186</v>
      </c>
      <c r="E6" s="824" t="s">
        <v>187</v>
      </c>
      <c r="F6" s="763" t="s">
        <v>166</v>
      </c>
      <c r="G6" s="763" t="s">
        <v>167</v>
      </c>
      <c r="H6" s="763" t="s">
        <v>188</v>
      </c>
      <c r="I6" s="763" t="s">
        <v>189</v>
      </c>
      <c r="J6" s="763" t="s">
        <v>190</v>
      </c>
      <c r="K6" s="422" t="s">
        <v>312</v>
      </c>
      <c r="L6" s="422" t="s">
        <v>313</v>
      </c>
    </row>
    <row r="7" spans="1:12" s="423" customFormat="1" ht="9" customHeight="1" x14ac:dyDescent="0.25">
      <c r="A7" s="799"/>
      <c r="B7" s="763"/>
      <c r="C7" s="424"/>
      <c r="D7" s="763"/>
      <c r="E7" s="825"/>
      <c r="F7" s="763"/>
      <c r="G7" s="763"/>
      <c r="H7" s="763"/>
      <c r="I7" s="763"/>
      <c r="J7" s="763"/>
      <c r="K7" s="763"/>
      <c r="L7" s="763"/>
    </row>
    <row r="8" spans="1:12" ht="3" customHeight="1" x14ac:dyDescent="0.2">
      <c r="A8" s="419"/>
      <c r="B8" s="425"/>
      <c r="C8" s="425"/>
      <c r="D8" s="425"/>
      <c r="E8" s="425"/>
      <c r="F8" s="425"/>
      <c r="G8" s="425"/>
      <c r="H8" s="425"/>
      <c r="I8" s="425"/>
      <c r="J8" s="425"/>
      <c r="K8" s="425"/>
      <c r="L8" s="425"/>
    </row>
    <row r="9" spans="1:12" ht="3" customHeight="1" x14ac:dyDescent="0.25">
      <c r="A9" s="421"/>
      <c r="B9" s="421"/>
      <c r="C9" s="421"/>
      <c r="D9" s="421"/>
      <c r="E9" s="421"/>
      <c r="F9" s="421"/>
      <c r="G9" s="421"/>
      <c r="H9" s="421"/>
      <c r="I9" s="421"/>
      <c r="J9" s="421"/>
      <c r="L9" s="421"/>
    </row>
    <row r="10" spans="1:12" s="428" customFormat="1" ht="9" customHeight="1" x14ac:dyDescent="0.25">
      <c r="A10" s="426" t="s">
        <v>314</v>
      </c>
      <c r="B10" s="427"/>
      <c r="C10" s="427"/>
      <c r="D10" s="427"/>
      <c r="E10" s="427"/>
      <c r="F10" s="427"/>
      <c r="G10" s="427"/>
      <c r="H10" s="427"/>
      <c r="I10" s="427"/>
      <c r="J10" s="427"/>
      <c r="K10" s="427"/>
      <c r="L10" s="427"/>
    </row>
    <row r="11" spans="1:12" s="428" customFormat="1" ht="9" customHeight="1" x14ac:dyDescent="0.25">
      <c r="A11" s="429" t="s">
        <v>21</v>
      </c>
      <c r="B11" s="430">
        <f>SUM(B13:B44)</f>
        <v>9725873</v>
      </c>
      <c r="C11" s="430"/>
      <c r="D11" s="430">
        <f t="shared" ref="D11:L11" si="0">SUM(D13:D44)</f>
        <v>4212157</v>
      </c>
      <c r="E11" s="430">
        <f t="shared" si="0"/>
        <v>1331866</v>
      </c>
      <c r="F11" s="430">
        <f t="shared" si="0"/>
        <v>3202058</v>
      </c>
      <c r="G11" s="430">
        <f t="shared" si="0"/>
        <v>779410</v>
      </c>
      <c r="H11" s="430">
        <f t="shared" si="0"/>
        <v>62209</v>
      </c>
      <c r="I11" s="430">
        <f t="shared" si="0"/>
        <v>13913</v>
      </c>
      <c r="J11" s="430">
        <f t="shared" si="0"/>
        <v>5597</v>
      </c>
      <c r="K11" s="430">
        <f t="shared" si="0"/>
        <v>31163</v>
      </c>
      <c r="L11" s="430">
        <f t="shared" si="0"/>
        <v>87500</v>
      </c>
    </row>
    <row r="12" spans="1:12" s="428" customFormat="1" ht="3.95" customHeight="1" x14ac:dyDescent="0.25">
      <c r="A12" s="429"/>
      <c r="B12" s="430"/>
      <c r="C12" s="430"/>
      <c r="D12" s="430"/>
      <c r="E12" s="430"/>
      <c r="F12" s="430"/>
      <c r="G12" s="430"/>
      <c r="H12" s="430"/>
      <c r="I12" s="430"/>
      <c r="J12" s="430"/>
      <c r="K12" s="430"/>
      <c r="L12" s="430"/>
    </row>
    <row r="13" spans="1:12" s="428" customFormat="1" ht="9" customHeight="1" x14ac:dyDescent="0.25">
      <c r="A13" s="431" t="s">
        <v>23</v>
      </c>
      <c r="B13" s="427">
        <f t="shared" ref="B13:B44" si="1">SUM(D13:L13)</f>
        <v>65844</v>
      </c>
      <c r="C13" s="427"/>
      <c r="D13" s="427">
        <v>33409</v>
      </c>
      <c r="E13" s="432">
        <v>0</v>
      </c>
      <c r="F13" s="427">
        <v>27335</v>
      </c>
      <c r="G13" s="427">
        <v>5047</v>
      </c>
      <c r="H13" s="432">
        <v>0</v>
      </c>
      <c r="I13" s="432">
        <v>53</v>
      </c>
      <c r="J13" s="432">
        <v>0</v>
      </c>
      <c r="K13" s="432">
        <v>0</v>
      </c>
      <c r="L13" s="432">
        <v>0</v>
      </c>
    </row>
    <row r="14" spans="1:12" s="428" customFormat="1" ht="9" customHeight="1" x14ac:dyDescent="0.25">
      <c r="A14" s="431" t="s">
        <v>24</v>
      </c>
      <c r="B14" s="427">
        <f t="shared" si="1"/>
        <v>263829</v>
      </c>
      <c r="C14" s="427"/>
      <c r="D14" s="427">
        <v>45959</v>
      </c>
      <c r="E14" s="427">
        <v>15806</v>
      </c>
      <c r="F14" s="427">
        <v>187557</v>
      </c>
      <c r="G14" s="427">
        <v>9829</v>
      </c>
      <c r="H14" s="432">
        <v>0</v>
      </c>
      <c r="I14" s="432">
        <v>107</v>
      </c>
      <c r="J14" s="432">
        <v>94</v>
      </c>
      <c r="K14" s="432">
        <v>4477</v>
      </c>
      <c r="L14" s="432">
        <v>0</v>
      </c>
    </row>
    <row r="15" spans="1:12" s="428" customFormat="1" ht="9" customHeight="1" x14ac:dyDescent="0.25">
      <c r="A15" s="431" t="s">
        <v>25</v>
      </c>
      <c r="B15" s="427">
        <f t="shared" si="1"/>
        <v>46112</v>
      </c>
      <c r="C15" s="427"/>
      <c r="D15" s="427">
        <v>25581</v>
      </c>
      <c r="E15" s="432">
        <v>0</v>
      </c>
      <c r="F15" s="427">
        <v>14901</v>
      </c>
      <c r="G15" s="427">
        <v>5152</v>
      </c>
      <c r="H15" s="432">
        <v>0</v>
      </c>
      <c r="I15" s="432">
        <v>300</v>
      </c>
      <c r="J15" s="432">
        <v>178</v>
      </c>
      <c r="K15" s="432">
        <v>0</v>
      </c>
      <c r="L15" s="432">
        <v>0</v>
      </c>
    </row>
    <row r="16" spans="1:12" s="428" customFormat="1" ht="9" customHeight="1" x14ac:dyDescent="0.25">
      <c r="A16" s="433" t="s">
        <v>26</v>
      </c>
      <c r="B16" s="434">
        <f t="shared" si="1"/>
        <v>88762</v>
      </c>
      <c r="C16" s="434"/>
      <c r="D16" s="434">
        <v>35953</v>
      </c>
      <c r="E16" s="434">
        <v>19146</v>
      </c>
      <c r="F16" s="434">
        <v>25112</v>
      </c>
      <c r="G16" s="434">
        <v>6833</v>
      </c>
      <c r="H16" s="435">
        <v>1045</v>
      </c>
      <c r="I16" s="435">
        <v>199</v>
      </c>
      <c r="J16" s="435">
        <v>474</v>
      </c>
      <c r="K16" s="435">
        <v>0</v>
      </c>
      <c r="L16" s="435">
        <v>0</v>
      </c>
    </row>
    <row r="17" spans="1:12" s="428" customFormat="1" ht="9" customHeight="1" x14ac:dyDescent="0.25">
      <c r="A17" s="431" t="s">
        <v>27</v>
      </c>
      <c r="B17" s="427">
        <f t="shared" si="1"/>
        <v>230730</v>
      </c>
      <c r="C17" s="427"/>
      <c r="D17" s="427">
        <v>84077</v>
      </c>
      <c r="E17" s="427">
        <v>25925</v>
      </c>
      <c r="F17" s="427">
        <v>99949</v>
      </c>
      <c r="G17" s="427">
        <v>17712</v>
      </c>
      <c r="H17" s="432">
        <v>0</v>
      </c>
      <c r="I17" s="432">
        <v>351</v>
      </c>
      <c r="J17" s="432">
        <v>0</v>
      </c>
      <c r="K17" s="432">
        <v>0</v>
      </c>
      <c r="L17" s="432">
        <v>2716</v>
      </c>
    </row>
    <row r="18" spans="1:12" s="428" customFormat="1" ht="9" customHeight="1" x14ac:dyDescent="0.25">
      <c r="A18" s="431" t="s">
        <v>28</v>
      </c>
      <c r="B18" s="427">
        <f t="shared" si="1"/>
        <v>69588</v>
      </c>
      <c r="C18" s="427"/>
      <c r="D18" s="427">
        <v>31402</v>
      </c>
      <c r="E18" s="432">
        <v>0</v>
      </c>
      <c r="F18" s="427">
        <v>28840</v>
      </c>
      <c r="G18" s="427">
        <v>8894</v>
      </c>
      <c r="H18" s="432">
        <v>0</v>
      </c>
      <c r="I18" s="432">
        <v>60</v>
      </c>
      <c r="J18" s="432">
        <v>392</v>
      </c>
      <c r="K18" s="432">
        <v>0</v>
      </c>
      <c r="L18" s="432">
        <v>0</v>
      </c>
    </row>
    <row r="19" spans="1:12" s="428" customFormat="1" ht="9" customHeight="1" x14ac:dyDescent="0.25">
      <c r="A19" s="431" t="s">
        <v>29</v>
      </c>
      <c r="B19" s="427">
        <f t="shared" si="1"/>
        <v>382437</v>
      </c>
      <c r="C19" s="427"/>
      <c r="D19" s="427">
        <v>111700</v>
      </c>
      <c r="E19" s="427">
        <v>195204</v>
      </c>
      <c r="F19" s="427">
        <v>63377</v>
      </c>
      <c r="G19" s="427">
        <v>8563</v>
      </c>
      <c r="H19" s="432">
        <v>430</v>
      </c>
      <c r="I19" s="432">
        <v>1207</v>
      </c>
      <c r="J19" s="432">
        <v>83</v>
      </c>
      <c r="K19" s="432">
        <v>1873</v>
      </c>
      <c r="L19" s="432">
        <v>0</v>
      </c>
    </row>
    <row r="20" spans="1:12" s="428" customFormat="1" ht="9" customHeight="1" x14ac:dyDescent="0.25">
      <c r="A20" s="433" t="s">
        <v>30</v>
      </c>
      <c r="B20" s="434">
        <f t="shared" si="1"/>
        <v>297805</v>
      </c>
      <c r="C20" s="434"/>
      <c r="D20" s="434">
        <v>75015</v>
      </c>
      <c r="E20" s="434">
        <v>41404</v>
      </c>
      <c r="F20" s="434">
        <v>153739</v>
      </c>
      <c r="G20" s="434">
        <v>25227</v>
      </c>
      <c r="H20" s="435">
        <v>136</v>
      </c>
      <c r="I20" s="435">
        <v>521</v>
      </c>
      <c r="J20" s="435">
        <v>0</v>
      </c>
      <c r="K20" s="435">
        <v>0</v>
      </c>
      <c r="L20" s="435">
        <v>1763</v>
      </c>
    </row>
    <row r="21" spans="1:12" s="428" customFormat="1" ht="9" customHeight="1" x14ac:dyDescent="0.25">
      <c r="A21" s="431" t="s">
        <v>63</v>
      </c>
      <c r="B21" s="427">
        <f t="shared" si="1"/>
        <v>701589</v>
      </c>
      <c r="C21" s="427"/>
      <c r="D21" s="427">
        <v>182608</v>
      </c>
      <c r="E21" s="427">
        <v>412</v>
      </c>
      <c r="F21" s="427">
        <v>236960</v>
      </c>
      <c r="G21" s="427">
        <v>209086</v>
      </c>
      <c r="H21" s="432">
        <v>9821</v>
      </c>
      <c r="I21" s="432">
        <v>2782</v>
      </c>
      <c r="J21" s="432">
        <v>435</v>
      </c>
      <c r="K21" s="432">
        <v>0</v>
      </c>
      <c r="L21" s="432">
        <v>59485</v>
      </c>
    </row>
    <row r="22" spans="1:12" s="428" customFormat="1" ht="9" customHeight="1" x14ac:dyDescent="0.25">
      <c r="A22" s="431" t="s">
        <v>31</v>
      </c>
      <c r="B22" s="427">
        <f t="shared" si="1"/>
        <v>228323</v>
      </c>
      <c r="C22" s="427"/>
      <c r="D22" s="427">
        <v>71671</v>
      </c>
      <c r="E22" s="427">
        <v>66444</v>
      </c>
      <c r="F22" s="427">
        <v>73261</v>
      </c>
      <c r="G22" s="427">
        <v>16624</v>
      </c>
      <c r="H22" s="432">
        <v>0</v>
      </c>
      <c r="I22" s="432">
        <v>323</v>
      </c>
      <c r="J22" s="432">
        <v>0</v>
      </c>
      <c r="K22" s="432">
        <v>0</v>
      </c>
      <c r="L22" s="432">
        <v>0</v>
      </c>
    </row>
    <row r="23" spans="1:12" s="428" customFormat="1" ht="9" customHeight="1" x14ac:dyDescent="0.25">
      <c r="A23" s="431" t="s">
        <v>32</v>
      </c>
      <c r="B23" s="427">
        <f t="shared" si="1"/>
        <v>326800</v>
      </c>
      <c r="C23" s="427"/>
      <c r="D23" s="427">
        <v>187734</v>
      </c>
      <c r="E23" s="432">
        <v>0</v>
      </c>
      <c r="F23" s="427">
        <v>112097</v>
      </c>
      <c r="G23" s="427">
        <v>24164</v>
      </c>
      <c r="H23" s="432">
        <v>2335</v>
      </c>
      <c r="I23" s="432">
        <v>470</v>
      </c>
      <c r="J23" s="432">
        <v>0</v>
      </c>
      <c r="K23" s="432">
        <v>0</v>
      </c>
      <c r="L23" s="432">
        <v>0</v>
      </c>
    </row>
    <row r="24" spans="1:12" s="428" customFormat="1" ht="9" customHeight="1" x14ac:dyDescent="0.25">
      <c r="A24" s="433" t="s">
        <v>33</v>
      </c>
      <c r="B24" s="434">
        <f t="shared" si="1"/>
        <v>391835</v>
      </c>
      <c r="C24" s="434"/>
      <c r="D24" s="434">
        <v>287573</v>
      </c>
      <c r="E24" s="435">
        <v>0</v>
      </c>
      <c r="F24" s="434">
        <v>69347</v>
      </c>
      <c r="G24" s="434">
        <v>33294</v>
      </c>
      <c r="H24" s="435">
        <v>0</v>
      </c>
      <c r="I24" s="435">
        <v>1136</v>
      </c>
      <c r="J24" s="435">
        <v>485</v>
      </c>
      <c r="K24" s="435">
        <v>0</v>
      </c>
      <c r="L24" s="435">
        <v>0</v>
      </c>
    </row>
    <row r="25" spans="1:12" s="428" customFormat="1" ht="9" customHeight="1" x14ac:dyDescent="0.25">
      <c r="A25" s="431" t="s">
        <v>34</v>
      </c>
      <c r="B25" s="427">
        <f t="shared" si="1"/>
        <v>223182</v>
      </c>
      <c r="C25" s="427"/>
      <c r="D25" s="427">
        <v>84411</v>
      </c>
      <c r="E25" s="427">
        <v>67279</v>
      </c>
      <c r="F25" s="427">
        <v>49951</v>
      </c>
      <c r="G25" s="427">
        <v>19944</v>
      </c>
      <c r="H25" s="432">
        <v>1143</v>
      </c>
      <c r="I25" s="432">
        <v>454</v>
      </c>
      <c r="J25" s="432">
        <v>0</v>
      </c>
      <c r="K25" s="432">
        <v>0</v>
      </c>
      <c r="L25" s="432">
        <v>0</v>
      </c>
    </row>
    <row r="26" spans="1:12" s="428" customFormat="1" ht="9" customHeight="1" x14ac:dyDescent="0.25">
      <c r="A26" s="431" t="s">
        <v>35</v>
      </c>
      <c r="B26" s="427">
        <f t="shared" si="1"/>
        <v>481904</v>
      </c>
      <c r="C26" s="427"/>
      <c r="D26" s="427">
        <v>268488</v>
      </c>
      <c r="E26" s="432">
        <v>0</v>
      </c>
      <c r="F26" s="427">
        <v>189498</v>
      </c>
      <c r="G26" s="427">
        <v>22584</v>
      </c>
      <c r="H26" s="432">
        <v>381</v>
      </c>
      <c r="I26" s="432">
        <v>390</v>
      </c>
      <c r="J26" s="432">
        <v>108</v>
      </c>
      <c r="K26" s="432">
        <v>0</v>
      </c>
      <c r="L26" s="432">
        <v>455</v>
      </c>
    </row>
    <row r="27" spans="1:12" s="428" customFormat="1" ht="9" customHeight="1" x14ac:dyDescent="0.25">
      <c r="A27" s="431" t="s">
        <v>36</v>
      </c>
      <c r="B27" s="427">
        <f t="shared" si="1"/>
        <v>1590931</v>
      </c>
      <c r="C27" s="427"/>
      <c r="D27" s="427">
        <v>1150346</v>
      </c>
      <c r="E27" s="432">
        <v>0</v>
      </c>
      <c r="F27" s="427">
        <v>364825</v>
      </c>
      <c r="G27" s="427">
        <v>64997</v>
      </c>
      <c r="H27" s="432">
        <v>261</v>
      </c>
      <c r="I27" s="432">
        <v>492</v>
      </c>
      <c r="J27" s="432">
        <v>0</v>
      </c>
      <c r="K27" s="432">
        <v>10010</v>
      </c>
      <c r="L27" s="432">
        <v>0</v>
      </c>
    </row>
    <row r="28" spans="1:12" s="428" customFormat="1" ht="9" customHeight="1" x14ac:dyDescent="0.25">
      <c r="A28" s="433" t="s">
        <v>37</v>
      </c>
      <c r="B28" s="434">
        <f t="shared" si="1"/>
        <v>419572</v>
      </c>
      <c r="C28" s="434"/>
      <c r="D28" s="434">
        <v>119665</v>
      </c>
      <c r="E28" s="435">
        <v>127724</v>
      </c>
      <c r="F28" s="434">
        <v>139960</v>
      </c>
      <c r="G28" s="434">
        <v>30257</v>
      </c>
      <c r="H28" s="435">
        <v>0</v>
      </c>
      <c r="I28" s="435">
        <v>816</v>
      </c>
      <c r="J28" s="435">
        <v>74</v>
      </c>
      <c r="K28" s="435">
        <v>0</v>
      </c>
      <c r="L28" s="435">
        <v>1076</v>
      </c>
    </row>
    <row r="29" spans="1:12" s="428" customFormat="1" ht="9" customHeight="1" x14ac:dyDescent="0.25">
      <c r="A29" s="431" t="s">
        <v>38</v>
      </c>
      <c r="B29" s="427">
        <f t="shared" si="1"/>
        <v>167511</v>
      </c>
      <c r="C29" s="427"/>
      <c r="D29" s="427">
        <v>91011</v>
      </c>
      <c r="E29" s="432">
        <v>0</v>
      </c>
      <c r="F29" s="427">
        <v>56262</v>
      </c>
      <c r="G29" s="427">
        <v>20083</v>
      </c>
      <c r="H29" s="432">
        <v>0</v>
      </c>
      <c r="I29" s="432">
        <v>155</v>
      </c>
      <c r="J29" s="432">
        <v>0</v>
      </c>
      <c r="K29" s="432">
        <v>0</v>
      </c>
      <c r="L29" s="432">
        <v>0</v>
      </c>
    </row>
    <row r="30" spans="1:12" s="428" customFormat="1" ht="9" customHeight="1" x14ac:dyDescent="0.25">
      <c r="A30" s="431" t="s">
        <v>39</v>
      </c>
      <c r="B30" s="427">
        <f t="shared" si="1"/>
        <v>137791</v>
      </c>
      <c r="C30" s="427"/>
      <c r="D30" s="427">
        <v>58178</v>
      </c>
      <c r="E30" s="432">
        <v>18901</v>
      </c>
      <c r="F30" s="427">
        <v>49571</v>
      </c>
      <c r="G30" s="427">
        <v>10919</v>
      </c>
      <c r="H30" s="432">
        <v>0</v>
      </c>
      <c r="I30" s="432">
        <v>188</v>
      </c>
      <c r="J30" s="432">
        <v>34</v>
      </c>
      <c r="K30" s="432">
        <v>0</v>
      </c>
      <c r="L30" s="432">
        <v>0</v>
      </c>
    </row>
    <row r="31" spans="1:12" s="428" customFormat="1" ht="9" customHeight="1" x14ac:dyDescent="0.25">
      <c r="A31" s="431" t="s">
        <v>40</v>
      </c>
      <c r="B31" s="427">
        <f t="shared" si="1"/>
        <v>250597</v>
      </c>
      <c r="C31" s="427"/>
      <c r="D31" s="427">
        <v>118993</v>
      </c>
      <c r="E31" s="432">
        <v>0</v>
      </c>
      <c r="F31" s="427">
        <v>111505</v>
      </c>
      <c r="G31" s="427">
        <v>13400</v>
      </c>
      <c r="H31" s="432">
        <v>1279</v>
      </c>
      <c r="I31" s="432">
        <v>136</v>
      </c>
      <c r="J31" s="432">
        <v>0</v>
      </c>
      <c r="K31" s="432">
        <v>3675</v>
      </c>
      <c r="L31" s="432">
        <v>1609</v>
      </c>
    </row>
    <row r="32" spans="1:12" s="428" customFormat="1" ht="9" customHeight="1" x14ac:dyDescent="0.25">
      <c r="A32" s="433" t="s">
        <v>41</v>
      </c>
      <c r="B32" s="434">
        <f t="shared" si="1"/>
        <v>304675</v>
      </c>
      <c r="C32" s="434"/>
      <c r="D32" s="434">
        <v>104887</v>
      </c>
      <c r="E32" s="435">
        <v>138158</v>
      </c>
      <c r="F32" s="434">
        <v>49378</v>
      </c>
      <c r="G32" s="434">
        <v>9716</v>
      </c>
      <c r="H32" s="435">
        <v>1471</v>
      </c>
      <c r="I32" s="435">
        <v>460</v>
      </c>
      <c r="J32" s="435">
        <v>605</v>
      </c>
      <c r="K32" s="435">
        <v>0</v>
      </c>
      <c r="L32" s="435">
        <v>0</v>
      </c>
    </row>
    <row r="33" spans="1:12" s="428" customFormat="1" ht="9" customHeight="1" x14ac:dyDescent="0.25">
      <c r="A33" s="431" t="s">
        <v>42</v>
      </c>
      <c r="B33" s="427">
        <f t="shared" si="1"/>
        <v>482501</v>
      </c>
      <c r="C33" s="427"/>
      <c r="D33" s="427">
        <v>139615</v>
      </c>
      <c r="E33" s="432">
        <v>155113</v>
      </c>
      <c r="F33" s="427">
        <v>152779</v>
      </c>
      <c r="G33" s="427">
        <v>31402</v>
      </c>
      <c r="H33" s="432">
        <v>277</v>
      </c>
      <c r="I33" s="432">
        <v>242</v>
      </c>
      <c r="J33" s="432">
        <v>0</v>
      </c>
      <c r="K33" s="432">
        <v>1571</v>
      </c>
      <c r="L33" s="432">
        <v>1502</v>
      </c>
    </row>
    <row r="34" spans="1:12" s="428" customFormat="1" ht="9" customHeight="1" x14ac:dyDescent="0.25">
      <c r="A34" s="431" t="s">
        <v>43</v>
      </c>
      <c r="B34" s="427">
        <f t="shared" si="1"/>
        <v>110443</v>
      </c>
      <c r="C34" s="427"/>
      <c r="D34" s="427">
        <v>47208</v>
      </c>
      <c r="E34" s="432">
        <v>0</v>
      </c>
      <c r="F34" s="427">
        <v>58307</v>
      </c>
      <c r="G34" s="427">
        <v>4635</v>
      </c>
      <c r="H34" s="432">
        <v>0</v>
      </c>
      <c r="I34" s="432">
        <v>293</v>
      </c>
      <c r="J34" s="432">
        <v>0</v>
      </c>
      <c r="K34" s="432">
        <v>0</v>
      </c>
      <c r="L34" s="432">
        <v>0</v>
      </c>
    </row>
    <row r="35" spans="1:12" s="428" customFormat="1" ht="9" customHeight="1" x14ac:dyDescent="0.25">
      <c r="A35" s="431" t="s">
        <v>44</v>
      </c>
      <c r="B35" s="427">
        <f t="shared" si="1"/>
        <v>84064</v>
      </c>
      <c r="C35" s="427"/>
      <c r="D35" s="427">
        <v>39852</v>
      </c>
      <c r="E35" s="432">
        <v>0</v>
      </c>
      <c r="F35" s="427">
        <v>35689</v>
      </c>
      <c r="G35" s="427">
        <v>8163</v>
      </c>
      <c r="H35" s="432">
        <v>0</v>
      </c>
      <c r="I35" s="432">
        <v>19</v>
      </c>
      <c r="J35" s="432">
        <v>341</v>
      </c>
      <c r="K35" s="432">
        <v>0</v>
      </c>
      <c r="L35" s="432">
        <v>0</v>
      </c>
    </row>
    <row r="36" spans="1:12" s="428" customFormat="1" ht="9" customHeight="1" x14ac:dyDescent="0.25">
      <c r="A36" s="433" t="s">
        <v>45</v>
      </c>
      <c r="B36" s="434">
        <f t="shared" si="1"/>
        <v>228407</v>
      </c>
      <c r="C36" s="434"/>
      <c r="D36" s="434">
        <v>77128</v>
      </c>
      <c r="E36" s="435">
        <v>72462</v>
      </c>
      <c r="F36" s="434">
        <v>60369</v>
      </c>
      <c r="G36" s="434">
        <v>15864</v>
      </c>
      <c r="H36" s="435">
        <v>486</v>
      </c>
      <c r="I36" s="435">
        <v>84</v>
      </c>
      <c r="J36" s="435">
        <v>0</v>
      </c>
      <c r="K36" s="435">
        <v>0</v>
      </c>
      <c r="L36" s="435">
        <v>2014</v>
      </c>
    </row>
    <row r="37" spans="1:12" s="428" customFormat="1" ht="9" customHeight="1" x14ac:dyDescent="0.25">
      <c r="A37" s="431" t="s">
        <v>46</v>
      </c>
      <c r="B37" s="427">
        <f t="shared" si="1"/>
        <v>322812</v>
      </c>
      <c r="C37" s="427"/>
      <c r="D37" s="427">
        <v>79016</v>
      </c>
      <c r="E37" s="432">
        <v>70695</v>
      </c>
      <c r="F37" s="427">
        <v>144634</v>
      </c>
      <c r="G37" s="427">
        <v>27546</v>
      </c>
      <c r="H37" s="432">
        <v>168</v>
      </c>
      <c r="I37" s="432">
        <v>486</v>
      </c>
      <c r="J37" s="432">
        <v>267</v>
      </c>
      <c r="K37" s="432">
        <v>0</v>
      </c>
      <c r="L37" s="432">
        <v>0</v>
      </c>
    </row>
    <row r="38" spans="1:12" s="428" customFormat="1" ht="9" customHeight="1" x14ac:dyDescent="0.25">
      <c r="A38" s="431" t="s">
        <v>47</v>
      </c>
      <c r="B38" s="427">
        <f t="shared" si="1"/>
        <v>195282</v>
      </c>
      <c r="C38" s="427"/>
      <c r="D38" s="427">
        <v>72939</v>
      </c>
      <c r="E38" s="432">
        <v>0</v>
      </c>
      <c r="F38" s="427">
        <v>105290</v>
      </c>
      <c r="G38" s="427">
        <v>12415</v>
      </c>
      <c r="H38" s="432">
        <v>0</v>
      </c>
      <c r="I38" s="432">
        <v>158</v>
      </c>
      <c r="J38" s="432">
        <v>186</v>
      </c>
      <c r="K38" s="432">
        <v>4294</v>
      </c>
      <c r="L38" s="432">
        <v>0</v>
      </c>
    </row>
    <row r="39" spans="1:12" s="428" customFormat="1" ht="9" customHeight="1" x14ac:dyDescent="0.25">
      <c r="A39" s="431" t="s">
        <v>48</v>
      </c>
      <c r="B39" s="427">
        <f t="shared" si="1"/>
        <v>208974</v>
      </c>
      <c r="C39" s="427"/>
      <c r="D39" s="427">
        <v>124781</v>
      </c>
      <c r="E39" s="432">
        <v>0</v>
      </c>
      <c r="F39" s="427">
        <v>55852</v>
      </c>
      <c r="G39" s="427">
        <v>10327</v>
      </c>
      <c r="H39" s="432">
        <v>12482</v>
      </c>
      <c r="I39" s="432">
        <v>118</v>
      </c>
      <c r="J39" s="432">
        <v>151</v>
      </c>
      <c r="K39" s="432">
        <v>5263</v>
      </c>
      <c r="L39" s="432">
        <v>0</v>
      </c>
    </row>
    <row r="40" spans="1:12" s="428" customFormat="1" ht="9" customHeight="1" x14ac:dyDescent="0.25">
      <c r="A40" s="433" t="s">
        <v>49</v>
      </c>
      <c r="B40" s="434">
        <f t="shared" si="1"/>
        <v>249235</v>
      </c>
      <c r="C40" s="434"/>
      <c r="D40" s="434">
        <v>80151</v>
      </c>
      <c r="E40" s="435">
        <v>32655</v>
      </c>
      <c r="F40" s="434">
        <v>89371</v>
      </c>
      <c r="G40" s="434">
        <v>27074</v>
      </c>
      <c r="H40" s="435">
        <v>12475</v>
      </c>
      <c r="I40" s="435">
        <v>346</v>
      </c>
      <c r="J40" s="435">
        <v>320</v>
      </c>
      <c r="K40" s="435">
        <v>0</v>
      </c>
      <c r="L40" s="435">
        <v>6843</v>
      </c>
    </row>
    <row r="41" spans="1:12" s="428" customFormat="1" ht="9" customHeight="1" x14ac:dyDescent="0.25">
      <c r="A41" s="431" t="s">
        <v>50</v>
      </c>
      <c r="B41" s="427">
        <f t="shared" si="1"/>
        <v>105595</v>
      </c>
      <c r="C41" s="427"/>
      <c r="D41" s="427">
        <v>53377</v>
      </c>
      <c r="E41" s="432">
        <v>0</v>
      </c>
      <c r="F41" s="427">
        <v>42735</v>
      </c>
      <c r="G41" s="427">
        <v>9004</v>
      </c>
      <c r="H41" s="432">
        <v>0</v>
      </c>
      <c r="I41" s="432">
        <v>479</v>
      </c>
      <c r="J41" s="432">
        <v>0</v>
      </c>
      <c r="K41" s="432">
        <v>0</v>
      </c>
      <c r="L41" s="432">
        <v>0</v>
      </c>
    </row>
    <row r="42" spans="1:12" s="428" customFormat="1" ht="9" customHeight="1" x14ac:dyDescent="0.25">
      <c r="A42" s="431" t="s">
        <v>51</v>
      </c>
      <c r="B42" s="427">
        <f t="shared" si="1"/>
        <v>740416</v>
      </c>
      <c r="C42" s="427"/>
      <c r="D42" s="427">
        <v>191601</v>
      </c>
      <c r="E42" s="432">
        <v>223678</v>
      </c>
      <c r="F42" s="427">
        <v>257992</v>
      </c>
      <c r="G42" s="427">
        <v>37086</v>
      </c>
      <c r="H42" s="432">
        <v>18019</v>
      </c>
      <c r="I42" s="432">
        <v>754</v>
      </c>
      <c r="J42" s="432">
        <v>1255</v>
      </c>
      <c r="K42" s="432">
        <v>0</v>
      </c>
      <c r="L42" s="432">
        <v>10031</v>
      </c>
    </row>
    <row r="43" spans="1:12" s="428" customFormat="1" ht="9" customHeight="1" x14ac:dyDescent="0.25">
      <c r="A43" s="431" t="s">
        <v>52</v>
      </c>
      <c r="B43" s="427">
        <f t="shared" si="1"/>
        <v>136144</v>
      </c>
      <c r="C43" s="427"/>
      <c r="D43" s="427">
        <v>47473</v>
      </c>
      <c r="E43" s="432">
        <v>27312</v>
      </c>
      <c r="F43" s="427">
        <v>52516</v>
      </c>
      <c r="G43" s="427">
        <v>8464</v>
      </c>
      <c r="H43" s="432">
        <v>0</v>
      </c>
      <c r="I43" s="432">
        <v>264</v>
      </c>
      <c r="J43" s="432">
        <v>115</v>
      </c>
      <c r="K43" s="432">
        <v>0</v>
      </c>
      <c r="L43" s="432">
        <v>0</v>
      </c>
    </row>
    <row r="44" spans="1:12" s="428" customFormat="1" ht="9" customHeight="1" x14ac:dyDescent="0.25">
      <c r="A44" s="433" t="s">
        <v>53</v>
      </c>
      <c r="B44" s="434">
        <f t="shared" si="1"/>
        <v>192183</v>
      </c>
      <c r="C44" s="434"/>
      <c r="D44" s="434">
        <v>90355</v>
      </c>
      <c r="E44" s="435">
        <v>33548</v>
      </c>
      <c r="F44" s="434">
        <v>43099</v>
      </c>
      <c r="G44" s="434">
        <v>25105</v>
      </c>
      <c r="H44" s="435">
        <v>0</v>
      </c>
      <c r="I44" s="435">
        <v>70</v>
      </c>
      <c r="J44" s="435">
        <v>0</v>
      </c>
      <c r="K44" s="435">
        <v>0</v>
      </c>
      <c r="L44" s="435">
        <v>6</v>
      </c>
    </row>
    <row r="45" spans="1:12" s="428" customFormat="1" ht="9" customHeight="1" x14ac:dyDescent="0.25">
      <c r="A45" s="436"/>
      <c r="B45" s="437"/>
      <c r="C45" s="437"/>
      <c r="D45" s="437"/>
      <c r="E45" s="438"/>
      <c r="F45" s="437"/>
      <c r="G45" s="437"/>
      <c r="H45" s="438"/>
      <c r="I45" s="438"/>
      <c r="J45" s="438"/>
      <c r="K45" s="438"/>
      <c r="L45" s="438"/>
    </row>
    <row r="46" spans="1:12" s="428" customFormat="1" ht="9" customHeight="1" x14ac:dyDescent="0.25">
      <c r="A46" s="426" t="s">
        <v>315</v>
      </c>
      <c r="B46" s="427"/>
      <c r="C46" s="427"/>
      <c r="D46" s="427"/>
      <c r="E46" s="427"/>
      <c r="F46" s="427"/>
      <c r="G46" s="427"/>
      <c r="H46" s="427"/>
      <c r="I46" s="427"/>
      <c r="J46" s="427"/>
      <c r="K46" s="427"/>
      <c r="L46" s="427"/>
    </row>
    <row r="47" spans="1:12" s="428" customFormat="1" ht="9" customHeight="1" x14ac:dyDescent="0.25">
      <c r="A47" s="429" t="s">
        <v>21</v>
      </c>
      <c r="B47" s="430">
        <f>SUM(B49:B80)</f>
        <v>12575782</v>
      </c>
      <c r="C47" s="430"/>
      <c r="D47" s="430">
        <f t="shared" ref="D47:L47" si="2">SUM(D49:D80)</f>
        <v>7163753</v>
      </c>
      <c r="E47" s="430">
        <f t="shared" si="2"/>
        <v>1407248</v>
      </c>
      <c r="F47" s="430">
        <f t="shared" si="2"/>
        <v>2929508</v>
      </c>
      <c r="G47" s="430">
        <f t="shared" si="2"/>
        <v>831447</v>
      </c>
      <c r="H47" s="430">
        <f t="shared" si="2"/>
        <v>58525</v>
      </c>
      <c r="I47" s="430">
        <f t="shared" si="2"/>
        <v>37960</v>
      </c>
      <c r="J47" s="430">
        <f t="shared" si="2"/>
        <v>5648</v>
      </c>
      <c r="K47" s="430">
        <f t="shared" si="2"/>
        <v>51399</v>
      </c>
      <c r="L47" s="430">
        <f t="shared" si="2"/>
        <v>90294</v>
      </c>
    </row>
    <row r="48" spans="1:12" s="428" customFormat="1" ht="3.95" customHeight="1" x14ac:dyDescent="0.25">
      <c r="A48" s="429"/>
      <c r="B48" s="430"/>
      <c r="C48" s="430"/>
      <c r="D48" s="430"/>
      <c r="E48" s="430"/>
      <c r="F48" s="430"/>
      <c r="G48" s="430"/>
      <c r="H48" s="430"/>
      <c r="I48" s="430"/>
      <c r="J48" s="430"/>
      <c r="K48" s="430"/>
      <c r="L48" s="430"/>
    </row>
    <row r="49" spans="1:12" s="428" customFormat="1" ht="9" customHeight="1" x14ac:dyDescent="0.25">
      <c r="A49" s="431" t="s">
        <v>23</v>
      </c>
      <c r="B49" s="427">
        <f t="shared" ref="B49:B80" si="3">SUM(D49:L49)</f>
        <v>116946</v>
      </c>
      <c r="C49" s="427"/>
      <c r="D49" s="427">
        <v>86106</v>
      </c>
      <c r="E49" s="427">
        <v>0</v>
      </c>
      <c r="F49" s="427">
        <v>23420</v>
      </c>
      <c r="G49" s="427">
        <v>7296</v>
      </c>
      <c r="H49" s="432">
        <v>0</v>
      </c>
      <c r="I49" s="427">
        <v>124</v>
      </c>
      <c r="J49" s="432">
        <v>0</v>
      </c>
      <c r="K49" s="432">
        <v>0</v>
      </c>
      <c r="L49" s="427">
        <v>0</v>
      </c>
    </row>
    <row r="50" spans="1:12" s="428" customFormat="1" ht="9" customHeight="1" x14ac:dyDescent="0.25">
      <c r="A50" s="431" t="s">
        <v>24</v>
      </c>
      <c r="B50" s="427">
        <f t="shared" si="3"/>
        <v>242083</v>
      </c>
      <c r="C50" s="427"/>
      <c r="D50" s="427">
        <v>67251</v>
      </c>
      <c r="E50" s="427">
        <v>23989</v>
      </c>
      <c r="F50" s="427">
        <v>138937</v>
      </c>
      <c r="G50" s="427">
        <v>8191</v>
      </c>
      <c r="H50" s="432">
        <v>0</v>
      </c>
      <c r="I50" s="427">
        <v>145</v>
      </c>
      <c r="J50" s="432">
        <v>90</v>
      </c>
      <c r="K50" s="427">
        <v>3480</v>
      </c>
      <c r="L50" s="427">
        <v>0</v>
      </c>
    </row>
    <row r="51" spans="1:12" s="428" customFormat="1" ht="9" customHeight="1" x14ac:dyDescent="0.25">
      <c r="A51" s="431" t="s">
        <v>25</v>
      </c>
      <c r="B51" s="427">
        <f t="shared" si="3"/>
        <v>61255</v>
      </c>
      <c r="C51" s="427"/>
      <c r="D51" s="427">
        <v>37033</v>
      </c>
      <c r="E51" s="427">
        <v>0</v>
      </c>
      <c r="F51" s="427">
        <v>17627</v>
      </c>
      <c r="G51" s="427">
        <v>4515</v>
      </c>
      <c r="H51" s="432">
        <v>0</v>
      </c>
      <c r="I51" s="427">
        <v>1872</v>
      </c>
      <c r="J51" s="427">
        <v>208</v>
      </c>
      <c r="K51" s="432">
        <v>0</v>
      </c>
      <c r="L51" s="427">
        <v>0</v>
      </c>
    </row>
    <row r="52" spans="1:12" s="428" customFormat="1" ht="9" customHeight="1" x14ac:dyDescent="0.25">
      <c r="A52" s="433" t="s">
        <v>26</v>
      </c>
      <c r="B52" s="434">
        <f t="shared" si="3"/>
        <v>123053</v>
      </c>
      <c r="C52" s="434"/>
      <c r="D52" s="434">
        <v>70186</v>
      </c>
      <c r="E52" s="434">
        <v>23091</v>
      </c>
      <c r="F52" s="434">
        <v>15309</v>
      </c>
      <c r="G52" s="434">
        <v>10547</v>
      </c>
      <c r="H52" s="434">
        <v>765</v>
      </c>
      <c r="I52" s="434">
        <v>2297</v>
      </c>
      <c r="J52" s="434">
        <v>858</v>
      </c>
      <c r="K52" s="435">
        <v>0</v>
      </c>
      <c r="L52" s="434">
        <v>0</v>
      </c>
    </row>
    <row r="53" spans="1:12" s="428" customFormat="1" ht="9" customHeight="1" x14ac:dyDescent="0.25">
      <c r="A53" s="431" t="s">
        <v>27</v>
      </c>
      <c r="B53" s="427">
        <f t="shared" si="3"/>
        <v>310541</v>
      </c>
      <c r="C53" s="427"/>
      <c r="D53" s="427">
        <v>171687</v>
      </c>
      <c r="E53" s="427">
        <v>32097</v>
      </c>
      <c r="F53" s="427">
        <v>90739</v>
      </c>
      <c r="G53" s="427">
        <v>14965</v>
      </c>
      <c r="H53" s="432">
        <v>0</v>
      </c>
      <c r="I53" s="427">
        <v>754</v>
      </c>
      <c r="J53" s="432">
        <v>0</v>
      </c>
      <c r="K53" s="427">
        <v>0</v>
      </c>
      <c r="L53" s="427">
        <v>299</v>
      </c>
    </row>
    <row r="54" spans="1:12" s="428" customFormat="1" ht="9" customHeight="1" x14ac:dyDescent="0.25">
      <c r="A54" s="431" t="s">
        <v>28</v>
      </c>
      <c r="B54" s="427">
        <f t="shared" si="3"/>
        <v>98360</v>
      </c>
      <c r="C54" s="427"/>
      <c r="D54" s="427">
        <v>50904</v>
      </c>
      <c r="E54" s="427">
        <v>0</v>
      </c>
      <c r="F54" s="427">
        <v>35524</v>
      </c>
      <c r="G54" s="427">
        <v>10237</v>
      </c>
      <c r="H54" s="432">
        <v>0</v>
      </c>
      <c r="I54" s="427">
        <v>1316</v>
      </c>
      <c r="J54" s="427">
        <v>379</v>
      </c>
      <c r="K54" s="432">
        <v>0</v>
      </c>
      <c r="L54" s="427">
        <v>0</v>
      </c>
    </row>
    <row r="55" spans="1:12" s="428" customFormat="1" ht="9" customHeight="1" x14ac:dyDescent="0.25">
      <c r="A55" s="431" t="s">
        <v>29</v>
      </c>
      <c r="B55" s="427">
        <f t="shared" si="3"/>
        <v>588443</v>
      </c>
      <c r="C55" s="427"/>
      <c r="D55" s="427">
        <v>326785</v>
      </c>
      <c r="E55" s="427">
        <v>204099</v>
      </c>
      <c r="F55" s="427">
        <v>44096</v>
      </c>
      <c r="G55" s="427">
        <v>10265</v>
      </c>
      <c r="H55" s="427">
        <v>370</v>
      </c>
      <c r="I55" s="427">
        <v>295</v>
      </c>
      <c r="J55" s="427">
        <v>66</v>
      </c>
      <c r="K55" s="427">
        <v>2467</v>
      </c>
      <c r="L55" s="427">
        <v>0</v>
      </c>
    </row>
    <row r="56" spans="1:12" s="428" customFormat="1" ht="9" customHeight="1" x14ac:dyDescent="0.25">
      <c r="A56" s="433" t="s">
        <v>30</v>
      </c>
      <c r="B56" s="434">
        <f t="shared" si="3"/>
        <v>345233</v>
      </c>
      <c r="C56" s="434"/>
      <c r="D56" s="434">
        <v>141364</v>
      </c>
      <c r="E56" s="434">
        <v>44552</v>
      </c>
      <c r="F56" s="434">
        <v>132100</v>
      </c>
      <c r="G56" s="434">
        <v>23817</v>
      </c>
      <c r="H56" s="434">
        <v>171</v>
      </c>
      <c r="I56" s="434">
        <v>332</v>
      </c>
      <c r="J56" s="435">
        <v>0</v>
      </c>
      <c r="K56" s="434">
        <v>0</v>
      </c>
      <c r="L56" s="434">
        <v>2897</v>
      </c>
    </row>
    <row r="57" spans="1:12" s="428" customFormat="1" ht="9" customHeight="1" x14ac:dyDescent="0.25">
      <c r="A57" s="431" t="s">
        <v>63</v>
      </c>
      <c r="B57" s="427">
        <f t="shared" si="3"/>
        <v>727712</v>
      </c>
      <c r="C57" s="427"/>
      <c r="D57" s="427">
        <v>210955</v>
      </c>
      <c r="E57" s="427">
        <v>339</v>
      </c>
      <c r="F57" s="427">
        <v>222205</v>
      </c>
      <c r="G57" s="427">
        <v>225548</v>
      </c>
      <c r="H57" s="427">
        <v>8162</v>
      </c>
      <c r="I57" s="427">
        <v>1464</v>
      </c>
      <c r="J57" s="427">
        <v>420</v>
      </c>
      <c r="K57" s="427">
        <v>0</v>
      </c>
      <c r="L57" s="427">
        <v>58619</v>
      </c>
    </row>
    <row r="58" spans="1:12" s="428" customFormat="1" ht="9" customHeight="1" x14ac:dyDescent="0.25">
      <c r="A58" s="431" t="s">
        <v>31</v>
      </c>
      <c r="B58" s="427">
        <f t="shared" si="3"/>
        <v>291101</v>
      </c>
      <c r="C58" s="427"/>
      <c r="D58" s="427">
        <v>142294</v>
      </c>
      <c r="E58" s="427">
        <v>65506</v>
      </c>
      <c r="F58" s="427">
        <v>64058</v>
      </c>
      <c r="G58" s="427">
        <v>17733</v>
      </c>
      <c r="H58" s="432">
        <v>0</v>
      </c>
      <c r="I58" s="427">
        <v>1510</v>
      </c>
      <c r="J58" s="432">
        <v>0</v>
      </c>
      <c r="K58" s="432">
        <v>0</v>
      </c>
      <c r="L58" s="427">
        <v>0</v>
      </c>
    </row>
    <row r="59" spans="1:12" s="428" customFormat="1" ht="9" customHeight="1" x14ac:dyDescent="0.25">
      <c r="A59" s="431" t="s">
        <v>32</v>
      </c>
      <c r="B59" s="427">
        <f t="shared" si="3"/>
        <v>433002</v>
      </c>
      <c r="C59" s="427"/>
      <c r="D59" s="427">
        <v>292646</v>
      </c>
      <c r="E59" s="427">
        <v>0</v>
      </c>
      <c r="F59" s="427">
        <v>110254</v>
      </c>
      <c r="G59" s="427">
        <v>27965</v>
      </c>
      <c r="H59" s="427">
        <v>2011</v>
      </c>
      <c r="I59" s="427">
        <v>126</v>
      </c>
      <c r="J59" s="432">
        <v>0</v>
      </c>
      <c r="K59" s="432">
        <v>0</v>
      </c>
      <c r="L59" s="427">
        <v>0</v>
      </c>
    </row>
    <row r="60" spans="1:12" s="428" customFormat="1" ht="9" customHeight="1" x14ac:dyDescent="0.25">
      <c r="A60" s="433" t="s">
        <v>33</v>
      </c>
      <c r="B60" s="434">
        <f t="shared" si="3"/>
        <v>540734</v>
      </c>
      <c r="C60" s="434"/>
      <c r="D60" s="434">
        <v>458857</v>
      </c>
      <c r="E60" s="434">
        <v>0</v>
      </c>
      <c r="F60" s="434">
        <v>52311</v>
      </c>
      <c r="G60" s="434">
        <v>28633</v>
      </c>
      <c r="H60" s="435">
        <v>0</v>
      </c>
      <c r="I60" s="434">
        <v>599</v>
      </c>
      <c r="J60" s="434">
        <v>334</v>
      </c>
      <c r="K60" s="435">
        <v>0</v>
      </c>
      <c r="L60" s="434">
        <v>0</v>
      </c>
    </row>
    <row r="61" spans="1:12" s="428" customFormat="1" ht="9" customHeight="1" x14ac:dyDescent="0.25">
      <c r="A61" s="431" t="s">
        <v>34</v>
      </c>
      <c r="B61" s="427">
        <f t="shared" si="3"/>
        <v>318002</v>
      </c>
      <c r="C61" s="427"/>
      <c r="D61" s="427">
        <v>168747</v>
      </c>
      <c r="E61" s="427">
        <v>67951</v>
      </c>
      <c r="F61" s="427">
        <v>54461</v>
      </c>
      <c r="G61" s="427">
        <v>25489</v>
      </c>
      <c r="H61" s="427">
        <v>835</v>
      </c>
      <c r="I61" s="427">
        <v>519</v>
      </c>
      <c r="J61" s="432">
        <v>0</v>
      </c>
      <c r="K61" s="432">
        <v>0</v>
      </c>
      <c r="L61" s="427">
        <v>0</v>
      </c>
    </row>
    <row r="62" spans="1:12" s="428" customFormat="1" ht="9" customHeight="1" x14ac:dyDescent="0.25">
      <c r="A62" s="431" t="s">
        <v>35</v>
      </c>
      <c r="B62" s="427">
        <f t="shared" si="3"/>
        <v>609166</v>
      </c>
      <c r="C62" s="427"/>
      <c r="D62" s="427">
        <v>389358</v>
      </c>
      <c r="E62" s="427">
        <v>0</v>
      </c>
      <c r="F62" s="427">
        <v>185730</v>
      </c>
      <c r="G62" s="427">
        <v>24904</v>
      </c>
      <c r="H62" s="427">
        <v>291</v>
      </c>
      <c r="I62" s="427">
        <v>4006</v>
      </c>
      <c r="J62" s="427">
        <v>124</v>
      </c>
      <c r="K62" s="427">
        <v>0</v>
      </c>
      <c r="L62" s="427">
        <v>4753</v>
      </c>
    </row>
    <row r="63" spans="1:12" s="428" customFormat="1" ht="9" customHeight="1" x14ac:dyDescent="0.25">
      <c r="A63" s="431" t="s">
        <v>36</v>
      </c>
      <c r="B63" s="427">
        <f t="shared" si="3"/>
        <v>1929036</v>
      </c>
      <c r="C63" s="427"/>
      <c r="D63" s="427">
        <v>1479851</v>
      </c>
      <c r="E63" s="427">
        <v>0</v>
      </c>
      <c r="F63" s="427">
        <v>358242</v>
      </c>
      <c r="G63" s="427">
        <v>63761</v>
      </c>
      <c r="H63" s="427">
        <v>283</v>
      </c>
      <c r="I63" s="427">
        <v>2415</v>
      </c>
      <c r="J63" s="432">
        <v>0</v>
      </c>
      <c r="K63" s="427">
        <v>24484</v>
      </c>
      <c r="L63" s="427">
        <v>0</v>
      </c>
    </row>
    <row r="64" spans="1:12" s="428" customFormat="1" ht="9" customHeight="1" x14ac:dyDescent="0.25">
      <c r="A64" s="433" t="s">
        <v>37</v>
      </c>
      <c r="B64" s="434">
        <f t="shared" si="3"/>
        <v>568577</v>
      </c>
      <c r="C64" s="434"/>
      <c r="D64" s="434">
        <v>270430</v>
      </c>
      <c r="E64" s="434">
        <v>142690</v>
      </c>
      <c r="F64" s="434">
        <v>120646</v>
      </c>
      <c r="G64" s="434">
        <v>33907</v>
      </c>
      <c r="H64" s="435">
        <v>0</v>
      </c>
      <c r="I64" s="434">
        <v>885</v>
      </c>
      <c r="J64" s="434">
        <v>19</v>
      </c>
      <c r="K64" s="435">
        <v>0</v>
      </c>
      <c r="L64" s="434">
        <v>0</v>
      </c>
    </row>
    <row r="65" spans="1:12" s="428" customFormat="1" ht="9" customHeight="1" x14ac:dyDescent="0.25">
      <c r="A65" s="431" t="s">
        <v>38</v>
      </c>
      <c r="B65" s="427">
        <f t="shared" si="3"/>
        <v>217609</v>
      </c>
      <c r="C65" s="427"/>
      <c r="D65" s="427">
        <v>142910</v>
      </c>
      <c r="E65" s="427">
        <v>0</v>
      </c>
      <c r="F65" s="427">
        <v>52112</v>
      </c>
      <c r="G65" s="427">
        <v>22009</v>
      </c>
      <c r="H65" s="432">
        <v>0</v>
      </c>
      <c r="I65" s="427">
        <v>578</v>
      </c>
      <c r="J65" s="432">
        <v>0</v>
      </c>
      <c r="K65" s="432">
        <v>0</v>
      </c>
      <c r="L65" s="427">
        <v>0</v>
      </c>
    </row>
    <row r="66" spans="1:12" s="428" customFormat="1" ht="9" customHeight="1" x14ac:dyDescent="0.25">
      <c r="A66" s="431" t="s">
        <v>39</v>
      </c>
      <c r="B66" s="427">
        <f t="shared" si="3"/>
        <v>219202</v>
      </c>
      <c r="C66" s="427"/>
      <c r="D66" s="427">
        <v>146572</v>
      </c>
      <c r="E66" s="427">
        <v>17839</v>
      </c>
      <c r="F66" s="427">
        <v>41550</v>
      </c>
      <c r="G66" s="427">
        <v>12047</v>
      </c>
      <c r="H66" s="432">
        <v>0</v>
      </c>
      <c r="I66" s="427">
        <v>1157</v>
      </c>
      <c r="J66" s="432">
        <v>37</v>
      </c>
      <c r="K66" s="432">
        <v>0</v>
      </c>
      <c r="L66" s="427">
        <v>0</v>
      </c>
    </row>
    <row r="67" spans="1:12" s="428" customFormat="1" ht="9" customHeight="1" x14ac:dyDescent="0.25">
      <c r="A67" s="431" t="s">
        <v>40</v>
      </c>
      <c r="B67" s="427">
        <f t="shared" si="3"/>
        <v>343409</v>
      </c>
      <c r="C67" s="427"/>
      <c r="D67" s="427">
        <v>208190</v>
      </c>
      <c r="E67" s="427">
        <v>0</v>
      </c>
      <c r="F67" s="427">
        <v>108691</v>
      </c>
      <c r="G67" s="427">
        <v>20254</v>
      </c>
      <c r="H67" s="432">
        <v>1052</v>
      </c>
      <c r="I67" s="427">
        <v>348</v>
      </c>
      <c r="J67" s="432">
        <v>0</v>
      </c>
      <c r="K67" s="427">
        <v>2853</v>
      </c>
      <c r="L67" s="427">
        <v>2021</v>
      </c>
    </row>
    <row r="68" spans="1:12" s="428" customFormat="1" ht="9" customHeight="1" x14ac:dyDescent="0.25">
      <c r="A68" s="433" t="s">
        <v>41</v>
      </c>
      <c r="B68" s="434">
        <f t="shared" si="3"/>
        <v>381932</v>
      </c>
      <c r="C68" s="434"/>
      <c r="D68" s="434">
        <v>196060</v>
      </c>
      <c r="E68" s="434">
        <v>124248</v>
      </c>
      <c r="F68" s="434">
        <v>46745</v>
      </c>
      <c r="G68" s="434">
        <v>11935</v>
      </c>
      <c r="H68" s="434">
        <v>1178</v>
      </c>
      <c r="I68" s="434">
        <v>1086</v>
      </c>
      <c r="J68" s="434">
        <v>680</v>
      </c>
      <c r="K68" s="435">
        <v>0</v>
      </c>
      <c r="L68" s="434">
        <v>0</v>
      </c>
    </row>
    <row r="69" spans="1:12" s="428" customFormat="1" ht="9" customHeight="1" x14ac:dyDescent="0.25">
      <c r="A69" s="431" t="s">
        <v>42</v>
      </c>
      <c r="B69" s="427">
        <f t="shared" si="3"/>
        <v>687087</v>
      </c>
      <c r="C69" s="427"/>
      <c r="D69" s="427">
        <v>363954</v>
      </c>
      <c r="E69" s="427">
        <v>150705</v>
      </c>
      <c r="F69" s="427">
        <v>126080</v>
      </c>
      <c r="G69" s="427">
        <v>33058</v>
      </c>
      <c r="H69" s="427">
        <v>212</v>
      </c>
      <c r="I69" s="427">
        <v>1001</v>
      </c>
      <c r="J69" s="432">
        <v>0</v>
      </c>
      <c r="K69" s="427">
        <v>10562</v>
      </c>
      <c r="L69" s="427">
        <v>1515</v>
      </c>
    </row>
    <row r="70" spans="1:12" s="428" customFormat="1" ht="9" customHeight="1" x14ac:dyDescent="0.25">
      <c r="A70" s="431" t="s">
        <v>43</v>
      </c>
      <c r="B70" s="427">
        <f t="shared" si="3"/>
        <v>134412</v>
      </c>
      <c r="C70" s="427"/>
      <c r="D70" s="427">
        <v>81001</v>
      </c>
      <c r="E70" s="427">
        <v>0</v>
      </c>
      <c r="F70" s="427">
        <v>47973</v>
      </c>
      <c r="G70" s="427">
        <v>5071</v>
      </c>
      <c r="H70" s="432">
        <v>0</v>
      </c>
      <c r="I70" s="427">
        <v>367</v>
      </c>
      <c r="J70" s="432">
        <v>0</v>
      </c>
      <c r="K70" s="432">
        <v>0</v>
      </c>
      <c r="L70" s="427">
        <v>0</v>
      </c>
    </row>
    <row r="71" spans="1:12" s="428" customFormat="1" ht="9" customHeight="1" x14ac:dyDescent="0.25">
      <c r="A71" s="431" t="s">
        <v>44</v>
      </c>
      <c r="B71" s="427">
        <f t="shared" si="3"/>
        <v>104321</v>
      </c>
      <c r="C71" s="427"/>
      <c r="D71" s="427">
        <v>61916</v>
      </c>
      <c r="E71" s="427">
        <v>0</v>
      </c>
      <c r="F71" s="427">
        <v>32606</v>
      </c>
      <c r="G71" s="427">
        <v>9326</v>
      </c>
      <c r="H71" s="432">
        <v>0</v>
      </c>
      <c r="I71" s="427">
        <v>110</v>
      </c>
      <c r="J71" s="427">
        <v>363</v>
      </c>
      <c r="K71" s="432">
        <v>0</v>
      </c>
      <c r="L71" s="427">
        <v>0</v>
      </c>
    </row>
    <row r="72" spans="1:12" s="428" customFormat="1" ht="9" customHeight="1" x14ac:dyDescent="0.25">
      <c r="A72" s="433" t="s">
        <v>45</v>
      </c>
      <c r="B72" s="434">
        <f t="shared" si="3"/>
        <v>303394</v>
      </c>
      <c r="C72" s="434"/>
      <c r="D72" s="434">
        <v>156125</v>
      </c>
      <c r="E72" s="434">
        <v>69954</v>
      </c>
      <c r="F72" s="434">
        <v>55957</v>
      </c>
      <c r="G72" s="434">
        <v>14468</v>
      </c>
      <c r="H72" s="434">
        <v>331</v>
      </c>
      <c r="I72" s="434">
        <v>2319</v>
      </c>
      <c r="J72" s="435">
        <v>0</v>
      </c>
      <c r="K72" s="434">
        <v>0</v>
      </c>
      <c r="L72" s="434">
        <v>4240</v>
      </c>
    </row>
    <row r="73" spans="1:12" s="428" customFormat="1" ht="9" customHeight="1" x14ac:dyDescent="0.25">
      <c r="A73" s="431" t="s">
        <v>46</v>
      </c>
      <c r="B73" s="427">
        <f t="shared" si="3"/>
        <v>360868</v>
      </c>
      <c r="C73" s="427"/>
      <c r="D73" s="427">
        <v>135332</v>
      </c>
      <c r="E73" s="427">
        <v>62099</v>
      </c>
      <c r="F73" s="427">
        <v>130564</v>
      </c>
      <c r="G73" s="427">
        <v>28549</v>
      </c>
      <c r="H73" s="427">
        <v>151</v>
      </c>
      <c r="I73" s="427">
        <v>3835</v>
      </c>
      <c r="J73" s="427">
        <v>338</v>
      </c>
      <c r="K73" s="432">
        <v>0</v>
      </c>
      <c r="L73" s="427">
        <v>0</v>
      </c>
    </row>
    <row r="74" spans="1:12" s="428" customFormat="1" ht="9" customHeight="1" x14ac:dyDescent="0.25">
      <c r="A74" s="431" t="s">
        <v>47</v>
      </c>
      <c r="B74" s="427">
        <f t="shared" si="3"/>
        <v>234127</v>
      </c>
      <c r="C74" s="427"/>
      <c r="D74" s="427">
        <v>126365</v>
      </c>
      <c r="E74" s="427">
        <v>0</v>
      </c>
      <c r="F74" s="427">
        <v>93236</v>
      </c>
      <c r="G74" s="427">
        <v>12384</v>
      </c>
      <c r="H74" s="432">
        <v>0</v>
      </c>
      <c r="I74" s="427">
        <v>472</v>
      </c>
      <c r="J74" s="427">
        <v>177</v>
      </c>
      <c r="K74" s="427">
        <v>1493</v>
      </c>
      <c r="L74" s="427">
        <v>0</v>
      </c>
    </row>
    <row r="75" spans="1:12" s="428" customFormat="1" ht="9" customHeight="1" x14ac:dyDescent="0.25">
      <c r="A75" s="431" t="s">
        <v>48</v>
      </c>
      <c r="B75" s="427">
        <f t="shared" si="3"/>
        <v>329481</v>
      </c>
      <c r="C75" s="427"/>
      <c r="D75" s="427">
        <v>234184</v>
      </c>
      <c r="E75" s="427">
        <v>0</v>
      </c>
      <c r="F75" s="427">
        <v>62632</v>
      </c>
      <c r="G75" s="427">
        <v>12418</v>
      </c>
      <c r="H75" s="427">
        <v>12795</v>
      </c>
      <c r="I75" s="427">
        <v>1264</v>
      </c>
      <c r="J75" s="427">
        <v>128</v>
      </c>
      <c r="K75" s="427">
        <v>6060</v>
      </c>
      <c r="L75" s="427">
        <v>0</v>
      </c>
    </row>
    <row r="76" spans="1:12" s="428" customFormat="1" ht="9" customHeight="1" x14ac:dyDescent="0.25">
      <c r="A76" s="433" t="s">
        <v>49</v>
      </c>
      <c r="B76" s="434">
        <f t="shared" si="3"/>
        <v>321164</v>
      </c>
      <c r="C76" s="434"/>
      <c r="D76" s="434">
        <v>148751</v>
      </c>
      <c r="E76" s="434">
        <v>36601</v>
      </c>
      <c r="F76" s="434">
        <v>87399</v>
      </c>
      <c r="G76" s="434">
        <v>28308</v>
      </c>
      <c r="H76" s="434">
        <v>12086</v>
      </c>
      <c r="I76" s="434">
        <v>2022</v>
      </c>
      <c r="J76" s="434">
        <v>408</v>
      </c>
      <c r="K76" s="434">
        <v>0</v>
      </c>
      <c r="L76" s="434">
        <v>5589</v>
      </c>
    </row>
    <row r="77" spans="1:12" s="428" customFormat="1" ht="9" customHeight="1" x14ac:dyDescent="0.25">
      <c r="A77" s="431" t="s">
        <v>50</v>
      </c>
      <c r="B77" s="427">
        <f t="shared" si="3"/>
        <v>131480</v>
      </c>
      <c r="C77" s="427"/>
      <c r="D77" s="427">
        <v>94072</v>
      </c>
      <c r="E77" s="427">
        <v>0</v>
      </c>
      <c r="F77" s="427">
        <v>27462</v>
      </c>
      <c r="G77" s="427">
        <v>8196</v>
      </c>
      <c r="H77" s="432">
        <v>0</v>
      </c>
      <c r="I77" s="427">
        <v>1750</v>
      </c>
      <c r="J77" s="432">
        <v>0</v>
      </c>
      <c r="K77" s="432">
        <v>0</v>
      </c>
      <c r="L77" s="427">
        <v>0</v>
      </c>
    </row>
    <row r="78" spans="1:12" s="428" customFormat="1" ht="9" customHeight="1" x14ac:dyDescent="0.25">
      <c r="A78" s="431" t="s">
        <v>51</v>
      </c>
      <c r="B78" s="427">
        <f t="shared" si="3"/>
        <v>1065024</v>
      </c>
      <c r="C78" s="427"/>
      <c r="D78" s="427">
        <v>482187</v>
      </c>
      <c r="E78" s="427">
        <v>241761</v>
      </c>
      <c r="F78" s="427">
        <v>269517</v>
      </c>
      <c r="G78" s="427">
        <v>41206</v>
      </c>
      <c r="H78" s="427">
        <v>17832</v>
      </c>
      <c r="I78" s="427">
        <v>1437</v>
      </c>
      <c r="J78" s="427">
        <v>812</v>
      </c>
      <c r="K78" s="427">
        <v>0</v>
      </c>
      <c r="L78" s="427">
        <v>10272</v>
      </c>
    </row>
    <row r="79" spans="1:12" s="428" customFormat="1" ht="9" customHeight="1" x14ac:dyDescent="0.25">
      <c r="A79" s="431" t="s">
        <v>52</v>
      </c>
      <c r="B79" s="427">
        <f t="shared" si="3"/>
        <v>190070</v>
      </c>
      <c r="C79" s="427"/>
      <c r="D79" s="427">
        <v>73983</v>
      </c>
      <c r="E79" s="427">
        <v>58785</v>
      </c>
      <c r="F79" s="427">
        <v>48609</v>
      </c>
      <c r="G79" s="427">
        <v>8050</v>
      </c>
      <c r="H79" s="432">
        <v>0</v>
      </c>
      <c r="I79" s="427">
        <v>436</v>
      </c>
      <c r="J79" s="427">
        <v>207</v>
      </c>
      <c r="K79" s="432">
        <v>0</v>
      </c>
      <c r="L79" s="427">
        <v>0</v>
      </c>
    </row>
    <row r="80" spans="1:12" s="428" customFormat="1" ht="9" customHeight="1" x14ac:dyDescent="0.25">
      <c r="A80" s="433" t="s">
        <v>53</v>
      </c>
      <c r="B80" s="434">
        <f t="shared" si="3"/>
        <v>248958</v>
      </c>
      <c r="C80" s="434"/>
      <c r="D80" s="434">
        <v>147697</v>
      </c>
      <c r="E80" s="434">
        <v>40942</v>
      </c>
      <c r="F80" s="434">
        <v>32716</v>
      </c>
      <c r="G80" s="434">
        <v>26395</v>
      </c>
      <c r="H80" s="435">
        <v>0</v>
      </c>
      <c r="I80" s="434">
        <v>1119</v>
      </c>
      <c r="J80" s="435">
        <v>0</v>
      </c>
      <c r="K80" s="434">
        <v>0</v>
      </c>
      <c r="L80" s="434">
        <v>89</v>
      </c>
    </row>
    <row r="81" spans="1:12" s="428" customFormat="1" ht="9" customHeight="1" x14ac:dyDescent="0.25">
      <c r="A81" s="431"/>
      <c r="B81" s="427"/>
      <c r="C81" s="427"/>
      <c r="D81" s="427"/>
      <c r="E81" s="427"/>
      <c r="F81" s="427"/>
      <c r="G81" s="427"/>
      <c r="H81" s="432"/>
      <c r="I81" s="427"/>
      <c r="J81" s="432"/>
      <c r="K81" s="427"/>
      <c r="L81" s="427"/>
    </row>
    <row r="82" spans="1:12" s="428" customFormat="1" ht="9" customHeight="1" x14ac:dyDescent="0.25">
      <c r="A82" s="426" t="s">
        <v>316</v>
      </c>
      <c r="B82" s="427"/>
      <c r="C82" s="427"/>
      <c r="D82" s="427"/>
      <c r="E82" s="427"/>
      <c r="F82" s="427"/>
      <c r="G82" s="427"/>
      <c r="H82" s="427"/>
      <c r="I82" s="427"/>
      <c r="J82" s="427"/>
      <c r="K82" s="427"/>
      <c r="L82" s="427"/>
    </row>
    <row r="83" spans="1:12" s="428" customFormat="1" ht="9" customHeight="1" x14ac:dyDescent="0.25">
      <c r="A83" s="429" t="s">
        <v>21</v>
      </c>
      <c r="B83" s="430">
        <f>SUM(B85:B116)</f>
        <v>12442204</v>
      </c>
      <c r="C83" s="430"/>
      <c r="D83" s="430">
        <f t="shared" ref="D83:L83" si="4">SUM(D85:D116)</f>
        <v>7442152</v>
      </c>
      <c r="E83" s="430">
        <f t="shared" si="4"/>
        <v>891875</v>
      </c>
      <c r="F83" s="430">
        <f t="shared" si="4"/>
        <v>3146775</v>
      </c>
      <c r="G83" s="430">
        <f t="shared" si="4"/>
        <v>839099</v>
      </c>
      <c r="H83" s="430">
        <f t="shared" si="4"/>
        <v>58237</v>
      </c>
      <c r="I83" s="430">
        <f t="shared" si="4"/>
        <v>7384</v>
      </c>
      <c r="J83" s="430">
        <f t="shared" si="4"/>
        <v>5912</v>
      </c>
      <c r="K83" s="430">
        <f t="shared" si="4"/>
        <v>48151</v>
      </c>
      <c r="L83" s="430">
        <f t="shared" si="4"/>
        <v>2619</v>
      </c>
    </row>
    <row r="84" spans="1:12" s="428" customFormat="1" ht="3.95" customHeight="1" x14ac:dyDescent="0.25">
      <c r="A84" s="429"/>
      <c r="B84" s="430"/>
      <c r="C84" s="430"/>
      <c r="D84" s="430"/>
      <c r="E84" s="430"/>
      <c r="F84" s="430"/>
      <c r="G84" s="430"/>
      <c r="H84" s="430"/>
      <c r="I84" s="430"/>
      <c r="J84" s="430"/>
      <c r="K84" s="430"/>
      <c r="L84" s="430"/>
    </row>
    <row r="85" spans="1:12" s="428" customFormat="1" ht="9" customHeight="1" x14ac:dyDescent="0.25">
      <c r="A85" s="431" t="s">
        <v>23</v>
      </c>
      <c r="B85" s="427">
        <f t="shared" ref="B85:B116" si="5">SUM(D85:L85)</f>
        <v>131103</v>
      </c>
      <c r="C85" s="427"/>
      <c r="D85" s="427">
        <v>94313</v>
      </c>
      <c r="E85" s="432">
        <v>0</v>
      </c>
      <c r="F85" s="427">
        <v>29782</v>
      </c>
      <c r="G85" s="427">
        <v>7008</v>
      </c>
      <c r="H85" s="432">
        <v>0</v>
      </c>
      <c r="I85" s="427">
        <v>0</v>
      </c>
      <c r="J85" s="432">
        <v>0</v>
      </c>
      <c r="K85" s="432">
        <v>0</v>
      </c>
      <c r="L85" s="432">
        <v>0</v>
      </c>
    </row>
    <row r="86" spans="1:12" s="428" customFormat="1" ht="9" customHeight="1" x14ac:dyDescent="0.25">
      <c r="A86" s="431" t="s">
        <v>24</v>
      </c>
      <c r="B86" s="427">
        <f t="shared" si="5"/>
        <v>304042</v>
      </c>
      <c r="C86" s="427"/>
      <c r="D86" s="427">
        <v>76623</v>
      </c>
      <c r="E86" s="432">
        <v>19288</v>
      </c>
      <c r="F86" s="427">
        <v>195418</v>
      </c>
      <c r="G86" s="427">
        <v>7822</v>
      </c>
      <c r="H86" s="432">
        <v>0</v>
      </c>
      <c r="I86" s="427">
        <v>222</v>
      </c>
      <c r="J86" s="432">
        <v>159</v>
      </c>
      <c r="K86" s="427">
        <v>4510</v>
      </c>
      <c r="L86" s="432">
        <v>0</v>
      </c>
    </row>
    <row r="87" spans="1:12" s="428" customFormat="1" ht="9" customHeight="1" x14ac:dyDescent="0.25">
      <c r="A87" s="431" t="s">
        <v>25</v>
      </c>
      <c r="B87" s="427">
        <f t="shared" si="5"/>
        <v>63283</v>
      </c>
      <c r="C87" s="427"/>
      <c r="D87" s="427">
        <v>39363</v>
      </c>
      <c r="E87" s="432">
        <v>0</v>
      </c>
      <c r="F87" s="427">
        <v>18610</v>
      </c>
      <c r="G87" s="427">
        <v>4825</v>
      </c>
      <c r="H87" s="432">
        <v>0</v>
      </c>
      <c r="I87" s="427">
        <v>312</v>
      </c>
      <c r="J87" s="427">
        <v>173</v>
      </c>
      <c r="K87" s="432">
        <v>0</v>
      </c>
      <c r="L87" s="432">
        <v>0</v>
      </c>
    </row>
    <row r="88" spans="1:12" s="428" customFormat="1" ht="9" customHeight="1" x14ac:dyDescent="0.25">
      <c r="A88" s="433" t="s">
        <v>26</v>
      </c>
      <c r="B88" s="434">
        <f t="shared" si="5"/>
        <v>122770</v>
      </c>
      <c r="C88" s="434"/>
      <c r="D88" s="434">
        <v>81499</v>
      </c>
      <c r="E88" s="435">
        <v>10211</v>
      </c>
      <c r="F88" s="434">
        <v>20784</v>
      </c>
      <c r="G88" s="434">
        <v>8092</v>
      </c>
      <c r="H88" s="434">
        <v>1460</v>
      </c>
      <c r="I88" s="434">
        <v>183</v>
      </c>
      <c r="J88" s="434">
        <v>541</v>
      </c>
      <c r="K88" s="435">
        <v>0</v>
      </c>
      <c r="L88" s="435">
        <v>0</v>
      </c>
    </row>
    <row r="89" spans="1:12" s="428" customFormat="1" ht="9" customHeight="1" x14ac:dyDescent="0.25">
      <c r="A89" s="431" t="s">
        <v>27</v>
      </c>
      <c r="B89" s="427">
        <f t="shared" si="5"/>
        <v>302052</v>
      </c>
      <c r="C89" s="427"/>
      <c r="D89" s="427">
        <v>154659</v>
      </c>
      <c r="E89" s="432">
        <v>17864</v>
      </c>
      <c r="F89" s="427">
        <v>106705</v>
      </c>
      <c r="G89" s="427">
        <v>20615</v>
      </c>
      <c r="H89" s="432">
        <v>0</v>
      </c>
      <c r="I89" s="427">
        <v>189</v>
      </c>
      <c r="J89" s="432">
        <v>0</v>
      </c>
      <c r="K89" s="432">
        <v>0</v>
      </c>
      <c r="L89" s="432">
        <v>2020</v>
      </c>
    </row>
    <row r="90" spans="1:12" s="428" customFormat="1" ht="9" customHeight="1" x14ac:dyDescent="0.25">
      <c r="A90" s="431" t="s">
        <v>28</v>
      </c>
      <c r="B90" s="427">
        <f t="shared" si="5"/>
        <v>112935</v>
      </c>
      <c r="C90" s="427"/>
      <c r="D90" s="427">
        <v>54720</v>
      </c>
      <c r="E90" s="432">
        <v>0</v>
      </c>
      <c r="F90" s="427">
        <v>48789</v>
      </c>
      <c r="G90" s="427">
        <v>8805</v>
      </c>
      <c r="H90" s="432">
        <v>0</v>
      </c>
      <c r="I90" s="427">
        <v>61</v>
      </c>
      <c r="J90" s="427">
        <v>560</v>
      </c>
      <c r="K90" s="432">
        <v>0</v>
      </c>
      <c r="L90" s="432">
        <v>0</v>
      </c>
    </row>
    <row r="91" spans="1:12" s="428" customFormat="1" ht="9" customHeight="1" x14ac:dyDescent="0.25">
      <c r="A91" s="431" t="s">
        <v>29</v>
      </c>
      <c r="B91" s="427">
        <f t="shared" si="5"/>
        <v>498751</v>
      </c>
      <c r="C91" s="427"/>
      <c r="D91" s="427">
        <v>305248</v>
      </c>
      <c r="E91" s="432">
        <v>139755</v>
      </c>
      <c r="F91" s="427">
        <v>38670</v>
      </c>
      <c r="G91" s="427">
        <v>11488</v>
      </c>
      <c r="H91" s="427">
        <v>889</v>
      </c>
      <c r="I91" s="427">
        <v>179</v>
      </c>
      <c r="J91" s="427">
        <v>55</v>
      </c>
      <c r="K91" s="427">
        <v>2467</v>
      </c>
      <c r="L91" s="432">
        <v>0</v>
      </c>
    </row>
    <row r="92" spans="1:12" s="428" customFormat="1" ht="9" customHeight="1" x14ac:dyDescent="0.25">
      <c r="A92" s="433" t="s">
        <v>30</v>
      </c>
      <c r="B92" s="434">
        <f t="shared" si="5"/>
        <v>351469</v>
      </c>
      <c r="C92" s="434"/>
      <c r="D92" s="434">
        <v>156264</v>
      </c>
      <c r="E92" s="435">
        <v>28134</v>
      </c>
      <c r="F92" s="434">
        <v>143066</v>
      </c>
      <c r="G92" s="434">
        <v>23610</v>
      </c>
      <c r="H92" s="434">
        <v>235</v>
      </c>
      <c r="I92" s="434">
        <v>160</v>
      </c>
      <c r="J92" s="435">
        <v>0</v>
      </c>
      <c r="K92" s="435">
        <v>0</v>
      </c>
      <c r="L92" s="435">
        <v>0</v>
      </c>
    </row>
    <row r="93" spans="1:12" s="428" customFormat="1" ht="9" customHeight="1" x14ac:dyDescent="0.25">
      <c r="A93" s="431" t="s">
        <v>63</v>
      </c>
      <c r="B93" s="427">
        <f t="shared" si="5"/>
        <v>750175</v>
      </c>
      <c r="C93" s="427"/>
      <c r="D93" s="427">
        <v>262639</v>
      </c>
      <c r="E93" s="432">
        <v>658</v>
      </c>
      <c r="F93" s="427">
        <v>236695</v>
      </c>
      <c r="G93" s="427">
        <v>243349</v>
      </c>
      <c r="H93" s="427">
        <v>4982</v>
      </c>
      <c r="I93" s="427">
        <v>1387</v>
      </c>
      <c r="J93" s="427">
        <v>465</v>
      </c>
      <c r="K93" s="427">
        <v>0</v>
      </c>
      <c r="L93" s="432">
        <v>0</v>
      </c>
    </row>
    <row r="94" spans="1:12" s="428" customFormat="1" ht="9" customHeight="1" x14ac:dyDescent="0.25">
      <c r="A94" s="431" t="s">
        <v>31</v>
      </c>
      <c r="B94" s="427">
        <f t="shared" si="5"/>
        <v>306414</v>
      </c>
      <c r="C94" s="427"/>
      <c r="D94" s="427">
        <v>145363</v>
      </c>
      <c r="E94" s="432">
        <v>55553</v>
      </c>
      <c r="F94" s="427">
        <v>88921</v>
      </c>
      <c r="G94" s="427">
        <v>16464</v>
      </c>
      <c r="H94" s="432">
        <v>0</v>
      </c>
      <c r="I94" s="427">
        <v>113</v>
      </c>
      <c r="J94" s="432">
        <v>0</v>
      </c>
      <c r="K94" s="432">
        <v>0</v>
      </c>
      <c r="L94" s="432">
        <v>0</v>
      </c>
    </row>
    <row r="95" spans="1:12" s="428" customFormat="1" ht="9" customHeight="1" x14ac:dyDescent="0.25">
      <c r="A95" s="431" t="s">
        <v>32</v>
      </c>
      <c r="B95" s="427">
        <f t="shared" si="5"/>
        <v>441042</v>
      </c>
      <c r="C95" s="427"/>
      <c r="D95" s="427">
        <v>304811</v>
      </c>
      <c r="E95" s="432">
        <v>0</v>
      </c>
      <c r="F95" s="427">
        <v>103823</v>
      </c>
      <c r="G95" s="427">
        <v>29871</v>
      </c>
      <c r="H95" s="427">
        <v>2351</v>
      </c>
      <c r="I95" s="427">
        <v>186</v>
      </c>
      <c r="J95" s="432">
        <v>0</v>
      </c>
      <c r="K95" s="432">
        <v>0</v>
      </c>
      <c r="L95" s="432">
        <v>0</v>
      </c>
    </row>
    <row r="96" spans="1:12" s="428" customFormat="1" ht="9" customHeight="1" x14ac:dyDescent="0.25">
      <c r="A96" s="433" t="s">
        <v>33</v>
      </c>
      <c r="B96" s="434">
        <f t="shared" si="5"/>
        <v>578724</v>
      </c>
      <c r="C96" s="434"/>
      <c r="D96" s="434">
        <v>473029</v>
      </c>
      <c r="E96" s="435">
        <v>0</v>
      </c>
      <c r="F96" s="434">
        <v>62450</v>
      </c>
      <c r="G96" s="434">
        <v>42235</v>
      </c>
      <c r="H96" s="435">
        <v>0</v>
      </c>
      <c r="I96" s="434">
        <v>437</v>
      </c>
      <c r="J96" s="434">
        <v>573</v>
      </c>
      <c r="K96" s="435">
        <v>0</v>
      </c>
      <c r="L96" s="435">
        <v>0</v>
      </c>
    </row>
    <row r="97" spans="1:12" s="428" customFormat="1" ht="9" customHeight="1" x14ac:dyDescent="0.25">
      <c r="A97" s="431" t="s">
        <v>34</v>
      </c>
      <c r="B97" s="427">
        <f t="shared" si="5"/>
        <v>278209</v>
      </c>
      <c r="C97" s="427"/>
      <c r="D97" s="427">
        <v>159598</v>
      </c>
      <c r="E97" s="432">
        <v>44140</v>
      </c>
      <c r="F97" s="427">
        <v>53511</v>
      </c>
      <c r="G97" s="427">
        <v>19597</v>
      </c>
      <c r="H97" s="427">
        <v>1129</v>
      </c>
      <c r="I97" s="427">
        <v>234</v>
      </c>
      <c r="J97" s="432">
        <v>0</v>
      </c>
      <c r="K97" s="432">
        <v>0</v>
      </c>
      <c r="L97" s="432">
        <v>0</v>
      </c>
    </row>
    <row r="98" spans="1:12" s="428" customFormat="1" ht="9" customHeight="1" x14ac:dyDescent="0.25">
      <c r="A98" s="431" t="s">
        <v>35</v>
      </c>
      <c r="B98" s="427">
        <f t="shared" si="5"/>
        <v>597864</v>
      </c>
      <c r="C98" s="427"/>
      <c r="D98" s="427">
        <v>395413</v>
      </c>
      <c r="E98" s="432">
        <v>0</v>
      </c>
      <c r="F98" s="427">
        <v>177849</v>
      </c>
      <c r="G98" s="427">
        <v>23235</v>
      </c>
      <c r="H98" s="427">
        <v>697</v>
      </c>
      <c r="I98" s="427">
        <v>485</v>
      </c>
      <c r="J98" s="427">
        <v>185</v>
      </c>
      <c r="K98" s="432">
        <v>0</v>
      </c>
      <c r="L98" s="432">
        <v>0</v>
      </c>
    </row>
    <row r="99" spans="1:12" s="428" customFormat="1" ht="9" customHeight="1" x14ac:dyDescent="0.25">
      <c r="A99" s="431" t="s">
        <v>36</v>
      </c>
      <c r="B99" s="427">
        <f t="shared" si="5"/>
        <v>2005924</v>
      </c>
      <c r="C99" s="427"/>
      <c r="D99" s="427">
        <v>1558027</v>
      </c>
      <c r="E99" s="432">
        <v>0</v>
      </c>
      <c r="F99" s="427">
        <v>375693</v>
      </c>
      <c r="G99" s="427">
        <v>51219</v>
      </c>
      <c r="H99" s="427">
        <v>42</v>
      </c>
      <c r="I99" s="427">
        <v>72</v>
      </c>
      <c r="J99" s="432">
        <v>0</v>
      </c>
      <c r="K99" s="427">
        <v>20871</v>
      </c>
      <c r="L99" s="432">
        <v>0</v>
      </c>
    </row>
    <row r="100" spans="1:12" s="428" customFormat="1" ht="9" customHeight="1" x14ac:dyDescent="0.25">
      <c r="A100" s="433" t="s">
        <v>37</v>
      </c>
      <c r="B100" s="434">
        <f t="shared" si="5"/>
        <v>548048</v>
      </c>
      <c r="C100" s="434"/>
      <c r="D100" s="434">
        <v>317081</v>
      </c>
      <c r="E100" s="435">
        <v>78117</v>
      </c>
      <c r="F100" s="434">
        <v>120572</v>
      </c>
      <c r="G100" s="434">
        <v>32106</v>
      </c>
      <c r="H100" s="435">
        <v>0</v>
      </c>
      <c r="I100" s="434">
        <v>0</v>
      </c>
      <c r="J100" s="434">
        <v>172</v>
      </c>
      <c r="K100" s="435">
        <v>0</v>
      </c>
      <c r="L100" s="435">
        <v>0</v>
      </c>
    </row>
    <row r="101" spans="1:12" s="428" customFormat="1" ht="9" customHeight="1" x14ac:dyDescent="0.25">
      <c r="A101" s="431" t="s">
        <v>38</v>
      </c>
      <c r="B101" s="427">
        <f t="shared" si="5"/>
        <v>254043</v>
      </c>
      <c r="C101" s="427"/>
      <c r="D101" s="427">
        <v>157821</v>
      </c>
      <c r="E101" s="432">
        <v>0</v>
      </c>
      <c r="F101" s="427">
        <v>73891</v>
      </c>
      <c r="G101" s="427">
        <v>22331</v>
      </c>
      <c r="H101" s="432">
        <v>0</v>
      </c>
      <c r="I101" s="427">
        <v>0</v>
      </c>
      <c r="J101" s="432">
        <v>0</v>
      </c>
      <c r="K101" s="432">
        <v>0</v>
      </c>
      <c r="L101" s="432">
        <v>0</v>
      </c>
    </row>
    <row r="102" spans="1:12" s="428" customFormat="1" ht="9" customHeight="1" x14ac:dyDescent="0.25">
      <c r="A102" s="431" t="s">
        <v>39</v>
      </c>
      <c r="B102" s="427">
        <f t="shared" si="5"/>
        <v>215244</v>
      </c>
      <c r="C102" s="427"/>
      <c r="D102" s="427">
        <v>140581</v>
      </c>
      <c r="E102" s="432">
        <v>11510</v>
      </c>
      <c r="F102" s="427">
        <v>48764</v>
      </c>
      <c r="G102" s="427">
        <v>14329</v>
      </c>
      <c r="H102" s="432">
        <v>0</v>
      </c>
      <c r="I102" s="427">
        <v>0</v>
      </c>
      <c r="J102" s="432">
        <v>60</v>
      </c>
      <c r="K102" s="432">
        <v>0</v>
      </c>
      <c r="L102" s="432">
        <v>0</v>
      </c>
    </row>
    <row r="103" spans="1:12" s="428" customFormat="1" ht="9" customHeight="1" x14ac:dyDescent="0.25">
      <c r="A103" s="431" t="s">
        <v>40</v>
      </c>
      <c r="B103" s="427">
        <f t="shared" si="5"/>
        <v>346177</v>
      </c>
      <c r="C103" s="427"/>
      <c r="D103" s="427">
        <v>210759</v>
      </c>
      <c r="E103" s="432">
        <v>0</v>
      </c>
      <c r="F103" s="427">
        <v>108765</v>
      </c>
      <c r="G103" s="427">
        <v>18176</v>
      </c>
      <c r="H103" s="432">
        <v>3789</v>
      </c>
      <c r="I103" s="427">
        <v>247</v>
      </c>
      <c r="J103" s="432">
        <v>0</v>
      </c>
      <c r="K103" s="427">
        <v>4441</v>
      </c>
      <c r="L103" s="432">
        <v>0</v>
      </c>
    </row>
    <row r="104" spans="1:12" s="428" customFormat="1" ht="9" customHeight="1" x14ac:dyDescent="0.25">
      <c r="A104" s="433" t="s">
        <v>41</v>
      </c>
      <c r="B104" s="434">
        <f t="shared" si="5"/>
        <v>358779</v>
      </c>
      <c r="C104" s="434"/>
      <c r="D104" s="434">
        <v>206299</v>
      </c>
      <c r="E104" s="435">
        <v>85042</v>
      </c>
      <c r="F104" s="434">
        <v>51446</v>
      </c>
      <c r="G104" s="434">
        <v>13079</v>
      </c>
      <c r="H104" s="434">
        <v>2201</v>
      </c>
      <c r="I104" s="434">
        <v>254</v>
      </c>
      <c r="J104" s="434">
        <v>458</v>
      </c>
      <c r="K104" s="435">
        <v>0</v>
      </c>
      <c r="L104" s="435">
        <v>0</v>
      </c>
    </row>
    <row r="105" spans="1:12" s="428" customFormat="1" ht="9" customHeight="1" x14ac:dyDescent="0.25">
      <c r="A105" s="431" t="s">
        <v>42</v>
      </c>
      <c r="B105" s="427">
        <f t="shared" si="5"/>
        <v>652803</v>
      </c>
      <c r="C105" s="427"/>
      <c r="D105" s="427">
        <v>390216</v>
      </c>
      <c r="E105" s="432">
        <v>94994</v>
      </c>
      <c r="F105" s="427">
        <v>121600</v>
      </c>
      <c r="G105" s="427">
        <v>30672</v>
      </c>
      <c r="H105" s="427">
        <v>566</v>
      </c>
      <c r="I105" s="427">
        <v>218</v>
      </c>
      <c r="J105" s="432">
        <v>0</v>
      </c>
      <c r="K105" s="427">
        <v>14537</v>
      </c>
      <c r="L105" s="432">
        <v>0</v>
      </c>
    </row>
    <row r="106" spans="1:12" s="428" customFormat="1" ht="9" customHeight="1" x14ac:dyDescent="0.25">
      <c r="A106" s="431" t="s">
        <v>43</v>
      </c>
      <c r="B106" s="427">
        <f t="shared" si="5"/>
        <v>140439</v>
      </c>
      <c r="C106" s="427"/>
      <c r="D106" s="427">
        <v>80702</v>
      </c>
      <c r="E106" s="432">
        <v>0</v>
      </c>
      <c r="F106" s="427">
        <v>54801</v>
      </c>
      <c r="G106" s="427">
        <v>4936</v>
      </c>
      <c r="H106" s="432">
        <v>0</v>
      </c>
      <c r="I106" s="427">
        <v>0</v>
      </c>
      <c r="J106" s="432">
        <v>0</v>
      </c>
      <c r="K106" s="432">
        <v>0</v>
      </c>
      <c r="L106" s="432">
        <v>0</v>
      </c>
    </row>
    <row r="107" spans="1:12" s="428" customFormat="1" ht="9" customHeight="1" x14ac:dyDescent="0.25">
      <c r="A107" s="431" t="s">
        <v>44</v>
      </c>
      <c r="B107" s="427">
        <f t="shared" si="5"/>
        <v>100896</v>
      </c>
      <c r="C107" s="427"/>
      <c r="D107" s="427">
        <v>60937</v>
      </c>
      <c r="E107" s="432">
        <v>0</v>
      </c>
      <c r="F107" s="427">
        <v>29858</v>
      </c>
      <c r="G107" s="427">
        <v>9554</v>
      </c>
      <c r="H107" s="432">
        <v>0</v>
      </c>
      <c r="I107" s="427">
        <v>130</v>
      </c>
      <c r="J107" s="427">
        <v>417</v>
      </c>
      <c r="K107" s="432">
        <v>0</v>
      </c>
      <c r="L107" s="432">
        <v>0</v>
      </c>
    </row>
    <row r="108" spans="1:12" s="428" customFormat="1" ht="9" customHeight="1" x14ac:dyDescent="0.25">
      <c r="A108" s="433" t="s">
        <v>45</v>
      </c>
      <c r="B108" s="434">
        <f t="shared" si="5"/>
        <v>275819</v>
      </c>
      <c r="C108" s="434"/>
      <c r="D108" s="434">
        <v>158325</v>
      </c>
      <c r="E108" s="435">
        <v>43776</v>
      </c>
      <c r="F108" s="434">
        <v>58772</v>
      </c>
      <c r="G108" s="434">
        <v>14335</v>
      </c>
      <c r="H108" s="434">
        <v>432</v>
      </c>
      <c r="I108" s="434">
        <v>179</v>
      </c>
      <c r="J108" s="435">
        <v>0</v>
      </c>
      <c r="K108" s="435">
        <v>0</v>
      </c>
      <c r="L108" s="435">
        <v>0</v>
      </c>
    </row>
    <row r="109" spans="1:12" s="428" customFormat="1" ht="9" customHeight="1" x14ac:dyDescent="0.25">
      <c r="A109" s="431" t="s">
        <v>46</v>
      </c>
      <c r="B109" s="427">
        <f t="shared" si="5"/>
        <v>317226</v>
      </c>
      <c r="C109" s="427"/>
      <c r="D109" s="427">
        <v>134168</v>
      </c>
      <c r="E109" s="432">
        <v>32000</v>
      </c>
      <c r="F109" s="427">
        <v>123109</v>
      </c>
      <c r="G109" s="427">
        <v>26760</v>
      </c>
      <c r="H109" s="427">
        <v>429</v>
      </c>
      <c r="I109" s="427">
        <v>285</v>
      </c>
      <c r="J109" s="427">
        <v>475</v>
      </c>
      <c r="K109" s="432">
        <v>0</v>
      </c>
      <c r="L109" s="432">
        <v>0</v>
      </c>
    </row>
    <row r="110" spans="1:12" s="428" customFormat="1" ht="9" customHeight="1" x14ac:dyDescent="0.25">
      <c r="A110" s="431" t="s">
        <v>47</v>
      </c>
      <c r="B110" s="427">
        <f t="shared" si="5"/>
        <v>260816</v>
      </c>
      <c r="C110" s="427"/>
      <c r="D110" s="427">
        <v>118774</v>
      </c>
      <c r="E110" s="432">
        <v>0</v>
      </c>
      <c r="F110" s="427">
        <v>126913</v>
      </c>
      <c r="G110" s="427">
        <v>13124</v>
      </c>
      <c r="H110" s="432">
        <v>0</v>
      </c>
      <c r="I110" s="427">
        <v>356</v>
      </c>
      <c r="J110" s="427">
        <v>324</v>
      </c>
      <c r="K110" s="427">
        <v>1325</v>
      </c>
      <c r="L110" s="432">
        <v>0</v>
      </c>
    </row>
    <row r="111" spans="1:12" s="428" customFormat="1" ht="9" customHeight="1" x14ac:dyDescent="0.25">
      <c r="A111" s="431" t="s">
        <v>48</v>
      </c>
      <c r="B111" s="427">
        <f t="shared" si="5"/>
        <v>310204</v>
      </c>
      <c r="C111" s="427"/>
      <c r="D111" s="427">
        <v>223425</v>
      </c>
      <c r="E111" s="432">
        <v>0</v>
      </c>
      <c r="F111" s="427">
        <v>66445</v>
      </c>
      <c r="G111" s="427">
        <v>10368</v>
      </c>
      <c r="H111" s="427">
        <v>9656</v>
      </c>
      <c r="I111" s="427">
        <v>179</v>
      </c>
      <c r="J111" s="427">
        <v>131</v>
      </c>
      <c r="K111" s="427">
        <v>0</v>
      </c>
      <c r="L111" s="432">
        <v>0</v>
      </c>
    </row>
    <row r="112" spans="1:12" s="428" customFormat="1" ht="9" customHeight="1" x14ac:dyDescent="0.25">
      <c r="A112" s="433" t="s">
        <v>49</v>
      </c>
      <c r="B112" s="434">
        <f t="shared" si="5"/>
        <v>302744</v>
      </c>
      <c r="C112" s="434"/>
      <c r="D112" s="434">
        <v>159612</v>
      </c>
      <c r="E112" s="435">
        <v>21631</v>
      </c>
      <c r="F112" s="434">
        <v>81518</v>
      </c>
      <c r="G112" s="434">
        <v>29891</v>
      </c>
      <c r="H112" s="434">
        <v>9515</v>
      </c>
      <c r="I112" s="434">
        <v>293</v>
      </c>
      <c r="J112" s="434">
        <v>284</v>
      </c>
      <c r="K112" s="435">
        <v>0</v>
      </c>
      <c r="L112" s="435">
        <v>0</v>
      </c>
    </row>
    <row r="113" spans="1:12" s="428" customFormat="1" ht="9" customHeight="1" x14ac:dyDescent="0.25">
      <c r="A113" s="431" t="s">
        <v>50</v>
      </c>
      <c r="B113" s="427">
        <f t="shared" si="5"/>
        <v>142086</v>
      </c>
      <c r="C113" s="427"/>
      <c r="D113" s="427">
        <v>100817</v>
      </c>
      <c r="E113" s="432">
        <v>0</v>
      </c>
      <c r="F113" s="427">
        <v>32029</v>
      </c>
      <c r="G113" s="427">
        <v>9080</v>
      </c>
      <c r="H113" s="432">
        <v>0</v>
      </c>
      <c r="I113" s="427">
        <v>160</v>
      </c>
      <c r="J113" s="432">
        <v>0</v>
      </c>
      <c r="K113" s="432">
        <v>0</v>
      </c>
      <c r="L113" s="432">
        <v>0</v>
      </c>
    </row>
    <row r="114" spans="1:12" s="428" customFormat="1" ht="9" customHeight="1" x14ac:dyDescent="0.25">
      <c r="A114" s="431" t="s">
        <v>51</v>
      </c>
      <c r="B114" s="427">
        <f t="shared" si="5"/>
        <v>937120</v>
      </c>
      <c r="C114" s="427"/>
      <c r="D114" s="427">
        <v>469758</v>
      </c>
      <c r="E114" s="432">
        <v>144886</v>
      </c>
      <c r="F114" s="427">
        <v>258098</v>
      </c>
      <c r="G114" s="427">
        <v>42847</v>
      </c>
      <c r="H114" s="427">
        <v>19864</v>
      </c>
      <c r="I114" s="427">
        <v>570</v>
      </c>
      <c r="J114" s="427">
        <v>498</v>
      </c>
      <c r="K114" s="432">
        <v>0</v>
      </c>
      <c r="L114" s="432">
        <v>599</v>
      </c>
    </row>
    <row r="115" spans="1:12" s="428" customFormat="1" ht="9" customHeight="1" x14ac:dyDescent="0.25">
      <c r="A115" s="431" t="s">
        <v>52</v>
      </c>
      <c r="B115" s="427">
        <f t="shared" si="5"/>
        <v>202229</v>
      </c>
      <c r="C115" s="427"/>
      <c r="D115" s="427">
        <v>99590</v>
      </c>
      <c r="E115" s="432">
        <v>38710</v>
      </c>
      <c r="F115" s="427">
        <v>54473</v>
      </c>
      <c r="G115" s="427">
        <v>8781</v>
      </c>
      <c r="H115" s="432">
        <v>0</v>
      </c>
      <c r="I115" s="427">
        <v>293</v>
      </c>
      <c r="J115" s="427">
        <v>382</v>
      </c>
      <c r="K115" s="432">
        <v>0</v>
      </c>
      <c r="L115" s="432">
        <v>0</v>
      </c>
    </row>
    <row r="116" spans="1:12" s="428" customFormat="1" ht="9" customHeight="1" x14ac:dyDescent="0.25">
      <c r="A116" s="433" t="s">
        <v>53</v>
      </c>
      <c r="B116" s="434">
        <f t="shared" si="5"/>
        <v>232774</v>
      </c>
      <c r="C116" s="434"/>
      <c r="D116" s="434">
        <v>151718</v>
      </c>
      <c r="E116" s="435">
        <v>25606</v>
      </c>
      <c r="F116" s="434">
        <v>34955</v>
      </c>
      <c r="G116" s="434">
        <v>20495</v>
      </c>
      <c r="H116" s="435">
        <v>0</v>
      </c>
      <c r="I116" s="434">
        <v>0</v>
      </c>
      <c r="J116" s="435">
        <v>0</v>
      </c>
      <c r="K116" s="435">
        <v>0</v>
      </c>
      <c r="L116" s="435">
        <v>0</v>
      </c>
    </row>
    <row r="117" spans="1:12" s="428" customFormat="1" ht="9" customHeight="1" x14ac:dyDescent="0.25">
      <c r="A117" s="431"/>
      <c r="B117" s="427"/>
      <c r="C117" s="427"/>
      <c r="D117" s="427"/>
      <c r="E117" s="432"/>
      <c r="F117" s="427"/>
      <c r="G117" s="427"/>
      <c r="H117" s="432"/>
      <c r="I117" s="427"/>
      <c r="J117" s="432"/>
      <c r="K117" s="432"/>
      <c r="L117" s="432"/>
    </row>
    <row r="118" spans="1:12" s="428" customFormat="1" ht="9" customHeight="1" x14ac:dyDescent="0.25">
      <c r="A118" s="426" t="s">
        <v>317</v>
      </c>
      <c r="B118" s="427"/>
      <c r="C118" s="427"/>
      <c r="D118" s="427"/>
      <c r="E118" s="427"/>
      <c r="F118" s="427"/>
      <c r="G118" s="427"/>
      <c r="H118" s="427"/>
      <c r="I118" s="427"/>
      <c r="J118" s="427"/>
      <c r="K118" s="427"/>
      <c r="L118" s="427"/>
    </row>
    <row r="119" spans="1:12" s="428" customFormat="1" ht="9" customHeight="1" x14ac:dyDescent="0.25">
      <c r="A119" s="429" t="s">
        <v>21</v>
      </c>
      <c r="B119" s="430">
        <f>SUM(B121:B152)</f>
        <v>12505490</v>
      </c>
      <c r="C119" s="430"/>
      <c r="D119" s="430">
        <f t="shared" ref="D119:L119" si="6">SUM(D121:D152)</f>
        <v>7694483</v>
      </c>
      <c r="E119" s="430">
        <f t="shared" si="6"/>
        <v>799373</v>
      </c>
      <c r="F119" s="430">
        <f t="shared" si="6"/>
        <v>3084074</v>
      </c>
      <c r="G119" s="430">
        <f t="shared" si="6"/>
        <v>818368</v>
      </c>
      <c r="H119" s="430">
        <f t="shared" si="6"/>
        <v>41099</v>
      </c>
      <c r="I119" s="430">
        <f t="shared" si="6"/>
        <v>14312</v>
      </c>
      <c r="J119" s="430">
        <f t="shared" si="6"/>
        <v>8000</v>
      </c>
      <c r="K119" s="430">
        <f t="shared" si="6"/>
        <v>39323</v>
      </c>
      <c r="L119" s="430">
        <f t="shared" si="6"/>
        <v>6458</v>
      </c>
    </row>
    <row r="120" spans="1:12" s="428" customFormat="1" ht="3.95" customHeight="1" x14ac:dyDescent="0.25">
      <c r="A120" s="429"/>
      <c r="B120" s="430"/>
      <c r="C120" s="430"/>
      <c r="D120" s="430"/>
      <c r="E120" s="430"/>
      <c r="F120" s="430"/>
      <c r="G120" s="430"/>
      <c r="H120" s="430"/>
      <c r="I120" s="430"/>
      <c r="J120" s="430"/>
      <c r="K120" s="430"/>
      <c r="L120" s="430"/>
    </row>
    <row r="121" spans="1:12" s="428" customFormat="1" ht="9" customHeight="1" x14ac:dyDescent="0.25">
      <c r="A121" s="431" t="s">
        <v>23</v>
      </c>
      <c r="B121" s="427">
        <f t="shared" ref="B121:B152" si="7">SUM(D121:L121)</f>
        <v>131393</v>
      </c>
      <c r="C121" s="427"/>
      <c r="D121" s="427">
        <v>93448</v>
      </c>
      <c r="E121" s="432">
        <v>0</v>
      </c>
      <c r="F121" s="427">
        <v>28252</v>
      </c>
      <c r="G121" s="427">
        <v>9644</v>
      </c>
      <c r="H121" s="432">
        <v>0</v>
      </c>
      <c r="I121" s="427">
        <v>49</v>
      </c>
      <c r="J121" s="432">
        <v>0</v>
      </c>
      <c r="K121" s="432">
        <v>0</v>
      </c>
      <c r="L121" s="432">
        <v>0</v>
      </c>
    </row>
    <row r="122" spans="1:12" s="428" customFormat="1" ht="9" customHeight="1" x14ac:dyDescent="0.25">
      <c r="A122" s="431" t="s">
        <v>24</v>
      </c>
      <c r="B122" s="427">
        <f t="shared" si="7"/>
        <v>271839</v>
      </c>
      <c r="C122" s="427"/>
      <c r="D122" s="427">
        <v>77299</v>
      </c>
      <c r="E122" s="432">
        <v>4432</v>
      </c>
      <c r="F122" s="427">
        <v>173534</v>
      </c>
      <c r="G122" s="427">
        <v>10402</v>
      </c>
      <c r="H122" s="432">
        <v>0</v>
      </c>
      <c r="I122" s="427">
        <v>501</v>
      </c>
      <c r="J122" s="432">
        <v>464</v>
      </c>
      <c r="K122" s="427">
        <v>5207</v>
      </c>
      <c r="L122" s="432">
        <v>0</v>
      </c>
    </row>
    <row r="123" spans="1:12" s="428" customFormat="1" ht="9" customHeight="1" x14ac:dyDescent="0.25">
      <c r="A123" s="431" t="s">
        <v>25</v>
      </c>
      <c r="B123" s="427">
        <f t="shared" si="7"/>
        <v>69021</v>
      </c>
      <c r="C123" s="427"/>
      <c r="D123" s="427">
        <v>42591</v>
      </c>
      <c r="E123" s="432">
        <v>0</v>
      </c>
      <c r="F123" s="427">
        <v>20333</v>
      </c>
      <c r="G123" s="427">
        <v>5479</v>
      </c>
      <c r="H123" s="432">
        <v>0</v>
      </c>
      <c r="I123" s="427">
        <v>452</v>
      </c>
      <c r="J123" s="427">
        <v>166</v>
      </c>
      <c r="K123" s="432">
        <v>0</v>
      </c>
      <c r="L123" s="432">
        <v>0</v>
      </c>
    </row>
    <row r="124" spans="1:12" s="428" customFormat="1" ht="9" customHeight="1" x14ac:dyDescent="0.25">
      <c r="A124" s="433" t="s">
        <v>26</v>
      </c>
      <c r="B124" s="434">
        <f t="shared" si="7"/>
        <v>130406</v>
      </c>
      <c r="C124" s="434"/>
      <c r="D124" s="434">
        <v>79817</v>
      </c>
      <c r="E124" s="435">
        <v>12314</v>
      </c>
      <c r="F124" s="434">
        <v>26371</v>
      </c>
      <c r="G124" s="434">
        <v>10172</v>
      </c>
      <c r="H124" s="434">
        <v>842</v>
      </c>
      <c r="I124" s="434">
        <v>257</v>
      </c>
      <c r="J124" s="434">
        <v>633</v>
      </c>
      <c r="K124" s="435">
        <v>0</v>
      </c>
      <c r="L124" s="435">
        <v>0</v>
      </c>
    </row>
    <row r="125" spans="1:12" s="428" customFormat="1" ht="9" customHeight="1" x14ac:dyDescent="0.25">
      <c r="A125" s="431" t="s">
        <v>27</v>
      </c>
      <c r="B125" s="427">
        <f t="shared" si="7"/>
        <v>304199</v>
      </c>
      <c r="C125" s="427"/>
      <c r="D125" s="427">
        <v>152298</v>
      </c>
      <c r="E125" s="432">
        <v>18385</v>
      </c>
      <c r="F125" s="427">
        <v>109238</v>
      </c>
      <c r="G125" s="427">
        <v>21760</v>
      </c>
      <c r="H125" s="432">
        <v>0</v>
      </c>
      <c r="I125" s="427">
        <v>556</v>
      </c>
      <c r="J125" s="432">
        <v>0</v>
      </c>
      <c r="K125" s="432">
        <v>0</v>
      </c>
      <c r="L125" s="432">
        <v>1962</v>
      </c>
    </row>
    <row r="126" spans="1:12" s="428" customFormat="1" ht="9" customHeight="1" x14ac:dyDescent="0.25">
      <c r="A126" s="431" t="s">
        <v>28</v>
      </c>
      <c r="B126" s="427">
        <f t="shared" si="7"/>
        <v>123015</v>
      </c>
      <c r="C126" s="427"/>
      <c r="D126" s="427">
        <v>53407</v>
      </c>
      <c r="E126" s="432">
        <v>0</v>
      </c>
      <c r="F126" s="427">
        <v>61925</v>
      </c>
      <c r="G126" s="427">
        <v>7065</v>
      </c>
      <c r="H126" s="432">
        <v>0</v>
      </c>
      <c r="I126" s="427">
        <v>136</v>
      </c>
      <c r="J126" s="427">
        <v>482</v>
      </c>
      <c r="K126" s="432">
        <v>0</v>
      </c>
      <c r="L126" s="432">
        <v>0</v>
      </c>
    </row>
    <row r="127" spans="1:12" s="428" customFormat="1" ht="9" customHeight="1" x14ac:dyDescent="0.25">
      <c r="A127" s="431" t="s">
        <v>29</v>
      </c>
      <c r="B127" s="427">
        <f t="shared" si="7"/>
        <v>517377</v>
      </c>
      <c r="C127" s="427"/>
      <c r="D127" s="427">
        <v>339114</v>
      </c>
      <c r="E127" s="432">
        <v>121827</v>
      </c>
      <c r="F127" s="427">
        <v>38890</v>
      </c>
      <c r="G127" s="427">
        <v>12592</v>
      </c>
      <c r="H127" s="427">
        <v>733</v>
      </c>
      <c r="I127" s="427">
        <v>921</v>
      </c>
      <c r="J127" s="427">
        <v>172</v>
      </c>
      <c r="K127" s="427">
        <v>3128</v>
      </c>
      <c r="L127" s="432">
        <v>0</v>
      </c>
    </row>
    <row r="128" spans="1:12" s="428" customFormat="1" ht="9" customHeight="1" x14ac:dyDescent="0.25">
      <c r="A128" s="433" t="s">
        <v>30</v>
      </c>
      <c r="B128" s="434">
        <f t="shared" si="7"/>
        <v>345950</v>
      </c>
      <c r="C128" s="434"/>
      <c r="D128" s="434">
        <v>152760</v>
      </c>
      <c r="E128" s="435">
        <v>25388</v>
      </c>
      <c r="F128" s="434">
        <v>144661</v>
      </c>
      <c r="G128" s="434">
        <v>22796</v>
      </c>
      <c r="H128" s="434">
        <v>23</v>
      </c>
      <c r="I128" s="434">
        <v>322</v>
      </c>
      <c r="J128" s="435">
        <v>0</v>
      </c>
      <c r="K128" s="435">
        <v>0</v>
      </c>
      <c r="L128" s="435">
        <v>0</v>
      </c>
    </row>
    <row r="129" spans="1:12" s="428" customFormat="1" ht="9" customHeight="1" x14ac:dyDescent="0.25">
      <c r="A129" s="431" t="s">
        <v>63</v>
      </c>
      <c r="B129" s="427">
        <f t="shared" si="7"/>
        <v>728876</v>
      </c>
      <c r="C129" s="427"/>
      <c r="D129" s="427">
        <v>263244</v>
      </c>
      <c r="E129" s="432">
        <v>478</v>
      </c>
      <c r="F129" s="427">
        <v>230294</v>
      </c>
      <c r="G129" s="427">
        <v>223325</v>
      </c>
      <c r="H129" s="427">
        <v>7379</v>
      </c>
      <c r="I129" s="427">
        <v>1934</v>
      </c>
      <c r="J129" s="427">
        <v>434</v>
      </c>
      <c r="K129" s="427">
        <v>1788</v>
      </c>
      <c r="L129" s="432">
        <v>0</v>
      </c>
    </row>
    <row r="130" spans="1:12" s="428" customFormat="1" ht="9" customHeight="1" x14ac:dyDescent="0.25">
      <c r="A130" s="431" t="s">
        <v>31</v>
      </c>
      <c r="B130" s="427">
        <f t="shared" si="7"/>
        <v>255157</v>
      </c>
      <c r="C130" s="427"/>
      <c r="D130" s="427">
        <v>152257</v>
      </c>
      <c r="E130" s="432">
        <v>35450</v>
      </c>
      <c r="F130" s="427">
        <v>43583</v>
      </c>
      <c r="G130" s="427">
        <v>23736</v>
      </c>
      <c r="H130" s="432">
        <v>0</v>
      </c>
      <c r="I130" s="427">
        <v>131</v>
      </c>
      <c r="J130" s="432">
        <v>0</v>
      </c>
      <c r="K130" s="432">
        <v>0</v>
      </c>
      <c r="L130" s="432">
        <v>0</v>
      </c>
    </row>
    <row r="131" spans="1:12" s="428" customFormat="1" ht="9" customHeight="1" x14ac:dyDescent="0.25">
      <c r="A131" s="431" t="s">
        <v>32</v>
      </c>
      <c r="B131" s="427">
        <f t="shared" si="7"/>
        <v>458034</v>
      </c>
      <c r="C131" s="427"/>
      <c r="D131" s="427">
        <v>319842</v>
      </c>
      <c r="E131" s="432">
        <v>0</v>
      </c>
      <c r="F131" s="427">
        <v>105153</v>
      </c>
      <c r="G131" s="427">
        <v>29592</v>
      </c>
      <c r="H131" s="427">
        <v>2988</v>
      </c>
      <c r="I131" s="427">
        <v>459</v>
      </c>
      <c r="J131" s="432">
        <v>0</v>
      </c>
      <c r="K131" s="432">
        <v>0</v>
      </c>
      <c r="L131" s="432">
        <v>0</v>
      </c>
    </row>
    <row r="132" spans="1:12" s="428" customFormat="1" ht="9" customHeight="1" x14ac:dyDescent="0.25">
      <c r="A132" s="433" t="s">
        <v>33</v>
      </c>
      <c r="B132" s="434">
        <f t="shared" si="7"/>
        <v>599415</v>
      </c>
      <c r="C132" s="434"/>
      <c r="D132" s="434">
        <v>502315</v>
      </c>
      <c r="E132" s="435">
        <v>0</v>
      </c>
      <c r="F132" s="434">
        <v>61821</v>
      </c>
      <c r="G132" s="434">
        <v>33820</v>
      </c>
      <c r="H132" s="435">
        <v>0</v>
      </c>
      <c r="I132" s="434">
        <v>1117</v>
      </c>
      <c r="J132" s="434">
        <v>342</v>
      </c>
      <c r="K132" s="435">
        <v>0</v>
      </c>
      <c r="L132" s="435">
        <v>0</v>
      </c>
    </row>
    <row r="133" spans="1:12" s="428" customFormat="1" ht="9" customHeight="1" x14ac:dyDescent="0.25">
      <c r="A133" s="431" t="s">
        <v>34</v>
      </c>
      <c r="B133" s="427">
        <f t="shared" si="7"/>
        <v>280554</v>
      </c>
      <c r="C133" s="427"/>
      <c r="D133" s="427">
        <v>179150</v>
      </c>
      <c r="E133" s="432">
        <v>41034</v>
      </c>
      <c r="F133" s="427">
        <v>41822</v>
      </c>
      <c r="G133" s="427">
        <v>17188</v>
      </c>
      <c r="H133" s="427">
        <v>811</v>
      </c>
      <c r="I133" s="427">
        <v>549</v>
      </c>
      <c r="J133" s="432">
        <v>0</v>
      </c>
      <c r="K133" s="432">
        <v>0</v>
      </c>
      <c r="L133" s="432">
        <v>0</v>
      </c>
    </row>
    <row r="134" spans="1:12" s="428" customFormat="1" ht="9" customHeight="1" x14ac:dyDescent="0.25">
      <c r="A134" s="431" t="s">
        <v>35</v>
      </c>
      <c r="B134" s="427">
        <f t="shared" si="7"/>
        <v>576972</v>
      </c>
      <c r="C134" s="427"/>
      <c r="D134" s="427">
        <v>385515</v>
      </c>
      <c r="E134" s="432">
        <v>0</v>
      </c>
      <c r="F134" s="427">
        <v>166906</v>
      </c>
      <c r="G134" s="427">
        <v>22870</v>
      </c>
      <c r="H134" s="427">
        <v>710</v>
      </c>
      <c r="I134" s="427">
        <v>824</v>
      </c>
      <c r="J134" s="427">
        <v>147</v>
      </c>
      <c r="K134" s="432">
        <v>0</v>
      </c>
      <c r="L134" s="432">
        <v>0</v>
      </c>
    </row>
    <row r="135" spans="1:12" s="428" customFormat="1" ht="9" customHeight="1" x14ac:dyDescent="0.25">
      <c r="A135" s="431" t="s">
        <v>36</v>
      </c>
      <c r="B135" s="427">
        <f t="shared" si="7"/>
        <v>2064708</v>
      </c>
      <c r="C135" s="427"/>
      <c r="D135" s="427">
        <v>1614597</v>
      </c>
      <c r="E135" s="432">
        <v>0</v>
      </c>
      <c r="F135" s="427">
        <v>373845</v>
      </c>
      <c r="G135" s="427">
        <v>55870</v>
      </c>
      <c r="H135" s="427">
        <v>0</v>
      </c>
      <c r="I135" s="427">
        <v>227</v>
      </c>
      <c r="J135" s="432">
        <v>0</v>
      </c>
      <c r="K135" s="427">
        <v>20169</v>
      </c>
      <c r="L135" s="432">
        <v>0</v>
      </c>
    </row>
    <row r="136" spans="1:12" s="428" customFormat="1" ht="9" customHeight="1" x14ac:dyDescent="0.25">
      <c r="A136" s="433" t="s">
        <v>37</v>
      </c>
      <c r="B136" s="434">
        <f t="shared" si="7"/>
        <v>562827</v>
      </c>
      <c r="C136" s="434"/>
      <c r="D136" s="434">
        <v>351637</v>
      </c>
      <c r="E136" s="435">
        <v>73095</v>
      </c>
      <c r="F136" s="434">
        <v>112387</v>
      </c>
      <c r="G136" s="434">
        <v>25417</v>
      </c>
      <c r="H136" s="435">
        <v>0</v>
      </c>
      <c r="I136" s="434">
        <v>0</v>
      </c>
      <c r="J136" s="434">
        <v>291</v>
      </c>
      <c r="K136" s="435">
        <v>0</v>
      </c>
      <c r="L136" s="435">
        <v>0</v>
      </c>
    </row>
    <row r="137" spans="1:12" s="428" customFormat="1" ht="9" customHeight="1" x14ac:dyDescent="0.25">
      <c r="A137" s="431" t="s">
        <v>38</v>
      </c>
      <c r="B137" s="427">
        <f t="shared" si="7"/>
        <v>257679</v>
      </c>
      <c r="C137" s="427"/>
      <c r="D137" s="427">
        <v>148738</v>
      </c>
      <c r="E137" s="432">
        <v>0</v>
      </c>
      <c r="F137" s="427">
        <v>84077</v>
      </c>
      <c r="G137" s="427">
        <v>24651</v>
      </c>
      <c r="H137" s="432">
        <v>0</v>
      </c>
      <c r="I137" s="427">
        <v>213</v>
      </c>
      <c r="J137" s="432">
        <v>0</v>
      </c>
      <c r="K137" s="432">
        <v>0</v>
      </c>
      <c r="L137" s="432">
        <v>0</v>
      </c>
    </row>
    <row r="138" spans="1:12" s="428" customFormat="1" ht="9" customHeight="1" x14ac:dyDescent="0.25">
      <c r="A138" s="431" t="s">
        <v>39</v>
      </c>
      <c r="B138" s="427">
        <f t="shared" si="7"/>
        <v>204677</v>
      </c>
      <c r="C138" s="427"/>
      <c r="D138" s="427">
        <v>136990</v>
      </c>
      <c r="E138" s="432">
        <v>9596</v>
      </c>
      <c r="F138" s="427">
        <v>43066</v>
      </c>
      <c r="G138" s="427">
        <v>14975</v>
      </c>
      <c r="H138" s="432">
        <v>0</v>
      </c>
      <c r="I138" s="427">
        <v>0</v>
      </c>
      <c r="J138" s="432">
        <v>50</v>
      </c>
      <c r="K138" s="432">
        <v>0</v>
      </c>
      <c r="L138" s="432">
        <v>0</v>
      </c>
    </row>
    <row r="139" spans="1:12" s="428" customFormat="1" ht="9" customHeight="1" x14ac:dyDescent="0.25">
      <c r="A139" s="431" t="s">
        <v>40</v>
      </c>
      <c r="B139" s="427">
        <f t="shared" si="7"/>
        <v>335555</v>
      </c>
      <c r="C139" s="427"/>
      <c r="D139" s="427">
        <v>204120</v>
      </c>
      <c r="E139" s="432">
        <v>0</v>
      </c>
      <c r="F139" s="427">
        <v>112161</v>
      </c>
      <c r="G139" s="427">
        <v>14631</v>
      </c>
      <c r="H139" s="432">
        <v>1640</v>
      </c>
      <c r="I139" s="427">
        <v>360</v>
      </c>
      <c r="J139" s="432">
        <v>0</v>
      </c>
      <c r="K139" s="427">
        <v>2643</v>
      </c>
      <c r="L139" s="432">
        <v>0</v>
      </c>
    </row>
    <row r="140" spans="1:12" s="428" customFormat="1" ht="9" customHeight="1" x14ac:dyDescent="0.25">
      <c r="A140" s="433" t="s">
        <v>41</v>
      </c>
      <c r="B140" s="434">
        <f t="shared" si="7"/>
        <v>379666</v>
      </c>
      <c r="C140" s="434"/>
      <c r="D140" s="434">
        <v>237276</v>
      </c>
      <c r="E140" s="435">
        <v>90599</v>
      </c>
      <c r="F140" s="434">
        <v>40027</v>
      </c>
      <c r="G140" s="434">
        <v>8122</v>
      </c>
      <c r="H140" s="434">
        <v>2377</v>
      </c>
      <c r="I140" s="434">
        <v>936</v>
      </c>
      <c r="J140" s="434">
        <v>329</v>
      </c>
      <c r="K140" s="435">
        <v>0</v>
      </c>
      <c r="L140" s="435">
        <v>0</v>
      </c>
    </row>
    <row r="141" spans="1:12" s="428" customFormat="1" ht="9" customHeight="1" x14ac:dyDescent="0.25">
      <c r="A141" s="431" t="s">
        <v>42</v>
      </c>
      <c r="B141" s="427">
        <f t="shared" si="7"/>
        <v>757053</v>
      </c>
      <c r="C141" s="427"/>
      <c r="D141" s="427">
        <v>452668</v>
      </c>
      <c r="E141" s="432">
        <v>91901</v>
      </c>
      <c r="F141" s="427">
        <v>179307</v>
      </c>
      <c r="G141" s="427">
        <v>31851</v>
      </c>
      <c r="H141" s="427">
        <v>586</v>
      </c>
      <c r="I141" s="427">
        <v>537</v>
      </c>
      <c r="J141" s="432">
        <v>0</v>
      </c>
      <c r="K141" s="432">
        <v>0</v>
      </c>
      <c r="L141" s="432">
        <v>203</v>
      </c>
    </row>
    <row r="142" spans="1:12" s="428" customFormat="1" ht="9" customHeight="1" x14ac:dyDescent="0.25">
      <c r="A142" s="431" t="s">
        <v>43</v>
      </c>
      <c r="B142" s="427">
        <f t="shared" si="7"/>
        <v>140313</v>
      </c>
      <c r="C142" s="427"/>
      <c r="D142" s="427">
        <v>73050</v>
      </c>
      <c r="E142" s="432">
        <v>0</v>
      </c>
      <c r="F142" s="427">
        <v>62987</v>
      </c>
      <c r="G142" s="427">
        <v>4276</v>
      </c>
      <c r="H142" s="432">
        <v>0</v>
      </c>
      <c r="I142" s="427">
        <v>0</v>
      </c>
      <c r="J142" s="432">
        <v>0</v>
      </c>
      <c r="K142" s="432">
        <v>0</v>
      </c>
      <c r="L142" s="432">
        <v>0</v>
      </c>
    </row>
    <row r="143" spans="1:12" s="428" customFormat="1" ht="9" customHeight="1" x14ac:dyDescent="0.25">
      <c r="A143" s="431" t="s">
        <v>44</v>
      </c>
      <c r="B143" s="427">
        <f t="shared" si="7"/>
        <v>106183</v>
      </c>
      <c r="C143" s="427"/>
      <c r="D143" s="427">
        <v>64013</v>
      </c>
      <c r="E143" s="432">
        <v>0</v>
      </c>
      <c r="F143" s="427">
        <v>35503</v>
      </c>
      <c r="G143" s="427">
        <v>6016</v>
      </c>
      <c r="H143" s="432">
        <v>0</v>
      </c>
      <c r="I143" s="427">
        <v>239</v>
      </c>
      <c r="J143" s="427">
        <v>412</v>
      </c>
      <c r="K143" s="432">
        <v>0</v>
      </c>
      <c r="L143" s="432">
        <v>0</v>
      </c>
    </row>
    <row r="144" spans="1:12" s="428" customFormat="1" ht="9" customHeight="1" x14ac:dyDescent="0.25">
      <c r="A144" s="433" t="s">
        <v>45</v>
      </c>
      <c r="B144" s="434">
        <f t="shared" si="7"/>
        <v>253926</v>
      </c>
      <c r="C144" s="434"/>
      <c r="D144" s="434">
        <v>126646</v>
      </c>
      <c r="E144" s="435">
        <v>43247</v>
      </c>
      <c r="F144" s="434">
        <v>68481</v>
      </c>
      <c r="G144" s="434">
        <v>14955</v>
      </c>
      <c r="H144" s="434">
        <v>203</v>
      </c>
      <c r="I144" s="434">
        <v>394</v>
      </c>
      <c r="J144" s="435">
        <v>0</v>
      </c>
      <c r="K144" s="435">
        <v>0</v>
      </c>
      <c r="L144" s="435">
        <v>0</v>
      </c>
    </row>
    <row r="145" spans="1:12" s="428" customFormat="1" ht="9" customHeight="1" x14ac:dyDescent="0.25">
      <c r="A145" s="431" t="s">
        <v>46</v>
      </c>
      <c r="B145" s="427">
        <f t="shared" si="7"/>
        <v>308826</v>
      </c>
      <c r="C145" s="427"/>
      <c r="D145" s="427">
        <v>139506</v>
      </c>
      <c r="E145" s="432">
        <v>23667</v>
      </c>
      <c r="F145" s="427">
        <v>112429</v>
      </c>
      <c r="G145" s="427">
        <v>32109</v>
      </c>
      <c r="H145" s="427">
        <v>80</v>
      </c>
      <c r="I145" s="427">
        <v>442</v>
      </c>
      <c r="J145" s="427">
        <v>593</v>
      </c>
      <c r="K145" s="432">
        <v>0</v>
      </c>
      <c r="L145" s="432">
        <v>0</v>
      </c>
    </row>
    <row r="146" spans="1:12" s="428" customFormat="1" ht="9" customHeight="1" x14ac:dyDescent="0.25">
      <c r="A146" s="431" t="s">
        <v>47</v>
      </c>
      <c r="B146" s="427">
        <f t="shared" si="7"/>
        <v>246026</v>
      </c>
      <c r="C146" s="427"/>
      <c r="D146" s="427">
        <v>128047</v>
      </c>
      <c r="E146" s="432">
        <v>0</v>
      </c>
      <c r="F146" s="427">
        <v>96373</v>
      </c>
      <c r="G146" s="427">
        <v>19895</v>
      </c>
      <c r="H146" s="432">
        <v>0</v>
      </c>
      <c r="I146" s="427">
        <v>502</v>
      </c>
      <c r="J146" s="427">
        <v>283</v>
      </c>
      <c r="K146" s="427">
        <v>926</v>
      </c>
      <c r="L146" s="432">
        <v>0</v>
      </c>
    </row>
    <row r="147" spans="1:12" s="428" customFormat="1" ht="9" customHeight="1" x14ac:dyDescent="0.25">
      <c r="A147" s="431" t="s">
        <v>48</v>
      </c>
      <c r="B147" s="427">
        <f t="shared" si="7"/>
        <v>325277</v>
      </c>
      <c r="C147" s="427"/>
      <c r="D147" s="427">
        <v>234945</v>
      </c>
      <c r="E147" s="432">
        <v>0</v>
      </c>
      <c r="F147" s="427">
        <v>68113</v>
      </c>
      <c r="G147" s="427">
        <v>8940</v>
      </c>
      <c r="H147" s="427">
        <v>7358</v>
      </c>
      <c r="I147" s="427">
        <v>307</v>
      </c>
      <c r="J147" s="427">
        <v>152</v>
      </c>
      <c r="K147" s="427">
        <v>5462</v>
      </c>
      <c r="L147" s="432">
        <v>0</v>
      </c>
    </row>
    <row r="148" spans="1:12" s="428" customFormat="1" ht="9" customHeight="1" x14ac:dyDescent="0.25">
      <c r="A148" s="433" t="s">
        <v>49</v>
      </c>
      <c r="B148" s="434">
        <f t="shared" si="7"/>
        <v>290035</v>
      </c>
      <c r="C148" s="434"/>
      <c r="D148" s="434">
        <v>162031</v>
      </c>
      <c r="E148" s="435">
        <v>18971</v>
      </c>
      <c r="F148" s="434">
        <v>72815</v>
      </c>
      <c r="G148" s="434">
        <v>27678</v>
      </c>
      <c r="H148" s="434">
        <v>3943</v>
      </c>
      <c r="I148" s="434">
        <v>325</v>
      </c>
      <c r="J148" s="434">
        <v>372</v>
      </c>
      <c r="K148" s="435">
        <v>0</v>
      </c>
      <c r="L148" s="435">
        <v>3900</v>
      </c>
    </row>
    <row r="149" spans="1:12" s="428" customFormat="1" ht="9" customHeight="1" x14ac:dyDescent="0.25">
      <c r="A149" s="431" t="s">
        <v>50</v>
      </c>
      <c r="B149" s="427">
        <f t="shared" si="7"/>
        <v>141458</v>
      </c>
      <c r="C149" s="427"/>
      <c r="D149" s="427">
        <v>105432</v>
      </c>
      <c r="E149" s="432">
        <v>0</v>
      </c>
      <c r="F149" s="427">
        <v>27802</v>
      </c>
      <c r="G149" s="427">
        <v>7972</v>
      </c>
      <c r="H149" s="432">
        <v>0</v>
      </c>
      <c r="I149" s="427">
        <v>252</v>
      </c>
      <c r="J149" s="432">
        <v>0</v>
      </c>
      <c r="K149" s="432">
        <v>0</v>
      </c>
      <c r="L149" s="432">
        <v>0</v>
      </c>
    </row>
    <row r="150" spans="1:12" s="428" customFormat="1" ht="9" customHeight="1" x14ac:dyDescent="0.25">
      <c r="A150" s="431" t="s">
        <v>51</v>
      </c>
      <c r="B150" s="427">
        <f t="shared" si="7"/>
        <v>907897</v>
      </c>
      <c r="C150" s="427"/>
      <c r="D150" s="427">
        <v>474426</v>
      </c>
      <c r="E150" s="432">
        <v>133204</v>
      </c>
      <c r="F150" s="427">
        <v>243337</v>
      </c>
      <c r="G150" s="427">
        <v>41624</v>
      </c>
      <c r="H150" s="427">
        <v>11426</v>
      </c>
      <c r="I150" s="427">
        <v>1055</v>
      </c>
      <c r="J150" s="427">
        <v>2432</v>
      </c>
      <c r="K150" s="432">
        <v>0</v>
      </c>
      <c r="L150" s="432">
        <v>393</v>
      </c>
    </row>
    <row r="151" spans="1:12" s="428" customFormat="1" ht="9" customHeight="1" x14ac:dyDescent="0.25">
      <c r="A151" s="431" t="s">
        <v>52</v>
      </c>
      <c r="B151" s="427">
        <f t="shared" si="7"/>
        <v>208335</v>
      </c>
      <c r="C151" s="427"/>
      <c r="D151" s="427">
        <v>97249</v>
      </c>
      <c r="E151" s="432">
        <v>32751</v>
      </c>
      <c r="F151" s="427">
        <v>67435</v>
      </c>
      <c r="G151" s="427">
        <v>10339</v>
      </c>
      <c r="H151" s="432">
        <v>0</v>
      </c>
      <c r="I151" s="427">
        <v>315</v>
      </c>
      <c r="J151" s="427">
        <v>246</v>
      </c>
      <c r="K151" s="432">
        <v>0</v>
      </c>
      <c r="L151" s="432">
        <v>0</v>
      </c>
    </row>
    <row r="152" spans="1:12" s="428" customFormat="1" ht="9" customHeight="1" x14ac:dyDescent="0.25">
      <c r="A152" s="433" t="s">
        <v>53</v>
      </c>
      <c r="B152" s="434">
        <f t="shared" si="7"/>
        <v>222841</v>
      </c>
      <c r="C152" s="434"/>
      <c r="D152" s="434">
        <v>150055</v>
      </c>
      <c r="E152" s="435">
        <v>23034</v>
      </c>
      <c r="F152" s="434">
        <v>31146</v>
      </c>
      <c r="G152" s="434">
        <v>18606</v>
      </c>
      <c r="H152" s="435">
        <v>0</v>
      </c>
      <c r="I152" s="435">
        <v>0</v>
      </c>
      <c r="J152" s="435">
        <v>0</v>
      </c>
      <c r="K152" s="435">
        <v>0</v>
      </c>
      <c r="L152" s="435">
        <v>0</v>
      </c>
    </row>
    <row r="153" spans="1:12" s="428" customFormat="1" ht="9" customHeight="1" x14ac:dyDescent="0.25">
      <c r="A153" s="431"/>
      <c r="B153" s="427"/>
      <c r="C153" s="427"/>
      <c r="D153" s="427"/>
      <c r="E153" s="432"/>
      <c r="F153" s="427"/>
      <c r="G153" s="427"/>
      <c r="H153" s="432"/>
      <c r="I153" s="432"/>
      <c r="J153" s="432"/>
      <c r="K153" s="432"/>
      <c r="L153" s="432"/>
    </row>
    <row r="154" spans="1:12" s="428" customFormat="1" ht="9" customHeight="1" x14ac:dyDescent="0.25">
      <c r="A154" s="426" t="s">
        <v>318</v>
      </c>
      <c r="B154" s="427"/>
      <c r="C154" s="427"/>
      <c r="D154" s="427"/>
      <c r="E154" s="427"/>
      <c r="F154" s="427"/>
      <c r="G154" s="427"/>
      <c r="H154" s="427"/>
      <c r="I154" s="427"/>
      <c r="J154" s="427"/>
      <c r="K154" s="427"/>
      <c r="L154" s="427"/>
    </row>
    <row r="155" spans="1:12" s="428" customFormat="1" ht="9" customHeight="1" x14ac:dyDescent="0.25">
      <c r="A155" s="429" t="s">
        <v>21</v>
      </c>
      <c r="B155" s="430">
        <f>SUM(B157:B188)</f>
        <v>12875151</v>
      </c>
      <c r="C155" s="430"/>
      <c r="D155" s="430">
        <f t="shared" ref="D155:L155" si="8">SUM(D157:D188)</f>
        <v>7998533</v>
      </c>
      <c r="E155" s="430">
        <f t="shared" si="8"/>
        <v>848862</v>
      </c>
      <c r="F155" s="430">
        <f t="shared" si="8"/>
        <v>2950841</v>
      </c>
      <c r="G155" s="430">
        <f t="shared" si="8"/>
        <v>900942</v>
      </c>
      <c r="H155" s="430">
        <f t="shared" si="8"/>
        <v>66645</v>
      </c>
      <c r="I155" s="430">
        <f t="shared" si="8"/>
        <v>30026</v>
      </c>
      <c r="J155" s="430">
        <f t="shared" si="8"/>
        <v>7463</v>
      </c>
      <c r="K155" s="430">
        <f t="shared" si="8"/>
        <v>60316</v>
      </c>
      <c r="L155" s="430">
        <f t="shared" si="8"/>
        <v>11523</v>
      </c>
    </row>
    <row r="156" spans="1:12" s="428" customFormat="1" ht="3.95" customHeight="1" x14ac:dyDescent="0.25">
      <c r="A156" s="429"/>
      <c r="B156" s="430"/>
      <c r="C156" s="430"/>
      <c r="D156" s="430"/>
      <c r="E156" s="430"/>
      <c r="F156" s="430"/>
      <c r="G156" s="430"/>
      <c r="H156" s="430"/>
      <c r="I156" s="430"/>
      <c r="J156" s="430"/>
      <c r="K156" s="430"/>
      <c r="L156" s="430"/>
    </row>
    <row r="157" spans="1:12" s="428" customFormat="1" ht="9" customHeight="1" x14ac:dyDescent="0.25">
      <c r="A157" s="431" t="s">
        <v>23</v>
      </c>
      <c r="B157" s="427">
        <f t="shared" ref="B157:B188" si="9">SUM(D157:L157)</f>
        <v>132957</v>
      </c>
      <c r="C157" s="427"/>
      <c r="D157" s="427">
        <v>96106</v>
      </c>
      <c r="E157" s="432">
        <v>0</v>
      </c>
      <c r="F157" s="427">
        <v>25975</v>
      </c>
      <c r="G157" s="427">
        <v>10633</v>
      </c>
      <c r="H157" s="432">
        <v>0</v>
      </c>
      <c r="I157" s="427">
        <v>243</v>
      </c>
      <c r="J157" s="432">
        <v>0</v>
      </c>
      <c r="K157" s="432">
        <v>0</v>
      </c>
      <c r="L157" s="432">
        <v>0</v>
      </c>
    </row>
    <row r="158" spans="1:12" s="428" customFormat="1" ht="9" customHeight="1" x14ac:dyDescent="0.25">
      <c r="A158" s="431" t="s">
        <v>24</v>
      </c>
      <c r="B158" s="427">
        <f t="shared" si="9"/>
        <v>300534</v>
      </c>
      <c r="C158" s="427"/>
      <c r="D158" s="427">
        <v>77220</v>
      </c>
      <c r="E158" s="432">
        <v>7410</v>
      </c>
      <c r="F158" s="427">
        <v>197664</v>
      </c>
      <c r="G158" s="427">
        <v>12547</v>
      </c>
      <c r="H158" s="432">
        <v>0</v>
      </c>
      <c r="I158" s="427">
        <v>1698</v>
      </c>
      <c r="J158" s="432">
        <v>256</v>
      </c>
      <c r="K158" s="427">
        <v>3739</v>
      </c>
      <c r="L158" s="432">
        <v>0</v>
      </c>
    </row>
    <row r="159" spans="1:12" s="428" customFormat="1" ht="9" customHeight="1" x14ac:dyDescent="0.25">
      <c r="A159" s="431" t="s">
        <v>25</v>
      </c>
      <c r="B159" s="427">
        <f t="shared" si="9"/>
        <v>62598</v>
      </c>
      <c r="C159" s="427"/>
      <c r="D159" s="427">
        <v>41104</v>
      </c>
      <c r="E159" s="432">
        <v>0</v>
      </c>
      <c r="F159" s="427">
        <v>15702</v>
      </c>
      <c r="G159" s="427">
        <v>4201</v>
      </c>
      <c r="H159" s="432">
        <v>0</v>
      </c>
      <c r="I159" s="427">
        <v>1449</v>
      </c>
      <c r="J159" s="427">
        <v>142</v>
      </c>
      <c r="K159" s="432">
        <v>0</v>
      </c>
      <c r="L159" s="432">
        <v>0</v>
      </c>
    </row>
    <row r="160" spans="1:12" s="428" customFormat="1" ht="9" customHeight="1" x14ac:dyDescent="0.25">
      <c r="A160" s="433" t="s">
        <v>26</v>
      </c>
      <c r="B160" s="434">
        <f t="shared" si="9"/>
        <v>136432</v>
      </c>
      <c r="C160" s="434"/>
      <c r="D160" s="434">
        <v>82963</v>
      </c>
      <c r="E160" s="435">
        <v>12501</v>
      </c>
      <c r="F160" s="434">
        <v>26873</v>
      </c>
      <c r="G160" s="434">
        <v>11132</v>
      </c>
      <c r="H160" s="434">
        <v>1333</v>
      </c>
      <c r="I160" s="434">
        <v>242</v>
      </c>
      <c r="J160" s="434">
        <v>1388</v>
      </c>
      <c r="K160" s="435">
        <v>0</v>
      </c>
      <c r="L160" s="435">
        <v>0</v>
      </c>
    </row>
    <row r="161" spans="1:12" s="428" customFormat="1" ht="9" customHeight="1" x14ac:dyDescent="0.25">
      <c r="A161" s="431" t="s">
        <v>27</v>
      </c>
      <c r="B161" s="427">
        <f t="shared" si="9"/>
        <v>299449</v>
      </c>
      <c r="C161" s="427"/>
      <c r="D161" s="427">
        <v>166491</v>
      </c>
      <c r="E161" s="432">
        <v>19265</v>
      </c>
      <c r="F161" s="427">
        <v>89424</v>
      </c>
      <c r="G161" s="427">
        <v>20570</v>
      </c>
      <c r="H161" s="432">
        <v>0</v>
      </c>
      <c r="I161" s="427">
        <v>1339</v>
      </c>
      <c r="J161" s="432">
        <v>0</v>
      </c>
      <c r="K161" s="432">
        <v>0</v>
      </c>
      <c r="L161" s="432">
        <v>2360</v>
      </c>
    </row>
    <row r="162" spans="1:12" s="428" customFormat="1" ht="9" customHeight="1" x14ac:dyDescent="0.25">
      <c r="A162" s="431" t="s">
        <v>28</v>
      </c>
      <c r="B162" s="427">
        <f t="shared" si="9"/>
        <v>118926</v>
      </c>
      <c r="C162" s="427"/>
      <c r="D162" s="427">
        <v>54274</v>
      </c>
      <c r="E162" s="432">
        <v>0</v>
      </c>
      <c r="F162" s="427">
        <v>54676</v>
      </c>
      <c r="G162" s="427">
        <v>9475</v>
      </c>
      <c r="H162" s="432">
        <v>0</v>
      </c>
      <c r="I162" s="427">
        <v>0</v>
      </c>
      <c r="J162" s="427">
        <v>501</v>
      </c>
      <c r="K162" s="432">
        <v>0</v>
      </c>
      <c r="L162" s="432">
        <v>0</v>
      </c>
    </row>
    <row r="163" spans="1:12" s="428" customFormat="1" ht="9" customHeight="1" x14ac:dyDescent="0.25">
      <c r="A163" s="431" t="s">
        <v>29</v>
      </c>
      <c r="B163" s="427">
        <f t="shared" si="9"/>
        <v>527412</v>
      </c>
      <c r="C163" s="427"/>
      <c r="D163" s="427">
        <v>341625</v>
      </c>
      <c r="E163" s="432">
        <v>133727</v>
      </c>
      <c r="F163" s="427">
        <v>34155</v>
      </c>
      <c r="G163" s="427">
        <v>12521</v>
      </c>
      <c r="H163" s="427">
        <v>1200</v>
      </c>
      <c r="I163" s="427">
        <v>2587</v>
      </c>
      <c r="J163" s="427">
        <v>146</v>
      </c>
      <c r="K163" s="427">
        <v>1451</v>
      </c>
      <c r="L163" s="432">
        <v>0</v>
      </c>
    </row>
    <row r="164" spans="1:12" s="428" customFormat="1" ht="9" customHeight="1" x14ac:dyDescent="0.25">
      <c r="A164" s="433" t="s">
        <v>30</v>
      </c>
      <c r="B164" s="434">
        <f t="shared" si="9"/>
        <v>325320</v>
      </c>
      <c r="C164" s="434"/>
      <c r="D164" s="434">
        <v>144548</v>
      </c>
      <c r="E164" s="435">
        <v>26175</v>
      </c>
      <c r="F164" s="434">
        <v>132041</v>
      </c>
      <c r="G164" s="434">
        <v>21055</v>
      </c>
      <c r="H164" s="434">
        <v>44</v>
      </c>
      <c r="I164" s="434">
        <v>1457</v>
      </c>
      <c r="J164" s="435">
        <v>0</v>
      </c>
      <c r="K164" s="435">
        <v>0</v>
      </c>
      <c r="L164" s="435">
        <v>0</v>
      </c>
    </row>
    <row r="165" spans="1:12" s="428" customFormat="1" ht="9" customHeight="1" x14ac:dyDescent="0.25">
      <c r="A165" s="431" t="s">
        <v>63</v>
      </c>
      <c r="B165" s="427">
        <f t="shared" si="9"/>
        <v>748733</v>
      </c>
      <c r="C165" s="427"/>
      <c r="D165" s="427">
        <v>256112</v>
      </c>
      <c r="E165" s="432">
        <v>329</v>
      </c>
      <c r="F165" s="427">
        <v>218915</v>
      </c>
      <c r="G165" s="427">
        <v>255438</v>
      </c>
      <c r="H165" s="427">
        <v>11996</v>
      </c>
      <c r="I165" s="427">
        <v>3225</v>
      </c>
      <c r="J165" s="427">
        <v>434</v>
      </c>
      <c r="K165" s="427">
        <v>2284</v>
      </c>
      <c r="L165" s="432">
        <v>0</v>
      </c>
    </row>
    <row r="166" spans="1:12" s="428" customFormat="1" ht="9" customHeight="1" x14ac:dyDescent="0.25">
      <c r="A166" s="431" t="s">
        <v>31</v>
      </c>
      <c r="B166" s="427">
        <f t="shared" si="9"/>
        <v>240053</v>
      </c>
      <c r="C166" s="427"/>
      <c r="D166" s="427">
        <v>154592</v>
      </c>
      <c r="E166" s="432">
        <v>32854</v>
      </c>
      <c r="F166" s="427">
        <v>33406</v>
      </c>
      <c r="G166" s="427">
        <v>18992</v>
      </c>
      <c r="H166" s="432">
        <v>0</v>
      </c>
      <c r="I166" s="427">
        <v>209</v>
      </c>
      <c r="J166" s="432">
        <v>0</v>
      </c>
      <c r="K166" s="432">
        <v>0</v>
      </c>
      <c r="L166" s="432">
        <v>0</v>
      </c>
    </row>
    <row r="167" spans="1:12" s="428" customFormat="1" ht="9" customHeight="1" x14ac:dyDescent="0.25">
      <c r="A167" s="431" t="s">
        <v>32</v>
      </c>
      <c r="B167" s="427">
        <f t="shared" si="9"/>
        <v>483971</v>
      </c>
      <c r="C167" s="427"/>
      <c r="D167" s="427">
        <v>314962</v>
      </c>
      <c r="E167" s="432">
        <v>0</v>
      </c>
      <c r="F167" s="427">
        <v>115334</v>
      </c>
      <c r="G167" s="427">
        <v>47902</v>
      </c>
      <c r="H167" s="427">
        <v>4865</v>
      </c>
      <c r="I167" s="427">
        <v>908</v>
      </c>
      <c r="J167" s="432">
        <v>0</v>
      </c>
      <c r="K167" s="432">
        <v>0</v>
      </c>
      <c r="L167" s="432">
        <v>0</v>
      </c>
    </row>
    <row r="168" spans="1:12" s="428" customFormat="1" ht="9" customHeight="1" x14ac:dyDescent="0.25">
      <c r="A168" s="433" t="s">
        <v>33</v>
      </c>
      <c r="B168" s="434">
        <f t="shared" si="9"/>
        <v>648280</v>
      </c>
      <c r="C168" s="434"/>
      <c r="D168" s="434">
        <v>550450</v>
      </c>
      <c r="E168" s="435">
        <v>0</v>
      </c>
      <c r="F168" s="434">
        <v>54905</v>
      </c>
      <c r="G168" s="434">
        <v>39015</v>
      </c>
      <c r="H168" s="435">
        <v>0</v>
      </c>
      <c r="I168" s="434">
        <v>3485</v>
      </c>
      <c r="J168" s="434">
        <v>425</v>
      </c>
      <c r="K168" s="435">
        <v>0</v>
      </c>
      <c r="L168" s="435">
        <v>0</v>
      </c>
    </row>
    <row r="169" spans="1:12" s="428" customFormat="1" ht="9" customHeight="1" x14ac:dyDescent="0.25">
      <c r="A169" s="431" t="s">
        <v>34</v>
      </c>
      <c r="B169" s="427">
        <f t="shared" si="9"/>
        <v>320318</v>
      </c>
      <c r="C169" s="427"/>
      <c r="D169" s="427">
        <v>205603</v>
      </c>
      <c r="E169" s="432">
        <v>49324</v>
      </c>
      <c r="F169" s="427">
        <v>42979</v>
      </c>
      <c r="G169" s="427">
        <v>18483</v>
      </c>
      <c r="H169" s="427">
        <v>1333</v>
      </c>
      <c r="I169" s="427">
        <v>946</v>
      </c>
      <c r="J169" s="432">
        <v>0</v>
      </c>
      <c r="K169" s="432">
        <v>0</v>
      </c>
      <c r="L169" s="432">
        <v>1650</v>
      </c>
    </row>
    <row r="170" spans="1:12" s="428" customFormat="1" ht="9" customHeight="1" x14ac:dyDescent="0.25">
      <c r="A170" s="431" t="s">
        <v>35</v>
      </c>
      <c r="B170" s="427">
        <f t="shared" si="9"/>
        <v>595425</v>
      </c>
      <c r="C170" s="427"/>
      <c r="D170" s="427">
        <v>416399</v>
      </c>
      <c r="E170" s="432">
        <v>0</v>
      </c>
      <c r="F170" s="427">
        <v>152550</v>
      </c>
      <c r="G170" s="427">
        <v>23836</v>
      </c>
      <c r="H170" s="427">
        <v>1134</v>
      </c>
      <c r="I170" s="427">
        <v>1471</v>
      </c>
      <c r="J170" s="427">
        <v>35</v>
      </c>
      <c r="K170" s="432">
        <v>0</v>
      </c>
      <c r="L170" s="432">
        <v>0</v>
      </c>
    </row>
    <row r="171" spans="1:12" s="428" customFormat="1" ht="9" customHeight="1" x14ac:dyDescent="0.25">
      <c r="A171" s="431" t="s">
        <v>36</v>
      </c>
      <c r="B171" s="427">
        <f t="shared" si="9"/>
        <v>2113508</v>
      </c>
      <c r="C171" s="427"/>
      <c r="D171" s="427">
        <v>1695531</v>
      </c>
      <c r="E171" s="432">
        <v>0</v>
      </c>
      <c r="F171" s="427">
        <v>343994</v>
      </c>
      <c r="G171" s="427">
        <v>52143</v>
      </c>
      <c r="H171" s="427">
        <v>0</v>
      </c>
      <c r="I171" s="427">
        <v>470</v>
      </c>
      <c r="J171" s="432">
        <v>0</v>
      </c>
      <c r="K171" s="427">
        <v>21370</v>
      </c>
      <c r="L171" s="432">
        <v>0</v>
      </c>
    </row>
    <row r="172" spans="1:12" s="428" customFormat="1" ht="9" customHeight="1" x14ac:dyDescent="0.25">
      <c r="A172" s="433" t="s">
        <v>37</v>
      </c>
      <c r="B172" s="434">
        <f t="shared" si="9"/>
        <v>514954</v>
      </c>
      <c r="C172" s="434"/>
      <c r="D172" s="434">
        <v>311914</v>
      </c>
      <c r="E172" s="435">
        <v>72704</v>
      </c>
      <c r="F172" s="434">
        <v>100878</v>
      </c>
      <c r="G172" s="434">
        <v>29079</v>
      </c>
      <c r="H172" s="435">
        <v>0</v>
      </c>
      <c r="I172" s="434">
        <v>119</v>
      </c>
      <c r="J172" s="434">
        <v>260</v>
      </c>
      <c r="K172" s="435">
        <v>0</v>
      </c>
      <c r="L172" s="435">
        <v>0</v>
      </c>
    </row>
    <row r="173" spans="1:12" s="428" customFormat="1" ht="9" customHeight="1" x14ac:dyDescent="0.25">
      <c r="A173" s="431" t="s">
        <v>38</v>
      </c>
      <c r="B173" s="427">
        <f t="shared" si="9"/>
        <v>260115</v>
      </c>
      <c r="C173" s="427"/>
      <c r="D173" s="427">
        <v>144928</v>
      </c>
      <c r="E173" s="432">
        <v>0</v>
      </c>
      <c r="F173" s="427">
        <v>86711</v>
      </c>
      <c r="G173" s="427">
        <v>28047</v>
      </c>
      <c r="H173" s="432">
        <v>0</v>
      </c>
      <c r="I173" s="427">
        <v>429</v>
      </c>
      <c r="J173" s="432">
        <v>0</v>
      </c>
      <c r="K173" s="432">
        <v>0</v>
      </c>
      <c r="L173" s="432">
        <v>0</v>
      </c>
    </row>
    <row r="174" spans="1:12" s="428" customFormat="1" ht="9" customHeight="1" x14ac:dyDescent="0.25">
      <c r="A174" s="431" t="s">
        <v>39</v>
      </c>
      <c r="B174" s="427">
        <f t="shared" si="9"/>
        <v>205055</v>
      </c>
      <c r="C174" s="427"/>
      <c r="D174" s="427">
        <v>136931</v>
      </c>
      <c r="E174" s="432">
        <v>9550</v>
      </c>
      <c r="F174" s="427">
        <v>44791</v>
      </c>
      <c r="G174" s="427">
        <v>13709</v>
      </c>
      <c r="H174" s="432">
        <v>0</v>
      </c>
      <c r="I174" s="427">
        <v>0</v>
      </c>
      <c r="J174" s="432">
        <v>74</v>
      </c>
      <c r="K174" s="432">
        <v>0</v>
      </c>
      <c r="L174" s="432">
        <v>0</v>
      </c>
    </row>
    <row r="175" spans="1:12" s="428" customFormat="1" ht="9" customHeight="1" x14ac:dyDescent="0.25">
      <c r="A175" s="431" t="s">
        <v>40</v>
      </c>
      <c r="B175" s="427">
        <f t="shared" si="9"/>
        <v>358559</v>
      </c>
      <c r="C175" s="427"/>
      <c r="D175" s="427">
        <v>207270</v>
      </c>
      <c r="E175" s="432">
        <v>0</v>
      </c>
      <c r="F175" s="427">
        <v>109099</v>
      </c>
      <c r="G175" s="427">
        <v>30025</v>
      </c>
      <c r="H175" s="432">
        <v>2666</v>
      </c>
      <c r="I175" s="427">
        <v>458</v>
      </c>
      <c r="J175" s="432">
        <v>0</v>
      </c>
      <c r="K175" s="427">
        <v>4698</v>
      </c>
      <c r="L175" s="432">
        <v>4343</v>
      </c>
    </row>
    <row r="176" spans="1:12" s="428" customFormat="1" ht="9" customHeight="1" x14ac:dyDescent="0.25">
      <c r="A176" s="433" t="s">
        <v>41</v>
      </c>
      <c r="B176" s="434">
        <f t="shared" si="9"/>
        <v>412369</v>
      </c>
      <c r="C176" s="434"/>
      <c r="D176" s="434">
        <v>266376</v>
      </c>
      <c r="E176" s="435">
        <v>94661</v>
      </c>
      <c r="F176" s="434">
        <v>36299</v>
      </c>
      <c r="G176" s="434">
        <v>8956</v>
      </c>
      <c r="H176" s="434">
        <v>3865</v>
      </c>
      <c r="I176" s="434">
        <v>1875</v>
      </c>
      <c r="J176" s="434">
        <v>337</v>
      </c>
      <c r="K176" s="435">
        <v>0</v>
      </c>
      <c r="L176" s="435">
        <v>0</v>
      </c>
    </row>
    <row r="177" spans="1:12" s="428" customFormat="1" ht="9" customHeight="1" x14ac:dyDescent="0.25">
      <c r="A177" s="431" t="s">
        <v>42</v>
      </c>
      <c r="B177" s="427">
        <f t="shared" si="9"/>
        <v>823868</v>
      </c>
      <c r="C177" s="427"/>
      <c r="D177" s="427">
        <v>522487</v>
      </c>
      <c r="E177" s="432">
        <v>98086</v>
      </c>
      <c r="F177" s="427">
        <v>146355</v>
      </c>
      <c r="G177" s="427">
        <v>36866</v>
      </c>
      <c r="H177" s="427">
        <v>889</v>
      </c>
      <c r="I177" s="427">
        <v>1238</v>
      </c>
      <c r="J177" s="432">
        <v>0</v>
      </c>
      <c r="K177" s="432">
        <v>15169</v>
      </c>
      <c r="L177" s="432">
        <v>2778</v>
      </c>
    </row>
    <row r="178" spans="1:12" s="428" customFormat="1" ht="9" customHeight="1" x14ac:dyDescent="0.25">
      <c r="A178" s="431" t="s">
        <v>43</v>
      </c>
      <c r="B178" s="427">
        <f t="shared" si="9"/>
        <v>140840</v>
      </c>
      <c r="C178" s="427"/>
      <c r="D178" s="427">
        <v>69172</v>
      </c>
      <c r="E178" s="432">
        <v>0</v>
      </c>
      <c r="F178" s="427">
        <v>66965</v>
      </c>
      <c r="G178" s="427">
        <v>4693</v>
      </c>
      <c r="H178" s="432">
        <v>0</v>
      </c>
      <c r="I178" s="427">
        <v>10</v>
      </c>
      <c r="J178" s="432">
        <v>0</v>
      </c>
      <c r="K178" s="432">
        <v>0</v>
      </c>
      <c r="L178" s="432">
        <v>0</v>
      </c>
    </row>
    <row r="179" spans="1:12" s="428" customFormat="1" ht="9" customHeight="1" x14ac:dyDescent="0.25">
      <c r="A179" s="431" t="s">
        <v>44</v>
      </c>
      <c r="B179" s="427">
        <f t="shared" si="9"/>
        <v>122525</v>
      </c>
      <c r="C179" s="427"/>
      <c r="D179" s="427">
        <v>77953</v>
      </c>
      <c r="E179" s="432">
        <v>0</v>
      </c>
      <c r="F179" s="427">
        <v>35349</v>
      </c>
      <c r="G179" s="427">
        <v>8394</v>
      </c>
      <c r="H179" s="432">
        <v>0</v>
      </c>
      <c r="I179" s="427">
        <v>591</v>
      </c>
      <c r="J179" s="427">
        <v>238</v>
      </c>
      <c r="K179" s="432">
        <v>0</v>
      </c>
      <c r="L179" s="432">
        <v>0</v>
      </c>
    </row>
    <row r="180" spans="1:12" s="428" customFormat="1" ht="9" customHeight="1" x14ac:dyDescent="0.25">
      <c r="A180" s="433" t="s">
        <v>45</v>
      </c>
      <c r="B180" s="434">
        <f t="shared" si="9"/>
        <v>262208</v>
      </c>
      <c r="C180" s="434"/>
      <c r="D180" s="434">
        <v>135344</v>
      </c>
      <c r="E180" s="435">
        <v>46927</v>
      </c>
      <c r="F180" s="434">
        <v>62106</v>
      </c>
      <c r="G180" s="434">
        <v>16929</v>
      </c>
      <c r="H180" s="434">
        <v>333</v>
      </c>
      <c r="I180" s="434">
        <v>569</v>
      </c>
      <c r="J180" s="435">
        <v>0</v>
      </c>
      <c r="K180" s="435">
        <v>0</v>
      </c>
      <c r="L180" s="435">
        <v>0</v>
      </c>
    </row>
    <row r="181" spans="1:12" s="428" customFormat="1" ht="9" customHeight="1" x14ac:dyDescent="0.25">
      <c r="A181" s="431" t="s">
        <v>46</v>
      </c>
      <c r="B181" s="427">
        <f t="shared" si="9"/>
        <v>316692</v>
      </c>
      <c r="C181" s="427"/>
      <c r="D181" s="427">
        <v>140181</v>
      </c>
      <c r="E181" s="432">
        <v>26192</v>
      </c>
      <c r="F181" s="427">
        <v>117124</v>
      </c>
      <c r="G181" s="427">
        <v>32409</v>
      </c>
      <c r="H181" s="427">
        <v>133</v>
      </c>
      <c r="I181" s="427">
        <v>431</v>
      </c>
      <c r="J181" s="427">
        <v>222</v>
      </c>
      <c r="K181" s="432">
        <v>0</v>
      </c>
      <c r="L181" s="432">
        <v>0</v>
      </c>
    </row>
    <row r="182" spans="1:12" s="428" customFormat="1" ht="9" customHeight="1" x14ac:dyDescent="0.25">
      <c r="A182" s="431" t="s">
        <v>47</v>
      </c>
      <c r="B182" s="427">
        <f t="shared" si="9"/>
        <v>255988</v>
      </c>
      <c r="C182" s="427"/>
      <c r="D182" s="427">
        <v>134601</v>
      </c>
      <c r="E182" s="432">
        <v>0</v>
      </c>
      <c r="F182" s="427">
        <v>103607</v>
      </c>
      <c r="G182" s="427">
        <v>14920</v>
      </c>
      <c r="H182" s="432">
        <v>0</v>
      </c>
      <c r="I182" s="427">
        <v>976</v>
      </c>
      <c r="J182" s="427">
        <v>206</v>
      </c>
      <c r="K182" s="427">
        <v>1678</v>
      </c>
      <c r="L182" s="432">
        <v>0</v>
      </c>
    </row>
    <row r="183" spans="1:12" s="428" customFormat="1" ht="9" customHeight="1" x14ac:dyDescent="0.25">
      <c r="A183" s="431" t="s">
        <v>48</v>
      </c>
      <c r="B183" s="427">
        <f t="shared" si="9"/>
        <v>350846</v>
      </c>
      <c r="C183" s="427"/>
      <c r="D183" s="427">
        <v>245412</v>
      </c>
      <c r="E183" s="432">
        <v>0</v>
      </c>
      <c r="F183" s="427">
        <v>74532</v>
      </c>
      <c r="G183" s="427">
        <v>8570</v>
      </c>
      <c r="H183" s="427">
        <v>11929</v>
      </c>
      <c r="I183" s="427">
        <v>356</v>
      </c>
      <c r="J183" s="427">
        <v>120</v>
      </c>
      <c r="K183" s="427">
        <v>9927</v>
      </c>
      <c r="L183" s="432">
        <v>0</v>
      </c>
    </row>
    <row r="184" spans="1:12" s="428" customFormat="1" ht="9" customHeight="1" x14ac:dyDescent="0.25">
      <c r="A184" s="433" t="s">
        <v>49</v>
      </c>
      <c r="B184" s="434">
        <f t="shared" si="9"/>
        <v>269909</v>
      </c>
      <c r="C184" s="434"/>
      <c r="D184" s="434">
        <v>156825</v>
      </c>
      <c r="E184" s="435">
        <v>18480</v>
      </c>
      <c r="F184" s="434">
        <v>64433</v>
      </c>
      <c r="G184" s="434">
        <v>22988</v>
      </c>
      <c r="H184" s="434">
        <v>6398</v>
      </c>
      <c r="I184" s="434">
        <v>350</v>
      </c>
      <c r="J184" s="434">
        <v>315</v>
      </c>
      <c r="K184" s="435">
        <v>0</v>
      </c>
      <c r="L184" s="435">
        <v>120</v>
      </c>
    </row>
    <row r="185" spans="1:12" s="428" customFormat="1" ht="9" customHeight="1" x14ac:dyDescent="0.25">
      <c r="A185" s="431" t="s">
        <v>50</v>
      </c>
      <c r="B185" s="427">
        <f t="shared" si="9"/>
        <v>143926</v>
      </c>
      <c r="C185" s="427"/>
      <c r="D185" s="427">
        <v>109669</v>
      </c>
      <c r="E185" s="432">
        <v>0</v>
      </c>
      <c r="F185" s="427">
        <v>26205</v>
      </c>
      <c r="G185" s="427">
        <v>7785</v>
      </c>
      <c r="H185" s="432">
        <v>0</v>
      </c>
      <c r="I185" s="427">
        <v>267</v>
      </c>
      <c r="J185" s="432">
        <v>0</v>
      </c>
      <c r="K185" s="432">
        <v>0</v>
      </c>
      <c r="L185" s="432">
        <v>0</v>
      </c>
    </row>
    <row r="186" spans="1:12" s="428" customFormat="1" ht="9" customHeight="1" x14ac:dyDescent="0.25">
      <c r="A186" s="431" t="s">
        <v>51</v>
      </c>
      <c r="B186" s="427">
        <f t="shared" si="9"/>
        <v>932765</v>
      </c>
      <c r="C186" s="427"/>
      <c r="D186" s="427">
        <v>493169</v>
      </c>
      <c r="E186" s="432">
        <v>149336</v>
      </c>
      <c r="F186" s="427">
        <v>225666</v>
      </c>
      <c r="G186" s="427">
        <v>41534</v>
      </c>
      <c r="H186" s="427">
        <v>18527</v>
      </c>
      <c r="I186" s="427">
        <v>2186</v>
      </c>
      <c r="J186" s="427">
        <v>2075</v>
      </c>
      <c r="K186" s="432">
        <v>0</v>
      </c>
      <c r="L186" s="432">
        <v>272</v>
      </c>
    </row>
    <row r="187" spans="1:12" s="428" customFormat="1" ht="9" customHeight="1" x14ac:dyDescent="0.25">
      <c r="A187" s="431" t="s">
        <v>52</v>
      </c>
      <c r="B187" s="427">
        <f t="shared" si="9"/>
        <v>213861</v>
      </c>
      <c r="C187" s="427"/>
      <c r="D187" s="427">
        <v>98461</v>
      </c>
      <c r="E187" s="432">
        <v>27153</v>
      </c>
      <c r="F187" s="427">
        <v>74295</v>
      </c>
      <c r="G187" s="427">
        <v>13221</v>
      </c>
      <c r="H187" s="432">
        <v>0</v>
      </c>
      <c r="I187" s="427">
        <v>442</v>
      </c>
      <c r="J187" s="427">
        <v>289</v>
      </c>
      <c r="K187" s="432">
        <v>0</v>
      </c>
      <c r="L187" s="432">
        <v>0</v>
      </c>
    </row>
    <row r="188" spans="1:12" s="428" customFormat="1" ht="9" customHeight="1" x14ac:dyDescent="0.25">
      <c r="A188" s="433" t="s">
        <v>53</v>
      </c>
      <c r="B188" s="434">
        <f t="shared" si="9"/>
        <v>236755</v>
      </c>
      <c r="C188" s="434"/>
      <c r="D188" s="434">
        <v>149860</v>
      </c>
      <c r="E188" s="435">
        <v>24188</v>
      </c>
      <c r="F188" s="434">
        <v>37833</v>
      </c>
      <c r="G188" s="434">
        <v>24874</v>
      </c>
      <c r="H188" s="435">
        <v>0</v>
      </c>
      <c r="I188" s="435">
        <v>0</v>
      </c>
      <c r="J188" s="435">
        <v>0</v>
      </c>
      <c r="K188" s="435">
        <v>0</v>
      </c>
      <c r="L188" s="435">
        <v>0</v>
      </c>
    </row>
    <row r="189" spans="1:12" s="428" customFormat="1" ht="8.25" customHeight="1" x14ac:dyDescent="0.25">
      <c r="A189" s="439"/>
      <c r="B189" s="427"/>
      <c r="C189" s="427"/>
      <c r="D189" s="427"/>
      <c r="E189" s="427"/>
      <c r="F189" s="427"/>
      <c r="G189" s="427"/>
      <c r="H189" s="427"/>
      <c r="I189" s="427"/>
      <c r="J189" s="427"/>
      <c r="K189" s="427"/>
      <c r="L189" s="427"/>
    </row>
    <row r="190" spans="1:12" s="428" customFormat="1" ht="9" customHeight="1" x14ac:dyDescent="0.25">
      <c r="A190" s="439">
        <v>2000</v>
      </c>
      <c r="B190" s="427"/>
      <c r="C190" s="427"/>
      <c r="D190" s="427"/>
      <c r="E190" s="427"/>
      <c r="F190" s="427"/>
      <c r="G190" s="427"/>
      <c r="H190" s="427"/>
      <c r="I190" s="427"/>
      <c r="J190" s="427"/>
      <c r="K190" s="427"/>
      <c r="L190" s="427"/>
    </row>
    <row r="191" spans="1:12" s="428" customFormat="1" ht="9" customHeight="1" x14ac:dyDescent="0.25">
      <c r="A191" s="429" t="s">
        <v>21</v>
      </c>
      <c r="B191" s="430">
        <f>SUM(B193:B224)</f>
        <v>12859858</v>
      </c>
      <c r="C191" s="430"/>
      <c r="D191" s="430">
        <f t="shared" ref="D191:L191" si="10">SUM(D193:D224)</f>
        <v>7994806</v>
      </c>
      <c r="E191" s="430">
        <f t="shared" si="10"/>
        <v>879373</v>
      </c>
      <c r="F191" s="430">
        <f t="shared" si="10"/>
        <v>2975530</v>
      </c>
      <c r="G191" s="430">
        <f t="shared" si="10"/>
        <v>851144</v>
      </c>
      <c r="H191" s="430">
        <f t="shared" si="10"/>
        <v>38666</v>
      </c>
      <c r="I191" s="430">
        <f t="shared" si="10"/>
        <v>40292</v>
      </c>
      <c r="J191" s="430">
        <f t="shared" si="10"/>
        <v>6487</v>
      </c>
      <c r="K191" s="430">
        <f t="shared" si="10"/>
        <v>66630</v>
      </c>
      <c r="L191" s="430">
        <f t="shared" si="10"/>
        <v>6930</v>
      </c>
    </row>
    <row r="192" spans="1:12" s="428" customFormat="1" ht="3.95" customHeight="1" x14ac:dyDescent="0.25">
      <c r="A192" s="429"/>
      <c r="B192" s="430"/>
      <c r="C192" s="430"/>
      <c r="D192" s="430"/>
      <c r="E192" s="430"/>
      <c r="F192" s="430"/>
      <c r="G192" s="430"/>
      <c r="H192" s="430"/>
      <c r="I192" s="430"/>
      <c r="J192" s="430"/>
      <c r="K192" s="430"/>
      <c r="L192" s="430"/>
    </row>
    <row r="193" spans="1:12" s="428" customFormat="1" ht="9" customHeight="1" x14ac:dyDescent="0.25">
      <c r="A193" s="431" t="s">
        <v>23</v>
      </c>
      <c r="B193" s="427">
        <f t="shared" ref="B193:B224" si="11">SUM(D193:L193)</f>
        <v>144208</v>
      </c>
      <c r="C193" s="427"/>
      <c r="D193" s="427">
        <v>95295</v>
      </c>
      <c r="E193" s="432">
        <v>0</v>
      </c>
      <c r="F193" s="427">
        <v>35623</v>
      </c>
      <c r="G193" s="427">
        <v>12774</v>
      </c>
      <c r="H193" s="432">
        <v>0</v>
      </c>
      <c r="I193" s="432">
        <v>516</v>
      </c>
      <c r="J193" s="432">
        <v>0</v>
      </c>
      <c r="K193" s="432">
        <v>0</v>
      </c>
      <c r="L193" s="432">
        <v>0</v>
      </c>
    </row>
    <row r="194" spans="1:12" s="428" customFormat="1" ht="9" customHeight="1" x14ac:dyDescent="0.25">
      <c r="A194" s="431" t="s">
        <v>24</v>
      </c>
      <c r="B194" s="427">
        <f t="shared" si="11"/>
        <v>379499</v>
      </c>
      <c r="C194" s="427"/>
      <c r="D194" s="427">
        <v>93806</v>
      </c>
      <c r="E194" s="432">
        <v>9055</v>
      </c>
      <c r="F194" s="427">
        <v>254486</v>
      </c>
      <c r="G194" s="427">
        <v>13088</v>
      </c>
      <c r="H194" s="432">
        <v>0</v>
      </c>
      <c r="I194" s="432">
        <v>757</v>
      </c>
      <c r="J194" s="432">
        <v>125</v>
      </c>
      <c r="K194" s="427">
        <v>8182</v>
      </c>
      <c r="L194" s="432">
        <v>0</v>
      </c>
    </row>
    <row r="195" spans="1:12" s="428" customFormat="1" ht="9" customHeight="1" x14ac:dyDescent="0.25">
      <c r="A195" s="431" t="s">
        <v>25</v>
      </c>
      <c r="B195" s="427">
        <f t="shared" si="11"/>
        <v>66872</v>
      </c>
      <c r="C195" s="427"/>
      <c r="D195" s="427">
        <v>41987</v>
      </c>
      <c r="E195" s="432">
        <v>0</v>
      </c>
      <c r="F195" s="427">
        <v>17934</v>
      </c>
      <c r="G195" s="427">
        <v>5238</v>
      </c>
      <c r="H195" s="432">
        <v>0</v>
      </c>
      <c r="I195" s="427">
        <v>1372</v>
      </c>
      <c r="J195" s="427">
        <v>341</v>
      </c>
      <c r="K195" s="432">
        <v>0</v>
      </c>
      <c r="L195" s="432">
        <v>0</v>
      </c>
    </row>
    <row r="196" spans="1:12" s="428" customFormat="1" ht="9" customHeight="1" x14ac:dyDescent="0.25">
      <c r="A196" s="433" t="s">
        <v>26</v>
      </c>
      <c r="B196" s="434">
        <f t="shared" si="11"/>
        <v>124593</v>
      </c>
      <c r="C196" s="434"/>
      <c r="D196" s="434">
        <v>77777</v>
      </c>
      <c r="E196" s="435">
        <v>13942</v>
      </c>
      <c r="F196" s="434">
        <v>21869</v>
      </c>
      <c r="G196" s="434">
        <v>9628</v>
      </c>
      <c r="H196" s="434">
        <v>975</v>
      </c>
      <c r="I196" s="434">
        <v>42</v>
      </c>
      <c r="J196" s="434">
        <v>360</v>
      </c>
      <c r="K196" s="435">
        <v>0</v>
      </c>
      <c r="L196" s="435">
        <v>0</v>
      </c>
    </row>
    <row r="197" spans="1:12" s="428" customFormat="1" ht="9" customHeight="1" x14ac:dyDescent="0.25">
      <c r="A197" s="431" t="s">
        <v>27</v>
      </c>
      <c r="B197" s="427">
        <f t="shared" si="11"/>
        <v>285230</v>
      </c>
      <c r="C197" s="427"/>
      <c r="D197" s="427">
        <v>160911</v>
      </c>
      <c r="E197" s="432">
        <v>20267</v>
      </c>
      <c r="F197" s="427">
        <v>83290</v>
      </c>
      <c r="G197" s="427">
        <v>16125</v>
      </c>
      <c r="H197" s="432">
        <v>0</v>
      </c>
      <c r="I197" s="432">
        <v>1791</v>
      </c>
      <c r="J197" s="432">
        <v>0</v>
      </c>
      <c r="K197" s="432">
        <v>0</v>
      </c>
      <c r="L197" s="427">
        <v>2846</v>
      </c>
    </row>
    <row r="198" spans="1:12" s="428" customFormat="1" ht="9" customHeight="1" x14ac:dyDescent="0.25">
      <c r="A198" s="431" t="s">
        <v>28</v>
      </c>
      <c r="B198" s="427">
        <f t="shared" si="11"/>
        <v>118067</v>
      </c>
      <c r="C198" s="427"/>
      <c r="D198" s="427">
        <v>55315</v>
      </c>
      <c r="E198" s="432">
        <v>0</v>
      </c>
      <c r="F198" s="427">
        <v>53676</v>
      </c>
      <c r="G198" s="427">
        <v>8140</v>
      </c>
      <c r="H198" s="432">
        <v>0</v>
      </c>
      <c r="I198" s="427">
        <v>383</v>
      </c>
      <c r="J198" s="427">
        <v>553</v>
      </c>
      <c r="K198" s="432">
        <v>0</v>
      </c>
      <c r="L198" s="432">
        <v>0</v>
      </c>
    </row>
    <row r="199" spans="1:12" s="428" customFormat="1" ht="9" customHeight="1" x14ac:dyDescent="0.25">
      <c r="A199" s="431" t="s">
        <v>29</v>
      </c>
      <c r="B199" s="427">
        <f t="shared" si="11"/>
        <v>498528</v>
      </c>
      <c r="C199" s="427"/>
      <c r="D199" s="427">
        <v>299239</v>
      </c>
      <c r="E199" s="432">
        <v>140921</v>
      </c>
      <c r="F199" s="427">
        <v>36779</v>
      </c>
      <c r="G199" s="427">
        <v>11624</v>
      </c>
      <c r="H199" s="427">
        <v>266</v>
      </c>
      <c r="I199" s="427">
        <v>2604</v>
      </c>
      <c r="J199" s="427">
        <v>60</v>
      </c>
      <c r="K199" s="427">
        <v>6865</v>
      </c>
      <c r="L199" s="432">
        <v>170</v>
      </c>
    </row>
    <row r="200" spans="1:12" s="428" customFormat="1" ht="9" customHeight="1" x14ac:dyDescent="0.25">
      <c r="A200" s="433" t="s">
        <v>30</v>
      </c>
      <c r="B200" s="434">
        <f t="shared" si="11"/>
        <v>357137</v>
      </c>
      <c r="C200" s="434"/>
      <c r="D200" s="434">
        <v>163353</v>
      </c>
      <c r="E200" s="435">
        <v>27167</v>
      </c>
      <c r="F200" s="434">
        <v>141374</v>
      </c>
      <c r="G200" s="434">
        <v>23731</v>
      </c>
      <c r="H200" s="434">
        <v>428</v>
      </c>
      <c r="I200" s="435">
        <v>1084</v>
      </c>
      <c r="J200" s="435">
        <v>0</v>
      </c>
      <c r="K200" s="435">
        <v>0</v>
      </c>
      <c r="L200" s="435">
        <v>0</v>
      </c>
    </row>
    <row r="201" spans="1:12" s="428" customFormat="1" ht="9" customHeight="1" x14ac:dyDescent="0.25">
      <c r="A201" s="431" t="s">
        <v>63</v>
      </c>
      <c r="B201" s="427">
        <f t="shared" si="11"/>
        <v>737234</v>
      </c>
      <c r="C201" s="427"/>
      <c r="D201" s="427">
        <v>264946</v>
      </c>
      <c r="E201" s="432">
        <v>410</v>
      </c>
      <c r="F201" s="427">
        <v>206088</v>
      </c>
      <c r="G201" s="427">
        <v>255332</v>
      </c>
      <c r="H201" s="427">
        <v>4961</v>
      </c>
      <c r="I201" s="427">
        <v>3298</v>
      </c>
      <c r="J201" s="427">
        <v>403</v>
      </c>
      <c r="K201" s="427">
        <v>1796</v>
      </c>
      <c r="L201" s="432">
        <v>0</v>
      </c>
    </row>
    <row r="202" spans="1:12" s="428" customFormat="1" ht="9" customHeight="1" x14ac:dyDescent="0.25">
      <c r="A202" s="431" t="s">
        <v>31</v>
      </c>
      <c r="B202" s="427">
        <f t="shared" si="11"/>
        <v>230225</v>
      </c>
      <c r="C202" s="427"/>
      <c r="D202" s="427">
        <v>132862</v>
      </c>
      <c r="E202" s="432">
        <v>34916</v>
      </c>
      <c r="F202" s="427">
        <v>46845</v>
      </c>
      <c r="G202" s="427">
        <v>15173</v>
      </c>
      <c r="H202" s="432">
        <v>0</v>
      </c>
      <c r="I202" s="432">
        <v>429</v>
      </c>
      <c r="J202" s="432">
        <v>0</v>
      </c>
      <c r="K202" s="432">
        <v>0</v>
      </c>
      <c r="L202" s="432">
        <v>0</v>
      </c>
    </row>
    <row r="203" spans="1:12" s="428" customFormat="1" ht="9" customHeight="1" x14ac:dyDescent="0.25">
      <c r="A203" s="431" t="s">
        <v>32</v>
      </c>
      <c r="B203" s="427">
        <f t="shared" si="11"/>
        <v>454089</v>
      </c>
      <c r="C203" s="427"/>
      <c r="D203" s="427">
        <v>303808</v>
      </c>
      <c r="E203" s="432">
        <v>0</v>
      </c>
      <c r="F203" s="427">
        <v>112828</v>
      </c>
      <c r="G203" s="427">
        <v>34187</v>
      </c>
      <c r="H203" s="427">
        <v>2644</v>
      </c>
      <c r="I203" s="432">
        <v>622</v>
      </c>
      <c r="J203" s="432">
        <v>0</v>
      </c>
      <c r="K203" s="432">
        <v>0</v>
      </c>
      <c r="L203" s="432">
        <v>0</v>
      </c>
    </row>
    <row r="204" spans="1:12" s="428" customFormat="1" ht="9" customHeight="1" x14ac:dyDescent="0.25">
      <c r="A204" s="433" t="s">
        <v>33</v>
      </c>
      <c r="B204" s="434">
        <f t="shared" si="11"/>
        <v>660716</v>
      </c>
      <c r="C204" s="434"/>
      <c r="D204" s="434">
        <v>560838</v>
      </c>
      <c r="E204" s="435">
        <v>0</v>
      </c>
      <c r="F204" s="434">
        <v>60683</v>
      </c>
      <c r="G204" s="434">
        <v>37237</v>
      </c>
      <c r="H204" s="435">
        <v>0</v>
      </c>
      <c r="I204" s="434">
        <v>1596</v>
      </c>
      <c r="J204" s="434">
        <v>362</v>
      </c>
      <c r="K204" s="435">
        <v>0</v>
      </c>
      <c r="L204" s="435">
        <v>0</v>
      </c>
    </row>
    <row r="205" spans="1:12" s="428" customFormat="1" ht="9" customHeight="1" x14ac:dyDescent="0.25">
      <c r="A205" s="431" t="s">
        <v>34</v>
      </c>
      <c r="B205" s="427">
        <f t="shared" si="11"/>
        <v>344362</v>
      </c>
      <c r="C205" s="427"/>
      <c r="D205" s="427">
        <v>221549</v>
      </c>
      <c r="E205" s="432">
        <v>54001</v>
      </c>
      <c r="F205" s="427">
        <v>43053</v>
      </c>
      <c r="G205" s="427">
        <v>24293</v>
      </c>
      <c r="H205" s="427">
        <v>1109</v>
      </c>
      <c r="I205" s="432">
        <v>357</v>
      </c>
      <c r="J205" s="432">
        <v>0</v>
      </c>
      <c r="K205" s="432">
        <v>0</v>
      </c>
      <c r="L205" s="432">
        <v>0</v>
      </c>
    </row>
    <row r="206" spans="1:12" s="428" customFormat="1" ht="9" customHeight="1" x14ac:dyDescent="0.25">
      <c r="A206" s="431" t="s">
        <v>35</v>
      </c>
      <c r="B206" s="427">
        <f t="shared" si="11"/>
        <v>619293</v>
      </c>
      <c r="C206" s="427"/>
      <c r="D206" s="427">
        <v>458080</v>
      </c>
      <c r="E206" s="432">
        <v>0</v>
      </c>
      <c r="F206" s="427">
        <v>137894</v>
      </c>
      <c r="G206" s="427">
        <v>21233</v>
      </c>
      <c r="H206" s="427">
        <v>218</v>
      </c>
      <c r="I206" s="427">
        <v>1814</v>
      </c>
      <c r="J206" s="427">
        <v>54</v>
      </c>
      <c r="K206" s="432">
        <v>0</v>
      </c>
      <c r="L206" s="432">
        <v>0</v>
      </c>
    </row>
    <row r="207" spans="1:12" s="428" customFormat="1" ht="9" customHeight="1" x14ac:dyDescent="0.25">
      <c r="A207" s="431" t="s">
        <v>36</v>
      </c>
      <c r="B207" s="427">
        <f t="shared" si="11"/>
        <v>1930179</v>
      </c>
      <c r="C207" s="427"/>
      <c r="D207" s="427">
        <v>1541750</v>
      </c>
      <c r="E207" s="432">
        <v>0</v>
      </c>
      <c r="F207" s="427">
        <v>316634</v>
      </c>
      <c r="G207" s="427">
        <v>52642</v>
      </c>
      <c r="H207" s="427">
        <v>70</v>
      </c>
      <c r="I207" s="432">
        <v>933</v>
      </c>
      <c r="J207" s="432">
        <v>0</v>
      </c>
      <c r="K207" s="427">
        <v>18150</v>
      </c>
      <c r="L207" s="432">
        <v>0</v>
      </c>
    </row>
    <row r="208" spans="1:12" s="428" customFormat="1" ht="9" customHeight="1" x14ac:dyDescent="0.25">
      <c r="A208" s="433" t="s">
        <v>37</v>
      </c>
      <c r="B208" s="434">
        <f t="shared" si="11"/>
        <v>537308</v>
      </c>
      <c r="C208" s="434"/>
      <c r="D208" s="434">
        <v>320458</v>
      </c>
      <c r="E208" s="435">
        <v>75928</v>
      </c>
      <c r="F208" s="434">
        <v>120568</v>
      </c>
      <c r="G208" s="434">
        <v>19808</v>
      </c>
      <c r="H208" s="435">
        <v>0</v>
      </c>
      <c r="I208" s="434">
        <v>26</v>
      </c>
      <c r="J208" s="434">
        <v>520</v>
      </c>
      <c r="K208" s="435">
        <v>0</v>
      </c>
      <c r="L208" s="435">
        <v>0</v>
      </c>
    </row>
    <row r="209" spans="1:12" s="428" customFormat="1" ht="9" customHeight="1" x14ac:dyDescent="0.25">
      <c r="A209" s="431" t="s">
        <v>38</v>
      </c>
      <c r="B209" s="427">
        <f t="shared" si="11"/>
        <v>274747</v>
      </c>
      <c r="C209" s="427"/>
      <c r="D209" s="427">
        <v>138665</v>
      </c>
      <c r="E209" s="432">
        <v>0</v>
      </c>
      <c r="F209" s="427">
        <v>108912</v>
      </c>
      <c r="G209" s="427">
        <v>26952</v>
      </c>
      <c r="H209" s="432">
        <v>0</v>
      </c>
      <c r="I209" s="432">
        <v>218</v>
      </c>
      <c r="J209" s="432">
        <v>0</v>
      </c>
      <c r="K209" s="432">
        <v>0</v>
      </c>
      <c r="L209" s="432">
        <v>0</v>
      </c>
    </row>
    <row r="210" spans="1:12" s="428" customFormat="1" ht="9" customHeight="1" x14ac:dyDescent="0.25">
      <c r="A210" s="431" t="s">
        <v>39</v>
      </c>
      <c r="B210" s="427">
        <f t="shared" si="11"/>
        <v>215353</v>
      </c>
      <c r="C210" s="427"/>
      <c r="D210" s="427">
        <v>141802</v>
      </c>
      <c r="E210" s="432">
        <v>12114</v>
      </c>
      <c r="F210" s="427">
        <v>50271</v>
      </c>
      <c r="G210" s="427">
        <v>10904</v>
      </c>
      <c r="H210" s="432">
        <v>0</v>
      </c>
      <c r="I210" s="432">
        <v>199</v>
      </c>
      <c r="J210" s="432">
        <v>63</v>
      </c>
      <c r="K210" s="432">
        <v>0</v>
      </c>
      <c r="L210" s="432">
        <v>0</v>
      </c>
    </row>
    <row r="211" spans="1:12" s="428" customFormat="1" ht="9" customHeight="1" x14ac:dyDescent="0.25">
      <c r="A211" s="431" t="s">
        <v>40</v>
      </c>
      <c r="B211" s="427">
        <f t="shared" si="11"/>
        <v>351123</v>
      </c>
      <c r="C211" s="427"/>
      <c r="D211" s="427">
        <v>210288</v>
      </c>
      <c r="E211" s="432">
        <v>0</v>
      </c>
      <c r="F211" s="427">
        <v>113718</v>
      </c>
      <c r="G211" s="427">
        <v>22918</v>
      </c>
      <c r="H211" s="432">
        <v>1321</v>
      </c>
      <c r="I211" s="432">
        <v>176</v>
      </c>
      <c r="J211" s="432">
        <v>0</v>
      </c>
      <c r="K211" s="427">
        <v>2702</v>
      </c>
      <c r="L211" s="432">
        <v>0</v>
      </c>
    </row>
    <row r="212" spans="1:12" s="428" customFormat="1" ht="9" customHeight="1" x14ac:dyDescent="0.25">
      <c r="A212" s="433" t="s">
        <v>41</v>
      </c>
      <c r="B212" s="434">
        <f t="shared" si="11"/>
        <v>433011</v>
      </c>
      <c r="C212" s="434"/>
      <c r="D212" s="434">
        <v>283861</v>
      </c>
      <c r="E212" s="435">
        <v>98565</v>
      </c>
      <c r="F212" s="434">
        <v>32715</v>
      </c>
      <c r="G212" s="434">
        <v>11886</v>
      </c>
      <c r="H212" s="434">
        <v>2050</v>
      </c>
      <c r="I212" s="434">
        <v>3627</v>
      </c>
      <c r="J212" s="434">
        <v>307</v>
      </c>
      <c r="K212" s="435">
        <v>0</v>
      </c>
      <c r="L212" s="435">
        <v>0</v>
      </c>
    </row>
    <row r="213" spans="1:12" s="428" customFormat="1" ht="9" customHeight="1" x14ac:dyDescent="0.25">
      <c r="A213" s="431" t="s">
        <v>42</v>
      </c>
      <c r="B213" s="427">
        <f t="shared" si="11"/>
        <v>749478</v>
      </c>
      <c r="C213" s="427"/>
      <c r="D213" s="427">
        <v>500975</v>
      </c>
      <c r="E213" s="432">
        <v>102334</v>
      </c>
      <c r="F213" s="427">
        <v>96419</v>
      </c>
      <c r="G213" s="427">
        <v>30680</v>
      </c>
      <c r="H213" s="427">
        <v>691</v>
      </c>
      <c r="I213" s="432">
        <v>894</v>
      </c>
      <c r="J213" s="432">
        <v>0</v>
      </c>
      <c r="K213" s="427">
        <v>13661</v>
      </c>
      <c r="L213" s="432">
        <v>3824</v>
      </c>
    </row>
    <row r="214" spans="1:12" s="428" customFormat="1" ht="9" customHeight="1" x14ac:dyDescent="0.25">
      <c r="A214" s="431" t="s">
        <v>43</v>
      </c>
      <c r="B214" s="427">
        <f t="shared" si="11"/>
        <v>162679</v>
      </c>
      <c r="C214" s="427"/>
      <c r="D214" s="427">
        <v>80523</v>
      </c>
      <c r="E214" s="432">
        <v>0</v>
      </c>
      <c r="F214" s="427">
        <v>77209</v>
      </c>
      <c r="G214" s="427">
        <v>4872</v>
      </c>
      <c r="H214" s="432">
        <v>0</v>
      </c>
      <c r="I214" s="432">
        <v>75</v>
      </c>
      <c r="J214" s="432">
        <v>0</v>
      </c>
      <c r="K214" s="432">
        <v>0</v>
      </c>
      <c r="L214" s="432">
        <v>0</v>
      </c>
    </row>
    <row r="215" spans="1:12" s="428" customFormat="1" ht="9" customHeight="1" x14ac:dyDescent="0.25">
      <c r="A215" s="431" t="s">
        <v>44</v>
      </c>
      <c r="B215" s="427">
        <f t="shared" si="11"/>
        <v>132721</v>
      </c>
      <c r="C215" s="427"/>
      <c r="D215" s="427">
        <v>88251</v>
      </c>
      <c r="E215" s="432">
        <v>0</v>
      </c>
      <c r="F215" s="427">
        <v>33129</v>
      </c>
      <c r="G215" s="427">
        <v>7437</v>
      </c>
      <c r="H215" s="432">
        <v>0</v>
      </c>
      <c r="I215" s="427">
        <v>3667</v>
      </c>
      <c r="J215" s="427">
        <v>237</v>
      </c>
      <c r="K215" s="432">
        <v>0</v>
      </c>
      <c r="L215" s="432">
        <v>0</v>
      </c>
    </row>
    <row r="216" spans="1:12" s="428" customFormat="1" ht="9" customHeight="1" x14ac:dyDescent="0.25">
      <c r="A216" s="433" t="s">
        <v>45</v>
      </c>
      <c r="B216" s="434">
        <f t="shared" si="11"/>
        <v>283536</v>
      </c>
      <c r="C216" s="434"/>
      <c r="D216" s="434">
        <v>152132</v>
      </c>
      <c r="E216" s="435">
        <v>50618</v>
      </c>
      <c r="F216" s="434">
        <v>63088</v>
      </c>
      <c r="G216" s="434">
        <v>16698</v>
      </c>
      <c r="H216" s="434">
        <v>688</v>
      </c>
      <c r="I216" s="435">
        <v>312</v>
      </c>
      <c r="J216" s="435">
        <v>0</v>
      </c>
      <c r="K216" s="435">
        <v>0</v>
      </c>
      <c r="L216" s="435">
        <v>0</v>
      </c>
    </row>
    <row r="217" spans="1:12" s="428" customFormat="1" ht="9" customHeight="1" x14ac:dyDescent="0.25">
      <c r="A217" s="431" t="s">
        <v>46</v>
      </c>
      <c r="B217" s="427">
        <f t="shared" si="11"/>
        <v>301669</v>
      </c>
      <c r="C217" s="427"/>
      <c r="D217" s="427">
        <v>129835</v>
      </c>
      <c r="E217" s="432">
        <v>27117</v>
      </c>
      <c r="F217" s="427">
        <v>115295</v>
      </c>
      <c r="G217" s="427">
        <v>28782</v>
      </c>
      <c r="H217" s="427">
        <v>90</v>
      </c>
      <c r="I217" s="427">
        <v>404</v>
      </c>
      <c r="J217" s="427">
        <v>146</v>
      </c>
      <c r="K217" s="432">
        <v>0</v>
      </c>
      <c r="L217" s="432">
        <v>0</v>
      </c>
    </row>
    <row r="218" spans="1:12" s="428" customFormat="1" ht="9" customHeight="1" x14ac:dyDescent="0.25">
      <c r="A218" s="431" t="s">
        <v>47</v>
      </c>
      <c r="B218" s="427">
        <f t="shared" si="11"/>
        <v>267172</v>
      </c>
      <c r="C218" s="427"/>
      <c r="D218" s="427">
        <v>130673</v>
      </c>
      <c r="E218" s="432">
        <v>0</v>
      </c>
      <c r="F218" s="427">
        <v>110080</v>
      </c>
      <c r="G218" s="427">
        <v>20013</v>
      </c>
      <c r="H218" s="432">
        <v>0</v>
      </c>
      <c r="I218" s="427">
        <v>4226</v>
      </c>
      <c r="J218" s="427">
        <v>206</v>
      </c>
      <c r="K218" s="427">
        <v>1974</v>
      </c>
      <c r="L218" s="432">
        <v>0</v>
      </c>
    </row>
    <row r="219" spans="1:12" s="428" customFormat="1" ht="9" customHeight="1" x14ac:dyDescent="0.25">
      <c r="A219" s="431" t="s">
        <v>48</v>
      </c>
      <c r="B219" s="427">
        <f t="shared" si="11"/>
        <v>396913</v>
      </c>
      <c r="C219" s="427"/>
      <c r="D219" s="427">
        <v>278002</v>
      </c>
      <c r="E219" s="432">
        <v>0</v>
      </c>
      <c r="F219" s="427">
        <v>92107</v>
      </c>
      <c r="G219" s="427">
        <v>9379</v>
      </c>
      <c r="H219" s="427">
        <v>3910</v>
      </c>
      <c r="I219" s="427">
        <v>130</v>
      </c>
      <c r="J219" s="427">
        <v>85</v>
      </c>
      <c r="K219" s="427">
        <v>13300</v>
      </c>
      <c r="L219" s="432">
        <v>0</v>
      </c>
    </row>
    <row r="220" spans="1:12" s="428" customFormat="1" ht="9" customHeight="1" x14ac:dyDescent="0.25">
      <c r="A220" s="433" t="s">
        <v>49</v>
      </c>
      <c r="B220" s="434">
        <f t="shared" si="11"/>
        <v>279175</v>
      </c>
      <c r="C220" s="434"/>
      <c r="D220" s="434">
        <v>160149</v>
      </c>
      <c r="E220" s="435">
        <v>19181</v>
      </c>
      <c r="F220" s="434">
        <v>69103</v>
      </c>
      <c r="G220" s="434">
        <v>25422</v>
      </c>
      <c r="H220" s="434">
        <v>4082</v>
      </c>
      <c r="I220" s="434">
        <v>666</v>
      </c>
      <c r="J220" s="434">
        <v>482</v>
      </c>
      <c r="K220" s="435">
        <v>0</v>
      </c>
      <c r="L220" s="435">
        <v>90</v>
      </c>
    </row>
    <row r="221" spans="1:12" s="428" customFormat="1" ht="9" customHeight="1" x14ac:dyDescent="0.25">
      <c r="A221" s="431" t="s">
        <v>50</v>
      </c>
      <c r="B221" s="427">
        <f t="shared" si="11"/>
        <v>139702</v>
      </c>
      <c r="C221" s="427"/>
      <c r="D221" s="427">
        <v>106235</v>
      </c>
      <c r="E221" s="432">
        <v>0</v>
      </c>
      <c r="F221" s="427">
        <v>26211</v>
      </c>
      <c r="G221" s="427">
        <v>7155</v>
      </c>
      <c r="H221" s="432">
        <v>0</v>
      </c>
      <c r="I221" s="432">
        <v>101</v>
      </c>
      <c r="J221" s="432">
        <v>0</v>
      </c>
      <c r="K221" s="432">
        <v>0</v>
      </c>
      <c r="L221" s="432">
        <v>0</v>
      </c>
    </row>
    <row r="222" spans="1:12" s="428" customFormat="1" ht="9" customHeight="1" x14ac:dyDescent="0.25">
      <c r="A222" s="431" t="s">
        <v>51</v>
      </c>
      <c r="B222" s="427">
        <f t="shared" si="11"/>
        <v>950416</v>
      </c>
      <c r="C222" s="427"/>
      <c r="D222" s="427">
        <v>548800</v>
      </c>
      <c r="E222" s="432">
        <v>139569</v>
      </c>
      <c r="F222" s="427">
        <v>202264</v>
      </c>
      <c r="G222" s="427">
        <v>35475</v>
      </c>
      <c r="H222" s="427">
        <v>15163</v>
      </c>
      <c r="I222" s="427">
        <v>7127</v>
      </c>
      <c r="J222" s="427">
        <v>2018</v>
      </c>
      <c r="K222" s="432">
        <v>0</v>
      </c>
      <c r="L222" s="432">
        <v>0</v>
      </c>
    </row>
    <row r="223" spans="1:12" s="428" customFormat="1" ht="9" customHeight="1" x14ac:dyDescent="0.25">
      <c r="A223" s="431" t="s">
        <v>52</v>
      </c>
      <c r="B223" s="427">
        <f t="shared" si="11"/>
        <v>205017</v>
      </c>
      <c r="C223" s="427"/>
      <c r="D223" s="427">
        <v>105536</v>
      </c>
      <c r="E223" s="432">
        <v>28881</v>
      </c>
      <c r="F223" s="427">
        <v>60653</v>
      </c>
      <c r="G223" s="427">
        <v>9118</v>
      </c>
      <c r="H223" s="432">
        <v>0</v>
      </c>
      <c r="I223" s="427">
        <v>664</v>
      </c>
      <c r="J223" s="427">
        <v>165</v>
      </c>
      <c r="K223" s="432">
        <v>0</v>
      </c>
      <c r="L223" s="432">
        <v>0</v>
      </c>
    </row>
    <row r="224" spans="1:12" s="428" customFormat="1" ht="9" customHeight="1" x14ac:dyDescent="0.25">
      <c r="A224" s="433" t="s">
        <v>53</v>
      </c>
      <c r="B224" s="434">
        <f t="shared" si="11"/>
        <v>229606</v>
      </c>
      <c r="C224" s="434"/>
      <c r="D224" s="434">
        <v>147105</v>
      </c>
      <c r="E224" s="435">
        <v>24387</v>
      </c>
      <c r="F224" s="434">
        <v>34732</v>
      </c>
      <c r="G224" s="434">
        <v>23200</v>
      </c>
      <c r="H224" s="435">
        <v>0</v>
      </c>
      <c r="I224" s="435">
        <v>182</v>
      </c>
      <c r="J224" s="435">
        <v>0</v>
      </c>
      <c r="K224" s="435">
        <v>0</v>
      </c>
      <c r="L224" s="435">
        <v>0</v>
      </c>
    </row>
    <row r="225" spans="1:12" s="428" customFormat="1" ht="9" customHeight="1" x14ac:dyDescent="0.25">
      <c r="A225" s="431"/>
      <c r="B225" s="427"/>
      <c r="C225" s="427"/>
      <c r="D225" s="427"/>
      <c r="E225" s="432"/>
      <c r="F225" s="427"/>
      <c r="G225" s="427"/>
      <c r="H225" s="427"/>
      <c r="I225" s="427"/>
      <c r="J225" s="427"/>
      <c r="K225" s="432"/>
      <c r="L225" s="432"/>
    </row>
    <row r="226" spans="1:12" s="428" customFormat="1" ht="9" customHeight="1" x14ac:dyDescent="0.25">
      <c r="A226" s="439">
        <v>2001</v>
      </c>
      <c r="B226" s="427"/>
      <c r="C226" s="427"/>
      <c r="D226" s="427"/>
      <c r="E226" s="427"/>
      <c r="F226" s="427"/>
      <c r="G226" s="427"/>
      <c r="H226" s="427"/>
      <c r="I226" s="427"/>
      <c r="J226" s="427"/>
      <c r="K226" s="427"/>
      <c r="L226" s="427"/>
    </row>
    <row r="227" spans="1:12" s="428" customFormat="1" ht="9" customHeight="1" x14ac:dyDescent="0.25">
      <c r="A227" s="429" t="s">
        <v>21</v>
      </c>
      <c r="B227" s="430">
        <f>SUM(B229:B260)</f>
        <v>13035162</v>
      </c>
      <c r="C227" s="430"/>
      <c r="D227" s="430">
        <f t="shared" ref="D227:L227" si="12">SUM(D229:D260)</f>
        <v>8016296</v>
      </c>
      <c r="E227" s="430">
        <f t="shared" si="12"/>
        <v>1039515</v>
      </c>
      <c r="F227" s="430">
        <f t="shared" si="12"/>
        <v>3027221</v>
      </c>
      <c r="G227" s="430">
        <f t="shared" si="12"/>
        <v>825917</v>
      </c>
      <c r="H227" s="430">
        <f t="shared" si="12"/>
        <v>39333</v>
      </c>
      <c r="I227" s="430">
        <f t="shared" si="12"/>
        <v>16101</v>
      </c>
      <c r="J227" s="430">
        <f t="shared" si="12"/>
        <v>7551</v>
      </c>
      <c r="K227" s="430">
        <f t="shared" si="12"/>
        <v>52951</v>
      </c>
      <c r="L227" s="430">
        <f t="shared" si="12"/>
        <v>10277</v>
      </c>
    </row>
    <row r="228" spans="1:12" s="428" customFormat="1" ht="3.95" customHeight="1" x14ac:dyDescent="0.25">
      <c r="A228" s="429"/>
      <c r="B228" s="430"/>
      <c r="C228" s="430"/>
      <c r="D228" s="430"/>
      <c r="E228" s="430"/>
      <c r="F228" s="430"/>
      <c r="G228" s="430"/>
      <c r="H228" s="430"/>
      <c r="I228" s="430"/>
      <c r="J228" s="430"/>
      <c r="K228" s="430"/>
      <c r="L228" s="430"/>
    </row>
    <row r="229" spans="1:12" s="428" customFormat="1" ht="9" customHeight="1" x14ac:dyDescent="0.25">
      <c r="A229" s="431" t="s">
        <v>23</v>
      </c>
      <c r="B229" s="427">
        <f t="shared" ref="B229:B260" si="13">SUM(D229:L229)</f>
        <v>153689</v>
      </c>
      <c r="C229" s="427"/>
      <c r="D229" s="427">
        <v>99049</v>
      </c>
      <c r="E229" s="432">
        <v>0</v>
      </c>
      <c r="F229" s="427">
        <v>39207</v>
      </c>
      <c r="G229" s="427">
        <v>15094</v>
      </c>
      <c r="H229" s="432">
        <v>0</v>
      </c>
      <c r="I229" s="432">
        <v>339</v>
      </c>
      <c r="J229" s="432">
        <v>0</v>
      </c>
      <c r="K229" s="432">
        <v>0</v>
      </c>
      <c r="L229" s="432">
        <v>0</v>
      </c>
    </row>
    <row r="230" spans="1:12" s="428" customFormat="1" ht="9" customHeight="1" x14ac:dyDescent="0.25">
      <c r="A230" s="431" t="s">
        <v>24</v>
      </c>
      <c r="B230" s="427">
        <f t="shared" si="13"/>
        <v>516229</v>
      </c>
      <c r="C230" s="427"/>
      <c r="D230" s="427">
        <v>102470</v>
      </c>
      <c r="E230" s="432">
        <v>16268</v>
      </c>
      <c r="F230" s="427">
        <v>379057</v>
      </c>
      <c r="G230" s="427">
        <v>13144</v>
      </c>
      <c r="H230" s="432">
        <v>0</v>
      </c>
      <c r="I230" s="432">
        <v>615</v>
      </c>
      <c r="J230" s="432">
        <v>67</v>
      </c>
      <c r="K230" s="427">
        <v>4608</v>
      </c>
      <c r="L230" s="432">
        <v>0</v>
      </c>
    </row>
    <row r="231" spans="1:12" s="428" customFormat="1" ht="9" customHeight="1" x14ac:dyDescent="0.25">
      <c r="A231" s="431" t="s">
        <v>25</v>
      </c>
      <c r="B231" s="427">
        <f t="shared" si="13"/>
        <v>70537</v>
      </c>
      <c r="C231" s="427"/>
      <c r="D231" s="427">
        <v>38292</v>
      </c>
      <c r="E231" s="432">
        <v>0</v>
      </c>
      <c r="F231" s="427">
        <v>27063</v>
      </c>
      <c r="G231" s="427">
        <v>4473</v>
      </c>
      <c r="H231" s="432">
        <v>0</v>
      </c>
      <c r="I231" s="427">
        <v>292</v>
      </c>
      <c r="J231" s="427">
        <v>417</v>
      </c>
      <c r="K231" s="432">
        <v>0</v>
      </c>
      <c r="L231" s="432">
        <v>0</v>
      </c>
    </row>
    <row r="232" spans="1:12" s="428" customFormat="1" ht="9" customHeight="1" x14ac:dyDescent="0.25">
      <c r="A232" s="433" t="s">
        <v>26</v>
      </c>
      <c r="B232" s="434">
        <f t="shared" si="13"/>
        <v>143207</v>
      </c>
      <c r="C232" s="434"/>
      <c r="D232" s="434">
        <v>77375</v>
      </c>
      <c r="E232" s="435">
        <v>19141</v>
      </c>
      <c r="F232" s="434">
        <v>34463</v>
      </c>
      <c r="G232" s="434">
        <v>10375</v>
      </c>
      <c r="H232" s="434">
        <v>1509</v>
      </c>
      <c r="I232" s="434">
        <v>97</v>
      </c>
      <c r="J232" s="434">
        <v>247</v>
      </c>
      <c r="K232" s="435">
        <v>0</v>
      </c>
      <c r="L232" s="435">
        <v>0</v>
      </c>
    </row>
    <row r="233" spans="1:12" s="428" customFormat="1" ht="9" customHeight="1" x14ac:dyDescent="0.25">
      <c r="A233" s="431" t="s">
        <v>27</v>
      </c>
      <c r="B233" s="427">
        <f t="shared" si="13"/>
        <v>281094</v>
      </c>
      <c r="C233" s="427"/>
      <c r="D233" s="427">
        <v>156875</v>
      </c>
      <c r="E233" s="432">
        <v>24712</v>
      </c>
      <c r="F233" s="427">
        <v>82553</v>
      </c>
      <c r="G233" s="427">
        <v>14467</v>
      </c>
      <c r="H233" s="432">
        <v>43</v>
      </c>
      <c r="I233" s="432">
        <v>606</v>
      </c>
      <c r="J233" s="432">
        <v>0</v>
      </c>
      <c r="K233" s="432">
        <v>0</v>
      </c>
      <c r="L233" s="427">
        <v>1838</v>
      </c>
    </row>
    <row r="234" spans="1:12" s="428" customFormat="1" ht="9" customHeight="1" x14ac:dyDescent="0.25">
      <c r="A234" s="431" t="s">
        <v>28</v>
      </c>
      <c r="B234" s="427">
        <f t="shared" si="13"/>
        <v>106753</v>
      </c>
      <c r="C234" s="427"/>
      <c r="D234" s="427">
        <v>54235</v>
      </c>
      <c r="E234" s="432">
        <v>0</v>
      </c>
      <c r="F234" s="427">
        <v>42906</v>
      </c>
      <c r="G234" s="427">
        <v>8731</v>
      </c>
      <c r="H234" s="432">
        <v>0</v>
      </c>
      <c r="I234" s="427">
        <v>169</v>
      </c>
      <c r="J234" s="427">
        <v>712</v>
      </c>
      <c r="K234" s="432">
        <v>0</v>
      </c>
      <c r="L234" s="432">
        <v>0</v>
      </c>
    </row>
    <row r="235" spans="1:12" s="428" customFormat="1" ht="9" customHeight="1" x14ac:dyDescent="0.25">
      <c r="A235" s="431" t="s">
        <v>29</v>
      </c>
      <c r="B235" s="427">
        <f t="shared" si="13"/>
        <v>539627</v>
      </c>
      <c r="C235" s="427"/>
      <c r="D235" s="427">
        <v>315870</v>
      </c>
      <c r="E235" s="432">
        <v>155538</v>
      </c>
      <c r="F235" s="427">
        <v>54582</v>
      </c>
      <c r="G235" s="427">
        <v>11594</v>
      </c>
      <c r="H235" s="427">
        <v>275</v>
      </c>
      <c r="I235" s="427">
        <v>268</v>
      </c>
      <c r="J235" s="427">
        <v>50</v>
      </c>
      <c r="K235" s="427">
        <v>1450</v>
      </c>
      <c r="L235" s="432">
        <v>0</v>
      </c>
    </row>
    <row r="236" spans="1:12" s="428" customFormat="1" ht="9" customHeight="1" x14ac:dyDescent="0.25">
      <c r="A236" s="433" t="s">
        <v>30</v>
      </c>
      <c r="B236" s="434">
        <f t="shared" si="13"/>
        <v>344946</v>
      </c>
      <c r="C236" s="434"/>
      <c r="D236" s="434">
        <v>166405</v>
      </c>
      <c r="E236" s="435">
        <v>27665</v>
      </c>
      <c r="F236" s="434">
        <v>133980</v>
      </c>
      <c r="G236" s="434">
        <v>16090</v>
      </c>
      <c r="H236" s="434">
        <v>442</v>
      </c>
      <c r="I236" s="435">
        <v>364</v>
      </c>
      <c r="J236" s="435">
        <v>0</v>
      </c>
      <c r="K236" s="435">
        <v>0</v>
      </c>
      <c r="L236" s="435">
        <v>0</v>
      </c>
    </row>
    <row r="237" spans="1:12" s="428" customFormat="1" ht="9" customHeight="1" x14ac:dyDescent="0.25">
      <c r="A237" s="431" t="s">
        <v>63</v>
      </c>
      <c r="B237" s="427">
        <f t="shared" si="13"/>
        <v>681600</v>
      </c>
      <c r="C237" s="427"/>
      <c r="D237" s="427">
        <v>240588</v>
      </c>
      <c r="E237" s="432">
        <v>532</v>
      </c>
      <c r="F237" s="427">
        <v>187187</v>
      </c>
      <c r="G237" s="427">
        <v>240681</v>
      </c>
      <c r="H237" s="427">
        <v>4767</v>
      </c>
      <c r="I237" s="427">
        <v>2749</v>
      </c>
      <c r="J237" s="427">
        <v>260</v>
      </c>
      <c r="K237" s="427">
        <v>4836</v>
      </c>
      <c r="L237" s="432">
        <v>0</v>
      </c>
    </row>
    <row r="238" spans="1:12" s="428" customFormat="1" ht="9" customHeight="1" x14ac:dyDescent="0.25">
      <c r="A238" s="431" t="s">
        <v>31</v>
      </c>
      <c r="B238" s="427">
        <f t="shared" si="13"/>
        <v>251386</v>
      </c>
      <c r="C238" s="427"/>
      <c r="D238" s="427">
        <v>137635</v>
      </c>
      <c r="E238" s="432">
        <v>38707</v>
      </c>
      <c r="F238" s="427">
        <v>59695</v>
      </c>
      <c r="G238" s="427">
        <v>14905</v>
      </c>
      <c r="H238" s="432">
        <v>52</v>
      </c>
      <c r="I238" s="432">
        <v>392</v>
      </c>
      <c r="J238" s="432">
        <v>0</v>
      </c>
      <c r="K238" s="432">
        <v>0</v>
      </c>
      <c r="L238" s="432">
        <v>0</v>
      </c>
    </row>
    <row r="239" spans="1:12" s="428" customFormat="1" ht="9" customHeight="1" x14ac:dyDescent="0.25">
      <c r="A239" s="431" t="s">
        <v>32</v>
      </c>
      <c r="B239" s="427">
        <f t="shared" si="13"/>
        <v>443403</v>
      </c>
      <c r="C239" s="427"/>
      <c r="D239" s="427">
        <v>307076</v>
      </c>
      <c r="E239" s="432">
        <v>0</v>
      </c>
      <c r="F239" s="427">
        <v>104057</v>
      </c>
      <c r="G239" s="427">
        <v>30386</v>
      </c>
      <c r="H239" s="427">
        <v>1188</v>
      </c>
      <c r="I239" s="432">
        <v>696</v>
      </c>
      <c r="J239" s="432">
        <v>0</v>
      </c>
      <c r="K239" s="432">
        <v>0</v>
      </c>
      <c r="L239" s="432">
        <v>0</v>
      </c>
    </row>
    <row r="240" spans="1:12" s="428" customFormat="1" ht="9" customHeight="1" x14ac:dyDescent="0.25">
      <c r="A240" s="433" t="s">
        <v>33</v>
      </c>
      <c r="B240" s="434">
        <f t="shared" si="13"/>
        <v>689893</v>
      </c>
      <c r="C240" s="434"/>
      <c r="D240" s="434">
        <v>577185</v>
      </c>
      <c r="E240" s="435">
        <v>0</v>
      </c>
      <c r="F240" s="434">
        <v>65354</v>
      </c>
      <c r="G240" s="434">
        <v>46344</v>
      </c>
      <c r="H240" s="435">
        <v>0</v>
      </c>
      <c r="I240" s="434">
        <v>638</v>
      </c>
      <c r="J240" s="434">
        <v>372</v>
      </c>
      <c r="K240" s="435">
        <v>0</v>
      </c>
      <c r="L240" s="435">
        <v>0</v>
      </c>
    </row>
    <row r="241" spans="1:12" s="428" customFormat="1" ht="9" customHeight="1" x14ac:dyDescent="0.25">
      <c r="A241" s="431" t="s">
        <v>34</v>
      </c>
      <c r="B241" s="427">
        <f t="shared" si="13"/>
        <v>346255</v>
      </c>
      <c r="C241" s="427"/>
      <c r="D241" s="427">
        <v>218963</v>
      </c>
      <c r="E241" s="432">
        <v>55457</v>
      </c>
      <c r="F241" s="427">
        <v>48434</v>
      </c>
      <c r="G241" s="427">
        <v>21916</v>
      </c>
      <c r="H241" s="427">
        <v>1338</v>
      </c>
      <c r="I241" s="432">
        <v>147</v>
      </c>
      <c r="J241" s="432">
        <v>0</v>
      </c>
      <c r="K241" s="432">
        <v>0</v>
      </c>
      <c r="L241" s="432">
        <v>0</v>
      </c>
    </row>
    <row r="242" spans="1:12" s="428" customFormat="1" ht="9" customHeight="1" x14ac:dyDescent="0.25">
      <c r="A242" s="431" t="s">
        <v>35</v>
      </c>
      <c r="B242" s="427">
        <f t="shared" si="13"/>
        <v>607853</v>
      </c>
      <c r="C242" s="427"/>
      <c r="D242" s="427">
        <v>466278</v>
      </c>
      <c r="E242" s="432">
        <v>0</v>
      </c>
      <c r="F242" s="427">
        <v>115123</v>
      </c>
      <c r="G242" s="427">
        <v>22185</v>
      </c>
      <c r="H242" s="427">
        <v>2011</v>
      </c>
      <c r="I242" s="427">
        <v>2221</v>
      </c>
      <c r="J242" s="427">
        <v>35</v>
      </c>
      <c r="K242" s="432">
        <v>0</v>
      </c>
      <c r="L242" s="432">
        <v>0</v>
      </c>
    </row>
    <row r="243" spans="1:12" s="428" customFormat="1" ht="9" customHeight="1" x14ac:dyDescent="0.25">
      <c r="A243" s="431" t="s">
        <v>36</v>
      </c>
      <c r="B243" s="427">
        <f t="shared" si="13"/>
        <v>1794914</v>
      </c>
      <c r="C243" s="427"/>
      <c r="D243" s="427">
        <v>1463533</v>
      </c>
      <c r="E243" s="432">
        <v>0</v>
      </c>
      <c r="F243" s="427">
        <v>278189</v>
      </c>
      <c r="G243" s="427">
        <v>36814</v>
      </c>
      <c r="H243" s="427">
        <v>2</v>
      </c>
      <c r="I243" s="432">
        <v>834</v>
      </c>
      <c r="J243" s="432">
        <v>0</v>
      </c>
      <c r="K243" s="427">
        <v>15542</v>
      </c>
      <c r="L243" s="432">
        <v>0</v>
      </c>
    </row>
    <row r="244" spans="1:12" s="428" customFormat="1" ht="9" customHeight="1" x14ac:dyDescent="0.25">
      <c r="A244" s="433" t="s">
        <v>37</v>
      </c>
      <c r="B244" s="434">
        <f t="shared" si="13"/>
        <v>548710</v>
      </c>
      <c r="C244" s="434"/>
      <c r="D244" s="434">
        <v>330069</v>
      </c>
      <c r="E244" s="435">
        <v>78827</v>
      </c>
      <c r="F244" s="434">
        <v>112674</v>
      </c>
      <c r="G244" s="434">
        <v>26290</v>
      </c>
      <c r="H244" s="435">
        <v>0</v>
      </c>
      <c r="I244" s="434">
        <v>54</v>
      </c>
      <c r="J244" s="434">
        <v>796</v>
      </c>
      <c r="K244" s="435">
        <v>0</v>
      </c>
      <c r="L244" s="435">
        <v>0</v>
      </c>
    </row>
    <row r="245" spans="1:12" s="428" customFormat="1" ht="9" customHeight="1" x14ac:dyDescent="0.25">
      <c r="A245" s="431" t="s">
        <v>38</v>
      </c>
      <c r="B245" s="427">
        <f t="shared" si="13"/>
        <v>280212</v>
      </c>
      <c r="C245" s="427"/>
      <c r="D245" s="427">
        <v>143800</v>
      </c>
      <c r="E245" s="432">
        <v>0</v>
      </c>
      <c r="F245" s="427">
        <v>112009</v>
      </c>
      <c r="G245" s="427">
        <v>24240</v>
      </c>
      <c r="H245" s="432">
        <v>0</v>
      </c>
      <c r="I245" s="432">
        <v>163</v>
      </c>
      <c r="J245" s="432">
        <v>0</v>
      </c>
      <c r="K245" s="432">
        <v>0</v>
      </c>
      <c r="L245" s="432">
        <v>0</v>
      </c>
    </row>
    <row r="246" spans="1:12" s="428" customFormat="1" ht="9" customHeight="1" x14ac:dyDescent="0.25">
      <c r="A246" s="431" t="s">
        <v>39</v>
      </c>
      <c r="B246" s="427">
        <f t="shared" si="13"/>
        <v>219269</v>
      </c>
      <c r="C246" s="427"/>
      <c r="D246" s="427">
        <v>140595</v>
      </c>
      <c r="E246" s="432">
        <v>14560</v>
      </c>
      <c r="F246" s="427">
        <v>53057</v>
      </c>
      <c r="G246" s="427">
        <v>10975</v>
      </c>
      <c r="H246" s="432">
        <v>0</v>
      </c>
      <c r="I246" s="432">
        <v>25</v>
      </c>
      <c r="J246" s="432">
        <v>57</v>
      </c>
      <c r="K246" s="432">
        <v>0</v>
      </c>
      <c r="L246" s="432">
        <v>0</v>
      </c>
    </row>
    <row r="247" spans="1:12" s="428" customFormat="1" ht="9" customHeight="1" x14ac:dyDescent="0.25">
      <c r="A247" s="431" t="s">
        <v>40</v>
      </c>
      <c r="B247" s="427">
        <f t="shared" si="13"/>
        <v>369090</v>
      </c>
      <c r="C247" s="427"/>
      <c r="D247" s="427">
        <v>218879</v>
      </c>
      <c r="E247" s="432">
        <v>0</v>
      </c>
      <c r="F247" s="427">
        <v>114639</v>
      </c>
      <c r="G247" s="427">
        <v>30601</v>
      </c>
      <c r="H247" s="432">
        <v>1302</v>
      </c>
      <c r="I247" s="432">
        <v>413</v>
      </c>
      <c r="J247" s="432">
        <v>0</v>
      </c>
      <c r="K247" s="427">
        <v>1834</v>
      </c>
      <c r="L247" s="432">
        <v>1422</v>
      </c>
    </row>
    <row r="248" spans="1:12" s="428" customFormat="1" ht="9" customHeight="1" x14ac:dyDescent="0.25">
      <c r="A248" s="433" t="s">
        <v>41</v>
      </c>
      <c r="B248" s="434">
        <f t="shared" si="13"/>
        <v>463096</v>
      </c>
      <c r="C248" s="434"/>
      <c r="D248" s="434">
        <v>317116</v>
      </c>
      <c r="E248" s="435">
        <v>99791</v>
      </c>
      <c r="F248" s="434">
        <v>32665</v>
      </c>
      <c r="G248" s="434">
        <v>10773</v>
      </c>
      <c r="H248" s="434">
        <v>1934</v>
      </c>
      <c r="I248" s="434">
        <v>471</v>
      </c>
      <c r="J248" s="434">
        <v>346</v>
      </c>
      <c r="K248" s="435">
        <v>0</v>
      </c>
      <c r="L248" s="435">
        <v>0</v>
      </c>
    </row>
    <row r="249" spans="1:12" s="428" customFormat="1" ht="9" customHeight="1" x14ac:dyDescent="0.25">
      <c r="A249" s="431" t="s">
        <v>42</v>
      </c>
      <c r="B249" s="427">
        <f t="shared" si="13"/>
        <v>734604</v>
      </c>
      <c r="C249" s="427"/>
      <c r="D249" s="427">
        <v>502103</v>
      </c>
      <c r="E249" s="432">
        <v>126194</v>
      </c>
      <c r="F249" s="427">
        <v>53514</v>
      </c>
      <c r="G249" s="427">
        <v>28999</v>
      </c>
      <c r="H249" s="427">
        <v>812</v>
      </c>
      <c r="I249" s="432">
        <v>365</v>
      </c>
      <c r="J249" s="432">
        <v>0</v>
      </c>
      <c r="K249" s="427">
        <v>15984</v>
      </c>
      <c r="L249" s="432">
        <v>6633</v>
      </c>
    </row>
    <row r="250" spans="1:12" s="428" customFormat="1" ht="9" customHeight="1" x14ac:dyDescent="0.25">
      <c r="A250" s="431" t="s">
        <v>43</v>
      </c>
      <c r="B250" s="427">
        <f t="shared" si="13"/>
        <v>160866</v>
      </c>
      <c r="C250" s="427"/>
      <c r="D250" s="427">
        <v>91943</v>
      </c>
      <c r="E250" s="432">
        <v>0</v>
      </c>
      <c r="F250" s="427">
        <v>63524</v>
      </c>
      <c r="G250" s="427">
        <v>5399</v>
      </c>
      <c r="H250" s="432">
        <v>0</v>
      </c>
      <c r="I250" s="432" t="s">
        <v>22</v>
      </c>
      <c r="J250" s="432">
        <v>0</v>
      </c>
      <c r="K250" s="432">
        <v>0</v>
      </c>
      <c r="L250" s="432">
        <v>0</v>
      </c>
    </row>
    <row r="251" spans="1:12" s="428" customFormat="1" ht="9" customHeight="1" x14ac:dyDescent="0.25">
      <c r="A251" s="431" t="s">
        <v>44</v>
      </c>
      <c r="B251" s="427">
        <f t="shared" si="13"/>
        <v>151755</v>
      </c>
      <c r="C251" s="427"/>
      <c r="D251" s="427">
        <v>106302</v>
      </c>
      <c r="E251" s="432">
        <v>0</v>
      </c>
      <c r="F251" s="427">
        <v>36977</v>
      </c>
      <c r="G251" s="427">
        <v>7555</v>
      </c>
      <c r="H251" s="432">
        <v>0</v>
      </c>
      <c r="I251" s="427">
        <v>691</v>
      </c>
      <c r="J251" s="427">
        <v>230</v>
      </c>
      <c r="K251" s="432">
        <v>0</v>
      </c>
      <c r="L251" s="432">
        <v>0</v>
      </c>
    </row>
    <row r="252" spans="1:12" s="428" customFormat="1" ht="9" customHeight="1" x14ac:dyDescent="0.25">
      <c r="A252" s="433" t="s">
        <v>45</v>
      </c>
      <c r="B252" s="434">
        <f t="shared" si="13"/>
        <v>298506</v>
      </c>
      <c r="C252" s="434"/>
      <c r="D252" s="434">
        <v>161341</v>
      </c>
      <c r="E252" s="435">
        <v>55078</v>
      </c>
      <c r="F252" s="434">
        <v>61573</v>
      </c>
      <c r="G252" s="434">
        <v>19233</v>
      </c>
      <c r="H252" s="434">
        <v>1040</v>
      </c>
      <c r="I252" s="435">
        <v>241</v>
      </c>
      <c r="J252" s="435">
        <v>0</v>
      </c>
      <c r="K252" s="435">
        <v>0</v>
      </c>
      <c r="L252" s="435">
        <v>0</v>
      </c>
    </row>
    <row r="253" spans="1:12" s="428" customFormat="1" ht="9" customHeight="1" x14ac:dyDescent="0.25">
      <c r="A253" s="431" t="s">
        <v>46</v>
      </c>
      <c r="B253" s="427">
        <f t="shared" si="13"/>
        <v>317158</v>
      </c>
      <c r="C253" s="427"/>
      <c r="D253" s="427">
        <v>120973</v>
      </c>
      <c r="E253" s="432">
        <v>32379</v>
      </c>
      <c r="F253" s="427">
        <v>136066</v>
      </c>
      <c r="G253" s="427">
        <v>27133</v>
      </c>
      <c r="H253" s="427">
        <v>55</v>
      </c>
      <c r="I253" s="427">
        <v>434</v>
      </c>
      <c r="J253" s="427">
        <v>118</v>
      </c>
      <c r="K253" s="432">
        <v>0</v>
      </c>
      <c r="L253" s="432">
        <v>0</v>
      </c>
    </row>
    <row r="254" spans="1:12" s="428" customFormat="1" ht="9" customHeight="1" x14ac:dyDescent="0.25">
      <c r="A254" s="431" t="s">
        <v>47</v>
      </c>
      <c r="B254" s="427">
        <f t="shared" si="13"/>
        <v>276575</v>
      </c>
      <c r="C254" s="427"/>
      <c r="D254" s="427">
        <v>146523</v>
      </c>
      <c r="E254" s="432">
        <v>0</v>
      </c>
      <c r="F254" s="427">
        <v>113115</v>
      </c>
      <c r="G254" s="427">
        <v>16485</v>
      </c>
      <c r="H254" s="432">
        <v>0</v>
      </c>
      <c r="I254" s="427">
        <v>286</v>
      </c>
      <c r="J254" s="427">
        <v>166</v>
      </c>
      <c r="K254" s="432" t="s">
        <v>22</v>
      </c>
      <c r="L254" s="432">
        <v>0</v>
      </c>
    </row>
    <row r="255" spans="1:12" s="428" customFormat="1" ht="9" customHeight="1" x14ac:dyDescent="0.25">
      <c r="A255" s="431" t="s">
        <v>48</v>
      </c>
      <c r="B255" s="427">
        <f t="shared" si="13"/>
        <v>421143</v>
      </c>
      <c r="C255" s="427"/>
      <c r="D255" s="427">
        <v>306298</v>
      </c>
      <c r="E255" s="432">
        <v>0</v>
      </c>
      <c r="F255" s="427">
        <v>90974</v>
      </c>
      <c r="G255" s="427">
        <v>9518</v>
      </c>
      <c r="H255" s="427">
        <v>5455</v>
      </c>
      <c r="I255" s="427">
        <v>144</v>
      </c>
      <c r="J255" s="427">
        <v>57</v>
      </c>
      <c r="K255" s="427">
        <v>8697</v>
      </c>
      <c r="L255" s="432">
        <v>0</v>
      </c>
    </row>
    <row r="256" spans="1:12" s="428" customFormat="1" ht="9" customHeight="1" x14ac:dyDescent="0.25">
      <c r="A256" s="433" t="s">
        <v>49</v>
      </c>
      <c r="B256" s="434">
        <f t="shared" si="13"/>
        <v>272824</v>
      </c>
      <c r="C256" s="434"/>
      <c r="D256" s="434">
        <v>145763</v>
      </c>
      <c r="E256" s="435">
        <v>23235</v>
      </c>
      <c r="F256" s="434">
        <v>74693</v>
      </c>
      <c r="G256" s="434">
        <v>24316</v>
      </c>
      <c r="H256" s="434">
        <v>4340</v>
      </c>
      <c r="I256" s="434">
        <v>166</v>
      </c>
      <c r="J256" s="434">
        <v>201</v>
      </c>
      <c r="K256" s="435">
        <v>0</v>
      </c>
      <c r="L256" s="435">
        <v>110</v>
      </c>
    </row>
    <row r="257" spans="1:12" s="428" customFormat="1" ht="9" customHeight="1" x14ac:dyDescent="0.25">
      <c r="A257" s="431" t="s">
        <v>50</v>
      </c>
      <c r="B257" s="427">
        <f t="shared" si="13"/>
        <v>140259</v>
      </c>
      <c r="C257" s="427"/>
      <c r="D257" s="427">
        <v>105725</v>
      </c>
      <c r="E257" s="432">
        <v>0</v>
      </c>
      <c r="F257" s="427">
        <v>27667</v>
      </c>
      <c r="G257" s="427">
        <v>6601</v>
      </c>
      <c r="H257" s="432">
        <v>0</v>
      </c>
      <c r="I257" s="432">
        <v>266</v>
      </c>
      <c r="J257" s="432">
        <v>0</v>
      </c>
      <c r="K257" s="432">
        <v>0</v>
      </c>
      <c r="L257" s="432">
        <v>0</v>
      </c>
    </row>
    <row r="258" spans="1:12" s="428" customFormat="1" ht="9" customHeight="1" x14ac:dyDescent="0.25">
      <c r="A258" s="431" t="s">
        <v>51</v>
      </c>
      <c r="B258" s="427">
        <f t="shared" si="13"/>
        <v>964498</v>
      </c>
      <c r="C258" s="427"/>
      <c r="D258" s="427">
        <v>509481</v>
      </c>
      <c r="E258" s="432">
        <v>208667</v>
      </c>
      <c r="F258" s="427">
        <v>190372</v>
      </c>
      <c r="G258" s="427">
        <v>38160</v>
      </c>
      <c r="H258" s="427">
        <v>12768</v>
      </c>
      <c r="I258" s="427">
        <v>1742</v>
      </c>
      <c r="J258" s="427">
        <v>3034</v>
      </c>
      <c r="K258" s="432">
        <v>0</v>
      </c>
      <c r="L258" s="432">
        <v>274</v>
      </c>
    </row>
    <row r="259" spans="1:12" s="428" customFormat="1" ht="9" customHeight="1" x14ac:dyDescent="0.25">
      <c r="A259" s="431" t="s">
        <v>52</v>
      </c>
      <c r="B259" s="427">
        <f t="shared" si="13"/>
        <v>236693</v>
      </c>
      <c r="C259" s="427"/>
      <c r="D259" s="427">
        <v>102039</v>
      </c>
      <c r="E259" s="432">
        <v>33606</v>
      </c>
      <c r="F259" s="427">
        <v>90723</v>
      </c>
      <c r="G259" s="427">
        <v>9822</v>
      </c>
      <c r="H259" s="432">
        <v>0</v>
      </c>
      <c r="I259" s="427">
        <v>117</v>
      </c>
      <c r="J259" s="427">
        <v>386</v>
      </c>
      <c r="K259" s="432">
        <v>0</v>
      </c>
      <c r="L259" s="432">
        <v>0</v>
      </c>
    </row>
    <row r="260" spans="1:12" s="428" customFormat="1" ht="9" customHeight="1" x14ac:dyDescent="0.25">
      <c r="A260" s="433" t="s">
        <v>53</v>
      </c>
      <c r="B260" s="434">
        <f t="shared" si="13"/>
        <v>208518</v>
      </c>
      <c r="C260" s="434"/>
      <c r="D260" s="434">
        <v>145517</v>
      </c>
      <c r="E260" s="435">
        <v>29158</v>
      </c>
      <c r="F260" s="434">
        <v>11129</v>
      </c>
      <c r="G260" s="434">
        <v>22618</v>
      </c>
      <c r="H260" s="435">
        <v>0</v>
      </c>
      <c r="I260" s="435">
        <v>96</v>
      </c>
      <c r="J260" s="435">
        <v>0</v>
      </c>
      <c r="K260" s="435">
        <v>0</v>
      </c>
      <c r="L260" s="435">
        <v>0</v>
      </c>
    </row>
    <row r="261" spans="1:12" s="428" customFormat="1" ht="9" customHeight="1" x14ac:dyDescent="0.25">
      <c r="A261" s="431"/>
      <c r="B261" s="427"/>
      <c r="C261" s="427"/>
      <c r="D261" s="427"/>
      <c r="E261" s="432"/>
      <c r="F261" s="427"/>
      <c r="G261" s="427"/>
      <c r="H261" s="427"/>
      <c r="I261" s="427"/>
      <c r="J261" s="427"/>
      <c r="K261" s="432"/>
      <c r="L261" s="432"/>
    </row>
    <row r="262" spans="1:12" s="428" customFormat="1" ht="9" customHeight="1" x14ac:dyDescent="0.25">
      <c r="A262" s="439">
        <v>2002</v>
      </c>
      <c r="B262" s="427"/>
      <c r="C262" s="427"/>
      <c r="D262" s="427"/>
      <c r="E262" s="427"/>
      <c r="F262" s="427"/>
      <c r="G262" s="427"/>
      <c r="H262" s="427"/>
      <c r="I262" s="427"/>
      <c r="J262" s="427"/>
      <c r="K262" s="427"/>
      <c r="L262" s="427"/>
    </row>
    <row r="263" spans="1:12" s="428" customFormat="1" ht="9" customHeight="1" x14ac:dyDescent="0.25">
      <c r="A263" s="429" t="s">
        <v>21</v>
      </c>
      <c r="B263" s="430">
        <f>SUM(B265:B296)</f>
        <v>12962017</v>
      </c>
      <c r="C263" s="430" t="s">
        <v>193</v>
      </c>
      <c r="D263" s="430">
        <f t="shared" ref="D263:L263" si="14">SUM(D265:D296)</f>
        <v>8057238</v>
      </c>
      <c r="E263" s="430">
        <f t="shared" si="14"/>
        <v>1030411</v>
      </c>
      <c r="F263" s="430">
        <f t="shared" si="14"/>
        <v>2950692</v>
      </c>
      <c r="G263" s="430">
        <f t="shared" si="14"/>
        <v>793070</v>
      </c>
      <c r="H263" s="430">
        <f t="shared" si="14"/>
        <v>39481</v>
      </c>
      <c r="I263" s="430">
        <f t="shared" si="14"/>
        <v>19864</v>
      </c>
      <c r="J263" s="430">
        <f t="shared" si="14"/>
        <v>7578</v>
      </c>
      <c r="K263" s="430">
        <f t="shared" si="14"/>
        <v>60738</v>
      </c>
      <c r="L263" s="430">
        <f t="shared" si="14"/>
        <v>2081</v>
      </c>
    </row>
    <row r="264" spans="1:12" s="428" customFormat="1" ht="3.95" customHeight="1" x14ac:dyDescent="0.25">
      <c r="A264" s="429"/>
      <c r="B264" s="430"/>
      <c r="C264" s="430"/>
      <c r="D264" s="430"/>
      <c r="E264" s="430"/>
      <c r="F264" s="430"/>
      <c r="G264" s="430"/>
      <c r="H264" s="430"/>
      <c r="I264" s="430"/>
      <c r="J264" s="430"/>
      <c r="K264" s="430"/>
      <c r="L264" s="430"/>
    </row>
    <row r="265" spans="1:12" s="428" customFormat="1" ht="9" customHeight="1" x14ac:dyDescent="0.25">
      <c r="A265" s="431" t="s">
        <v>23</v>
      </c>
      <c r="B265" s="427">
        <f>SUM(D265:L265)</f>
        <v>154060</v>
      </c>
      <c r="C265" s="427"/>
      <c r="D265" s="427">
        <v>106622</v>
      </c>
      <c r="E265" s="432">
        <v>0</v>
      </c>
      <c r="F265" s="427">
        <v>35594</v>
      </c>
      <c r="G265" s="427">
        <v>11689</v>
      </c>
      <c r="H265" s="432">
        <v>0</v>
      </c>
      <c r="I265" s="432">
        <v>155</v>
      </c>
      <c r="J265" s="432">
        <v>0</v>
      </c>
      <c r="K265" s="432">
        <v>0</v>
      </c>
      <c r="L265" s="432">
        <v>0</v>
      </c>
    </row>
    <row r="266" spans="1:12" s="428" customFormat="1" ht="9" customHeight="1" x14ac:dyDescent="0.25">
      <c r="A266" s="431" t="s">
        <v>24</v>
      </c>
      <c r="B266" s="427">
        <f>SUM(D266:L266)</f>
        <v>481677</v>
      </c>
      <c r="C266" s="427"/>
      <c r="D266" s="427">
        <v>111589</v>
      </c>
      <c r="E266" s="432">
        <v>21191</v>
      </c>
      <c r="F266" s="427">
        <v>329020</v>
      </c>
      <c r="G266" s="427">
        <v>14949</v>
      </c>
      <c r="H266" s="432">
        <v>0</v>
      </c>
      <c r="I266" s="432">
        <v>665</v>
      </c>
      <c r="J266" s="432">
        <v>99</v>
      </c>
      <c r="K266" s="427">
        <v>4164</v>
      </c>
      <c r="L266" s="432">
        <v>0</v>
      </c>
    </row>
    <row r="267" spans="1:12" s="428" customFormat="1" ht="9" customHeight="1" x14ac:dyDescent="0.25">
      <c r="A267" s="431" t="s">
        <v>25</v>
      </c>
      <c r="B267" s="427">
        <f>SUM(D267:L267)</f>
        <v>56099</v>
      </c>
      <c r="C267" s="427"/>
      <c r="D267" s="427">
        <v>30358</v>
      </c>
      <c r="E267" s="432">
        <v>0</v>
      </c>
      <c r="F267" s="427">
        <v>20021</v>
      </c>
      <c r="G267" s="427">
        <v>4657</v>
      </c>
      <c r="H267" s="432">
        <v>0</v>
      </c>
      <c r="I267" s="427">
        <v>591</v>
      </c>
      <c r="J267" s="427">
        <v>472</v>
      </c>
      <c r="K267" s="432">
        <v>0</v>
      </c>
      <c r="L267" s="432">
        <v>0</v>
      </c>
    </row>
    <row r="268" spans="1:12" s="428" customFormat="1" ht="9" customHeight="1" x14ac:dyDescent="0.25">
      <c r="A268" s="433" t="s">
        <v>26</v>
      </c>
      <c r="B268" s="434">
        <f>SUM(D268:L268)+135</f>
        <v>136617</v>
      </c>
      <c r="C268" s="434" t="s">
        <v>193</v>
      </c>
      <c r="D268" s="434">
        <v>76295</v>
      </c>
      <c r="E268" s="435">
        <v>20223</v>
      </c>
      <c r="F268" s="434">
        <v>27583</v>
      </c>
      <c r="G268" s="434">
        <v>10965</v>
      </c>
      <c r="H268" s="434">
        <v>1243</v>
      </c>
      <c r="I268" s="434">
        <v>0</v>
      </c>
      <c r="J268" s="434">
        <v>173</v>
      </c>
      <c r="K268" s="435">
        <v>0</v>
      </c>
      <c r="L268" s="435">
        <v>0</v>
      </c>
    </row>
    <row r="269" spans="1:12" s="428" customFormat="1" ht="9" customHeight="1" x14ac:dyDescent="0.25">
      <c r="A269" s="431" t="s">
        <v>27</v>
      </c>
      <c r="B269" s="427">
        <f>SUM(D269:L269)</f>
        <v>287919</v>
      </c>
      <c r="C269" s="427"/>
      <c r="D269" s="427">
        <v>161639</v>
      </c>
      <c r="E269" s="432">
        <v>25149</v>
      </c>
      <c r="F269" s="427">
        <v>82413</v>
      </c>
      <c r="G269" s="427">
        <v>16141</v>
      </c>
      <c r="H269" s="432">
        <v>0</v>
      </c>
      <c r="I269" s="432">
        <v>739</v>
      </c>
      <c r="J269" s="432">
        <v>0</v>
      </c>
      <c r="K269" s="432">
        <v>0</v>
      </c>
      <c r="L269" s="427">
        <v>1838</v>
      </c>
    </row>
    <row r="270" spans="1:12" s="428" customFormat="1" ht="9" customHeight="1" x14ac:dyDescent="0.25">
      <c r="A270" s="431" t="s">
        <v>28</v>
      </c>
      <c r="B270" s="427">
        <f>SUM(D270:L270)+339</f>
        <v>100888</v>
      </c>
      <c r="C270" s="427" t="s">
        <v>193</v>
      </c>
      <c r="D270" s="427">
        <v>53185</v>
      </c>
      <c r="E270" s="432">
        <v>0</v>
      </c>
      <c r="F270" s="427">
        <v>38147</v>
      </c>
      <c r="G270" s="427">
        <v>8671</v>
      </c>
      <c r="H270" s="432">
        <v>0</v>
      </c>
      <c r="I270" s="427">
        <v>0</v>
      </c>
      <c r="J270" s="427">
        <v>546</v>
      </c>
      <c r="K270" s="432">
        <v>0</v>
      </c>
      <c r="L270" s="432">
        <v>0</v>
      </c>
    </row>
    <row r="271" spans="1:12" s="428" customFormat="1" ht="9" customHeight="1" x14ac:dyDescent="0.25">
      <c r="A271" s="431" t="s">
        <v>29</v>
      </c>
      <c r="B271" s="427">
        <f t="shared" ref="B271:B281" si="15">SUM(D271:L271)</f>
        <v>543775</v>
      </c>
      <c r="C271" s="427"/>
      <c r="D271" s="427">
        <v>316151</v>
      </c>
      <c r="E271" s="432">
        <v>161969</v>
      </c>
      <c r="F271" s="427">
        <v>50361</v>
      </c>
      <c r="G271" s="427">
        <v>13153</v>
      </c>
      <c r="H271" s="427">
        <v>53</v>
      </c>
      <c r="I271" s="427">
        <v>208</v>
      </c>
      <c r="J271" s="427">
        <v>39</v>
      </c>
      <c r="K271" s="427">
        <v>1841</v>
      </c>
      <c r="L271" s="432">
        <v>0</v>
      </c>
    </row>
    <row r="272" spans="1:12" s="428" customFormat="1" ht="9" customHeight="1" x14ac:dyDescent="0.25">
      <c r="A272" s="433" t="s">
        <v>30</v>
      </c>
      <c r="B272" s="434">
        <f t="shared" si="15"/>
        <v>341537</v>
      </c>
      <c r="C272" s="434"/>
      <c r="D272" s="434">
        <v>169563</v>
      </c>
      <c r="E272" s="435">
        <v>26762</v>
      </c>
      <c r="F272" s="434">
        <v>126352</v>
      </c>
      <c r="G272" s="434">
        <v>18007</v>
      </c>
      <c r="H272" s="434">
        <v>326</v>
      </c>
      <c r="I272" s="435">
        <v>527</v>
      </c>
      <c r="J272" s="435">
        <v>0</v>
      </c>
      <c r="K272" s="435">
        <v>0</v>
      </c>
      <c r="L272" s="435">
        <v>0</v>
      </c>
    </row>
    <row r="273" spans="1:12" s="428" customFormat="1" ht="9" customHeight="1" x14ac:dyDescent="0.25">
      <c r="A273" s="431" t="s">
        <v>63</v>
      </c>
      <c r="B273" s="427">
        <f t="shared" si="15"/>
        <v>626955</v>
      </c>
      <c r="C273" s="427"/>
      <c r="D273" s="427">
        <v>207027</v>
      </c>
      <c r="E273" s="432">
        <v>668</v>
      </c>
      <c r="F273" s="427">
        <v>179560</v>
      </c>
      <c r="G273" s="427">
        <v>228501</v>
      </c>
      <c r="H273" s="427">
        <v>4056</v>
      </c>
      <c r="I273" s="427">
        <v>2578</v>
      </c>
      <c r="J273" s="427">
        <v>1099</v>
      </c>
      <c r="K273" s="427">
        <v>3466</v>
      </c>
      <c r="L273" s="432">
        <v>0</v>
      </c>
    </row>
    <row r="274" spans="1:12" s="428" customFormat="1" ht="9" customHeight="1" x14ac:dyDescent="0.25">
      <c r="A274" s="431" t="s">
        <v>31</v>
      </c>
      <c r="B274" s="427">
        <f t="shared" si="15"/>
        <v>245093</v>
      </c>
      <c r="C274" s="427"/>
      <c r="D274" s="427">
        <v>129378</v>
      </c>
      <c r="E274" s="432">
        <v>39232</v>
      </c>
      <c r="F274" s="427">
        <v>61254</v>
      </c>
      <c r="G274" s="427">
        <v>14418</v>
      </c>
      <c r="H274" s="432">
        <v>0</v>
      </c>
      <c r="I274" s="432">
        <v>811</v>
      </c>
      <c r="J274" s="432">
        <v>0</v>
      </c>
      <c r="K274" s="432">
        <v>0</v>
      </c>
      <c r="L274" s="432">
        <v>0</v>
      </c>
    </row>
    <row r="275" spans="1:12" s="428" customFormat="1" ht="9" customHeight="1" x14ac:dyDescent="0.25">
      <c r="A275" s="431" t="s">
        <v>32</v>
      </c>
      <c r="B275" s="427">
        <f t="shared" si="15"/>
        <v>433973</v>
      </c>
      <c r="C275" s="427"/>
      <c r="D275" s="427">
        <v>303278</v>
      </c>
      <c r="E275" s="432">
        <v>0</v>
      </c>
      <c r="F275" s="427">
        <v>99242</v>
      </c>
      <c r="G275" s="427">
        <v>29825</v>
      </c>
      <c r="H275" s="427">
        <v>1141</v>
      </c>
      <c r="I275" s="432">
        <v>487</v>
      </c>
      <c r="J275" s="432">
        <v>0</v>
      </c>
      <c r="K275" s="432">
        <v>0</v>
      </c>
      <c r="L275" s="432">
        <v>0</v>
      </c>
    </row>
    <row r="276" spans="1:12" s="428" customFormat="1" ht="9" customHeight="1" x14ac:dyDescent="0.25">
      <c r="A276" s="433" t="s">
        <v>33</v>
      </c>
      <c r="B276" s="434">
        <f t="shared" si="15"/>
        <v>711976</v>
      </c>
      <c r="C276" s="434"/>
      <c r="D276" s="434">
        <v>609587</v>
      </c>
      <c r="E276" s="435">
        <v>0</v>
      </c>
      <c r="F276" s="434">
        <v>58014</v>
      </c>
      <c r="G276" s="434">
        <v>43568</v>
      </c>
      <c r="H276" s="435">
        <v>0</v>
      </c>
      <c r="I276" s="434">
        <v>456</v>
      </c>
      <c r="J276" s="434">
        <v>351</v>
      </c>
      <c r="K276" s="435">
        <v>0</v>
      </c>
      <c r="L276" s="435">
        <v>0</v>
      </c>
    </row>
    <row r="277" spans="1:12" s="428" customFormat="1" ht="9" customHeight="1" x14ac:dyDescent="0.25">
      <c r="A277" s="431" t="s">
        <v>34</v>
      </c>
      <c r="B277" s="427">
        <f t="shared" si="15"/>
        <v>372261</v>
      </c>
      <c r="C277" s="427"/>
      <c r="D277" s="427">
        <v>222273</v>
      </c>
      <c r="E277" s="432">
        <v>54283</v>
      </c>
      <c r="F277" s="427">
        <v>71667</v>
      </c>
      <c r="G277" s="427">
        <v>22305</v>
      </c>
      <c r="H277" s="427">
        <v>1613</v>
      </c>
      <c r="I277" s="432">
        <v>120</v>
      </c>
      <c r="J277" s="432">
        <v>0</v>
      </c>
      <c r="K277" s="432">
        <v>0</v>
      </c>
      <c r="L277" s="432">
        <v>0</v>
      </c>
    </row>
    <row r="278" spans="1:12" s="428" customFormat="1" ht="9" customHeight="1" x14ac:dyDescent="0.25">
      <c r="A278" s="431" t="s">
        <v>35</v>
      </c>
      <c r="B278" s="427">
        <f t="shared" si="15"/>
        <v>627423</v>
      </c>
      <c r="C278" s="427"/>
      <c r="D278" s="427">
        <v>483137</v>
      </c>
      <c r="E278" s="432">
        <v>0</v>
      </c>
      <c r="F278" s="427">
        <v>117721</v>
      </c>
      <c r="G278" s="427">
        <v>24990</v>
      </c>
      <c r="H278" s="427">
        <v>258</v>
      </c>
      <c r="I278" s="427">
        <v>1266</v>
      </c>
      <c r="J278" s="427">
        <v>51</v>
      </c>
      <c r="K278" s="432">
        <v>0</v>
      </c>
      <c r="L278" s="432">
        <v>0</v>
      </c>
    </row>
    <row r="279" spans="1:12" s="428" customFormat="1" ht="9" customHeight="1" x14ac:dyDescent="0.25">
      <c r="A279" s="431" t="s">
        <v>36</v>
      </c>
      <c r="B279" s="427">
        <f t="shared" si="15"/>
        <v>1867652</v>
      </c>
      <c r="C279" s="427"/>
      <c r="D279" s="427">
        <v>1560441</v>
      </c>
      <c r="E279" s="432">
        <v>0</v>
      </c>
      <c r="F279" s="427">
        <v>259314</v>
      </c>
      <c r="G279" s="427">
        <v>27552</v>
      </c>
      <c r="H279" s="427">
        <v>2182</v>
      </c>
      <c r="I279" s="432">
        <v>1145</v>
      </c>
      <c r="J279" s="432">
        <v>0</v>
      </c>
      <c r="K279" s="427">
        <v>17018</v>
      </c>
      <c r="L279" s="432">
        <v>0</v>
      </c>
    </row>
    <row r="280" spans="1:12" s="428" customFormat="1" ht="9" customHeight="1" x14ac:dyDescent="0.25">
      <c r="A280" s="433" t="s">
        <v>37</v>
      </c>
      <c r="B280" s="434">
        <f t="shared" si="15"/>
        <v>542952</v>
      </c>
      <c r="C280" s="434"/>
      <c r="D280" s="434">
        <v>338532</v>
      </c>
      <c r="E280" s="435">
        <v>77604</v>
      </c>
      <c r="F280" s="434">
        <v>100028</v>
      </c>
      <c r="G280" s="434">
        <v>25481</v>
      </c>
      <c r="H280" s="435">
        <v>0</v>
      </c>
      <c r="I280" s="434">
        <v>370</v>
      </c>
      <c r="J280" s="434">
        <v>937</v>
      </c>
      <c r="K280" s="435">
        <v>0</v>
      </c>
      <c r="L280" s="435">
        <v>0</v>
      </c>
    </row>
    <row r="281" spans="1:12" s="428" customFormat="1" ht="9" customHeight="1" x14ac:dyDescent="0.25">
      <c r="A281" s="431" t="s">
        <v>38</v>
      </c>
      <c r="B281" s="427">
        <f t="shared" si="15"/>
        <v>270704</v>
      </c>
      <c r="C281" s="427"/>
      <c r="D281" s="427">
        <v>147707</v>
      </c>
      <c r="E281" s="432">
        <v>0</v>
      </c>
      <c r="F281" s="427">
        <v>99384</v>
      </c>
      <c r="G281" s="427">
        <v>23380</v>
      </c>
      <c r="H281" s="432">
        <v>0</v>
      </c>
      <c r="I281" s="432">
        <v>233</v>
      </c>
      <c r="J281" s="432">
        <v>0</v>
      </c>
      <c r="K281" s="432">
        <v>0</v>
      </c>
      <c r="L281" s="432">
        <v>0</v>
      </c>
    </row>
    <row r="282" spans="1:12" s="428" customFormat="1" ht="9" customHeight="1" x14ac:dyDescent="0.25">
      <c r="A282" s="431" t="s">
        <v>39</v>
      </c>
      <c r="B282" s="427">
        <f>SUM(D282:L282)+109</f>
        <v>224299</v>
      </c>
      <c r="C282" s="427" t="s">
        <v>193</v>
      </c>
      <c r="D282" s="427">
        <v>146707</v>
      </c>
      <c r="E282" s="432">
        <v>13689</v>
      </c>
      <c r="F282" s="427">
        <v>53575</v>
      </c>
      <c r="G282" s="427">
        <v>10068</v>
      </c>
      <c r="H282" s="432">
        <v>0</v>
      </c>
      <c r="I282" s="432">
        <v>0</v>
      </c>
      <c r="J282" s="432">
        <v>151</v>
      </c>
      <c r="K282" s="432">
        <v>0</v>
      </c>
      <c r="L282" s="432">
        <v>0</v>
      </c>
    </row>
    <row r="283" spans="1:12" s="428" customFormat="1" ht="9" customHeight="1" x14ac:dyDescent="0.25">
      <c r="A283" s="431" t="s">
        <v>40</v>
      </c>
      <c r="B283" s="427">
        <f t="shared" ref="B283:B292" si="16">SUM(D283:L283)</f>
        <v>354859</v>
      </c>
      <c r="C283" s="427"/>
      <c r="D283" s="427">
        <v>221399</v>
      </c>
      <c r="E283" s="432">
        <v>0</v>
      </c>
      <c r="F283" s="427">
        <v>109486</v>
      </c>
      <c r="G283" s="427">
        <v>21543</v>
      </c>
      <c r="H283" s="432">
        <v>2021</v>
      </c>
      <c r="I283" s="432">
        <v>410</v>
      </c>
      <c r="J283" s="432">
        <v>0</v>
      </c>
      <c r="K283" s="427">
        <v>0</v>
      </c>
      <c r="L283" s="432">
        <v>0</v>
      </c>
    </row>
    <row r="284" spans="1:12" s="428" customFormat="1" ht="9" customHeight="1" x14ac:dyDescent="0.25">
      <c r="A284" s="433" t="s">
        <v>41</v>
      </c>
      <c r="B284" s="434">
        <f t="shared" si="16"/>
        <v>472445</v>
      </c>
      <c r="C284" s="434"/>
      <c r="D284" s="434">
        <v>322560</v>
      </c>
      <c r="E284" s="435">
        <v>103941</v>
      </c>
      <c r="F284" s="434">
        <v>30744</v>
      </c>
      <c r="G284" s="434">
        <v>11083</v>
      </c>
      <c r="H284" s="434">
        <v>1771</v>
      </c>
      <c r="I284" s="434">
        <v>2008</v>
      </c>
      <c r="J284" s="434">
        <v>338</v>
      </c>
      <c r="K284" s="435">
        <v>0</v>
      </c>
      <c r="L284" s="435">
        <v>0</v>
      </c>
    </row>
    <row r="285" spans="1:12" s="428" customFormat="1" ht="9" customHeight="1" x14ac:dyDescent="0.25">
      <c r="A285" s="431" t="s">
        <v>42</v>
      </c>
      <c r="B285" s="427">
        <f t="shared" si="16"/>
        <v>783959</v>
      </c>
      <c r="C285" s="427"/>
      <c r="D285" s="427">
        <v>440149</v>
      </c>
      <c r="E285" s="432">
        <v>130520</v>
      </c>
      <c r="F285" s="427">
        <v>152033</v>
      </c>
      <c r="G285" s="427">
        <v>34056</v>
      </c>
      <c r="H285" s="427">
        <v>991</v>
      </c>
      <c r="I285" s="432">
        <v>658</v>
      </c>
      <c r="J285" s="432">
        <v>0</v>
      </c>
      <c r="K285" s="427">
        <v>25552</v>
      </c>
      <c r="L285" s="432">
        <v>0</v>
      </c>
    </row>
    <row r="286" spans="1:12" s="428" customFormat="1" ht="9" customHeight="1" x14ac:dyDescent="0.25">
      <c r="A286" s="431" t="s">
        <v>43</v>
      </c>
      <c r="B286" s="427">
        <f t="shared" si="16"/>
        <v>169502</v>
      </c>
      <c r="C286" s="427"/>
      <c r="D286" s="427">
        <v>104483</v>
      </c>
      <c r="E286" s="432">
        <v>0</v>
      </c>
      <c r="F286" s="427">
        <v>60459</v>
      </c>
      <c r="G286" s="427">
        <v>4560</v>
      </c>
      <c r="H286" s="432">
        <v>0</v>
      </c>
      <c r="I286" s="432">
        <v>0</v>
      </c>
      <c r="J286" s="432">
        <v>0</v>
      </c>
      <c r="K286" s="432">
        <v>0</v>
      </c>
      <c r="L286" s="432">
        <v>0</v>
      </c>
    </row>
    <row r="287" spans="1:12" s="428" customFormat="1" ht="9" customHeight="1" x14ac:dyDescent="0.25">
      <c r="A287" s="431" t="s">
        <v>44</v>
      </c>
      <c r="B287" s="427">
        <f t="shared" si="16"/>
        <v>143217</v>
      </c>
      <c r="C287" s="427"/>
      <c r="D287" s="427">
        <v>98481</v>
      </c>
      <c r="E287" s="432">
        <v>0</v>
      </c>
      <c r="F287" s="427">
        <v>35398</v>
      </c>
      <c r="G287" s="427">
        <v>8535</v>
      </c>
      <c r="H287" s="432">
        <v>0</v>
      </c>
      <c r="I287" s="427">
        <v>648</v>
      </c>
      <c r="J287" s="427">
        <v>155</v>
      </c>
      <c r="K287" s="432">
        <v>0</v>
      </c>
      <c r="L287" s="432">
        <v>0</v>
      </c>
    </row>
    <row r="288" spans="1:12" s="428" customFormat="1" ht="9" customHeight="1" x14ac:dyDescent="0.25">
      <c r="A288" s="433" t="s">
        <v>45</v>
      </c>
      <c r="B288" s="434">
        <f t="shared" si="16"/>
        <v>305521</v>
      </c>
      <c r="C288" s="434"/>
      <c r="D288" s="434">
        <v>163301</v>
      </c>
      <c r="E288" s="435">
        <v>61737</v>
      </c>
      <c r="F288" s="434">
        <v>55529</v>
      </c>
      <c r="G288" s="434">
        <v>23392</v>
      </c>
      <c r="H288" s="434">
        <v>1167</v>
      </c>
      <c r="I288" s="435">
        <v>395</v>
      </c>
      <c r="J288" s="435">
        <v>0</v>
      </c>
      <c r="K288" s="435">
        <v>0</v>
      </c>
      <c r="L288" s="435">
        <v>0</v>
      </c>
    </row>
    <row r="289" spans="1:12" s="428" customFormat="1" ht="9" customHeight="1" x14ac:dyDescent="0.25">
      <c r="A289" s="431" t="s">
        <v>46</v>
      </c>
      <c r="B289" s="427">
        <f t="shared" si="16"/>
        <v>311667</v>
      </c>
      <c r="C289" s="427"/>
      <c r="D289" s="427">
        <v>116670</v>
      </c>
      <c r="E289" s="432">
        <v>32476</v>
      </c>
      <c r="F289" s="427">
        <v>130423</v>
      </c>
      <c r="G289" s="427">
        <v>31286</v>
      </c>
      <c r="H289" s="427">
        <v>87</v>
      </c>
      <c r="I289" s="427">
        <v>505</v>
      </c>
      <c r="J289" s="427">
        <v>220</v>
      </c>
      <c r="K289" s="432">
        <v>0</v>
      </c>
      <c r="L289" s="432">
        <v>0</v>
      </c>
    </row>
    <row r="290" spans="1:12" s="428" customFormat="1" ht="9" customHeight="1" x14ac:dyDescent="0.25">
      <c r="A290" s="431" t="s">
        <v>47</v>
      </c>
      <c r="B290" s="427">
        <f t="shared" si="16"/>
        <v>270142</v>
      </c>
      <c r="C290" s="427"/>
      <c r="D290" s="427">
        <v>139919</v>
      </c>
      <c r="E290" s="432">
        <v>0</v>
      </c>
      <c r="F290" s="427">
        <v>114395</v>
      </c>
      <c r="G290" s="427">
        <v>14760</v>
      </c>
      <c r="H290" s="432">
        <v>0</v>
      </c>
      <c r="I290" s="427">
        <v>887</v>
      </c>
      <c r="J290" s="427">
        <v>181</v>
      </c>
      <c r="K290" s="432">
        <v>0</v>
      </c>
      <c r="L290" s="432">
        <v>0</v>
      </c>
    </row>
    <row r="291" spans="1:12" s="428" customFormat="1" ht="9" customHeight="1" x14ac:dyDescent="0.25">
      <c r="A291" s="431" t="s">
        <v>48</v>
      </c>
      <c r="B291" s="427">
        <f t="shared" si="16"/>
        <v>383747</v>
      </c>
      <c r="C291" s="427"/>
      <c r="D291" s="427">
        <v>295401</v>
      </c>
      <c r="E291" s="432">
        <v>0</v>
      </c>
      <c r="F291" s="427">
        <v>63747</v>
      </c>
      <c r="G291" s="427">
        <v>9645</v>
      </c>
      <c r="H291" s="427">
        <v>5879</v>
      </c>
      <c r="I291" s="427">
        <v>312</v>
      </c>
      <c r="J291" s="427">
        <v>66</v>
      </c>
      <c r="K291" s="427">
        <v>8697</v>
      </c>
      <c r="L291" s="432">
        <v>0</v>
      </c>
    </row>
    <row r="292" spans="1:12" s="428" customFormat="1" ht="9" customHeight="1" x14ac:dyDescent="0.25">
      <c r="A292" s="433" t="s">
        <v>49</v>
      </c>
      <c r="B292" s="434">
        <f t="shared" si="16"/>
        <v>270621</v>
      </c>
      <c r="C292" s="434"/>
      <c r="D292" s="434">
        <v>141267</v>
      </c>
      <c r="E292" s="435">
        <v>23231</v>
      </c>
      <c r="F292" s="434">
        <v>81866</v>
      </c>
      <c r="G292" s="434">
        <v>18007</v>
      </c>
      <c r="H292" s="434">
        <v>5122</v>
      </c>
      <c r="I292" s="434">
        <v>667</v>
      </c>
      <c r="J292" s="434">
        <v>281</v>
      </c>
      <c r="K292" s="435">
        <v>0</v>
      </c>
      <c r="L292" s="435">
        <v>180</v>
      </c>
    </row>
    <row r="293" spans="1:12" s="428" customFormat="1" ht="9" customHeight="1" x14ac:dyDescent="0.25">
      <c r="A293" s="431" t="s">
        <v>50</v>
      </c>
      <c r="B293" s="427">
        <f>SUM(D293:L293)+281</f>
        <v>130829</v>
      </c>
      <c r="C293" s="427" t="s">
        <v>193</v>
      </c>
      <c r="D293" s="427">
        <v>98124</v>
      </c>
      <c r="E293" s="432">
        <v>0</v>
      </c>
      <c r="F293" s="427">
        <v>27140</v>
      </c>
      <c r="G293" s="427">
        <v>5284</v>
      </c>
      <c r="H293" s="432">
        <v>0</v>
      </c>
      <c r="I293" s="432">
        <v>0</v>
      </c>
      <c r="J293" s="432">
        <v>0</v>
      </c>
      <c r="K293" s="432">
        <v>0</v>
      </c>
      <c r="L293" s="432">
        <v>0</v>
      </c>
    </row>
    <row r="294" spans="1:12" s="428" customFormat="1" ht="9" customHeight="1" x14ac:dyDescent="0.25">
      <c r="A294" s="431" t="s">
        <v>51</v>
      </c>
      <c r="B294" s="427">
        <f>SUM(D294:L294)</f>
        <v>858281</v>
      </c>
      <c r="C294" s="427"/>
      <c r="D294" s="427">
        <v>467520</v>
      </c>
      <c r="E294" s="432">
        <v>168937</v>
      </c>
      <c r="F294" s="427">
        <v>171710</v>
      </c>
      <c r="G294" s="427">
        <v>34020</v>
      </c>
      <c r="H294" s="427">
        <v>11571</v>
      </c>
      <c r="I294" s="427">
        <v>2226</v>
      </c>
      <c r="J294" s="427">
        <v>2234</v>
      </c>
      <c r="K294" s="432">
        <v>0</v>
      </c>
      <c r="L294" s="432">
        <v>63</v>
      </c>
    </row>
    <row r="295" spans="1:12" s="428" customFormat="1" ht="9" customHeight="1" x14ac:dyDescent="0.25">
      <c r="A295" s="431" t="s">
        <v>52</v>
      </c>
      <c r="B295" s="427">
        <f>SUM(D295:L295)</f>
        <v>222665</v>
      </c>
      <c r="C295" s="427"/>
      <c r="D295" s="427">
        <v>115857</v>
      </c>
      <c r="E295" s="432">
        <v>35286</v>
      </c>
      <c r="F295" s="427">
        <v>62420</v>
      </c>
      <c r="G295" s="427">
        <v>8474</v>
      </c>
      <c r="H295" s="432">
        <v>0</v>
      </c>
      <c r="I295" s="427">
        <v>443</v>
      </c>
      <c r="J295" s="427">
        <v>185</v>
      </c>
      <c r="K295" s="432">
        <v>0</v>
      </c>
      <c r="L295" s="432">
        <v>0</v>
      </c>
    </row>
    <row r="296" spans="1:12" s="428" customFormat="1" ht="9" customHeight="1" x14ac:dyDescent="0.25">
      <c r="A296" s="433" t="s">
        <v>53</v>
      </c>
      <c r="B296" s="434">
        <f>SUM(D296:L296)</f>
        <v>258702</v>
      </c>
      <c r="C296" s="434"/>
      <c r="D296" s="434">
        <v>158638</v>
      </c>
      <c r="E296" s="435">
        <v>33513</v>
      </c>
      <c r="F296" s="434">
        <v>46092</v>
      </c>
      <c r="G296" s="434">
        <v>20105</v>
      </c>
      <c r="H296" s="435">
        <v>0</v>
      </c>
      <c r="I296" s="435">
        <v>354</v>
      </c>
      <c r="J296" s="435">
        <v>0</v>
      </c>
      <c r="K296" s="435">
        <v>0</v>
      </c>
      <c r="L296" s="435">
        <v>0</v>
      </c>
    </row>
    <row r="297" spans="1:12" s="428" customFormat="1" ht="9" customHeight="1" x14ac:dyDescent="0.25">
      <c r="A297" s="431"/>
      <c r="B297" s="427"/>
      <c r="C297" s="427"/>
      <c r="D297" s="427"/>
      <c r="E297" s="432"/>
      <c r="F297" s="427"/>
      <c r="G297" s="427"/>
      <c r="H297" s="427"/>
      <c r="I297" s="427"/>
      <c r="J297" s="427"/>
      <c r="K297" s="432"/>
      <c r="L297" s="432"/>
    </row>
    <row r="298" spans="1:12" s="428" customFormat="1" ht="9" customHeight="1" x14ac:dyDescent="0.25">
      <c r="A298" s="439">
        <v>2003</v>
      </c>
      <c r="B298" s="427"/>
      <c r="C298" s="427"/>
      <c r="D298" s="427"/>
      <c r="E298" s="427"/>
      <c r="F298" s="427"/>
      <c r="G298" s="427"/>
      <c r="H298" s="427"/>
      <c r="I298" s="427"/>
      <c r="J298" s="427"/>
      <c r="K298" s="427"/>
      <c r="L298" s="427"/>
    </row>
    <row r="299" spans="1:12" s="428" customFormat="1" ht="9" customHeight="1" x14ac:dyDescent="0.25">
      <c r="A299" s="429" t="s">
        <v>21</v>
      </c>
      <c r="B299" s="430">
        <f>SUM(B301:B332)</f>
        <v>12625665</v>
      </c>
      <c r="C299" s="430"/>
      <c r="D299" s="430">
        <f>SUM(D301:D332)</f>
        <v>8323825</v>
      </c>
      <c r="E299" s="430">
        <f>SUM(E301:E332)</f>
        <v>1013270</v>
      </c>
      <c r="F299" s="430">
        <f>SUM(F301:F332)</f>
        <v>2461457</v>
      </c>
      <c r="G299" s="430">
        <f>SUM(G301:G332)</f>
        <v>711447</v>
      </c>
      <c r="H299" s="430">
        <f>SUM(H301:H332)-2</f>
        <v>35229</v>
      </c>
      <c r="I299" s="430">
        <f>SUM(I301:I332)</f>
        <v>31867</v>
      </c>
      <c r="J299" s="430">
        <f>SUM(J301:J332)</f>
        <v>4961</v>
      </c>
      <c r="K299" s="430">
        <f>SUM(K301:K332)</f>
        <v>38773</v>
      </c>
      <c r="L299" s="430">
        <f>SUM(L301:L332)</f>
        <v>4834</v>
      </c>
    </row>
    <row r="300" spans="1:12" s="428" customFormat="1" ht="3.95" customHeight="1" x14ac:dyDescent="0.25">
      <c r="A300" s="429"/>
      <c r="B300" s="430"/>
      <c r="C300" s="430"/>
      <c r="D300" s="430"/>
      <c r="E300" s="430"/>
      <c r="F300" s="430"/>
      <c r="G300" s="430"/>
      <c r="H300" s="430"/>
      <c r="I300" s="430"/>
      <c r="J300" s="430"/>
      <c r="K300" s="430"/>
      <c r="L300" s="430"/>
    </row>
    <row r="301" spans="1:12" s="428" customFormat="1" ht="9" customHeight="1" x14ac:dyDescent="0.25">
      <c r="A301" s="431" t="s">
        <v>23</v>
      </c>
      <c r="B301" s="427">
        <f t="shared" ref="B301:B332" si="17">SUM(D301:L301)</f>
        <v>147456</v>
      </c>
      <c r="C301" s="427"/>
      <c r="D301" s="427">
        <v>110698</v>
      </c>
      <c r="E301" s="432">
        <v>0</v>
      </c>
      <c r="F301" s="427">
        <v>32722</v>
      </c>
      <c r="G301" s="427">
        <v>4036</v>
      </c>
      <c r="H301" s="432">
        <v>0</v>
      </c>
      <c r="I301" s="432">
        <v>0</v>
      </c>
      <c r="J301" s="432">
        <v>0</v>
      </c>
      <c r="K301" s="432">
        <v>0</v>
      </c>
      <c r="L301" s="432">
        <v>0</v>
      </c>
    </row>
    <row r="302" spans="1:12" s="428" customFormat="1" ht="9" customHeight="1" x14ac:dyDescent="0.25">
      <c r="A302" s="431" t="s">
        <v>24</v>
      </c>
      <c r="B302" s="427">
        <f t="shared" si="17"/>
        <v>407656</v>
      </c>
      <c r="C302" s="427"/>
      <c r="D302" s="427">
        <v>102381</v>
      </c>
      <c r="E302" s="432">
        <v>18553</v>
      </c>
      <c r="F302" s="427">
        <v>267813</v>
      </c>
      <c r="G302" s="427">
        <v>11502</v>
      </c>
      <c r="H302" s="432">
        <v>0</v>
      </c>
      <c r="I302" s="432">
        <v>718</v>
      </c>
      <c r="J302" s="432">
        <v>189</v>
      </c>
      <c r="K302" s="427">
        <v>6500</v>
      </c>
      <c r="L302" s="432">
        <v>0</v>
      </c>
    </row>
    <row r="303" spans="1:12" s="428" customFormat="1" ht="9" customHeight="1" x14ac:dyDescent="0.25">
      <c r="A303" s="431" t="s">
        <v>25</v>
      </c>
      <c r="B303" s="427">
        <f t="shared" si="17"/>
        <v>51918</v>
      </c>
      <c r="C303" s="427"/>
      <c r="D303" s="427">
        <v>30024</v>
      </c>
      <c r="E303" s="432">
        <v>0</v>
      </c>
      <c r="F303" s="427">
        <v>16376</v>
      </c>
      <c r="G303" s="427">
        <v>4350</v>
      </c>
      <c r="H303" s="432">
        <v>0</v>
      </c>
      <c r="I303" s="427">
        <v>733</v>
      </c>
      <c r="J303" s="427">
        <v>435</v>
      </c>
      <c r="K303" s="432">
        <v>0</v>
      </c>
      <c r="L303" s="432">
        <v>0</v>
      </c>
    </row>
    <row r="304" spans="1:12" s="428" customFormat="1" ht="9" customHeight="1" x14ac:dyDescent="0.25">
      <c r="A304" s="433" t="s">
        <v>26</v>
      </c>
      <c r="B304" s="434">
        <f t="shared" si="17"/>
        <v>128960</v>
      </c>
      <c r="C304" s="434"/>
      <c r="D304" s="434">
        <v>78181</v>
      </c>
      <c r="E304" s="435">
        <v>18069</v>
      </c>
      <c r="F304" s="434">
        <v>21113</v>
      </c>
      <c r="G304" s="434">
        <v>9976</v>
      </c>
      <c r="H304" s="434">
        <v>1278</v>
      </c>
      <c r="I304" s="434">
        <v>0</v>
      </c>
      <c r="J304" s="434">
        <v>343</v>
      </c>
      <c r="K304" s="435">
        <v>0</v>
      </c>
      <c r="L304" s="435">
        <v>0</v>
      </c>
    </row>
    <row r="305" spans="1:12" s="428" customFormat="1" ht="9" customHeight="1" x14ac:dyDescent="0.25">
      <c r="A305" s="431" t="s">
        <v>27</v>
      </c>
      <c r="B305" s="427">
        <f t="shared" si="17"/>
        <v>280913</v>
      </c>
      <c r="C305" s="427"/>
      <c r="D305" s="427">
        <v>166475</v>
      </c>
      <c r="E305" s="432">
        <v>22867</v>
      </c>
      <c r="F305" s="427">
        <v>73592</v>
      </c>
      <c r="G305" s="427">
        <v>17088</v>
      </c>
      <c r="H305" s="432">
        <v>0</v>
      </c>
      <c r="I305" s="432">
        <v>891</v>
      </c>
      <c r="J305" s="432">
        <v>0</v>
      </c>
      <c r="K305" s="432">
        <v>0</v>
      </c>
      <c r="L305" s="427">
        <v>0</v>
      </c>
    </row>
    <row r="306" spans="1:12" s="428" customFormat="1" ht="9" customHeight="1" x14ac:dyDescent="0.25">
      <c r="A306" s="431" t="s">
        <v>28</v>
      </c>
      <c r="B306" s="427">
        <f t="shared" si="17"/>
        <v>83729</v>
      </c>
      <c r="C306" s="427"/>
      <c r="D306" s="427">
        <v>54449</v>
      </c>
      <c r="E306" s="432">
        <v>0</v>
      </c>
      <c r="F306" s="427">
        <v>23863</v>
      </c>
      <c r="G306" s="427">
        <v>5021</v>
      </c>
      <c r="H306" s="432">
        <v>0</v>
      </c>
      <c r="I306" s="427">
        <v>0</v>
      </c>
      <c r="J306" s="427">
        <v>396</v>
      </c>
      <c r="K306" s="432">
        <v>0</v>
      </c>
      <c r="L306" s="432">
        <v>0</v>
      </c>
    </row>
    <row r="307" spans="1:12" s="428" customFormat="1" ht="9" customHeight="1" x14ac:dyDescent="0.25">
      <c r="A307" s="431" t="s">
        <v>29</v>
      </c>
      <c r="B307" s="427">
        <f t="shared" si="17"/>
        <v>562833</v>
      </c>
      <c r="C307" s="427"/>
      <c r="D307" s="427">
        <v>349371</v>
      </c>
      <c r="E307" s="432">
        <v>162181</v>
      </c>
      <c r="F307" s="427">
        <v>35885</v>
      </c>
      <c r="G307" s="427">
        <v>13795</v>
      </c>
      <c r="H307" s="427">
        <v>431</v>
      </c>
      <c r="I307" s="427">
        <v>1151</v>
      </c>
      <c r="J307" s="427">
        <v>19</v>
      </c>
      <c r="K307" s="427">
        <v>0</v>
      </c>
      <c r="L307" s="432">
        <v>0</v>
      </c>
    </row>
    <row r="308" spans="1:12" s="428" customFormat="1" ht="9" customHeight="1" x14ac:dyDescent="0.25">
      <c r="A308" s="433" t="s">
        <v>30</v>
      </c>
      <c r="B308" s="434">
        <f t="shared" si="17"/>
        <v>348683</v>
      </c>
      <c r="C308" s="434"/>
      <c r="D308" s="434">
        <v>204483</v>
      </c>
      <c r="E308" s="435">
        <v>31629</v>
      </c>
      <c r="F308" s="434">
        <v>99129</v>
      </c>
      <c r="G308" s="434">
        <v>11948</v>
      </c>
      <c r="H308" s="434">
        <v>308</v>
      </c>
      <c r="I308" s="435">
        <v>1186</v>
      </c>
      <c r="J308" s="435">
        <v>0</v>
      </c>
      <c r="K308" s="435">
        <v>0</v>
      </c>
      <c r="L308" s="435">
        <v>0</v>
      </c>
    </row>
    <row r="309" spans="1:12" s="428" customFormat="1" ht="9" customHeight="1" x14ac:dyDescent="0.25">
      <c r="A309" s="431" t="s">
        <v>63</v>
      </c>
      <c r="B309" s="427">
        <f t="shared" si="17"/>
        <v>562780</v>
      </c>
      <c r="C309" s="427"/>
      <c r="D309" s="427">
        <v>194780</v>
      </c>
      <c r="E309" s="432">
        <v>743</v>
      </c>
      <c r="F309" s="427">
        <v>147511</v>
      </c>
      <c r="G309" s="427">
        <v>206052</v>
      </c>
      <c r="H309" s="427">
        <v>2800</v>
      </c>
      <c r="I309" s="427">
        <v>7643</v>
      </c>
      <c r="J309" s="427">
        <v>283</v>
      </c>
      <c r="K309" s="427">
        <v>2968</v>
      </c>
      <c r="L309" s="432">
        <v>0</v>
      </c>
    </row>
    <row r="310" spans="1:12" s="428" customFormat="1" ht="9" customHeight="1" x14ac:dyDescent="0.25">
      <c r="A310" s="431" t="s">
        <v>31</v>
      </c>
      <c r="B310" s="427">
        <f t="shared" si="17"/>
        <v>231187</v>
      </c>
      <c r="C310" s="427"/>
      <c r="D310" s="427">
        <v>115884</v>
      </c>
      <c r="E310" s="432">
        <v>40259</v>
      </c>
      <c r="F310" s="427">
        <v>61257</v>
      </c>
      <c r="G310" s="427">
        <v>12557</v>
      </c>
      <c r="H310" s="432">
        <v>0</v>
      </c>
      <c r="I310" s="432">
        <v>1230</v>
      </c>
      <c r="J310" s="432">
        <v>0</v>
      </c>
      <c r="K310" s="432">
        <v>0</v>
      </c>
      <c r="L310" s="432">
        <v>0</v>
      </c>
    </row>
    <row r="311" spans="1:12" s="428" customFormat="1" ht="9" customHeight="1" x14ac:dyDescent="0.25">
      <c r="A311" s="431" t="s">
        <v>32</v>
      </c>
      <c r="B311" s="427">
        <f t="shared" si="17"/>
        <v>443940</v>
      </c>
      <c r="C311" s="427"/>
      <c r="D311" s="427">
        <v>324448</v>
      </c>
      <c r="E311" s="432">
        <v>0</v>
      </c>
      <c r="F311" s="427">
        <v>92116</v>
      </c>
      <c r="G311" s="427">
        <v>25767</v>
      </c>
      <c r="H311" s="427">
        <v>538</v>
      </c>
      <c r="I311" s="432">
        <v>1071</v>
      </c>
      <c r="J311" s="432">
        <v>0</v>
      </c>
      <c r="K311" s="432">
        <v>0</v>
      </c>
      <c r="L311" s="432">
        <v>0</v>
      </c>
    </row>
    <row r="312" spans="1:12" s="428" customFormat="1" ht="9" customHeight="1" x14ac:dyDescent="0.25">
      <c r="A312" s="433" t="s">
        <v>33</v>
      </c>
      <c r="B312" s="434">
        <f t="shared" si="17"/>
        <v>729953</v>
      </c>
      <c r="C312" s="434"/>
      <c r="D312" s="434">
        <v>634569</v>
      </c>
      <c r="E312" s="435">
        <v>0</v>
      </c>
      <c r="F312" s="434">
        <v>55185</v>
      </c>
      <c r="G312" s="434">
        <v>39157</v>
      </c>
      <c r="H312" s="435">
        <v>0</v>
      </c>
      <c r="I312" s="434">
        <v>721</v>
      </c>
      <c r="J312" s="434">
        <v>321</v>
      </c>
      <c r="K312" s="435">
        <v>0</v>
      </c>
      <c r="L312" s="435">
        <v>0</v>
      </c>
    </row>
    <row r="313" spans="1:12" s="428" customFormat="1" ht="9" customHeight="1" x14ac:dyDescent="0.25">
      <c r="A313" s="431" t="s">
        <v>34</v>
      </c>
      <c r="B313" s="427">
        <f t="shared" si="17"/>
        <v>373071</v>
      </c>
      <c r="C313" s="427"/>
      <c r="D313" s="427">
        <v>235670</v>
      </c>
      <c r="E313" s="432">
        <v>58258</v>
      </c>
      <c r="F313" s="427">
        <v>55275</v>
      </c>
      <c r="G313" s="427">
        <v>22284</v>
      </c>
      <c r="H313" s="427">
        <v>1584</v>
      </c>
      <c r="I313" s="432">
        <v>0</v>
      </c>
      <c r="J313" s="432">
        <v>0</v>
      </c>
      <c r="K313" s="432">
        <v>0</v>
      </c>
      <c r="L313" s="432">
        <v>0</v>
      </c>
    </row>
    <row r="314" spans="1:12" s="428" customFormat="1" ht="9" customHeight="1" x14ac:dyDescent="0.25">
      <c r="A314" s="431" t="s">
        <v>35</v>
      </c>
      <c r="B314" s="427">
        <f t="shared" si="17"/>
        <v>584317</v>
      </c>
      <c r="C314" s="427"/>
      <c r="D314" s="427">
        <v>466339</v>
      </c>
      <c r="E314" s="432">
        <v>0</v>
      </c>
      <c r="F314" s="427">
        <v>94244</v>
      </c>
      <c r="G314" s="427">
        <v>21912</v>
      </c>
      <c r="H314" s="427">
        <v>435</v>
      </c>
      <c r="I314" s="427">
        <v>1338</v>
      </c>
      <c r="J314" s="427">
        <v>49</v>
      </c>
      <c r="K314" s="432">
        <v>0</v>
      </c>
      <c r="L314" s="432">
        <v>0</v>
      </c>
    </row>
    <row r="315" spans="1:12" s="428" customFormat="1" ht="9" customHeight="1" x14ac:dyDescent="0.25">
      <c r="A315" s="431" t="s">
        <v>36</v>
      </c>
      <c r="B315" s="427">
        <f t="shared" si="17"/>
        <v>1928232</v>
      </c>
      <c r="C315" s="427"/>
      <c r="D315" s="427">
        <v>1680529</v>
      </c>
      <c r="E315" s="432">
        <v>0</v>
      </c>
      <c r="F315" s="427">
        <v>218735</v>
      </c>
      <c r="G315" s="427">
        <v>27149</v>
      </c>
      <c r="H315" s="427">
        <v>95</v>
      </c>
      <c r="I315" s="432">
        <v>1724</v>
      </c>
      <c r="J315" s="432">
        <v>0</v>
      </c>
      <c r="K315" s="427">
        <v>0</v>
      </c>
      <c r="L315" s="432">
        <v>0</v>
      </c>
    </row>
    <row r="316" spans="1:12" s="428" customFormat="1" ht="9" customHeight="1" x14ac:dyDescent="0.25">
      <c r="A316" s="433" t="s">
        <v>37</v>
      </c>
      <c r="B316" s="434">
        <f t="shared" si="17"/>
        <v>534058</v>
      </c>
      <c r="C316" s="434"/>
      <c r="D316" s="434">
        <v>345703</v>
      </c>
      <c r="E316" s="435">
        <v>77520</v>
      </c>
      <c r="F316" s="434">
        <v>86932</v>
      </c>
      <c r="G316" s="434">
        <v>22368</v>
      </c>
      <c r="H316" s="435">
        <v>0</v>
      </c>
      <c r="I316" s="434">
        <v>493</v>
      </c>
      <c r="J316" s="434">
        <v>1042</v>
      </c>
      <c r="K316" s="435">
        <v>0</v>
      </c>
      <c r="L316" s="435">
        <v>0</v>
      </c>
    </row>
    <row r="317" spans="1:12" s="428" customFormat="1" ht="9" customHeight="1" x14ac:dyDescent="0.25">
      <c r="A317" s="431" t="s">
        <v>38</v>
      </c>
      <c r="B317" s="427">
        <f t="shared" si="17"/>
        <v>286675</v>
      </c>
      <c r="C317" s="427"/>
      <c r="D317" s="427">
        <v>144230</v>
      </c>
      <c r="E317" s="432">
        <v>0</v>
      </c>
      <c r="F317" s="427">
        <v>119938</v>
      </c>
      <c r="G317" s="427">
        <v>22050</v>
      </c>
      <c r="H317" s="432">
        <v>0</v>
      </c>
      <c r="I317" s="432">
        <v>457</v>
      </c>
      <c r="J317" s="432">
        <v>0</v>
      </c>
      <c r="K317" s="432">
        <v>0</v>
      </c>
      <c r="L317" s="432">
        <v>0</v>
      </c>
    </row>
    <row r="318" spans="1:12" s="428" customFormat="1" ht="9" customHeight="1" x14ac:dyDescent="0.25">
      <c r="A318" s="431" t="s">
        <v>39</v>
      </c>
      <c r="B318" s="427">
        <f t="shared" si="17"/>
        <v>215802</v>
      </c>
      <c r="C318" s="427"/>
      <c r="D318" s="427">
        <v>153894</v>
      </c>
      <c r="E318" s="432">
        <v>13783</v>
      </c>
      <c r="F318" s="427">
        <v>37825</v>
      </c>
      <c r="G318" s="427">
        <v>10253</v>
      </c>
      <c r="H318" s="432">
        <v>0</v>
      </c>
      <c r="I318" s="432">
        <v>0</v>
      </c>
      <c r="J318" s="432">
        <v>47</v>
      </c>
      <c r="K318" s="432">
        <v>0</v>
      </c>
      <c r="L318" s="432">
        <v>0</v>
      </c>
    </row>
    <row r="319" spans="1:12" s="428" customFormat="1" ht="9" customHeight="1" x14ac:dyDescent="0.25">
      <c r="A319" s="431" t="s">
        <v>40</v>
      </c>
      <c r="B319" s="427">
        <f t="shared" si="17"/>
        <v>340105</v>
      </c>
      <c r="C319" s="427"/>
      <c r="D319" s="427">
        <v>223989</v>
      </c>
      <c r="E319" s="432">
        <v>0</v>
      </c>
      <c r="F319" s="427">
        <v>92872</v>
      </c>
      <c r="G319" s="427">
        <v>18513</v>
      </c>
      <c r="H319" s="432">
        <v>1199</v>
      </c>
      <c r="I319" s="432">
        <v>1024</v>
      </c>
      <c r="J319" s="432">
        <v>0</v>
      </c>
      <c r="K319" s="427">
        <v>0</v>
      </c>
      <c r="L319" s="432">
        <v>2508</v>
      </c>
    </row>
    <row r="320" spans="1:12" s="428" customFormat="1" ht="9" customHeight="1" x14ac:dyDescent="0.25">
      <c r="A320" s="433" t="s">
        <v>41</v>
      </c>
      <c r="B320" s="434">
        <f t="shared" si="17"/>
        <v>448347</v>
      </c>
      <c r="C320" s="434"/>
      <c r="D320" s="434">
        <v>307866</v>
      </c>
      <c r="E320" s="435">
        <v>105822</v>
      </c>
      <c r="F320" s="434">
        <v>20600</v>
      </c>
      <c r="G320" s="434">
        <v>11450</v>
      </c>
      <c r="H320" s="434">
        <v>1547</v>
      </c>
      <c r="I320" s="434">
        <v>1053</v>
      </c>
      <c r="J320" s="434">
        <v>9</v>
      </c>
      <c r="K320" s="435">
        <v>0</v>
      </c>
      <c r="L320" s="435">
        <v>0</v>
      </c>
    </row>
    <row r="321" spans="1:12" s="428" customFormat="1" ht="9" customHeight="1" x14ac:dyDescent="0.25">
      <c r="A321" s="431" t="s">
        <v>42</v>
      </c>
      <c r="B321" s="427">
        <f t="shared" si="17"/>
        <v>699725</v>
      </c>
      <c r="C321" s="427"/>
      <c r="D321" s="427">
        <v>466338</v>
      </c>
      <c r="E321" s="432">
        <v>121673</v>
      </c>
      <c r="F321" s="427">
        <v>51990</v>
      </c>
      <c r="G321" s="427">
        <v>33626</v>
      </c>
      <c r="H321" s="427">
        <v>575</v>
      </c>
      <c r="I321" s="432">
        <v>1115</v>
      </c>
      <c r="J321" s="432">
        <v>0</v>
      </c>
      <c r="K321" s="427">
        <v>22082</v>
      </c>
      <c r="L321" s="432">
        <v>2326</v>
      </c>
    </row>
    <row r="322" spans="1:12" s="428" customFormat="1" ht="9" customHeight="1" x14ac:dyDescent="0.25">
      <c r="A322" s="431" t="s">
        <v>43</v>
      </c>
      <c r="B322" s="427">
        <f t="shared" si="17"/>
        <v>176465</v>
      </c>
      <c r="C322" s="427"/>
      <c r="D322" s="427">
        <v>108589</v>
      </c>
      <c r="E322" s="432">
        <v>0</v>
      </c>
      <c r="F322" s="427">
        <v>64760</v>
      </c>
      <c r="G322" s="427">
        <v>3116</v>
      </c>
      <c r="H322" s="432">
        <v>0</v>
      </c>
      <c r="I322" s="432">
        <v>0</v>
      </c>
      <c r="J322" s="432">
        <v>0</v>
      </c>
      <c r="K322" s="432">
        <v>0</v>
      </c>
      <c r="L322" s="432">
        <v>0</v>
      </c>
    </row>
    <row r="323" spans="1:12" s="428" customFormat="1" ht="9" customHeight="1" x14ac:dyDescent="0.25">
      <c r="A323" s="431" t="s">
        <v>44</v>
      </c>
      <c r="B323" s="427">
        <f t="shared" si="17"/>
        <v>141991</v>
      </c>
      <c r="C323" s="427"/>
      <c r="D323" s="427">
        <v>102318</v>
      </c>
      <c r="E323" s="432">
        <v>0</v>
      </c>
      <c r="F323" s="427">
        <v>28683</v>
      </c>
      <c r="G323" s="427">
        <v>10190</v>
      </c>
      <c r="H323" s="432">
        <v>0</v>
      </c>
      <c r="I323" s="427">
        <v>585</v>
      </c>
      <c r="J323" s="427">
        <v>215</v>
      </c>
      <c r="K323" s="432">
        <v>0</v>
      </c>
      <c r="L323" s="432">
        <v>0</v>
      </c>
    </row>
    <row r="324" spans="1:12" s="428" customFormat="1" ht="9" customHeight="1" x14ac:dyDescent="0.25">
      <c r="A324" s="433" t="s">
        <v>45</v>
      </c>
      <c r="B324" s="434">
        <f t="shared" si="17"/>
        <v>280297</v>
      </c>
      <c r="C324" s="434"/>
      <c r="D324" s="434">
        <v>169608</v>
      </c>
      <c r="E324" s="435">
        <v>56825</v>
      </c>
      <c r="F324" s="434">
        <v>34264</v>
      </c>
      <c r="G324" s="434">
        <v>17739</v>
      </c>
      <c r="H324" s="434">
        <v>1255</v>
      </c>
      <c r="I324" s="435">
        <v>606</v>
      </c>
      <c r="J324" s="435">
        <v>0</v>
      </c>
      <c r="K324" s="435">
        <v>0</v>
      </c>
      <c r="L324" s="435">
        <v>0</v>
      </c>
    </row>
    <row r="325" spans="1:12" s="428" customFormat="1" ht="9" customHeight="1" x14ac:dyDescent="0.25">
      <c r="A325" s="431" t="s">
        <v>46</v>
      </c>
      <c r="B325" s="427">
        <f t="shared" si="17"/>
        <v>307308</v>
      </c>
      <c r="C325" s="427"/>
      <c r="D325" s="427">
        <v>126874</v>
      </c>
      <c r="E325" s="432">
        <v>32732</v>
      </c>
      <c r="F325" s="427">
        <v>121303</v>
      </c>
      <c r="G325" s="427">
        <v>25321</v>
      </c>
      <c r="H325" s="427">
        <v>78</v>
      </c>
      <c r="I325" s="427">
        <v>742</v>
      </c>
      <c r="J325" s="427">
        <v>258</v>
      </c>
      <c r="K325" s="432">
        <v>0</v>
      </c>
      <c r="L325" s="432">
        <v>0</v>
      </c>
    </row>
    <row r="326" spans="1:12" s="428" customFormat="1" ht="9" customHeight="1" x14ac:dyDescent="0.25">
      <c r="A326" s="431" t="s">
        <v>47</v>
      </c>
      <c r="B326" s="427">
        <f t="shared" si="17"/>
        <v>262744</v>
      </c>
      <c r="C326" s="427"/>
      <c r="D326" s="427">
        <v>145350</v>
      </c>
      <c r="E326" s="432">
        <v>0</v>
      </c>
      <c r="F326" s="427">
        <v>104518</v>
      </c>
      <c r="G326" s="427">
        <v>11793</v>
      </c>
      <c r="H326" s="432">
        <v>0</v>
      </c>
      <c r="I326" s="427">
        <v>1067</v>
      </c>
      <c r="J326" s="427">
        <v>16</v>
      </c>
      <c r="K326" s="432">
        <v>0</v>
      </c>
      <c r="L326" s="432">
        <v>0</v>
      </c>
    </row>
    <row r="327" spans="1:12" s="428" customFormat="1" ht="9" customHeight="1" x14ac:dyDescent="0.25">
      <c r="A327" s="431" t="s">
        <v>48</v>
      </c>
      <c r="B327" s="427">
        <f t="shared" si="17"/>
        <v>384368</v>
      </c>
      <c r="C327" s="427"/>
      <c r="D327" s="427">
        <v>302613</v>
      </c>
      <c r="E327" s="432">
        <v>0</v>
      </c>
      <c r="F327" s="427">
        <v>62235</v>
      </c>
      <c r="G327" s="427">
        <v>5338</v>
      </c>
      <c r="H327" s="427">
        <v>6339</v>
      </c>
      <c r="I327" s="427">
        <v>498</v>
      </c>
      <c r="J327" s="427">
        <v>122</v>
      </c>
      <c r="K327" s="427">
        <v>7223</v>
      </c>
      <c r="L327" s="432">
        <v>0</v>
      </c>
    </row>
    <row r="328" spans="1:12" s="428" customFormat="1" ht="9" customHeight="1" x14ac:dyDescent="0.25">
      <c r="A328" s="433" t="s">
        <v>49</v>
      </c>
      <c r="B328" s="434">
        <f t="shared" si="17"/>
        <v>239064</v>
      </c>
      <c r="C328" s="434"/>
      <c r="D328" s="434">
        <v>110177</v>
      </c>
      <c r="E328" s="435">
        <v>21437</v>
      </c>
      <c r="F328" s="434">
        <v>80515</v>
      </c>
      <c r="G328" s="434">
        <v>21145</v>
      </c>
      <c r="H328" s="434">
        <v>4614</v>
      </c>
      <c r="I328" s="434">
        <v>787</v>
      </c>
      <c r="J328" s="434">
        <v>389</v>
      </c>
      <c r="K328" s="435">
        <v>0</v>
      </c>
      <c r="L328" s="435">
        <v>0</v>
      </c>
    </row>
    <row r="329" spans="1:12" s="428" customFormat="1" ht="9" customHeight="1" x14ac:dyDescent="0.25">
      <c r="A329" s="431" t="s">
        <v>50</v>
      </c>
      <c r="B329" s="427">
        <f t="shared" si="17"/>
        <v>123709</v>
      </c>
      <c r="C329" s="427"/>
      <c r="D329" s="427">
        <v>98854</v>
      </c>
      <c r="E329" s="432">
        <v>0</v>
      </c>
      <c r="F329" s="427">
        <v>19403</v>
      </c>
      <c r="G329" s="427">
        <v>5452</v>
      </c>
      <c r="H329" s="432">
        <v>0</v>
      </c>
      <c r="I329" s="432">
        <v>0</v>
      </c>
      <c r="J329" s="432">
        <v>0</v>
      </c>
      <c r="K329" s="432">
        <v>0</v>
      </c>
      <c r="L329" s="432">
        <v>0</v>
      </c>
    </row>
    <row r="330" spans="1:12" s="428" customFormat="1" ht="9" customHeight="1" x14ac:dyDescent="0.25">
      <c r="A330" s="431" t="s">
        <v>51</v>
      </c>
      <c r="B330" s="427">
        <f t="shared" si="17"/>
        <v>820916</v>
      </c>
      <c r="C330" s="427"/>
      <c r="D330" s="427">
        <v>477443</v>
      </c>
      <c r="E330" s="432">
        <v>159146</v>
      </c>
      <c r="F330" s="427">
        <v>134048</v>
      </c>
      <c r="G330" s="427">
        <v>33969</v>
      </c>
      <c r="H330" s="427">
        <v>12155</v>
      </c>
      <c r="I330" s="427">
        <v>3417</v>
      </c>
      <c r="J330" s="427">
        <v>738</v>
      </c>
      <c r="K330" s="432">
        <v>0</v>
      </c>
      <c r="L330" s="432">
        <v>0</v>
      </c>
    </row>
    <row r="331" spans="1:12" s="428" customFormat="1" ht="9" customHeight="1" x14ac:dyDescent="0.25">
      <c r="A331" s="431" t="s">
        <v>52</v>
      </c>
      <c r="B331" s="427">
        <f t="shared" si="17"/>
        <v>224213</v>
      </c>
      <c r="C331" s="427"/>
      <c r="D331" s="427">
        <v>128917</v>
      </c>
      <c r="E331" s="432">
        <v>36491</v>
      </c>
      <c r="F331" s="427">
        <v>51795</v>
      </c>
      <c r="G331" s="427">
        <v>6055</v>
      </c>
      <c r="H331" s="432">
        <v>0</v>
      </c>
      <c r="I331" s="427">
        <v>865</v>
      </c>
      <c r="J331" s="427">
        <v>90</v>
      </c>
      <c r="K331" s="432">
        <v>0</v>
      </c>
      <c r="L331" s="432">
        <v>0</v>
      </c>
    </row>
    <row r="332" spans="1:12" s="428" customFormat="1" ht="9" customHeight="1" x14ac:dyDescent="0.25">
      <c r="A332" s="433" t="s">
        <v>53</v>
      </c>
      <c r="B332" s="434">
        <f t="shared" si="17"/>
        <v>274250</v>
      </c>
      <c r="C332" s="434"/>
      <c r="D332" s="434">
        <v>162781</v>
      </c>
      <c r="E332" s="435">
        <v>35282</v>
      </c>
      <c r="F332" s="434">
        <v>54960</v>
      </c>
      <c r="G332" s="434">
        <v>20475</v>
      </c>
      <c r="H332" s="435">
        <v>0</v>
      </c>
      <c r="I332" s="435">
        <v>752</v>
      </c>
      <c r="J332" s="435">
        <v>0</v>
      </c>
      <c r="K332" s="435">
        <v>0</v>
      </c>
      <c r="L332" s="435">
        <v>0</v>
      </c>
    </row>
    <row r="333" spans="1:12" s="428" customFormat="1" ht="9" customHeight="1" x14ac:dyDescent="0.25">
      <c r="A333" s="431"/>
      <c r="B333" s="427"/>
      <c r="C333" s="427"/>
      <c r="D333" s="427"/>
      <c r="E333" s="432"/>
      <c r="F333" s="427"/>
      <c r="G333" s="427"/>
      <c r="H333" s="427"/>
      <c r="I333" s="427"/>
      <c r="J333" s="427"/>
      <c r="K333" s="432"/>
      <c r="L333" s="432"/>
    </row>
    <row r="334" spans="1:12" s="428" customFormat="1" ht="9" customHeight="1" x14ac:dyDescent="0.25">
      <c r="A334" s="439">
        <v>2004</v>
      </c>
      <c r="B334" s="440"/>
      <c r="C334" s="440"/>
      <c r="D334" s="440"/>
      <c r="E334" s="440"/>
      <c r="F334" s="440"/>
      <c r="G334" s="440"/>
      <c r="H334" s="440"/>
      <c r="I334" s="440"/>
      <c r="J334" s="440"/>
      <c r="K334" s="440"/>
      <c r="L334" s="440"/>
    </row>
    <row r="335" spans="1:12" s="428" customFormat="1" ht="9" customHeight="1" x14ac:dyDescent="0.25">
      <c r="A335" s="429" t="s">
        <v>21</v>
      </c>
      <c r="B335" s="430">
        <f t="shared" ref="B335:L335" si="18">SUM(B337:B368)</f>
        <v>13131185</v>
      </c>
      <c r="C335" s="430"/>
      <c r="D335" s="430">
        <f t="shared" si="18"/>
        <v>8373144</v>
      </c>
      <c r="E335" s="430">
        <f t="shared" si="18"/>
        <v>1244231</v>
      </c>
      <c r="F335" s="430">
        <f t="shared" si="18"/>
        <v>2336402</v>
      </c>
      <c r="G335" s="430">
        <f t="shared" si="18"/>
        <v>715933</v>
      </c>
      <c r="H335" s="430">
        <f t="shared" si="18"/>
        <v>36877</v>
      </c>
      <c r="I335" s="430">
        <f t="shared" si="18"/>
        <v>36137</v>
      </c>
      <c r="J335" s="430">
        <f t="shared" si="18"/>
        <v>6042</v>
      </c>
      <c r="K335" s="430">
        <f t="shared" si="18"/>
        <v>377445</v>
      </c>
      <c r="L335" s="430">
        <f t="shared" si="18"/>
        <v>4974</v>
      </c>
    </row>
    <row r="336" spans="1:12" s="428" customFormat="1" ht="3.95" customHeight="1" x14ac:dyDescent="0.25">
      <c r="A336" s="429"/>
      <c r="B336" s="430"/>
      <c r="C336" s="430"/>
      <c r="D336" s="430"/>
      <c r="E336" s="430"/>
      <c r="F336" s="430"/>
      <c r="G336" s="430"/>
      <c r="H336" s="430"/>
      <c r="I336" s="430"/>
      <c r="J336" s="430"/>
      <c r="K336" s="430"/>
      <c r="L336" s="430"/>
    </row>
    <row r="337" spans="1:12" s="428" customFormat="1" ht="9" customHeight="1" x14ac:dyDescent="0.25">
      <c r="A337" s="431" t="s">
        <v>23</v>
      </c>
      <c r="B337" s="427">
        <f t="shared" ref="B337:B368" si="19">SUM(D337:L337)</f>
        <v>142834</v>
      </c>
      <c r="C337" s="427"/>
      <c r="D337" s="427">
        <v>111114</v>
      </c>
      <c r="E337" s="432">
        <v>0</v>
      </c>
      <c r="F337" s="427">
        <v>25263</v>
      </c>
      <c r="G337" s="427">
        <v>6457</v>
      </c>
      <c r="H337" s="432">
        <v>0</v>
      </c>
      <c r="I337" s="432">
        <v>0</v>
      </c>
      <c r="J337" s="432">
        <v>0</v>
      </c>
      <c r="K337" s="432">
        <v>0</v>
      </c>
      <c r="L337" s="432">
        <v>0</v>
      </c>
    </row>
    <row r="338" spans="1:12" s="428" customFormat="1" ht="9" customHeight="1" x14ac:dyDescent="0.25">
      <c r="A338" s="431" t="s">
        <v>24</v>
      </c>
      <c r="B338" s="427">
        <f t="shared" si="19"/>
        <v>299577</v>
      </c>
      <c r="C338" s="427"/>
      <c r="D338" s="427">
        <v>105443</v>
      </c>
      <c r="E338" s="432">
        <v>15866</v>
      </c>
      <c r="F338" s="427">
        <v>162070</v>
      </c>
      <c r="G338" s="427">
        <v>12531</v>
      </c>
      <c r="H338" s="432">
        <v>0</v>
      </c>
      <c r="I338" s="432">
        <v>399</v>
      </c>
      <c r="J338" s="432">
        <v>198</v>
      </c>
      <c r="K338" s="427">
        <v>3070</v>
      </c>
      <c r="L338" s="432">
        <v>0</v>
      </c>
    </row>
    <row r="339" spans="1:12" s="428" customFormat="1" ht="9" customHeight="1" x14ac:dyDescent="0.25">
      <c r="A339" s="431" t="s">
        <v>25</v>
      </c>
      <c r="B339" s="427">
        <f t="shared" si="19"/>
        <v>66353</v>
      </c>
      <c r="C339" s="427"/>
      <c r="D339" s="427">
        <v>38151</v>
      </c>
      <c r="E339" s="432">
        <v>0</v>
      </c>
      <c r="F339" s="427">
        <v>22434</v>
      </c>
      <c r="G339" s="427">
        <v>4611</v>
      </c>
      <c r="H339" s="432">
        <v>0</v>
      </c>
      <c r="I339" s="427">
        <v>702</v>
      </c>
      <c r="J339" s="427">
        <v>455</v>
      </c>
      <c r="K339" s="432">
        <v>0</v>
      </c>
      <c r="L339" s="432">
        <v>0</v>
      </c>
    </row>
    <row r="340" spans="1:12" s="428" customFormat="1" ht="9" customHeight="1" x14ac:dyDescent="0.25">
      <c r="A340" s="433" t="s">
        <v>26</v>
      </c>
      <c r="B340" s="434">
        <f t="shared" si="19"/>
        <v>149207</v>
      </c>
      <c r="C340" s="434"/>
      <c r="D340" s="434">
        <v>75835</v>
      </c>
      <c r="E340" s="435">
        <v>20137</v>
      </c>
      <c r="F340" s="434">
        <v>41041</v>
      </c>
      <c r="G340" s="434">
        <v>10188</v>
      </c>
      <c r="H340" s="434">
        <v>1646</v>
      </c>
      <c r="I340" s="434">
        <v>0</v>
      </c>
      <c r="J340" s="434">
        <v>360</v>
      </c>
      <c r="K340" s="435">
        <v>0</v>
      </c>
      <c r="L340" s="435">
        <v>0</v>
      </c>
    </row>
    <row r="341" spans="1:12" s="428" customFormat="1" ht="9" customHeight="1" x14ac:dyDescent="0.25">
      <c r="A341" s="431" t="s">
        <v>27</v>
      </c>
      <c r="B341" s="427">
        <f t="shared" si="19"/>
        <v>291077</v>
      </c>
      <c r="C341" s="427"/>
      <c r="D341" s="427">
        <v>169766</v>
      </c>
      <c r="E341" s="432">
        <v>28248</v>
      </c>
      <c r="F341" s="427">
        <v>78276</v>
      </c>
      <c r="G341" s="427">
        <v>13894</v>
      </c>
      <c r="H341" s="432">
        <v>0</v>
      </c>
      <c r="I341" s="432">
        <v>893</v>
      </c>
      <c r="J341" s="432">
        <v>0</v>
      </c>
      <c r="K341" s="432">
        <v>0</v>
      </c>
      <c r="L341" s="427">
        <v>0</v>
      </c>
    </row>
    <row r="342" spans="1:12" s="428" customFormat="1" ht="9" customHeight="1" x14ac:dyDescent="0.25">
      <c r="A342" s="431" t="s">
        <v>28</v>
      </c>
      <c r="B342" s="427">
        <f t="shared" si="19"/>
        <v>85383</v>
      </c>
      <c r="C342" s="427"/>
      <c r="D342" s="427">
        <v>59059</v>
      </c>
      <c r="E342" s="432">
        <v>0</v>
      </c>
      <c r="F342" s="427">
        <v>20600</v>
      </c>
      <c r="G342" s="427">
        <v>5311</v>
      </c>
      <c r="H342" s="432">
        <v>0</v>
      </c>
      <c r="I342" s="427">
        <v>0</v>
      </c>
      <c r="J342" s="427">
        <v>413</v>
      </c>
      <c r="K342" s="432">
        <v>0</v>
      </c>
      <c r="L342" s="432">
        <v>0</v>
      </c>
    </row>
    <row r="343" spans="1:12" s="428" customFormat="1" ht="9" customHeight="1" x14ac:dyDescent="0.25">
      <c r="A343" s="431" t="s">
        <v>29</v>
      </c>
      <c r="B343" s="427">
        <f t="shared" si="19"/>
        <v>627355</v>
      </c>
      <c r="C343" s="427"/>
      <c r="D343" s="427">
        <v>366074</v>
      </c>
      <c r="E343" s="432">
        <v>196647</v>
      </c>
      <c r="F343" s="427">
        <v>47509</v>
      </c>
      <c r="G343" s="427">
        <v>13558</v>
      </c>
      <c r="H343" s="427">
        <v>428</v>
      </c>
      <c r="I343" s="427">
        <v>828</v>
      </c>
      <c r="J343" s="427">
        <v>21</v>
      </c>
      <c r="K343" s="427">
        <v>2290</v>
      </c>
      <c r="L343" s="432">
        <v>0</v>
      </c>
    </row>
    <row r="344" spans="1:12" s="428" customFormat="1" ht="9" customHeight="1" x14ac:dyDescent="0.25">
      <c r="A344" s="433" t="s">
        <v>30</v>
      </c>
      <c r="B344" s="434">
        <f t="shared" si="19"/>
        <v>338066</v>
      </c>
      <c r="C344" s="434"/>
      <c r="D344" s="434">
        <v>187991</v>
      </c>
      <c r="E344" s="435">
        <v>39457</v>
      </c>
      <c r="F344" s="434">
        <v>94711</v>
      </c>
      <c r="G344" s="434">
        <v>10233</v>
      </c>
      <c r="H344" s="434">
        <v>412</v>
      </c>
      <c r="I344" s="435">
        <v>5262</v>
      </c>
      <c r="J344" s="435">
        <v>0</v>
      </c>
      <c r="K344" s="435">
        <v>0</v>
      </c>
      <c r="L344" s="435">
        <v>0</v>
      </c>
    </row>
    <row r="345" spans="1:12" s="428" customFormat="1" ht="9" customHeight="1" x14ac:dyDescent="0.25">
      <c r="A345" s="431" t="s">
        <v>63</v>
      </c>
      <c r="B345" s="427">
        <f t="shared" si="19"/>
        <v>545805</v>
      </c>
      <c r="C345" s="427"/>
      <c r="D345" s="427">
        <v>173543</v>
      </c>
      <c r="E345" s="432">
        <v>1084</v>
      </c>
      <c r="F345" s="427">
        <v>134864</v>
      </c>
      <c r="G345" s="427">
        <v>220384</v>
      </c>
      <c r="H345" s="427">
        <v>1216</v>
      </c>
      <c r="I345" s="427">
        <v>10581</v>
      </c>
      <c r="J345" s="427">
        <v>712</v>
      </c>
      <c r="K345" s="427">
        <v>3421</v>
      </c>
      <c r="L345" s="432">
        <v>0</v>
      </c>
    </row>
    <row r="346" spans="1:12" s="428" customFormat="1" ht="9" customHeight="1" x14ac:dyDescent="0.25">
      <c r="A346" s="431" t="s">
        <v>31</v>
      </c>
      <c r="B346" s="427">
        <f t="shared" si="19"/>
        <v>252611</v>
      </c>
      <c r="C346" s="427"/>
      <c r="D346" s="427">
        <v>131253</v>
      </c>
      <c r="E346" s="432">
        <v>49228</v>
      </c>
      <c r="F346" s="427">
        <v>61012</v>
      </c>
      <c r="G346" s="427">
        <v>10905</v>
      </c>
      <c r="H346" s="432">
        <v>0</v>
      </c>
      <c r="I346" s="432">
        <v>213</v>
      </c>
      <c r="J346" s="432">
        <v>0</v>
      </c>
      <c r="K346" s="432">
        <v>0</v>
      </c>
      <c r="L346" s="432">
        <v>0</v>
      </c>
    </row>
    <row r="347" spans="1:12" s="428" customFormat="1" ht="9" customHeight="1" x14ac:dyDescent="0.25">
      <c r="A347" s="431" t="s">
        <v>32</v>
      </c>
      <c r="B347" s="427">
        <f t="shared" si="19"/>
        <v>451976</v>
      </c>
      <c r="C347" s="427"/>
      <c r="D347" s="427">
        <v>346762</v>
      </c>
      <c r="E347" s="432">
        <v>0</v>
      </c>
      <c r="F347" s="427">
        <v>82474</v>
      </c>
      <c r="G347" s="427">
        <v>20049</v>
      </c>
      <c r="H347" s="427">
        <v>1266</v>
      </c>
      <c r="I347" s="432">
        <v>1425</v>
      </c>
      <c r="J347" s="432">
        <v>0</v>
      </c>
      <c r="K347" s="432">
        <v>0</v>
      </c>
      <c r="L347" s="432">
        <v>0</v>
      </c>
    </row>
    <row r="348" spans="1:12" s="428" customFormat="1" ht="9" customHeight="1" x14ac:dyDescent="0.25">
      <c r="A348" s="433" t="s">
        <v>33</v>
      </c>
      <c r="B348" s="434">
        <f t="shared" si="19"/>
        <v>741745</v>
      </c>
      <c r="C348" s="434"/>
      <c r="D348" s="434">
        <v>659289</v>
      </c>
      <c r="E348" s="435">
        <v>0</v>
      </c>
      <c r="F348" s="434">
        <v>52726</v>
      </c>
      <c r="G348" s="434">
        <v>27891</v>
      </c>
      <c r="H348" s="435">
        <v>0</v>
      </c>
      <c r="I348" s="434">
        <v>1503</v>
      </c>
      <c r="J348" s="434">
        <v>336</v>
      </c>
      <c r="K348" s="435">
        <v>0</v>
      </c>
      <c r="L348" s="435">
        <v>0</v>
      </c>
    </row>
    <row r="349" spans="1:12" s="428" customFormat="1" ht="9" customHeight="1" x14ac:dyDescent="0.25">
      <c r="A349" s="431" t="s">
        <v>34</v>
      </c>
      <c r="B349" s="427">
        <f t="shared" si="19"/>
        <v>387097</v>
      </c>
      <c r="C349" s="427"/>
      <c r="D349" s="427">
        <v>241693</v>
      </c>
      <c r="E349" s="432">
        <v>63564</v>
      </c>
      <c r="F349" s="427">
        <v>58724</v>
      </c>
      <c r="G349" s="427">
        <v>20976</v>
      </c>
      <c r="H349" s="427">
        <v>2140</v>
      </c>
      <c r="I349" s="432">
        <v>0</v>
      </c>
      <c r="J349" s="432">
        <v>0</v>
      </c>
      <c r="K349" s="432">
        <v>0</v>
      </c>
      <c r="L349" s="432">
        <v>0</v>
      </c>
    </row>
    <row r="350" spans="1:12" s="428" customFormat="1" ht="9" customHeight="1" x14ac:dyDescent="0.25">
      <c r="A350" s="431" t="s">
        <v>35</v>
      </c>
      <c r="B350" s="427">
        <f t="shared" si="19"/>
        <v>574929</v>
      </c>
      <c r="C350" s="427"/>
      <c r="D350" s="427">
        <v>454083</v>
      </c>
      <c r="E350" s="432">
        <v>0</v>
      </c>
      <c r="F350" s="427">
        <v>96196</v>
      </c>
      <c r="G350" s="427">
        <v>22802</v>
      </c>
      <c r="H350" s="427">
        <v>451</v>
      </c>
      <c r="I350" s="427">
        <v>1345</v>
      </c>
      <c r="J350" s="427">
        <v>52</v>
      </c>
      <c r="K350" s="432">
        <v>0</v>
      </c>
      <c r="L350" s="432">
        <v>0</v>
      </c>
    </row>
    <row r="351" spans="1:12" s="428" customFormat="1" ht="9" customHeight="1" x14ac:dyDescent="0.25">
      <c r="A351" s="431" t="s">
        <v>36</v>
      </c>
      <c r="B351" s="427">
        <f t="shared" si="19"/>
        <v>1917042</v>
      </c>
      <c r="C351" s="427"/>
      <c r="D351" s="427">
        <v>1666429</v>
      </c>
      <c r="E351" s="432">
        <v>0</v>
      </c>
      <c r="F351" s="427">
        <v>192710</v>
      </c>
      <c r="G351" s="427">
        <v>32591</v>
      </c>
      <c r="H351" s="427">
        <v>58</v>
      </c>
      <c r="I351" s="432">
        <v>3476</v>
      </c>
      <c r="J351" s="432">
        <v>0</v>
      </c>
      <c r="K351" s="427">
        <v>21778</v>
      </c>
      <c r="L351" s="432">
        <v>0</v>
      </c>
    </row>
    <row r="352" spans="1:12" s="428" customFormat="1" ht="9" customHeight="1" x14ac:dyDescent="0.25">
      <c r="A352" s="433" t="s">
        <v>37</v>
      </c>
      <c r="B352" s="434">
        <f t="shared" si="19"/>
        <v>520789</v>
      </c>
      <c r="C352" s="434"/>
      <c r="D352" s="434">
        <v>332621</v>
      </c>
      <c r="E352" s="435">
        <v>83493</v>
      </c>
      <c r="F352" s="434">
        <v>83574</v>
      </c>
      <c r="G352" s="434">
        <v>20016</v>
      </c>
      <c r="H352" s="435">
        <v>0</v>
      </c>
      <c r="I352" s="434">
        <v>0</v>
      </c>
      <c r="J352" s="434">
        <v>1085</v>
      </c>
      <c r="K352" s="435">
        <v>0</v>
      </c>
      <c r="L352" s="435">
        <v>0</v>
      </c>
    </row>
    <row r="353" spans="1:12" s="428" customFormat="1" ht="9" customHeight="1" x14ac:dyDescent="0.25">
      <c r="A353" s="431" t="s">
        <v>38</v>
      </c>
      <c r="B353" s="427">
        <f t="shared" si="19"/>
        <v>302311</v>
      </c>
      <c r="C353" s="427"/>
      <c r="D353" s="427">
        <v>139739</v>
      </c>
      <c r="E353" s="432">
        <v>0</v>
      </c>
      <c r="F353" s="427">
        <v>133318</v>
      </c>
      <c r="G353" s="427">
        <v>28998</v>
      </c>
      <c r="H353" s="432">
        <v>0</v>
      </c>
      <c r="I353" s="432">
        <v>256</v>
      </c>
      <c r="J353" s="432">
        <v>0</v>
      </c>
      <c r="K353" s="432">
        <v>0</v>
      </c>
      <c r="L353" s="432">
        <v>0</v>
      </c>
    </row>
    <row r="354" spans="1:12" s="428" customFormat="1" ht="9" customHeight="1" x14ac:dyDescent="0.25">
      <c r="A354" s="431" t="s">
        <v>39</v>
      </c>
      <c r="B354" s="427">
        <f t="shared" si="19"/>
        <v>212496</v>
      </c>
      <c r="C354" s="427"/>
      <c r="D354" s="427">
        <v>147625</v>
      </c>
      <c r="E354" s="432">
        <v>16305</v>
      </c>
      <c r="F354" s="427">
        <v>37634</v>
      </c>
      <c r="G354" s="427">
        <v>10882</v>
      </c>
      <c r="H354" s="432">
        <v>0</v>
      </c>
      <c r="I354" s="432">
        <v>0</v>
      </c>
      <c r="J354" s="432">
        <v>50</v>
      </c>
      <c r="K354" s="432">
        <v>0</v>
      </c>
      <c r="L354" s="432">
        <v>0</v>
      </c>
    </row>
    <row r="355" spans="1:12" s="428" customFormat="1" ht="9" customHeight="1" x14ac:dyDescent="0.25">
      <c r="A355" s="431" t="s">
        <v>40</v>
      </c>
      <c r="B355" s="427">
        <f t="shared" si="19"/>
        <v>341216</v>
      </c>
      <c r="C355" s="427"/>
      <c r="D355" s="427">
        <v>227838</v>
      </c>
      <c r="E355" s="432">
        <v>0</v>
      </c>
      <c r="F355" s="427">
        <v>93216</v>
      </c>
      <c r="G355" s="427">
        <v>15551</v>
      </c>
      <c r="H355" s="432">
        <v>1347</v>
      </c>
      <c r="I355" s="432">
        <v>209</v>
      </c>
      <c r="J355" s="432">
        <v>0</v>
      </c>
      <c r="K355" s="427">
        <v>0</v>
      </c>
      <c r="L355" s="432">
        <v>3055</v>
      </c>
    </row>
    <row r="356" spans="1:12" s="428" customFormat="1" ht="9" customHeight="1" x14ac:dyDescent="0.25">
      <c r="A356" s="433" t="s">
        <v>41</v>
      </c>
      <c r="B356" s="434">
        <f t="shared" si="19"/>
        <v>427765</v>
      </c>
      <c r="C356" s="434"/>
      <c r="D356" s="434">
        <v>263515</v>
      </c>
      <c r="E356" s="435">
        <v>115437</v>
      </c>
      <c r="F356" s="434">
        <v>27687</v>
      </c>
      <c r="G356" s="434">
        <v>17855</v>
      </c>
      <c r="H356" s="434">
        <v>812</v>
      </c>
      <c r="I356" s="434">
        <v>2012</v>
      </c>
      <c r="J356" s="434">
        <v>447</v>
      </c>
      <c r="K356" s="435">
        <v>0</v>
      </c>
      <c r="L356" s="435">
        <v>0</v>
      </c>
    </row>
    <row r="357" spans="1:12" s="428" customFormat="1" ht="9" customHeight="1" x14ac:dyDescent="0.25">
      <c r="A357" s="431" t="s">
        <v>42</v>
      </c>
      <c r="B357" s="427">
        <f t="shared" si="19"/>
        <v>757961</v>
      </c>
      <c r="C357" s="427"/>
      <c r="D357" s="427">
        <v>498592</v>
      </c>
      <c r="E357" s="432">
        <v>159513</v>
      </c>
      <c r="F357" s="427">
        <v>43886</v>
      </c>
      <c r="G357" s="427">
        <v>33873</v>
      </c>
      <c r="H357" s="427">
        <v>552</v>
      </c>
      <c r="I357" s="432">
        <v>325</v>
      </c>
      <c r="J357" s="432">
        <v>0</v>
      </c>
      <c r="K357" s="427">
        <v>21220</v>
      </c>
      <c r="L357" s="432">
        <v>0</v>
      </c>
    </row>
    <row r="358" spans="1:12" s="428" customFormat="1" ht="9" customHeight="1" x14ac:dyDescent="0.25">
      <c r="A358" s="431" t="s">
        <v>43</v>
      </c>
      <c r="B358" s="427">
        <f t="shared" si="19"/>
        <v>183452</v>
      </c>
      <c r="C358" s="427"/>
      <c r="D358" s="427">
        <v>110310</v>
      </c>
      <c r="E358" s="432">
        <v>0</v>
      </c>
      <c r="F358" s="427">
        <v>70381</v>
      </c>
      <c r="G358" s="427">
        <v>2761</v>
      </c>
      <c r="H358" s="432">
        <v>0</v>
      </c>
      <c r="I358" s="432">
        <v>0</v>
      </c>
      <c r="J358" s="432">
        <v>0</v>
      </c>
      <c r="K358" s="432">
        <v>0</v>
      </c>
      <c r="L358" s="432">
        <v>0</v>
      </c>
    </row>
    <row r="359" spans="1:12" s="428" customFormat="1" ht="9" customHeight="1" x14ac:dyDescent="0.25">
      <c r="A359" s="431" t="s">
        <v>44</v>
      </c>
      <c r="B359" s="427">
        <f t="shared" si="19"/>
        <v>154607</v>
      </c>
      <c r="C359" s="427"/>
      <c r="D359" s="427">
        <v>106923</v>
      </c>
      <c r="E359" s="432">
        <v>0</v>
      </c>
      <c r="F359" s="427">
        <v>37189</v>
      </c>
      <c r="G359" s="427">
        <v>9391</v>
      </c>
      <c r="H359" s="432">
        <v>0</v>
      </c>
      <c r="I359" s="427">
        <v>879</v>
      </c>
      <c r="J359" s="427">
        <v>225</v>
      </c>
      <c r="K359" s="432">
        <v>0</v>
      </c>
      <c r="L359" s="432">
        <v>0</v>
      </c>
    </row>
    <row r="360" spans="1:12" s="428" customFormat="1" ht="9" customHeight="1" x14ac:dyDescent="0.25">
      <c r="A360" s="433" t="s">
        <v>45</v>
      </c>
      <c r="B360" s="434">
        <f t="shared" si="19"/>
        <v>314223</v>
      </c>
      <c r="C360" s="434"/>
      <c r="D360" s="434">
        <v>180717</v>
      </c>
      <c r="E360" s="435">
        <v>75735</v>
      </c>
      <c r="F360" s="434">
        <v>38880</v>
      </c>
      <c r="G360" s="434">
        <v>17382</v>
      </c>
      <c r="H360" s="434">
        <v>1106</v>
      </c>
      <c r="I360" s="435">
        <v>403</v>
      </c>
      <c r="J360" s="435">
        <v>0</v>
      </c>
      <c r="K360" s="435">
        <v>0</v>
      </c>
      <c r="L360" s="435">
        <v>0</v>
      </c>
    </row>
    <row r="361" spans="1:12" s="428" customFormat="1" ht="9" customHeight="1" x14ac:dyDescent="0.25">
      <c r="A361" s="431" t="s">
        <v>46</v>
      </c>
      <c r="B361" s="427">
        <f t="shared" si="19"/>
        <v>318836</v>
      </c>
      <c r="C361" s="427"/>
      <c r="D361" s="427">
        <v>121589</v>
      </c>
      <c r="E361" s="432">
        <v>49932</v>
      </c>
      <c r="F361" s="427">
        <v>117654</v>
      </c>
      <c r="G361" s="427">
        <v>28439</v>
      </c>
      <c r="H361" s="427">
        <v>0</v>
      </c>
      <c r="I361" s="427">
        <v>952</v>
      </c>
      <c r="J361" s="427">
        <v>270</v>
      </c>
      <c r="K361" s="432">
        <v>0</v>
      </c>
      <c r="L361" s="432">
        <v>0</v>
      </c>
    </row>
    <row r="362" spans="1:12" s="428" customFormat="1" ht="9" customHeight="1" x14ac:dyDescent="0.25">
      <c r="A362" s="431" t="s">
        <v>47</v>
      </c>
      <c r="B362" s="427">
        <f t="shared" si="19"/>
        <v>572760</v>
      </c>
      <c r="C362" s="427"/>
      <c r="D362" s="427">
        <v>146559</v>
      </c>
      <c r="E362" s="432">
        <v>0</v>
      </c>
      <c r="F362" s="427">
        <v>94437</v>
      </c>
      <c r="G362" s="427">
        <v>11324</v>
      </c>
      <c r="H362" s="432">
        <v>0</v>
      </c>
      <c r="I362" s="427">
        <v>279</v>
      </c>
      <c r="J362" s="427">
        <v>18</v>
      </c>
      <c r="K362" s="432">
        <v>320143</v>
      </c>
      <c r="L362" s="432">
        <v>0</v>
      </c>
    </row>
    <row r="363" spans="1:12" s="428" customFormat="1" ht="9" customHeight="1" x14ac:dyDescent="0.25">
      <c r="A363" s="431" t="s">
        <v>48</v>
      </c>
      <c r="B363" s="427">
        <f t="shared" si="19"/>
        <v>369518</v>
      </c>
      <c r="C363" s="427"/>
      <c r="D363" s="427">
        <v>277054</v>
      </c>
      <c r="E363" s="432">
        <v>0</v>
      </c>
      <c r="F363" s="427">
        <v>72714</v>
      </c>
      <c r="G363" s="427">
        <v>6209</v>
      </c>
      <c r="H363" s="427">
        <v>7586</v>
      </c>
      <c r="I363" s="432">
        <v>304</v>
      </c>
      <c r="J363" s="427">
        <v>128</v>
      </c>
      <c r="K363" s="427">
        <v>5523</v>
      </c>
      <c r="L363" s="432">
        <v>0</v>
      </c>
    </row>
    <row r="364" spans="1:12" s="428" customFormat="1" ht="9" customHeight="1" x14ac:dyDescent="0.25">
      <c r="A364" s="433" t="s">
        <v>49</v>
      </c>
      <c r="B364" s="434">
        <f t="shared" si="19"/>
        <v>236038</v>
      </c>
      <c r="C364" s="434"/>
      <c r="D364" s="434">
        <v>116680</v>
      </c>
      <c r="E364" s="435">
        <v>29926</v>
      </c>
      <c r="F364" s="434">
        <v>68403</v>
      </c>
      <c r="G364" s="434">
        <v>15720</v>
      </c>
      <c r="H364" s="434">
        <v>4796</v>
      </c>
      <c r="I364" s="434">
        <v>106</v>
      </c>
      <c r="J364" s="434">
        <v>407</v>
      </c>
      <c r="K364" s="435">
        <v>0</v>
      </c>
      <c r="L364" s="435">
        <v>0</v>
      </c>
    </row>
    <row r="365" spans="1:12" s="428" customFormat="1" ht="9" customHeight="1" x14ac:dyDescent="0.25">
      <c r="A365" s="431" t="s">
        <v>50</v>
      </c>
      <c r="B365" s="427">
        <f t="shared" si="19"/>
        <v>113773</v>
      </c>
      <c r="C365" s="427"/>
      <c r="D365" s="427">
        <v>98630</v>
      </c>
      <c r="E365" s="432">
        <v>0</v>
      </c>
      <c r="F365" s="427">
        <v>9639</v>
      </c>
      <c r="G365" s="427">
        <v>5504</v>
      </c>
      <c r="H365" s="432">
        <v>0</v>
      </c>
      <c r="I365" s="432">
        <v>0</v>
      </c>
      <c r="J365" s="432">
        <v>0</v>
      </c>
      <c r="K365" s="432">
        <v>0</v>
      </c>
      <c r="L365" s="432">
        <v>0</v>
      </c>
    </row>
    <row r="366" spans="1:12" s="428" customFormat="1" ht="9" customHeight="1" x14ac:dyDescent="0.25">
      <c r="A366" s="431" t="s">
        <v>51</v>
      </c>
      <c r="B366" s="427">
        <f t="shared" si="19"/>
        <v>921514</v>
      </c>
      <c r="C366" s="427"/>
      <c r="D366" s="427">
        <v>521633</v>
      </c>
      <c r="E366" s="432">
        <v>210794</v>
      </c>
      <c r="F366" s="427">
        <v>135688</v>
      </c>
      <c r="G366" s="427">
        <v>34547</v>
      </c>
      <c r="H366" s="427">
        <v>13061</v>
      </c>
      <c r="I366" s="427">
        <v>3102</v>
      </c>
      <c r="J366" s="427">
        <v>770</v>
      </c>
      <c r="K366" s="432">
        <v>0</v>
      </c>
      <c r="L366" s="432">
        <v>1919</v>
      </c>
    </row>
    <row r="367" spans="1:12" s="428" customFormat="1" ht="9" customHeight="1" x14ac:dyDescent="0.25">
      <c r="A367" s="431" t="s">
        <v>52</v>
      </c>
      <c r="B367" s="427">
        <f t="shared" si="19"/>
        <v>230665</v>
      </c>
      <c r="C367" s="427"/>
      <c r="D367" s="427">
        <v>133116</v>
      </c>
      <c r="E367" s="432">
        <v>42736</v>
      </c>
      <c r="F367" s="427">
        <v>47978</v>
      </c>
      <c r="G367" s="427">
        <v>6515</v>
      </c>
      <c r="H367" s="432">
        <v>0</v>
      </c>
      <c r="I367" s="427">
        <v>225</v>
      </c>
      <c r="J367" s="427">
        <v>95</v>
      </c>
      <c r="K367" s="432">
        <v>0</v>
      </c>
      <c r="L367" s="432">
        <v>0</v>
      </c>
    </row>
    <row r="368" spans="1:12" s="428" customFormat="1" ht="9" customHeight="1" x14ac:dyDescent="0.25">
      <c r="A368" s="433" t="s">
        <v>53</v>
      </c>
      <c r="B368" s="434">
        <f t="shared" si="19"/>
        <v>282204</v>
      </c>
      <c r="C368" s="434"/>
      <c r="D368" s="434">
        <v>163518</v>
      </c>
      <c r="E368" s="435">
        <v>46129</v>
      </c>
      <c r="F368" s="434">
        <v>53514</v>
      </c>
      <c r="G368" s="434">
        <v>18585</v>
      </c>
      <c r="H368" s="435">
        <v>0</v>
      </c>
      <c r="I368" s="435">
        <v>458</v>
      </c>
      <c r="J368" s="435">
        <v>0</v>
      </c>
      <c r="K368" s="435">
        <v>0</v>
      </c>
      <c r="L368" s="435">
        <v>0</v>
      </c>
    </row>
    <row r="369" spans="1:12" s="428" customFormat="1" ht="9" customHeight="1" x14ac:dyDescent="0.25">
      <c r="A369" s="431"/>
      <c r="B369" s="427"/>
      <c r="C369" s="427"/>
      <c r="D369" s="427"/>
      <c r="E369" s="432"/>
      <c r="F369" s="427"/>
      <c r="G369" s="427"/>
      <c r="H369" s="427"/>
      <c r="I369" s="427"/>
      <c r="J369" s="427"/>
      <c r="K369" s="432"/>
      <c r="L369" s="432"/>
    </row>
    <row r="370" spans="1:12" s="428" customFormat="1" ht="9" customHeight="1" x14ac:dyDescent="0.25">
      <c r="A370" s="441">
        <v>2005</v>
      </c>
      <c r="B370" s="440"/>
      <c r="C370" s="440"/>
      <c r="D370" s="440"/>
      <c r="E370" s="440"/>
      <c r="F370" s="440"/>
      <c r="G370" s="440"/>
      <c r="H370" s="440"/>
      <c r="I370" s="440"/>
      <c r="J370" s="440"/>
      <c r="K370" s="440"/>
      <c r="L370" s="440"/>
    </row>
    <row r="371" spans="1:12" s="428" customFormat="1" ht="9" customHeight="1" x14ac:dyDescent="0.25">
      <c r="A371" s="429" t="s">
        <v>21</v>
      </c>
      <c r="B371" s="430">
        <f>SUM(B373:B404)</f>
        <v>12387385</v>
      </c>
      <c r="C371" s="430"/>
      <c r="D371" s="430">
        <f>SUM(D373:D404)</f>
        <v>8240180</v>
      </c>
      <c r="E371" s="430">
        <f>SUM(E373:E404)</f>
        <v>1293609</v>
      </c>
      <c r="F371" s="430">
        <f>SUM(F373:F404)</f>
        <v>2059825</v>
      </c>
      <c r="G371" s="430">
        <f>SUM(G373:G404)</f>
        <v>695627</v>
      </c>
      <c r="H371" s="430">
        <f>SUM(H373:H404)</f>
        <v>37017</v>
      </c>
      <c r="I371" s="442" t="s">
        <v>22</v>
      </c>
      <c r="J371" s="430">
        <f>SUM(J373:J404)</f>
        <v>6282</v>
      </c>
      <c r="K371" s="430">
        <f>SUM(K373:K404)</f>
        <v>48660</v>
      </c>
      <c r="L371" s="430">
        <f>SUM(L373:L404)</f>
        <v>6185</v>
      </c>
    </row>
    <row r="372" spans="1:12" s="428" customFormat="1" ht="3.95" customHeight="1" x14ac:dyDescent="0.25">
      <c r="A372" s="429"/>
      <c r="B372" s="430"/>
      <c r="C372" s="430"/>
      <c r="D372" s="430"/>
      <c r="E372" s="430"/>
      <c r="F372" s="430"/>
      <c r="G372" s="430"/>
      <c r="H372" s="430"/>
      <c r="I372" s="430"/>
      <c r="J372" s="430"/>
      <c r="K372" s="430"/>
      <c r="L372" s="430"/>
    </row>
    <row r="373" spans="1:12" s="428" customFormat="1" ht="9" customHeight="1" x14ac:dyDescent="0.25">
      <c r="A373" s="431" t="s">
        <v>23</v>
      </c>
      <c r="B373" s="427">
        <f t="shared" ref="B373:B404" si="20">SUM(D373:L373)</f>
        <v>153960</v>
      </c>
      <c r="C373" s="427"/>
      <c r="D373" s="427">
        <v>120794</v>
      </c>
      <c r="E373" s="432">
        <v>0</v>
      </c>
      <c r="F373" s="427">
        <v>25623</v>
      </c>
      <c r="G373" s="427">
        <v>7543</v>
      </c>
      <c r="H373" s="432">
        <v>0</v>
      </c>
      <c r="I373" s="432" t="s">
        <v>22</v>
      </c>
      <c r="J373" s="432">
        <v>0</v>
      </c>
      <c r="K373" s="432">
        <v>0</v>
      </c>
      <c r="L373" s="432" t="s">
        <v>22</v>
      </c>
    </row>
    <row r="374" spans="1:12" s="428" customFormat="1" ht="9" customHeight="1" x14ac:dyDescent="0.25">
      <c r="A374" s="431" t="s">
        <v>24</v>
      </c>
      <c r="B374" s="427">
        <f t="shared" si="20"/>
        <v>274316</v>
      </c>
      <c r="C374" s="427"/>
      <c r="D374" s="427">
        <v>104918</v>
      </c>
      <c r="E374" s="432">
        <v>11775</v>
      </c>
      <c r="F374" s="427">
        <v>135873</v>
      </c>
      <c r="G374" s="427">
        <v>13069</v>
      </c>
      <c r="H374" s="432">
        <v>0</v>
      </c>
      <c r="I374" s="432" t="s">
        <v>22</v>
      </c>
      <c r="J374" s="432">
        <v>206</v>
      </c>
      <c r="K374" s="427">
        <v>8475</v>
      </c>
      <c r="L374" s="432">
        <v>0</v>
      </c>
    </row>
    <row r="375" spans="1:12" s="428" customFormat="1" ht="9" customHeight="1" x14ac:dyDescent="0.25">
      <c r="A375" s="431" t="s">
        <v>25</v>
      </c>
      <c r="B375" s="427">
        <f t="shared" si="20"/>
        <v>59494</v>
      </c>
      <c r="C375" s="427"/>
      <c r="D375" s="427">
        <v>39896</v>
      </c>
      <c r="E375" s="432">
        <v>0</v>
      </c>
      <c r="F375" s="427">
        <v>14991</v>
      </c>
      <c r="G375" s="427">
        <v>4134</v>
      </c>
      <c r="H375" s="432">
        <v>0</v>
      </c>
      <c r="I375" s="432" t="s">
        <v>22</v>
      </c>
      <c r="J375" s="427">
        <v>473</v>
      </c>
      <c r="K375" s="432">
        <v>0</v>
      </c>
      <c r="L375" s="432">
        <v>0</v>
      </c>
    </row>
    <row r="376" spans="1:12" s="428" customFormat="1" ht="9" customHeight="1" x14ac:dyDescent="0.25">
      <c r="A376" s="433" t="s">
        <v>26</v>
      </c>
      <c r="B376" s="434">
        <f t="shared" si="20"/>
        <v>156568</v>
      </c>
      <c r="C376" s="434"/>
      <c r="D376" s="434">
        <v>72708</v>
      </c>
      <c r="E376" s="435">
        <v>24613</v>
      </c>
      <c r="F376" s="434">
        <v>46918</v>
      </c>
      <c r="G376" s="434">
        <v>10737</v>
      </c>
      <c r="H376" s="434">
        <v>1216</v>
      </c>
      <c r="I376" s="435" t="s">
        <v>22</v>
      </c>
      <c r="J376" s="434">
        <v>376</v>
      </c>
      <c r="K376" s="435">
        <v>0</v>
      </c>
      <c r="L376" s="435">
        <v>0</v>
      </c>
    </row>
    <row r="377" spans="1:12" s="428" customFormat="1" ht="9" customHeight="1" x14ac:dyDescent="0.25">
      <c r="A377" s="431" t="s">
        <v>27</v>
      </c>
      <c r="B377" s="427">
        <f t="shared" si="20"/>
        <v>284182</v>
      </c>
      <c r="C377" s="427"/>
      <c r="D377" s="427">
        <v>168810</v>
      </c>
      <c r="E377" s="432">
        <v>29924</v>
      </c>
      <c r="F377" s="427">
        <v>72754</v>
      </c>
      <c r="G377" s="427">
        <v>12654</v>
      </c>
      <c r="H377" s="432">
        <v>0</v>
      </c>
      <c r="I377" s="432" t="s">
        <v>22</v>
      </c>
      <c r="J377" s="432">
        <v>0</v>
      </c>
      <c r="K377" s="432">
        <v>0</v>
      </c>
      <c r="L377" s="427">
        <v>40</v>
      </c>
    </row>
    <row r="378" spans="1:12" s="428" customFormat="1" ht="9" customHeight="1" x14ac:dyDescent="0.25">
      <c r="A378" s="431" t="s">
        <v>28</v>
      </c>
      <c r="B378" s="427">
        <f t="shared" si="20"/>
        <v>84566</v>
      </c>
      <c r="C378" s="427"/>
      <c r="D378" s="427">
        <v>58471</v>
      </c>
      <c r="E378" s="432">
        <v>0</v>
      </c>
      <c r="F378" s="427">
        <v>20823</v>
      </c>
      <c r="G378" s="427">
        <v>4842</v>
      </c>
      <c r="H378" s="432">
        <v>0</v>
      </c>
      <c r="I378" s="432" t="s">
        <v>22</v>
      </c>
      <c r="J378" s="427">
        <v>430</v>
      </c>
      <c r="K378" s="432">
        <v>0</v>
      </c>
      <c r="L378" s="432">
        <v>0</v>
      </c>
    </row>
    <row r="379" spans="1:12" s="428" customFormat="1" ht="9" customHeight="1" x14ac:dyDescent="0.25">
      <c r="A379" s="431" t="s">
        <v>29</v>
      </c>
      <c r="B379" s="427">
        <f t="shared" si="20"/>
        <v>663031</v>
      </c>
      <c r="C379" s="427"/>
      <c r="D379" s="427">
        <v>386739</v>
      </c>
      <c r="E379" s="432">
        <v>216364</v>
      </c>
      <c r="F379" s="427">
        <v>44171</v>
      </c>
      <c r="G379" s="427">
        <v>13548</v>
      </c>
      <c r="H379" s="427">
        <v>457</v>
      </c>
      <c r="I379" s="432" t="s">
        <v>22</v>
      </c>
      <c r="J379" s="427">
        <v>21</v>
      </c>
      <c r="K379" s="427">
        <v>1731</v>
      </c>
      <c r="L379" s="432">
        <v>0</v>
      </c>
    </row>
    <row r="380" spans="1:12" s="428" customFormat="1" ht="9" customHeight="1" x14ac:dyDescent="0.25">
      <c r="A380" s="433" t="s">
        <v>30</v>
      </c>
      <c r="B380" s="434">
        <f t="shared" si="20"/>
        <v>330720</v>
      </c>
      <c r="C380" s="434"/>
      <c r="D380" s="434">
        <v>192497</v>
      </c>
      <c r="E380" s="435">
        <v>41166</v>
      </c>
      <c r="F380" s="434">
        <v>85267</v>
      </c>
      <c r="G380" s="434">
        <v>11361</v>
      </c>
      <c r="H380" s="434">
        <v>429</v>
      </c>
      <c r="I380" s="435" t="s">
        <v>22</v>
      </c>
      <c r="J380" s="435">
        <v>0</v>
      </c>
      <c r="K380" s="435">
        <v>0</v>
      </c>
      <c r="L380" s="435">
        <v>0</v>
      </c>
    </row>
    <row r="381" spans="1:12" s="428" customFormat="1" ht="9" customHeight="1" x14ac:dyDescent="0.25">
      <c r="A381" s="431" t="s">
        <v>63</v>
      </c>
      <c r="B381" s="427">
        <f t="shared" si="20"/>
        <v>529500</v>
      </c>
      <c r="C381" s="427"/>
      <c r="D381" s="427">
        <v>156718</v>
      </c>
      <c r="E381" s="432">
        <v>1128</v>
      </c>
      <c r="F381" s="427">
        <v>136264</v>
      </c>
      <c r="G381" s="427">
        <v>229400</v>
      </c>
      <c r="H381" s="427">
        <v>2327</v>
      </c>
      <c r="I381" s="432" t="s">
        <v>22</v>
      </c>
      <c r="J381" s="427">
        <v>740</v>
      </c>
      <c r="K381" s="427">
        <v>2923</v>
      </c>
      <c r="L381" s="432">
        <v>0</v>
      </c>
    </row>
    <row r="382" spans="1:12" s="428" customFormat="1" ht="9" customHeight="1" x14ac:dyDescent="0.25">
      <c r="A382" s="431" t="s">
        <v>31</v>
      </c>
      <c r="B382" s="427">
        <f t="shared" si="20"/>
        <v>239836</v>
      </c>
      <c r="C382" s="427"/>
      <c r="D382" s="427">
        <v>126731</v>
      </c>
      <c r="E382" s="432">
        <v>49405</v>
      </c>
      <c r="F382" s="427">
        <v>54371</v>
      </c>
      <c r="G382" s="427">
        <v>9329</v>
      </c>
      <c r="H382" s="432">
        <v>0</v>
      </c>
      <c r="I382" s="432" t="s">
        <v>22</v>
      </c>
      <c r="J382" s="432">
        <v>0</v>
      </c>
      <c r="K382" s="432">
        <v>0</v>
      </c>
      <c r="L382" s="432">
        <v>0</v>
      </c>
    </row>
    <row r="383" spans="1:12" s="428" customFormat="1" ht="9" customHeight="1" x14ac:dyDescent="0.25">
      <c r="A383" s="431" t="s">
        <v>32</v>
      </c>
      <c r="B383" s="427">
        <f t="shared" si="20"/>
        <v>442859</v>
      </c>
      <c r="C383" s="427"/>
      <c r="D383" s="427">
        <v>346818</v>
      </c>
      <c r="E383" s="432">
        <v>0</v>
      </c>
      <c r="F383" s="427">
        <v>79548</v>
      </c>
      <c r="G383" s="427">
        <v>14267</v>
      </c>
      <c r="H383" s="427">
        <v>2226</v>
      </c>
      <c r="I383" s="432" t="s">
        <v>22</v>
      </c>
      <c r="J383" s="432">
        <v>0</v>
      </c>
      <c r="K383" s="432">
        <v>0</v>
      </c>
      <c r="L383" s="432">
        <v>0</v>
      </c>
    </row>
    <row r="384" spans="1:12" s="428" customFormat="1" ht="9" customHeight="1" x14ac:dyDescent="0.25">
      <c r="A384" s="433" t="s">
        <v>33</v>
      </c>
      <c r="B384" s="434">
        <f t="shared" si="20"/>
        <v>742161</v>
      </c>
      <c r="C384" s="434"/>
      <c r="D384" s="434">
        <v>663059</v>
      </c>
      <c r="E384" s="435">
        <v>0</v>
      </c>
      <c r="F384" s="434">
        <v>53618</v>
      </c>
      <c r="G384" s="434">
        <v>25135</v>
      </c>
      <c r="H384" s="435">
        <v>0</v>
      </c>
      <c r="I384" s="435" t="s">
        <v>22</v>
      </c>
      <c r="J384" s="434">
        <v>349</v>
      </c>
      <c r="K384" s="435">
        <v>0</v>
      </c>
      <c r="L384" s="435">
        <v>0</v>
      </c>
    </row>
    <row r="385" spans="1:12" s="428" customFormat="1" ht="9" customHeight="1" x14ac:dyDescent="0.25">
      <c r="A385" s="431" t="s">
        <v>34</v>
      </c>
      <c r="B385" s="427">
        <f t="shared" si="20"/>
        <v>347647</v>
      </c>
      <c r="C385" s="427"/>
      <c r="D385" s="427">
        <v>225495</v>
      </c>
      <c r="E385" s="432">
        <v>61737</v>
      </c>
      <c r="F385" s="427">
        <v>35620</v>
      </c>
      <c r="G385" s="427">
        <v>22473</v>
      </c>
      <c r="H385" s="427">
        <v>2322</v>
      </c>
      <c r="I385" s="432" t="s">
        <v>22</v>
      </c>
      <c r="J385" s="432">
        <v>0</v>
      </c>
      <c r="K385" s="432">
        <v>0</v>
      </c>
      <c r="L385" s="432">
        <v>0</v>
      </c>
    </row>
    <row r="386" spans="1:12" s="428" customFormat="1" ht="9" customHeight="1" x14ac:dyDescent="0.25">
      <c r="A386" s="431" t="s">
        <v>35</v>
      </c>
      <c r="B386" s="427">
        <f t="shared" si="20"/>
        <v>554065</v>
      </c>
      <c r="C386" s="427"/>
      <c r="D386" s="427">
        <v>448013</v>
      </c>
      <c r="E386" s="432">
        <v>0</v>
      </c>
      <c r="F386" s="427">
        <v>83232</v>
      </c>
      <c r="G386" s="427">
        <v>22304</v>
      </c>
      <c r="H386" s="427">
        <v>462</v>
      </c>
      <c r="I386" s="432" t="s">
        <v>22</v>
      </c>
      <c r="J386" s="427">
        <v>54</v>
      </c>
      <c r="K386" s="432">
        <v>0</v>
      </c>
      <c r="L386" s="432">
        <v>0</v>
      </c>
    </row>
    <row r="387" spans="1:12" s="428" customFormat="1" ht="9" customHeight="1" x14ac:dyDescent="0.25">
      <c r="A387" s="431" t="s">
        <v>36</v>
      </c>
      <c r="B387" s="427">
        <f t="shared" si="20"/>
        <v>1754261</v>
      </c>
      <c r="C387" s="427"/>
      <c r="D387" s="427">
        <v>1555822</v>
      </c>
      <c r="E387" s="432">
        <v>0</v>
      </c>
      <c r="F387" s="427">
        <v>161265</v>
      </c>
      <c r="G387" s="427">
        <v>28115</v>
      </c>
      <c r="H387" s="427">
        <v>226</v>
      </c>
      <c r="I387" s="432" t="s">
        <v>22</v>
      </c>
      <c r="J387" s="432">
        <v>0</v>
      </c>
      <c r="K387" s="427">
        <v>8833</v>
      </c>
      <c r="L387" s="432">
        <v>0</v>
      </c>
    </row>
    <row r="388" spans="1:12" s="428" customFormat="1" ht="9" customHeight="1" x14ac:dyDescent="0.25">
      <c r="A388" s="433" t="s">
        <v>37</v>
      </c>
      <c r="B388" s="434">
        <f t="shared" si="20"/>
        <v>487047</v>
      </c>
      <c r="C388" s="434"/>
      <c r="D388" s="434">
        <v>326163</v>
      </c>
      <c r="E388" s="435">
        <v>80607</v>
      </c>
      <c r="F388" s="434">
        <v>60812</v>
      </c>
      <c r="G388" s="434">
        <v>18336</v>
      </c>
      <c r="H388" s="435">
        <v>0</v>
      </c>
      <c r="I388" s="435" t="s">
        <v>22</v>
      </c>
      <c r="J388" s="434">
        <v>1129</v>
      </c>
      <c r="K388" s="435">
        <v>0</v>
      </c>
      <c r="L388" s="435">
        <v>0</v>
      </c>
    </row>
    <row r="389" spans="1:12" s="428" customFormat="1" ht="9" customHeight="1" x14ac:dyDescent="0.25">
      <c r="A389" s="431" t="s">
        <v>38</v>
      </c>
      <c r="B389" s="427">
        <f t="shared" si="20"/>
        <v>289157</v>
      </c>
      <c r="C389" s="427"/>
      <c r="D389" s="427">
        <v>132143</v>
      </c>
      <c r="E389" s="432">
        <v>0</v>
      </c>
      <c r="F389" s="427">
        <v>138243</v>
      </c>
      <c r="G389" s="427">
        <v>18771</v>
      </c>
      <c r="H389" s="432">
        <v>0</v>
      </c>
      <c r="I389" s="432" t="s">
        <v>22</v>
      </c>
      <c r="J389" s="432">
        <v>0</v>
      </c>
      <c r="K389" s="432">
        <v>0</v>
      </c>
      <c r="L389" s="432">
        <v>0</v>
      </c>
    </row>
    <row r="390" spans="1:12" s="428" customFormat="1" ht="9" customHeight="1" x14ac:dyDescent="0.25">
      <c r="A390" s="431" t="s">
        <v>39</v>
      </c>
      <c r="B390" s="427">
        <f t="shared" si="20"/>
        <v>196088</v>
      </c>
      <c r="C390" s="427"/>
      <c r="D390" s="427">
        <v>140315</v>
      </c>
      <c r="E390" s="432">
        <v>16092</v>
      </c>
      <c r="F390" s="427">
        <v>29102</v>
      </c>
      <c r="G390" s="427">
        <v>10527</v>
      </c>
      <c r="H390" s="432">
        <v>0</v>
      </c>
      <c r="I390" s="432" t="s">
        <v>22</v>
      </c>
      <c r="J390" s="432">
        <v>52</v>
      </c>
      <c r="K390" s="432">
        <v>0</v>
      </c>
      <c r="L390" s="432">
        <v>0</v>
      </c>
    </row>
    <row r="391" spans="1:12" s="428" customFormat="1" ht="9" customHeight="1" x14ac:dyDescent="0.25">
      <c r="A391" s="431" t="s">
        <v>40</v>
      </c>
      <c r="B391" s="427">
        <f t="shared" si="20"/>
        <v>333162</v>
      </c>
      <c r="C391" s="427"/>
      <c r="D391" s="427">
        <v>222357</v>
      </c>
      <c r="E391" s="432">
        <v>0</v>
      </c>
      <c r="F391" s="427">
        <v>87916</v>
      </c>
      <c r="G391" s="427">
        <v>17385</v>
      </c>
      <c r="H391" s="432">
        <v>1108</v>
      </c>
      <c r="I391" s="432" t="s">
        <v>22</v>
      </c>
      <c r="J391" s="432">
        <v>0</v>
      </c>
      <c r="K391" s="427">
        <v>0</v>
      </c>
      <c r="L391" s="432">
        <v>4396</v>
      </c>
    </row>
    <row r="392" spans="1:12" s="428" customFormat="1" ht="9" customHeight="1" x14ac:dyDescent="0.25">
      <c r="A392" s="433" t="s">
        <v>41</v>
      </c>
      <c r="B392" s="434">
        <f t="shared" si="20"/>
        <v>420325</v>
      </c>
      <c r="C392" s="434"/>
      <c r="D392" s="434">
        <v>260204</v>
      </c>
      <c r="E392" s="435">
        <v>118855</v>
      </c>
      <c r="F392" s="434">
        <v>25257</v>
      </c>
      <c r="G392" s="434">
        <v>14229</v>
      </c>
      <c r="H392" s="434">
        <v>1316</v>
      </c>
      <c r="I392" s="435" t="s">
        <v>22</v>
      </c>
      <c r="J392" s="434">
        <v>464</v>
      </c>
      <c r="K392" s="435">
        <v>0</v>
      </c>
      <c r="L392" s="435">
        <v>0</v>
      </c>
    </row>
    <row r="393" spans="1:12" s="428" customFormat="1" ht="9" customHeight="1" x14ac:dyDescent="0.25">
      <c r="A393" s="431" t="s">
        <v>42</v>
      </c>
      <c r="B393" s="427">
        <f t="shared" si="20"/>
        <v>731092</v>
      </c>
      <c r="C393" s="427"/>
      <c r="D393" s="427">
        <v>491920</v>
      </c>
      <c r="E393" s="432">
        <v>162606</v>
      </c>
      <c r="F393" s="427">
        <v>29321</v>
      </c>
      <c r="G393" s="427">
        <v>29548</v>
      </c>
      <c r="H393" s="427">
        <v>676</v>
      </c>
      <c r="I393" s="432" t="s">
        <v>22</v>
      </c>
      <c r="J393" s="432">
        <v>0</v>
      </c>
      <c r="K393" s="427">
        <v>16798</v>
      </c>
      <c r="L393" s="432">
        <v>223</v>
      </c>
    </row>
    <row r="394" spans="1:12" s="428" customFormat="1" ht="9" customHeight="1" x14ac:dyDescent="0.25">
      <c r="A394" s="431" t="s">
        <v>43</v>
      </c>
      <c r="B394" s="427">
        <f t="shared" si="20"/>
        <v>171327</v>
      </c>
      <c r="C394" s="427"/>
      <c r="D394" s="427">
        <v>108076</v>
      </c>
      <c r="E394" s="432">
        <v>0</v>
      </c>
      <c r="F394" s="427">
        <v>60368</v>
      </c>
      <c r="G394" s="427">
        <v>2883</v>
      </c>
      <c r="H394" s="432">
        <v>0</v>
      </c>
      <c r="I394" s="432" t="s">
        <v>22</v>
      </c>
      <c r="J394" s="432">
        <v>0</v>
      </c>
      <c r="K394" s="432">
        <v>0</v>
      </c>
      <c r="L394" s="432">
        <v>0</v>
      </c>
    </row>
    <row r="395" spans="1:12" s="428" customFormat="1" ht="9" customHeight="1" x14ac:dyDescent="0.25">
      <c r="A395" s="431" t="s">
        <v>44</v>
      </c>
      <c r="B395" s="427">
        <f t="shared" si="20"/>
        <v>136361</v>
      </c>
      <c r="C395" s="427"/>
      <c r="D395" s="427">
        <v>101838</v>
      </c>
      <c r="E395" s="432">
        <v>0</v>
      </c>
      <c r="F395" s="427">
        <v>25130</v>
      </c>
      <c r="G395" s="427">
        <v>9158</v>
      </c>
      <c r="H395" s="432">
        <v>0</v>
      </c>
      <c r="I395" s="432" t="s">
        <v>22</v>
      </c>
      <c r="J395" s="427">
        <v>235</v>
      </c>
      <c r="K395" s="432">
        <v>0</v>
      </c>
      <c r="L395" s="432">
        <v>0</v>
      </c>
    </row>
    <row r="396" spans="1:12" s="428" customFormat="1" ht="9" customHeight="1" x14ac:dyDescent="0.25">
      <c r="A396" s="433" t="s">
        <v>45</v>
      </c>
      <c r="B396" s="434">
        <f t="shared" si="20"/>
        <v>315243</v>
      </c>
      <c r="C396" s="434"/>
      <c r="D396" s="434">
        <v>184796</v>
      </c>
      <c r="E396" s="435">
        <v>74972</v>
      </c>
      <c r="F396" s="434">
        <v>36661</v>
      </c>
      <c r="G396" s="434">
        <v>17570</v>
      </c>
      <c r="H396" s="434">
        <v>1244</v>
      </c>
      <c r="I396" s="435" t="s">
        <v>22</v>
      </c>
      <c r="J396" s="435">
        <v>0</v>
      </c>
      <c r="K396" s="435">
        <v>0</v>
      </c>
      <c r="L396" s="435">
        <v>0</v>
      </c>
    </row>
    <row r="397" spans="1:12" s="428" customFormat="1" ht="9" customHeight="1" x14ac:dyDescent="0.25">
      <c r="A397" s="431" t="s">
        <v>46</v>
      </c>
      <c r="B397" s="427">
        <f t="shared" si="20"/>
        <v>303255</v>
      </c>
      <c r="C397" s="427"/>
      <c r="D397" s="427">
        <v>121850</v>
      </c>
      <c r="E397" s="432">
        <v>52028</v>
      </c>
      <c r="F397" s="427">
        <v>98581</v>
      </c>
      <c r="G397" s="427">
        <v>30496</v>
      </c>
      <c r="H397" s="427">
        <v>20</v>
      </c>
      <c r="I397" s="432" t="s">
        <v>22</v>
      </c>
      <c r="J397" s="427">
        <v>280</v>
      </c>
      <c r="K397" s="432">
        <v>0</v>
      </c>
      <c r="L397" s="432" t="s">
        <v>22</v>
      </c>
    </row>
    <row r="398" spans="1:12" s="428" customFormat="1" ht="9" customHeight="1" x14ac:dyDescent="0.25">
      <c r="A398" s="431" t="s">
        <v>47</v>
      </c>
      <c r="B398" s="427">
        <f t="shared" si="20"/>
        <v>228288</v>
      </c>
      <c r="C398" s="427"/>
      <c r="D398" s="427">
        <v>161385</v>
      </c>
      <c r="E398" s="432">
        <v>0</v>
      </c>
      <c r="F398" s="427">
        <v>51628</v>
      </c>
      <c r="G398" s="427">
        <v>11186</v>
      </c>
      <c r="H398" s="432">
        <v>0</v>
      </c>
      <c r="I398" s="432" t="s">
        <v>22</v>
      </c>
      <c r="J398" s="427">
        <v>18</v>
      </c>
      <c r="K398" s="432">
        <v>4071</v>
      </c>
      <c r="L398" s="432">
        <v>0</v>
      </c>
    </row>
    <row r="399" spans="1:12" s="428" customFormat="1" ht="9" customHeight="1" x14ac:dyDescent="0.25">
      <c r="A399" s="431" t="s">
        <v>48</v>
      </c>
      <c r="B399" s="427">
        <f t="shared" si="20"/>
        <v>347543</v>
      </c>
      <c r="C399" s="427"/>
      <c r="D399" s="427">
        <v>272349</v>
      </c>
      <c r="E399" s="432">
        <v>0</v>
      </c>
      <c r="F399" s="427">
        <v>58537</v>
      </c>
      <c r="G399" s="427">
        <v>5732</v>
      </c>
      <c r="H399" s="427">
        <v>4963</v>
      </c>
      <c r="I399" s="432" t="s">
        <v>22</v>
      </c>
      <c r="J399" s="427">
        <v>133</v>
      </c>
      <c r="K399" s="427">
        <v>5829</v>
      </c>
      <c r="L399" s="432">
        <v>0</v>
      </c>
    </row>
    <row r="400" spans="1:12" s="428" customFormat="1" ht="9" customHeight="1" x14ac:dyDescent="0.25">
      <c r="A400" s="433" t="s">
        <v>49</v>
      </c>
      <c r="B400" s="434">
        <f t="shared" si="20"/>
        <v>241625</v>
      </c>
      <c r="C400" s="434"/>
      <c r="D400" s="434">
        <v>123179</v>
      </c>
      <c r="E400" s="435">
        <v>28327</v>
      </c>
      <c r="F400" s="434">
        <v>71313</v>
      </c>
      <c r="G400" s="434">
        <v>14159</v>
      </c>
      <c r="H400" s="434">
        <v>4209</v>
      </c>
      <c r="I400" s="435" t="s">
        <v>22</v>
      </c>
      <c r="J400" s="434">
        <v>423</v>
      </c>
      <c r="K400" s="435">
        <v>0</v>
      </c>
      <c r="L400" s="435">
        <v>15</v>
      </c>
    </row>
    <row r="401" spans="1:12" s="428" customFormat="1" ht="9" customHeight="1" x14ac:dyDescent="0.25">
      <c r="A401" s="431" t="s">
        <v>50</v>
      </c>
      <c r="B401" s="427">
        <f t="shared" si="20"/>
        <v>111937</v>
      </c>
      <c r="C401" s="427"/>
      <c r="D401" s="427">
        <v>98009</v>
      </c>
      <c r="E401" s="432">
        <v>0</v>
      </c>
      <c r="F401" s="427">
        <v>8160</v>
      </c>
      <c r="G401" s="427">
        <v>5768</v>
      </c>
      <c r="H401" s="432">
        <v>0</v>
      </c>
      <c r="I401" s="432" t="s">
        <v>22</v>
      </c>
      <c r="J401" s="432">
        <v>0</v>
      </c>
      <c r="K401" s="432">
        <v>0</v>
      </c>
      <c r="L401" s="432">
        <v>0</v>
      </c>
    </row>
    <row r="402" spans="1:12" s="428" customFormat="1" ht="9" customHeight="1" x14ac:dyDescent="0.25">
      <c r="A402" s="431" t="s">
        <v>51</v>
      </c>
      <c r="B402" s="427">
        <f t="shared" si="20"/>
        <v>940492</v>
      </c>
      <c r="C402" s="427"/>
      <c r="D402" s="427">
        <v>537089</v>
      </c>
      <c r="E402" s="432">
        <v>232066</v>
      </c>
      <c r="F402" s="427">
        <v>121003</v>
      </c>
      <c r="G402" s="427">
        <v>34207</v>
      </c>
      <c r="H402" s="427">
        <v>13816</v>
      </c>
      <c r="I402" s="432" t="s">
        <v>22</v>
      </c>
      <c r="J402" s="427">
        <v>800</v>
      </c>
      <c r="K402" s="432">
        <v>0</v>
      </c>
      <c r="L402" s="432">
        <v>1511</v>
      </c>
    </row>
    <row r="403" spans="1:12" s="428" customFormat="1" ht="9" customHeight="1" x14ac:dyDescent="0.25">
      <c r="A403" s="431" t="s">
        <v>52</v>
      </c>
      <c r="B403" s="427">
        <f t="shared" si="20"/>
        <v>240035</v>
      </c>
      <c r="C403" s="427"/>
      <c r="D403" s="427">
        <v>130512</v>
      </c>
      <c r="E403" s="432">
        <v>47441</v>
      </c>
      <c r="F403" s="427">
        <v>55829</v>
      </c>
      <c r="G403" s="427">
        <v>6154</v>
      </c>
      <c r="H403" s="432">
        <v>0</v>
      </c>
      <c r="I403" s="432" t="s">
        <v>22</v>
      </c>
      <c r="J403" s="427">
        <v>99</v>
      </c>
      <c r="K403" s="432">
        <v>0</v>
      </c>
      <c r="L403" s="432">
        <v>0</v>
      </c>
    </row>
    <row r="404" spans="1:12" s="428" customFormat="1" ht="9" customHeight="1" x14ac:dyDescent="0.25">
      <c r="A404" s="433" t="s">
        <v>53</v>
      </c>
      <c r="B404" s="434">
        <f t="shared" si="20"/>
        <v>277242</v>
      </c>
      <c r="C404" s="434"/>
      <c r="D404" s="434">
        <v>160506</v>
      </c>
      <c r="E404" s="435">
        <v>44503</v>
      </c>
      <c r="F404" s="434">
        <v>51626</v>
      </c>
      <c r="G404" s="434">
        <v>20607</v>
      </c>
      <c r="H404" s="435">
        <v>0</v>
      </c>
      <c r="I404" s="435" t="s">
        <v>22</v>
      </c>
      <c r="J404" s="435">
        <v>0</v>
      </c>
      <c r="K404" s="435">
        <v>0</v>
      </c>
      <c r="L404" s="435">
        <v>0</v>
      </c>
    </row>
    <row r="405" spans="1:12" s="428" customFormat="1" ht="9" customHeight="1" x14ac:dyDescent="0.25">
      <c r="A405" s="431"/>
      <c r="B405" s="427"/>
      <c r="C405" s="427"/>
      <c r="D405" s="427"/>
      <c r="E405" s="432"/>
      <c r="F405" s="427"/>
      <c r="G405" s="427"/>
      <c r="H405" s="427"/>
      <c r="I405" s="427"/>
      <c r="J405" s="427"/>
      <c r="K405" s="432"/>
      <c r="L405" s="432"/>
    </row>
    <row r="406" spans="1:12" s="428" customFormat="1" ht="9" customHeight="1" x14ac:dyDescent="0.25">
      <c r="A406" s="441">
        <v>2006</v>
      </c>
      <c r="B406" s="440"/>
      <c r="C406" s="440"/>
      <c r="D406" s="440"/>
      <c r="E406" s="440"/>
      <c r="F406" s="440"/>
      <c r="G406" s="440"/>
      <c r="H406" s="440"/>
      <c r="I406" s="440"/>
      <c r="J406" s="440"/>
      <c r="K406" s="440"/>
      <c r="L406" s="440"/>
    </row>
    <row r="407" spans="1:12" s="428" customFormat="1" ht="9" customHeight="1" x14ac:dyDescent="0.25">
      <c r="A407" s="429" t="s">
        <v>319</v>
      </c>
      <c r="B407" s="430">
        <f>SUM(B409:B440)</f>
        <v>12352286</v>
      </c>
      <c r="C407" s="430"/>
      <c r="D407" s="430">
        <f>SUM(D409:D440)</f>
        <v>7995704</v>
      </c>
      <c r="E407" s="430">
        <f>SUM(E409:E440)</f>
        <v>1371708</v>
      </c>
      <c r="F407" s="430">
        <f>SUM(F409:F440)</f>
        <v>2076757</v>
      </c>
      <c r="G407" s="430">
        <f>SUM(G409:G440)</f>
        <v>714054</v>
      </c>
      <c r="H407" s="430">
        <f>SUM(H409:H440)</f>
        <v>30382</v>
      </c>
      <c r="I407" s="442" t="s">
        <v>22</v>
      </c>
      <c r="J407" s="430">
        <f>SUM(J409:J440)</f>
        <v>6533</v>
      </c>
      <c r="K407" s="430">
        <f>SUM(K409:K440)+5235+157</f>
        <v>147002</v>
      </c>
      <c r="L407" s="430">
        <f>SUM(L409:L440)</f>
        <v>10146</v>
      </c>
    </row>
    <row r="408" spans="1:12" s="428" customFormat="1" ht="3.95" customHeight="1" x14ac:dyDescent="0.25">
      <c r="A408" s="429"/>
      <c r="B408" s="430"/>
      <c r="C408" s="430"/>
      <c r="D408" s="430"/>
      <c r="E408" s="430"/>
      <c r="F408" s="430"/>
      <c r="G408" s="430"/>
      <c r="H408" s="430"/>
      <c r="I408" s="430"/>
      <c r="J408" s="430"/>
      <c r="K408" s="430"/>
      <c r="L408" s="430"/>
    </row>
    <row r="409" spans="1:12" s="428" customFormat="1" ht="9" customHeight="1" x14ac:dyDescent="0.25">
      <c r="A409" s="431" t="s">
        <v>23</v>
      </c>
      <c r="B409" s="427">
        <f t="shared" ref="B409:B429" si="21">SUM(D409:L409)</f>
        <v>151195</v>
      </c>
      <c r="C409" s="427"/>
      <c r="D409" s="427">
        <v>117004</v>
      </c>
      <c r="E409" s="432">
        <v>0</v>
      </c>
      <c r="F409" s="427">
        <v>25269</v>
      </c>
      <c r="G409" s="427">
        <v>8922</v>
      </c>
      <c r="H409" s="432">
        <v>0</v>
      </c>
      <c r="I409" s="432" t="s">
        <v>22</v>
      </c>
      <c r="J409" s="432">
        <v>0</v>
      </c>
      <c r="K409" s="432">
        <v>0</v>
      </c>
      <c r="L409" s="432" t="s">
        <v>22</v>
      </c>
    </row>
    <row r="410" spans="1:12" s="428" customFormat="1" ht="9" customHeight="1" x14ac:dyDescent="0.25">
      <c r="A410" s="431" t="s">
        <v>24</v>
      </c>
      <c r="B410" s="427">
        <f t="shared" si="21"/>
        <v>264890</v>
      </c>
      <c r="C410" s="427"/>
      <c r="D410" s="427">
        <v>106135</v>
      </c>
      <c r="E410" s="432">
        <v>11867</v>
      </c>
      <c r="F410" s="427">
        <v>125331</v>
      </c>
      <c r="G410" s="427">
        <v>12435</v>
      </c>
      <c r="H410" s="432">
        <v>0</v>
      </c>
      <c r="I410" s="432" t="s">
        <v>22</v>
      </c>
      <c r="J410" s="432">
        <v>214</v>
      </c>
      <c r="K410" s="427">
        <v>8908</v>
      </c>
      <c r="L410" s="432">
        <v>0</v>
      </c>
    </row>
    <row r="411" spans="1:12" s="428" customFormat="1" ht="9" customHeight="1" x14ac:dyDescent="0.25">
      <c r="A411" s="431" t="s">
        <v>25</v>
      </c>
      <c r="B411" s="427">
        <f t="shared" si="21"/>
        <v>61354</v>
      </c>
      <c r="C411" s="427"/>
      <c r="D411" s="427">
        <v>41515</v>
      </c>
      <c r="E411" s="432">
        <v>0</v>
      </c>
      <c r="F411" s="427">
        <v>14959</v>
      </c>
      <c r="G411" s="427">
        <v>4389</v>
      </c>
      <c r="H411" s="432">
        <v>0</v>
      </c>
      <c r="I411" s="432" t="s">
        <v>22</v>
      </c>
      <c r="J411" s="427">
        <v>491</v>
      </c>
      <c r="K411" s="432">
        <v>0</v>
      </c>
      <c r="L411" s="432">
        <v>0</v>
      </c>
    </row>
    <row r="412" spans="1:12" s="428" customFormat="1" ht="9" customHeight="1" x14ac:dyDescent="0.25">
      <c r="A412" s="433" t="s">
        <v>26</v>
      </c>
      <c r="B412" s="443">
        <f t="shared" si="21"/>
        <v>132719</v>
      </c>
      <c r="C412" s="434"/>
      <c r="D412" s="443">
        <v>72598</v>
      </c>
      <c r="E412" s="435">
        <v>25328</v>
      </c>
      <c r="F412" s="434">
        <v>23276</v>
      </c>
      <c r="G412" s="434">
        <v>10025</v>
      </c>
      <c r="H412" s="434">
        <v>1100</v>
      </c>
      <c r="I412" s="435" t="s">
        <v>22</v>
      </c>
      <c r="J412" s="434">
        <v>392</v>
      </c>
      <c r="K412" s="435">
        <v>0</v>
      </c>
      <c r="L412" s="435">
        <v>0</v>
      </c>
    </row>
    <row r="413" spans="1:12" s="428" customFormat="1" ht="9" customHeight="1" x14ac:dyDescent="0.25">
      <c r="A413" s="431" t="s">
        <v>27</v>
      </c>
      <c r="B413" s="427">
        <f t="shared" si="21"/>
        <v>290588</v>
      </c>
      <c r="C413" s="427"/>
      <c r="D413" s="427">
        <v>169386</v>
      </c>
      <c r="E413" s="432">
        <v>29773</v>
      </c>
      <c r="F413" s="427">
        <v>72191</v>
      </c>
      <c r="G413" s="427">
        <v>14283</v>
      </c>
      <c r="H413" s="432">
        <v>0</v>
      </c>
      <c r="I413" s="432" t="s">
        <v>22</v>
      </c>
      <c r="J413" s="432">
        <v>0</v>
      </c>
      <c r="K413" s="432">
        <v>0</v>
      </c>
      <c r="L413" s="427">
        <v>4955</v>
      </c>
    </row>
    <row r="414" spans="1:12" s="428" customFormat="1" ht="9" customHeight="1" x14ac:dyDescent="0.25">
      <c r="A414" s="431" t="s">
        <v>28</v>
      </c>
      <c r="B414" s="427">
        <f t="shared" si="21"/>
        <v>87796</v>
      </c>
      <c r="C414" s="427"/>
      <c r="D414" s="427">
        <v>54437</v>
      </c>
      <c r="E414" s="432">
        <v>0</v>
      </c>
      <c r="F414" s="427">
        <v>27524</v>
      </c>
      <c r="G414" s="427">
        <v>5388</v>
      </c>
      <c r="H414" s="432">
        <v>0</v>
      </c>
      <c r="I414" s="432" t="s">
        <v>22</v>
      </c>
      <c r="J414" s="427">
        <v>447</v>
      </c>
      <c r="K414" s="432">
        <v>0</v>
      </c>
      <c r="L414" s="432">
        <v>0</v>
      </c>
    </row>
    <row r="415" spans="1:12" s="428" customFormat="1" ht="9" customHeight="1" x14ac:dyDescent="0.25">
      <c r="A415" s="431" t="s">
        <v>29</v>
      </c>
      <c r="B415" s="427">
        <f t="shared" si="21"/>
        <v>682099</v>
      </c>
      <c r="C415" s="427"/>
      <c r="D415" s="427">
        <v>379773</v>
      </c>
      <c r="E415" s="432">
        <v>246026</v>
      </c>
      <c r="F415" s="427">
        <v>42981</v>
      </c>
      <c r="G415" s="427">
        <v>11826</v>
      </c>
      <c r="H415" s="427">
        <v>284</v>
      </c>
      <c r="I415" s="432" t="s">
        <v>22</v>
      </c>
      <c r="J415" s="427">
        <v>21</v>
      </c>
      <c r="K415" s="427">
        <v>1188</v>
      </c>
      <c r="L415" s="432">
        <v>0</v>
      </c>
    </row>
    <row r="416" spans="1:12" s="428" customFormat="1" ht="9" customHeight="1" x14ac:dyDescent="0.25">
      <c r="A416" s="433" t="s">
        <v>30</v>
      </c>
      <c r="B416" s="434">
        <f t="shared" si="21"/>
        <v>315933</v>
      </c>
      <c r="C416" s="434"/>
      <c r="D416" s="434">
        <v>176059</v>
      </c>
      <c r="E416" s="435">
        <v>46762</v>
      </c>
      <c r="F416" s="434">
        <v>79315</v>
      </c>
      <c r="G416" s="434">
        <v>13582</v>
      </c>
      <c r="H416" s="434">
        <v>215</v>
      </c>
      <c r="I416" s="435" t="s">
        <v>22</v>
      </c>
      <c r="J416" s="435">
        <v>0</v>
      </c>
      <c r="K416" s="435">
        <v>0</v>
      </c>
      <c r="L416" s="435">
        <v>0</v>
      </c>
    </row>
    <row r="417" spans="1:12" s="428" customFormat="1" ht="9" customHeight="1" x14ac:dyDescent="0.25">
      <c r="A417" s="431" t="s">
        <v>63</v>
      </c>
      <c r="B417" s="427">
        <f t="shared" si="21"/>
        <v>500256</v>
      </c>
      <c r="C417" s="427"/>
      <c r="D417" s="427">
        <v>136022</v>
      </c>
      <c r="E417" s="432">
        <v>1091</v>
      </c>
      <c r="F417" s="427">
        <v>133857</v>
      </c>
      <c r="G417" s="427">
        <v>222401</v>
      </c>
      <c r="H417" s="427">
        <v>2379</v>
      </c>
      <c r="I417" s="432" t="s">
        <v>22</v>
      </c>
      <c r="J417" s="427">
        <v>770</v>
      </c>
      <c r="K417" s="427">
        <v>3736</v>
      </c>
      <c r="L417" s="432">
        <v>0</v>
      </c>
    </row>
    <row r="418" spans="1:12" s="428" customFormat="1" ht="9" customHeight="1" x14ac:dyDescent="0.25">
      <c r="A418" s="431" t="s">
        <v>31</v>
      </c>
      <c r="B418" s="427">
        <f t="shared" si="21"/>
        <v>233128</v>
      </c>
      <c r="C418" s="427"/>
      <c r="D418" s="427">
        <v>116586</v>
      </c>
      <c r="E418" s="432">
        <v>50921</v>
      </c>
      <c r="F418" s="427">
        <v>56407</v>
      </c>
      <c r="G418" s="427">
        <v>9214</v>
      </c>
      <c r="H418" s="432">
        <v>0</v>
      </c>
      <c r="I418" s="432" t="s">
        <v>22</v>
      </c>
      <c r="J418" s="432">
        <v>0</v>
      </c>
      <c r="K418" s="432">
        <v>0</v>
      </c>
      <c r="L418" s="432">
        <v>0</v>
      </c>
    </row>
    <row r="419" spans="1:12" s="428" customFormat="1" ht="9" customHeight="1" x14ac:dyDescent="0.25">
      <c r="A419" s="431" t="s">
        <v>32</v>
      </c>
      <c r="B419" s="427">
        <f t="shared" si="21"/>
        <v>462364</v>
      </c>
      <c r="C419" s="427"/>
      <c r="D419" s="427">
        <v>348336</v>
      </c>
      <c r="E419" s="432">
        <v>1625</v>
      </c>
      <c r="F419" s="427">
        <v>90266</v>
      </c>
      <c r="G419" s="427">
        <v>20506</v>
      </c>
      <c r="H419" s="427">
        <v>1631</v>
      </c>
      <c r="I419" s="432" t="s">
        <v>22</v>
      </c>
      <c r="J419" s="432">
        <v>0</v>
      </c>
      <c r="K419" s="432">
        <v>0</v>
      </c>
      <c r="L419" s="432">
        <v>0</v>
      </c>
    </row>
    <row r="420" spans="1:12" s="428" customFormat="1" ht="9" customHeight="1" x14ac:dyDescent="0.25">
      <c r="A420" s="433" t="s">
        <v>33</v>
      </c>
      <c r="B420" s="434">
        <f t="shared" si="21"/>
        <v>722665</v>
      </c>
      <c r="C420" s="434"/>
      <c r="D420" s="434">
        <v>648421</v>
      </c>
      <c r="E420" s="435">
        <v>2471</v>
      </c>
      <c r="F420" s="434">
        <v>47896</v>
      </c>
      <c r="G420" s="434">
        <v>23513</v>
      </c>
      <c r="H420" s="435">
        <v>0</v>
      </c>
      <c r="I420" s="435" t="s">
        <v>22</v>
      </c>
      <c r="J420" s="434">
        <v>364</v>
      </c>
      <c r="K420" s="435">
        <v>0</v>
      </c>
      <c r="L420" s="435">
        <v>0</v>
      </c>
    </row>
    <row r="421" spans="1:12" s="428" customFormat="1" ht="9" customHeight="1" x14ac:dyDescent="0.25">
      <c r="A421" s="431" t="s">
        <v>34</v>
      </c>
      <c r="B421" s="427">
        <f t="shared" si="21"/>
        <v>328806</v>
      </c>
      <c r="C421" s="427"/>
      <c r="D421" s="427">
        <v>197880</v>
      </c>
      <c r="E421" s="432">
        <v>61757</v>
      </c>
      <c r="F421" s="427">
        <v>34588</v>
      </c>
      <c r="G421" s="427">
        <v>32435</v>
      </c>
      <c r="H421" s="427">
        <v>2146</v>
      </c>
      <c r="I421" s="432" t="s">
        <v>22</v>
      </c>
      <c r="J421" s="432">
        <v>0</v>
      </c>
      <c r="K421" s="432">
        <v>0</v>
      </c>
      <c r="L421" s="432">
        <v>0</v>
      </c>
    </row>
    <row r="422" spans="1:12" s="428" customFormat="1" ht="9" customHeight="1" x14ac:dyDescent="0.25">
      <c r="A422" s="431" t="s">
        <v>35</v>
      </c>
      <c r="B422" s="427">
        <f t="shared" si="21"/>
        <v>554275</v>
      </c>
      <c r="C422" s="427"/>
      <c r="D422" s="427">
        <v>445663</v>
      </c>
      <c r="E422" s="432">
        <v>1352</v>
      </c>
      <c r="F422" s="427">
        <v>83840</v>
      </c>
      <c r="G422" s="427">
        <v>23286</v>
      </c>
      <c r="H422" s="427">
        <v>78</v>
      </c>
      <c r="I422" s="432" t="s">
        <v>22</v>
      </c>
      <c r="J422" s="427">
        <v>56</v>
      </c>
      <c r="K422" s="432">
        <v>0</v>
      </c>
      <c r="L422" s="432" t="s">
        <v>22</v>
      </c>
    </row>
    <row r="423" spans="1:12" s="428" customFormat="1" ht="9" customHeight="1" x14ac:dyDescent="0.25">
      <c r="A423" s="431" t="s">
        <v>36</v>
      </c>
      <c r="B423" s="427">
        <f t="shared" si="21"/>
        <v>1857798</v>
      </c>
      <c r="C423" s="427"/>
      <c r="D423" s="427">
        <v>1571611</v>
      </c>
      <c r="E423" s="432">
        <v>976</v>
      </c>
      <c r="F423" s="427">
        <v>164689</v>
      </c>
      <c r="G423" s="427">
        <v>22947</v>
      </c>
      <c r="H423" s="427">
        <v>110</v>
      </c>
      <c r="I423" s="432" t="s">
        <v>22</v>
      </c>
      <c r="J423" s="432">
        <v>0</v>
      </c>
      <c r="K423" s="427">
        <v>97465</v>
      </c>
      <c r="L423" s="432">
        <v>0</v>
      </c>
    </row>
    <row r="424" spans="1:12" s="428" customFormat="1" ht="9" customHeight="1" x14ac:dyDescent="0.25">
      <c r="A424" s="433" t="s">
        <v>37</v>
      </c>
      <c r="B424" s="434">
        <f t="shared" si="21"/>
        <v>500148</v>
      </c>
      <c r="C424" s="434"/>
      <c r="D424" s="434">
        <v>334119</v>
      </c>
      <c r="E424" s="435">
        <v>88731</v>
      </c>
      <c r="F424" s="434">
        <v>61155</v>
      </c>
      <c r="G424" s="434">
        <v>14969</v>
      </c>
      <c r="H424" s="435">
        <v>0</v>
      </c>
      <c r="I424" s="435" t="s">
        <v>22</v>
      </c>
      <c r="J424" s="434">
        <v>1174</v>
      </c>
      <c r="K424" s="435">
        <v>0</v>
      </c>
      <c r="L424" s="435">
        <v>0</v>
      </c>
    </row>
    <row r="425" spans="1:12" s="428" customFormat="1" ht="9" customHeight="1" x14ac:dyDescent="0.25">
      <c r="A425" s="431" t="s">
        <v>38</v>
      </c>
      <c r="B425" s="427">
        <f t="shared" si="21"/>
        <v>287839</v>
      </c>
      <c r="C425" s="427"/>
      <c r="D425" s="427">
        <v>121708</v>
      </c>
      <c r="E425" s="432">
        <v>517</v>
      </c>
      <c r="F425" s="427">
        <v>141116</v>
      </c>
      <c r="G425" s="427">
        <v>24498</v>
      </c>
      <c r="H425" s="432">
        <v>0</v>
      </c>
      <c r="I425" s="432" t="s">
        <v>22</v>
      </c>
      <c r="J425" s="432">
        <v>0</v>
      </c>
      <c r="K425" s="432">
        <v>0</v>
      </c>
      <c r="L425" s="432">
        <v>0</v>
      </c>
    </row>
    <row r="426" spans="1:12" s="428" customFormat="1" ht="9" customHeight="1" x14ac:dyDescent="0.25">
      <c r="A426" s="431" t="s">
        <v>39</v>
      </c>
      <c r="B426" s="427">
        <f t="shared" si="21"/>
        <v>192334</v>
      </c>
      <c r="C426" s="427"/>
      <c r="D426" s="427">
        <v>137013</v>
      </c>
      <c r="E426" s="432">
        <v>17641</v>
      </c>
      <c r="F426" s="427">
        <v>29736</v>
      </c>
      <c r="G426" s="427">
        <v>7890</v>
      </c>
      <c r="H426" s="432">
        <v>0</v>
      </c>
      <c r="I426" s="432" t="s">
        <v>22</v>
      </c>
      <c r="J426" s="432">
        <v>54</v>
      </c>
      <c r="K426" s="432">
        <v>0</v>
      </c>
      <c r="L426" s="432">
        <v>0</v>
      </c>
    </row>
    <row r="427" spans="1:12" s="428" customFormat="1" ht="9" customHeight="1" x14ac:dyDescent="0.25">
      <c r="A427" s="431" t="s">
        <v>40</v>
      </c>
      <c r="B427" s="427">
        <f t="shared" si="21"/>
        <v>332636</v>
      </c>
      <c r="C427" s="427"/>
      <c r="D427" s="427">
        <v>211505</v>
      </c>
      <c r="E427" s="432">
        <v>313</v>
      </c>
      <c r="F427" s="427">
        <v>97025</v>
      </c>
      <c r="G427" s="427">
        <v>17807</v>
      </c>
      <c r="H427" s="432">
        <v>1260</v>
      </c>
      <c r="I427" s="432" t="s">
        <v>22</v>
      </c>
      <c r="J427" s="432">
        <v>0</v>
      </c>
      <c r="K427" s="427">
        <v>0</v>
      </c>
      <c r="L427" s="432">
        <v>4726</v>
      </c>
    </row>
    <row r="428" spans="1:12" s="428" customFormat="1" ht="9" customHeight="1" x14ac:dyDescent="0.25">
      <c r="A428" s="433" t="s">
        <v>41</v>
      </c>
      <c r="B428" s="434">
        <f t="shared" si="21"/>
        <v>373586</v>
      </c>
      <c r="C428" s="434"/>
      <c r="D428" s="434">
        <v>200730</v>
      </c>
      <c r="E428" s="435">
        <v>122116</v>
      </c>
      <c r="F428" s="434">
        <v>32158</v>
      </c>
      <c r="G428" s="434">
        <v>16931</v>
      </c>
      <c r="H428" s="434">
        <v>1168</v>
      </c>
      <c r="I428" s="435" t="s">
        <v>22</v>
      </c>
      <c r="J428" s="434">
        <v>483</v>
      </c>
      <c r="K428" s="435">
        <v>0</v>
      </c>
      <c r="L428" s="435">
        <v>0</v>
      </c>
    </row>
    <row r="429" spans="1:12" s="428" customFormat="1" ht="9" customHeight="1" x14ac:dyDescent="0.25">
      <c r="A429" s="431" t="s">
        <v>42</v>
      </c>
      <c r="B429" s="427">
        <f t="shared" si="21"/>
        <v>748994</v>
      </c>
      <c r="C429" s="427"/>
      <c r="D429" s="427">
        <v>491628</v>
      </c>
      <c r="E429" s="432">
        <v>168011</v>
      </c>
      <c r="F429" s="427">
        <v>40228</v>
      </c>
      <c r="G429" s="427">
        <v>32257</v>
      </c>
      <c r="H429" s="427">
        <v>547</v>
      </c>
      <c r="I429" s="432" t="s">
        <v>22</v>
      </c>
      <c r="J429" s="432">
        <v>0</v>
      </c>
      <c r="K429" s="427">
        <v>16212</v>
      </c>
      <c r="L429" s="432">
        <v>111</v>
      </c>
    </row>
    <row r="430" spans="1:12" s="428" customFormat="1" ht="9" customHeight="1" x14ac:dyDescent="0.25">
      <c r="A430" s="431" t="s">
        <v>320</v>
      </c>
      <c r="B430" s="427">
        <f>SUM(D430:L430)+157</f>
        <v>157844</v>
      </c>
      <c r="C430" s="427"/>
      <c r="D430" s="427">
        <v>93957</v>
      </c>
      <c r="E430" s="432">
        <v>439</v>
      </c>
      <c r="F430" s="427">
        <v>61800</v>
      </c>
      <c r="G430" s="427">
        <v>1491</v>
      </c>
      <c r="H430" s="432">
        <v>0</v>
      </c>
      <c r="I430" s="432" t="s">
        <v>22</v>
      </c>
      <c r="J430" s="432">
        <v>0</v>
      </c>
      <c r="K430" s="432">
        <v>0</v>
      </c>
      <c r="L430" s="432">
        <v>0</v>
      </c>
    </row>
    <row r="431" spans="1:12" s="428" customFormat="1" ht="9" customHeight="1" x14ac:dyDescent="0.25">
      <c r="A431" s="431" t="s">
        <v>44</v>
      </c>
      <c r="B431" s="427">
        <f>SUM(D431:L431)</f>
        <v>143099</v>
      </c>
      <c r="C431" s="427"/>
      <c r="D431" s="427">
        <v>102161</v>
      </c>
      <c r="E431" s="432">
        <v>0</v>
      </c>
      <c r="F431" s="427">
        <v>31605</v>
      </c>
      <c r="G431" s="427">
        <v>9088</v>
      </c>
      <c r="H431" s="432">
        <v>0</v>
      </c>
      <c r="I431" s="432" t="s">
        <v>22</v>
      </c>
      <c r="J431" s="427">
        <v>245</v>
      </c>
      <c r="K431" s="432">
        <v>0</v>
      </c>
      <c r="L431" s="432">
        <v>0</v>
      </c>
    </row>
    <row r="432" spans="1:12" s="428" customFormat="1" ht="9" customHeight="1" x14ac:dyDescent="0.25">
      <c r="A432" s="433" t="s">
        <v>45</v>
      </c>
      <c r="B432" s="434">
        <f>SUM(D432:L432)</f>
        <v>329237</v>
      </c>
      <c r="C432" s="434"/>
      <c r="D432" s="434">
        <v>185046</v>
      </c>
      <c r="E432" s="435">
        <v>79565</v>
      </c>
      <c r="F432" s="434">
        <v>48601</v>
      </c>
      <c r="G432" s="434">
        <v>15319</v>
      </c>
      <c r="H432" s="434">
        <v>706</v>
      </c>
      <c r="I432" s="435" t="s">
        <v>22</v>
      </c>
      <c r="J432" s="435">
        <v>0</v>
      </c>
      <c r="K432" s="435">
        <v>0</v>
      </c>
      <c r="L432" s="435">
        <v>0</v>
      </c>
    </row>
    <row r="433" spans="1:12" s="428" customFormat="1" ht="9" customHeight="1" x14ac:dyDescent="0.25">
      <c r="A433" s="431" t="s">
        <v>321</v>
      </c>
      <c r="B433" s="427">
        <f>SUM(D433:L433)+5235</f>
        <v>310394</v>
      </c>
      <c r="C433" s="427"/>
      <c r="D433" s="427">
        <v>111905</v>
      </c>
      <c r="E433" s="432">
        <v>54267</v>
      </c>
      <c r="F433" s="427">
        <v>106893</v>
      </c>
      <c r="G433" s="427">
        <v>31751</v>
      </c>
      <c r="H433" s="427">
        <v>53</v>
      </c>
      <c r="I433" s="432" t="s">
        <v>22</v>
      </c>
      <c r="J433" s="427">
        <v>290</v>
      </c>
      <c r="K433" s="432">
        <v>0</v>
      </c>
      <c r="L433" s="432">
        <v>0</v>
      </c>
    </row>
    <row r="434" spans="1:12" s="428" customFormat="1" ht="9" customHeight="1" x14ac:dyDescent="0.25">
      <c r="A434" s="431" t="s">
        <v>47</v>
      </c>
      <c r="B434" s="427">
        <f t="shared" ref="B434:B440" si="22">SUM(D434:L434)</f>
        <v>219787</v>
      </c>
      <c r="C434" s="427"/>
      <c r="D434" s="427">
        <v>142241</v>
      </c>
      <c r="E434" s="432">
        <v>718</v>
      </c>
      <c r="F434" s="427">
        <v>58345</v>
      </c>
      <c r="G434" s="427">
        <v>13230</v>
      </c>
      <c r="H434" s="432">
        <v>0</v>
      </c>
      <c r="I434" s="432" t="s">
        <v>22</v>
      </c>
      <c r="J434" s="427">
        <v>18</v>
      </c>
      <c r="K434" s="432">
        <v>5235</v>
      </c>
      <c r="L434" s="432">
        <v>0</v>
      </c>
    </row>
    <row r="435" spans="1:12" s="428" customFormat="1" ht="9" customHeight="1" x14ac:dyDescent="0.25">
      <c r="A435" s="431" t="s">
        <v>48</v>
      </c>
      <c r="B435" s="427">
        <f t="shared" si="22"/>
        <v>354986</v>
      </c>
      <c r="C435" s="427"/>
      <c r="D435" s="427">
        <v>276544</v>
      </c>
      <c r="E435" s="432">
        <v>0</v>
      </c>
      <c r="F435" s="427">
        <v>58840</v>
      </c>
      <c r="G435" s="427">
        <v>6402</v>
      </c>
      <c r="H435" s="427">
        <v>4196</v>
      </c>
      <c r="I435" s="432" t="s">
        <v>22</v>
      </c>
      <c r="J435" s="427">
        <v>138</v>
      </c>
      <c r="K435" s="427">
        <v>8866</v>
      </c>
      <c r="L435" s="432">
        <v>0</v>
      </c>
    </row>
    <row r="436" spans="1:12" s="428" customFormat="1" ht="9" customHeight="1" x14ac:dyDescent="0.25">
      <c r="A436" s="433" t="s">
        <v>49</v>
      </c>
      <c r="B436" s="434">
        <f t="shared" si="22"/>
        <v>224040</v>
      </c>
      <c r="C436" s="434"/>
      <c r="D436" s="434">
        <v>106047</v>
      </c>
      <c r="E436" s="435">
        <v>27767</v>
      </c>
      <c r="F436" s="434">
        <v>66092</v>
      </c>
      <c r="G436" s="434">
        <v>19748</v>
      </c>
      <c r="H436" s="434">
        <v>3946</v>
      </c>
      <c r="I436" s="435" t="s">
        <v>22</v>
      </c>
      <c r="J436" s="434">
        <v>440</v>
      </c>
      <c r="K436" s="435">
        <v>0</v>
      </c>
      <c r="L436" s="435">
        <v>0</v>
      </c>
    </row>
    <row r="437" spans="1:12" s="428" customFormat="1" ht="9" customHeight="1" x14ac:dyDescent="0.25">
      <c r="A437" s="431" t="s">
        <v>50</v>
      </c>
      <c r="B437" s="427">
        <f t="shared" si="22"/>
        <v>112880</v>
      </c>
      <c r="C437" s="427"/>
      <c r="D437" s="427">
        <v>93793</v>
      </c>
      <c r="E437" s="432">
        <v>142</v>
      </c>
      <c r="F437" s="427">
        <v>13412</v>
      </c>
      <c r="G437" s="427">
        <v>5533</v>
      </c>
      <c r="H437" s="432">
        <v>0</v>
      </c>
      <c r="I437" s="432" t="s">
        <v>22</v>
      </c>
      <c r="J437" s="432">
        <v>0</v>
      </c>
      <c r="K437" s="432">
        <v>0</v>
      </c>
      <c r="L437" s="432">
        <v>0</v>
      </c>
    </row>
    <row r="438" spans="1:12" s="428" customFormat="1" ht="9" customHeight="1" x14ac:dyDescent="0.25">
      <c r="A438" s="431" t="s">
        <v>51</v>
      </c>
      <c r="B438" s="427">
        <f t="shared" si="22"/>
        <v>888373</v>
      </c>
      <c r="C438" s="427"/>
      <c r="D438" s="427">
        <v>515014</v>
      </c>
      <c r="E438" s="432">
        <v>229518</v>
      </c>
      <c r="F438" s="427">
        <v>96524</v>
      </c>
      <c r="G438" s="427">
        <v>35567</v>
      </c>
      <c r="H438" s="427">
        <v>10563</v>
      </c>
      <c r="I438" s="432" t="s">
        <v>22</v>
      </c>
      <c r="J438" s="427">
        <v>833</v>
      </c>
      <c r="K438" s="432">
        <v>0</v>
      </c>
      <c r="L438" s="432">
        <v>354</v>
      </c>
    </row>
    <row r="439" spans="1:12" s="428" customFormat="1" ht="9" customHeight="1" x14ac:dyDescent="0.25">
      <c r="A439" s="431" t="s">
        <v>52</v>
      </c>
      <c r="B439" s="427">
        <f t="shared" si="22"/>
        <v>253194</v>
      </c>
      <c r="C439" s="427"/>
      <c r="D439" s="427">
        <v>137564</v>
      </c>
      <c r="E439" s="432">
        <v>56367</v>
      </c>
      <c r="F439" s="427">
        <v>53181</v>
      </c>
      <c r="G439" s="427">
        <v>5979</v>
      </c>
      <c r="H439" s="432">
        <v>0</v>
      </c>
      <c r="I439" s="432" t="s">
        <v>22</v>
      </c>
      <c r="J439" s="427">
        <v>103</v>
      </c>
      <c r="K439" s="432">
        <v>0</v>
      </c>
      <c r="L439" s="432">
        <v>0</v>
      </c>
    </row>
    <row r="440" spans="1:12" s="428" customFormat="1" ht="9" customHeight="1" x14ac:dyDescent="0.25">
      <c r="A440" s="433" t="s">
        <v>53</v>
      </c>
      <c r="B440" s="434">
        <f t="shared" si="22"/>
        <v>277049</v>
      </c>
      <c r="C440" s="434"/>
      <c r="D440" s="434">
        <v>153303</v>
      </c>
      <c r="E440" s="435">
        <v>45647</v>
      </c>
      <c r="F440" s="434">
        <v>57657</v>
      </c>
      <c r="G440" s="434">
        <v>20442</v>
      </c>
      <c r="H440" s="435">
        <v>0</v>
      </c>
      <c r="I440" s="435" t="s">
        <v>22</v>
      </c>
      <c r="J440" s="435">
        <v>0</v>
      </c>
      <c r="K440" s="435">
        <v>0</v>
      </c>
      <c r="L440" s="435">
        <v>0</v>
      </c>
    </row>
    <row r="441" spans="1:12" s="428" customFormat="1" ht="9" customHeight="1" x14ac:dyDescent="0.25">
      <c r="A441" s="431"/>
      <c r="B441" s="427"/>
      <c r="C441" s="427"/>
      <c r="D441" s="427"/>
      <c r="E441" s="432"/>
      <c r="F441" s="427"/>
      <c r="G441" s="427"/>
      <c r="H441" s="427"/>
      <c r="I441" s="427"/>
      <c r="J441" s="427"/>
      <c r="K441" s="432"/>
      <c r="L441" s="432"/>
    </row>
    <row r="442" spans="1:12" s="428" customFormat="1" ht="9" customHeight="1" x14ac:dyDescent="0.25">
      <c r="A442" s="441">
        <v>2007</v>
      </c>
      <c r="B442" s="440"/>
      <c r="C442" s="440"/>
      <c r="D442" s="440"/>
      <c r="E442" s="440"/>
      <c r="F442" s="440"/>
      <c r="G442" s="440"/>
      <c r="H442" s="440"/>
      <c r="I442" s="440"/>
      <c r="J442" s="440"/>
      <c r="K442" s="440"/>
      <c r="L442" s="440"/>
    </row>
    <row r="443" spans="1:12" s="428" customFormat="1" ht="9" customHeight="1" x14ac:dyDescent="0.25">
      <c r="A443" s="429" t="s">
        <v>21</v>
      </c>
      <c r="B443" s="430">
        <f>SUM(B445:B476)</f>
        <v>12179630</v>
      </c>
      <c r="C443" s="430"/>
      <c r="D443" s="430">
        <f>SUM(D445:D476)</f>
        <v>7830726</v>
      </c>
      <c r="E443" s="430">
        <f>SUM(E445:E476)</f>
        <v>1349554</v>
      </c>
      <c r="F443" s="430">
        <f>SUM(F445:F476)</f>
        <v>2137549</v>
      </c>
      <c r="G443" s="430">
        <f>SUM(G445:G476)</f>
        <v>737643</v>
      </c>
      <c r="H443" s="430">
        <f>SUM(H445:H476)</f>
        <v>34704</v>
      </c>
      <c r="I443" s="442" t="s">
        <v>22</v>
      </c>
      <c r="J443" s="430">
        <f>SUM(J445:J476)</f>
        <v>4321</v>
      </c>
      <c r="K443" s="430">
        <f>SUM(K445:K476)</f>
        <v>82150</v>
      </c>
      <c r="L443" s="430">
        <f>SUM(L445:L476)</f>
        <v>2983</v>
      </c>
    </row>
    <row r="444" spans="1:12" s="428" customFormat="1" ht="3.95" customHeight="1" x14ac:dyDescent="0.25">
      <c r="A444" s="429"/>
      <c r="B444" s="430"/>
      <c r="C444" s="430"/>
      <c r="D444" s="430"/>
      <c r="E444" s="430"/>
      <c r="F444" s="430"/>
      <c r="G444" s="430"/>
      <c r="H444" s="430"/>
      <c r="I444" s="430"/>
      <c r="J444" s="430"/>
      <c r="K444" s="430"/>
      <c r="L444" s="430"/>
    </row>
    <row r="445" spans="1:12" s="428" customFormat="1" ht="9" customHeight="1" x14ac:dyDescent="0.25">
      <c r="A445" s="431" t="s">
        <v>23</v>
      </c>
      <c r="B445" s="427">
        <f t="shared" ref="B445:B476" si="23">SUM(D445:L445)</f>
        <v>181543</v>
      </c>
      <c r="C445" s="427"/>
      <c r="D445" s="427">
        <v>132968</v>
      </c>
      <c r="E445" s="432">
        <v>0</v>
      </c>
      <c r="F445" s="427">
        <v>38282</v>
      </c>
      <c r="G445" s="427">
        <v>10293</v>
      </c>
      <c r="H445" s="432">
        <v>0</v>
      </c>
      <c r="I445" s="432" t="s">
        <v>22</v>
      </c>
      <c r="J445" s="432">
        <v>0</v>
      </c>
      <c r="K445" s="432">
        <v>0</v>
      </c>
      <c r="L445" s="432">
        <v>0</v>
      </c>
    </row>
    <row r="446" spans="1:12" s="428" customFormat="1" ht="9" customHeight="1" x14ac:dyDescent="0.25">
      <c r="A446" s="431" t="s">
        <v>24</v>
      </c>
      <c r="B446" s="427">
        <f t="shared" si="23"/>
        <v>263639</v>
      </c>
      <c r="C446" s="427"/>
      <c r="D446" s="427">
        <v>108443</v>
      </c>
      <c r="E446" s="432">
        <v>10591</v>
      </c>
      <c r="F446" s="427">
        <v>123961</v>
      </c>
      <c r="G446" s="427">
        <v>12111</v>
      </c>
      <c r="H446" s="432">
        <v>0</v>
      </c>
      <c r="I446" s="432" t="s">
        <v>22</v>
      </c>
      <c r="J446" s="432">
        <v>5</v>
      </c>
      <c r="K446" s="427">
        <v>8528</v>
      </c>
      <c r="L446" s="432">
        <v>0</v>
      </c>
    </row>
    <row r="447" spans="1:12" s="428" customFormat="1" ht="9" customHeight="1" x14ac:dyDescent="0.25">
      <c r="A447" s="431" t="s">
        <v>25</v>
      </c>
      <c r="B447" s="427">
        <f t="shared" si="23"/>
        <v>47823</v>
      </c>
      <c r="C447" s="427"/>
      <c r="D447" s="427">
        <v>30784</v>
      </c>
      <c r="E447" s="432">
        <v>0</v>
      </c>
      <c r="F447" s="427">
        <v>9831</v>
      </c>
      <c r="G447" s="427">
        <v>7120</v>
      </c>
      <c r="H447" s="432">
        <v>0</v>
      </c>
      <c r="I447" s="432" t="s">
        <v>22</v>
      </c>
      <c r="J447" s="427">
        <v>88</v>
      </c>
      <c r="K447" s="432">
        <v>0</v>
      </c>
      <c r="L447" s="432">
        <v>0</v>
      </c>
    </row>
    <row r="448" spans="1:12" s="428" customFormat="1" ht="9" customHeight="1" x14ac:dyDescent="0.25">
      <c r="A448" s="433" t="s">
        <v>26</v>
      </c>
      <c r="B448" s="443">
        <f t="shared" si="23"/>
        <v>124686</v>
      </c>
      <c r="C448" s="434"/>
      <c r="D448" s="443">
        <v>68444</v>
      </c>
      <c r="E448" s="435">
        <v>25297</v>
      </c>
      <c r="F448" s="434">
        <v>19451</v>
      </c>
      <c r="G448" s="434">
        <v>9189</v>
      </c>
      <c r="H448" s="434">
        <v>1659</v>
      </c>
      <c r="I448" s="435" t="s">
        <v>22</v>
      </c>
      <c r="J448" s="434">
        <v>646</v>
      </c>
      <c r="K448" s="435">
        <v>0</v>
      </c>
      <c r="L448" s="435">
        <v>0</v>
      </c>
    </row>
    <row r="449" spans="1:12" s="428" customFormat="1" ht="9" customHeight="1" x14ac:dyDescent="0.25">
      <c r="A449" s="431" t="s">
        <v>27</v>
      </c>
      <c r="B449" s="427">
        <f t="shared" si="23"/>
        <v>296477</v>
      </c>
      <c r="C449" s="427"/>
      <c r="D449" s="427">
        <v>157388</v>
      </c>
      <c r="E449" s="432">
        <v>29963</v>
      </c>
      <c r="F449" s="427">
        <v>94490</v>
      </c>
      <c r="G449" s="427">
        <v>12342</v>
      </c>
      <c r="H449" s="432">
        <v>0</v>
      </c>
      <c r="I449" s="432" t="s">
        <v>22</v>
      </c>
      <c r="J449" s="432">
        <v>0</v>
      </c>
      <c r="K449" s="432">
        <v>0</v>
      </c>
      <c r="L449" s="427">
        <v>2294</v>
      </c>
    </row>
    <row r="450" spans="1:12" s="428" customFormat="1" ht="9" customHeight="1" x14ac:dyDescent="0.25">
      <c r="A450" s="431" t="s">
        <v>28</v>
      </c>
      <c r="B450" s="427">
        <f t="shared" si="23"/>
        <v>78341</v>
      </c>
      <c r="C450" s="427"/>
      <c r="D450" s="427">
        <v>52776</v>
      </c>
      <c r="E450" s="432">
        <v>0</v>
      </c>
      <c r="F450" s="427">
        <v>18742</v>
      </c>
      <c r="G450" s="427">
        <v>6275</v>
      </c>
      <c r="H450" s="432">
        <v>0</v>
      </c>
      <c r="I450" s="432" t="s">
        <v>22</v>
      </c>
      <c r="J450" s="427">
        <v>548</v>
      </c>
      <c r="K450" s="432">
        <v>0</v>
      </c>
      <c r="L450" s="432">
        <v>0</v>
      </c>
    </row>
    <row r="451" spans="1:12" s="428" customFormat="1" ht="9" customHeight="1" x14ac:dyDescent="0.25">
      <c r="A451" s="431" t="s">
        <v>29</v>
      </c>
      <c r="B451" s="427">
        <f t="shared" si="23"/>
        <v>703911</v>
      </c>
      <c r="C451" s="427"/>
      <c r="D451" s="427">
        <v>369107</v>
      </c>
      <c r="E451" s="432">
        <v>257907</v>
      </c>
      <c r="F451" s="427">
        <v>60013</v>
      </c>
      <c r="G451" s="427">
        <v>11828</v>
      </c>
      <c r="H451" s="427">
        <v>622</v>
      </c>
      <c r="I451" s="432" t="s">
        <v>22</v>
      </c>
      <c r="J451" s="427">
        <v>0</v>
      </c>
      <c r="K451" s="427">
        <v>4434</v>
      </c>
      <c r="L451" s="432">
        <v>0</v>
      </c>
    </row>
    <row r="452" spans="1:12" s="428" customFormat="1" ht="9" customHeight="1" x14ac:dyDescent="0.25">
      <c r="A452" s="433" t="s">
        <v>30</v>
      </c>
      <c r="B452" s="434">
        <f t="shared" si="23"/>
        <v>361726</v>
      </c>
      <c r="C452" s="434"/>
      <c r="D452" s="434">
        <v>222885</v>
      </c>
      <c r="E452" s="435">
        <v>47559</v>
      </c>
      <c r="F452" s="434">
        <v>78338</v>
      </c>
      <c r="G452" s="434">
        <v>12777</v>
      </c>
      <c r="H452" s="434">
        <v>167</v>
      </c>
      <c r="I452" s="435" t="s">
        <v>22</v>
      </c>
      <c r="J452" s="435">
        <v>0</v>
      </c>
      <c r="K452" s="435">
        <v>0</v>
      </c>
      <c r="L452" s="435">
        <v>0</v>
      </c>
    </row>
    <row r="453" spans="1:12" s="428" customFormat="1" ht="9" customHeight="1" x14ac:dyDescent="0.25">
      <c r="A453" s="431" t="s">
        <v>63</v>
      </c>
      <c r="B453" s="427">
        <f t="shared" si="23"/>
        <v>468958</v>
      </c>
      <c r="C453" s="427"/>
      <c r="D453" s="427">
        <v>130230</v>
      </c>
      <c r="E453" s="432">
        <v>1674</v>
      </c>
      <c r="F453" s="427">
        <v>118504</v>
      </c>
      <c r="G453" s="427">
        <v>212045</v>
      </c>
      <c r="H453" s="427">
        <v>2495</v>
      </c>
      <c r="I453" s="432" t="s">
        <v>22</v>
      </c>
      <c r="J453" s="427">
        <v>401</v>
      </c>
      <c r="K453" s="427">
        <v>3609</v>
      </c>
      <c r="L453" s="432">
        <v>0</v>
      </c>
    </row>
    <row r="454" spans="1:12" s="428" customFormat="1" ht="9" customHeight="1" x14ac:dyDescent="0.25">
      <c r="A454" s="431" t="s">
        <v>31</v>
      </c>
      <c r="B454" s="427">
        <f t="shared" si="23"/>
        <v>231724</v>
      </c>
      <c r="C454" s="427"/>
      <c r="D454" s="427">
        <v>107320</v>
      </c>
      <c r="E454" s="432">
        <v>52691</v>
      </c>
      <c r="F454" s="427">
        <v>63014</v>
      </c>
      <c r="G454" s="427">
        <v>8699</v>
      </c>
      <c r="H454" s="432">
        <v>0</v>
      </c>
      <c r="I454" s="432" t="s">
        <v>22</v>
      </c>
      <c r="J454" s="432">
        <v>0</v>
      </c>
      <c r="K454" s="432">
        <v>0</v>
      </c>
      <c r="L454" s="432">
        <v>0</v>
      </c>
    </row>
    <row r="455" spans="1:12" s="428" customFormat="1" ht="9" customHeight="1" x14ac:dyDescent="0.25">
      <c r="A455" s="431" t="s">
        <v>32</v>
      </c>
      <c r="B455" s="427">
        <f t="shared" si="23"/>
        <v>448639</v>
      </c>
      <c r="C455" s="427"/>
      <c r="D455" s="427">
        <v>320340</v>
      </c>
      <c r="E455" s="432">
        <v>2662</v>
      </c>
      <c r="F455" s="427">
        <v>95670</v>
      </c>
      <c r="G455" s="427">
        <v>28225</v>
      </c>
      <c r="H455" s="427">
        <v>1742</v>
      </c>
      <c r="I455" s="432" t="s">
        <v>22</v>
      </c>
      <c r="J455" s="432">
        <v>0</v>
      </c>
      <c r="K455" s="432">
        <v>0</v>
      </c>
      <c r="L455" s="432">
        <v>0</v>
      </c>
    </row>
    <row r="456" spans="1:12" s="428" customFormat="1" ht="9" customHeight="1" x14ac:dyDescent="0.25">
      <c r="A456" s="433" t="s">
        <v>33</v>
      </c>
      <c r="B456" s="434">
        <f t="shared" si="23"/>
        <v>729049</v>
      </c>
      <c r="C456" s="434"/>
      <c r="D456" s="434">
        <v>646656</v>
      </c>
      <c r="E456" s="435">
        <v>1624</v>
      </c>
      <c r="F456" s="434">
        <v>52008</v>
      </c>
      <c r="G456" s="434">
        <v>28613</v>
      </c>
      <c r="H456" s="435">
        <v>0</v>
      </c>
      <c r="I456" s="435" t="s">
        <v>22</v>
      </c>
      <c r="J456" s="434">
        <v>148</v>
      </c>
      <c r="K456" s="435">
        <v>0</v>
      </c>
      <c r="L456" s="435">
        <v>0</v>
      </c>
    </row>
    <row r="457" spans="1:12" s="428" customFormat="1" ht="9" customHeight="1" x14ac:dyDescent="0.25">
      <c r="A457" s="431" t="s">
        <v>34</v>
      </c>
      <c r="B457" s="427">
        <f t="shared" si="23"/>
        <v>336772</v>
      </c>
      <c r="C457" s="427"/>
      <c r="D457" s="427">
        <v>206589</v>
      </c>
      <c r="E457" s="432">
        <v>61838</v>
      </c>
      <c r="F457" s="427">
        <v>40638</v>
      </c>
      <c r="G457" s="427">
        <v>26177</v>
      </c>
      <c r="H457" s="427">
        <v>1530</v>
      </c>
      <c r="I457" s="432" t="s">
        <v>22</v>
      </c>
      <c r="J457" s="432">
        <v>0</v>
      </c>
      <c r="K457" s="432">
        <v>0</v>
      </c>
      <c r="L457" s="432">
        <v>0</v>
      </c>
    </row>
    <row r="458" spans="1:12" s="428" customFormat="1" ht="9" customHeight="1" x14ac:dyDescent="0.25">
      <c r="A458" s="431" t="s">
        <v>35</v>
      </c>
      <c r="B458" s="427">
        <f t="shared" si="23"/>
        <v>525661</v>
      </c>
      <c r="C458" s="427"/>
      <c r="D458" s="427">
        <v>414779</v>
      </c>
      <c r="E458" s="432">
        <v>935</v>
      </c>
      <c r="F458" s="427">
        <v>81626</v>
      </c>
      <c r="G458" s="427">
        <v>27894</v>
      </c>
      <c r="H458" s="427">
        <v>361</v>
      </c>
      <c r="I458" s="432" t="s">
        <v>22</v>
      </c>
      <c r="J458" s="427">
        <v>66</v>
      </c>
      <c r="K458" s="432">
        <v>0</v>
      </c>
      <c r="L458" s="432">
        <v>0</v>
      </c>
    </row>
    <row r="459" spans="1:12" s="428" customFormat="1" ht="9" customHeight="1" x14ac:dyDescent="0.25">
      <c r="A459" s="431" t="s">
        <v>36</v>
      </c>
      <c r="B459" s="427">
        <f t="shared" si="23"/>
        <v>1721300</v>
      </c>
      <c r="C459" s="427"/>
      <c r="D459" s="427">
        <v>1492953</v>
      </c>
      <c r="E459" s="432">
        <v>1354</v>
      </c>
      <c r="F459" s="427">
        <v>164119</v>
      </c>
      <c r="G459" s="427">
        <v>31061</v>
      </c>
      <c r="H459" s="427">
        <v>150</v>
      </c>
      <c r="I459" s="432" t="s">
        <v>22</v>
      </c>
      <c r="J459" s="432">
        <v>0</v>
      </c>
      <c r="K459" s="427">
        <v>31663</v>
      </c>
      <c r="L459" s="432">
        <v>0</v>
      </c>
    </row>
    <row r="460" spans="1:12" s="428" customFormat="1" ht="9" customHeight="1" x14ac:dyDescent="0.25">
      <c r="A460" s="433" t="s">
        <v>37</v>
      </c>
      <c r="B460" s="434">
        <f t="shared" si="23"/>
        <v>501610</v>
      </c>
      <c r="C460" s="434"/>
      <c r="D460" s="434">
        <v>324575</v>
      </c>
      <c r="E460" s="435">
        <v>89587</v>
      </c>
      <c r="F460" s="434">
        <v>71439</v>
      </c>
      <c r="G460" s="434">
        <v>15761</v>
      </c>
      <c r="H460" s="435">
        <v>0</v>
      </c>
      <c r="I460" s="435" t="s">
        <v>22</v>
      </c>
      <c r="J460" s="434">
        <v>248</v>
      </c>
      <c r="K460" s="435">
        <v>0</v>
      </c>
      <c r="L460" s="435">
        <v>0</v>
      </c>
    </row>
    <row r="461" spans="1:12" s="428" customFormat="1" ht="9" customHeight="1" x14ac:dyDescent="0.25">
      <c r="A461" s="431" t="s">
        <v>38</v>
      </c>
      <c r="B461" s="427">
        <f t="shared" si="23"/>
        <v>279511</v>
      </c>
      <c r="C461" s="427"/>
      <c r="D461" s="427">
        <v>115225</v>
      </c>
      <c r="E461" s="432">
        <v>521</v>
      </c>
      <c r="F461" s="427">
        <v>140052</v>
      </c>
      <c r="G461" s="427">
        <v>23713</v>
      </c>
      <c r="H461" s="432">
        <v>0</v>
      </c>
      <c r="I461" s="432" t="s">
        <v>22</v>
      </c>
      <c r="J461" s="432">
        <v>0</v>
      </c>
      <c r="K461" s="432">
        <v>0</v>
      </c>
      <c r="L461" s="432">
        <v>0</v>
      </c>
    </row>
    <row r="462" spans="1:12" s="428" customFormat="1" ht="9" customHeight="1" x14ac:dyDescent="0.25">
      <c r="A462" s="431" t="s">
        <v>39</v>
      </c>
      <c r="B462" s="427">
        <f t="shared" si="23"/>
        <v>169435</v>
      </c>
      <c r="C462" s="427"/>
      <c r="D462" s="427">
        <v>118035</v>
      </c>
      <c r="E462" s="432">
        <v>17198</v>
      </c>
      <c r="F462" s="427">
        <v>27782</v>
      </c>
      <c r="G462" s="427">
        <v>6360</v>
      </c>
      <c r="H462" s="432">
        <v>0</v>
      </c>
      <c r="I462" s="432" t="s">
        <v>22</v>
      </c>
      <c r="J462" s="432">
        <v>60</v>
      </c>
      <c r="K462" s="432">
        <v>0</v>
      </c>
      <c r="L462" s="432">
        <v>0</v>
      </c>
    </row>
    <row r="463" spans="1:12" s="428" customFormat="1" ht="9" customHeight="1" x14ac:dyDescent="0.25">
      <c r="A463" s="431" t="s">
        <v>40</v>
      </c>
      <c r="B463" s="427">
        <f t="shared" si="23"/>
        <v>297624</v>
      </c>
      <c r="C463" s="427"/>
      <c r="D463" s="427">
        <v>191283</v>
      </c>
      <c r="E463" s="432">
        <v>307</v>
      </c>
      <c r="F463" s="427">
        <v>91118</v>
      </c>
      <c r="G463" s="427">
        <v>13346</v>
      </c>
      <c r="H463" s="432">
        <v>1208</v>
      </c>
      <c r="I463" s="432" t="s">
        <v>22</v>
      </c>
      <c r="J463" s="432">
        <v>0</v>
      </c>
      <c r="K463" s="427">
        <v>0</v>
      </c>
      <c r="L463" s="432">
        <v>362</v>
      </c>
    </row>
    <row r="464" spans="1:12" s="428" customFormat="1" ht="9" customHeight="1" x14ac:dyDescent="0.25">
      <c r="A464" s="433" t="s">
        <v>41</v>
      </c>
      <c r="B464" s="434">
        <f t="shared" si="23"/>
        <v>397705</v>
      </c>
      <c r="C464" s="434"/>
      <c r="D464" s="434">
        <v>223404</v>
      </c>
      <c r="E464" s="435">
        <v>121401</v>
      </c>
      <c r="F464" s="434">
        <v>32760</v>
      </c>
      <c r="G464" s="434">
        <v>18587</v>
      </c>
      <c r="H464" s="434">
        <v>1159</v>
      </c>
      <c r="I464" s="435" t="s">
        <v>22</v>
      </c>
      <c r="J464" s="434">
        <v>394</v>
      </c>
      <c r="K464" s="435">
        <v>0</v>
      </c>
      <c r="L464" s="435">
        <v>0</v>
      </c>
    </row>
    <row r="465" spans="1:12" s="428" customFormat="1" ht="9" customHeight="1" x14ac:dyDescent="0.25">
      <c r="A465" s="431" t="s">
        <v>42</v>
      </c>
      <c r="B465" s="427">
        <f t="shared" si="23"/>
        <v>775322</v>
      </c>
      <c r="C465" s="427"/>
      <c r="D465" s="427">
        <v>485068</v>
      </c>
      <c r="E465" s="432">
        <v>168211</v>
      </c>
      <c r="F465" s="427">
        <v>72034</v>
      </c>
      <c r="G465" s="427">
        <v>35304</v>
      </c>
      <c r="H465" s="427">
        <v>479</v>
      </c>
      <c r="I465" s="432" t="s">
        <v>22</v>
      </c>
      <c r="J465" s="432">
        <v>0</v>
      </c>
      <c r="K465" s="427">
        <v>14105</v>
      </c>
      <c r="L465" s="432">
        <v>121</v>
      </c>
    </row>
    <row r="466" spans="1:12" s="428" customFormat="1" ht="9" customHeight="1" x14ac:dyDescent="0.25">
      <c r="A466" s="431" t="s">
        <v>43</v>
      </c>
      <c r="B466" s="427">
        <f t="shared" si="23"/>
        <v>156945</v>
      </c>
      <c r="C466" s="427"/>
      <c r="D466" s="427">
        <v>91466</v>
      </c>
      <c r="E466" s="432">
        <v>906</v>
      </c>
      <c r="F466" s="427">
        <v>62525</v>
      </c>
      <c r="G466" s="427">
        <v>2048</v>
      </c>
      <c r="H466" s="432">
        <v>0</v>
      </c>
      <c r="I466" s="432" t="s">
        <v>22</v>
      </c>
      <c r="J466" s="432">
        <v>0</v>
      </c>
      <c r="K466" s="432">
        <v>0</v>
      </c>
      <c r="L466" s="432">
        <v>0</v>
      </c>
    </row>
    <row r="467" spans="1:12" s="428" customFormat="1" ht="9" customHeight="1" x14ac:dyDescent="0.25">
      <c r="A467" s="431" t="s">
        <v>44</v>
      </c>
      <c r="B467" s="427">
        <f t="shared" si="23"/>
        <v>124753</v>
      </c>
      <c r="C467" s="427"/>
      <c r="D467" s="427">
        <v>91503</v>
      </c>
      <c r="E467" s="432">
        <v>0</v>
      </c>
      <c r="F467" s="427">
        <v>26044</v>
      </c>
      <c r="G467" s="427">
        <v>7142</v>
      </c>
      <c r="H467" s="432">
        <v>0</v>
      </c>
      <c r="I467" s="432" t="s">
        <v>22</v>
      </c>
      <c r="J467" s="427">
        <v>64</v>
      </c>
      <c r="K467" s="432">
        <v>0</v>
      </c>
      <c r="L467" s="432">
        <v>0</v>
      </c>
    </row>
    <row r="468" spans="1:12" s="428" customFormat="1" ht="9" customHeight="1" x14ac:dyDescent="0.25">
      <c r="A468" s="433" t="s">
        <v>45</v>
      </c>
      <c r="B468" s="434">
        <f t="shared" si="23"/>
        <v>354968</v>
      </c>
      <c r="C468" s="434"/>
      <c r="D468" s="434">
        <v>205804</v>
      </c>
      <c r="E468" s="435">
        <v>76652</v>
      </c>
      <c r="F468" s="434">
        <v>51627</v>
      </c>
      <c r="G468" s="434">
        <v>19912</v>
      </c>
      <c r="H468" s="434">
        <v>973</v>
      </c>
      <c r="I468" s="435" t="s">
        <v>22</v>
      </c>
      <c r="J468" s="435">
        <v>0</v>
      </c>
      <c r="K468" s="435">
        <v>0</v>
      </c>
      <c r="L468" s="435">
        <v>0</v>
      </c>
    </row>
    <row r="469" spans="1:12" s="428" customFormat="1" ht="9" customHeight="1" x14ac:dyDescent="0.25">
      <c r="A469" s="431" t="s">
        <v>46</v>
      </c>
      <c r="B469" s="427">
        <f t="shared" si="23"/>
        <v>348755</v>
      </c>
      <c r="C469" s="427"/>
      <c r="D469" s="427">
        <v>154334</v>
      </c>
      <c r="E469" s="432">
        <v>55547</v>
      </c>
      <c r="F469" s="427">
        <v>102490</v>
      </c>
      <c r="G469" s="427">
        <v>36073</v>
      </c>
      <c r="H469" s="427">
        <v>33</v>
      </c>
      <c r="I469" s="432" t="s">
        <v>22</v>
      </c>
      <c r="J469" s="427">
        <v>278</v>
      </c>
      <c r="K469" s="432">
        <v>0</v>
      </c>
      <c r="L469" s="432">
        <v>0</v>
      </c>
    </row>
    <row r="470" spans="1:12" s="428" customFormat="1" ht="9" customHeight="1" x14ac:dyDescent="0.25">
      <c r="A470" s="431" t="s">
        <v>47</v>
      </c>
      <c r="B470" s="427">
        <f t="shared" si="23"/>
        <v>219733</v>
      </c>
      <c r="C470" s="427"/>
      <c r="D470" s="427">
        <v>138431</v>
      </c>
      <c r="E470" s="432">
        <v>442</v>
      </c>
      <c r="F470" s="427">
        <v>56655</v>
      </c>
      <c r="G470" s="427">
        <v>13701</v>
      </c>
      <c r="H470" s="432">
        <v>0</v>
      </c>
      <c r="I470" s="432" t="s">
        <v>22</v>
      </c>
      <c r="J470" s="427">
        <v>304</v>
      </c>
      <c r="K470" s="432">
        <v>10200</v>
      </c>
      <c r="L470" s="432">
        <v>0</v>
      </c>
    </row>
    <row r="471" spans="1:12" s="428" customFormat="1" ht="9" customHeight="1" x14ac:dyDescent="0.25">
      <c r="A471" s="431" t="s">
        <v>48</v>
      </c>
      <c r="B471" s="427">
        <f t="shared" si="23"/>
        <v>329159</v>
      </c>
      <c r="C471" s="427"/>
      <c r="D471" s="427">
        <v>264155</v>
      </c>
      <c r="E471" s="432">
        <v>0</v>
      </c>
      <c r="F471" s="427">
        <v>44973</v>
      </c>
      <c r="G471" s="427">
        <v>5830</v>
      </c>
      <c r="H471" s="427">
        <v>4468</v>
      </c>
      <c r="I471" s="432" t="s">
        <v>22</v>
      </c>
      <c r="J471" s="427">
        <v>122</v>
      </c>
      <c r="K471" s="427">
        <v>9611</v>
      </c>
      <c r="L471" s="432">
        <v>0</v>
      </c>
    </row>
    <row r="472" spans="1:12" s="428" customFormat="1" ht="9" customHeight="1" x14ac:dyDescent="0.25">
      <c r="A472" s="433" t="s">
        <v>49</v>
      </c>
      <c r="B472" s="434">
        <f t="shared" si="23"/>
        <v>220171</v>
      </c>
      <c r="C472" s="434"/>
      <c r="D472" s="434">
        <v>97781</v>
      </c>
      <c r="E472" s="435">
        <v>26844</v>
      </c>
      <c r="F472" s="434">
        <v>59176</v>
      </c>
      <c r="G472" s="434">
        <v>32011</v>
      </c>
      <c r="H472" s="434">
        <v>4241</v>
      </c>
      <c r="I472" s="435" t="s">
        <v>22</v>
      </c>
      <c r="J472" s="434">
        <v>118</v>
      </c>
      <c r="K472" s="435">
        <v>0</v>
      </c>
      <c r="L472" s="435">
        <v>0</v>
      </c>
    </row>
    <row r="473" spans="1:12" s="428" customFormat="1" ht="9" customHeight="1" x14ac:dyDescent="0.25">
      <c r="A473" s="431" t="s">
        <v>50</v>
      </c>
      <c r="B473" s="427">
        <f t="shared" si="23"/>
        <v>110770</v>
      </c>
      <c r="C473" s="427"/>
      <c r="D473" s="427">
        <v>90186</v>
      </c>
      <c r="E473" s="432">
        <v>589</v>
      </c>
      <c r="F473" s="427">
        <v>14329</v>
      </c>
      <c r="G473" s="427">
        <v>5666</v>
      </c>
      <c r="H473" s="432">
        <v>0</v>
      </c>
      <c r="I473" s="432" t="s">
        <v>22</v>
      </c>
      <c r="J473" s="432">
        <v>0</v>
      </c>
      <c r="K473" s="432">
        <v>0</v>
      </c>
      <c r="L473" s="432">
        <v>0</v>
      </c>
    </row>
    <row r="474" spans="1:12" s="428" customFormat="1" ht="9" customHeight="1" x14ac:dyDescent="0.25">
      <c r="A474" s="431" t="s">
        <v>51</v>
      </c>
      <c r="B474" s="427">
        <f t="shared" si="23"/>
        <v>822098</v>
      </c>
      <c r="C474" s="427"/>
      <c r="D474" s="427">
        <v>489972</v>
      </c>
      <c r="E474" s="432">
        <v>192911</v>
      </c>
      <c r="F474" s="427">
        <v>92930</v>
      </c>
      <c r="G474" s="427">
        <v>31863</v>
      </c>
      <c r="H474" s="427">
        <v>13417</v>
      </c>
      <c r="I474" s="432" t="s">
        <v>22</v>
      </c>
      <c r="J474" s="427">
        <v>799</v>
      </c>
      <c r="K474" s="432">
        <v>0</v>
      </c>
      <c r="L474" s="432">
        <v>206</v>
      </c>
    </row>
    <row r="475" spans="1:12" s="428" customFormat="1" ht="9" customHeight="1" x14ac:dyDescent="0.25">
      <c r="A475" s="431" t="s">
        <v>52</v>
      </c>
      <c r="B475" s="427">
        <f t="shared" si="23"/>
        <v>247084</v>
      </c>
      <c r="C475" s="427"/>
      <c r="D475" s="427">
        <v>129279</v>
      </c>
      <c r="E475" s="432">
        <v>57446</v>
      </c>
      <c r="F475" s="427">
        <v>55406</v>
      </c>
      <c r="G475" s="427">
        <v>4921</v>
      </c>
      <c r="H475" s="432">
        <v>0</v>
      </c>
      <c r="I475" s="432" t="s">
        <v>22</v>
      </c>
      <c r="J475" s="427">
        <v>32</v>
      </c>
      <c r="K475" s="432">
        <v>0</v>
      </c>
      <c r="L475" s="432">
        <v>0</v>
      </c>
    </row>
    <row r="476" spans="1:12" s="428" customFormat="1" ht="9" customHeight="1" x14ac:dyDescent="0.25">
      <c r="A476" s="433" t="s">
        <v>53</v>
      </c>
      <c r="B476" s="434">
        <f t="shared" si="23"/>
        <v>303738</v>
      </c>
      <c r="C476" s="434"/>
      <c r="D476" s="434">
        <v>158563</v>
      </c>
      <c r="E476" s="435">
        <v>46897</v>
      </c>
      <c r="F476" s="434">
        <v>77522</v>
      </c>
      <c r="G476" s="434">
        <v>20756</v>
      </c>
      <c r="H476" s="435">
        <v>0</v>
      </c>
      <c r="I476" s="435" t="s">
        <v>22</v>
      </c>
      <c r="J476" s="435">
        <v>0</v>
      </c>
      <c r="K476" s="435">
        <v>0</v>
      </c>
      <c r="L476" s="435">
        <v>0</v>
      </c>
    </row>
    <row r="477" spans="1:12" s="428" customFormat="1" ht="7.5" customHeight="1" x14ac:dyDescent="0.25">
      <c r="A477" s="431"/>
      <c r="B477" s="427"/>
      <c r="C477" s="427"/>
      <c r="D477" s="427"/>
      <c r="E477" s="432"/>
      <c r="F477" s="427"/>
      <c r="G477" s="427"/>
      <c r="H477" s="427"/>
      <c r="I477" s="427"/>
      <c r="J477" s="427"/>
      <c r="K477" s="432"/>
      <c r="L477" s="432"/>
    </row>
    <row r="478" spans="1:12" s="428" customFormat="1" ht="9" customHeight="1" x14ac:dyDescent="0.25">
      <c r="A478" s="441">
        <v>2008</v>
      </c>
      <c r="B478" s="440"/>
      <c r="C478" s="440"/>
      <c r="D478" s="440"/>
      <c r="E478" s="440"/>
      <c r="F478" s="440"/>
      <c r="G478" s="440"/>
      <c r="H478" s="440"/>
      <c r="I478" s="440"/>
      <c r="J478" s="440"/>
      <c r="K478" s="440"/>
      <c r="L478" s="440"/>
    </row>
    <row r="479" spans="1:12" s="428" customFormat="1" ht="9" customHeight="1" x14ac:dyDescent="0.25">
      <c r="A479" s="429" t="s">
        <v>21</v>
      </c>
      <c r="B479" s="430">
        <f>SUM(B481:B512)</f>
        <v>11574310</v>
      </c>
      <c r="C479" s="430"/>
      <c r="D479" s="430">
        <f>SUM(D481:D512)</f>
        <v>7577925</v>
      </c>
      <c r="E479" s="430">
        <f>SUM(E481:E512)</f>
        <v>1013926</v>
      </c>
      <c r="F479" s="430">
        <f>SUM(F481:F512)</f>
        <v>2121459</v>
      </c>
      <c r="G479" s="430">
        <f>SUM(G481:G512)</f>
        <v>729750</v>
      </c>
      <c r="H479" s="430">
        <f>SUM(H481:H512)</f>
        <v>36342</v>
      </c>
      <c r="I479" s="442" t="s">
        <v>22</v>
      </c>
      <c r="J479" s="430">
        <f>SUM(J481:J512)</f>
        <v>13081</v>
      </c>
      <c r="K479" s="430">
        <f>SUM(K481:K512)</f>
        <v>81465</v>
      </c>
      <c r="L479" s="430">
        <f>SUM(L481:L512)</f>
        <v>362</v>
      </c>
    </row>
    <row r="480" spans="1:12" s="428" customFormat="1" ht="3.95" customHeight="1" x14ac:dyDescent="0.25">
      <c r="A480" s="429"/>
      <c r="B480" s="430"/>
      <c r="C480" s="430"/>
      <c r="D480" s="430"/>
      <c r="E480" s="430"/>
      <c r="F480" s="430"/>
      <c r="G480" s="430"/>
      <c r="H480" s="430"/>
      <c r="I480" s="430"/>
      <c r="J480" s="430"/>
      <c r="K480" s="430"/>
      <c r="L480" s="430"/>
    </row>
    <row r="481" spans="1:12" s="428" customFormat="1" ht="9" customHeight="1" x14ac:dyDescent="0.25">
      <c r="A481" s="431" t="s">
        <v>23</v>
      </c>
      <c r="B481" s="427">
        <f t="shared" ref="B481:B512" si="24">SUM(D481:L481)</f>
        <v>173070</v>
      </c>
      <c r="C481" s="427"/>
      <c r="D481" s="427">
        <v>136919</v>
      </c>
      <c r="E481" s="432">
        <v>0</v>
      </c>
      <c r="F481" s="427">
        <v>27307</v>
      </c>
      <c r="G481" s="427">
        <v>8844</v>
      </c>
      <c r="H481" s="432">
        <v>0</v>
      </c>
      <c r="I481" s="432" t="s">
        <v>22</v>
      </c>
      <c r="J481" s="432">
        <v>0</v>
      </c>
      <c r="K481" s="432">
        <v>0</v>
      </c>
      <c r="L481" s="432">
        <v>0</v>
      </c>
    </row>
    <row r="482" spans="1:12" s="428" customFormat="1" ht="9" customHeight="1" x14ac:dyDescent="0.25">
      <c r="A482" s="431" t="s">
        <v>24</v>
      </c>
      <c r="B482" s="427">
        <f t="shared" si="24"/>
        <v>243865</v>
      </c>
      <c r="C482" s="427"/>
      <c r="D482" s="427">
        <v>94480</v>
      </c>
      <c r="E482" s="432">
        <v>7216</v>
      </c>
      <c r="F482" s="427">
        <v>121701</v>
      </c>
      <c r="G482" s="427">
        <v>11626</v>
      </c>
      <c r="H482" s="432">
        <v>0</v>
      </c>
      <c r="I482" s="432" t="s">
        <v>22</v>
      </c>
      <c r="J482" s="432">
        <v>45</v>
      </c>
      <c r="K482" s="427">
        <v>8797</v>
      </c>
      <c r="L482" s="432">
        <v>0</v>
      </c>
    </row>
    <row r="483" spans="1:12" s="428" customFormat="1" ht="9" customHeight="1" x14ac:dyDescent="0.25">
      <c r="A483" s="431" t="s">
        <v>25</v>
      </c>
      <c r="B483" s="427">
        <f t="shared" si="24"/>
        <v>48391</v>
      </c>
      <c r="C483" s="427"/>
      <c r="D483" s="427">
        <v>33050</v>
      </c>
      <c r="E483" s="432">
        <v>0</v>
      </c>
      <c r="F483" s="427">
        <v>9005</v>
      </c>
      <c r="G483" s="427">
        <v>6241</v>
      </c>
      <c r="H483" s="432">
        <v>0</v>
      </c>
      <c r="I483" s="432" t="s">
        <v>22</v>
      </c>
      <c r="J483" s="427">
        <v>95</v>
      </c>
      <c r="K483" s="432">
        <v>0</v>
      </c>
      <c r="L483" s="432">
        <v>0</v>
      </c>
    </row>
    <row r="484" spans="1:12" s="428" customFormat="1" ht="9" customHeight="1" x14ac:dyDescent="0.25">
      <c r="A484" s="433" t="s">
        <v>26</v>
      </c>
      <c r="B484" s="443">
        <f t="shared" si="24"/>
        <v>122591</v>
      </c>
      <c r="C484" s="434"/>
      <c r="D484" s="443">
        <v>67894</v>
      </c>
      <c r="E484" s="435">
        <v>19633</v>
      </c>
      <c r="F484" s="434">
        <v>22345</v>
      </c>
      <c r="G484" s="434">
        <v>9295</v>
      </c>
      <c r="H484" s="434">
        <v>2151</v>
      </c>
      <c r="I484" s="435" t="s">
        <v>22</v>
      </c>
      <c r="J484" s="434">
        <v>1273</v>
      </c>
      <c r="K484" s="435">
        <v>0</v>
      </c>
      <c r="L484" s="435">
        <v>0</v>
      </c>
    </row>
    <row r="485" spans="1:12" s="428" customFormat="1" ht="9" customHeight="1" x14ac:dyDescent="0.25">
      <c r="A485" s="431" t="s">
        <v>27</v>
      </c>
      <c r="B485" s="427">
        <f t="shared" si="24"/>
        <v>262911</v>
      </c>
      <c r="C485" s="427"/>
      <c r="D485" s="427">
        <v>128403</v>
      </c>
      <c r="E485" s="432">
        <v>20577</v>
      </c>
      <c r="F485" s="427">
        <v>101041</v>
      </c>
      <c r="G485" s="427">
        <v>12890</v>
      </c>
      <c r="H485" s="432">
        <v>0</v>
      </c>
      <c r="I485" s="432" t="s">
        <v>22</v>
      </c>
      <c r="J485" s="432">
        <v>0</v>
      </c>
      <c r="K485" s="432">
        <v>0</v>
      </c>
      <c r="L485" s="427">
        <v>0</v>
      </c>
    </row>
    <row r="486" spans="1:12" s="428" customFormat="1" ht="9" customHeight="1" x14ac:dyDescent="0.25">
      <c r="A486" s="431" t="s">
        <v>28</v>
      </c>
      <c r="B486" s="427">
        <f t="shared" si="24"/>
        <v>74869</v>
      </c>
      <c r="C486" s="427"/>
      <c r="D486" s="427">
        <v>49151</v>
      </c>
      <c r="E486" s="432">
        <v>0</v>
      </c>
      <c r="F486" s="427">
        <v>18351</v>
      </c>
      <c r="G486" s="427">
        <v>5840</v>
      </c>
      <c r="H486" s="432">
        <v>0</v>
      </c>
      <c r="I486" s="432" t="s">
        <v>22</v>
      </c>
      <c r="J486" s="427">
        <v>1527</v>
      </c>
      <c r="K486" s="432">
        <v>0</v>
      </c>
      <c r="L486" s="432">
        <v>0</v>
      </c>
    </row>
    <row r="487" spans="1:12" s="428" customFormat="1" ht="9" customHeight="1" x14ac:dyDescent="0.25">
      <c r="A487" s="431" t="s">
        <v>29</v>
      </c>
      <c r="B487" s="427">
        <f t="shared" si="24"/>
        <v>568350</v>
      </c>
      <c r="C487" s="427"/>
      <c r="D487" s="427">
        <v>295976</v>
      </c>
      <c r="E487" s="432">
        <v>207814</v>
      </c>
      <c r="F487" s="427">
        <v>48305</v>
      </c>
      <c r="G487" s="427">
        <v>10844</v>
      </c>
      <c r="H487" s="427">
        <v>822</v>
      </c>
      <c r="I487" s="432" t="s">
        <v>22</v>
      </c>
      <c r="J487" s="427">
        <v>878</v>
      </c>
      <c r="K487" s="427">
        <v>3711</v>
      </c>
      <c r="L487" s="432">
        <v>0</v>
      </c>
    </row>
    <row r="488" spans="1:12" s="428" customFormat="1" ht="9" customHeight="1" x14ac:dyDescent="0.25">
      <c r="A488" s="433" t="s">
        <v>30</v>
      </c>
      <c r="B488" s="434">
        <f t="shared" si="24"/>
        <v>355898</v>
      </c>
      <c r="C488" s="434"/>
      <c r="D488" s="434">
        <v>237986</v>
      </c>
      <c r="E488" s="435">
        <v>37440</v>
      </c>
      <c r="F488" s="434">
        <v>65507</v>
      </c>
      <c r="G488" s="434">
        <v>14824</v>
      </c>
      <c r="H488" s="434">
        <v>141</v>
      </c>
      <c r="I488" s="435" t="s">
        <v>22</v>
      </c>
      <c r="J488" s="435">
        <v>0</v>
      </c>
      <c r="K488" s="435">
        <v>0</v>
      </c>
      <c r="L488" s="435">
        <v>0</v>
      </c>
    </row>
    <row r="489" spans="1:12" s="428" customFormat="1" ht="9" customHeight="1" x14ac:dyDescent="0.25">
      <c r="A489" s="431" t="s">
        <v>63</v>
      </c>
      <c r="B489" s="427">
        <f t="shared" si="24"/>
        <v>447818</v>
      </c>
      <c r="C489" s="427"/>
      <c r="D489" s="427">
        <v>114728</v>
      </c>
      <c r="E489" s="432">
        <v>2264</v>
      </c>
      <c r="F489" s="427">
        <v>116821</v>
      </c>
      <c r="G489" s="427">
        <v>207034</v>
      </c>
      <c r="H489" s="427">
        <v>3374</v>
      </c>
      <c r="I489" s="432" t="s">
        <v>22</v>
      </c>
      <c r="J489" s="427">
        <v>282</v>
      </c>
      <c r="K489" s="427">
        <v>3315</v>
      </c>
      <c r="L489" s="432">
        <v>0</v>
      </c>
    </row>
    <row r="490" spans="1:12" s="428" customFormat="1" ht="9" customHeight="1" x14ac:dyDescent="0.25">
      <c r="A490" s="431" t="s">
        <v>31</v>
      </c>
      <c r="B490" s="427">
        <f t="shared" si="24"/>
        <v>209116</v>
      </c>
      <c r="C490" s="427"/>
      <c r="D490" s="427">
        <v>92808</v>
      </c>
      <c r="E490" s="432">
        <v>39192</v>
      </c>
      <c r="F490" s="427">
        <v>66193</v>
      </c>
      <c r="G490" s="427">
        <v>10923</v>
      </c>
      <c r="H490" s="432">
        <v>0</v>
      </c>
      <c r="I490" s="432" t="s">
        <v>22</v>
      </c>
      <c r="J490" s="432">
        <v>0</v>
      </c>
      <c r="K490" s="432">
        <v>0</v>
      </c>
      <c r="L490" s="432">
        <v>0</v>
      </c>
    </row>
    <row r="491" spans="1:12" s="428" customFormat="1" ht="9" customHeight="1" x14ac:dyDescent="0.25">
      <c r="A491" s="431" t="s">
        <v>32</v>
      </c>
      <c r="B491" s="427">
        <f t="shared" si="24"/>
        <v>436599</v>
      </c>
      <c r="C491" s="427"/>
      <c r="D491" s="427">
        <v>306068</v>
      </c>
      <c r="E491" s="432">
        <v>2901</v>
      </c>
      <c r="F491" s="427">
        <v>93691</v>
      </c>
      <c r="G491" s="427">
        <v>32037</v>
      </c>
      <c r="H491" s="427">
        <v>1902</v>
      </c>
      <c r="I491" s="432" t="s">
        <v>22</v>
      </c>
      <c r="J491" s="432">
        <v>0</v>
      </c>
      <c r="K491" s="432">
        <v>0</v>
      </c>
      <c r="L491" s="432">
        <v>0</v>
      </c>
    </row>
    <row r="492" spans="1:12" s="428" customFormat="1" ht="9" customHeight="1" x14ac:dyDescent="0.25">
      <c r="A492" s="433" t="s">
        <v>33</v>
      </c>
      <c r="B492" s="434">
        <f t="shared" si="24"/>
        <v>719118</v>
      </c>
      <c r="C492" s="434"/>
      <c r="D492" s="434">
        <v>632959</v>
      </c>
      <c r="E492" s="435">
        <v>1604</v>
      </c>
      <c r="F492" s="434">
        <v>51462</v>
      </c>
      <c r="G492" s="434">
        <v>32375</v>
      </c>
      <c r="H492" s="435">
        <v>0</v>
      </c>
      <c r="I492" s="435" t="s">
        <v>22</v>
      </c>
      <c r="J492" s="434">
        <v>718</v>
      </c>
      <c r="K492" s="435">
        <v>0</v>
      </c>
      <c r="L492" s="435">
        <v>0</v>
      </c>
    </row>
    <row r="493" spans="1:12" s="428" customFormat="1" ht="9" customHeight="1" x14ac:dyDescent="0.25">
      <c r="A493" s="431" t="s">
        <v>34</v>
      </c>
      <c r="B493" s="427">
        <f t="shared" si="24"/>
        <v>316928</v>
      </c>
      <c r="C493" s="427"/>
      <c r="D493" s="427">
        <v>212144</v>
      </c>
      <c r="E493" s="432">
        <v>49327</v>
      </c>
      <c r="F493" s="427">
        <v>30079</v>
      </c>
      <c r="G493" s="427">
        <v>24288</v>
      </c>
      <c r="H493" s="427">
        <v>1090</v>
      </c>
      <c r="I493" s="432" t="s">
        <v>22</v>
      </c>
      <c r="J493" s="432">
        <v>0</v>
      </c>
      <c r="K493" s="432">
        <v>0</v>
      </c>
      <c r="L493" s="432">
        <v>0</v>
      </c>
    </row>
    <row r="494" spans="1:12" s="428" customFormat="1" ht="9" customHeight="1" x14ac:dyDescent="0.25">
      <c r="A494" s="431" t="s">
        <v>35</v>
      </c>
      <c r="B494" s="427">
        <f t="shared" si="24"/>
        <v>508785</v>
      </c>
      <c r="C494" s="427"/>
      <c r="D494" s="427">
        <v>386178</v>
      </c>
      <c r="E494" s="432">
        <v>669</v>
      </c>
      <c r="F494" s="427">
        <v>92222</v>
      </c>
      <c r="G494" s="427">
        <v>29472</v>
      </c>
      <c r="H494" s="427">
        <v>237</v>
      </c>
      <c r="I494" s="432" t="s">
        <v>22</v>
      </c>
      <c r="J494" s="427">
        <v>7</v>
      </c>
      <c r="K494" s="432">
        <v>0</v>
      </c>
      <c r="L494" s="432">
        <v>0</v>
      </c>
    </row>
    <row r="495" spans="1:12" s="428" customFormat="1" ht="9" customHeight="1" x14ac:dyDescent="0.25">
      <c r="A495" s="431" t="s">
        <v>36</v>
      </c>
      <c r="B495" s="427">
        <f t="shared" si="24"/>
        <v>1783939</v>
      </c>
      <c r="C495" s="427"/>
      <c r="D495" s="427">
        <v>1568152</v>
      </c>
      <c r="E495" s="432">
        <v>803</v>
      </c>
      <c r="F495" s="427">
        <v>150551</v>
      </c>
      <c r="G495" s="427">
        <v>30971</v>
      </c>
      <c r="H495" s="427">
        <v>66</v>
      </c>
      <c r="I495" s="432" t="s">
        <v>22</v>
      </c>
      <c r="J495" s="432">
        <v>0</v>
      </c>
      <c r="K495" s="427">
        <v>33396</v>
      </c>
      <c r="L495" s="432">
        <v>0</v>
      </c>
    </row>
    <row r="496" spans="1:12" s="428" customFormat="1" ht="9" customHeight="1" x14ac:dyDescent="0.25">
      <c r="A496" s="433" t="s">
        <v>37</v>
      </c>
      <c r="B496" s="434">
        <f t="shared" si="24"/>
        <v>475384</v>
      </c>
      <c r="C496" s="434"/>
      <c r="D496" s="434">
        <v>314244</v>
      </c>
      <c r="E496" s="435">
        <v>74379</v>
      </c>
      <c r="F496" s="434">
        <v>67781</v>
      </c>
      <c r="G496" s="434">
        <v>18614</v>
      </c>
      <c r="H496" s="435">
        <v>0</v>
      </c>
      <c r="I496" s="435" t="s">
        <v>22</v>
      </c>
      <c r="J496" s="434">
        <v>366</v>
      </c>
      <c r="K496" s="435">
        <v>0</v>
      </c>
      <c r="L496" s="435">
        <v>0</v>
      </c>
    </row>
    <row r="497" spans="1:12" s="428" customFormat="1" ht="9" customHeight="1" x14ac:dyDescent="0.25">
      <c r="A497" s="431" t="s">
        <v>38</v>
      </c>
      <c r="B497" s="427">
        <f t="shared" si="24"/>
        <v>276724</v>
      </c>
      <c r="C497" s="427"/>
      <c r="D497" s="427">
        <v>114724</v>
      </c>
      <c r="E497" s="432">
        <v>623</v>
      </c>
      <c r="F497" s="427">
        <v>141457</v>
      </c>
      <c r="G497" s="427">
        <v>19920</v>
      </c>
      <c r="H497" s="432">
        <v>0</v>
      </c>
      <c r="I497" s="432" t="s">
        <v>22</v>
      </c>
      <c r="J497" s="432">
        <v>0</v>
      </c>
      <c r="K497" s="432">
        <v>0</v>
      </c>
      <c r="L497" s="432">
        <v>0</v>
      </c>
    </row>
    <row r="498" spans="1:12" s="428" customFormat="1" ht="9" customHeight="1" x14ac:dyDescent="0.25">
      <c r="A498" s="431" t="s">
        <v>39</v>
      </c>
      <c r="B498" s="427">
        <f t="shared" si="24"/>
        <v>165806</v>
      </c>
      <c r="C498" s="427"/>
      <c r="D498" s="427">
        <v>116364</v>
      </c>
      <c r="E498" s="432">
        <v>14338</v>
      </c>
      <c r="F498" s="427">
        <v>27247</v>
      </c>
      <c r="G498" s="427">
        <v>7739</v>
      </c>
      <c r="H498" s="432">
        <v>0</v>
      </c>
      <c r="I498" s="432" t="s">
        <v>22</v>
      </c>
      <c r="J498" s="432">
        <v>118</v>
      </c>
      <c r="K498" s="432">
        <v>0</v>
      </c>
      <c r="L498" s="432">
        <v>0</v>
      </c>
    </row>
    <row r="499" spans="1:12" s="428" customFormat="1" ht="9" customHeight="1" x14ac:dyDescent="0.25">
      <c r="A499" s="431" t="s">
        <v>40</v>
      </c>
      <c r="B499" s="427">
        <f t="shared" si="24"/>
        <v>262860</v>
      </c>
      <c r="C499" s="427"/>
      <c r="D499" s="427">
        <v>157036</v>
      </c>
      <c r="E499" s="432">
        <v>160</v>
      </c>
      <c r="F499" s="427">
        <v>96259</v>
      </c>
      <c r="G499" s="427">
        <v>7868</v>
      </c>
      <c r="H499" s="432">
        <v>1175</v>
      </c>
      <c r="I499" s="432" t="s">
        <v>22</v>
      </c>
      <c r="J499" s="432">
        <v>0</v>
      </c>
      <c r="K499" s="427">
        <v>0</v>
      </c>
      <c r="L499" s="432">
        <v>362</v>
      </c>
    </row>
    <row r="500" spans="1:12" s="428" customFormat="1" ht="9" customHeight="1" x14ac:dyDescent="0.25">
      <c r="A500" s="433" t="s">
        <v>41</v>
      </c>
      <c r="B500" s="434">
        <f t="shared" si="24"/>
        <v>406715</v>
      </c>
      <c r="C500" s="434"/>
      <c r="D500" s="434">
        <v>255107</v>
      </c>
      <c r="E500" s="435">
        <v>109759</v>
      </c>
      <c r="F500" s="434">
        <v>22594</v>
      </c>
      <c r="G500" s="434">
        <v>17463</v>
      </c>
      <c r="H500" s="434">
        <v>1366</v>
      </c>
      <c r="I500" s="435" t="s">
        <v>22</v>
      </c>
      <c r="J500" s="434">
        <v>426</v>
      </c>
      <c r="K500" s="435">
        <v>0</v>
      </c>
      <c r="L500" s="435">
        <v>0</v>
      </c>
    </row>
    <row r="501" spans="1:12" s="428" customFormat="1" ht="9" customHeight="1" x14ac:dyDescent="0.25">
      <c r="A501" s="431" t="s">
        <v>42</v>
      </c>
      <c r="B501" s="427">
        <f t="shared" si="24"/>
        <v>675595</v>
      </c>
      <c r="C501" s="427"/>
      <c r="D501" s="427">
        <v>429840</v>
      </c>
      <c r="E501" s="432">
        <v>105438</v>
      </c>
      <c r="F501" s="427">
        <v>96503</v>
      </c>
      <c r="G501" s="427">
        <v>31105</v>
      </c>
      <c r="H501" s="427">
        <v>387</v>
      </c>
      <c r="I501" s="432" t="s">
        <v>22</v>
      </c>
      <c r="J501" s="432">
        <v>0</v>
      </c>
      <c r="K501" s="427">
        <v>12322</v>
      </c>
      <c r="L501" s="432">
        <v>0</v>
      </c>
    </row>
    <row r="502" spans="1:12" s="428" customFormat="1" ht="9" customHeight="1" x14ac:dyDescent="0.25">
      <c r="A502" s="431" t="s">
        <v>43</v>
      </c>
      <c r="B502" s="427">
        <f t="shared" si="24"/>
        <v>157700</v>
      </c>
      <c r="C502" s="427"/>
      <c r="D502" s="427">
        <v>90449</v>
      </c>
      <c r="E502" s="432">
        <v>923</v>
      </c>
      <c r="F502" s="427">
        <v>63468</v>
      </c>
      <c r="G502" s="427">
        <v>2860</v>
      </c>
      <c r="H502" s="432">
        <v>0</v>
      </c>
      <c r="I502" s="432" t="s">
        <v>22</v>
      </c>
      <c r="J502" s="432">
        <v>0</v>
      </c>
      <c r="K502" s="432">
        <v>0</v>
      </c>
      <c r="L502" s="432">
        <v>0</v>
      </c>
    </row>
    <row r="503" spans="1:12" s="428" customFormat="1" ht="9" customHeight="1" x14ac:dyDescent="0.25">
      <c r="A503" s="431" t="s">
        <v>44</v>
      </c>
      <c r="B503" s="427">
        <f t="shared" si="24"/>
        <v>132820</v>
      </c>
      <c r="C503" s="427"/>
      <c r="D503" s="427">
        <v>93867</v>
      </c>
      <c r="E503" s="432">
        <v>0</v>
      </c>
      <c r="F503" s="427">
        <v>29979</v>
      </c>
      <c r="G503" s="427">
        <v>8927</v>
      </c>
      <c r="H503" s="432">
        <v>0</v>
      </c>
      <c r="I503" s="432" t="s">
        <v>22</v>
      </c>
      <c r="J503" s="427">
        <v>47</v>
      </c>
      <c r="K503" s="432">
        <v>0</v>
      </c>
      <c r="L503" s="432">
        <v>0</v>
      </c>
    </row>
    <row r="504" spans="1:12" s="428" customFormat="1" ht="9" customHeight="1" x14ac:dyDescent="0.25">
      <c r="A504" s="433" t="s">
        <v>45</v>
      </c>
      <c r="B504" s="434">
        <f t="shared" si="24"/>
        <v>330721</v>
      </c>
      <c r="C504" s="434"/>
      <c r="D504" s="434">
        <v>193533</v>
      </c>
      <c r="E504" s="435">
        <v>60354</v>
      </c>
      <c r="F504" s="434">
        <v>53062</v>
      </c>
      <c r="G504" s="434">
        <v>22642</v>
      </c>
      <c r="H504" s="434">
        <v>1130</v>
      </c>
      <c r="I504" s="435" t="s">
        <v>22</v>
      </c>
      <c r="J504" s="435">
        <v>0</v>
      </c>
      <c r="K504" s="435">
        <v>0</v>
      </c>
      <c r="L504" s="435">
        <v>0</v>
      </c>
    </row>
    <row r="505" spans="1:12" s="428" customFormat="1" ht="9" customHeight="1" x14ac:dyDescent="0.25">
      <c r="A505" s="431" t="s">
        <v>46</v>
      </c>
      <c r="B505" s="427">
        <f t="shared" si="24"/>
        <v>280123</v>
      </c>
      <c r="C505" s="427"/>
      <c r="D505" s="427">
        <v>101580</v>
      </c>
      <c r="E505" s="432">
        <v>33041</v>
      </c>
      <c r="F505" s="427">
        <v>108178</v>
      </c>
      <c r="G505" s="427">
        <v>33911</v>
      </c>
      <c r="H505" s="427">
        <v>82</v>
      </c>
      <c r="I505" s="432" t="s">
        <v>22</v>
      </c>
      <c r="J505" s="427">
        <v>3331</v>
      </c>
      <c r="K505" s="432">
        <v>0</v>
      </c>
      <c r="L505" s="432">
        <v>0</v>
      </c>
    </row>
    <row r="506" spans="1:12" s="428" customFormat="1" ht="9" customHeight="1" x14ac:dyDescent="0.25">
      <c r="A506" s="431" t="s">
        <v>47</v>
      </c>
      <c r="B506" s="427">
        <f t="shared" si="24"/>
        <v>231574</v>
      </c>
      <c r="C506" s="427"/>
      <c r="D506" s="427">
        <v>153684</v>
      </c>
      <c r="E506" s="432">
        <v>459</v>
      </c>
      <c r="F506" s="427">
        <v>49735</v>
      </c>
      <c r="G506" s="427">
        <v>13432</v>
      </c>
      <c r="H506" s="432">
        <v>0</v>
      </c>
      <c r="I506" s="432" t="s">
        <v>22</v>
      </c>
      <c r="J506" s="427">
        <v>552</v>
      </c>
      <c r="K506" s="432">
        <v>13712</v>
      </c>
      <c r="L506" s="432">
        <v>0</v>
      </c>
    </row>
    <row r="507" spans="1:12" s="428" customFormat="1" ht="9" customHeight="1" x14ac:dyDescent="0.25">
      <c r="A507" s="431" t="s">
        <v>48</v>
      </c>
      <c r="B507" s="427">
        <f t="shared" si="24"/>
        <v>329935</v>
      </c>
      <c r="C507" s="427"/>
      <c r="D507" s="427">
        <v>260968</v>
      </c>
      <c r="E507" s="432">
        <v>0</v>
      </c>
      <c r="F507" s="427">
        <v>52400</v>
      </c>
      <c r="G507" s="427">
        <v>6374</v>
      </c>
      <c r="H507" s="427">
        <v>3867</v>
      </c>
      <c r="I507" s="432" t="s">
        <v>22</v>
      </c>
      <c r="J507" s="427">
        <v>114</v>
      </c>
      <c r="K507" s="427">
        <v>6212</v>
      </c>
      <c r="L507" s="432">
        <v>0</v>
      </c>
    </row>
    <row r="508" spans="1:12" s="428" customFormat="1" ht="9" customHeight="1" x14ac:dyDescent="0.25">
      <c r="A508" s="433" t="s">
        <v>49</v>
      </c>
      <c r="B508" s="434">
        <f t="shared" si="24"/>
        <v>203707</v>
      </c>
      <c r="C508" s="434"/>
      <c r="D508" s="434">
        <v>88687</v>
      </c>
      <c r="E508" s="435">
        <v>18645</v>
      </c>
      <c r="F508" s="434">
        <v>63863</v>
      </c>
      <c r="G508" s="434">
        <v>28542</v>
      </c>
      <c r="H508" s="434">
        <v>3628</v>
      </c>
      <c r="I508" s="435" t="s">
        <v>22</v>
      </c>
      <c r="J508" s="434">
        <v>342</v>
      </c>
      <c r="K508" s="435">
        <v>0</v>
      </c>
      <c r="L508" s="435">
        <v>0</v>
      </c>
    </row>
    <row r="509" spans="1:12" s="428" customFormat="1" ht="9" customHeight="1" x14ac:dyDescent="0.25">
      <c r="A509" s="431" t="s">
        <v>50</v>
      </c>
      <c r="B509" s="427">
        <f t="shared" si="24"/>
        <v>105150</v>
      </c>
      <c r="C509" s="427"/>
      <c r="D509" s="427">
        <v>81274</v>
      </c>
      <c r="E509" s="432">
        <v>241</v>
      </c>
      <c r="F509" s="427">
        <v>17113</v>
      </c>
      <c r="G509" s="427">
        <v>6522</v>
      </c>
      <c r="H509" s="432">
        <v>0</v>
      </c>
      <c r="I509" s="432" t="s">
        <v>22</v>
      </c>
      <c r="J509" s="432">
        <v>0</v>
      </c>
      <c r="K509" s="432">
        <v>0</v>
      </c>
      <c r="L509" s="432">
        <v>0</v>
      </c>
    </row>
    <row r="510" spans="1:12" s="428" customFormat="1" ht="9" customHeight="1" x14ac:dyDescent="0.25">
      <c r="A510" s="431" t="s">
        <v>51</v>
      </c>
      <c r="B510" s="427">
        <f t="shared" si="24"/>
        <v>789802</v>
      </c>
      <c r="C510" s="427"/>
      <c r="D510" s="427">
        <v>508637</v>
      </c>
      <c r="E510" s="432">
        <v>135538</v>
      </c>
      <c r="F510" s="427">
        <v>97573</v>
      </c>
      <c r="G510" s="427">
        <v>30266</v>
      </c>
      <c r="H510" s="427">
        <v>14924</v>
      </c>
      <c r="I510" s="432" t="s">
        <v>22</v>
      </c>
      <c r="J510" s="427">
        <v>2864</v>
      </c>
      <c r="K510" s="432">
        <v>0</v>
      </c>
      <c r="L510" s="432">
        <v>0</v>
      </c>
    </row>
    <row r="511" spans="1:12" s="428" customFormat="1" ht="9" customHeight="1" x14ac:dyDescent="0.25">
      <c r="A511" s="431" t="s">
        <v>52</v>
      </c>
      <c r="B511" s="427">
        <f t="shared" si="24"/>
        <v>218606</v>
      </c>
      <c r="C511" s="427"/>
      <c r="D511" s="427">
        <v>121175</v>
      </c>
      <c r="E511" s="432">
        <v>37188</v>
      </c>
      <c r="F511" s="427">
        <v>55182</v>
      </c>
      <c r="G511" s="427">
        <v>4965</v>
      </c>
      <c r="H511" s="432">
        <v>0</v>
      </c>
      <c r="I511" s="432" t="s">
        <v>22</v>
      </c>
      <c r="J511" s="427">
        <v>96</v>
      </c>
      <c r="K511" s="432">
        <v>0</v>
      </c>
      <c r="L511" s="432">
        <v>0</v>
      </c>
    </row>
    <row r="512" spans="1:12" s="428" customFormat="1" ht="9" customHeight="1" x14ac:dyDescent="0.25">
      <c r="A512" s="433" t="s">
        <v>53</v>
      </c>
      <c r="B512" s="434">
        <f t="shared" si="24"/>
        <v>258840</v>
      </c>
      <c r="C512" s="434"/>
      <c r="D512" s="434">
        <v>139860</v>
      </c>
      <c r="E512" s="435">
        <v>33400</v>
      </c>
      <c r="F512" s="434">
        <v>64484</v>
      </c>
      <c r="G512" s="434">
        <v>21096</v>
      </c>
      <c r="H512" s="435">
        <v>0</v>
      </c>
      <c r="I512" s="435" t="s">
        <v>22</v>
      </c>
      <c r="J512" s="435">
        <v>0</v>
      </c>
      <c r="K512" s="435">
        <v>0</v>
      </c>
      <c r="L512" s="435">
        <v>0</v>
      </c>
    </row>
    <row r="513" spans="1:12" s="428" customFormat="1" ht="7.5" customHeight="1" x14ac:dyDescent="0.25">
      <c r="A513" s="431"/>
      <c r="B513" s="427"/>
      <c r="C513" s="427"/>
      <c r="D513" s="427"/>
      <c r="E513" s="432"/>
      <c r="F513" s="427"/>
      <c r="G513" s="427"/>
      <c r="H513" s="427"/>
      <c r="I513" s="427"/>
      <c r="J513" s="427"/>
      <c r="K513" s="432"/>
      <c r="L513" s="432"/>
    </row>
    <row r="514" spans="1:12" s="428" customFormat="1" ht="9" customHeight="1" x14ac:dyDescent="0.25">
      <c r="A514" s="441">
        <v>2009</v>
      </c>
      <c r="B514" s="440"/>
      <c r="C514" s="440"/>
      <c r="D514" s="440"/>
      <c r="E514" s="440"/>
      <c r="F514" s="440"/>
      <c r="G514" s="440"/>
      <c r="H514" s="440"/>
      <c r="I514" s="440"/>
      <c r="J514" s="440"/>
      <c r="K514" s="440"/>
      <c r="L514" s="440"/>
    </row>
    <row r="515" spans="1:12" s="428" customFormat="1" ht="9" customHeight="1" x14ac:dyDescent="0.25">
      <c r="A515" s="429" t="s">
        <v>21</v>
      </c>
      <c r="B515" s="430">
        <f>SUM(B517:B548)+7837</f>
        <v>11604401</v>
      </c>
      <c r="C515" s="430"/>
      <c r="D515" s="430">
        <f>SUM(D517:D548)</f>
        <v>7605823</v>
      </c>
      <c r="E515" s="430">
        <f>SUM(E517:E548)</f>
        <v>1027078</v>
      </c>
      <c r="F515" s="430">
        <f>SUM(F517:F548)</f>
        <v>2033322</v>
      </c>
      <c r="G515" s="430">
        <f>SUM(G517:G548)</f>
        <v>797277</v>
      </c>
      <c r="H515" s="430">
        <f>SUM(H517:H548)</f>
        <v>36971</v>
      </c>
      <c r="I515" s="442">
        <v>7837</v>
      </c>
      <c r="J515" s="430">
        <f>SUM(J517:J548)</f>
        <v>10549</v>
      </c>
      <c r="K515" s="430">
        <f>SUM(K517:K548)</f>
        <v>83226</v>
      </c>
      <c r="L515" s="430">
        <f>SUM(L517:L548)</f>
        <v>2318</v>
      </c>
    </row>
    <row r="516" spans="1:12" s="428" customFormat="1" ht="3.95" customHeight="1" x14ac:dyDescent="0.25">
      <c r="A516" s="429"/>
      <c r="B516" s="430"/>
      <c r="C516" s="430"/>
      <c r="D516" s="430"/>
      <c r="E516" s="430"/>
      <c r="F516" s="430"/>
      <c r="G516" s="430"/>
      <c r="H516" s="430"/>
      <c r="I516" s="430"/>
      <c r="J516" s="430"/>
      <c r="K516" s="430"/>
      <c r="L516" s="430"/>
    </row>
    <row r="517" spans="1:12" s="428" customFormat="1" ht="9" customHeight="1" x14ac:dyDescent="0.25">
      <c r="A517" s="431" t="s">
        <v>23</v>
      </c>
      <c r="B517" s="427">
        <f>SUM(D517:L517)</f>
        <v>162900</v>
      </c>
      <c r="C517" s="427"/>
      <c r="D517" s="427">
        <v>134805</v>
      </c>
      <c r="E517" s="432">
        <v>0</v>
      </c>
      <c r="F517" s="427">
        <v>18089</v>
      </c>
      <c r="G517" s="427">
        <v>10006</v>
      </c>
      <c r="H517" s="432">
        <v>0</v>
      </c>
      <c r="I517" s="432" t="s">
        <v>22</v>
      </c>
      <c r="J517" s="432">
        <v>0</v>
      </c>
      <c r="K517" s="432">
        <v>0</v>
      </c>
      <c r="L517" s="432">
        <v>0</v>
      </c>
    </row>
    <row r="518" spans="1:12" s="428" customFormat="1" ht="9" customHeight="1" x14ac:dyDescent="0.25">
      <c r="A518" s="431" t="s">
        <v>24</v>
      </c>
      <c r="B518" s="427">
        <f>SUM(D518:L518)</f>
        <v>233391</v>
      </c>
      <c r="C518" s="427"/>
      <c r="D518" s="427">
        <v>85148</v>
      </c>
      <c r="E518" s="432">
        <v>6151</v>
      </c>
      <c r="F518" s="427">
        <v>120191</v>
      </c>
      <c r="G518" s="427">
        <v>13097</v>
      </c>
      <c r="H518" s="432">
        <v>0</v>
      </c>
      <c r="I518" s="432" t="s">
        <v>22</v>
      </c>
      <c r="J518" s="432">
        <v>128</v>
      </c>
      <c r="K518" s="432">
        <v>8676</v>
      </c>
      <c r="L518" s="428">
        <v>0</v>
      </c>
    </row>
    <row r="519" spans="1:12" s="428" customFormat="1" ht="9" customHeight="1" x14ac:dyDescent="0.25">
      <c r="A519" s="431" t="s">
        <v>25</v>
      </c>
      <c r="B519" s="427">
        <f t="shared" ref="B519:B548" si="25">SUM(D519:L519)</f>
        <v>56068</v>
      </c>
      <c r="C519" s="427"/>
      <c r="D519" s="427">
        <v>42554</v>
      </c>
      <c r="E519" s="432">
        <v>0</v>
      </c>
      <c r="F519" s="427">
        <v>7084</v>
      </c>
      <c r="G519" s="427">
        <v>6280</v>
      </c>
      <c r="H519" s="432">
        <v>0</v>
      </c>
      <c r="I519" s="432" t="s">
        <v>22</v>
      </c>
      <c r="J519" s="427">
        <v>150</v>
      </c>
      <c r="K519" s="432">
        <v>0</v>
      </c>
      <c r="L519" s="432">
        <v>0</v>
      </c>
    </row>
    <row r="520" spans="1:12" s="428" customFormat="1" ht="9" customHeight="1" x14ac:dyDescent="0.25">
      <c r="A520" s="433" t="s">
        <v>26</v>
      </c>
      <c r="B520" s="443">
        <f t="shared" si="25"/>
        <v>119571</v>
      </c>
      <c r="C520" s="434"/>
      <c r="D520" s="443">
        <v>68975</v>
      </c>
      <c r="E520" s="435">
        <v>19798</v>
      </c>
      <c r="F520" s="434">
        <v>16694</v>
      </c>
      <c r="G520" s="434">
        <v>12024</v>
      </c>
      <c r="H520" s="434">
        <v>972</v>
      </c>
      <c r="I520" s="435" t="s">
        <v>22</v>
      </c>
      <c r="J520" s="434">
        <v>1108</v>
      </c>
      <c r="K520" s="435">
        <v>0</v>
      </c>
      <c r="L520" s="435">
        <v>0</v>
      </c>
    </row>
    <row r="521" spans="1:12" s="428" customFormat="1" ht="9" customHeight="1" x14ac:dyDescent="0.25">
      <c r="A521" s="431" t="s">
        <v>27</v>
      </c>
      <c r="B521" s="427">
        <f t="shared" si="25"/>
        <v>251530</v>
      </c>
      <c r="C521" s="427"/>
      <c r="D521" s="427">
        <v>125244</v>
      </c>
      <c r="E521" s="432">
        <v>20507</v>
      </c>
      <c r="F521" s="427">
        <v>86295</v>
      </c>
      <c r="G521" s="427">
        <v>17197</v>
      </c>
      <c r="H521" s="432">
        <v>0</v>
      </c>
      <c r="I521" s="432" t="s">
        <v>22</v>
      </c>
      <c r="J521" s="432">
        <v>0</v>
      </c>
      <c r="K521" s="432">
        <v>0</v>
      </c>
      <c r="L521" s="427">
        <v>2287</v>
      </c>
    </row>
    <row r="522" spans="1:12" s="428" customFormat="1" ht="9" customHeight="1" x14ac:dyDescent="0.25">
      <c r="A522" s="431" t="s">
        <v>28</v>
      </c>
      <c r="B522" s="427">
        <f t="shared" si="25"/>
        <v>72949</v>
      </c>
      <c r="C522" s="427"/>
      <c r="D522" s="427">
        <v>47671</v>
      </c>
      <c r="E522" s="432">
        <v>0</v>
      </c>
      <c r="F522" s="427">
        <v>16538</v>
      </c>
      <c r="G522" s="427">
        <v>7381</v>
      </c>
      <c r="H522" s="432">
        <v>0</v>
      </c>
      <c r="I522" s="432" t="s">
        <v>22</v>
      </c>
      <c r="J522" s="427">
        <v>1359</v>
      </c>
      <c r="K522" s="432">
        <v>0</v>
      </c>
      <c r="L522" s="432">
        <v>0</v>
      </c>
    </row>
    <row r="523" spans="1:12" s="428" customFormat="1" ht="9" customHeight="1" x14ac:dyDescent="0.25">
      <c r="A523" s="431" t="s">
        <v>29</v>
      </c>
      <c r="B523" s="427">
        <f t="shared" si="25"/>
        <v>579045</v>
      </c>
      <c r="C523" s="427"/>
      <c r="D523" s="427">
        <v>300050</v>
      </c>
      <c r="E523" s="432">
        <v>207376</v>
      </c>
      <c r="F523" s="427">
        <v>51933</v>
      </c>
      <c r="G523" s="427">
        <v>14550</v>
      </c>
      <c r="H523" s="427">
        <v>588</v>
      </c>
      <c r="I523" s="432" t="s">
        <v>22</v>
      </c>
      <c r="J523" s="427">
        <v>433</v>
      </c>
      <c r="K523" s="427">
        <v>4115</v>
      </c>
      <c r="L523" s="432">
        <v>0</v>
      </c>
    </row>
    <row r="524" spans="1:12" s="428" customFormat="1" ht="9" customHeight="1" x14ac:dyDescent="0.25">
      <c r="A524" s="433" t="s">
        <v>30</v>
      </c>
      <c r="B524" s="434">
        <f t="shared" si="25"/>
        <v>355604</v>
      </c>
      <c r="C524" s="434"/>
      <c r="D524" s="434">
        <v>236647</v>
      </c>
      <c r="E524" s="435">
        <v>38883</v>
      </c>
      <c r="F524" s="434">
        <v>62893</v>
      </c>
      <c r="G524" s="434">
        <v>17077</v>
      </c>
      <c r="H524" s="434">
        <v>104</v>
      </c>
      <c r="I524" s="435" t="s">
        <v>22</v>
      </c>
      <c r="J524" s="435">
        <v>0</v>
      </c>
      <c r="K524" s="435">
        <v>0</v>
      </c>
      <c r="L524" s="435">
        <v>0</v>
      </c>
    </row>
    <row r="525" spans="1:12" s="428" customFormat="1" ht="9" customHeight="1" x14ac:dyDescent="0.25">
      <c r="A525" s="431" t="s">
        <v>63</v>
      </c>
      <c r="B525" s="427">
        <f t="shared" si="25"/>
        <v>426402</v>
      </c>
      <c r="C525" s="427"/>
      <c r="D525" s="427">
        <v>92862</v>
      </c>
      <c r="E525" s="432">
        <v>1210</v>
      </c>
      <c r="F525" s="427">
        <v>110709</v>
      </c>
      <c r="G525" s="427">
        <v>215518</v>
      </c>
      <c r="H525" s="427">
        <v>2393</v>
      </c>
      <c r="I525" s="432" t="s">
        <v>22</v>
      </c>
      <c r="J525" s="427">
        <v>104</v>
      </c>
      <c r="K525" s="427">
        <v>3606</v>
      </c>
      <c r="L525" s="432">
        <v>0</v>
      </c>
    </row>
    <row r="526" spans="1:12" s="428" customFormat="1" ht="9" customHeight="1" x14ac:dyDescent="0.25">
      <c r="A526" s="431" t="s">
        <v>31</v>
      </c>
      <c r="B526" s="427">
        <f t="shared" si="25"/>
        <v>208285</v>
      </c>
      <c r="C526" s="427"/>
      <c r="D526" s="427">
        <v>86352</v>
      </c>
      <c r="E526" s="432">
        <v>40781</v>
      </c>
      <c r="F526" s="427">
        <v>70667</v>
      </c>
      <c r="G526" s="427">
        <v>10485</v>
      </c>
      <c r="H526" s="432">
        <v>0</v>
      </c>
      <c r="I526" s="432" t="s">
        <v>22</v>
      </c>
      <c r="J526" s="432">
        <v>0</v>
      </c>
      <c r="K526" s="432">
        <v>0</v>
      </c>
      <c r="L526" s="432">
        <v>0</v>
      </c>
    </row>
    <row r="527" spans="1:12" s="428" customFormat="1" ht="9" customHeight="1" x14ac:dyDescent="0.25">
      <c r="A527" s="431" t="s">
        <v>32</v>
      </c>
      <c r="B527" s="427">
        <f t="shared" si="25"/>
        <v>482493</v>
      </c>
      <c r="C527" s="427"/>
      <c r="D527" s="427">
        <v>349920</v>
      </c>
      <c r="E527" s="432">
        <v>2274</v>
      </c>
      <c r="F527" s="427">
        <v>90833</v>
      </c>
      <c r="G527" s="427">
        <v>37254</v>
      </c>
      <c r="H527" s="427">
        <v>2212</v>
      </c>
      <c r="I527" s="432" t="s">
        <v>22</v>
      </c>
      <c r="J527" s="432">
        <v>0</v>
      </c>
      <c r="K527" s="432">
        <v>0</v>
      </c>
      <c r="L527" s="432">
        <v>0</v>
      </c>
    </row>
    <row r="528" spans="1:12" s="428" customFormat="1" ht="9" customHeight="1" x14ac:dyDescent="0.25">
      <c r="A528" s="433" t="s">
        <v>33</v>
      </c>
      <c r="B528" s="434">
        <f t="shared" si="25"/>
        <v>753011</v>
      </c>
      <c r="C528" s="434"/>
      <c r="D528" s="434">
        <v>662901</v>
      </c>
      <c r="E528" s="435">
        <v>2095</v>
      </c>
      <c r="F528" s="434">
        <v>53621</v>
      </c>
      <c r="G528" s="434">
        <v>33927</v>
      </c>
      <c r="H528" s="435">
        <v>0</v>
      </c>
      <c r="I528" s="435" t="s">
        <v>22</v>
      </c>
      <c r="J528" s="434">
        <v>467</v>
      </c>
      <c r="K528" s="435">
        <v>0</v>
      </c>
      <c r="L528" s="435">
        <v>0</v>
      </c>
    </row>
    <row r="529" spans="1:12" s="428" customFormat="1" ht="9" customHeight="1" x14ac:dyDescent="0.25">
      <c r="A529" s="431" t="s">
        <v>34</v>
      </c>
      <c r="B529" s="427">
        <f t="shared" si="25"/>
        <v>307571</v>
      </c>
      <c r="C529" s="427"/>
      <c r="D529" s="427">
        <v>204191</v>
      </c>
      <c r="E529" s="432">
        <v>49126</v>
      </c>
      <c r="F529" s="427">
        <v>21455</v>
      </c>
      <c r="G529" s="427">
        <v>31809</v>
      </c>
      <c r="H529" s="427">
        <v>990</v>
      </c>
      <c r="I529" s="432" t="s">
        <v>22</v>
      </c>
      <c r="J529" s="432">
        <v>0</v>
      </c>
      <c r="K529" s="432">
        <v>0</v>
      </c>
      <c r="L529" s="432">
        <v>0</v>
      </c>
    </row>
    <row r="530" spans="1:12" s="428" customFormat="1" ht="9" customHeight="1" x14ac:dyDescent="0.25">
      <c r="A530" s="431" t="s">
        <v>35</v>
      </c>
      <c r="B530" s="427">
        <f t="shared" si="25"/>
        <v>454183</v>
      </c>
      <c r="C530" s="427"/>
      <c r="D530" s="427">
        <v>326264</v>
      </c>
      <c r="E530" s="432">
        <v>965</v>
      </c>
      <c r="F530" s="427">
        <v>87645</v>
      </c>
      <c r="G530" s="427">
        <v>39000</v>
      </c>
      <c r="H530" s="427">
        <v>267</v>
      </c>
      <c r="I530" s="432" t="s">
        <v>22</v>
      </c>
      <c r="J530" s="427">
        <v>42</v>
      </c>
      <c r="K530" s="432">
        <v>0</v>
      </c>
      <c r="L530" s="432">
        <v>0</v>
      </c>
    </row>
    <row r="531" spans="1:12" s="428" customFormat="1" ht="9" customHeight="1" x14ac:dyDescent="0.25">
      <c r="A531" s="431" t="s">
        <v>36</v>
      </c>
      <c r="B531" s="427">
        <f t="shared" si="25"/>
        <v>1854693</v>
      </c>
      <c r="C531" s="427"/>
      <c r="D531" s="427">
        <v>1641075</v>
      </c>
      <c r="E531" s="432">
        <v>818</v>
      </c>
      <c r="F531" s="427">
        <v>147952</v>
      </c>
      <c r="G531" s="427">
        <v>25945</v>
      </c>
      <c r="H531" s="427">
        <v>57</v>
      </c>
      <c r="I531" s="432" t="s">
        <v>22</v>
      </c>
      <c r="J531" s="432">
        <v>0</v>
      </c>
      <c r="K531" s="427">
        <v>38846</v>
      </c>
      <c r="L531" s="432">
        <v>0</v>
      </c>
    </row>
    <row r="532" spans="1:12" s="428" customFormat="1" ht="9" customHeight="1" x14ac:dyDescent="0.25">
      <c r="A532" s="433" t="s">
        <v>37</v>
      </c>
      <c r="B532" s="434">
        <f t="shared" si="25"/>
        <v>443454</v>
      </c>
      <c r="C532" s="434"/>
      <c r="D532" s="434">
        <v>291394</v>
      </c>
      <c r="E532" s="435">
        <v>75548</v>
      </c>
      <c r="F532" s="434">
        <v>56889</v>
      </c>
      <c r="G532" s="434">
        <v>18687</v>
      </c>
      <c r="H532" s="435">
        <v>0</v>
      </c>
      <c r="I532" s="435" t="s">
        <v>22</v>
      </c>
      <c r="J532" s="434">
        <v>936</v>
      </c>
      <c r="K532" s="435">
        <v>0</v>
      </c>
      <c r="L532" s="435">
        <v>0</v>
      </c>
    </row>
    <row r="533" spans="1:12" s="428" customFormat="1" ht="9" customHeight="1" x14ac:dyDescent="0.25">
      <c r="A533" s="431" t="s">
        <v>38</v>
      </c>
      <c r="B533" s="427">
        <f t="shared" si="25"/>
        <v>294606</v>
      </c>
      <c r="C533" s="427"/>
      <c r="D533" s="427">
        <v>121088</v>
      </c>
      <c r="E533" s="432">
        <v>397</v>
      </c>
      <c r="F533" s="427">
        <v>146025</v>
      </c>
      <c r="G533" s="427">
        <v>27096</v>
      </c>
      <c r="H533" s="432">
        <v>0</v>
      </c>
      <c r="I533" s="432" t="s">
        <v>22</v>
      </c>
      <c r="J533" s="432">
        <v>0</v>
      </c>
      <c r="K533" s="432">
        <v>0</v>
      </c>
      <c r="L533" s="432">
        <v>0</v>
      </c>
    </row>
    <row r="534" spans="1:12" s="428" customFormat="1" ht="9" customHeight="1" x14ac:dyDescent="0.25">
      <c r="A534" s="431" t="s">
        <v>39</v>
      </c>
      <c r="B534" s="427">
        <f t="shared" si="25"/>
        <v>193672</v>
      </c>
      <c r="C534" s="427"/>
      <c r="D534" s="427">
        <v>119060</v>
      </c>
      <c r="E534" s="432">
        <v>16280</v>
      </c>
      <c r="F534" s="427">
        <v>50445</v>
      </c>
      <c r="G534" s="427">
        <v>7829</v>
      </c>
      <c r="H534" s="432">
        <v>0</v>
      </c>
      <c r="I534" s="432" t="s">
        <v>22</v>
      </c>
      <c r="J534" s="432">
        <v>58</v>
      </c>
      <c r="K534" s="432">
        <v>0</v>
      </c>
      <c r="L534" s="432">
        <v>0</v>
      </c>
    </row>
    <row r="535" spans="1:12" s="428" customFormat="1" ht="9" customHeight="1" x14ac:dyDescent="0.25">
      <c r="A535" s="431" t="s">
        <v>40</v>
      </c>
      <c r="B535" s="427">
        <f t="shared" si="25"/>
        <v>266832</v>
      </c>
      <c r="C535" s="427"/>
      <c r="D535" s="427">
        <v>161258</v>
      </c>
      <c r="E535" s="432">
        <v>132</v>
      </c>
      <c r="F535" s="427">
        <v>96354</v>
      </c>
      <c r="G535" s="427">
        <v>7459</v>
      </c>
      <c r="H535" s="432">
        <v>1629</v>
      </c>
      <c r="I535" s="432" t="s">
        <v>22</v>
      </c>
      <c r="J535" s="432">
        <v>0</v>
      </c>
      <c r="K535" s="427">
        <v>0</v>
      </c>
      <c r="L535" s="432">
        <v>0</v>
      </c>
    </row>
    <row r="536" spans="1:12" s="428" customFormat="1" ht="9" customHeight="1" x14ac:dyDescent="0.25">
      <c r="A536" s="433" t="s">
        <v>41</v>
      </c>
      <c r="B536" s="434">
        <f t="shared" si="25"/>
        <v>431739</v>
      </c>
      <c r="C536" s="434"/>
      <c r="D536" s="434">
        <v>275256</v>
      </c>
      <c r="E536" s="435">
        <v>112390</v>
      </c>
      <c r="F536" s="434">
        <v>20682</v>
      </c>
      <c r="G536" s="434">
        <v>21790</v>
      </c>
      <c r="H536" s="434">
        <v>1206</v>
      </c>
      <c r="I536" s="435" t="s">
        <v>22</v>
      </c>
      <c r="J536" s="434">
        <v>415</v>
      </c>
      <c r="K536" s="435">
        <v>0</v>
      </c>
      <c r="L536" s="435">
        <v>0</v>
      </c>
    </row>
    <row r="537" spans="1:12" s="428" customFormat="1" ht="9" customHeight="1" x14ac:dyDescent="0.25">
      <c r="A537" s="431" t="s">
        <v>42</v>
      </c>
      <c r="B537" s="427">
        <f t="shared" si="25"/>
        <v>654794</v>
      </c>
      <c r="C537" s="427"/>
      <c r="D537" s="427">
        <v>408960</v>
      </c>
      <c r="E537" s="432">
        <v>101245</v>
      </c>
      <c r="F537" s="427">
        <v>103846</v>
      </c>
      <c r="G537" s="427">
        <v>31828</v>
      </c>
      <c r="H537" s="427">
        <v>516</v>
      </c>
      <c r="I537" s="432" t="s">
        <v>22</v>
      </c>
      <c r="J537" s="432">
        <v>0</v>
      </c>
      <c r="K537" s="427">
        <v>8399</v>
      </c>
      <c r="L537" s="432">
        <v>0</v>
      </c>
    </row>
    <row r="538" spans="1:12" s="428" customFormat="1" ht="9" customHeight="1" x14ac:dyDescent="0.25">
      <c r="A538" s="431" t="s">
        <v>43</v>
      </c>
      <c r="B538" s="427">
        <f t="shared" si="25"/>
        <v>151534</v>
      </c>
      <c r="C538" s="427"/>
      <c r="D538" s="427">
        <v>91657</v>
      </c>
      <c r="E538" s="432">
        <v>645</v>
      </c>
      <c r="F538" s="427">
        <v>55494</v>
      </c>
      <c r="G538" s="427">
        <v>3738</v>
      </c>
      <c r="H538" s="432">
        <v>0</v>
      </c>
      <c r="I538" s="432" t="s">
        <v>22</v>
      </c>
      <c r="J538" s="432">
        <v>0</v>
      </c>
      <c r="K538" s="432">
        <v>0</v>
      </c>
      <c r="L538" s="432">
        <v>0</v>
      </c>
    </row>
    <row r="539" spans="1:12" s="428" customFormat="1" ht="9" customHeight="1" x14ac:dyDescent="0.25">
      <c r="A539" s="431" t="s">
        <v>44</v>
      </c>
      <c r="B539" s="427">
        <f t="shared" si="25"/>
        <v>132721</v>
      </c>
      <c r="C539" s="427"/>
      <c r="D539" s="427">
        <v>92281</v>
      </c>
      <c r="E539" s="432">
        <v>0</v>
      </c>
      <c r="F539" s="427">
        <v>30340</v>
      </c>
      <c r="G539" s="427">
        <v>10068</v>
      </c>
      <c r="H539" s="432">
        <v>0</v>
      </c>
      <c r="I539" s="432" t="s">
        <v>22</v>
      </c>
      <c r="J539" s="427">
        <v>32</v>
      </c>
      <c r="K539" s="432">
        <v>0</v>
      </c>
      <c r="L539" s="432">
        <v>0</v>
      </c>
    </row>
    <row r="540" spans="1:12" s="428" customFormat="1" ht="9" customHeight="1" x14ac:dyDescent="0.25">
      <c r="A540" s="433" t="s">
        <v>45</v>
      </c>
      <c r="B540" s="434">
        <f t="shared" si="25"/>
        <v>324852</v>
      </c>
      <c r="C540" s="434"/>
      <c r="D540" s="434">
        <v>199168</v>
      </c>
      <c r="E540" s="435">
        <v>55039</v>
      </c>
      <c r="F540" s="434">
        <v>48744</v>
      </c>
      <c r="G540" s="434">
        <v>20371</v>
      </c>
      <c r="H540" s="434">
        <v>1530</v>
      </c>
      <c r="I540" s="435" t="s">
        <v>22</v>
      </c>
      <c r="J540" s="435">
        <v>0</v>
      </c>
      <c r="K540" s="435">
        <v>0</v>
      </c>
      <c r="L540" s="435">
        <v>0</v>
      </c>
    </row>
    <row r="541" spans="1:12" s="428" customFormat="1" ht="9" customHeight="1" x14ac:dyDescent="0.25">
      <c r="A541" s="431" t="s">
        <v>46</v>
      </c>
      <c r="B541" s="427">
        <f t="shared" si="25"/>
        <v>258794</v>
      </c>
      <c r="C541" s="427"/>
      <c r="D541" s="427">
        <v>96417</v>
      </c>
      <c r="E541" s="432">
        <v>34952</v>
      </c>
      <c r="F541" s="427">
        <v>95959</v>
      </c>
      <c r="G541" s="427">
        <v>30103</v>
      </c>
      <c r="H541" s="427">
        <v>112</v>
      </c>
      <c r="I541" s="432" t="s">
        <v>22</v>
      </c>
      <c r="J541" s="427">
        <v>1251</v>
      </c>
      <c r="K541" s="432">
        <v>0</v>
      </c>
      <c r="L541" s="432">
        <v>0</v>
      </c>
    </row>
    <row r="542" spans="1:12" s="428" customFormat="1" ht="9" customHeight="1" x14ac:dyDescent="0.25">
      <c r="A542" s="431" t="s">
        <v>47</v>
      </c>
      <c r="B542" s="427">
        <f t="shared" si="25"/>
        <v>237383</v>
      </c>
      <c r="C542" s="427"/>
      <c r="D542" s="427">
        <v>167204</v>
      </c>
      <c r="E542" s="432">
        <v>471</v>
      </c>
      <c r="F542" s="427">
        <v>41445</v>
      </c>
      <c r="G542" s="427">
        <v>11942</v>
      </c>
      <c r="H542" s="432">
        <v>0</v>
      </c>
      <c r="I542" s="432" t="s">
        <v>22</v>
      </c>
      <c r="J542" s="427">
        <v>1195</v>
      </c>
      <c r="K542" s="432">
        <v>15126</v>
      </c>
      <c r="L542" s="432">
        <v>0</v>
      </c>
    </row>
    <row r="543" spans="1:12" s="428" customFormat="1" ht="9" customHeight="1" x14ac:dyDescent="0.25">
      <c r="A543" s="431" t="s">
        <v>48</v>
      </c>
      <c r="B543" s="427">
        <f t="shared" si="25"/>
        <v>315144</v>
      </c>
      <c r="C543" s="427"/>
      <c r="D543" s="427">
        <v>246485</v>
      </c>
      <c r="E543" s="432">
        <v>0</v>
      </c>
      <c r="F543" s="427">
        <v>51965</v>
      </c>
      <c r="G543" s="427">
        <v>8032</v>
      </c>
      <c r="H543" s="427">
        <v>4144</v>
      </c>
      <c r="I543" s="432" t="s">
        <v>22</v>
      </c>
      <c r="J543" s="427">
        <v>60</v>
      </c>
      <c r="K543" s="427">
        <v>4458</v>
      </c>
      <c r="L543" s="432">
        <v>0</v>
      </c>
    </row>
    <row r="544" spans="1:12" s="428" customFormat="1" ht="9" customHeight="1" x14ac:dyDescent="0.25">
      <c r="A544" s="433" t="s">
        <v>49</v>
      </c>
      <c r="B544" s="434">
        <f t="shared" si="25"/>
        <v>202142</v>
      </c>
      <c r="C544" s="434"/>
      <c r="D544" s="434">
        <v>85584</v>
      </c>
      <c r="E544" s="435">
        <v>17642</v>
      </c>
      <c r="F544" s="434">
        <v>54518</v>
      </c>
      <c r="G544" s="434">
        <v>40808</v>
      </c>
      <c r="H544" s="434">
        <v>3198</v>
      </c>
      <c r="I544" s="435" t="s">
        <v>22</v>
      </c>
      <c r="J544" s="434">
        <v>392</v>
      </c>
      <c r="K544" s="435">
        <v>0</v>
      </c>
      <c r="L544" s="435">
        <v>0</v>
      </c>
    </row>
    <row r="545" spans="1:14" s="428" customFormat="1" ht="9" customHeight="1" x14ac:dyDescent="0.25">
      <c r="A545" s="431" t="s">
        <v>50</v>
      </c>
      <c r="B545" s="427">
        <f t="shared" si="25"/>
        <v>94699</v>
      </c>
      <c r="C545" s="427"/>
      <c r="D545" s="427">
        <v>82361</v>
      </c>
      <c r="E545" s="432">
        <v>293</v>
      </c>
      <c r="F545" s="427">
        <v>5384</v>
      </c>
      <c r="G545" s="427">
        <v>6661</v>
      </c>
      <c r="H545" s="432">
        <v>0</v>
      </c>
      <c r="I545" s="432" t="s">
        <v>22</v>
      </c>
      <c r="J545" s="432">
        <v>0</v>
      </c>
      <c r="K545" s="432">
        <v>0</v>
      </c>
      <c r="L545" s="432">
        <v>0</v>
      </c>
    </row>
    <row r="546" spans="1:14" s="428" customFormat="1" ht="9" customHeight="1" x14ac:dyDescent="0.25">
      <c r="A546" s="431" t="s">
        <v>51</v>
      </c>
      <c r="B546" s="427">
        <f t="shared" si="25"/>
        <v>799764</v>
      </c>
      <c r="C546" s="427"/>
      <c r="D546" s="427">
        <v>497117</v>
      </c>
      <c r="E546" s="432">
        <v>148680</v>
      </c>
      <c r="F546" s="427">
        <v>101715</v>
      </c>
      <c r="G546" s="427">
        <v>32975</v>
      </c>
      <c r="H546" s="427">
        <v>17053</v>
      </c>
      <c r="I546" s="432" t="s">
        <v>22</v>
      </c>
      <c r="J546" s="427">
        <v>2193</v>
      </c>
      <c r="K546" s="432">
        <v>0</v>
      </c>
      <c r="L546" s="432">
        <v>31</v>
      </c>
    </row>
    <row r="547" spans="1:14" s="428" customFormat="1" ht="9" customHeight="1" x14ac:dyDescent="0.25">
      <c r="A547" s="431" t="s">
        <v>52</v>
      </c>
      <c r="B547" s="427">
        <f t="shared" si="25"/>
        <v>230020</v>
      </c>
      <c r="C547" s="427"/>
      <c r="D547" s="427">
        <v>130507</v>
      </c>
      <c r="E547" s="432">
        <v>37843</v>
      </c>
      <c r="F547" s="427">
        <v>56645</v>
      </c>
      <c r="G547" s="427">
        <v>4799</v>
      </c>
      <c r="H547" s="432">
        <v>0</v>
      </c>
      <c r="I547" s="432" t="s">
        <v>22</v>
      </c>
      <c r="J547" s="427">
        <v>226</v>
      </c>
      <c r="K547" s="432">
        <v>0</v>
      </c>
      <c r="L547" s="432">
        <v>0</v>
      </c>
    </row>
    <row r="548" spans="1:14" s="428" customFormat="1" ht="9" customHeight="1" x14ac:dyDescent="0.25">
      <c r="A548" s="433" t="s">
        <v>53</v>
      </c>
      <c r="B548" s="434">
        <f t="shared" si="25"/>
        <v>246718</v>
      </c>
      <c r="C548" s="434"/>
      <c r="D548" s="434">
        <v>135367</v>
      </c>
      <c r="E548" s="435">
        <v>35537</v>
      </c>
      <c r="F548" s="434">
        <v>54273</v>
      </c>
      <c r="G548" s="434">
        <v>21541</v>
      </c>
      <c r="H548" s="435">
        <v>0</v>
      </c>
      <c r="I548" s="435" t="s">
        <v>22</v>
      </c>
      <c r="J548" s="435">
        <v>0</v>
      </c>
      <c r="K548" s="435">
        <v>0</v>
      </c>
      <c r="L548" s="435">
        <v>0</v>
      </c>
    </row>
    <row r="549" spans="1:14" s="428" customFormat="1" ht="7.5" customHeight="1" x14ac:dyDescent="0.25">
      <c r="A549" s="431"/>
      <c r="B549" s="427"/>
      <c r="C549" s="427"/>
      <c r="D549" s="427"/>
      <c r="E549" s="432"/>
      <c r="F549" s="427"/>
      <c r="G549" s="427"/>
      <c r="H549" s="427"/>
      <c r="I549" s="427"/>
      <c r="J549" s="427"/>
      <c r="K549" s="432"/>
      <c r="L549" s="432"/>
    </row>
    <row r="550" spans="1:14" s="428" customFormat="1" ht="9" customHeight="1" x14ac:dyDescent="0.25">
      <c r="A550" s="441">
        <v>2010</v>
      </c>
      <c r="B550" s="440"/>
      <c r="C550" s="440"/>
      <c r="D550" s="440"/>
      <c r="E550" s="440"/>
      <c r="F550" s="440"/>
      <c r="G550" s="440"/>
      <c r="H550" s="440"/>
      <c r="I550" s="440"/>
      <c r="J550" s="440"/>
      <c r="K550" s="440"/>
      <c r="L550" s="440"/>
    </row>
    <row r="551" spans="1:14" s="428" customFormat="1" ht="9" customHeight="1" x14ac:dyDescent="0.25">
      <c r="A551" s="429" t="s">
        <v>21</v>
      </c>
      <c r="B551" s="430">
        <f>SUM(B553:B584)+I551</f>
        <v>12078239</v>
      </c>
      <c r="C551" s="430"/>
      <c r="D551" s="430">
        <f>SUM(D553:D584)</f>
        <v>7407942</v>
      </c>
      <c r="E551" s="430">
        <f>SUM(E553:E584)</f>
        <v>1596556</v>
      </c>
      <c r="F551" s="430">
        <f>SUM(F553:F584)</f>
        <v>1993173</v>
      </c>
      <c r="G551" s="430">
        <f>SUM(G553:G584)</f>
        <v>887765</v>
      </c>
      <c r="H551" s="430">
        <f>SUM(H553:H584)</f>
        <v>35930</v>
      </c>
      <c r="I551" s="442">
        <v>51514</v>
      </c>
      <c r="J551" s="430">
        <f>SUM(J553:J584)</f>
        <v>12876</v>
      </c>
      <c r="K551" s="430">
        <f>SUM(K553:K584)</f>
        <v>91716</v>
      </c>
      <c r="L551" s="430">
        <f>SUM(L553:L584)</f>
        <v>767</v>
      </c>
      <c r="M551" s="427">
        <f>SUM(D551:L551)</f>
        <v>12078239</v>
      </c>
    </row>
    <row r="552" spans="1:14" s="428" customFormat="1" ht="3.95" customHeight="1" x14ac:dyDescent="0.25">
      <c r="A552" s="429"/>
      <c r="B552" s="430"/>
      <c r="C552" s="430"/>
      <c r="D552" s="430"/>
      <c r="E552" s="430"/>
      <c r="F552" s="430"/>
      <c r="G552" s="430"/>
      <c r="H552" s="430"/>
      <c r="I552" s="430"/>
      <c r="J552" s="430"/>
      <c r="K552" s="430"/>
      <c r="L552" s="430"/>
    </row>
    <row r="553" spans="1:14" s="428" customFormat="1" ht="9" customHeight="1" x14ac:dyDescent="0.25">
      <c r="A553" s="431" t="s">
        <v>23</v>
      </c>
      <c r="B553" s="427">
        <f>SUM(D553:L553)</f>
        <v>182083</v>
      </c>
      <c r="C553" s="427"/>
      <c r="D553" s="427">
        <v>146031</v>
      </c>
      <c r="E553" s="427">
        <v>0</v>
      </c>
      <c r="F553" s="427">
        <v>22670</v>
      </c>
      <c r="G553" s="427">
        <v>13382</v>
      </c>
      <c r="H553" s="427">
        <v>0</v>
      </c>
      <c r="I553" s="432" t="s">
        <v>22</v>
      </c>
      <c r="J553" s="427">
        <v>0</v>
      </c>
      <c r="K553" s="427">
        <v>0</v>
      </c>
      <c r="L553" s="427">
        <v>0</v>
      </c>
      <c r="M553" s="427">
        <v>182083</v>
      </c>
      <c r="N553" s="427"/>
    </row>
    <row r="554" spans="1:14" s="428" customFormat="1" ht="9" customHeight="1" x14ac:dyDescent="0.25">
      <c r="A554" s="431" t="s">
        <v>24</v>
      </c>
      <c r="B554" s="427">
        <f>SUM(D554:L554)</f>
        <v>217273</v>
      </c>
      <c r="C554" s="427"/>
      <c r="D554" s="427">
        <v>80237</v>
      </c>
      <c r="E554" s="427">
        <v>7780</v>
      </c>
      <c r="F554" s="427">
        <v>108354</v>
      </c>
      <c r="G554" s="427">
        <v>10826</v>
      </c>
      <c r="H554" s="427">
        <v>0</v>
      </c>
      <c r="I554" s="432" t="s">
        <v>22</v>
      </c>
      <c r="J554" s="427">
        <v>135</v>
      </c>
      <c r="K554" s="427">
        <v>9941</v>
      </c>
      <c r="L554" s="427">
        <v>0</v>
      </c>
      <c r="M554" s="427">
        <v>217273</v>
      </c>
      <c r="N554" s="427"/>
    </row>
    <row r="555" spans="1:14" s="428" customFormat="1" ht="9" customHeight="1" x14ac:dyDescent="0.25">
      <c r="A555" s="431" t="s">
        <v>25</v>
      </c>
      <c r="B555" s="427">
        <f t="shared" ref="B555:B584" si="26">SUM(D555:L555)</f>
        <v>59564</v>
      </c>
      <c r="C555" s="427"/>
      <c r="D555" s="427">
        <v>45184</v>
      </c>
      <c r="E555" s="427">
        <v>0</v>
      </c>
      <c r="F555" s="427">
        <v>8794</v>
      </c>
      <c r="G555" s="427">
        <v>5400</v>
      </c>
      <c r="H555" s="427">
        <v>0</v>
      </c>
      <c r="I555" s="432" t="s">
        <v>22</v>
      </c>
      <c r="J555" s="427">
        <v>186</v>
      </c>
      <c r="K555" s="427">
        <v>0</v>
      </c>
      <c r="L555" s="427">
        <v>0</v>
      </c>
      <c r="M555" s="427">
        <v>59564</v>
      </c>
      <c r="N555" s="427"/>
    </row>
    <row r="556" spans="1:14" s="428" customFormat="1" ht="9" customHeight="1" x14ac:dyDescent="0.25">
      <c r="A556" s="433" t="s">
        <v>26</v>
      </c>
      <c r="B556" s="443">
        <f t="shared" si="26"/>
        <v>121188</v>
      </c>
      <c r="C556" s="434"/>
      <c r="D556" s="443">
        <v>63599</v>
      </c>
      <c r="E556" s="443">
        <v>26863</v>
      </c>
      <c r="F556" s="443">
        <v>15272</v>
      </c>
      <c r="G556" s="443">
        <v>10460</v>
      </c>
      <c r="H556" s="443">
        <v>545</v>
      </c>
      <c r="I556" s="435" t="s">
        <v>22</v>
      </c>
      <c r="J556" s="443">
        <v>4449</v>
      </c>
      <c r="K556" s="443">
        <v>0</v>
      </c>
      <c r="L556" s="443">
        <v>0</v>
      </c>
      <c r="M556" s="444">
        <v>121188</v>
      </c>
      <c r="N556" s="427"/>
    </row>
    <row r="557" spans="1:14" s="428" customFormat="1" ht="9" customHeight="1" x14ac:dyDescent="0.25">
      <c r="A557" s="431" t="s">
        <v>27</v>
      </c>
      <c r="B557" s="427">
        <f t="shared" si="26"/>
        <v>255694</v>
      </c>
      <c r="C557" s="427"/>
      <c r="D557" s="427">
        <v>124652</v>
      </c>
      <c r="E557" s="427">
        <v>31332</v>
      </c>
      <c r="F557" s="427">
        <v>83362</v>
      </c>
      <c r="G557" s="427">
        <v>16271</v>
      </c>
      <c r="H557" s="427">
        <v>0</v>
      </c>
      <c r="I557" s="432" t="s">
        <v>22</v>
      </c>
      <c r="J557" s="427">
        <v>0</v>
      </c>
      <c r="K557" s="427">
        <v>0</v>
      </c>
      <c r="L557" s="427">
        <v>77</v>
      </c>
      <c r="M557" s="437">
        <v>255694</v>
      </c>
      <c r="N557" s="427"/>
    </row>
    <row r="558" spans="1:14" s="428" customFormat="1" ht="9" customHeight="1" x14ac:dyDescent="0.25">
      <c r="A558" s="431" t="s">
        <v>28</v>
      </c>
      <c r="B558" s="427">
        <f t="shared" si="26"/>
        <v>71270</v>
      </c>
      <c r="C558" s="427"/>
      <c r="D558" s="427">
        <v>45131</v>
      </c>
      <c r="E558" s="427">
        <v>0</v>
      </c>
      <c r="F558" s="427">
        <v>17798</v>
      </c>
      <c r="G558" s="427">
        <v>7299</v>
      </c>
      <c r="H558" s="427">
        <v>0</v>
      </c>
      <c r="I558" s="432" t="s">
        <v>22</v>
      </c>
      <c r="J558" s="427">
        <v>1042</v>
      </c>
      <c r="K558" s="427">
        <v>0</v>
      </c>
      <c r="L558" s="427">
        <v>0</v>
      </c>
      <c r="M558" s="437">
        <v>71270</v>
      </c>
      <c r="N558" s="427"/>
    </row>
    <row r="559" spans="1:14" s="428" customFormat="1" ht="9" customHeight="1" x14ac:dyDescent="0.25">
      <c r="A559" s="431" t="s">
        <v>29</v>
      </c>
      <c r="B559" s="427">
        <f t="shared" si="26"/>
        <v>687321</v>
      </c>
      <c r="C559" s="427"/>
      <c r="D559" s="427">
        <v>294716</v>
      </c>
      <c r="E559" s="427">
        <v>325912</v>
      </c>
      <c r="F559" s="427">
        <v>50630</v>
      </c>
      <c r="G559" s="427">
        <v>13546</v>
      </c>
      <c r="H559" s="427">
        <v>506</v>
      </c>
      <c r="I559" s="432" t="s">
        <v>22</v>
      </c>
      <c r="J559" s="427">
        <v>15</v>
      </c>
      <c r="K559" s="427">
        <v>1996</v>
      </c>
      <c r="L559" s="427">
        <v>0</v>
      </c>
      <c r="M559" s="437">
        <v>687321</v>
      </c>
      <c r="N559" s="427"/>
    </row>
    <row r="560" spans="1:14" s="428" customFormat="1" ht="9" customHeight="1" x14ac:dyDescent="0.25">
      <c r="A560" s="433" t="s">
        <v>30</v>
      </c>
      <c r="B560" s="434">
        <f t="shared" si="26"/>
        <v>364107</v>
      </c>
      <c r="C560" s="434"/>
      <c r="D560" s="434">
        <v>227288</v>
      </c>
      <c r="E560" s="434">
        <v>50369</v>
      </c>
      <c r="F560" s="434">
        <v>69840</v>
      </c>
      <c r="G560" s="434">
        <v>16482</v>
      </c>
      <c r="H560" s="434">
        <v>128</v>
      </c>
      <c r="I560" s="435" t="s">
        <v>22</v>
      </c>
      <c r="J560" s="434">
        <v>0</v>
      </c>
      <c r="K560" s="434">
        <v>0</v>
      </c>
      <c r="L560" s="434">
        <v>0</v>
      </c>
      <c r="M560" s="437">
        <v>364107</v>
      </c>
      <c r="N560" s="427"/>
    </row>
    <row r="561" spans="1:14" s="428" customFormat="1" ht="9" customHeight="1" x14ac:dyDescent="0.25">
      <c r="A561" s="431" t="s">
        <v>63</v>
      </c>
      <c r="B561" s="427">
        <f t="shared" si="26"/>
        <v>442933</v>
      </c>
      <c r="C561" s="427"/>
      <c r="D561" s="427">
        <v>82651</v>
      </c>
      <c r="E561" s="427">
        <v>1267</v>
      </c>
      <c r="F561" s="427">
        <v>122853</v>
      </c>
      <c r="G561" s="427">
        <v>231011</v>
      </c>
      <c r="H561" s="427">
        <v>2459</v>
      </c>
      <c r="I561" s="432" t="s">
        <v>22</v>
      </c>
      <c r="J561" s="427">
        <v>190</v>
      </c>
      <c r="K561" s="427">
        <v>2502</v>
      </c>
      <c r="L561" s="427">
        <v>0</v>
      </c>
      <c r="M561" s="437">
        <v>442933</v>
      </c>
      <c r="N561" s="427"/>
    </row>
    <row r="562" spans="1:14" s="428" customFormat="1" ht="9" customHeight="1" x14ac:dyDescent="0.25">
      <c r="A562" s="431" t="s">
        <v>31</v>
      </c>
      <c r="B562" s="427">
        <f t="shared" si="26"/>
        <v>262398</v>
      </c>
      <c r="C562" s="427"/>
      <c r="D562" s="427">
        <v>117197</v>
      </c>
      <c r="E562" s="427">
        <v>60386</v>
      </c>
      <c r="F562" s="427">
        <v>75857</v>
      </c>
      <c r="G562" s="427">
        <v>8958</v>
      </c>
      <c r="H562" s="427">
        <v>0</v>
      </c>
      <c r="I562" s="432" t="s">
        <v>22</v>
      </c>
      <c r="J562" s="427">
        <v>0</v>
      </c>
      <c r="K562" s="427">
        <v>0</v>
      </c>
      <c r="L562" s="427">
        <v>0</v>
      </c>
      <c r="M562" s="437">
        <v>262398</v>
      </c>
      <c r="N562" s="427"/>
    </row>
    <row r="563" spans="1:14" s="428" customFormat="1" ht="9" customHeight="1" x14ac:dyDescent="0.25">
      <c r="A563" s="431" t="s">
        <v>32</v>
      </c>
      <c r="B563" s="427">
        <f t="shared" si="26"/>
        <v>508328</v>
      </c>
      <c r="C563" s="427"/>
      <c r="D563" s="427">
        <v>366305</v>
      </c>
      <c r="E563" s="427">
        <v>2854</v>
      </c>
      <c r="F563" s="427">
        <v>85761</v>
      </c>
      <c r="G563" s="427">
        <v>49927</v>
      </c>
      <c r="H563" s="427">
        <v>3481</v>
      </c>
      <c r="I563" s="432" t="s">
        <v>22</v>
      </c>
      <c r="J563" s="427">
        <v>0</v>
      </c>
      <c r="K563" s="427">
        <v>0</v>
      </c>
      <c r="L563" s="427">
        <v>0</v>
      </c>
      <c r="M563" s="437">
        <v>508328</v>
      </c>
      <c r="N563" s="427"/>
    </row>
    <row r="564" spans="1:14" s="428" customFormat="1" ht="9" customHeight="1" x14ac:dyDescent="0.25">
      <c r="A564" s="433" t="s">
        <v>33</v>
      </c>
      <c r="B564" s="434">
        <f t="shared" si="26"/>
        <v>732022</v>
      </c>
      <c r="C564" s="434"/>
      <c r="D564" s="434">
        <v>637681</v>
      </c>
      <c r="E564" s="434">
        <v>2291</v>
      </c>
      <c r="F564" s="434">
        <v>51447</v>
      </c>
      <c r="G564" s="434">
        <v>39928</v>
      </c>
      <c r="H564" s="434">
        <v>0</v>
      </c>
      <c r="I564" s="435" t="s">
        <v>22</v>
      </c>
      <c r="J564" s="434">
        <v>675</v>
      </c>
      <c r="K564" s="434">
        <v>0</v>
      </c>
      <c r="L564" s="434">
        <v>0</v>
      </c>
      <c r="M564" s="437">
        <v>732022</v>
      </c>
      <c r="N564" s="427"/>
    </row>
    <row r="565" spans="1:14" s="428" customFormat="1" ht="9" customHeight="1" x14ac:dyDescent="0.25">
      <c r="A565" s="431" t="s">
        <v>34</v>
      </c>
      <c r="B565" s="427">
        <f t="shared" si="26"/>
        <v>331466</v>
      </c>
      <c r="C565" s="427"/>
      <c r="D565" s="427">
        <v>205112</v>
      </c>
      <c r="E565" s="427">
        <v>67518</v>
      </c>
      <c r="F565" s="427">
        <v>21609</v>
      </c>
      <c r="G565" s="427">
        <v>36405</v>
      </c>
      <c r="H565" s="427">
        <v>822</v>
      </c>
      <c r="I565" s="432" t="s">
        <v>22</v>
      </c>
      <c r="J565" s="427">
        <v>0</v>
      </c>
      <c r="K565" s="427">
        <v>0</v>
      </c>
      <c r="L565" s="427">
        <v>0</v>
      </c>
      <c r="M565" s="437">
        <v>331466</v>
      </c>
      <c r="N565" s="427"/>
    </row>
    <row r="566" spans="1:14" s="428" customFormat="1" ht="9" customHeight="1" x14ac:dyDescent="0.25">
      <c r="A566" s="431" t="s">
        <v>35</v>
      </c>
      <c r="B566" s="427">
        <f t="shared" si="26"/>
        <v>460882</v>
      </c>
      <c r="C566" s="427"/>
      <c r="D566" s="427">
        <v>319976</v>
      </c>
      <c r="E566" s="427">
        <v>993</v>
      </c>
      <c r="F566" s="427">
        <v>97848</v>
      </c>
      <c r="G566" s="427">
        <v>41769</v>
      </c>
      <c r="H566" s="427">
        <v>244</v>
      </c>
      <c r="I566" s="432" t="s">
        <v>22</v>
      </c>
      <c r="J566" s="427">
        <v>52</v>
      </c>
      <c r="K566" s="427">
        <v>0</v>
      </c>
      <c r="L566" s="427">
        <v>0</v>
      </c>
      <c r="M566" s="437">
        <v>460882</v>
      </c>
      <c r="N566" s="427"/>
    </row>
    <row r="567" spans="1:14" s="428" customFormat="1" ht="9" customHeight="1" x14ac:dyDescent="0.25">
      <c r="A567" s="431" t="s">
        <v>36</v>
      </c>
      <c r="B567" s="427">
        <f t="shared" si="26"/>
        <v>1919038</v>
      </c>
      <c r="C567" s="427"/>
      <c r="D567" s="427">
        <v>1695273</v>
      </c>
      <c r="E567" s="427">
        <v>414</v>
      </c>
      <c r="F567" s="427">
        <v>145795</v>
      </c>
      <c r="G567" s="427">
        <v>31292</v>
      </c>
      <c r="H567" s="427">
        <v>37</v>
      </c>
      <c r="I567" s="432" t="s">
        <v>22</v>
      </c>
      <c r="J567" s="427">
        <v>0</v>
      </c>
      <c r="K567" s="427">
        <v>46227</v>
      </c>
      <c r="L567" s="427">
        <v>0</v>
      </c>
      <c r="M567" s="437">
        <v>1919038</v>
      </c>
      <c r="N567" s="427"/>
    </row>
    <row r="568" spans="1:14" s="428" customFormat="1" ht="9" customHeight="1" x14ac:dyDescent="0.25">
      <c r="A568" s="433" t="s">
        <v>37</v>
      </c>
      <c r="B568" s="434">
        <f t="shared" si="26"/>
        <v>380480</v>
      </c>
      <c r="C568" s="434"/>
      <c r="D568" s="434">
        <v>201085</v>
      </c>
      <c r="E568" s="434">
        <v>103134</v>
      </c>
      <c r="F568" s="434">
        <v>56744</v>
      </c>
      <c r="G568" s="434">
        <v>18610</v>
      </c>
      <c r="H568" s="434">
        <v>0</v>
      </c>
      <c r="I568" s="435" t="s">
        <v>22</v>
      </c>
      <c r="J568" s="434">
        <v>907</v>
      </c>
      <c r="K568" s="434">
        <v>0</v>
      </c>
      <c r="L568" s="434">
        <v>0</v>
      </c>
      <c r="M568" s="437">
        <v>380480</v>
      </c>
      <c r="N568" s="427"/>
    </row>
    <row r="569" spans="1:14" s="428" customFormat="1" ht="9" customHeight="1" x14ac:dyDescent="0.25">
      <c r="A569" s="431" t="s">
        <v>38</v>
      </c>
      <c r="B569" s="427">
        <f t="shared" si="26"/>
        <v>294096</v>
      </c>
      <c r="C569" s="427"/>
      <c r="D569" s="427">
        <v>128529</v>
      </c>
      <c r="E569" s="427">
        <v>342</v>
      </c>
      <c r="F569" s="427">
        <v>123369</v>
      </c>
      <c r="G569" s="427">
        <v>41856</v>
      </c>
      <c r="H569" s="427">
        <v>0</v>
      </c>
      <c r="I569" s="432" t="s">
        <v>22</v>
      </c>
      <c r="J569" s="427">
        <v>0</v>
      </c>
      <c r="K569" s="427">
        <v>0</v>
      </c>
      <c r="L569" s="427">
        <v>0</v>
      </c>
      <c r="M569" s="437">
        <v>294096</v>
      </c>
      <c r="N569" s="427"/>
    </row>
    <row r="570" spans="1:14" s="428" customFormat="1" ht="9" customHeight="1" x14ac:dyDescent="0.25">
      <c r="A570" s="431" t="s">
        <v>39</v>
      </c>
      <c r="B570" s="427">
        <f t="shared" si="26"/>
        <v>167511</v>
      </c>
      <c r="C570" s="427"/>
      <c r="D570" s="427">
        <v>102602</v>
      </c>
      <c r="E570" s="427">
        <v>18483</v>
      </c>
      <c r="F570" s="427">
        <v>40596</v>
      </c>
      <c r="G570" s="427">
        <v>5788</v>
      </c>
      <c r="H570" s="427">
        <v>0</v>
      </c>
      <c r="I570" s="432" t="s">
        <v>22</v>
      </c>
      <c r="J570" s="427">
        <v>42</v>
      </c>
      <c r="K570" s="427">
        <v>0</v>
      </c>
      <c r="L570" s="427">
        <v>0</v>
      </c>
      <c r="M570" s="437">
        <v>167511</v>
      </c>
      <c r="N570" s="427"/>
    </row>
    <row r="571" spans="1:14" s="428" customFormat="1" ht="9" customHeight="1" x14ac:dyDescent="0.25">
      <c r="A571" s="431" t="s">
        <v>40</v>
      </c>
      <c r="B571" s="427">
        <f t="shared" si="26"/>
        <v>239245</v>
      </c>
      <c r="C571" s="427"/>
      <c r="D571" s="427">
        <v>141645</v>
      </c>
      <c r="E571" s="427">
        <v>199</v>
      </c>
      <c r="F571" s="427">
        <v>88876</v>
      </c>
      <c r="G571" s="427">
        <v>6528</v>
      </c>
      <c r="H571" s="427">
        <v>1347</v>
      </c>
      <c r="I571" s="432" t="s">
        <v>22</v>
      </c>
      <c r="J571" s="427">
        <v>0</v>
      </c>
      <c r="K571" s="427">
        <v>0</v>
      </c>
      <c r="L571" s="427">
        <v>650</v>
      </c>
      <c r="M571" s="437">
        <v>239245</v>
      </c>
      <c r="N571" s="427"/>
    </row>
    <row r="572" spans="1:14" s="428" customFormat="1" ht="9" customHeight="1" x14ac:dyDescent="0.25">
      <c r="A572" s="433" t="s">
        <v>41</v>
      </c>
      <c r="B572" s="434">
        <f t="shared" si="26"/>
        <v>452463</v>
      </c>
      <c r="C572" s="434"/>
      <c r="D572" s="434">
        <v>277928</v>
      </c>
      <c r="E572" s="434">
        <v>133105</v>
      </c>
      <c r="F572" s="434">
        <v>20466</v>
      </c>
      <c r="G572" s="434">
        <v>19626</v>
      </c>
      <c r="H572" s="434">
        <v>1057</v>
      </c>
      <c r="I572" s="435" t="s">
        <v>22</v>
      </c>
      <c r="J572" s="434">
        <v>281</v>
      </c>
      <c r="K572" s="434">
        <v>0</v>
      </c>
      <c r="L572" s="434">
        <v>0</v>
      </c>
      <c r="M572" s="437">
        <v>452463</v>
      </c>
      <c r="N572" s="427"/>
    </row>
    <row r="573" spans="1:14" s="428" customFormat="1" ht="9" customHeight="1" x14ac:dyDescent="0.25">
      <c r="A573" s="431" t="s">
        <v>42</v>
      </c>
      <c r="B573" s="427">
        <f t="shared" si="26"/>
        <v>689732</v>
      </c>
      <c r="C573" s="427"/>
      <c r="D573" s="427">
        <v>372199</v>
      </c>
      <c r="E573" s="427">
        <v>167626</v>
      </c>
      <c r="F573" s="427">
        <v>90820</v>
      </c>
      <c r="G573" s="427">
        <v>48675</v>
      </c>
      <c r="H573" s="427">
        <v>437</v>
      </c>
      <c r="I573" s="432" t="s">
        <v>22</v>
      </c>
      <c r="J573" s="427">
        <v>0</v>
      </c>
      <c r="K573" s="427">
        <v>9975</v>
      </c>
      <c r="L573" s="427">
        <v>0</v>
      </c>
      <c r="M573" s="437">
        <v>689732</v>
      </c>
      <c r="N573" s="427"/>
    </row>
    <row r="574" spans="1:14" s="428" customFormat="1" ht="9" customHeight="1" x14ac:dyDescent="0.25">
      <c r="A574" s="431" t="s">
        <v>43</v>
      </c>
      <c r="B574" s="427">
        <f t="shared" si="26"/>
        <v>155240</v>
      </c>
      <c r="C574" s="427"/>
      <c r="D574" s="427">
        <v>87888</v>
      </c>
      <c r="E574" s="427">
        <v>6740</v>
      </c>
      <c r="F574" s="427">
        <v>43082</v>
      </c>
      <c r="G574" s="427">
        <v>17530</v>
      </c>
      <c r="H574" s="427">
        <v>0</v>
      </c>
      <c r="I574" s="432" t="s">
        <v>22</v>
      </c>
      <c r="J574" s="427">
        <v>0</v>
      </c>
      <c r="K574" s="427">
        <v>0</v>
      </c>
      <c r="L574" s="427">
        <v>0</v>
      </c>
      <c r="M574" s="437">
        <v>155240</v>
      </c>
      <c r="N574" s="427"/>
    </row>
    <row r="575" spans="1:14" s="428" customFormat="1" ht="9" customHeight="1" x14ac:dyDescent="0.25">
      <c r="A575" s="431" t="s">
        <v>44</v>
      </c>
      <c r="B575" s="427">
        <f t="shared" si="26"/>
        <v>126969</v>
      </c>
      <c r="C575" s="427"/>
      <c r="D575" s="427">
        <v>88246</v>
      </c>
      <c r="E575" s="427">
        <v>0</v>
      </c>
      <c r="F575" s="427">
        <v>28368</v>
      </c>
      <c r="G575" s="427">
        <v>10310</v>
      </c>
      <c r="H575" s="427">
        <v>0</v>
      </c>
      <c r="I575" s="432" t="s">
        <v>22</v>
      </c>
      <c r="J575" s="427">
        <v>45</v>
      </c>
      <c r="K575" s="427">
        <v>0</v>
      </c>
      <c r="L575" s="427">
        <v>0</v>
      </c>
      <c r="M575" s="437">
        <v>126969</v>
      </c>
      <c r="N575" s="427"/>
    </row>
    <row r="576" spans="1:14" s="428" customFormat="1" ht="9" customHeight="1" x14ac:dyDescent="0.25">
      <c r="A576" s="433" t="s">
        <v>45</v>
      </c>
      <c r="B576" s="434">
        <f t="shared" si="26"/>
        <v>405947</v>
      </c>
      <c r="C576" s="434"/>
      <c r="D576" s="434">
        <v>202801</v>
      </c>
      <c r="E576" s="434">
        <v>118771</v>
      </c>
      <c r="F576" s="434">
        <v>53624</v>
      </c>
      <c r="G576" s="434">
        <v>29498</v>
      </c>
      <c r="H576" s="434">
        <v>1253</v>
      </c>
      <c r="I576" s="435" t="s">
        <v>22</v>
      </c>
      <c r="J576" s="434">
        <v>0</v>
      </c>
      <c r="K576" s="434">
        <v>0</v>
      </c>
      <c r="L576" s="434">
        <v>0</v>
      </c>
      <c r="M576" s="437">
        <v>405947</v>
      </c>
      <c r="N576" s="427"/>
    </row>
    <row r="577" spans="1:14" s="428" customFormat="1" ht="9" customHeight="1" x14ac:dyDescent="0.25">
      <c r="A577" s="431" t="s">
        <v>46</v>
      </c>
      <c r="B577" s="427">
        <f t="shared" si="26"/>
        <v>270807</v>
      </c>
      <c r="C577" s="427"/>
      <c r="D577" s="427">
        <v>79719</v>
      </c>
      <c r="E577" s="427">
        <v>69597</v>
      </c>
      <c r="F577" s="427">
        <v>87872</v>
      </c>
      <c r="G577" s="427">
        <v>31699</v>
      </c>
      <c r="H577" s="427">
        <v>69</v>
      </c>
      <c r="I577" s="432" t="s">
        <v>22</v>
      </c>
      <c r="J577" s="427">
        <v>1851</v>
      </c>
      <c r="K577" s="427">
        <v>0</v>
      </c>
      <c r="L577" s="427">
        <v>0</v>
      </c>
      <c r="M577" s="437">
        <v>270807</v>
      </c>
      <c r="N577" s="427"/>
    </row>
    <row r="578" spans="1:14" s="428" customFormat="1" ht="9" customHeight="1" x14ac:dyDescent="0.25">
      <c r="A578" s="431" t="s">
        <v>47</v>
      </c>
      <c r="B578" s="427">
        <f t="shared" si="26"/>
        <v>234226</v>
      </c>
      <c r="C578" s="427"/>
      <c r="D578" s="427">
        <v>160273</v>
      </c>
      <c r="E578" s="427">
        <v>476</v>
      </c>
      <c r="F578" s="427">
        <v>34739</v>
      </c>
      <c r="G578" s="427">
        <v>18976</v>
      </c>
      <c r="H578" s="427">
        <v>0</v>
      </c>
      <c r="I578" s="432" t="s">
        <v>22</v>
      </c>
      <c r="J578" s="427">
        <v>1223</v>
      </c>
      <c r="K578" s="427">
        <v>18539</v>
      </c>
      <c r="L578" s="427">
        <v>0</v>
      </c>
      <c r="M578" s="437">
        <v>234226</v>
      </c>
      <c r="N578" s="427"/>
    </row>
    <row r="579" spans="1:14" s="428" customFormat="1" ht="9" customHeight="1" x14ac:dyDescent="0.25">
      <c r="A579" s="431" t="s">
        <v>48</v>
      </c>
      <c r="B579" s="427">
        <f t="shared" si="26"/>
        <v>304165</v>
      </c>
      <c r="C579" s="427"/>
      <c r="D579" s="427">
        <v>245123</v>
      </c>
      <c r="E579" s="427">
        <v>0</v>
      </c>
      <c r="F579" s="427">
        <v>44006</v>
      </c>
      <c r="G579" s="427">
        <v>8813</v>
      </c>
      <c r="H579" s="427">
        <v>3687</v>
      </c>
      <c r="I579" s="432" t="s">
        <v>22</v>
      </c>
      <c r="J579" s="427">
        <v>0</v>
      </c>
      <c r="K579" s="427">
        <v>2536</v>
      </c>
      <c r="L579" s="427">
        <v>0</v>
      </c>
      <c r="M579" s="437">
        <v>304165</v>
      </c>
      <c r="N579" s="427"/>
    </row>
    <row r="580" spans="1:14" s="428" customFormat="1" ht="9" customHeight="1" x14ac:dyDescent="0.25">
      <c r="A580" s="433" t="s">
        <v>49</v>
      </c>
      <c r="B580" s="434">
        <f t="shared" si="26"/>
        <v>213711</v>
      </c>
      <c r="C580" s="434"/>
      <c r="D580" s="434">
        <v>80999</v>
      </c>
      <c r="E580" s="434">
        <v>29633</v>
      </c>
      <c r="F580" s="434">
        <v>67944</v>
      </c>
      <c r="G580" s="434">
        <v>30828</v>
      </c>
      <c r="H580" s="434">
        <v>3841</v>
      </c>
      <c r="I580" s="435" t="s">
        <v>22</v>
      </c>
      <c r="J580" s="434">
        <v>466</v>
      </c>
      <c r="K580" s="434">
        <v>0</v>
      </c>
      <c r="L580" s="434">
        <v>0</v>
      </c>
      <c r="M580" s="437">
        <v>213711</v>
      </c>
      <c r="N580" s="427"/>
    </row>
    <row r="581" spans="1:14" s="428" customFormat="1" ht="9" customHeight="1" x14ac:dyDescent="0.25">
      <c r="A581" s="431" t="s">
        <v>50</v>
      </c>
      <c r="B581" s="427">
        <f t="shared" si="26"/>
        <v>100312</v>
      </c>
      <c r="C581" s="427"/>
      <c r="D581" s="427">
        <v>78335</v>
      </c>
      <c r="E581" s="427">
        <v>228</v>
      </c>
      <c r="F581" s="427">
        <v>15116</v>
      </c>
      <c r="G581" s="427">
        <v>6633</v>
      </c>
      <c r="H581" s="427">
        <v>0</v>
      </c>
      <c r="I581" s="432" t="s">
        <v>22</v>
      </c>
      <c r="J581" s="427">
        <v>0</v>
      </c>
      <c r="K581" s="427">
        <v>0</v>
      </c>
      <c r="L581" s="427">
        <v>0</v>
      </c>
      <c r="M581" s="437">
        <v>100312</v>
      </c>
      <c r="N581" s="427"/>
    </row>
    <row r="582" spans="1:14" s="428" customFormat="1" ht="9" customHeight="1" x14ac:dyDescent="0.25">
      <c r="A582" s="431" t="s">
        <v>51</v>
      </c>
      <c r="B582" s="427">
        <f t="shared" si="26"/>
        <v>866860</v>
      </c>
      <c r="C582" s="427"/>
      <c r="D582" s="427">
        <v>455677</v>
      </c>
      <c r="E582" s="427">
        <v>248656</v>
      </c>
      <c r="F582" s="427">
        <v>107321</v>
      </c>
      <c r="G582" s="427">
        <v>38171</v>
      </c>
      <c r="H582" s="427">
        <v>16017</v>
      </c>
      <c r="I582" s="432" t="s">
        <v>22</v>
      </c>
      <c r="J582" s="427">
        <v>978</v>
      </c>
      <c r="K582" s="427">
        <v>0</v>
      </c>
      <c r="L582" s="427">
        <v>40</v>
      </c>
      <c r="M582" s="437">
        <v>866860</v>
      </c>
      <c r="N582" s="427"/>
    </row>
    <row r="583" spans="1:14" s="428" customFormat="1" ht="9" customHeight="1" x14ac:dyDescent="0.25">
      <c r="A583" s="431" t="s">
        <v>52</v>
      </c>
      <c r="B583" s="427">
        <f t="shared" si="26"/>
        <v>256949</v>
      </c>
      <c r="C583" s="427"/>
      <c r="D583" s="427">
        <v>125008</v>
      </c>
      <c r="E583" s="427">
        <v>70442</v>
      </c>
      <c r="F583" s="427">
        <v>56706</v>
      </c>
      <c r="G583" s="427">
        <v>4454</v>
      </c>
      <c r="H583" s="427">
        <v>0</v>
      </c>
      <c r="I583" s="432" t="s">
        <v>22</v>
      </c>
      <c r="J583" s="427">
        <v>339</v>
      </c>
      <c r="K583" s="427">
        <v>0</v>
      </c>
      <c r="L583" s="427">
        <v>0</v>
      </c>
      <c r="M583" s="437">
        <v>256949</v>
      </c>
      <c r="N583" s="427"/>
    </row>
    <row r="584" spans="1:14" s="428" customFormat="1" ht="9" customHeight="1" x14ac:dyDescent="0.25">
      <c r="A584" s="433" t="s">
        <v>53</v>
      </c>
      <c r="B584" s="434">
        <f t="shared" si="26"/>
        <v>252445</v>
      </c>
      <c r="C584" s="434"/>
      <c r="D584" s="434">
        <v>128852</v>
      </c>
      <c r="E584" s="434">
        <v>51145</v>
      </c>
      <c r="F584" s="434">
        <v>55634</v>
      </c>
      <c r="G584" s="434">
        <v>16814</v>
      </c>
      <c r="H584" s="434">
        <v>0</v>
      </c>
      <c r="I584" s="435" t="s">
        <v>22</v>
      </c>
      <c r="J584" s="434">
        <v>0</v>
      </c>
      <c r="K584" s="434">
        <v>0</v>
      </c>
      <c r="L584" s="434">
        <v>0</v>
      </c>
      <c r="M584" s="437">
        <v>252445</v>
      </c>
      <c r="N584" s="427"/>
    </row>
    <row r="585" spans="1:14" s="428" customFormat="1" ht="9" customHeight="1" x14ac:dyDescent="0.25">
      <c r="A585" s="436"/>
      <c r="B585" s="437"/>
      <c r="C585" s="437"/>
      <c r="D585" s="437"/>
      <c r="E585" s="437"/>
      <c r="F585" s="437"/>
      <c r="G585" s="437"/>
      <c r="H585" s="437"/>
      <c r="I585" s="438"/>
      <c r="J585" s="437"/>
      <c r="K585" s="437"/>
      <c r="L585" s="437"/>
      <c r="M585" s="437"/>
      <c r="N585" s="427"/>
    </row>
    <row r="586" spans="1:14" s="428" customFormat="1" ht="9" customHeight="1" x14ac:dyDescent="0.25">
      <c r="A586" s="445">
        <v>2011</v>
      </c>
      <c r="B586" s="446"/>
      <c r="C586" s="446"/>
      <c r="D586" s="446"/>
      <c r="E586" s="446"/>
      <c r="F586" s="446"/>
      <c r="G586" s="446"/>
      <c r="H586" s="446"/>
      <c r="I586" s="446"/>
      <c r="J586" s="446"/>
      <c r="K586" s="446"/>
      <c r="L586" s="446"/>
      <c r="M586" s="405"/>
      <c r="N586" s="427"/>
    </row>
    <row r="587" spans="1:14" s="428" customFormat="1" ht="9" customHeight="1" x14ac:dyDescent="0.25">
      <c r="A587" s="398" t="s">
        <v>21</v>
      </c>
      <c r="B587" s="430">
        <v>12230470</v>
      </c>
      <c r="C587" s="430"/>
      <c r="D587" s="430">
        <v>7459080</v>
      </c>
      <c r="E587" s="430">
        <v>1736314</v>
      </c>
      <c r="F587" s="430">
        <v>1962388</v>
      </c>
      <c r="G587" s="430">
        <v>862137</v>
      </c>
      <c r="H587" s="430">
        <v>34476</v>
      </c>
      <c r="I587" s="430">
        <v>56871</v>
      </c>
      <c r="J587" s="430">
        <v>11802</v>
      </c>
      <c r="K587" s="430">
        <v>107234</v>
      </c>
      <c r="L587" s="430">
        <v>168</v>
      </c>
      <c r="M587" s="447"/>
      <c r="N587" s="427"/>
    </row>
    <row r="588" spans="1:14" s="428" customFormat="1" ht="3.95" customHeight="1" x14ac:dyDescent="0.25">
      <c r="A588" s="398"/>
      <c r="B588" s="430"/>
      <c r="C588" s="430"/>
      <c r="D588" s="430"/>
      <c r="E588" s="430"/>
      <c r="F588" s="430"/>
      <c r="G588" s="430"/>
      <c r="H588" s="430"/>
      <c r="I588" s="430"/>
      <c r="J588" s="430"/>
      <c r="K588" s="430"/>
      <c r="L588" s="430"/>
      <c r="M588" s="447"/>
      <c r="N588" s="427"/>
    </row>
    <row r="589" spans="1:14" s="428" customFormat="1" ht="9" customHeight="1" x14ac:dyDescent="0.25">
      <c r="A589" s="448" t="s">
        <v>23</v>
      </c>
      <c r="B589" s="427">
        <v>184210</v>
      </c>
      <c r="C589" s="427"/>
      <c r="D589" s="427">
        <v>156699</v>
      </c>
      <c r="E589" s="427">
        <v>0</v>
      </c>
      <c r="F589" s="427">
        <v>18392</v>
      </c>
      <c r="G589" s="427">
        <v>9119</v>
      </c>
      <c r="H589" s="427">
        <v>0</v>
      </c>
      <c r="I589" s="432">
        <v>0</v>
      </c>
      <c r="J589" s="427">
        <v>0</v>
      </c>
      <c r="K589" s="432">
        <v>0</v>
      </c>
      <c r="L589" s="432">
        <v>0</v>
      </c>
      <c r="M589" s="447"/>
      <c r="N589" s="427"/>
    </row>
    <row r="590" spans="1:14" s="428" customFormat="1" ht="9" customHeight="1" x14ac:dyDescent="0.25">
      <c r="A590" s="448" t="s">
        <v>24</v>
      </c>
      <c r="B590" s="427">
        <v>219189</v>
      </c>
      <c r="C590" s="427"/>
      <c r="D590" s="427">
        <v>74693</v>
      </c>
      <c r="E590" s="427">
        <v>9574</v>
      </c>
      <c r="F590" s="427">
        <v>112284</v>
      </c>
      <c r="G590" s="427">
        <v>13569</v>
      </c>
      <c r="H590" s="427">
        <v>0</v>
      </c>
      <c r="I590" s="432">
        <v>1313</v>
      </c>
      <c r="J590" s="427">
        <v>17</v>
      </c>
      <c r="K590" s="432">
        <v>7739</v>
      </c>
      <c r="L590" s="432">
        <v>0</v>
      </c>
      <c r="M590" s="447"/>
      <c r="N590" s="427"/>
    </row>
    <row r="591" spans="1:14" s="428" customFormat="1" ht="9" customHeight="1" x14ac:dyDescent="0.25">
      <c r="A591" s="448" t="s">
        <v>25</v>
      </c>
      <c r="B591" s="427">
        <v>55244</v>
      </c>
      <c r="C591" s="427"/>
      <c r="D591" s="427">
        <v>42638</v>
      </c>
      <c r="E591" s="427">
        <v>0</v>
      </c>
      <c r="F591" s="427">
        <v>7842</v>
      </c>
      <c r="G591" s="427">
        <v>4317</v>
      </c>
      <c r="H591" s="427">
        <v>0</v>
      </c>
      <c r="I591" s="432">
        <v>265</v>
      </c>
      <c r="J591" s="427">
        <v>182</v>
      </c>
      <c r="K591" s="432">
        <v>0</v>
      </c>
      <c r="L591" s="432">
        <v>0</v>
      </c>
      <c r="M591" s="447"/>
      <c r="N591" s="427"/>
    </row>
    <row r="592" spans="1:14" s="428" customFormat="1" ht="9" customHeight="1" x14ac:dyDescent="0.25">
      <c r="A592" s="449" t="s">
        <v>26</v>
      </c>
      <c r="B592" s="443">
        <v>121841</v>
      </c>
      <c r="C592" s="434"/>
      <c r="D592" s="443">
        <v>62828</v>
      </c>
      <c r="E592" s="443">
        <v>28338</v>
      </c>
      <c r="F592" s="443">
        <v>16000</v>
      </c>
      <c r="G592" s="443">
        <v>11153</v>
      </c>
      <c r="H592" s="443">
        <v>793</v>
      </c>
      <c r="I592" s="435">
        <v>0</v>
      </c>
      <c r="J592" s="443">
        <v>2729</v>
      </c>
      <c r="K592" s="435">
        <v>0</v>
      </c>
      <c r="L592" s="435">
        <v>0</v>
      </c>
      <c r="M592" s="447"/>
      <c r="N592" s="427"/>
    </row>
    <row r="593" spans="1:14" s="428" customFormat="1" ht="9" customHeight="1" x14ac:dyDescent="0.25">
      <c r="A593" s="448" t="s">
        <v>27</v>
      </c>
      <c r="B593" s="427">
        <v>256528</v>
      </c>
      <c r="C593" s="427"/>
      <c r="D593" s="427">
        <v>119210</v>
      </c>
      <c r="E593" s="427">
        <v>29371</v>
      </c>
      <c r="F593" s="427">
        <v>87619</v>
      </c>
      <c r="G593" s="427">
        <v>19763</v>
      </c>
      <c r="H593" s="427">
        <v>0</v>
      </c>
      <c r="I593" s="432">
        <v>418</v>
      </c>
      <c r="J593" s="427">
        <v>0</v>
      </c>
      <c r="K593" s="432">
        <v>0</v>
      </c>
      <c r="L593" s="432">
        <v>147</v>
      </c>
      <c r="M593" s="447"/>
      <c r="N593" s="427"/>
    </row>
    <row r="594" spans="1:14" s="428" customFormat="1" ht="9" customHeight="1" x14ac:dyDescent="0.25">
      <c r="A594" s="448" t="s">
        <v>28</v>
      </c>
      <c r="B594" s="427">
        <v>61196</v>
      </c>
      <c r="C594" s="427"/>
      <c r="D594" s="427">
        <v>40283</v>
      </c>
      <c r="E594" s="427">
        <v>0</v>
      </c>
      <c r="F594" s="427">
        <v>13869</v>
      </c>
      <c r="G594" s="427">
        <v>6051</v>
      </c>
      <c r="H594" s="427">
        <v>0</v>
      </c>
      <c r="I594" s="432">
        <v>0</v>
      </c>
      <c r="J594" s="427">
        <v>993</v>
      </c>
      <c r="K594" s="432">
        <v>0</v>
      </c>
      <c r="L594" s="432">
        <v>0</v>
      </c>
      <c r="M594" s="447"/>
      <c r="N594" s="427"/>
    </row>
    <row r="595" spans="1:14" s="428" customFormat="1" ht="9" customHeight="1" x14ac:dyDescent="0.25">
      <c r="A595" s="448" t="s">
        <v>29</v>
      </c>
      <c r="B595" s="427">
        <v>700840</v>
      </c>
      <c r="C595" s="427"/>
      <c r="D595" s="427">
        <v>325396</v>
      </c>
      <c r="E595" s="427">
        <v>322262</v>
      </c>
      <c r="F595" s="427">
        <v>31067</v>
      </c>
      <c r="G595" s="427">
        <v>12975</v>
      </c>
      <c r="H595" s="427">
        <v>459</v>
      </c>
      <c r="I595" s="432">
        <v>7595</v>
      </c>
      <c r="J595" s="427">
        <v>44</v>
      </c>
      <c r="K595" s="432">
        <v>1042</v>
      </c>
      <c r="L595" s="432">
        <v>0</v>
      </c>
      <c r="M595" s="447"/>
      <c r="N595" s="427"/>
    </row>
    <row r="596" spans="1:14" s="428" customFormat="1" ht="9" customHeight="1" x14ac:dyDescent="0.25">
      <c r="A596" s="449" t="s">
        <v>30</v>
      </c>
      <c r="B596" s="434">
        <v>392107</v>
      </c>
      <c r="C596" s="434"/>
      <c r="D596" s="434">
        <v>251282</v>
      </c>
      <c r="E596" s="434">
        <v>49496</v>
      </c>
      <c r="F596" s="434">
        <v>75475</v>
      </c>
      <c r="G596" s="434">
        <v>13471</v>
      </c>
      <c r="H596" s="434">
        <v>168</v>
      </c>
      <c r="I596" s="435">
        <v>2215</v>
      </c>
      <c r="J596" s="434">
        <v>0</v>
      </c>
      <c r="K596" s="435">
        <v>0</v>
      </c>
      <c r="L596" s="435">
        <v>0</v>
      </c>
      <c r="M596" s="447"/>
      <c r="N596" s="427"/>
    </row>
    <row r="597" spans="1:14" s="428" customFormat="1" ht="9" customHeight="1" x14ac:dyDescent="0.25">
      <c r="A597" s="448" t="s">
        <v>63</v>
      </c>
      <c r="B597" s="427">
        <v>444072</v>
      </c>
      <c r="C597" s="427"/>
      <c r="D597" s="427">
        <v>85189</v>
      </c>
      <c r="E597" s="427">
        <v>1917</v>
      </c>
      <c r="F597" s="427">
        <v>114064</v>
      </c>
      <c r="G597" s="427">
        <v>216255</v>
      </c>
      <c r="H597" s="427">
        <v>2146</v>
      </c>
      <c r="I597" s="432">
        <v>20384</v>
      </c>
      <c r="J597" s="427">
        <v>2044</v>
      </c>
      <c r="K597" s="432">
        <v>2073</v>
      </c>
      <c r="L597" s="432">
        <v>0</v>
      </c>
      <c r="M597" s="447"/>
      <c r="N597" s="427"/>
    </row>
    <row r="598" spans="1:14" s="428" customFormat="1" ht="9" customHeight="1" x14ac:dyDescent="0.25">
      <c r="A598" s="448" t="s">
        <v>31</v>
      </c>
      <c r="B598" s="427">
        <v>295838</v>
      </c>
      <c r="C598" s="427"/>
      <c r="D598" s="427">
        <v>138232</v>
      </c>
      <c r="E598" s="427">
        <v>66509</v>
      </c>
      <c r="F598" s="427">
        <v>80544</v>
      </c>
      <c r="G598" s="427">
        <v>9461</v>
      </c>
      <c r="H598" s="427">
        <v>0</v>
      </c>
      <c r="I598" s="432">
        <v>1092</v>
      </c>
      <c r="J598" s="427">
        <v>0</v>
      </c>
      <c r="K598" s="432">
        <v>0</v>
      </c>
      <c r="L598" s="432">
        <v>0</v>
      </c>
      <c r="M598" s="447"/>
      <c r="N598" s="427"/>
    </row>
    <row r="599" spans="1:14" s="428" customFormat="1" ht="9" customHeight="1" x14ac:dyDescent="0.25">
      <c r="A599" s="448" t="s">
        <v>32</v>
      </c>
      <c r="B599" s="427">
        <v>497755</v>
      </c>
      <c r="C599" s="427"/>
      <c r="D599" s="427">
        <v>374042</v>
      </c>
      <c r="E599" s="427">
        <v>2944</v>
      </c>
      <c r="F599" s="427">
        <v>75449</v>
      </c>
      <c r="G599" s="427">
        <v>38895</v>
      </c>
      <c r="H599" s="427">
        <v>3668</v>
      </c>
      <c r="I599" s="432">
        <v>2757</v>
      </c>
      <c r="J599" s="427">
        <v>0</v>
      </c>
      <c r="K599" s="432">
        <v>0</v>
      </c>
      <c r="L599" s="432">
        <v>0</v>
      </c>
      <c r="M599" s="447"/>
      <c r="N599" s="427"/>
    </row>
    <row r="600" spans="1:14" s="428" customFormat="1" ht="9" customHeight="1" x14ac:dyDescent="0.25">
      <c r="A600" s="449" t="s">
        <v>33</v>
      </c>
      <c r="B600" s="434">
        <v>759400</v>
      </c>
      <c r="C600" s="434"/>
      <c r="D600" s="434">
        <v>658957</v>
      </c>
      <c r="E600" s="434">
        <v>7105</v>
      </c>
      <c r="F600" s="434">
        <v>51836</v>
      </c>
      <c r="G600" s="434">
        <v>40001</v>
      </c>
      <c r="H600" s="434">
        <v>0</v>
      </c>
      <c r="I600" s="435">
        <v>999</v>
      </c>
      <c r="J600" s="434">
        <v>502</v>
      </c>
      <c r="K600" s="435">
        <v>0</v>
      </c>
      <c r="L600" s="435">
        <v>0</v>
      </c>
      <c r="M600" s="447"/>
      <c r="N600" s="427"/>
    </row>
    <row r="601" spans="1:14" s="428" customFormat="1" ht="9" customHeight="1" x14ac:dyDescent="0.25">
      <c r="A601" s="448" t="s">
        <v>34</v>
      </c>
      <c r="B601" s="427">
        <v>347676</v>
      </c>
      <c r="C601" s="427"/>
      <c r="D601" s="427">
        <v>214085</v>
      </c>
      <c r="E601" s="427">
        <v>71753</v>
      </c>
      <c r="F601" s="427">
        <v>24227</v>
      </c>
      <c r="G601" s="427">
        <v>37293</v>
      </c>
      <c r="H601" s="427">
        <v>318</v>
      </c>
      <c r="I601" s="432">
        <v>0</v>
      </c>
      <c r="J601" s="427">
        <v>0</v>
      </c>
      <c r="K601" s="432">
        <v>0</v>
      </c>
      <c r="L601" s="432">
        <v>0</v>
      </c>
      <c r="M601" s="447"/>
      <c r="N601" s="427"/>
    </row>
    <row r="602" spans="1:14" s="428" customFormat="1" ht="9" customHeight="1" x14ac:dyDescent="0.25">
      <c r="A602" s="448" t="s">
        <v>35</v>
      </c>
      <c r="B602" s="427">
        <v>454728</v>
      </c>
      <c r="C602" s="427"/>
      <c r="D602" s="427">
        <v>310242</v>
      </c>
      <c r="E602" s="427">
        <v>807</v>
      </c>
      <c r="F602" s="427">
        <v>107114</v>
      </c>
      <c r="G602" s="427">
        <v>35778</v>
      </c>
      <c r="H602" s="427">
        <v>262</v>
      </c>
      <c r="I602" s="432">
        <v>490</v>
      </c>
      <c r="J602" s="427">
        <v>35</v>
      </c>
      <c r="K602" s="432">
        <v>0</v>
      </c>
      <c r="L602" s="432">
        <v>0</v>
      </c>
      <c r="M602" s="447"/>
      <c r="N602" s="427"/>
    </row>
    <row r="603" spans="1:14" s="428" customFormat="1" ht="9" customHeight="1" x14ac:dyDescent="0.25">
      <c r="A603" s="448" t="s">
        <v>36</v>
      </c>
      <c r="B603" s="427">
        <v>2002894</v>
      </c>
      <c r="C603" s="427"/>
      <c r="D603" s="427">
        <v>1756301</v>
      </c>
      <c r="E603" s="427">
        <v>2608</v>
      </c>
      <c r="F603" s="427">
        <v>138477</v>
      </c>
      <c r="G603" s="427">
        <v>34497</v>
      </c>
      <c r="H603" s="427">
        <v>32</v>
      </c>
      <c r="I603" s="432">
        <v>11426</v>
      </c>
      <c r="J603" s="427">
        <v>0</v>
      </c>
      <c r="K603" s="432">
        <v>59553</v>
      </c>
      <c r="L603" s="432">
        <v>0</v>
      </c>
      <c r="M603" s="447"/>
      <c r="N603" s="427"/>
    </row>
    <row r="604" spans="1:14" s="428" customFormat="1" ht="9" customHeight="1" x14ac:dyDescent="0.25">
      <c r="A604" s="449" t="s">
        <v>37</v>
      </c>
      <c r="B604" s="434">
        <v>401939</v>
      </c>
      <c r="C604" s="434"/>
      <c r="D604" s="434">
        <v>211761</v>
      </c>
      <c r="E604" s="434">
        <v>115724</v>
      </c>
      <c r="F604" s="434">
        <v>54554</v>
      </c>
      <c r="G604" s="434">
        <v>18583</v>
      </c>
      <c r="H604" s="434">
        <v>0</v>
      </c>
      <c r="I604" s="435">
        <v>641</v>
      </c>
      <c r="J604" s="434">
        <v>676</v>
      </c>
      <c r="K604" s="435">
        <v>0</v>
      </c>
      <c r="L604" s="435">
        <v>0</v>
      </c>
      <c r="M604" s="447"/>
      <c r="N604" s="427"/>
    </row>
    <row r="605" spans="1:14" s="428" customFormat="1" ht="9" customHeight="1" x14ac:dyDescent="0.25">
      <c r="A605" s="448" t="s">
        <v>38</v>
      </c>
      <c r="B605" s="427">
        <v>217903</v>
      </c>
      <c r="C605" s="427"/>
      <c r="D605" s="427">
        <v>95362</v>
      </c>
      <c r="E605" s="427">
        <v>460</v>
      </c>
      <c r="F605" s="427">
        <v>88728</v>
      </c>
      <c r="G605" s="427">
        <v>33189</v>
      </c>
      <c r="H605" s="427">
        <v>0</v>
      </c>
      <c r="I605" s="432">
        <v>164</v>
      </c>
      <c r="J605" s="427">
        <v>0</v>
      </c>
      <c r="K605" s="432">
        <v>0</v>
      </c>
      <c r="L605" s="432">
        <v>0</v>
      </c>
      <c r="M605" s="447"/>
      <c r="N605" s="427"/>
    </row>
    <row r="606" spans="1:14" s="428" customFormat="1" ht="9" customHeight="1" x14ac:dyDescent="0.25">
      <c r="A606" s="448" t="s">
        <v>39</v>
      </c>
      <c r="B606" s="427">
        <v>139706</v>
      </c>
      <c r="C606" s="427"/>
      <c r="D606" s="427">
        <v>67933</v>
      </c>
      <c r="E606" s="427">
        <v>19351</v>
      </c>
      <c r="F606" s="427">
        <v>48120</v>
      </c>
      <c r="G606" s="427">
        <v>4288</v>
      </c>
      <c r="H606" s="427">
        <v>0</v>
      </c>
      <c r="I606" s="432">
        <v>0</v>
      </c>
      <c r="J606" s="427">
        <v>14</v>
      </c>
      <c r="K606" s="432">
        <v>0</v>
      </c>
      <c r="L606" s="432">
        <v>0</v>
      </c>
      <c r="M606" s="447"/>
      <c r="N606" s="427"/>
    </row>
    <row r="607" spans="1:14" s="428" customFormat="1" ht="9" customHeight="1" x14ac:dyDescent="0.25">
      <c r="A607" s="448" t="s">
        <v>40</v>
      </c>
      <c r="B607" s="427">
        <v>247709</v>
      </c>
      <c r="C607" s="427"/>
      <c r="D607" s="427">
        <v>143498</v>
      </c>
      <c r="E607" s="427">
        <v>408</v>
      </c>
      <c r="F607" s="427">
        <v>91005</v>
      </c>
      <c r="G607" s="427">
        <v>10307</v>
      </c>
      <c r="H607" s="427">
        <v>1607</v>
      </c>
      <c r="I607" s="432">
        <v>884</v>
      </c>
      <c r="J607" s="427">
        <v>0</v>
      </c>
      <c r="K607" s="432">
        <v>0</v>
      </c>
      <c r="L607" s="432">
        <v>0</v>
      </c>
      <c r="M607" s="447"/>
      <c r="N607" s="427"/>
    </row>
    <row r="608" spans="1:14" s="428" customFormat="1" ht="9" customHeight="1" x14ac:dyDescent="0.25">
      <c r="A608" s="449" t="s">
        <v>41</v>
      </c>
      <c r="B608" s="434">
        <v>482243</v>
      </c>
      <c r="C608" s="434"/>
      <c r="D608" s="434">
        <v>293187</v>
      </c>
      <c r="E608" s="434">
        <v>149514</v>
      </c>
      <c r="F608" s="434">
        <v>20303</v>
      </c>
      <c r="G608" s="434">
        <v>17727</v>
      </c>
      <c r="H608" s="434">
        <v>678</v>
      </c>
      <c r="I608" s="435">
        <v>492</v>
      </c>
      <c r="J608" s="434">
        <v>342</v>
      </c>
      <c r="K608" s="435">
        <v>0</v>
      </c>
      <c r="L608" s="435">
        <v>0</v>
      </c>
      <c r="M608" s="447"/>
      <c r="N608" s="427"/>
    </row>
    <row r="609" spans="1:14" s="428" customFormat="1" ht="9" customHeight="1" x14ac:dyDescent="0.25">
      <c r="A609" s="448" t="s">
        <v>42</v>
      </c>
      <c r="B609" s="427">
        <v>695733</v>
      </c>
      <c r="C609" s="427"/>
      <c r="D609" s="427">
        <v>366021</v>
      </c>
      <c r="E609" s="427">
        <v>191120</v>
      </c>
      <c r="F609" s="427">
        <v>90255</v>
      </c>
      <c r="G609" s="427">
        <v>35605</v>
      </c>
      <c r="H609" s="427">
        <v>360</v>
      </c>
      <c r="I609" s="432">
        <v>678</v>
      </c>
      <c r="J609" s="427">
        <v>0</v>
      </c>
      <c r="K609" s="432">
        <v>11694</v>
      </c>
      <c r="L609" s="432">
        <v>0</v>
      </c>
      <c r="M609" s="447"/>
      <c r="N609" s="427"/>
    </row>
    <row r="610" spans="1:14" s="428" customFormat="1" ht="9" customHeight="1" x14ac:dyDescent="0.25">
      <c r="A610" s="448" t="s">
        <v>43</v>
      </c>
      <c r="B610" s="427">
        <v>142216</v>
      </c>
      <c r="C610" s="427"/>
      <c r="D610" s="427">
        <v>83603</v>
      </c>
      <c r="E610" s="427">
        <v>204</v>
      </c>
      <c r="F610" s="427">
        <v>46723</v>
      </c>
      <c r="G610" s="427">
        <v>11686</v>
      </c>
      <c r="H610" s="427">
        <v>0</v>
      </c>
      <c r="I610" s="432">
        <v>0</v>
      </c>
      <c r="J610" s="427">
        <v>0</v>
      </c>
      <c r="K610" s="432">
        <v>0</v>
      </c>
      <c r="L610" s="432">
        <v>0</v>
      </c>
      <c r="M610" s="447"/>
      <c r="N610" s="427"/>
    </row>
    <row r="611" spans="1:14" s="428" customFormat="1" ht="9" customHeight="1" x14ac:dyDescent="0.25">
      <c r="A611" s="448" t="s">
        <v>44</v>
      </c>
      <c r="B611" s="427">
        <v>130495</v>
      </c>
      <c r="C611" s="427"/>
      <c r="D611" s="427">
        <v>87004</v>
      </c>
      <c r="E611" s="427">
        <v>0</v>
      </c>
      <c r="F611" s="427">
        <v>34680</v>
      </c>
      <c r="G611" s="427">
        <v>8639</v>
      </c>
      <c r="H611" s="427">
        <v>0</v>
      </c>
      <c r="I611" s="432">
        <v>135</v>
      </c>
      <c r="J611" s="427">
        <v>37</v>
      </c>
      <c r="K611" s="432">
        <v>0</v>
      </c>
      <c r="L611" s="432">
        <v>0</v>
      </c>
      <c r="M611" s="447"/>
      <c r="N611" s="427"/>
    </row>
    <row r="612" spans="1:14" s="428" customFormat="1" ht="9" customHeight="1" x14ac:dyDescent="0.25">
      <c r="A612" s="449" t="s">
        <v>45</v>
      </c>
      <c r="B612" s="434">
        <v>437207</v>
      </c>
      <c r="C612" s="434"/>
      <c r="D612" s="434">
        <v>197142</v>
      </c>
      <c r="E612" s="434">
        <v>138878</v>
      </c>
      <c r="F612" s="434">
        <v>51682</v>
      </c>
      <c r="G612" s="434">
        <v>46522</v>
      </c>
      <c r="H612" s="434">
        <v>2840</v>
      </c>
      <c r="I612" s="435">
        <v>143</v>
      </c>
      <c r="J612" s="434">
        <v>0</v>
      </c>
      <c r="K612" s="435">
        <v>0</v>
      </c>
      <c r="L612" s="435">
        <v>0</v>
      </c>
      <c r="M612" s="447"/>
      <c r="N612" s="427"/>
    </row>
    <row r="613" spans="1:14" s="428" customFormat="1" ht="9" customHeight="1" x14ac:dyDescent="0.25">
      <c r="A613" s="448" t="s">
        <v>46</v>
      </c>
      <c r="B613" s="427">
        <v>317135</v>
      </c>
      <c r="C613" s="427"/>
      <c r="D613" s="427">
        <v>91498</v>
      </c>
      <c r="E613" s="427">
        <v>84684</v>
      </c>
      <c r="F613" s="427">
        <v>104199</v>
      </c>
      <c r="G613" s="427">
        <v>35032</v>
      </c>
      <c r="H613" s="427">
        <v>57</v>
      </c>
      <c r="I613" s="432">
        <v>188</v>
      </c>
      <c r="J613" s="427">
        <v>1477</v>
      </c>
      <c r="K613" s="432">
        <v>0</v>
      </c>
      <c r="L613" s="432">
        <v>0</v>
      </c>
      <c r="M613" s="447"/>
      <c r="N613" s="427"/>
    </row>
    <row r="614" spans="1:14" s="428" customFormat="1" ht="9" customHeight="1" x14ac:dyDescent="0.25">
      <c r="A614" s="448" t="s">
        <v>47</v>
      </c>
      <c r="B614" s="427">
        <v>236899</v>
      </c>
      <c r="C614" s="427"/>
      <c r="D614" s="427">
        <v>138733</v>
      </c>
      <c r="E614" s="427">
        <v>432</v>
      </c>
      <c r="F614" s="427">
        <v>55919</v>
      </c>
      <c r="G614" s="427">
        <v>16064</v>
      </c>
      <c r="H614" s="427">
        <v>0</v>
      </c>
      <c r="I614" s="432">
        <v>54</v>
      </c>
      <c r="J614" s="427">
        <v>1053</v>
      </c>
      <c r="K614" s="432">
        <v>24644</v>
      </c>
      <c r="L614" s="432">
        <v>0</v>
      </c>
      <c r="M614" s="447"/>
      <c r="N614" s="427"/>
    </row>
    <row r="615" spans="1:14" s="428" customFormat="1" ht="9" customHeight="1" x14ac:dyDescent="0.25">
      <c r="A615" s="448" t="s">
        <v>48</v>
      </c>
      <c r="B615" s="427">
        <v>308762</v>
      </c>
      <c r="C615" s="427"/>
      <c r="D615" s="427">
        <v>248195</v>
      </c>
      <c r="E615" s="427">
        <v>0</v>
      </c>
      <c r="F615" s="427">
        <v>45881</v>
      </c>
      <c r="G615" s="427">
        <v>9764</v>
      </c>
      <c r="H615" s="427">
        <v>4003</v>
      </c>
      <c r="I615" s="432">
        <v>430</v>
      </c>
      <c r="J615" s="427">
        <v>0</v>
      </c>
      <c r="K615" s="432">
        <v>489</v>
      </c>
      <c r="L615" s="432">
        <v>0</v>
      </c>
      <c r="M615" s="447"/>
      <c r="N615" s="427"/>
    </row>
    <row r="616" spans="1:14" s="428" customFormat="1" ht="9" customHeight="1" x14ac:dyDescent="0.25">
      <c r="A616" s="449" t="s">
        <v>49</v>
      </c>
      <c r="B616" s="434">
        <v>249764</v>
      </c>
      <c r="C616" s="434"/>
      <c r="D616" s="434">
        <v>89311</v>
      </c>
      <c r="E616" s="434">
        <v>25814</v>
      </c>
      <c r="F616" s="434">
        <v>83197</v>
      </c>
      <c r="G616" s="434">
        <v>46735</v>
      </c>
      <c r="H616" s="434">
        <v>4205</v>
      </c>
      <c r="I616" s="435">
        <v>200</v>
      </c>
      <c r="J616" s="434">
        <v>302</v>
      </c>
      <c r="K616" s="435">
        <v>0</v>
      </c>
      <c r="L616" s="435">
        <v>0</v>
      </c>
      <c r="M616" s="447"/>
      <c r="N616" s="427"/>
    </row>
    <row r="617" spans="1:14" s="428" customFormat="1" ht="9" customHeight="1" x14ac:dyDescent="0.25">
      <c r="A617" s="448" t="s">
        <v>50</v>
      </c>
      <c r="B617" s="427">
        <v>87991</v>
      </c>
      <c r="C617" s="427"/>
      <c r="D617" s="427">
        <v>65263</v>
      </c>
      <c r="E617" s="427">
        <v>370</v>
      </c>
      <c r="F617" s="427">
        <v>16050</v>
      </c>
      <c r="G617" s="427">
        <v>6308</v>
      </c>
      <c r="H617" s="427">
        <v>0</v>
      </c>
      <c r="I617" s="432">
        <v>0</v>
      </c>
      <c r="J617" s="427">
        <v>0</v>
      </c>
      <c r="K617" s="432">
        <v>0</v>
      </c>
      <c r="L617" s="432">
        <v>0</v>
      </c>
      <c r="M617" s="447"/>
      <c r="N617" s="427"/>
    </row>
    <row r="618" spans="1:14" s="428" customFormat="1" ht="9" customHeight="1" x14ac:dyDescent="0.25">
      <c r="A618" s="448" t="s">
        <v>51</v>
      </c>
      <c r="B618" s="427">
        <v>843972</v>
      </c>
      <c r="C618" s="427"/>
      <c r="D618" s="427">
        <v>405880</v>
      </c>
      <c r="E618" s="427">
        <v>298346</v>
      </c>
      <c r="F618" s="427">
        <v>85138</v>
      </c>
      <c r="G618" s="427">
        <v>38591</v>
      </c>
      <c r="H618" s="427">
        <v>12880</v>
      </c>
      <c r="I618" s="432">
        <v>2070</v>
      </c>
      <c r="J618" s="427">
        <v>1046</v>
      </c>
      <c r="K618" s="432">
        <v>0</v>
      </c>
      <c r="L618" s="432">
        <v>21</v>
      </c>
      <c r="M618" s="447"/>
      <c r="N618" s="427"/>
    </row>
    <row r="619" spans="1:14" s="428" customFormat="1" ht="9" customHeight="1" x14ac:dyDescent="0.25">
      <c r="A619" s="448" t="s">
        <v>52</v>
      </c>
      <c r="B619" s="427">
        <v>232987</v>
      </c>
      <c r="C619" s="427"/>
      <c r="D619" s="427">
        <v>124570</v>
      </c>
      <c r="E619" s="427">
        <v>65209</v>
      </c>
      <c r="F619" s="427">
        <v>37602</v>
      </c>
      <c r="G619" s="427">
        <v>4275</v>
      </c>
      <c r="H619" s="427">
        <v>0</v>
      </c>
      <c r="I619" s="432">
        <v>1022</v>
      </c>
      <c r="J619" s="427">
        <v>309</v>
      </c>
      <c r="K619" s="432">
        <v>0</v>
      </c>
      <c r="L619" s="432">
        <v>0</v>
      </c>
      <c r="M619" s="447"/>
      <c r="N619" s="427"/>
    </row>
    <row r="620" spans="1:14" s="428" customFormat="1" ht="9" customHeight="1" x14ac:dyDescent="0.25">
      <c r="A620" s="449" t="s">
        <v>53</v>
      </c>
      <c r="B620" s="434">
        <v>264291</v>
      </c>
      <c r="C620" s="434"/>
      <c r="D620" s="434">
        <v>140042</v>
      </c>
      <c r="E620" s="434">
        <v>53116</v>
      </c>
      <c r="F620" s="434">
        <v>54093</v>
      </c>
      <c r="G620" s="434">
        <v>16224</v>
      </c>
      <c r="H620" s="434">
        <v>0</v>
      </c>
      <c r="I620" s="435">
        <v>816</v>
      </c>
      <c r="J620" s="434">
        <v>0</v>
      </c>
      <c r="K620" s="435">
        <v>0</v>
      </c>
      <c r="L620" s="435">
        <v>0</v>
      </c>
      <c r="M620" s="447"/>
      <c r="N620" s="427"/>
    </row>
    <row r="621" spans="1:14" s="428" customFormat="1" ht="9" customHeight="1" x14ac:dyDescent="0.25">
      <c r="A621" s="436"/>
      <c r="B621" s="437"/>
      <c r="C621" s="437"/>
      <c r="D621" s="437"/>
      <c r="E621" s="437"/>
      <c r="F621" s="437"/>
      <c r="G621" s="437"/>
      <c r="H621" s="437"/>
      <c r="I621" s="438"/>
      <c r="J621" s="437"/>
      <c r="K621" s="437"/>
      <c r="L621" s="437"/>
      <c r="M621" s="437"/>
      <c r="N621" s="427"/>
    </row>
    <row r="622" spans="1:14" s="405" customFormat="1" ht="9" customHeight="1" x14ac:dyDescent="0.25">
      <c r="A622" s="445">
        <v>2012</v>
      </c>
      <c r="B622" s="446"/>
      <c r="C622" s="446"/>
      <c r="D622" s="446"/>
      <c r="E622" s="446"/>
      <c r="F622" s="446"/>
      <c r="G622" s="446"/>
      <c r="H622" s="446"/>
      <c r="I622" s="446"/>
      <c r="J622" s="446"/>
      <c r="K622" s="446"/>
      <c r="L622" s="446"/>
    </row>
    <row r="623" spans="1:14" s="405" customFormat="1" ht="9" customHeight="1" x14ac:dyDescent="0.25">
      <c r="A623" s="398" t="s">
        <v>21</v>
      </c>
      <c r="B623" s="430">
        <f>SUM(B625:B656)</f>
        <v>11599193</v>
      </c>
      <c r="C623" s="430"/>
      <c r="D623" s="430">
        <f t="shared" ref="D623:L623" si="27">SUM(D625:D656)</f>
        <v>7532598</v>
      </c>
      <c r="E623" s="430">
        <f t="shared" si="27"/>
        <v>1131912</v>
      </c>
      <c r="F623" s="430">
        <f t="shared" si="27"/>
        <v>1815494</v>
      </c>
      <c r="G623" s="430">
        <f t="shared" si="27"/>
        <v>937639</v>
      </c>
      <c r="H623" s="430">
        <f t="shared" si="27"/>
        <v>34326</v>
      </c>
      <c r="I623" s="430">
        <f t="shared" si="27"/>
        <v>4284</v>
      </c>
      <c r="J623" s="430">
        <f t="shared" si="27"/>
        <v>13643</v>
      </c>
      <c r="K623" s="430">
        <f t="shared" si="27"/>
        <v>128006</v>
      </c>
      <c r="L623" s="430">
        <f t="shared" si="27"/>
        <v>1291</v>
      </c>
      <c r="M623" s="447"/>
    </row>
    <row r="624" spans="1:14" s="405" customFormat="1" ht="3.95" customHeight="1" x14ac:dyDescent="0.25">
      <c r="A624" s="398"/>
      <c r="B624" s="430"/>
      <c r="C624" s="430"/>
      <c r="D624" s="430"/>
      <c r="E624" s="430"/>
      <c r="F624" s="430"/>
      <c r="G624" s="430"/>
      <c r="H624" s="430"/>
      <c r="I624" s="430"/>
      <c r="J624" s="430"/>
      <c r="K624" s="430"/>
      <c r="L624" s="430"/>
      <c r="M624" s="447"/>
    </row>
    <row r="625" spans="1:13" s="405" customFormat="1" ht="9" customHeight="1" x14ac:dyDescent="0.25">
      <c r="A625" s="448" t="s">
        <v>23</v>
      </c>
      <c r="B625" s="427">
        <f>SUM(D625:L625)</f>
        <v>188817</v>
      </c>
      <c r="C625" s="427"/>
      <c r="D625" s="427">
        <v>155531</v>
      </c>
      <c r="E625" s="405">
        <v>0</v>
      </c>
      <c r="F625" s="427">
        <v>26274</v>
      </c>
      <c r="G625" s="427">
        <v>7012</v>
      </c>
      <c r="H625" s="427">
        <v>0</v>
      </c>
      <c r="I625" s="432">
        <v>0</v>
      </c>
      <c r="J625" s="427">
        <v>0</v>
      </c>
      <c r="K625" s="432">
        <v>0</v>
      </c>
      <c r="L625" s="432">
        <v>0</v>
      </c>
      <c r="M625" s="447"/>
    </row>
    <row r="626" spans="1:13" s="405" customFormat="1" ht="9" customHeight="1" x14ac:dyDescent="0.25">
      <c r="A626" s="448" t="s">
        <v>24</v>
      </c>
      <c r="B626" s="427">
        <f>SUM(D626:L626)</f>
        <v>199759</v>
      </c>
      <c r="C626" s="427"/>
      <c r="D626" s="427">
        <v>73467</v>
      </c>
      <c r="E626" s="405">
        <v>6295</v>
      </c>
      <c r="F626" s="427">
        <v>102001</v>
      </c>
      <c r="G626" s="427">
        <v>13403</v>
      </c>
      <c r="H626" s="405">
        <v>0</v>
      </c>
      <c r="I626" s="427">
        <v>193</v>
      </c>
      <c r="J626" s="427">
        <v>50</v>
      </c>
      <c r="K626" s="432">
        <v>4350</v>
      </c>
      <c r="L626" s="432">
        <v>0</v>
      </c>
      <c r="M626" s="447"/>
    </row>
    <row r="627" spans="1:13" s="405" customFormat="1" ht="9" customHeight="1" x14ac:dyDescent="0.25">
      <c r="A627" s="448" t="s">
        <v>25</v>
      </c>
      <c r="B627" s="427">
        <f t="shared" ref="B627:B656" si="28">SUM(D627:L627)</f>
        <v>51100</v>
      </c>
      <c r="C627" s="427"/>
      <c r="D627" s="427">
        <v>38278</v>
      </c>
      <c r="E627" s="405">
        <v>0</v>
      </c>
      <c r="F627" s="427">
        <v>8384</v>
      </c>
      <c r="G627" s="427">
        <v>4285</v>
      </c>
      <c r="H627" s="405">
        <v>0</v>
      </c>
      <c r="I627" s="427">
        <v>30</v>
      </c>
      <c r="J627" s="427">
        <v>123</v>
      </c>
      <c r="K627" s="432">
        <v>0</v>
      </c>
      <c r="L627" s="432">
        <v>0</v>
      </c>
      <c r="M627" s="447"/>
    </row>
    <row r="628" spans="1:13" s="405" customFormat="1" ht="9" customHeight="1" x14ac:dyDescent="0.25">
      <c r="A628" s="449" t="s">
        <v>26</v>
      </c>
      <c r="B628" s="443">
        <f t="shared" si="28"/>
        <v>100356</v>
      </c>
      <c r="C628" s="434"/>
      <c r="D628" s="443">
        <v>60162</v>
      </c>
      <c r="E628" s="443">
        <v>14723</v>
      </c>
      <c r="F628" s="443">
        <v>11094</v>
      </c>
      <c r="G628" s="443">
        <v>11571</v>
      </c>
      <c r="H628" s="443">
        <v>963</v>
      </c>
      <c r="I628" s="435">
        <v>0</v>
      </c>
      <c r="J628" s="435">
        <v>1843</v>
      </c>
      <c r="K628" s="435">
        <v>0</v>
      </c>
      <c r="L628" s="435">
        <v>0</v>
      </c>
      <c r="M628" s="447"/>
    </row>
    <row r="629" spans="1:13" s="405" customFormat="1" ht="9" customHeight="1" x14ac:dyDescent="0.25">
      <c r="A629" s="448" t="s">
        <v>27</v>
      </c>
      <c r="B629" s="427">
        <f t="shared" si="28"/>
        <v>248585</v>
      </c>
      <c r="C629" s="427"/>
      <c r="D629" s="427">
        <v>120491</v>
      </c>
      <c r="E629" s="427">
        <v>20451</v>
      </c>
      <c r="F629" s="427">
        <v>88113</v>
      </c>
      <c r="G629" s="427">
        <v>19046</v>
      </c>
      <c r="H629" s="427">
        <v>0</v>
      </c>
      <c r="I629" s="432">
        <v>35</v>
      </c>
      <c r="J629" s="427">
        <v>0</v>
      </c>
      <c r="K629" s="432">
        <v>0</v>
      </c>
      <c r="L629" s="432">
        <v>449</v>
      </c>
      <c r="M629" s="447"/>
    </row>
    <row r="630" spans="1:13" s="405" customFormat="1" ht="9" customHeight="1" x14ac:dyDescent="0.25">
      <c r="A630" s="448" t="s">
        <v>28</v>
      </c>
      <c r="B630" s="427">
        <f t="shared" si="28"/>
        <v>101505</v>
      </c>
      <c r="C630" s="427"/>
      <c r="D630" s="427">
        <v>81402</v>
      </c>
      <c r="E630" s="405">
        <v>0</v>
      </c>
      <c r="F630" s="427">
        <v>12989</v>
      </c>
      <c r="G630" s="427">
        <v>5623</v>
      </c>
      <c r="H630" s="427">
        <v>0</v>
      </c>
      <c r="I630" s="405">
        <v>0</v>
      </c>
      <c r="J630" s="427">
        <v>1491</v>
      </c>
      <c r="K630" s="432">
        <v>0</v>
      </c>
      <c r="L630" s="432">
        <v>0</v>
      </c>
      <c r="M630" s="447"/>
    </row>
    <row r="631" spans="1:13" s="405" customFormat="1" ht="9" customHeight="1" x14ac:dyDescent="0.25">
      <c r="A631" s="448" t="s">
        <v>29</v>
      </c>
      <c r="B631" s="427">
        <f t="shared" si="28"/>
        <v>642610</v>
      </c>
      <c r="C631" s="427"/>
      <c r="D631" s="427">
        <v>351923</v>
      </c>
      <c r="E631" s="427">
        <v>238014</v>
      </c>
      <c r="F631" s="427">
        <v>36506</v>
      </c>
      <c r="G631" s="427">
        <v>14365</v>
      </c>
      <c r="H631" s="427">
        <v>493</v>
      </c>
      <c r="I631" s="432">
        <v>0</v>
      </c>
      <c r="J631" s="427">
        <v>0</v>
      </c>
      <c r="K631" s="432">
        <v>1309</v>
      </c>
      <c r="L631" s="432">
        <v>0</v>
      </c>
      <c r="M631" s="447"/>
    </row>
    <row r="632" spans="1:13" s="405" customFormat="1" ht="9" customHeight="1" x14ac:dyDescent="0.25">
      <c r="A632" s="449" t="s">
        <v>30</v>
      </c>
      <c r="B632" s="434">
        <f t="shared" si="28"/>
        <v>345153</v>
      </c>
      <c r="C632" s="434"/>
      <c r="D632" s="434">
        <v>216080</v>
      </c>
      <c r="E632" s="434">
        <v>36215</v>
      </c>
      <c r="F632" s="434">
        <v>75993</v>
      </c>
      <c r="G632" s="434">
        <v>16614</v>
      </c>
      <c r="H632" s="434">
        <v>114</v>
      </c>
      <c r="I632" s="435">
        <v>137</v>
      </c>
      <c r="J632" s="434">
        <v>0</v>
      </c>
      <c r="K632" s="435">
        <v>0</v>
      </c>
      <c r="L632" s="435">
        <v>0</v>
      </c>
      <c r="M632" s="447"/>
    </row>
    <row r="633" spans="1:13" s="405" customFormat="1" ht="9" customHeight="1" x14ac:dyDescent="0.25">
      <c r="A633" s="448" t="s">
        <v>63</v>
      </c>
      <c r="B633" s="427">
        <f>SUM(D633:K633)</f>
        <v>426830</v>
      </c>
      <c r="C633" s="427"/>
      <c r="D633" s="427">
        <v>85769</v>
      </c>
      <c r="E633" s="427">
        <v>3290</v>
      </c>
      <c r="F633" s="427">
        <v>103654</v>
      </c>
      <c r="G633" s="427">
        <v>222645</v>
      </c>
      <c r="H633" s="427">
        <v>4454</v>
      </c>
      <c r="I633" s="432">
        <v>2956</v>
      </c>
      <c r="J633" s="427">
        <v>1989</v>
      </c>
      <c r="K633" s="432">
        <v>2073</v>
      </c>
      <c r="L633" s="405">
        <v>0</v>
      </c>
      <c r="M633" s="447"/>
    </row>
    <row r="634" spans="1:13" s="405" customFormat="1" ht="9" customHeight="1" x14ac:dyDescent="0.25">
      <c r="A634" s="448" t="s">
        <v>31</v>
      </c>
      <c r="B634" s="427">
        <f t="shared" si="28"/>
        <v>280386</v>
      </c>
      <c r="C634" s="427"/>
      <c r="D634" s="427">
        <v>142562</v>
      </c>
      <c r="E634" s="427">
        <v>52053</v>
      </c>
      <c r="F634" s="427">
        <v>61166</v>
      </c>
      <c r="G634" s="427">
        <v>24537</v>
      </c>
      <c r="H634" s="427">
        <v>0</v>
      </c>
      <c r="I634" s="432">
        <v>68</v>
      </c>
      <c r="J634" s="427">
        <v>0</v>
      </c>
      <c r="K634" s="432">
        <v>0</v>
      </c>
      <c r="L634" s="432">
        <v>0</v>
      </c>
      <c r="M634" s="447"/>
    </row>
    <row r="635" spans="1:13" s="405" customFormat="1" ht="9" customHeight="1" x14ac:dyDescent="0.25">
      <c r="A635" s="448" t="s">
        <v>32</v>
      </c>
      <c r="B635" s="427">
        <f t="shared" si="28"/>
        <v>482890</v>
      </c>
      <c r="C635" s="427"/>
      <c r="D635" s="427">
        <v>355349</v>
      </c>
      <c r="E635" s="427">
        <v>3379</v>
      </c>
      <c r="F635" s="427">
        <v>77970</v>
      </c>
      <c r="G635" s="427">
        <v>43721</v>
      </c>
      <c r="H635" s="427">
        <v>2348</v>
      </c>
      <c r="I635" s="432">
        <v>123</v>
      </c>
      <c r="J635" s="427">
        <v>0</v>
      </c>
      <c r="K635" s="432">
        <v>0</v>
      </c>
      <c r="L635" s="432">
        <v>0</v>
      </c>
      <c r="M635" s="447"/>
    </row>
    <row r="636" spans="1:13" s="405" customFormat="1" ht="9" customHeight="1" x14ac:dyDescent="0.25">
      <c r="A636" s="449" t="s">
        <v>33</v>
      </c>
      <c r="B636" s="434">
        <f t="shared" si="28"/>
        <v>764383</v>
      </c>
      <c r="C636" s="434"/>
      <c r="D636" s="434">
        <v>658316</v>
      </c>
      <c r="E636" s="434">
        <v>10253</v>
      </c>
      <c r="F636" s="434">
        <v>51337</v>
      </c>
      <c r="G636" s="434">
        <v>44129</v>
      </c>
      <c r="H636" s="434">
        <v>0</v>
      </c>
      <c r="I636" s="435">
        <v>37</v>
      </c>
      <c r="J636" s="434">
        <v>311</v>
      </c>
      <c r="K636" s="435">
        <v>0</v>
      </c>
      <c r="L636" s="435">
        <v>0</v>
      </c>
      <c r="M636" s="447"/>
    </row>
    <row r="637" spans="1:13" s="405" customFormat="1" ht="9" customHeight="1" x14ac:dyDescent="0.25">
      <c r="A637" s="448" t="s">
        <v>34</v>
      </c>
      <c r="B637" s="427">
        <f t="shared" si="28"/>
        <v>313284</v>
      </c>
      <c r="C637" s="427"/>
      <c r="D637" s="427">
        <v>207683</v>
      </c>
      <c r="E637" s="427">
        <v>48987</v>
      </c>
      <c r="F637" s="427">
        <v>21842</v>
      </c>
      <c r="G637" s="427">
        <v>34351</v>
      </c>
      <c r="H637" s="427">
        <v>421</v>
      </c>
      <c r="I637" s="432">
        <v>0</v>
      </c>
      <c r="J637" s="427">
        <v>0</v>
      </c>
      <c r="K637" s="432">
        <v>0</v>
      </c>
      <c r="L637" s="432">
        <v>0</v>
      </c>
      <c r="M637" s="447"/>
    </row>
    <row r="638" spans="1:13" s="405" customFormat="1" ht="9" customHeight="1" x14ac:dyDescent="0.25">
      <c r="A638" s="448" t="s">
        <v>35</v>
      </c>
      <c r="B638" s="427">
        <f t="shared" si="28"/>
        <v>442149</v>
      </c>
      <c r="C638" s="427"/>
      <c r="D638" s="427">
        <v>284010</v>
      </c>
      <c r="E638" s="427">
        <v>886</v>
      </c>
      <c r="F638" s="427">
        <v>107935</v>
      </c>
      <c r="G638" s="427">
        <v>49127</v>
      </c>
      <c r="H638" s="427">
        <v>151</v>
      </c>
      <c r="I638" s="432">
        <v>5</v>
      </c>
      <c r="J638" s="427">
        <v>35</v>
      </c>
      <c r="K638" s="432">
        <v>0</v>
      </c>
      <c r="L638" s="432">
        <v>0</v>
      </c>
      <c r="M638" s="447"/>
    </row>
    <row r="639" spans="1:13" s="405" customFormat="1" ht="9" customHeight="1" x14ac:dyDescent="0.25">
      <c r="A639" s="448" t="s">
        <v>36</v>
      </c>
      <c r="B639" s="427">
        <f t="shared" si="28"/>
        <v>2152642</v>
      </c>
      <c r="C639" s="427"/>
      <c r="D639" s="427">
        <v>1894333</v>
      </c>
      <c r="E639" s="427">
        <v>5105</v>
      </c>
      <c r="F639" s="427">
        <v>140997</v>
      </c>
      <c r="G639" s="427">
        <v>30461</v>
      </c>
      <c r="H639" s="427">
        <v>31</v>
      </c>
      <c r="I639" s="432">
        <v>330</v>
      </c>
      <c r="J639" s="407">
        <v>0</v>
      </c>
      <c r="K639" s="427">
        <v>81385</v>
      </c>
      <c r="L639" s="432">
        <v>0</v>
      </c>
      <c r="M639" s="447"/>
    </row>
    <row r="640" spans="1:13" s="405" customFormat="1" ht="9" customHeight="1" x14ac:dyDescent="0.25">
      <c r="A640" s="449" t="s">
        <v>37</v>
      </c>
      <c r="B640" s="434">
        <f t="shared" si="28"/>
        <v>351995</v>
      </c>
      <c r="C640" s="434"/>
      <c r="D640" s="434">
        <v>184343</v>
      </c>
      <c r="E640" s="434">
        <v>88848</v>
      </c>
      <c r="F640" s="434">
        <v>53127</v>
      </c>
      <c r="G640" s="434">
        <v>23907</v>
      </c>
      <c r="H640" s="434">
        <v>0</v>
      </c>
      <c r="I640" s="435">
        <v>11</v>
      </c>
      <c r="J640" s="434">
        <v>1759</v>
      </c>
      <c r="K640" s="435">
        <v>0</v>
      </c>
      <c r="L640" s="435">
        <v>0</v>
      </c>
      <c r="M640" s="447"/>
    </row>
    <row r="641" spans="1:13" s="405" customFormat="1" ht="9" customHeight="1" x14ac:dyDescent="0.25">
      <c r="A641" s="448" t="s">
        <v>38</v>
      </c>
      <c r="B641" s="427">
        <f t="shared" si="28"/>
        <v>225047</v>
      </c>
      <c r="C641" s="427"/>
      <c r="D641" s="427">
        <v>98380</v>
      </c>
      <c r="E641" s="427">
        <v>593</v>
      </c>
      <c r="F641" s="427">
        <v>93175</v>
      </c>
      <c r="G641" s="427">
        <v>32885</v>
      </c>
      <c r="H641" s="427">
        <v>0</v>
      </c>
      <c r="I641" s="432">
        <v>14</v>
      </c>
      <c r="J641" s="427">
        <v>0</v>
      </c>
      <c r="K641" s="432">
        <v>0</v>
      </c>
      <c r="L641" s="432">
        <v>0</v>
      </c>
      <c r="M641" s="447"/>
    </row>
    <row r="642" spans="1:13" s="405" customFormat="1" ht="9" customHeight="1" x14ac:dyDescent="0.25">
      <c r="A642" s="448" t="s">
        <v>39</v>
      </c>
      <c r="B642" s="427">
        <f t="shared" si="28"/>
        <v>133367</v>
      </c>
      <c r="C642" s="427"/>
      <c r="D642" s="427">
        <v>48640</v>
      </c>
      <c r="E642" s="427">
        <v>15332</v>
      </c>
      <c r="F642" s="427">
        <v>64507</v>
      </c>
      <c r="G642" s="427">
        <v>4805</v>
      </c>
      <c r="H642" s="427">
        <v>0</v>
      </c>
      <c r="I642" s="405">
        <v>0</v>
      </c>
      <c r="J642" s="432">
        <v>83</v>
      </c>
      <c r="K642" s="432">
        <v>0</v>
      </c>
      <c r="L642" s="432">
        <v>0</v>
      </c>
      <c r="M642" s="447"/>
    </row>
    <row r="643" spans="1:13" s="405" customFormat="1" ht="9" customHeight="1" x14ac:dyDescent="0.25">
      <c r="A643" s="448" t="s">
        <v>40</v>
      </c>
      <c r="B643" s="427">
        <f t="shared" si="28"/>
        <v>246036</v>
      </c>
      <c r="C643" s="427"/>
      <c r="D643" s="427">
        <v>141632</v>
      </c>
      <c r="E643" s="427">
        <v>335</v>
      </c>
      <c r="F643" s="427">
        <v>90212</v>
      </c>
      <c r="G643" s="427">
        <v>10776</v>
      </c>
      <c r="H643" s="427">
        <v>1474</v>
      </c>
      <c r="I643" s="432">
        <v>31</v>
      </c>
      <c r="J643" s="407">
        <v>0</v>
      </c>
      <c r="K643" s="427">
        <v>760</v>
      </c>
      <c r="L643" s="432">
        <v>816</v>
      </c>
      <c r="M643" s="447"/>
    </row>
    <row r="644" spans="1:13" s="405" customFormat="1" ht="9" customHeight="1" x14ac:dyDescent="0.25">
      <c r="A644" s="449" t="s">
        <v>41</v>
      </c>
      <c r="B644" s="434">
        <f t="shared" si="28"/>
        <v>452313</v>
      </c>
      <c r="C644" s="434"/>
      <c r="D644" s="434">
        <v>295767</v>
      </c>
      <c r="E644" s="434">
        <v>118254</v>
      </c>
      <c r="F644" s="434">
        <v>19393</v>
      </c>
      <c r="G644" s="434">
        <v>17718</v>
      </c>
      <c r="H644" s="434">
        <v>597</v>
      </c>
      <c r="I644" s="435">
        <v>96</v>
      </c>
      <c r="J644" s="434">
        <v>488</v>
      </c>
      <c r="K644" s="435">
        <v>0</v>
      </c>
      <c r="L644" s="435">
        <v>0</v>
      </c>
      <c r="M644" s="447"/>
    </row>
    <row r="645" spans="1:13" s="405" customFormat="1" ht="9" customHeight="1" x14ac:dyDescent="0.25">
      <c r="A645" s="448" t="s">
        <v>42</v>
      </c>
      <c r="B645" s="427">
        <f>SUM(D645:L645)</f>
        <v>588461</v>
      </c>
      <c r="C645" s="427"/>
      <c r="D645" s="427">
        <v>356680</v>
      </c>
      <c r="E645" s="427">
        <v>117339</v>
      </c>
      <c r="F645" s="427">
        <v>53639</v>
      </c>
      <c r="G645" s="427">
        <v>49341</v>
      </c>
      <c r="H645" s="427">
        <v>24</v>
      </c>
      <c r="I645" s="432">
        <v>0</v>
      </c>
      <c r="J645" s="407">
        <v>0</v>
      </c>
      <c r="K645" s="427">
        <v>11438</v>
      </c>
      <c r="L645" s="432">
        <v>0</v>
      </c>
      <c r="M645" s="447"/>
    </row>
    <row r="646" spans="1:13" s="405" customFormat="1" ht="9" customHeight="1" x14ac:dyDescent="0.25">
      <c r="A646" s="448" t="s">
        <v>43</v>
      </c>
      <c r="B646" s="427">
        <f t="shared" si="28"/>
        <v>136891</v>
      </c>
      <c r="C646" s="427"/>
      <c r="D646" s="427">
        <v>78466</v>
      </c>
      <c r="E646" s="427">
        <v>295</v>
      </c>
      <c r="F646" s="427">
        <v>46270</v>
      </c>
      <c r="G646" s="427">
        <v>11860</v>
      </c>
      <c r="H646" s="427">
        <v>0</v>
      </c>
      <c r="I646" s="432">
        <v>0</v>
      </c>
      <c r="J646" s="427">
        <v>0</v>
      </c>
      <c r="K646" s="432">
        <v>0</v>
      </c>
      <c r="L646" s="432">
        <v>0</v>
      </c>
      <c r="M646" s="447"/>
    </row>
    <row r="647" spans="1:13" s="405" customFormat="1" ht="9" customHeight="1" x14ac:dyDescent="0.25">
      <c r="A647" s="448" t="s">
        <v>44</v>
      </c>
      <c r="B647" s="427">
        <f t="shared" si="28"/>
        <v>122051</v>
      </c>
      <c r="C647" s="427"/>
      <c r="D647" s="427">
        <v>85113</v>
      </c>
      <c r="E647" s="405">
        <v>0</v>
      </c>
      <c r="F647" s="427">
        <v>27165</v>
      </c>
      <c r="G647" s="427">
        <v>9392</v>
      </c>
      <c r="H647" s="427">
        <v>0</v>
      </c>
      <c r="I647" s="427">
        <v>15</v>
      </c>
      <c r="J647" s="432">
        <v>366</v>
      </c>
      <c r="K647" s="432">
        <v>0</v>
      </c>
      <c r="L647" s="432">
        <v>0</v>
      </c>
      <c r="M647" s="447"/>
    </row>
    <row r="648" spans="1:13" s="405" customFormat="1" ht="9" customHeight="1" x14ac:dyDescent="0.25">
      <c r="A648" s="449" t="s">
        <v>45</v>
      </c>
      <c r="B648" s="434">
        <f t="shared" si="28"/>
        <v>340823</v>
      </c>
      <c r="C648" s="434"/>
      <c r="D648" s="434">
        <v>201566</v>
      </c>
      <c r="E648" s="434">
        <v>52157</v>
      </c>
      <c r="F648" s="434">
        <v>40843</v>
      </c>
      <c r="G648" s="434">
        <v>44791</v>
      </c>
      <c r="H648" s="434">
        <v>1466</v>
      </c>
      <c r="I648" s="435">
        <v>0</v>
      </c>
      <c r="J648" s="434">
        <v>0</v>
      </c>
      <c r="K648" s="435">
        <v>0</v>
      </c>
      <c r="L648" s="435">
        <v>0</v>
      </c>
      <c r="M648" s="447"/>
    </row>
    <row r="649" spans="1:13" s="405" customFormat="1" ht="9" customHeight="1" x14ac:dyDescent="0.25">
      <c r="A649" s="448" t="s">
        <v>46</v>
      </c>
      <c r="B649" s="427">
        <f t="shared" si="28"/>
        <v>295762</v>
      </c>
      <c r="C649" s="427"/>
      <c r="D649" s="427">
        <v>119055</v>
      </c>
      <c r="E649" s="427">
        <v>41124</v>
      </c>
      <c r="F649" s="427">
        <v>93045</v>
      </c>
      <c r="G649" s="427">
        <v>41617</v>
      </c>
      <c r="H649" s="427">
        <v>37</v>
      </c>
      <c r="I649" s="432">
        <v>0</v>
      </c>
      <c r="J649" s="427">
        <v>884</v>
      </c>
      <c r="K649" s="432">
        <v>0</v>
      </c>
      <c r="L649" s="432">
        <v>0</v>
      </c>
      <c r="M649" s="447"/>
    </row>
    <row r="650" spans="1:13" s="405" customFormat="1" ht="9" customHeight="1" x14ac:dyDescent="0.25">
      <c r="A650" s="448" t="s">
        <v>47</v>
      </c>
      <c r="B650" s="427">
        <f t="shared" si="28"/>
        <v>231609</v>
      </c>
      <c r="C650" s="427"/>
      <c r="D650" s="427">
        <v>137373</v>
      </c>
      <c r="E650" s="427">
        <v>527</v>
      </c>
      <c r="F650" s="427">
        <v>48999</v>
      </c>
      <c r="G650" s="427">
        <v>16750</v>
      </c>
      <c r="H650" s="427">
        <v>0</v>
      </c>
      <c r="I650" s="432">
        <v>32</v>
      </c>
      <c r="J650" s="427">
        <v>1451</v>
      </c>
      <c r="K650" s="432">
        <v>26477</v>
      </c>
      <c r="L650" s="432">
        <v>0</v>
      </c>
      <c r="M650" s="447"/>
    </row>
    <row r="651" spans="1:13" s="405" customFormat="1" ht="9" customHeight="1" x14ac:dyDescent="0.25">
      <c r="A651" s="448" t="s">
        <v>48</v>
      </c>
      <c r="B651" s="427">
        <f t="shared" si="28"/>
        <v>262747</v>
      </c>
      <c r="C651" s="427"/>
      <c r="D651" s="427">
        <v>210242</v>
      </c>
      <c r="E651" s="405">
        <v>0</v>
      </c>
      <c r="F651" s="427">
        <v>37457</v>
      </c>
      <c r="G651" s="427">
        <v>10543</v>
      </c>
      <c r="H651" s="427">
        <v>4122</v>
      </c>
      <c r="I651" s="427">
        <v>38</v>
      </c>
      <c r="J651" s="432">
        <v>131</v>
      </c>
      <c r="K651" s="427">
        <v>214</v>
      </c>
      <c r="L651" s="432">
        <v>0</v>
      </c>
      <c r="M651" s="447"/>
    </row>
    <row r="652" spans="1:13" s="405" customFormat="1" ht="9" customHeight="1" x14ac:dyDescent="0.25">
      <c r="A652" s="449" t="s">
        <v>49</v>
      </c>
      <c r="B652" s="434">
        <f t="shared" si="28"/>
        <v>254576</v>
      </c>
      <c r="C652" s="434"/>
      <c r="D652" s="434">
        <v>110986</v>
      </c>
      <c r="E652" s="434">
        <v>17238</v>
      </c>
      <c r="F652" s="434">
        <v>71958</v>
      </c>
      <c r="G652" s="434">
        <v>50099</v>
      </c>
      <c r="H652" s="434">
        <v>3942</v>
      </c>
      <c r="I652" s="435">
        <v>6</v>
      </c>
      <c r="J652" s="434">
        <v>347</v>
      </c>
      <c r="K652" s="435">
        <v>0</v>
      </c>
      <c r="L652" s="435">
        <v>0</v>
      </c>
      <c r="M652" s="447"/>
    </row>
    <row r="653" spans="1:13" s="405" customFormat="1" ht="9" customHeight="1" x14ac:dyDescent="0.25">
      <c r="A653" s="448" t="s">
        <v>50</v>
      </c>
      <c r="B653" s="427">
        <f t="shared" si="28"/>
        <v>94742</v>
      </c>
      <c r="C653" s="427"/>
      <c r="D653" s="427">
        <v>72779</v>
      </c>
      <c r="E653" s="427">
        <v>473</v>
      </c>
      <c r="F653" s="427">
        <v>14813</v>
      </c>
      <c r="G653" s="427">
        <v>6677</v>
      </c>
      <c r="H653" s="427">
        <v>0</v>
      </c>
      <c r="I653" s="432">
        <v>0</v>
      </c>
      <c r="J653" s="427">
        <v>0</v>
      </c>
      <c r="K653" s="432">
        <v>0</v>
      </c>
      <c r="L653" s="432">
        <v>0</v>
      </c>
      <c r="M653" s="447"/>
    </row>
    <row r="654" spans="1:13" s="405" customFormat="1" ht="9" customHeight="1" x14ac:dyDescent="0.25">
      <c r="A654" s="448" t="s">
        <v>51</v>
      </c>
      <c r="B654" s="427">
        <f t="shared" si="28"/>
        <v>729136</v>
      </c>
      <c r="C654" s="427"/>
      <c r="D654" s="427">
        <v>412259</v>
      </c>
      <c r="E654" s="427">
        <v>173850</v>
      </c>
      <c r="F654" s="427">
        <v>82253</v>
      </c>
      <c r="G654" s="427">
        <v>45001</v>
      </c>
      <c r="H654" s="427">
        <v>13689</v>
      </c>
      <c r="I654" s="432">
        <v>40</v>
      </c>
      <c r="J654" s="427">
        <v>2018</v>
      </c>
      <c r="K654" s="432">
        <v>0</v>
      </c>
      <c r="L654" s="432">
        <v>26</v>
      </c>
      <c r="M654" s="447"/>
    </row>
    <row r="655" spans="1:13" s="405" customFormat="1" ht="9" customHeight="1" x14ac:dyDescent="0.25">
      <c r="A655" s="448" t="s">
        <v>52</v>
      </c>
      <c r="B655" s="427">
        <f t="shared" si="28"/>
        <v>181352</v>
      </c>
      <c r="C655" s="427"/>
      <c r="D655" s="427">
        <v>123154</v>
      </c>
      <c r="E655" s="427">
        <v>33376</v>
      </c>
      <c r="F655" s="427">
        <v>20235</v>
      </c>
      <c r="G655" s="427">
        <v>4272</v>
      </c>
      <c r="H655" s="405">
        <v>0</v>
      </c>
      <c r="I655" s="427">
        <v>41</v>
      </c>
      <c r="J655" s="432">
        <v>274</v>
      </c>
      <c r="K655" s="432">
        <v>0</v>
      </c>
      <c r="L655" s="432">
        <v>0</v>
      </c>
      <c r="M655" s="447"/>
    </row>
    <row r="656" spans="1:13" s="405" customFormat="1" ht="9" customHeight="1" x14ac:dyDescent="0.25">
      <c r="A656" s="449" t="s">
        <v>53</v>
      </c>
      <c r="B656" s="434">
        <f t="shared" si="28"/>
        <v>211836</v>
      </c>
      <c r="C656" s="434"/>
      <c r="D656" s="434">
        <v>130807</v>
      </c>
      <c r="E656" s="434">
        <v>32520</v>
      </c>
      <c r="F656" s="434">
        <v>32148</v>
      </c>
      <c r="G656" s="434">
        <v>16315</v>
      </c>
      <c r="H656" s="434">
        <v>0</v>
      </c>
      <c r="I656" s="434">
        <v>46</v>
      </c>
      <c r="J656" s="434">
        <v>0</v>
      </c>
      <c r="K656" s="435">
        <v>0</v>
      </c>
      <c r="L656" s="435">
        <v>0</v>
      </c>
      <c r="M656" s="447"/>
    </row>
    <row r="657" spans="1:14" s="428" customFormat="1" ht="9" customHeight="1" x14ac:dyDescent="0.25">
      <c r="A657" s="436"/>
      <c r="B657" s="437"/>
      <c r="C657" s="437"/>
      <c r="D657" s="437"/>
      <c r="E657" s="437"/>
      <c r="F657" s="437"/>
      <c r="G657" s="437"/>
      <c r="H657" s="437"/>
      <c r="I657" s="438"/>
      <c r="J657" s="437"/>
      <c r="K657" s="437"/>
      <c r="L657" s="437"/>
      <c r="M657" s="437"/>
      <c r="N657" s="427"/>
    </row>
    <row r="658" spans="1:14" s="405" customFormat="1" ht="9" customHeight="1" x14ac:dyDescent="0.25">
      <c r="A658" s="445">
        <v>2013</v>
      </c>
      <c r="B658" s="446"/>
      <c r="C658" s="446"/>
      <c r="D658" s="446"/>
      <c r="E658" s="446"/>
      <c r="F658" s="446"/>
      <c r="G658" s="446"/>
      <c r="H658" s="446"/>
      <c r="I658" s="446"/>
      <c r="J658" s="446"/>
      <c r="K658" s="446"/>
      <c r="L658" s="446"/>
    </row>
    <row r="659" spans="1:14" s="405" customFormat="1" ht="9" customHeight="1" x14ac:dyDescent="0.25">
      <c r="A659" s="398" t="s">
        <v>21</v>
      </c>
      <c r="B659" s="430">
        <f>SUM(B661:B692)</f>
        <v>11130801</v>
      </c>
      <c r="C659" s="430"/>
      <c r="D659" s="430">
        <f t="shared" ref="D659:L659" si="29">SUM(D661:D692)</f>
        <v>7261756</v>
      </c>
      <c r="E659" s="430">
        <f t="shared" si="29"/>
        <v>1123047</v>
      </c>
      <c r="F659" s="430">
        <f t="shared" si="29"/>
        <v>1638147</v>
      </c>
      <c r="G659" s="430">
        <f t="shared" si="29"/>
        <v>923761</v>
      </c>
      <c r="H659" s="430">
        <f t="shared" si="29"/>
        <v>29328</v>
      </c>
      <c r="I659" s="430">
        <f t="shared" si="29"/>
        <v>19733</v>
      </c>
      <c r="J659" s="430">
        <f t="shared" si="29"/>
        <v>15030</v>
      </c>
      <c r="K659" s="430">
        <f t="shared" si="29"/>
        <v>117162</v>
      </c>
      <c r="L659" s="430">
        <f t="shared" si="29"/>
        <v>2837</v>
      </c>
      <c r="M659" s="447"/>
    </row>
    <row r="660" spans="1:14" s="405" customFormat="1" ht="3.95" customHeight="1" x14ac:dyDescent="0.25">
      <c r="A660" s="398"/>
      <c r="B660" s="430"/>
      <c r="C660" s="430"/>
      <c r="D660" s="430"/>
      <c r="E660" s="430"/>
      <c r="F660" s="430"/>
      <c r="G660" s="430"/>
      <c r="H660" s="430"/>
      <c r="I660" s="430"/>
      <c r="J660" s="430"/>
      <c r="K660" s="430"/>
      <c r="L660" s="430"/>
      <c r="M660" s="447"/>
    </row>
    <row r="661" spans="1:14" s="405" customFormat="1" ht="9" customHeight="1" x14ac:dyDescent="0.25">
      <c r="A661" s="448" t="s">
        <v>23</v>
      </c>
      <c r="B661" s="427">
        <f>SUM(D661:L661)</f>
        <v>184814</v>
      </c>
      <c r="C661" s="427"/>
      <c r="D661" s="427">
        <v>153929</v>
      </c>
      <c r="E661" s="405">
        <v>0</v>
      </c>
      <c r="F661" s="427">
        <v>19801</v>
      </c>
      <c r="G661" s="427">
        <v>11084</v>
      </c>
      <c r="H661" s="427">
        <v>0</v>
      </c>
      <c r="I661" s="432">
        <v>0</v>
      </c>
      <c r="J661" s="427">
        <v>0</v>
      </c>
      <c r="K661" s="432">
        <v>0</v>
      </c>
      <c r="L661" s="432">
        <v>0</v>
      </c>
      <c r="M661" s="447"/>
    </row>
    <row r="662" spans="1:14" s="405" customFormat="1" ht="9" customHeight="1" x14ac:dyDescent="0.25">
      <c r="A662" s="448" t="s">
        <v>24</v>
      </c>
      <c r="B662" s="427">
        <f>SUM(D662:L662)</f>
        <v>178368</v>
      </c>
      <c r="C662" s="427"/>
      <c r="D662" s="427">
        <v>61718</v>
      </c>
      <c r="E662" s="427">
        <v>4371</v>
      </c>
      <c r="F662" s="427">
        <v>94466</v>
      </c>
      <c r="G662" s="427">
        <v>13473</v>
      </c>
      <c r="H662" s="405">
        <v>0</v>
      </c>
      <c r="I662" s="427">
        <v>379</v>
      </c>
      <c r="J662" s="427">
        <v>72</v>
      </c>
      <c r="K662" s="432">
        <v>3889</v>
      </c>
      <c r="L662" s="432">
        <v>0</v>
      </c>
      <c r="M662" s="447"/>
    </row>
    <row r="663" spans="1:14" s="405" customFormat="1" ht="9" customHeight="1" x14ac:dyDescent="0.25">
      <c r="A663" s="448" t="s">
        <v>25</v>
      </c>
      <c r="B663" s="427">
        <f t="shared" ref="B663:B668" si="30">SUM(D663:L663)</f>
        <v>49143</v>
      </c>
      <c r="C663" s="427"/>
      <c r="D663" s="427">
        <v>36021</v>
      </c>
      <c r="E663" s="405">
        <v>0</v>
      </c>
      <c r="F663" s="427">
        <v>8592</v>
      </c>
      <c r="G663" s="427">
        <v>4010</v>
      </c>
      <c r="H663" s="405">
        <v>0</v>
      </c>
      <c r="I663" s="427">
        <v>395</v>
      </c>
      <c r="J663" s="427">
        <v>125</v>
      </c>
      <c r="K663" s="432">
        <v>0</v>
      </c>
      <c r="L663" s="432">
        <v>0</v>
      </c>
      <c r="M663" s="447"/>
    </row>
    <row r="664" spans="1:14" s="405" customFormat="1" ht="9" customHeight="1" x14ac:dyDescent="0.25">
      <c r="A664" s="449" t="s">
        <v>26</v>
      </c>
      <c r="B664" s="443">
        <f t="shared" si="30"/>
        <v>88720</v>
      </c>
      <c r="C664" s="434"/>
      <c r="D664" s="443">
        <v>61440</v>
      </c>
      <c r="E664" s="443">
        <v>7240</v>
      </c>
      <c r="F664" s="443">
        <v>6944</v>
      </c>
      <c r="G664" s="443">
        <v>11137</v>
      </c>
      <c r="H664" s="443">
        <v>671</v>
      </c>
      <c r="I664" s="435">
        <v>0</v>
      </c>
      <c r="J664" s="435">
        <v>1288</v>
      </c>
      <c r="K664" s="435">
        <v>0</v>
      </c>
      <c r="L664" s="435">
        <v>0</v>
      </c>
      <c r="M664" s="447"/>
    </row>
    <row r="665" spans="1:14" s="405" customFormat="1" ht="9" customHeight="1" x14ac:dyDescent="0.25">
      <c r="A665" s="448" t="s">
        <v>27</v>
      </c>
      <c r="B665" s="427">
        <f t="shared" si="30"/>
        <v>237244</v>
      </c>
      <c r="C665" s="427"/>
      <c r="D665" s="427">
        <v>117897</v>
      </c>
      <c r="E665" s="427">
        <v>17574</v>
      </c>
      <c r="F665" s="427">
        <v>79883</v>
      </c>
      <c r="G665" s="427">
        <v>20707</v>
      </c>
      <c r="H665" s="427">
        <v>0</v>
      </c>
      <c r="I665" s="432">
        <v>617</v>
      </c>
      <c r="J665" s="427">
        <v>0</v>
      </c>
      <c r="K665" s="432">
        <v>0</v>
      </c>
      <c r="L665" s="432">
        <v>566</v>
      </c>
      <c r="M665" s="447"/>
    </row>
    <row r="666" spans="1:14" s="405" customFormat="1" ht="9" customHeight="1" x14ac:dyDescent="0.25">
      <c r="A666" s="448" t="s">
        <v>28</v>
      </c>
      <c r="B666" s="427">
        <f t="shared" si="30"/>
        <v>50686</v>
      </c>
      <c r="C666" s="427"/>
      <c r="D666" s="427">
        <v>32378</v>
      </c>
      <c r="E666" s="405">
        <v>0</v>
      </c>
      <c r="F666" s="427">
        <v>12358</v>
      </c>
      <c r="G666" s="427">
        <v>5328</v>
      </c>
      <c r="H666" s="427">
        <v>0</v>
      </c>
      <c r="I666" s="405">
        <v>0</v>
      </c>
      <c r="J666" s="427">
        <v>622</v>
      </c>
      <c r="K666" s="432">
        <v>0</v>
      </c>
      <c r="L666" s="432">
        <v>0</v>
      </c>
      <c r="M666" s="447"/>
    </row>
    <row r="667" spans="1:14" s="405" customFormat="1" ht="9" customHeight="1" x14ac:dyDescent="0.25">
      <c r="A667" s="448" t="s">
        <v>29</v>
      </c>
      <c r="B667" s="427">
        <f t="shared" si="30"/>
        <v>643619</v>
      </c>
      <c r="C667" s="427"/>
      <c r="D667" s="427">
        <v>354701</v>
      </c>
      <c r="E667" s="427">
        <v>221916</v>
      </c>
      <c r="F667" s="427">
        <v>48515</v>
      </c>
      <c r="G667" s="427">
        <v>16407</v>
      </c>
      <c r="H667" s="427">
        <v>377</v>
      </c>
      <c r="I667" s="432">
        <v>377</v>
      </c>
      <c r="J667" s="427">
        <v>63</v>
      </c>
      <c r="K667" s="432">
        <v>1263</v>
      </c>
      <c r="L667" s="432">
        <v>0</v>
      </c>
      <c r="M667" s="447"/>
    </row>
    <row r="668" spans="1:14" s="405" customFormat="1" ht="9" customHeight="1" x14ac:dyDescent="0.25">
      <c r="A668" s="449" t="s">
        <v>30</v>
      </c>
      <c r="B668" s="434">
        <f t="shared" si="30"/>
        <v>346028</v>
      </c>
      <c r="C668" s="434"/>
      <c r="D668" s="434">
        <v>218307</v>
      </c>
      <c r="E668" s="434">
        <v>36052</v>
      </c>
      <c r="F668" s="434">
        <v>72073</v>
      </c>
      <c r="G668" s="434">
        <v>18414</v>
      </c>
      <c r="H668" s="434">
        <v>136</v>
      </c>
      <c r="I668" s="435">
        <v>1046</v>
      </c>
      <c r="J668" s="434">
        <v>0</v>
      </c>
      <c r="K668" s="435">
        <v>0</v>
      </c>
      <c r="L668" s="435">
        <v>0</v>
      </c>
      <c r="M668" s="447"/>
    </row>
    <row r="669" spans="1:14" s="405" customFormat="1" ht="9" customHeight="1" x14ac:dyDescent="0.25">
      <c r="A669" s="448" t="s">
        <v>63</v>
      </c>
      <c r="B669" s="427">
        <f>SUM(D669:K669)</f>
        <v>412952</v>
      </c>
      <c r="C669" s="427"/>
      <c r="D669" s="427">
        <v>81115</v>
      </c>
      <c r="E669" s="427">
        <v>3229</v>
      </c>
      <c r="F669" s="427">
        <v>106446</v>
      </c>
      <c r="G669" s="427">
        <v>216998</v>
      </c>
      <c r="H669" s="427">
        <v>1877</v>
      </c>
      <c r="I669" s="432">
        <v>0</v>
      </c>
      <c r="J669" s="427">
        <v>1168</v>
      </c>
      <c r="K669" s="432">
        <v>2119</v>
      </c>
      <c r="L669" s="405">
        <v>0</v>
      </c>
      <c r="M669" s="447"/>
    </row>
    <row r="670" spans="1:14" s="405" customFormat="1" ht="9" customHeight="1" x14ac:dyDescent="0.25">
      <c r="A670" s="448" t="s">
        <v>31</v>
      </c>
      <c r="B670" s="427">
        <f t="shared" ref="B670:B680" si="31">SUM(D670:L670)</f>
        <v>273614</v>
      </c>
      <c r="C670" s="427"/>
      <c r="D670" s="427">
        <v>148857</v>
      </c>
      <c r="E670" s="427">
        <v>51010</v>
      </c>
      <c r="F670" s="427">
        <v>44458</v>
      </c>
      <c r="G670" s="427">
        <v>26851</v>
      </c>
      <c r="H670" s="427">
        <v>0</v>
      </c>
      <c r="I670" s="432">
        <v>2438</v>
      </c>
      <c r="J670" s="427">
        <v>0</v>
      </c>
      <c r="K670" s="432">
        <v>0</v>
      </c>
      <c r="L670" s="432">
        <v>0</v>
      </c>
      <c r="M670" s="447"/>
    </row>
    <row r="671" spans="1:14" s="405" customFormat="1" ht="9" customHeight="1" x14ac:dyDescent="0.25">
      <c r="A671" s="448" t="s">
        <v>32</v>
      </c>
      <c r="B671" s="427">
        <f t="shared" si="31"/>
        <v>444769</v>
      </c>
      <c r="C671" s="427"/>
      <c r="D671" s="427">
        <v>325265</v>
      </c>
      <c r="E671" s="427">
        <v>2976</v>
      </c>
      <c r="F671" s="427">
        <v>75375</v>
      </c>
      <c r="G671" s="427">
        <v>37497</v>
      </c>
      <c r="H671" s="427">
        <v>1919</v>
      </c>
      <c r="I671" s="432">
        <v>1737</v>
      </c>
      <c r="J671" s="427">
        <v>0</v>
      </c>
      <c r="K671" s="432">
        <v>0</v>
      </c>
      <c r="L671" s="432">
        <v>0</v>
      </c>
      <c r="M671" s="447"/>
    </row>
    <row r="672" spans="1:14" s="405" customFormat="1" ht="9" customHeight="1" x14ac:dyDescent="0.25">
      <c r="A672" s="449" t="s">
        <v>33</v>
      </c>
      <c r="B672" s="434">
        <f t="shared" si="31"/>
        <v>766824</v>
      </c>
      <c r="C672" s="434"/>
      <c r="D672" s="434">
        <v>670215</v>
      </c>
      <c r="E672" s="434">
        <v>6852</v>
      </c>
      <c r="F672" s="434">
        <v>41900</v>
      </c>
      <c r="G672" s="434">
        <v>44713</v>
      </c>
      <c r="H672" s="434">
        <v>0</v>
      </c>
      <c r="I672" s="435">
        <v>1664</v>
      </c>
      <c r="J672" s="434">
        <v>1480</v>
      </c>
      <c r="K672" s="435">
        <v>0</v>
      </c>
      <c r="L672" s="435">
        <v>0</v>
      </c>
      <c r="M672" s="447"/>
    </row>
    <row r="673" spans="1:13" s="405" customFormat="1" ht="9" customHeight="1" x14ac:dyDescent="0.25">
      <c r="A673" s="448" t="s">
        <v>34</v>
      </c>
      <c r="B673" s="427">
        <f t="shared" si="31"/>
        <v>294261</v>
      </c>
      <c r="C673" s="427"/>
      <c r="D673" s="427">
        <v>192350</v>
      </c>
      <c r="E673" s="427">
        <v>48045</v>
      </c>
      <c r="F673" s="427">
        <v>22885</v>
      </c>
      <c r="G673" s="427">
        <v>30495</v>
      </c>
      <c r="H673" s="427">
        <v>486</v>
      </c>
      <c r="I673" s="432">
        <v>0</v>
      </c>
      <c r="J673" s="427">
        <v>0</v>
      </c>
      <c r="K673" s="432">
        <v>0</v>
      </c>
      <c r="L673" s="432">
        <v>0</v>
      </c>
      <c r="M673" s="447"/>
    </row>
    <row r="674" spans="1:13" s="405" customFormat="1" ht="9" customHeight="1" x14ac:dyDescent="0.25">
      <c r="A674" s="448" t="s">
        <v>35</v>
      </c>
      <c r="B674" s="427">
        <f t="shared" si="31"/>
        <v>411985</v>
      </c>
      <c r="C674" s="427"/>
      <c r="D674" s="427">
        <v>264445</v>
      </c>
      <c r="E674" s="427">
        <v>891</v>
      </c>
      <c r="F674" s="427">
        <v>96417</v>
      </c>
      <c r="G674" s="427">
        <v>49854</v>
      </c>
      <c r="H674" s="427">
        <v>95</v>
      </c>
      <c r="I674" s="432">
        <v>267</v>
      </c>
      <c r="J674" s="427">
        <v>16</v>
      </c>
      <c r="K674" s="432">
        <v>0</v>
      </c>
      <c r="L674" s="432">
        <v>0</v>
      </c>
      <c r="M674" s="447"/>
    </row>
    <row r="675" spans="1:13" s="405" customFormat="1" ht="9" customHeight="1" x14ac:dyDescent="0.25">
      <c r="A675" s="448" t="s">
        <v>36</v>
      </c>
      <c r="B675" s="427">
        <f t="shared" si="31"/>
        <v>2036508</v>
      </c>
      <c r="C675" s="427"/>
      <c r="D675" s="427">
        <v>1812783</v>
      </c>
      <c r="E675" s="427">
        <v>2512</v>
      </c>
      <c r="F675" s="427">
        <v>125885</v>
      </c>
      <c r="G675" s="427">
        <v>29926</v>
      </c>
      <c r="H675" s="427">
        <v>1468</v>
      </c>
      <c r="I675" s="432">
        <v>4850</v>
      </c>
      <c r="J675" s="407">
        <v>0</v>
      </c>
      <c r="K675" s="427">
        <v>59084</v>
      </c>
      <c r="L675" s="432">
        <v>0</v>
      </c>
      <c r="M675" s="447"/>
    </row>
    <row r="676" spans="1:13" s="405" customFormat="1" ht="9" customHeight="1" x14ac:dyDescent="0.25">
      <c r="A676" s="449" t="s">
        <v>37</v>
      </c>
      <c r="B676" s="434">
        <f t="shared" si="31"/>
        <v>357126</v>
      </c>
      <c r="C676" s="434"/>
      <c r="D676" s="434">
        <v>185995</v>
      </c>
      <c r="E676" s="434">
        <v>93092</v>
      </c>
      <c r="F676" s="434">
        <v>46336</v>
      </c>
      <c r="G676" s="434">
        <v>25572</v>
      </c>
      <c r="H676" s="434">
        <v>0</v>
      </c>
      <c r="I676" s="435">
        <v>589</v>
      </c>
      <c r="J676" s="434">
        <v>5542</v>
      </c>
      <c r="K676" s="435">
        <v>0</v>
      </c>
      <c r="L676" s="435">
        <v>0</v>
      </c>
      <c r="M676" s="447"/>
    </row>
    <row r="677" spans="1:13" s="405" customFormat="1" ht="9" customHeight="1" x14ac:dyDescent="0.25">
      <c r="A677" s="448" t="s">
        <v>38</v>
      </c>
      <c r="B677" s="427">
        <f t="shared" si="31"/>
        <v>139549</v>
      </c>
      <c r="C677" s="427"/>
      <c r="D677" s="427">
        <v>90866</v>
      </c>
      <c r="E677" s="427">
        <v>490</v>
      </c>
      <c r="F677" s="427">
        <v>11311</v>
      </c>
      <c r="G677" s="427">
        <v>36702</v>
      </c>
      <c r="H677" s="427">
        <v>0</v>
      </c>
      <c r="I677" s="432">
        <v>180</v>
      </c>
      <c r="J677" s="427">
        <v>0</v>
      </c>
      <c r="K677" s="432">
        <v>0</v>
      </c>
      <c r="L677" s="432">
        <v>0</v>
      </c>
      <c r="M677" s="447"/>
    </row>
    <row r="678" spans="1:13" s="405" customFormat="1" ht="9" customHeight="1" x14ac:dyDescent="0.25">
      <c r="A678" s="448" t="s">
        <v>39</v>
      </c>
      <c r="B678" s="427">
        <f t="shared" si="31"/>
        <v>151686</v>
      </c>
      <c r="C678" s="427"/>
      <c r="D678" s="427">
        <v>77540</v>
      </c>
      <c r="E678" s="427">
        <v>17589</v>
      </c>
      <c r="F678" s="427">
        <v>51152</v>
      </c>
      <c r="G678" s="427">
        <v>5297</v>
      </c>
      <c r="H678" s="427">
        <v>0</v>
      </c>
      <c r="I678" s="405">
        <v>0</v>
      </c>
      <c r="J678" s="432">
        <v>108</v>
      </c>
      <c r="K678" s="432">
        <v>0</v>
      </c>
      <c r="L678" s="432">
        <v>0</v>
      </c>
      <c r="M678" s="447"/>
    </row>
    <row r="679" spans="1:13" s="405" customFormat="1" ht="9" customHeight="1" x14ac:dyDescent="0.25">
      <c r="A679" s="448" t="s">
        <v>40</v>
      </c>
      <c r="B679" s="427">
        <f t="shared" si="31"/>
        <v>230020</v>
      </c>
      <c r="C679" s="427"/>
      <c r="D679" s="427">
        <v>129905</v>
      </c>
      <c r="E679" s="427">
        <v>352</v>
      </c>
      <c r="F679" s="427">
        <v>84799</v>
      </c>
      <c r="G679" s="427">
        <v>9501</v>
      </c>
      <c r="H679" s="427">
        <v>1518</v>
      </c>
      <c r="I679" s="432">
        <v>531</v>
      </c>
      <c r="J679" s="407">
        <v>0</v>
      </c>
      <c r="K679" s="427">
        <v>1164</v>
      </c>
      <c r="L679" s="432">
        <v>2250</v>
      </c>
      <c r="M679" s="447"/>
    </row>
    <row r="680" spans="1:13" s="405" customFormat="1" ht="9" customHeight="1" x14ac:dyDescent="0.25">
      <c r="A680" s="449" t="s">
        <v>41</v>
      </c>
      <c r="B680" s="434">
        <f t="shared" si="31"/>
        <v>442096</v>
      </c>
      <c r="C680" s="434"/>
      <c r="D680" s="434">
        <v>280697</v>
      </c>
      <c r="E680" s="434">
        <v>119974</v>
      </c>
      <c r="F680" s="434">
        <v>19801</v>
      </c>
      <c r="G680" s="434">
        <v>18797</v>
      </c>
      <c r="H680" s="434">
        <v>450</v>
      </c>
      <c r="I680" s="435">
        <v>1975</v>
      </c>
      <c r="J680" s="434">
        <v>402</v>
      </c>
      <c r="K680" s="435">
        <v>0</v>
      </c>
      <c r="L680" s="435">
        <v>0</v>
      </c>
      <c r="M680" s="447"/>
    </row>
    <row r="681" spans="1:13" s="405" customFormat="1" ht="9" customHeight="1" x14ac:dyDescent="0.25">
      <c r="A681" s="448" t="s">
        <v>42</v>
      </c>
      <c r="B681" s="427">
        <f>SUM(D681:L681)</f>
        <v>598326</v>
      </c>
      <c r="C681" s="427"/>
      <c r="D681" s="427">
        <v>360331</v>
      </c>
      <c r="E681" s="427">
        <v>130839</v>
      </c>
      <c r="F681" s="427">
        <v>44404</v>
      </c>
      <c r="G681" s="427">
        <v>52968</v>
      </c>
      <c r="H681" s="427">
        <v>204</v>
      </c>
      <c r="I681" s="432">
        <v>58</v>
      </c>
      <c r="J681" s="407">
        <v>0</v>
      </c>
      <c r="K681" s="427">
        <v>9522</v>
      </c>
      <c r="L681" s="432">
        <v>0</v>
      </c>
      <c r="M681" s="447"/>
    </row>
    <row r="682" spans="1:13" s="405" customFormat="1" ht="9" customHeight="1" x14ac:dyDescent="0.25">
      <c r="A682" s="448" t="s">
        <v>43</v>
      </c>
      <c r="B682" s="427">
        <f t="shared" ref="B682:B692" si="32">SUM(D682:L682)</f>
        <v>131856</v>
      </c>
      <c r="C682" s="427"/>
      <c r="D682" s="427">
        <v>78000</v>
      </c>
      <c r="E682" s="427">
        <v>192</v>
      </c>
      <c r="F682" s="427">
        <v>42518</v>
      </c>
      <c r="G682" s="427">
        <v>11146</v>
      </c>
      <c r="H682" s="427">
        <v>0</v>
      </c>
      <c r="I682" s="432">
        <v>0</v>
      </c>
      <c r="J682" s="427">
        <v>0</v>
      </c>
      <c r="K682" s="432">
        <v>0</v>
      </c>
      <c r="L682" s="432">
        <v>0</v>
      </c>
      <c r="M682" s="447"/>
    </row>
    <row r="683" spans="1:13" s="405" customFormat="1" ht="9" customHeight="1" x14ac:dyDescent="0.25">
      <c r="A683" s="448" t="s">
        <v>44</v>
      </c>
      <c r="B683" s="427">
        <f t="shared" si="32"/>
        <v>118508</v>
      </c>
      <c r="C683" s="427"/>
      <c r="D683" s="427">
        <v>74598</v>
      </c>
      <c r="E683" s="405">
        <v>0</v>
      </c>
      <c r="F683" s="427">
        <v>32141</v>
      </c>
      <c r="G683" s="427">
        <v>11295</v>
      </c>
      <c r="H683" s="427">
        <v>0</v>
      </c>
      <c r="I683" s="427">
        <v>336</v>
      </c>
      <c r="J683" s="432">
        <v>138</v>
      </c>
      <c r="K683" s="432">
        <v>0</v>
      </c>
      <c r="L683" s="432">
        <v>0</v>
      </c>
      <c r="M683" s="447"/>
    </row>
    <row r="684" spans="1:13" s="405" customFormat="1" ht="9" customHeight="1" x14ac:dyDescent="0.25">
      <c r="A684" s="449" t="s">
        <v>45</v>
      </c>
      <c r="B684" s="434">
        <f t="shared" si="32"/>
        <v>316127</v>
      </c>
      <c r="C684" s="434"/>
      <c r="D684" s="434">
        <v>194498</v>
      </c>
      <c r="E684" s="434">
        <v>46742</v>
      </c>
      <c r="F684" s="434">
        <v>39389</v>
      </c>
      <c r="G684" s="434">
        <v>34808</v>
      </c>
      <c r="H684" s="434">
        <v>541</v>
      </c>
      <c r="I684" s="435">
        <v>149</v>
      </c>
      <c r="J684" s="434">
        <v>0</v>
      </c>
      <c r="K684" s="435">
        <v>0</v>
      </c>
      <c r="L684" s="435">
        <v>0</v>
      </c>
      <c r="M684" s="447"/>
    </row>
    <row r="685" spans="1:13" s="405" customFormat="1" ht="9" customHeight="1" x14ac:dyDescent="0.25">
      <c r="A685" s="448" t="s">
        <v>46</v>
      </c>
      <c r="B685" s="427">
        <f t="shared" si="32"/>
        <v>279961</v>
      </c>
      <c r="C685" s="427"/>
      <c r="D685" s="427">
        <v>114003</v>
      </c>
      <c r="E685" s="427">
        <v>39154</v>
      </c>
      <c r="F685" s="427">
        <v>89657</v>
      </c>
      <c r="G685" s="427">
        <v>36051</v>
      </c>
      <c r="H685" s="427">
        <v>55</v>
      </c>
      <c r="I685" s="432">
        <v>88</v>
      </c>
      <c r="J685" s="427">
        <v>953</v>
      </c>
      <c r="K685" s="432">
        <v>0</v>
      </c>
      <c r="L685" s="432">
        <v>0</v>
      </c>
      <c r="M685" s="447"/>
    </row>
    <row r="686" spans="1:13" s="405" customFormat="1" ht="9" customHeight="1" x14ac:dyDescent="0.25">
      <c r="A686" s="448" t="s">
        <v>47</v>
      </c>
      <c r="B686" s="427">
        <f t="shared" si="32"/>
        <v>254776</v>
      </c>
      <c r="C686" s="427"/>
      <c r="D686" s="427">
        <v>134195</v>
      </c>
      <c r="E686" s="427">
        <v>578</v>
      </c>
      <c r="F686" s="427">
        <v>61061</v>
      </c>
      <c r="G686" s="427">
        <v>18018</v>
      </c>
      <c r="H686" s="427">
        <v>0</v>
      </c>
      <c r="I686" s="432">
        <v>482</v>
      </c>
      <c r="J686" s="427">
        <v>1378</v>
      </c>
      <c r="K686" s="432">
        <v>39064</v>
      </c>
      <c r="L686" s="432">
        <v>0</v>
      </c>
      <c r="M686" s="447"/>
    </row>
    <row r="687" spans="1:13" s="405" customFormat="1" ht="9" customHeight="1" x14ac:dyDescent="0.25">
      <c r="A687" s="448" t="s">
        <v>48</v>
      </c>
      <c r="B687" s="427">
        <f t="shared" si="32"/>
        <v>233862</v>
      </c>
      <c r="C687" s="427"/>
      <c r="D687" s="427">
        <v>180849</v>
      </c>
      <c r="E687" s="405">
        <v>0</v>
      </c>
      <c r="F687" s="427">
        <v>37124</v>
      </c>
      <c r="G687" s="427">
        <v>10146</v>
      </c>
      <c r="H687" s="427">
        <v>4435</v>
      </c>
      <c r="I687" s="427">
        <v>175</v>
      </c>
      <c r="J687" s="432">
        <v>76</v>
      </c>
      <c r="K687" s="427">
        <v>1057</v>
      </c>
      <c r="L687" s="432">
        <v>0</v>
      </c>
      <c r="M687" s="447"/>
    </row>
    <row r="688" spans="1:13" s="405" customFormat="1" ht="9" customHeight="1" x14ac:dyDescent="0.25">
      <c r="A688" s="449" t="s">
        <v>49</v>
      </c>
      <c r="B688" s="434">
        <f t="shared" si="32"/>
        <v>278386</v>
      </c>
      <c r="C688" s="434"/>
      <c r="D688" s="434">
        <v>128546</v>
      </c>
      <c r="E688" s="434">
        <v>19177</v>
      </c>
      <c r="F688" s="434">
        <v>78388</v>
      </c>
      <c r="G688" s="434">
        <v>47457</v>
      </c>
      <c r="H688" s="434">
        <v>4464</v>
      </c>
      <c r="I688" s="435">
        <v>55</v>
      </c>
      <c r="J688" s="434">
        <v>299</v>
      </c>
      <c r="K688" s="435">
        <v>0</v>
      </c>
      <c r="L688" s="435">
        <v>0</v>
      </c>
      <c r="M688" s="447"/>
    </row>
    <row r="689" spans="1:14" s="405" customFormat="1" ht="9" customHeight="1" x14ac:dyDescent="0.25">
      <c r="A689" s="448" t="s">
        <v>50</v>
      </c>
      <c r="B689" s="427">
        <f t="shared" si="32"/>
        <v>87692</v>
      </c>
      <c r="C689" s="427"/>
      <c r="D689" s="427">
        <v>73114</v>
      </c>
      <c r="E689" s="427">
        <v>374</v>
      </c>
      <c r="F689" s="427">
        <v>6492</v>
      </c>
      <c r="G689" s="427">
        <v>7712</v>
      </c>
      <c r="H689" s="427">
        <v>0</v>
      </c>
      <c r="I689" s="432">
        <v>0</v>
      </c>
      <c r="J689" s="427">
        <v>0</v>
      </c>
      <c r="K689" s="432">
        <v>0</v>
      </c>
      <c r="L689" s="432">
        <v>0</v>
      </c>
      <c r="M689" s="447"/>
    </row>
    <row r="690" spans="1:14" s="405" customFormat="1" ht="9" customHeight="1" x14ac:dyDescent="0.25">
      <c r="A690" s="448" t="s">
        <v>51</v>
      </c>
      <c r="B690" s="427">
        <f t="shared" si="32"/>
        <v>696175</v>
      </c>
      <c r="C690" s="427"/>
      <c r="D690" s="427">
        <v>379848</v>
      </c>
      <c r="E690" s="427">
        <v>179766</v>
      </c>
      <c r="F690" s="427">
        <v>82095</v>
      </c>
      <c r="G690" s="427">
        <v>41745</v>
      </c>
      <c r="H690" s="427">
        <v>10632</v>
      </c>
      <c r="I690" s="432">
        <v>958</v>
      </c>
      <c r="J690" s="427">
        <v>1110</v>
      </c>
      <c r="K690" s="432">
        <v>0</v>
      </c>
      <c r="L690" s="432">
        <v>21</v>
      </c>
      <c r="M690" s="447"/>
    </row>
    <row r="691" spans="1:14" s="405" customFormat="1" ht="9" customHeight="1" x14ac:dyDescent="0.25">
      <c r="A691" s="448" t="s">
        <v>52</v>
      </c>
      <c r="B691" s="427">
        <f t="shared" si="32"/>
        <v>176120</v>
      </c>
      <c r="C691" s="427"/>
      <c r="D691" s="427">
        <v>111915</v>
      </c>
      <c r="E691" s="427">
        <v>34658</v>
      </c>
      <c r="F691" s="427">
        <v>24316</v>
      </c>
      <c r="G691" s="427">
        <v>4917</v>
      </c>
      <c r="H691" s="405">
        <v>0</v>
      </c>
      <c r="I691" s="427">
        <v>124</v>
      </c>
      <c r="J691" s="432">
        <v>190</v>
      </c>
      <c r="K691" s="432">
        <v>0</v>
      </c>
      <c r="L691" s="432">
        <v>0</v>
      </c>
      <c r="M691" s="447"/>
    </row>
    <row r="692" spans="1:14" s="405" customFormat="1" ht="9" customHeight="1" x14ac:dyDescent="0.25">
      <c r="A692" s="449" t="s">
        <v>53</v>
      </c>
      <c r="B692" s="434">
        <f t="shared" si="32"/>
        <v>219000</v>
      </c>
      <c r="C692" s="434"/>
      <c r="D692" s="434">
        <v>135435</v>
      </c>
      <c r="E692" s="434">
        <v>37402</v>
      </c>
      <c r="F692" s="434">
        <v>31165</v>
      </c>
      <c r="G692" s="434">
        <v>14735</v>
      </c>
      <c r="H692" s="434">
        <v>0</v>
      </c>
      <c r="I692" s="434">
        <v>263</v>
      </c>
      <c r="J692" s="434">
        <v>0</v>
      </c>
      <c r="K692" s="435">
        <v>0</v>
      </c>
      <c r="L692" s="435">
        <v>0</v>
      </c>
      <c r="M692" s="447"/>
    </row>
    <row r="693" spans="1:14" s="428" customFormat="1" ht="9" customHeight="1" x14ac:dyDescent="0.25">
      <c r="A693" s="436"/>
      <c r="B693" s="437"/>
      <c r="C693" s="437"/>
      <c r="D693" s="437"/>
      <c r="E693" s="437"/>
      <c r="F693" s="437"/>
      <c r="G693" s="437"/>
      <c r="H693" s="437"/>
      <c r="I693" s="438"/>
      <c r="J693" s="437"/>
      <c r="K693" s="437"/>
      <c r="L693" s="437"/>
      <c r="M693" s="437"/>
      <c r="N693" s="427"/>
    </row>
    <row r="694" spans="1:14" s="405" customFormat="1" ht="9" customHeight="1" x14ac:dyDescent="0.25">
      <c r="A694" s="445" t="s">
        <v>195</v>
      </c>
      <c r="B694" s="446"/>
      <c r="C694" s="446"/>
      <c r="D694" s="446"/>
      <c r="E694" s="446"/>
      <c r="F694" s="446"/>
      <c r="G694" s="446"/>
      <c r="H694" s="446"/>
      <c r="I694" s="446"/>
      <c r="J694" s="446"/>
      <c r="K694" s="446"/>
      <c r="L694" s="446"/>
    </row>
    <row r="695" spans="1:14" s="405" customFormat="1" ht="9" customHeight="1" x14ac:dyDescent="0.25">
      <c r="A695" s="398" t="s">
        <v>21</v>
      </c>
      <c r="B695" s="430">
        <f>SUM(B697:B728)</f>
        <v>10665672</v>
      </c>
      <c r="C695" s="430"/>
      <c r="D695" s="430">
        <f t="shared" ref="D695:L695" si="33">SUM(D697:D728)</f>
        <v>7270389</v>
      </c>
      <c r="E695" s="430">
        <f t="shared" si="33"/>
        <v>1061692</v>
      </c>
      <c r="F695" s="430">
        <f t="shared" si="33"/>
        <v>1220178</v>
      </c>
      <c r="G695" s="430">
        <f t="shared" si="33"/>
        <v>941355</v>
      </c>
      <c r="H695" s="430">
        <f t="shared" si="33"/>
        <v>26904</v>
      </c>
      <c r="I695" s="430">
        <f t="shared" si="33"/>
        <v>989</v>
      </c>
      <c r="J695" s="430">
        <f t="shared" si="33"/>
        <v>3402</v>
      </c>
      <c r="K695" s="430">
        <f t="shared" si="33"/>
        <v>138635</v>
      </c>
      <c r="L695" s="430">
        <f t="shared" si="33"/>
        <v>2128</v>
      </c>
      <c r="M695" s="447"/>
    </row>
    <row r="696" spans="1:14" s="405" customFormat="1" ht="3.95" customHeight="1" x14ac:dyDescent="0.25">
      <c r="A696" s="398"/>
      <c r="B696" s="430"/>
      <c r="C696" s="430"/>
      <c r="D696" s="430"/>
      <c r="E696" s="430"/>
      <c r="F696" s="430"/>
      <c r="G696" s="430"/>
      <c r="H696" s="430"/>
      <c r="I696" s="430"/>
      <c r="J696" s="430"/>
      <c r="K696" s="430"/>
      <c r="L696" s="430"/>
      <c r="M696" s="447"/>
    </row>
    <row r="697" spans="1:14" s="405" customFormat="1" ht="9" customHeight="1" x14ac:dyDescent="0.25">
      <c r="A697" s="448" t="s">
        <v>23</v>
      </c>
      <c r="B697" s="427">
        <f>SUM(D697:L697)</f>
        <v>208960</v>
      </c>
      <c r="C697" s="427"/>
      <c r="D697" s="427">
        <v>161144</v>
      </c>
      <c r="E697" s="405">
        <v>0</v>
      </c>
      <c r="F697" s="427">
        <v>18720</v>
      </c>
      <c r="G697" s="427">
        <v>14749</v>
      </c>
      <c r="H697" s="427">
        <v>0</v>
      </c>
      <c r="I697" s="432">
        <v>0</v>
      </c>
      <c r="J697" s="427">
        <v>0</v>
      </c>
      <c r="K697" s="432">
        <v>14347</v>
      </c>
      <c r="L697" s="432">
        <v>0</v>
      </c>
      <c r="M697" s="447"/>
    </row>
    <row r="698" spans="1:14" s="405" customFormat="1" ht="9" customHeight="1" x14ac:dyDescent="0.25">
      <c r="A698" s="448" t="s">
        <v>24</v>
      </c>
      <c r="B698" s="427">
        <f>SUM(D698:L698)</f>
        <v>153776</v>
      </c>
      <c r="C698" s="427"/>
      <c r="D698" s="427">
        <v>53908</v>
      </c>
      <c r="E698" s="427">
        <v>5072</v>
      </c>
      <c r="F698" s="427">
        <v>70769</v>
      </c>
      <c r="G698" s="427">
        <v>17171</v>
      </c>
      <c r="H698" s="405">
        <v>0</v>
      </c>
      <c r="I698" s="427">
        <v>45</v>
      </c>
      <c r="J698" s="427">
        <v>8</v>
      </c>
      <c r="K698" s="432">
        <v>6803</v>
      </c>
      <c r="L698" s="432">
        <v>0</v>
      </c>
      <c r="M698" s="447"/>
    </row>
    <row r="699" spans="1:14" s="405" customFormat="1" ht="9" customHeight="1" x14ac:dyDescent="0.25">
      <c r="A699" s="448" t="s">
        <v>25</v>
      </c>
      <c r="B699" s="427">
        <f t="shared" ref="B699:B704" si="34">SUM(D699:L699)</f>
        <v>45824</v>
      </c>
      <c r="C699" s="427"/>
      <c r="D699" s="427">
        <v>34263</v>
      </c>
      <c r="E699" s="405">
        <v>0</v>
      </c>
      <c r="F699" s="427">
        <v>7684</v>
      </c>
      <c r="G699" s="427">
        <v>3841</v>
      </c>
      <c r="H699" s="405">
        <v>0</v>
      </c>
      <c r="I699" s="427">
        <v>29</v>
      </c>
      <c r="J699" s="427">
        <v>7</v>
      </c>
      <c r="K699" s="432">
        <v>0</v>
      </c>
      <c r="L699" s="432">
        <v>0</v>
      </c>
      <c r="M699" s="447"/>
    </row>
    <row r="700" spans="1:14" s="405" customFormat="1" ht="9" customHeight="1" x14ac:dyDescent="0.25">
      <c r="A700" s="449" t="s">
        <v>26</v>
      </c>
      <c r="B700" s="443">
        <f t="shared" si="34"/>
        <v>80485</v>
      </c>
      <c r="C700" s="434"/>
      <c r="D700" s="443">
        <v>54942</v>
      </c>
      <c r="E700" s="443">
        <v>6759</v>
      </c>
      <c r="F700" s="443">
        <v>6451</v>
      </c>
      <c r="G700" s="443">
        <v>11117</v>
      </c>
      <c r="H700" s="443">
        <v>1039</v>
      </c>
      <c r="I700" s="435">
        <v>0</v>
      </c>
      <c r="J700" s="435">
        <v>177</v>
      </c>
      <c r="K700" s="435">
        <v>0</v>
      </c>
      <c r="L700" s="435">
        <v>0</v>
      </c>
      <c r="M700" s="447"/>
    </row>
    <row r="701" spans="1:14" s="405" customFormat="1" ht="9" customHeight="1" x14ac:dyDescent="0.25">
      <c r="A701" s="448" t="s">
        <v>27</v>
      </c>
      <c r="B701" s="427">
        <f t="shared" si="34"/>
        <v>255647</v>
      </c>
      <c r="C701" s="427"/>
      <c r="D701" s="427">
        <v>148088</v>
      </c>
      <c r="E701" s="427">
        <v>16841</v>
      </c>
      <c r="F701" s="427">
        <v>71444</v>
      </c>
      <c r="G701" s="427">
        <v>18844</v>
      </c>
      <c r="H701" s="427">
        <v>0</v>
      </c>
      <c r="I701" s="432">
        <v>20</v>
      </c>
      <c r="J701" s="427">
        <v>0</v>
      </c>
      <c r="K701" s="432">
        <v>0</v>
      </c>
      <c r="L701" s="432">
        <v>410</v>
      </c>
      <c r="M701" s="447"/>
    </row>
    <row r="702" spans="1:14" s="405" customFormat="1" ht="9" customHeight="1" x14ac:dyDescent="0.25">
      <c r="A702" s="448" t="s">
        <v>28</v>
      </c>
      <c r="B702" s="427">
        <f t="shared" si="34"/>
        <v>47410</v>
      </c>
      <c r="C702" s="427"/>
      <c r="D702" s="427">
        <v>30267</v>
      </c>
      <c r="E702" s="405">
        <v>0</v>
      </c>
      <c r="F702" s="427">
        <v>12020</v>
      </c>
      <c r="G702" s="427">
        <v>4829</v>
      </c>
      <c r="H702" s="427">
        <v>0</v>
      </c>
      <c r="I702" s="405">
        <v>0</v>
      </c>
      <c r="J702" s="427">
        <v>294</v>
      </c>
      <c r="K702" s="432">
        <v>0</v>
      </c>
      <c r="L702" s="432">
        <v>0</v>
      </c>
      <c r="M702" s="447"/>
    </row>
    <row r="703" spans="1:14" s="405" customFormat="1" ht="9" customHeight="1" x14ac:dyDescent="0.25">
      <c r="A703" s="448" t="s">
        <v>29</v>
      </c>
      <c r="B703" s="427">
        <f t="shared" si="34"/>
        <v>544973</v>
      </c>
      <c r="C703" s="427"/>
      <c r="D703" s="427">
        <v>339610</v>
      </c>
      <c r="E703" s="427">
        <v>169363</v>
      </c>
      <c r="F703" s="427">
        <v>12915</v>
      </c>
      <c r="G703" s="427">
        <v>22625</v>
      </c>
      <c r="H703" s="427">
        <v>325</v>
      </c>
      <c r="I703" s="432">
        <v>80</v>
      </c>
      <c r="J703" s="427">
        <v>55</v>
      </c>
      <c r="K703" s="432">
        <v>0</v>
      </c>
      <c r="L703" s="432">
        <v>0</v>
      </c>
      <c r="M703" s="447"/>
    </row>
    <row r="704" spans="1:14" s="405" customFormat="1" ht="9" customHeight="1" x14ac:dyDescent="0.25">
      <c r="A704" s="449" t="s">
        <v>30</v>
      </c>
      <c r="B704" s="434">
        <f t="shared" si="34"/>
        <v>339928</v>
      </c>
      <c r="C704" s="434"/>
      <c r="D704" s="434">
        <v>226663</v>
      </c>
      <c r="E704" s="434">
        <v>31850</v>
      </c>
      <c r="F704" s="434">
        <v>65051</v>
      </c>
      <c r="G704" s="434">
        <v>16206</v>
      </c>
      <c r="H704" s="434">
        <v>118</v>
      </c>
      <c r="I704" s="435">
        <v>40</v>
      </c>
      <c r="J704" s="434">
        <v>0</v>
      </c>
      <c r="K704" s="435">
        <v>0</v>
      </c>
      <c r="L704" s="435">
        <v>0</v>
      </c>
      <c r="M704" s="447"/>
    </row>
    <row r="705" spans="1:13" s="405" customFormat="1" ht="9" customHeight="1" x14ac:dyDescent="0.25">
      <c r="A705" s="448" t="s">
        <v>63</v>
      </c>
      <c r="B705" s="427">
        <f>SUM(D705:K705)</f>
        <v>414742</v>
      </c>
      <c r="C705" s="427"/>
      <c r="D705" s="427">
        <v>80894</v>
      </c>
      <c r="E705" s="427">
        <v>1886</v>
      </c>
      <c r="F705" s="427">
        <v>100894</v>
      </c>
      <c r="G705" s="427">
        <v>225415</v>
      </c>
      <c r="H705" s="427">
        <v>2906</v>
      </c>
      <c r="I705" s="432">
        <v>0</v>
      </c>
      <c r="J705" s="427">
        <v>671</v>
      </c>
      <c r="K705" s="432">
        <v>2076</v>
      </c>
      <c r="L705" s="405">
        <v>0</v>
      </c>
      <c r="M705" s="447"/>
    </row>
    <row r="706" spans="1:13" s="405" customFormat="1" ht="9" customHeight="1" x14ac:dyDescent="0.25">
      <c r="A706" s="448" t="s">
        <v>31</v>
      </c>
      <c r="B706" s="427">
        <f t="shared" ref="B706:B716" si="35">SUM(D706:L706)</f>
        <v>223119</v>
      </c>
      <c r="C706" s="427"/>
      <c r="D706" s="427">
        <v>126782</v>
      </c>
      <c r="E706" s="427">
        <v>50608</v>
      </c>
      <c r="F706" s="427">
        <v>32880</v>
      </c>
      <c r="G706" s="427">
        <v>12812</v>
      </c>
      <c r="H706" s="427">
        <v>0</v>
      </c>
      <c r="I706" s="432">
        <v>37</v>
      </c>
      <c r="J706" s="427">
        <v>0</v>
      </c>
      <c r="K706" s="432">
        <v>0</v>
      </c>
      <c r="L706" s="432">
        <v>0</v>
      </c>
      <c r="M706" s="447"/>
    </row>
    <row r="707" spans="1:13" s="405" customFormat="1" ht="9" customHeight="1" x14ac:dyDescent="0.25">
      <c r="A707" s="448" t="s">
        <v>32</v>
      </c>
      <c r="B707" s="427">
        <f t="shared" si="35"/>
        <v>415385</v>
      </c>
      <c r="C707" s="427"/>
      <c r="D707" s="427">
        <v>321753</v>
      </c>
      <c r="E707" s="427">
        <v>3436</v>
      </c>
      <c r="F707" s="427">
        <v>55781</v>
      </c>
      <c r="G707" s="427">
        <v>32825</v>
      </c>
      <c r="H707" s="427">
        <v>1525</v>
      </c>
      <c r="I707" s="432">
        <v>65</v>
      </c>
      <c r="J707" s="427">
        <v>0</v>
      </c>
      <c r="K707" s="432">
        <v>0</v>
      </c>
      <c r="L707" s="432">
        <v>0</v>
      </c>
      <c r="M707" s="447"/>
    </row>
    <row r="708" spans="1:13" s="405" customFormat="1" ht="9" customHeight="1" x14ac:dyDescent="0.25">
      <c r="A708" s="449" t="s">
        <v>33</v>
      </c>
      <c r="B708" s="434">
        <f t="shared" si="35"/>
        <v>743258</v>
      </c>
      <c r="C708" s="434"/>
      <c r="D708" s="434">
        <v>674557</v>
      </c>
      <c r="E708" s="434">
        <v>5083</v>
      </c>
      <c r="F708" s="434">
        <v>16765</v>
      </c>
      <c r="G708" s="434">
        <v>46729</v>
      </c>
      <c r="H708" s="434">
        <v>0</v>
      </c>
      <c r="I708" s="435">
        <v>100</v>
      </c>
      <c r="J708" s="434">
        <v>24</v>
      </c>
      <c r="K708" s="435">
        <v>0</v>
      </c>
      <c r="L708" s="435">
        <v>0</v>
      </c>
      <c r="M708" s="447"/>
    </row>
    <row r="709" spans="1:13" s="405" customFormat="1" ht="9" customHeight="1" x14ac:dyDescent="0.25">
      <c r="A709" s="448" t="s">
        <v>34</v>
      </c>
      <c r="B709" s="427">
        <f t="shared" si="35"/>
        <v>253900</v>
      </c>
      <c r="C709" s="427"/>
      <c r="D709" s="427">
        <v>158601</v>
      </c>
      <c r="E709" s="427">
        <v>43276</v>
      </c>
      <c r="F709" s="427">
        <v>18045</v>
      </c>
      <c r="G709" s="427">
        <v>33386</v>
      </c>
      <c r="H709" s="427">
        <v>592</v>
      </c>
      <c r="I709" s="432">
        <v>0</v>
      </c>
      <c r="J709" s="427">
        <v>0</v>
      </c>
      <c r="K709" s="432">
        <v>0</v>
      </c>
      <c r="L709" s="432">
        <v>0</v>
      </c>
      <c r="M709" s="447"/>
    </row>
    <row r="710" spans="1:13" s="405" customFormat="1" ht="9" customHeight="1" x14ac:dyDescent="0.25">
      <c r="A710" s="448" t="s">
        <v>35</v>
      </c>
      <c r="B710" s="427">
        <f t="shared" si="35"/>
        <v>397160</v>
      </c>
      <c r="C710" s="427"/>
      <c r="D710" s="427">
        <v>254399</v>
      </c>
      <c r="E710" s="427">
        <v>958</v>
      </c>
      <c r="F710" s="427">
        <v>88846</v>
      </c>
      <c r="G710" s="427">
        <v>52833</v>
      </c>
      <c r="H710" s="427">
        <v>56</v>
      </c>
      <c r="I710" s="432">
        <v>51</v>
      </c>
      <c r="J710" s="427">
        <v>17</v>
      </c>
      <c r="K710" s="432">
        <v>0</v>
      </c>
      <c r="L710" s="432">
        <v>0</v>
      </c>
      <c r="M710" s="447"/>
    </row>
    <row r="711" spans="1:13" s="405" customFormat="1" ht="9" customHeight="1" x14ac:dyDescent="0.25">
      <c r="A711" s="448" t="s">
        <v>36</v>
      </c>
      <c r="B711" s="427">
        <f t="shared" si="35"/>
        <v>1984717</v>
      </c>
      <c r="C711" s="427"/>
      <c r="D711" s="427">
        <v>1784987</v>
      </c>
      <c r="E711" s="427">
        <v>2192</v>
      </c>
      <c r="F711" s="427">
        <v>99214</v>
      </c>
      <c r="G711" s="427">
        <v>30824</v>
      </c>
      <c r="H711" s="427">
        <v>493</v>
      </c>
      <c r="I711" s="432">
        <v>127</v>
      </c>
      <c r="J711" s="407">
        <v>0</v>
      </c>
      <c r="K711" s="427">
        <v>66880</v>
      </c>
      <c r="L711" s="432">
        <v>0</v>
      </c>
      <c r="M711" s="447"/>
    </row>
    <row r="712" spans="1:13" s="405" customFormat="1" ht="9" customHeight="1" x14ac:dyDescent="0.25">
      <c r="A712" s="449" t="s">
        <v>37</v>
      </c>
      <c r="B712" s="434">
        <f t="shared" si="35"/>
        <v>344967</v>
      </c>
      <c r="C712" s="434"/>
      <c r="D712" s="434">
        <v>200886</v>
      </c>
      <c r="E712" s="434">
        <v>79944</v>
      </c>
      <c r="F712" s="434">
        <v>40510</v>
      </c>
      <c r="G712" s="434">
        <v>23288</v>
      </c>
      <c r="H712" s="434">
        <v>0</v>
      </c>
      <c r="I712" s="435">
        <v>9</v>
      </c>
      <c r="J712" s="434">
        <v>330</v>
      </c>
      <c r="K712" s="435">
        <v>0</v>
      </c>
      <c r="L712" s="435">
        <v>0</v>
      </c>
      <c r="M712" s="447"/>
    </row>
    <row r="713" spans="1:13" s="405" customFormat="1" ht="9" customHeight="1" x14ac:dyDescent="0.25">
      <c r="A713" s="448" t="s">
        <v>38</v>
      </c>
      <c r="B713" s="427">
        <f t="shared" si="35"/>
        <v>149118</v>
      </c>
      <c r="C713" s="427"/>
      <c r="D713" s="427">
        <v>104371</v>
      </c>
      <c r="E713" s="427">
        <v>760</v>
      </c>
      <c r="F713" s="427">
        <v>11584</v>
      </c>
      <c r="G713" s="427">
        <v>32370</v>
      </c>
      <c r="H713" s="427">
        <v>0</v>
      </c>
      <c r="I713" s="432">
        <v>33</v>
      </c>
      <c r="J713" s="427">
        <v>0</v>
      </c>
      <c r="K713" s="432">
        <v>0</v>
      </c>
      <c r="L713" s="432">
        <v>0</v>
      </c>
      <c r="M713" s="447"/>
    </row>
    <row r="714" spans="1:13" s="405" customFormat="1" ht="9" customHeight="1" x14ac:dyDescent="0.25">
      <c r="A714" s="448" t="s">
        <v>39</v>
      </c>
      <c r="B714" s="427">
        <f t="shared" si="35"/>
        <v>142610</v>
      </c>
      <c r="C714" s="427"/>
      <c r="D714" s="427">
        <v>96971</v>
      </c>
      <c r="E714" s="427">
        <v>19507</v>
      </c>
      <c r="F714" s="427">
        <v>20087</v>
      </c>
      <c r="G714" s="427">
        <v>6045</v>
      </c>
      <c r="H714" s="427">
        <v>0</v>
      </c>
      <c r="I714" s="405">
        <v>0</v>
      </c>
      <c r="J714" s="432">
        <v>0</v>
      </c>
      <c r="K714" s="432">
        <v>0</v>
      </c>
      <c r="L714" s="432">
        <v>0</v>
      </c>
      <c r="M714" s="447"/>
    </row>
    <row r="715" spans="1:13" s="405" customFormat="1" ht="9" customHeight="1" x14ac:dyDescent="0.25">
      <c r="A715" s="448" t="s">
        <v>40</v>
      </c>
      <c r="B715" s="427">
        <f t="shared" si="35"/>
        <v>235122</v>
      </c>
      <c r="C715" s="427"/>
      <c r="D715" s="427">
        <v>134683</v>
      </c>
      <c r="E715" s="427">
        <v>350</v>
      </c>
      <c r="F715" s="427">
        <v>77648</v>
      </c>
      <c r="G715" s="427">
        <v>18158</v>
      </c>
      <c r="H715" s="427">
        <v>1518</v>
      </c>
      <c r="I715" s="432">
        <v>28</v>
      </c>
      <c r="J715" s="407">
        <v>0</v>
      </c>
      <c r="K715" s="427">
        <v>1019</v>
      </c>
      <c r="L715" s="432">
        <v>1718</v>
      </c>
      <c r="M715" s="447"/>
    </row>
    <row r="716" spans="1:13" s="405" customFormat="1" ht="9" customHeight="1" x14ac:dyDescent="0.25">
      <c r="A716" s="449" t="s">
        <v>41</v>
      </c>
      <c r="B716" s="434">
        <f t="shared" si="35"/>
        <v>447256</v>
      </c>
      <c r="C716" s="434"/>
      <c r="D716" s="434">
        <v>292546</v>
      </c>
      <c r="E716" s="434">
        <v>125346</v>
      </c>
      <c r="F716" s="434">
        <v>10368</v>
      </c>
      <c r="G716" s="434">
        <v>18515</v>
      </c>
      <c r="H716" s="434">
        <v>355</v>
      </c>
      <c r="I716" s="435">
        <v>107</v>
      </c>
      <c r="J716" s="434">
        <v>19</v>
      </c>
      <c r="K716" s="435">
        <v>0</v>
      </c>
      <c r="L716" s="435">
        <v>0</v>
      </c>
      <c r="M716" s="447"/>
    </row>
    <row r="717" spans="1:13" s="405" customFormat="1" ht="9" customHeight="1" x14ac:dyDescent="0.25">
      <c r="A717" s="448" t="s">
        <v>42</v>
      </c>
      <c r="B717" s="427">
        <f>SUM(D717:L717)</f>
        <v>593312</v>
      </c>
      <c r="C717" s="427"/>
      <c r="D717" s="427">
        <v>360357</v>
      </c>
      <c r="E717" s="427">
        <v>129551</v>
      </c>
      <c r="F717" s="427">
        <v>25787</v>
      </c>
      <c r="G717" s="427">
        <v>63024</v>
      </c>
      <c r="H717" s="427">
        <v>221</v>
      </c>
      <c r="I717" s="432">
        <v>25</v>
      </c>
      <c r="J717" s="407">
        <v>0</v>
      </c>
      <c r="K717" s="427">
        <v>14347</v>
      </c>
      <c r="L717" s="432">
        <v>0</v>
      </c>
      <c r="M717" s="447"/>
    </row>
    <row r="718" spans="1:13" s="405" customFormat="1" ht="9" customHeight="1" x14ac:dyDescent="0.25">
      <c r="A718" s="448" t="s">
        <v>43</v>
      </c>
      <c r="B718" s="427">
        <f t="shared" ref="B718:B728" si="36">SUM(D718:L718)</f>
        <v>132427</v>
      </c>
      <c r="C718" s="427"/>
      <c r="D718" s="427">
        <v>84539</v>
      </c>
      <c r="E718" s="427">
        <v>240</v>
      </c>
      <c r="F718" s="427">
        <v>35010</v>
      </c>
      <c r="G718" s="427">
        <v>12638</v>
      </c>
      <c r="H718" s="427">
        <v>0</v>
      </c>
      <c r="I718" s="432">
        <v>0</v>
      </c>
      <c r="J718" s="427">
        <v>0</v>
      </c>
      <c r="K718" s="432">
        <v>0</v>
      </c>
      <c r="L718" s="432">
        <v>0</v>
      </c>
      <c r="M718" s="447"/>
    </row>
    <row r="719" spans="1:13" s="405" customFormat="1" ht="9" customHeight="1" x14ac:dyDescent="0.25">
      <c r="A719" s="448" t="s">
        <v>44</v>
      </c>
      <c r="B719" s="427">
        <f t="shared" si="36"/>
        <v>118775</v>
      </c>
      <c r="C719" s="427"/>
      <c r="D719" s="427">
        <v>73975</v>
      </c>
      <c r="E719" s="405">
        <v>0</v>
      </c>
      <c r="F719" s="427">
        <v>29352</v>
      </c>
      <c r="G719" s="427">
        <v>15164</v>
      </c>
      <c r="H719" s="427">
        <v>0</v>
      </c>
      <c r="I719" s="427">
        <v>15</v>
      </c>
      <c r="J719" s="432">
        <v>269</v>
      </c>
      <c r="K719" s="432">
        <v>0</v>
      </c>
      <c r="L719" s="432">
        <v>0</v>
      </c>
      <c r="M719" s="447"/>
    </row>
    <row r="720" spans="1:13" s="405" customFormat="1" ht="9" customHeight="1" x14ac:dyDescent="0.25">
      <c r="A720" s="449" t="s">
        <v>45</v>
      </c>
      <c r="B720" s="434">
        <f t="shared" si="36"/>
        <v>310448</v>
      </c>
      <c r="C720" s="434"/>
      <c r="D720" s="434">
        <v>185487</v>
      </c>
      <c r="E720" s="434">
        <v>47007</v>
      </c>
      <c r="F720" s="434">
        <v>34112</v>
      </c>
      <c r="G720" s="434">
        <v>43296</v>
      </c>
      <c r="H720" s="434">
        <v>539</v>
      </c>
      <c r="I720" s="435">
        <v>7</v>
      </c>
      <c r="J720" s="434">
        <v>0</v>
      </c>
      <c r="K720" s="435">
        <v>0</v>
      </c>
      <c r="L720" s="435">
        <v>0</v>
      </c>
      <c r="M720" s="447"/>
    </row>
    <row r="721" spans="1:14" s="405" customFormat="1" ht="9" customHeight="1" x14ac:dyDescent="0.25">
      <c r="A721" s="448" t="s">
        <v>46</v>
      </c>
      <c r="B721" s="427">
        <f t="shared" si="36"/>
        <v>263135</v>
      </c>
      <c r="C721" s="427"/>
      <c r="D721" s="427">
        <v>131873</v>
      </c>
      <c r="E721" s="427">
        <v>39775</v>
      </c>
      <c r="F721" s="427">
        <v>54423</v>
      </c>
      <c r="G721" s="427">
        <v>36807</v>
      </c>
      <c r="H721" s="427">
        <v>73</v>
      </c>
      <c r="I721" s="432">
        <v>11</v>
      </c>
      <c r="J721" s="427">
        <v>173</v>
      </c>
      <c r="K721" s="432">
        <v>0</v>
      </c>
      <c r="L721" s="432">
        <v>0</v>
      </c>
      <c r="M721" s="447"/>
    </row>
    <row r="722" spans="1:14" s="405" customFormat="1" ht="9" customHeight="1" x14ac:dyDescent="0.25">
      <c r="A722" s="448" t="s">
        <v>47</v>
      </c>
      <c r="B722" s="427">
        <f t="shared" si="36"/>
        <v>204261</v>
      </c>
      <c r="C722" s="427"/>
      <c r="D722" s="427">
        <v>121565</v>
      </c>
      <c r="E722" s="427">
        <v>509</v>
      </c>
      <c r="F722" s="427">
        <v>31887</v>
      </c>
      <c r="G722" s="427">
        <v>18503</v>
      </c>
      <c r="H722" s="427">
        <v>0</v>
      </c>
      <c r="I722" s="432">
        <v>35</v>
      </c>
      <c r="J722" s="427">
        <v>12</v>
      </c>
      <c r="K722" s="432">
        <v>31750</v>
      </c>
      <c r="L722" s="432">
        <v>0</v>
      </c>
      <c r="M722" s="447"/>
    </row>
    <row r="723" spans="1:14" s="405" customFormat="1" ht="9" customHeight="1" x14ac:dyDescent="0.25">
      <c r="A723" s="448" t="s">
        <v>48</v>
      </c>
      <c r="B723" s="427">
        <f t="shared" si="36"/>
        <v>199809</v>
      </c>
      <c r="C723" s="427"/>
      <c r="D723" s="427">
        <v>166831</v>
      </c>
      <c r="E723" s="405">
        <v>0</v>
      </c>
      <c r="F723" s="427">
        <v>15590</v>
      </c>
      <c r="G723" s="427">
        <v>12811</v>
      </c>
      <c r="H723" s="427">
        <v>3117</v>
      </c>
      <c r="I723" s="427">
        <v>47</v>
      </c>
      <c r="J723" s="432">
        <v>0</v>
      </c>
      <c r="K723" s="427">
        <v>1413</v>
      </c>
      <c r="L723" s="432">
        <v>0</v>
      </c>
      <c r="M723" s="447"/>
    </row>
    <row r="724" spans="1:14" s="405" customFormat="1" ht="9" customHeight="1" x14ac:dyDescent="0.25">
      <c r="A724" s="449" t="s">
        <v>49</v>
      </c>
      <c r="B724" s="434">
        <f t="shared" si="36"/>
        <v>225124</v>
      </c>
      <c r="C724" s="434"/>
      <c r="D724" s="434">
        <v>128355</v>
      </c>
      <c r="E724" s="434">
        <v>17429</v>
      </c>
      <c r="F724" s="434">
        <v>52813</v>
      </c>
      <c r="G724" s="434">
        <v>21761</v>
      </c>
      <c r="H724" s="434">
        <v>4500</v>
      </c>
      <c r="I724" s="435">
        <v>9</v>
      </c>
      <c r="J724" s="434">
        <v>257</v>
      </c>
      <c r="K724" s="435">
        <v>0</v>
      </c>
      <c r="L724" s="435">
        <v>0</v>
      </c>
      <c r="M724" s="447"/>
    </row>
    <row r="725" spans="1:14" s="405" customFormat="1" ht="9" customHeight="1" x14ac:dyDescent="0.25">
      <c r="A725" s="448" t="s">
        <v>50</v>
      </c>
      <c r="B725" s="427">
        <f t="shared" si="36"/>
        <v>101530</v>
      </c>
      <c r="C725" s="427"/>
      <c r="D725" s="427">
        <v>87640</v>
      </c>
      <c r="E725" s="427">
        <v>282</v>
      </c>
      <c r="F725" s="427">
        <v>5209</v>
      </c>
      <c r="G725" s="427">
        <v>8399</v>
      </c>
      <c r="H725" s="427">
        <v>0</v>
      </c>
      <c r="I725" s="432">
        <v>0</v>
      </c>
      <c r="J725" s="427">
        <v>0</v>
      </c>
      <c r="K725" s="432">
        <v>0</v>
      </c>
      <c r="L725" s="432">
        <v>0</v>
      </c>
      <c r="M725" s="447"/>
    </row>
    <row r="726" spans="1:14" s="405" customFormat="1" ht="9" customHeight="1" x14ac:dyDescent="0.25">
      <c r="A726" s="448" t="s">
        <v>51</v>
      </c>
      <c r="B726" s="427">
        <f t="shared" si="36"/>
        <v>701407</v>
      </c>
      <c r="C726" s="427"/>
      <c r="D726" s="427">
        <v>399791</v>
      </c>
      <c r="E726" s="427">
        <v>187092</v>
      </c>
      <c r="F726" s="427">
        <v>62578</v>
      </c>
      <c r="G726" s="427">
        <v>42260</v>
      </c>
      <c r="H726" s="427">
        <v>9527</v>
      </c>
      <c r="I726" s="432">
        <v>29</v>
      </c>
      <c r="J726" s="427">
        <v>130</v>
      </c>
      <c r="K726" s="432">
        <v>0</v>
      </c>
      <c r="L726" s="432">
        <v>0</v>
      </c>
      <c r="M726" s="447"/>
    </row>
    <row r="727" spans="1:14" s="405" customFormat="1" ht="9" customHeight="1" x14ac:dyDescent="0.25">
      <c r="A727" s="448" t="s">
        <v>52</v>
      </c>
      <c r="B727" s="427">
        <f t="shared" si="36"/>
        <v>185538</v>
      </c>
      <c r="C727" s="427"/>
      <c r="D727" s="427">
        <v>117734</v>
      </c>
      <c r="E727" s="427">
        <v>39449</v>
      </c>
      <c r="F727" s="427">
        <v>21659</v>
      </c>
      <c r="G727" s="427">
        <v>5710</v>
      </c>
      <c r="H727" s="405">
        <v>0</v>
      </c>
      <c r="I727" s="427">
        <v>27</v>
      </c>
      <c r="J727" s="432">
        <v>959</v>
      </c>
      <c r="K727" s="432">
        <v>0</v>
      </c>
      <c r="L727" s="432">
        <v>0</v>
      </c>
      <c r="M727" s="447"/>
    </row>
    <row r="728" spans="1:14" s="405" customFormat="1" ht="9" customHeight="1" x14ac:dyDescent="0.25">
      <c r="A728" s="449" t="s">
        <v>53</v>
      </c>
      <c r="B728" s="434">
        <f t="shared" si="36"/>
        <v>201549</v>
      </c>
      <c r="C728" s="434"/>
      <c r="D728" s="434">
        <v>131927</v>
      </c>
      <c r="E728" s="434">
        <v>37127</v>
      </c>
      <c r="F728" s="434">
        <v>14082</v>
      </c>
      <c r="G728" s="434">
        <v>18400</v>
      </c>
      <c r="H728" s="434">
        <v>0</v>
      </c>
      <c r="I728" s="434">
        <v>13</v>
      </c>
      <c r="J728" s="434">
        <v>0</v>
      </c>
      <c r="K728" s="435">
        <v>0</v>
      </c>
      <c r="L728" s="435">
        <v>0</v>
      </c>
      <c r="M728" s="447"/>
    </row>
    <row r="729" spans="1:14" s="428" customFormat="1" ht="9" customHeight="1" x14ac:dyDescent="0.25">
      <c r="A729" s="436"/>
      <c r="B729" s="437"/>
      <c r="C729" s="437"/>
      <c r="D729" s="437"/>
      <c r="E729" s="437"/>
      <c r="F729" s="437"/>
      <c r="G729" s="437"/>
      <c r="H729" s="437"/>
      <c r="I729" s="438"/>
      <c r="J729" s="437"/>
      <c r="K729" s="437"/>
      <c r="L729" s="437"/>
      <c r="M729" s="437"/>
      <c r="N729" s="427"/>
    </row>
    <row r="730" spans="1:14" s="405" customFormat="1" ht="9" customHeight="1" x14ac:dyDescent="0.25">
      <c r="A730" s="445">
        <v>2015</v>
      </c>
      <c r="B730" s="446"/>
      <c r="C730" s="446"/>
      <c r="D730" s="446"/>
      <c r="E730" s="446"/>
      <c r="F730" s="446"/>
      <c r="G730" s="446"/>
      <c r="H730" s="446"/>
      <c r="I730" s="446"/>
      <c r="J730" s="446"/>
      <c r="K730" s="446"/>
      <c r="L730" s="446"/>
    </row>
    <row r="731" spans="1:14" s="405" customFormat="1" ht="9" customHeight="1" x14ac:dyDescent="0.25">
      <c r="A731" s="398" t="s">
        <v>21</v>
      </c>
      <c r="B731" s="430">
        <f>SUM(B733:B764)</f>
        <v>10258098</v>
      </c>
      <c r="C731" s="430"/>
      <c r="D731" s="430">
        <f t="shared" ref="D731:L731" si="37">SUM(D733:D764)</f>
        <v>6970540</v>
      </c>
      <c r="E731" s="430">
        <f t="shared" si="37"/>
        <v>986304</v>
      </c>
      <c r="F731" s="430">
        <f t="shared" si="37"/>
        <v>1141738</v>
      </c>
      <c r="G731" s="430">
        <f t="shared" si="37"/>
        <v>936887</v>
      </c>
      <c r="H731" s="430">
        <f t="shared" si="37"/>
        <v>23622</v>
      </c>
      <c r="I731" s="430">
        <f t="shared" si="37"/>
        <v>79252</v>
      </c>
      <c r="J731" s="430">
        <f t="shared" si="37"/>
        <v>19141</v>
      </c>
      <c r="K731" s="430">
        <f t="shared" si="37"/>
        <v>97916</v>
      </c>
      <c r="L731" s="430">
        <f t="shared" si="37"/>
        <v>2698</v>
      </c>
      <c r="M731" s="447"/>
    </row>
    <row r="732" spans="1:14" s="405" customFormat="1" ht="3.95" customHeight="1" x14ac:dyDescent="0.25">
      <c r="A732" s="398"/>
      <c r="B732" s="430"/>
      <c r="C732" s="430"/>
      <c r="D732" s="430"/>
      <c r="E732" s="430"/>
      <c r="F732" s="430"/>
      <c r="G732" s="430"/>
      <c r="H732" s="430"/>
      <c r="I732" s="430"/>
      <c r="J732" s="430"/>
      <c r="K732" s="430"/>
      <c r="L732" s="430"/>
      <c r="M732" s="447"/>
    </row>
    <row r="733" spans="1:14" s="405" customFormat="1" ht="9" customHeight="1" x14ac:dyDescent="0.25">
      <c r="A733" s="448" t="s">
        <v>23</v>
      </c>
      <c r="B733" s="427">
        <f>SUM(D733:L733)</f>
        <v>192293</v>
      </c>
      <c r="C733" s="427"/>
      <c r="D733" s="427">
        <v>156582</v>
      </c>
      <c r="E733" s="407">
        <v>0</v>
      </c>
      <c r="F733" s="427">
        <v>21160</v>
      </c>
      <c r="G733" s="427">
        <v>14551</v>
      </c>
      <c r="H733" s="427">
        <v>0</v>
      </c>
      <c r="I733" s="432">
        <v>0</v>
      </c>
      <c r="J733" s="427">
        <v>0</v>
      </c>
      <c r="K733" s="432">
        <v>0</v>
      </c>
      <c r="L733" s="432">
        <v>0</v>
      </c>
      <c r="M733" s="447"/>
    </row>
    <row r="734" spans="1:14" s="405" customFormat="1" ht="9" customHeight="1" x14ac:dyDescent="0.25">
      <c r="A734" s="448" t="s">
        <v>24</v>
      </c>
      <c r="B734" s="427">
        <f>SUM(D734:L734)</f>
        <v>143547</v>
      </c>
      <c r="C734" s="427"/>
      <c r="D734" s="427">
        <v>50825</v>
      </c>
      <c r="E734" s="427">
        <v>5565</v>
      </c>
      <c r="F734" s="427">
        <v>65756</v>
      </c>
      <c r="G734" s="427">
        <v>15081</v>
      </c>
      <c r="H734" s="407">
        <v>0</v>
      </c>
      <c r="I734" s="427">
        <v>218</v>
      </c>
      <c r="J734" s="427">
        <v>46</v>
      </c>
      <c r="K734" s="432">
        <v>6056</v>
      </c>
      <c r="L734" s="432">
        <v>0</v>
      </c>
      <c r="M734" s="447"/>
    </row>
    <row r="735" spans="1:14" s="405" customFormat="1" ht="9" customHeight="1" x14ac:dyDescent="0.25">
      <c r="A735" s="448" t="s">
        <v>25</v>
      </c>
      <c r="B735" s="427">
        <f t="shared" ref="B735:B740" si="38">SUM(D735:L735)</f>
        <v>40284</v>
      </c>
      <c r="C735" s="427"/>
      <c r="D735" s="427">
        <v>28733</v>
      </c>
      <c r="E735" s="407">
        <v>797</v>
      </c>
      <c r="F735" s="427">
        <v>6973</v>
      </c>
      <c r="G735" s="427">
        <v>3494</v>
      </c>
      <c r="H735" s="407">
        <v>0</v>
      </c>
      <c r="I735" s="427">
        <v>200</v>
      </c>
      <c r="J735" s="427">
        <v>87</v>
      </c>
      <c r="K735" s="432">
        <v>0</v>
      </c>
      <c r="L735" s="432">
        <v>0</v>
      </c>
      <c r="M735" s="447"/>
    </row>
    <row r="736" spans="1:14" s="405" customFormat="1" ht="9" customHeight="1" x14ac:dyDescent="0.25">
      <c r="A736" s="449" t="s">
        <v>26</v>
      </c>
      <c r="B736" s="443">
        <f t="shared" si="38"/>
        <v>81389</v>
      </c>
      <c r="C736" s="434"/>
      <c r="D736" s="443">
        <v>52954</v>
      </c>
      <c r="E736" s="443">
        <v>12161</v>
      </c>
      <c r="F736" s="443">
        <v>5840</v>
      </c>
      <c r="G736" s="443">
        <v>8806</v>
      </c>
      <c r="H736" s="443">
        <v>794</v>
      </c>
      <c r="I736" s="435">
        <v>0</v>
      </c>
      <c r="J736" s="435">
        <v>834</v>
      </c>
      <c r="K736" s="435">
        <v>0</v>
      </c>
      <c r="L736" s="435">
        <v>0</v>
      </c>
      <c r="M736" s="447"/>
    </row>
    <row r="737" spans="1:13" s="405" customFormat="1" ht="9" customHeight="1" x14ac:dyDescent="0.25">
      <c r="A737" s="448" t="s">
        <v>27</v>
      </c>
      <c r="B737" s="427">
        <f t="shared" si="38"/>
        <v>212277</v>
      </c>
      <c r="C737" s="427"/>
      <c r="D737" s="427">
        <v>109921</v>
      </c>
      <c r="E737" s="427">
        <v>15050</v>
      </c>
      <c r="F737" s="427">
        <v>68724</v>
      </c>
      <c r="G737" s="427">
        <v>17492</v>
      </c>
      <c r="H737" s="427">
        <v>0</v>
      </c>
      <c r="I737" s="432">
        <v>113</v>
      </c>
      <c r="J737" s="427">
        <v>0</v>
      </c>
      <c r="K737" s="432">
        <v>0</v>
      </c>
      <c r="L737" s="432">
        <v>977</v>
      </c>
      <c r="M737" s="447"/>
    </row>
    <row r="738" spans="1:13" s="405" customFormat="1" ht="9" customHeight="1" x14ac:dyDescent="0.25">
      <c r="A738" s="448" t="s">
        <v>28</v>
      </c>
      <c r="B738" s="427">
        <f t="shared" si="38"/>
        <v>44193</v>
      </c>
      <c r="C738" s="427"/>
      <c r="D738" s="427">
        <v>29741</v>
      </c>
      <c r="E738" s="407">
        <v>0</v>
      </c>
      <c r="F738" s="427">
        <v>10205</v>
      </c>
      <c r="G738" s="427">
        <v>3991</v>
      </c>
      <c r="H738" s="427">
        <v>0</v>
      </c>
      <c r="I738" s="407">
        <v>130</v>
      </c>
      <c r="J738" s="427">
        <v>126</v>
      </c>
      <c r="K738" s="432">
        <v>0</v>
      </c>
      <c r="L738" s="432">
        <v>0</v>
      </c>
      <c r="M738" s="447"/>
    </row>
    <row r="739" spans="1:13" s="405" customFormat="1" ht="9" customHeight="1" x14ac:dyDescent="0.25">
      <c r="A739" s="448" t="s">
        <v>29</v>
      </c>
      <c r="B739" s="427">
        <f t="shared" si="38"/>
        <v>538165</v>
      </c>
      <c r="C739" s="427"/>
      <c r="D739" s="427">
        <v>327751</v>
      </c>
      <c r="E739" s="427">
        <v>176671</v>
      </c>
      <c r="F739" s="427">
        <v>10517</v>
      </c>
      <c r="G739" s="427">
        <v>22639</v>
      </c>
      <c r="H739" s="427">
        <v>264</v>
      </c>
      <c r="I739" s="432">
        <v>241</v>
      </c>
      <c r="J739" s="427">
        <v>82</v>
      </c>
      <c r="K739" s="432">
        <v>0</v>
      </c>
      <c r="L739" s="432">
        <v>0</v>
      </c>
      <c r="M739" s="447"/>
    </row>
    <row r="740" spans="1:13" s="405" customFormat="1" ht="9" customHeight="1" x14ac:dyDescent="0.25">
      <c r="A740" s="449" t="s">
        <v>30</v>
      </c>
      <c r="B740" s="434">
        <f t="shared" si="38"/>
        <v>341046</v>
      </c>
      <c r="C740" s="434"/>
      <c r="D740" s="434">
        <v>233433</v>
      </c>
      <c r="E740" s="434">
        <v>29299</v>
      </c>
      <c r="F740" s="434">
        <v>59921</v>
      </c>
      <c r="G740" s="434">
        <v>17889</v>
      </c>
      <c r="H740" s="434">
        <v>74</v>
      </c>
      <c r="I740" s="435">
        <v>430</v>
      </c>
      <c r="J740" s="434">
        <v>0</v>
      </c>
      <c r="K740" s="435">
        <v>0</v>
      </c>
      <c r="L740" s="435">
        <v>0</v>
      </c>
      <c r="M740" s="447"/>
    </row>
    <row r="741" spans="1:13" s="405" customFormat="1" ht="9" customHeight="1" x14ac:dyDescent="0.25">
      <c r="A741" s="448" t="s">
        <v>63</v>
      </c>
      <c r="B741" s="427">
        <f>SUM(D741:K741)</f>
        <v>483773</v>
      </c>
      <c r="C741" s="427"/>
      <c r="D741" s="427">
        <v>82450</v>
      </c>
      <c r="E741" s="427">
        <v>1684</v>
      </c>
      <c r="F741" s="427">
        <v>104964</v>
      </c>
      <c r="G741" s="427">
        <v>220096</v>
      </c>
      <c r="H741" s="427">
        <v>2061</v>
      </c>
      <c r="I741" s="432">
        <v>69153</v>
      </c>
      <c r="J741" s="427">
        <v>1703</v>
      </c>
      <c r="K741" s="432">
        <v>1662</v>
      </c>
      <c r="L741" s="407">
        <v>0</v>
      </c>
      <c r="M741" s="447"/>
    </row>
    <row r="742" spans="1:13" s="405" customFormat="1" ht="9" customHeight="1" x14ac:dyDescent="0.25">
      <c r="A742" s="448" t="s">
        <v>31</v>
      </c>
      <c r="B742" s="427">
        <f t="shared" ref="B742:B752" si="39">SUM(D742:L742)</f>
        <v>225960</v>
      </c>
      <c r="C742" s="427"/>
      <c r="D742" s="427">
        <v>130761</v>
      </c>
      <c r="E742" s="427">
        <v>47717</v>
      </c>
      <c r="F742" s="427">
        <v>32171</v>
      </c>
      <c r="G742" s="427">
        <v>14811</v>
      </c>
      <c r="H742" s="427">
        <v>0</v>
      </c>
      <c r="I742" s="432">
        <v>500</v>
      </c>
      <c r="J742" s="427">
        <v>0</v>
      </c>
      <c r="K742" s="432">
        <v>0</v>
      </c>
      <c r="L742" s="432">
        <v>0</v>
      </c>
      <c r="M742" s="447"/>
    </row>
    <row r="743" spans="1:13" s="405" customFormat="1" ht="9" customHeight="1" x14ac:dyDescent="0.25">
      <c r="A743" s="448" t="s">
        <v>32</v>
      </c>
      <c r="B743" s="427">
        <f t="shared" si="39"/>
        <v>424976</v>
      </c>
      <c r="C743" s="427"/>
      <c r="D743" s="427">
        <v>320812</v>
      </c>
      <c r="E743" s="427">
        <v>6338</v>
      </c>
      <c r="F743" s="427">
        <v>56373</v>
      </c>
      <c r="G743" s="427">
        <v>38524</v>
      </c>
      <c r="H743" s="427">
        <v>1487</v>
      </c>
      <c r="I743" s="432">
        <v>1442</v>
      </c>
      <c r="J743" s="427">
        <v>0</v>
      </c>
      <c r="K743" s="432">
        <v>0</v>
      </c>
      <c r="L743" s="432">
        <v>0</v>
      </c>
      <c r="M743" s="447"/>
    </row>
    <row r="744" spans="1:13" s="405" customFormat="1" ht="9" customHeight="1" x14ac:dyDescent="0.25">
      <c r="A744" s="449" t="s">
        <v>33</v>
      </c>
      <c r="B744" s="434">
        <f t="shared" si="39"/>
        <v>770090</v>
      </c>
      <c r="C744" s="434"/>
      <c r="D744" s="434">
        <v>689268</v>
      </c>
      <c r="E744" s="434">
        <v>5783</v>
      </c>
      <c r="F744" s="434">
        <v>16451</v>
      </c>
      <c r="G744" s="434">
        <v>55615</v>
      </c>
      <c r="H744" s="434">
        <v>0</v>
      </c>
      <c r="I744" s="435">
        <v>1313</v>
      </c>
      <c r="J744" s="434">
        <v>1660</v>
      </c>
      <c r="K744" s="435">
        <v>0</v>
      </c>
      <c r="L744" s="435">
        <v>0</v>
      </c>
      <c r="M744" s="447"/>
    </row>
    <row r="745" spans="1:13" s="405" customFormat="1" ht="9" customHeight="1" x14ac:dyDescent="0.25">
      <c r="A745" s="448" t="s">
        <v>34</v>
      </c>
      <c r="B745" s="427">
        <f t="shared" si="39"/>
        <v>241438</v>
      </c>
      <c r="C745" s="427"/>
      <c r="D745" s="427">
        <v>150147</v>
      </c>
      <c r="E745" s="427">
        <v>38587</v>
      </c>
      <c r="F745" s="427">
        <v>16812</v>
      </c>
      <c r="G745" s="427">
        <v>35249</v>
      </c>
      <c r="H745" s="427">
        <v>643</v>
      </c>
      <c r="I745" s="432">
        <v>0</v>
      </c>
      <c r="J745" s="427">
        <v>0</v>
      </c>
      <c r="K745" s="432">
        <v>0</v>
      </c>
      <c r="L745" s="432">
        <v>0</v>
      </c>
      <c r="M745" s="447"/>
    </row>
    <row r="746" spans="1:13" s="405" customFormat="1" ht="9" customHeight="1" x14ac:dyDescent="0.25">
      <c r="A746" s="448" t="s">
        <v>35</v>
      </c>
      <c r="B746" s="427">
        <f t="shared" si="39"/>
        <v>382225</v>
      </c>
      <c r="C746" s="427"/>
      <c r="D746" s="427">
        <v>255281</v>
      </c>
      <c r="E746" s="427">
        <v>1299</v>
      </c>
      <c r="F746" s="427">
        <v>79373</v>
      </c>
      <c r="G746" s="427">
        <v>45950</v>
      </c>
      <c r="H746" s="427">
        <v>172</v>
      </c>
      <c r="I746" s="432">
        <v>139</v>
      </c>
      <c r="J746" s="427">
        <v>11</v>
      </c>
      <c r="K746" s="432">
        <v>0</v>
      </c>
      <c r="L746" s="432">
        <v>0</v>
      </c>
      <c r="M746" s="447"/>
    </row>
    <row r="747" spans="1:13" s="405" customFormat="1" ht="9" customHeight="1" x14ac:dyDescent="0.25">
      <c r="A747" s="448" t="s">
        <v>36</v>
      </c>
      <c r="B747" s="427">
        <f t="shared" si="39"/>
        <v>2024207</v>
      </c>
      <c r="C747" s="427"/>
      <c r="D747" s="427">
        <v>1817097</v>
      </c>
      <c r="E747" s="427">
        <v>3004</v>
      </c>
      <c r="F747" s="427">
        <v>96366</v>
      </c>
      <c r="G747" s="427">
        <v>29757</v>
      </c>
      <c r="H747" s="427">
        <v>741</v>
      </c>
      <c r="I747" s="432">
        <v>2485</v>
      </c>
      <c r="J747" s="407">
        <v>0</v>
      </c>
      <c r="K747" s="427">
        <v>74757</v>
      </c>
      <c r="L747" s="432">
        <v>0</v>
      </c>
      <c r="M747" s="447"/>
    </row>
    <row r="748" spans="1:13" s="405" customFormat="1" ht="9" customHeight="1" x14ac:dyDescent="0.25">
      <c r="A748" s="449" t="s">
        <v>37</v>
      </c>
      <c r="B748" s="434">
        <f t="shared" si="39"/>
        <v>346214</v>
      </c>
      <c r="C748" s="434"/>
      <c r="D748" s="434">
        <v>199008</v>
      </c>
      <c r="E748" s="434">
        <v>73985</v>
      </c>
      <c r="F748" s="434">
        <v>37298</v>
      </c>
      <c r="G748" s="434">
        <v>24482</v>
      </c>
      <c r="H748" s="434">
        <v>0</v>
      </c>
      <c r="I748" s="435">
        <v>230</v>
      </c>
      <c r="J748" s="434">
        <v>11211</v>
      </c>
      <c r="K748" s="435">
        <v>0</v>
      </c>
      <c r="L748" s="435">
        <v>0</v>
      </c>
      <c r="M748" s="447"/>
    </row>
    <row r="749" spans="1:13" s="405" customFormat="1" ht="9" customHeight="1" x14ac:dyDescent="0.25">
      <c r="A749" s="448" t="s">
        <v>38</v>
      </c>
      <c r="B749" s="427">
        <f t="shared" si="39"/>
        <v>137928</v>
      </c>
      <c r="C749" s="427"/>
      <c r="D749" s="427">
        <v>103821</v>
      </c>
      <c r="E749" s="427">
        <v>808</v>
      </c>
      <c r="F749" s="427">
        <v>9997</v>
      </c>
      <c r="G749" s="427">
        <v>23182</v>
      </c>
      <c r="H749" s="427">
        <v>0</v>
      </c>
      <c r="I749" s="432">
        <v>120</v>
      </c>
      <c r="J749" s="427">
        <v>0</v>
      </c>
      <c r="K749" s="432">
        <v>0</v>
      </c>
      <c r="L749" s="432">
        <v>0</v>
      </c>
      <c r="M749" s="447"/>
    </row>
    <row r="750" spans="1:13" s="405" customFormat="1" ht="9" customHeight="1" x14ac:dyDescent="0.25">
      <c r="A750" s="448" t="s">
        <v>39</v>
      </c>
      <c r="B750" s="427">
        <f t="shared" si="39"/>
        <v>134463</v>
      </c>
      <c r="C750" s="427"/>
      <c r="D750" s="427">
        <v>95165</v>
      </c>
      <c r="E750" s="427">
        <v>15624</v>
      </c>
      <c r="F750" s="427">
        <v>17826</v>
      </c>
      <c r="G750" s="427">
        <v>5814</v>
      </c>
      <c r="H750" s="427">
        <v>0</v>
      </c>
      <c r="I750" s="407">
        <v>0</v>
      </c>
      <c r="J750" s="432">
        <v>34</v>
      </c>
      <c r="K750" s="432">
        <v>0</v>
      </c>
      <c r="L750" s="432">
        <v>0</v>
      </c>
      <c r="M750" s="447"/>
    </row>
    <row r="751" spans="1:13" s="405" customFormat="1" ht="9" customHeight="1" x14ac:dyDescent="0.25">
      <c r="A751" s="448" t="s">
        <v>40</v>
      </c>
      <c r="B751" s="427">
        <f t="shared" si="39"/>
        <v>213618</v>
      </c>
      <c r="C751" s="427"/>
      <c r="D751" s="427">
        <v>124717</v>
      </c>
      <c r="E751" s="427">
        <v>255</v>
      </c>
      <c r="F751" s="427">
        <v>69441</v>
      </c>
      <c r="G751" s="427">
        <v>15928</v>
      </c>
      <c r="H751" s="427">
        <v>1378</v>
      </c>
      <c r="I751" s="432">
        <v>178</v>
      </c>
      <c r="J751" s="407">
        <v>0</v>
      </c>
      <c r="K751" s="427">
        <v>0</v>
      </c>
      <c r="L751" s="432">
        <v>1721</v>
      </c>
      <c r="M751" s="447"/>
    </row>
    <row r="752" spans="1:13" s="405" customFormat="1" ht="9" customHeight="1" x14ac:dyDescent="0.25">
      <c r="A752" s="449" t="s">
        <v>41</v>
      </c>
      <c r="B752" s="434">
        <f t="shared" si="39"/>
        <v>387182</v>
      </c>
      <c r="C752" s="434"/>
      <c r="D752" s="434">
        <v>244212</v>
      </c>
      <c r="E752" s="434">
        <v>112663</v>
      </c>
      <c r="F752" s="434">
        <v>10633</v>
      </c>
      <c r="G752" s="434">
        <v>18154</v>
      </c>
      <c r="H752" s="434">
        <v>575</v>
      </c>
      <c r="I752" s="435">
        <v>814</v>
      </c>
      <c r="J752" s="434">
        <v>131</v>
      </c>
      <c r="K752" s="435">
        <v>0</v>
      </c>
      <c r="L752" s="435">
        <v>0</v>
      </c>
      <c r="M752" s="447"/>
    </row>
    <row r="753" spans="1:14" s="405" customFormat="1" ht="9" customHeight="1" x14ac:dyDescent="0.25">
      <c r="A753" s="448" t="s">
        <v>42</v>
      </c>
      <c r="B753" s="427">
        <f>SUM(D753:L753)</f>
        <v>599336</v>
      </c>
      <c r="C753" s="427"/>
      <c r="D753" s="427">
        <v>392236</v>
      </c>
      <c r="E753" s="427">
        <v>102210</v>
      </c>
      <c r="F753" s="427">
        <v>22686</v>
      </c>
      <c r="G753" s="427">
        <v>67986</v>
      </c>
      <c r="H753" s="427">
        <v>240</v>
      </c>
      <c r="I753" s="432">
        <v>58</v>
      </c>
      <c r="J753" s="407">
        <v>0</v>
      </c>
      <c r="K753" s="427">
        <v>13920</v>
      </c>
      <c r="L753" s="432">
        <v>0</v>
      </c>
      <c r="M753" s="447"/>
    </row>
    <row r="754" spans="1:14" s="405" customFormat="1" ht="9" customHeight="1" x14ac:dyDescent="0.25">
      <c r="A754" s="448" t="s">
        <v>43</v>
      </c>
      <c r="B754" s="427">
        <f t="shared" ref="B754:B764" si="40">SUM(D754:L754)</f>
        <v>140021</v>
      </c>
      <c r="C754" s="427"/>
      <c r="D754" s="427">
        <v>96863</v>
      </c>
      <c r="E754" s="427">
        <v>365</v>
      </c>
      <c r="F754" s="427">
        <v>33135</v>
      </c>
      <c r="G754" s="427">
        <v>9658</v>
      </c>
      <c r="H754" s="427">
        <v>0</v>
      </c>
      <c r="I754" s="432">
        <v>0</v>
      </c>
      <c r="J754" s="427">
        <v>0</v>
      </c>
      <c r="K754" s="432">
        <v>0</v>
      </c>
      <c r="L754" s="432">
        <v>0</v>
      </c>
      <c r="M754" s="447"/>
    </row>
    <row r="755" spans="1:14" s="405" customFormat="1" ht="9" customHeight="1" x14ac:dyDescent="0.25">
      <c r="A755" s="448" t="s">
        <v>44</v>
      </c>
      <c r="B755" s="427">
        <f t="shared" si="40"/>
        <v>123148</v>
      </c>
      <c r="C755" s="427"/>
      <c r="D755" s="427">
        <v>66245</v>
      </c>
      <c r="E755" s="407">
        <v>0</v>
      </c>
      <c r="F755" s="427">
        <v>25897</v>
      </c>
      <c r="G755" s="427">
        <v>30799</v>
      </c>
      <c r="H755" s="427">
        <v>0</v>
      </c>
      <c r="I755" s="427">
        <v>190</v>
      </c>
      <c r="J755" s="432">
        <v>17</v>
      </c>
      <c r="K755" s="432">
        <v>0</v>
      </c>
      <c r="L755" s="432">
        <v>0</v>
      </c>
      <c r="M755" s="447"/>
    </row>
    <row r="756" spans="1:14" s="405" customFormat="1" ht="9" customHeight="1" x14ac:dyDescent="0.25">
      <c r="A756" s="449" t="s">
        <v>45</v>
      </c>
      <c r="B756" s="434">
        <f t="shared" si="40"/>
        <v>292963</v>
      </c>
      <c r="C756" s="434"/>
      <c r="D756" s="434">
        <v>174920</v>
      </c>
      <c r="E756" s="434">
        <v>47043</v>
      </c>
      <c r="F756" s="434">
        <v>33255</v>
      </c>
      <c r="G756" s="434">
        <v>37144</v>
      </c>
      <c r="H756" s="434">
        <v>502</v>
      </c>
      <c r="I756" s="435">
        <v>99</v>
      </c>
      <c r="J756" s="434">
        <v>0</v>
      </c>
      <c r="K756" s="435">
        <v>0</v>
      </c>
      <c r="L756" s="435">
        <v>0</v>
      </c>
      <c r="M756" s="447"/>
    </row>
    <row r="757" spans="1:14" s="405" customFormat="1" ht="9" customHeight="1" x14ac:dyDescent="0.25">
      <c r="A757" s="448" t="s">
        <v>46</v>
      </c>
      <c r="B757" s="427">
        <f t="shared" si="40"/>
        <v>249163</v>
      </c>
      <c r="C757" s="427"/>
      <c r="D757" s="427">
        <v>129701</v>
      </c>
      <c r="E757" s="427">
        <v>36980</v>
      </c>
      <c r="F757" s="427">
        <v>47335</v>
      </c>
      <c r="G757" s="427">
        <v>33969</v>
      </c>
      <c r="H757" s="427">
        <v>53</v>
      </c>
      <c r="I757" s="432">
        <v>50</v>
      </c>
      <c r="J757" s="427">
        <v>1075</v>
      </c>
      <c r="K757" s="432">
        <v>0</v>
      </c>
      <c r="L757" s="432">
        <v>0</v>
      </c>
      <c r="M757" s="447"/>
    </row>
    <row r="758" spans="1:14" s="405" customFormat="1" ht="9" customHeight="1" x14ac:dyDescent="0.25">
      <c r="A758" s="448" t="s">
        <v>47</v>
      </c>
      <c r="B758" s="427">
        <f t="shared" si="40"/>
        <v>175807</v>
      </c>
      <c r="C758" s="427"/>
      <c r="D758" s="427">
        <v>127294</v>
      </c>
      <c r="E758" s="427">
        <v>483</v>
      </c>
      <c r="F758" s="427">
        <v>28675</v>
      </c>
      <c r="G758" s="427">
        <v>18327</v>
      </c>
      <c r="H758" s="427">
        <v>0</v>
      </c>
      <c r="I758" s="432">
        <v>200</v>
      </c>
      <c r="J758" s="427">
        <v>828</v>
      </c>
      <c r="K758" s="432">
        <v>0</v>
      </c>
      <c r="L758" s="432">
        <v>0</v>
      </c>
      <c r="M758" s="447"/>
    </row>
    <row r="759" spans="1:14" s="405" customFormat="1" ht="9" customHeight="1" x14ac:dyDescent="0.25">
      <c r="A759" s="448" t="s">
        <v>48</v>
      </c>
      <c r="B759" s="427">
        <f t="shared" si="40"/>
        <v>190954</v>
      </c>
      <c r="C759" s="427"/>
      <c r="D759" s="427">
        <v>159935</v>
      </c>
      <c r="E759" s="407">
        <v>0</v>
      </c>
      <c r="F759" s="427">
        <v>14049</v>
      </c>
      <c r="G759" s="427">
        <v>12795</v>
      </c>
      <c r="H759" s="427">
        <v>2280</v>
      </c>
      <c r="I759" s="427">
        <v>100</v>
      </c>
      <c r="J759" s="432">
        <v>274</v>
      </c>
      <c r="K759" s="427">
        <v>1521</v>
      </c>
      <c r="L759" s="432">
        <v>0</v>
      </c>
      <c r="M759" s="447"/>
    </row>
    <row r="760" spans="1:14" s="405" customFormat="1" ht="9" customHeight="1" x14ac:dyDescent="0.25">
      <c r="A760" s="449" t="s">
        <v>49</v>
      </c>
      <c r="B760" s="434">
        <f t="shared" si="40"/>
        <v>251432</v>
      </c>
      <c r="C760" s="434"/>
      <c r="D760" s="434">
        <v>157134</v>
      </c>
      <c r="E760" s="434">
        <v>14871</v>
      </c>
      <c r="F760" s="434">
        <v>51149</v>
      </c>
      <c r="G760" s="434">
        <v>23282</v>
      </c>
      <c r="H760" s="434">
        <v>4656</v>
      </c>
      <c r="I760" s="435">
        <v>41</v>
      </c>
      <c r="J760" s="434">
        <v>299</v>
      </c>
      <c r="K760" s="435">
        <v>0</v>
      </c>
      <c r="L760" s="435">
        <v>0</v>
      </c>
      <c r="M760" s="447"/>
    </row>
    <row r="761" spans="1:14" s="405" customFormat="1" ht="9" customHeight="1" x14ac:dyDescent="0.25">
      <c r="A761" s="448" t="s">
        <v>50</v>
      </c>
      <c r="B761" s="427">
        <f t="shared" si="40"/>
        <v>106099</v>
      </c>
      <c r="C761" s="427"/>
      <c r="D761" s="427">
        <v>91758</v>
      </c>
      <c r="E761" s="427">
        <v>319</v>
      </c>
      <c r="F761" s="427">
        <v>4869</v>
      </c>
      <c r="G761" s="427">
        <v>9153</v>
      </c>
      <c r="H761" s="427">
        <v>0</v>
      </c>
      <c r="I761" s="432">
        <v>0</v>
      </c>
      <c r="J761" s="427">
        <v>0</v>
      </c>
      <c r="K761" s="432">
        <v>0</v>
      </c>
      <c r="L761" s="432">
        <v>0</v>
      </c>
      <c r="M761" s="447"/>
    </row>
    <row r="762" spans="1:14" s="405" customFormat="1" ht="9" customHeight="1" x14ac:dyDescent="0.25">
      <c r="A762" s="448" t="s">
        <v>51</v>
      </c>
      <c r="B762" s="427">
        <f t="shared" si="40"/>
        <v>398473</v>
      </c>
      <c r="C762" s="427"/>
      <c r="D762" s="427">
        <v>132099</v>
      </c>
      <c r="E762" s="427">
        <v>164015</v>
      </c>
      <c r="F762" s="427">
        <v>53879</v>
      </c>
      <c r="G762" s="427">
        <v>39445</v>
      </c>
      <c r="H762" s="427">
        <v>7702</v>
      </c>
      <c r="I762" s="432">
        <v>611</v>
      </c>
      <c r="J762" s="427">
        <v>722</v>
      </c>
      <c r="K762" s="432">
        <v>0</v>
      </c>
      <c r="L762" s="432">
        <v>0</v>
      </c>
      <c r="M762" s="447"/>
    </row>
    <row r="763" spans="1:14" s="405" customFormat="1" ht="9" customHeight="1" x14ac:dyDescent="0.25">
      <c r="A763" s="448" t="s">
        <v>52</v>
      </c>
      <c r="B763" s="427">
        <f t="shared" si="40"/>
        <v>176831</v>
      </c>
      <c r="C763" s="427"/>
      <c r="D763" s="427">
        <v>116034</v>
      </c>
      <c r="E763" s="427">
        <v>36869</v>
      </c>
      <c r="F763" s="427">
        <v>17745</v>
      </c>
      <c r="G763" s="427">
        <v>6092</v>
      </c>
      <c r="H763" s="407">
        <v>0</v>
      </c>
      <c r="I763" s="427">
        <v>90</v>
      </c>
      <c r="J763" s="432">
        <v>1</v>
      </c>
      <c r="K763" s="432">
        <v>0</v>
      </c>
      <c r="L763" s="432">
        <v>0</v>
      </c>
      <c r="M763" s="447"/>
    </row>
    <row r="764" spans="1:14" s="405" customFormat="1" ht="9" customHeight="1" x14ac:dyDescent="0.25">
      <c r="A764" s="449" t="s">
        <v>53</v>
      </c>
      <c r="B764" s="434">
        <f t="shared" si="40"/>
        <v>188603</v>
      </c>
      <c r="C764" s="434"/>
      <c r="D764" s="434">
        <v>123642</v>
      </c>
      <c r="E764" s="434">
        <v>35859</v>
      </c>
      <c r="F764" s="434">
        <v>12263</v>
      </c>
      <c r="G764" s="434">
        <v>16732</v>
      </c>
      <c r="H764" s="434">
        <v>0</v>
      </c>
      <c r="I764" s="434">
        <v>107</v>
      </c>
      <c r="J764" s="434">
        <v>0</v>
      </c>
      <c r="K764" s="435">
        <v>0</v>
      </c>
      <c r="L764" s="435">
        <v>0</v>
      </c>
      <c r="M764" s="447"/>
    </row>
    <row r="765" spans="1:14" s="428" customFormat="1" ht="9" customHeight="1" x14ac:dyDescent="0.25">
      <c r="A765" s="436"/>
      <c r="B765" s="437"/>
      <c r="C765" s="437"/>
      <c r="D765" s="437"/>
      <c r="E765" s="437"/>
      <c r="F765" s="437"/>
      <c r="G765" s="437"/>
      <c r="H765" s="437"/>
      <c r="I765" s="438"/>
      <c r="J765" s="437"/>
      <c r="K765" s="437"/>
      <c r="L765" s="437"/>
      <c r="M765" s="437"/>
      <c r="N765" s="427"/>
    </row>
    <row r="766" spans="1:14" s="405" customFormat="1" ht="9" customHeight="1" x14ac:dyDescent="0.25">
      <c r="A766" s="445">
        <v>2016</v>
      </c>
      <c r="B766" s="446"/>
      <c r="C766" s="446"/>
      <c r="D766" s="446"/>
      <c r="E766" s="446"/>
      <c r="F766" s="446"/>
      <c r="G766" s="446"/>
      <c r="H766" s="446"/>
      <c r="I766" s="446"/>
      <c r="J766" s="446"/>
      <c r="K766" s="446"/>
      <c r="L766" s="446"/>
    </row>
    <row r="767" spans="1:14" s="405" customFormat="1" ht="9" customHeight="1" x14ac:dyDescent="0.25">
      <c r="A767" s="398" t="s">
        <v>21</v>
      </c>
      <c r="B767" s="430">
        <f>SUM(B769:B800)</f>
        <v>10563863</v>
      </c>
      <c r="C767" s="430"/>
      <c r="D767" s="430">
        <f t="shared" ref="D767:L767" si="41">SUM(D769:D800)</f>
        <v>6916873</v>
      </c>
      <c r="E767" s="430">
        <f t="shared" si="41"/>
        <v>1233531</v>
      </c>
      <c r="F767" s="430">
        <f t="shared" si="41"/>
        <v>1239642</v>
      </c>
      <c r="G767" s="430">
        <f t="shared" si="41"/>
        <v>883899</v>
      </c>
      <c r="H767" s="430">
        <f t="shared" si="41"/>
        <v>9870</v>
      </c>
      <c r="I767" s="430">
        <f t="shared" si="41"/>
        <v>190512</v>
      </c>
      <c r="J767" s="430">
        <f t="shared" si="41"/>
        <v>3631</v>
      </c>
      <c r="K767" s="430">
        <f t="shared" si="41"/>
        <v>84093</v>
      </c>
      <c r="L767" s="430">
        <f t="shared" si="41"/>
        <v>1812</v>
      </c>
      <c r="M767" s="447"/>
    </row>
    <row r="768" spans="1:14" s="405" customFormat="1" ht="3.95" customHeight="1" x14ac:dyDescent="0.25">
      <c r="A768" s="398"/>
      <c r="B768" s="430"/>
      <c r="C768" s="430"/>
      <c r="D768" s="430"/>
      <c r="E768" s="430"/>
      <c r="F768" s="430"/>
      <c r="G768" s="430"/>
      <c r="H768" s="430"/>
      <c r="I768" s="430"/>
      <c r="J768" s="430"/>
      <c r="K768" s="430"/>
      <c r="L768" s="430"/>
      <c r="M768" s="447"/>
    </row>
    <row r="769" spans="1:13" s="405" customFormat="1" ht="9" customHeight="1" x14ac:dyDescent="0.25">
      <c r="A769" s="448" t="s">
        <v>23</v>
      </c>
      <c r="B769" s="427">
        <f>SUM(D769:L769)</f>
        <v>173981</v>
      </c>
      <c r="C769" s="427"/>
      <c r="D769" s="427">
        <v>145715</v>
      </c>
      <c r="E769" s="407">
        <v>0</v>
      </c>
      <c r="F769" s="427">
        <v>19672</v>
      </c>
      <c r="G769" s="427">
        <v>8594</v>
      </c>
      <c r="H769" s="427">
        <v>0</v>
      </c>
      <c r="I769" s="432">
        <v>0</v>
      </c>
      <c r="J769" s="427">
        <v>0</v>
      </c>
      <c r="K769" s="432">
        <v>0</v>
      </c>
      <c r="L769" s="432">
        <v>0</v>
      </c>
      <c r="M769" s="447"/>
    </row>
    <row r="770" spans="1:13" s="405" customFormat="1" ht="9" customHeight="1" x14ac:dyDescent="0.25">
      <c r="A770" s="448" t="s">
        <v>24</v>
      </c>
      <c r="B770" s="427">
        <f>SUM(D770:L770)</f>
        <v>162608</v>
      </c>
      <c r="C770" s="427"/>
      <c r="D770" s="427">
        <v>53343</v>
      </c>
      <c r="E770" s="427">
        <v>13655</v>
      </c>
      <c r="F770" s="427">
        <v>70773</v>
      </c>
      <c r="G770" s="427">
        <v>13609</v>
      </c>
      <c r="H770" s="407">
        <v>0</v>
      </c>
      <c r="I770" s="427">
        <v>264</v>
      </c>
      <c r="J770" s="427">
        <v>25</v>
      </c>
      <c r="K770" s="432">
        <v>10939</v>
      </c>
      <c r="L770" s="432">
        <v>0</v>
      </c>
      <c r="M770" s="447"/>
    </row>
    <row r="771" spans="1:13" s="405" customFormat="1" ht="9" customHeight="1" x14ac:dyDescent="0.25">
      <c r="A771" s="448" t="s">
        <v>25</v>
      </c>
      <c r="B771" s="427">
        <f t="shared" ref="B771:B776" si="42">SUM(D771:L771)</f>
        <v>41898</v>
      </c>
      <c r="C771" s="427"/>
      <c r="D771" s="427">
        <v>29603</v>
      </c>
      <c r="E771" s="407">
        <v>1067</v>
      </c>
      <c r="F771" s="427">
        <v>6706</v>
      </c>
      <c r="G771" s="427">
        <v>4305</v>
      </c>
      <c r="H771" s="407">
        <v>0</v>
      </c>
      <c r="I771" s="427">
        <v>208</v>
      </c>
      <c r="J771" s="427">
        <v>9</v>
      </c>
      <c r="K771" s="432">
        <v>0</v>
      </c>
      <c r="L771" s="432">
        <v>0</v>
      </c>
      <c r="M771" s="447"/>
    </row>
    <row r="772" spans="1:13" s="405" customFormat="1" ht="9" customHeight="1" x14ac:dyDescent="0.25">
      <c r="A772" s="449" t="s">
        <v>26</v>
      </c>
      <c r="B772" s="443">
        <f t="shared" si="42"/>
        <v>90635</v>
      </c>
      <c r="C772" s="434"/>
      <c r="D772" s="443">
        <v>54040</v>
      </c>
      <c r="E772" s="443">
        <v>17223</v>
      </c>
      <c r="F772" s="443">
        <v>5853</v>
      </c>
      <c r="G772" s="443">
        <v>13288</v>
      </c>
      <c r="H772" s="443">
        <v>231</v>
      </c>
      <c r="I772" s="435">
        <v>0</v>
      </c>
      <c r="J772" s="435">
        <v>0</v>
      </c>
      <c r="K772" s="435">
        <v>0</v>
      </c>
      <c r="L772" s="435">
        <v>0</v>
      </c>
      <c r="M772" s="447"/>
    </row>
    <row r="773" spans="1:13" s="405" customFormat="1" ht="9" customHeight="1" x14ac:dyDescent="0.25">
      <c r="A773" s="448" t="s">
        <v>27</v>
      </c>
      <c r="B773" s="427">
        <f t="shared" si="42"/>
        <v>202224</v>
      </c>
      <c r="C773" s="427"/>
      <c r="D773" s="427">
        <v>102293</v>
      </c>
      <c r="E773" s="427">
        <v>15433</v>
      </c>
      <c r="F773" s="427">
        <v>69531</v>
      </c>
      <c r="G773" s="427">
        <v>14548</v>
      </c>
      <c r="H773" s="427">
        <v>149</v>
      </c>
      <c r="I773" s="432">
        <v>270</v>
      </c>
      <c r="J773" s="427">
        <v>0</v>
      </c>
      <c r="K773" s="432">
        <v>0</v>
      </c>
      <c r="L773" s="432">
        <v>0</v>
      </c>
      <c r="M773" s="447"/>
    </row>
    <row r="774" spans="1:13" s="405" customFormat="1" ht="9" customHeight="1" x14ac:dyDescent="0.25">
      <c r="A774" s="448" t="s">
        <v>28</v>
      </c>
      <c r="B774" s="427">
        <f t="shared" si="42"/>
        <v>40207</v>
      </c>
      <c r="C774" s="427"/>
      <c r="D774" s="427">
        <v>28618</v>
      </c>
      <c r="E774" s="407">
        <v>0</v>
      </c>
      <c r="F774" s="427">
        <v>8369</v>
      </c>
      <c r="G774" s="427">
        <v>3178</v>
      </c>
      <c r="H774" s="427">
        <v>42</v>
      </c>
      <c r="I774" s="407">
        <v>0</v>
      </c>
      <c r="J774" s="427">
        <v>0</v>
      </c>
      <c r="K774" s="432">
        <v>0</v>
      </c>
      <c r="L774" s="432">
        <v>0</v>
      </c>
      <c r="M774" s="447"/>
    </row>
    <row r="775" spans="1:13" s="405" customFormat="1" ht="9" customHeight="1" x14ac:dyDescent="0.25">
      <c r="A775" s="448" t="s">
        <v>29</v>
      </c>
      <c r="B775" s="427">
        <f t="shared" si="42"/>
        <v>541494</v>
      </c>
      <c r="C775" s="427"/>
      <c r="D775" s="427">
        <v>287068</v>
      </c>
      <c r="E775" s="427">
        <v>216044</v>
      </c>
      <c r="F775" s="427">
        <v>8585</v>
      </c>
      <c r="G775" s="427">
        <v>28105</v>
      </c>
      <c r="H775" s="427">
        <v>1445</v>
      </c>
      <c r="I775" s="432">
        <v>201</v>
      </c>
      <c r="J775" s="427">
        <v>46</v>
      </c>
      <c r="K775" s="432">
        <v>0</v>
      </c>
      <c r="L775" s="432">
        <v>0</v>
      </c>
      <c r="M775" s="447"/>
    </row>
    <row r="776" spans="1:13" s="405" customFormat="1" ht="9" customHeight="1" x14ac:dyDescent="0.25">
      <c r="A776" s="449" t="s">
        <v>30</v>
      </c>
      <c r="B776" s="434">
        <f t="shared" si="42"/>
        <v>379373</v>
      </c>
      <c r="C776" s="434"/>
      <c r="D776" s="434">
        <v>271030</v>
      </c>
      <c r="E776" s="434">
        <v>32738</v>
      </c>
      <c r="F776" s="434">
        <v>55433</v>
      </c>
      <c r="G776" s="434">
        <v>19790</v>
      </c>
      <c r="H776" s="434">
        <v>0</v>
      </c>
      <c r="I776" s="435">
        <v>382</v>
      </c>
      <c r="J776" s="434">
        <v>0</v>
      </c>
      <c r="K776" s="435">
        <v>0</v>
      </c>
      <c r="L776" s="435">
        <v>0</v>
      </c>
      <c r="M776" s="447"/>
    </row>
    <row r="777" spans="1:13" s="405" customFormat="1" ht="9" customHeight="1" x14ac:dyDescent="0.25">
      <c r="A777" s="448" t="s">
        <v>63</v>
      </c>
      <c r="B777" s="427">
        <f>SUM(D777:K777)</f>
        <v>428598</v>
      </c>
      <c r="C777" s="427"/>
      <c r="D777" s="427">
        <v>79639</v>
      </c>
      <c r="E777" s="427">
        <v>5915</v>
      </c>
      <c r="F777" s="427">
        <v>101839</v>
      </c>
      <c r="G777" s="427">
        <v>228380</v>
      </c>
      <c r="H777" s="427">
        <v>0</v>
      </c>
      <c r="I777" s="432">
        <v>10637</v>
      </c>
      <c r="J777" s="427">
        <v>352</v>
      </c>
      <c r="K777" s="432">
        <v>1836</v>
      </c>
      <c r="L777" s="407">
        <v>0</v>
      </c>
      <c r="M777" s="447"/>
    </row>
    <row r="778" spans="1:13" s="405" customFormat="1" ht="9" customHeight="1" x14ac:dyDescent="0.25">
      <c r="A778" s="448" t="s">
        <v>31</v>
      </c>
      <c r="B778" s="427">
        <f t="shared" ref="B778:B788" si="43">SUM(D778:L778)</f>
        <v>232237</v>
      </c>
      <c r="C778" s="427"/>
      <c r="D778" s="427">
        <v>127859</v>
      </c>
      <c r="E778" s="427">
        <v>53738</v>
      </c>
      <c r="F778" s="427">
        <v>37662</v>
      </c>
      <c r="G778" s="427">
        <v>12071</v>
      </c>
      <c r="H778" s="427">
        <v>0</v>
      </c>
      <c r="I778" s="432">
        <v>907</v>
      </c>
      <c r="J778" s="427">
        <v>0</v>
      </c>
      <c r="K778" s="432">
        <v>0</v>
      </c>
      <c r="L778" s="432">
        <v>0</v>
      </c>
      <c r="M778" s="447"/>
    </row>
    <row r="779" spans="1:13" s="405" customFormat="1" ht="9" customHeight="1" x14ac:dyDescent="0.25">
      <c r="A779" s="448" t="s">
        <v>32</v>
      </c>
      <c r="B779" s="427">
        <f t="shared" si="43"/>
        <v>404723</v>
      </c>
      <c r="C779" s="427"/>
      <c r="D779" s="427">
        <v>296004</v>
      </c>
      <c r="E779" s="427">
        <v>19149</v>
      </c>
      <c r="F779" s="427">
        <v>59945</v>
      </c>
      <c r="G779" s="427">
        <v>27569</v>
      </c>
      <c r="H779" s="427">
        <v>807</v>
      </c>
      <c r="I779" s="432">
        <v>1249</v>
      </c>
      <c r="J779" s="427">
        <v>0</v>
      </c>
      <c r="K779" s="432">
        <v>0</v>
      </c>
      <c r="L779" s="432">
        <v>0</v>
      </c>
      <c r="M779" s="447"/>
    </row>
    <row r="780" spans="1:13" s="405" customFormat="1" ht="9" customHeight="1" x14ac:dyDescent="0.25">
      <c r="A780" s="449" t="s">
        <v>33</v>
      </c>
      <c r="B780" s="434">
        <f t="shared" si="43"/>
        <v>820906</v>
      </c>
      <c r="C780" s="434"/>
      <c r="D780" s="434">
        <v>732285</v>
      </c>
      <c r="E780" s="434">
        <v>8076</v>
      </c>
      <c r="F780" s="434">
        <v>33169</v>
      </c>
      <c r="G780" s="434">
        <v>45018</v>
      </c>
      <c r="H780" s="434">
        <v>0</v>
      </c>
      <c r="I780" s="435">
        <v>1839</v>
      </c>
      <c r="J780" s="434">
        <v>519</v>
      </c>
      <c r="K780" s="435">
        <v>0</v>
      </c>
      <c r="L780" s="435">
        <v>0</v>
      </c>
      <c r="M780" s="447"/>
    </row>
    <row r="781" spans="1:13" s="405" customFormat="1" ht="9" customHeight="1" x14ac:dyDescent="0.25">
      <c r="A781" s="448" t="s">
        <v>34</v>
      </c>
      <c r="B781" s="427">
        <f t="shared" si="43"/>
        <v>254499</v>
      </c>
      <c r="C781" s="427"/>
      <c r="D781" s="427">
        <v>157988</v>
      </c>
      <c r="E781" s="427">
        <v>47672</v>
      </c>
      <c r="F781" s="427">
        <v>15973</v>
      </c>
      <c r="G781" s="427">
        <v>31132</v>
      </c>
      <c r="H781" s="427">
        <v>414</v>
      </c>
      <c r="I781" s="432">
        <v>1320</v>
      </c>
      <c r="J781" s="427">
        <v>0</v>
      </c>
      <c r="K781" s="432">
        <v>0</v>
      </c>
      <c r="L781" s="432">
        <v>0</v>
      </c>
      <c r="M781" s="447"/>
    </row>
    <row r="782" spans="1:13" s="405" customFormat="1" ht="9" customHeight="1" x14ac:dyDescent="0.25">
      <c r="A782" s="448" t="s">
        <v>35</v>
      </c>
      <c r="B782" s="427">
        <f t="shared" si="43"/>
        <v>344273</v>
      </c>
      <c r="C782" s="427"/>
      <c r="D782" s="427">
        <v>222933</v>
      </c>
      <c r="E782" s="427">
        <v>1617</v>
      </c>
      <c r="F782" s="427">
        <v>75902</v>
      </c>
      <c r="G782" s="427">
        <v>43403</v>
      </c>
      <c r="H782" s="427">
        <v>102</v>
      </c>
      <c r="I782" s="432">
        <v>316</v>
      </c>
      <c r="J782" s="427">
        <v>0</v>
      </c>
      <c r="K782" s="432">
        <v>0</v>
      </c>
      <c r="L782" s="432">
        <v>0</v>
      </c>
      <c r="M782" s="447"/>
    </row>
    <row r="783" spans="1:13" s="405" customFormat="1" ht="9" customHeight="1" x14ac:dyDescent="0.25">
      <c r="A783" s="448" t="s">
        <v>36</v>
      </c>
      <c r="B783" s="427">
        <f t="shared" si="43"/>
        <v>2017694</v>
      </c>
      <c r="C783" s="427"/>
      <c r="D783" s="427">
        <v>1806899</v>
      </c>
      <c r="E783" s="427">
        <v>6707</v>
      </c>
      <c r="F783" s="427">
        <v>105250</v>
      </c>
      <c r="G783" s="427">
        <v>33197</v>
      </c>
      <c r="H783" s="427">
        <v>52</v>
      </c>
      <c r="I783" s="432">
        <v>3569</v>
      </c>
      <c r="J783" s="407">
        <v>0</v>
      </c>
      <c r="K783" s="427">
        <v>62020</v>
      </c>
      <c r="L783" s="432">
        <v>0</v>
      </c>
      <c r="M783" s="447"/>
    </row>
    <row r="784" spans="1:13" s="405" customFormat="1" ht="9" customHeight="1" x14ac:dyDescent="0.25">
      <c r="A784" s="449" t="s">
        <v>37</v>
      </c>
      <c r="B784" s="434">
        <f t="shared" si="43"/>
        <v>318089</v>
      </c>
      <c r="C784" s="434"/>
      <c r="D784" s="434">
        <v>183137</v>
      </c>
      <c r="E784" s="434">
        <v>78805</v>
      </c>
      <c r="F784" s="434">
        <v>34866</v>
      </c>
      <c r="G784" s="434">
        <v>20772</v>
      </c>
      <c r="H784" s="434">
        <v>0</v>
      </c>
      <c r="I784" s="435">
        <v>334</v>
      </c>
      <c r="J784" s="434">
        <v>175</v>
      </c>
      <c r="K784" s="435">
        <v>0</v>
      </c>
      <c r="L784" s="435">
        <v>0</v>
      </c>
      <c r="M784" s="447"/>
    </row>
    <row r="785" spans="1:13" s="405" customFormat="1" ht="9" customHeight="1" x14ac:dyDescent="0.25">
      <c r="A785" s="448" t="s">
        <v>38</v>
      </c>
      <c r="B785" s="427">
        <f t="shared" si="43"/>
        <v>134540</v>
      </c>
      <c r="C785" s="427"/>
      <c r="D785" s="427">
        <v>102302</v>
      </c>
      <c r="E785" s="427">
        <v>1113</v>
      </c>
      <c r="F785" s="427">
        <v>8796</v>
      </c>
      <c r="G785" s="427">
        <v>17919</v>
      </c>
      <c r="H785" s="427">
        <v>0</v>
      </c>
      <c r="I785" s="432">
        <v>4410</v>
      </c>
      <c r="J785" s="427">
        <v>0</v>
      </c>
      <c r="K785" s="432">
        <v>0</v>
      </c>
      <c r="L785" s="432">
        <v>0</v>
      </c>
      <c r="M785" s="447"/>
    </row>
    <row r="786" spans="1:13" s="405" customFormat="1" ht="9" customHeight="1" x14ac:dyDescent="0.25">
      <c r="A786" s="448" t="s">
        <v>39</v>
      </c>
      <c r="B786" s="427">
        <f t="shared" si="43"/>
        <v>205583</v>
      </c>
      <c r="C786" s="427"/>
      <c r="D786" s="427">
        <v>92866</v>
      </c>
      <c r="E786" s="427">
        <v>16738</v>
      </c>
      <c r="F786" s="427">
        <v>17524</v>
      </c>
      <c r="G786" s="427">
        <v>5492</v>
      </c>
      <c r="H786" s="427">
        <v>0</v>
      </c>
      <c r="I786" s="407">
        <v>72854</v>
      </c>
      <c r="J786" s="432">
        <v>7</v>
      </c>
      <c r="K786" s="432">
        <v>0</v>
      </c>
      <c r="L786" s="432">
        <v>102</v>
      </c>
      <c r="M786" s="447"/>
    </row>
    <row r="787" spans="1:13" s="405" customFormat="1" ht="9" customHeight="1" x14ac:dyDescent="0.25">
      <c r="A787" s="448" t="s">
        <v>40</v>
      </c>
      <c r="B787" s="427">
        <f t="shared" si="43"/>
        <v>197939</v>
      </c>
      <c r="C787" s="427"/>
      <c r="D787" s="427">
        <v>116547</v>
      </c>
      <c r="E787" s="427">
        <v>720</v>
      </c>
      <c r="F787" s="427">
        <v>64616</v>
      </c>
      <c r="G787" s="427">
        <v>13657</v>
      </c>
      <c r="H787" s="427">
        <v>515</v>
      </c>
      <c r="I787" s="432">
        <v>61</v>
      </c>
      <c r="J787" s="407">
        <v>0</v>
      </c>
      <c r="K787" s="427">
        <v>1230</v>
      </c>
      <c r="L787" s="432">
        <v>593</v>
      </c>
      <c r="M787" s="447"/>
    </row>
    <row r="788" spans="1:13" s="405" customFormat="1" ht="9" customHeight="1" x14ac:dyDescent="0.25">
      <c r="A788" s="449" t="s">
        <v>41</v>
      </c>
      <c r="B788" s="434">
        <f t="shared" si="43"/>
        <v>424681</v>
      </c>
      <c r="C788" s="434"/>
      <c r="D788" s="434">
        <v>238100</v>
      </c>
      <c r="E788" s="434">
        <v>158111</v>
      </c>
      <c r="F788" s="434">
        <v>10433</v>
      </c>
      <c r="G788" s="434">
        <v>17461</v>
      </c>
      <c r="H788" s="434">
        <v>350</v>
      </c>
      <c r="I788" s="435">
        <v>123</v>
      </c>
      <c r="J788" s="434">
        <v>103</v>
      </c>
      <c r="K788" s="435">
        <v>0</v>
      </c>
      <c r="L788" s="435">
        <v>0</v>
      </c>
      <c r="M788" s="447"/>
    </row>
    <row r="789" spans="1:13" s="405" customFormat="1" ht="9" customHeight="1" x14ac:dyDescent="0.25">
      <c r="A789" s="448" t="s">
        <v>42</v>
      </c>
      <c r="B789" s="427">
        <f>SUM(D789:L789)</f>
        <v>578202</v>
      </c>
      <c r="C789" s="427"/>
      <c r="D789" s="427">
        <v>379844</v>
      </c>
      <c r="E789" s="427">
        <v>116662</v>
      </c>
      <c r="F789" s="427">
        <v>23680</v>
      </c>
      <c r="G789" s="427">
        <v>49243</v>
      </c>
      <c r="H789" s="427">
        <v>309</v>
      </c>
      <c r="I789" s="432">
        <v>396</v>
      </c>
      <c r="J789" s="407">
        <v>0</v>
      </c>
      <c r="K789" s="427">
        <v>8068</v>
      </c>
      <c r="L789" s="432">
        <v>0</v>
      </c>
      <c r="M789" s="447"/>
    </row>
    <row r="790" spans="1:13" s="405" customFormat="1" ht="9" customHeight="1" x14ac:dyDescent="0.25">
      <c r="A790" s="448" t="s">
        <v>43</v>
      </c>
      <c r="B790" s="427">
        <f t="shared" ref="B790:B800" si="44">SUM(D790:L790)</f>
        <v>235059</v>
      </c>
      <c r="C790" s="427"/>
      <c r="D790" s="427">
        <v>100808</v>
      </c>
      <c r="E790" s="427">
        <v>6775</v>
      </c>
      <c r="F790" s="427">
        <v>34004</v>
      </c>
      <c r="G790" s="427">
        <v>8115</v>
      </c>
      <c r="H790" s="427">
        <v>0</v>
      </c>
      <c r="I790" s="432">
        <v>85357</v>
      </c>
      <c r="J790" s="427">
        <v>0</v>
      </c>
      <c r="K790" s="432">
        <v>0</v>
      </c>
      <c r="L790" s="432">
        <v>0</v>
      </c>
      <c r="M790" s="447"/>
    </row>
    <row r="791" spans="1:13" s="405" customFormat="1" ht="9" customHeight="1" x14ac:dyDescent="0.25">
      <c r="A791" s="448" t="s">
        <v>44</v>
      </c>
      <c r="B791" s="427">
        <f t="shared" si="44"/>
        <v>123114</v>
      </c>
      <c r="C791" s="427"/>
      <c r="D791" s="427">
        <v>64668</v>
      </c>
      <c r="E791" s="407">
        <v>0</v>
      </c>
      <c r="F791" s="427">
        <v>27833</v>
      </c>
      <c r="G791" s="427">
        <v>29075</v>
      </c>
      <c r="H791" s="427">
        <v>0</v>
      </c>
      <c r="I791" s="427">
        <v>1533</v>
      </c>
      <c r="J791" s="432">
        <v>5</v>
      </c>
      <c r="K791" s="432">
        <v>0</v>
      </c>
      <c r="L791" s="432">
        <v>0</v>
      </c>
      <c r="M791" s="447"/>
    </row>
    <row r="792" spans="1:13" s="405" customFormat="1" ht="9" customHeight="1" x14ac:dyDescent="0.25">
      <c r="A792" s="449" t="s">
        <v>45</v>
      </c>
      <c r="B792" s="434">
        <f t="shared" si="44"/>
        <v>290663</v>
      </c>
      <c r="C792" s="434"/>
      <c r="D792" s="434">
        <v>158505</v>
      </c>
      <c r="E792" s="434">
        <v>59067</v>
      </c>
      <c r="F792" s="434">
        <v>34681</v>
      </c>
      <c r="G792" s="434">
        <v>35940</v>
      </c>
      <c r="H792" s="434">
        <v>101</v>
      </c>
      <c r="I792" s="435">
        <v>1252</v>
      </c>
      <c r="J792" s="434">
        <v>0</v>
      </c>
      <c r="K792" s="435">
        <v>0</v>
      </c>
      <c r="L792" s="435">
        <v>1117</v>
      </c>
      <c r="M792" s="447"/>
    </row>
    <row r="793" spans="1:13" s="405" customFormat="1" ht="9" customHeight="1" x14ac:dyDescent="0.25">
      <c r="A793" s="448" t="s">
        <v>46</v>
      </c>
      <c r="B793" s="427">
        <f t="shared" si="44"/>
        <v>299578</v>
      </c>
      <c r="C793" s="427"/>
      <c r="D793" s="427">
        <v>119265</v>
      </c>
      <c r="E793" s="427">
        <v>64742</v>
      </c>
      <c r="F793" s="427">
        <v>83660</v>
      </c>
      <c r="G793" s="427">
        <v>30582</v>
      </c>
      <c r="H793" s="427">
        <v>49</v>
      </c>
      <c r="I793" s="432">
        <v>310</v>
      </c>
      <c r="J793" s="427">
        <v>970</v>
      </c>
      <c r="K793" s="432">
        <v>0</v>
      </c>
      <c r="L793" s="432">
        <v>0</v>
      </c>
      <c r="M793" s="447"/>
    </row>
    <row r="794" spans="1:13" s="405" customFormat="1" ht="9" customHeight="1" x14ac:dyDescent="0.25">
      <c r="A794" s="448" t="s">
        <v>47</v>
      </c>
      <c r="B794" s="427">
        <f t="shared" si="44"/>
        <v>192375</v>
      </c>
      <c r="C794" s="427"/>
      <c r="D794" s="427">
        <v>127626</v>
      </c>
      <c r="E794" s="427">
        <v>449</v>
      </c>
      <c r="F794" s="427">
        <v>46125</v>
      </c>
      <c r="G794" s="427">
        <v>16797</v>
      </c>
      <c r="H794" s="427">
        <v>0</v>
      </c>
      <c r="I794" s="432">
        <v>900</v>
      </c>
      <c r="J794" s="427">
        <v>478</v>
      </c>
      <c r="K794" s="432">
        <v>0</v>
      </c>
      <c r="L794" s="432">
        <v>0</v>
      </c>
      <c r="M794" s="447"/>
    </row>
    <row r="795" spans="1:13" s="405" customFormat="1" ht="9" customHeight="1" x14ac:dyDescent="0.25">
      <c r="A795" s="448" t="s">
        <v>48</v>
      </c>
      <c r="B795" s="427">
        <f t="shared" si="44"/>
        <v>197200</v>
      </c>
      <c r="C795" s="427"/>
      <c r="D795" s="427">
        <v>153343</v>
      </c>
      <c r="E795" s="407">
        <v>0</v>
      </c>
      <c r="F795" s="427">
        <v>25805</v>
      </c>
      <c r="G795" s="427">
        <v>15231</v>
      </c>
      <c r="H795" s="427">
        <v>1504</v>
      </c>
      <c r="I795" s="427">
        <v>1119</v>
      </c>
      <c r="J795" s="432">
        <v>198</v>
      </c>
      <c r="K795" s="427">
        <v>0</v>
      </c>
      <c r="L795" s="432">
        <v>0</v>
      </c>
      <c r="M795" s="447"/>
    </row>
    <row r="796" spans="1:13" s="405" customFormat="1" ht="9" customHeight="1" x14ac:dyDescent="0.25">
      <c r="A796" s="449" t="s">
        <v>49</v>
      </c>
      <c r="B796" s="434">
        <f t="shared" si="44"/>
        <v>264176</v>
      </c>
      <c r="C796" s="434"/>
      <c r="D796" s="434">
        <v>153350</v>
      </c>
      <c r="E796" s="434">
        <v>25570</v>
      </c>
      <c r="F796" s="434">
        <v>54382</v>
      </c>
      <c r="G796" s="434">
        <v>29326</v>
      </c>
      <c r="H796" s="434">
        <v>1426</v>
      </c>
      <c r="I796" s="435">
        <v>10</v>
      </c>
      <c r="J796" s="434">
        <v>112</v>
      </c>
      <c r="K796" s="435">
        <v>0</v>
      </c>
      <c r="L796" s="435">
        <v>0</v>
      </c>
      <c r="M796" s="447"/>
    </row>
    <row r="797" spans="1:13" s="405" customFormat="1" ht="9" customHeight="1" x14ac:dyDescent="0.25">
      <c r="A797" s="448" t="s">
        <v>50</v>
      </c>
      <c r="B797" s="427">
        <f t="shared" si="44"/>
        <v>100195</v>
      </c>
      <c r="C797" s="427"/>
      <c r="D797" s="427">
        <v>84392</v>
      </c>
      <c r="E797" s="427">
        <v>265</v>
      </c>
      <c r="F797" s="427">
        <v>7931</v>
      </c>
      <c r="G797" s="427">
        <v>7522</v>
      </c>
      <c r="H797" s="427">
        <v>0</v>
      </c>
      <c r="I797" s="432">
        <v>85</v>
      </c>
      <c r="J797" s="427">
        <v>0</v>
      </c>
      <c r="K797" s="432">
        <v>0</v>
      </c>
      <c r="L797" s="432">
        <v>0</v>
      </c>
      <c r="M797" s="447"/>
    </row>
    <row r="798" spans="1:13" s="405" customFormat="1" ht="9" customHeight="1" x14ac:dyDescent="0.25">
      <c r="A798" s="448" t="s">
        <v>51</v>
      </c>
      <c r="B798" s="427">
        <f t="shared" si="44"/>
        <v>499753</v>
      </c>
      <c r="C798" s="427"/>
      <c r="D798" s="427">
        <v>215682</v>
      </c>
      <c r="E798" s="427">
        <v>182259</v>
      </c>
      <c r="F798" s="427">
        <v>58460</v>
      </c>
      <c r="G798" s="427">
        <v>40121</v>
      </c>
      <c r="H798" s="427">
        <v>2374</v>
      </c>
      <c r="I798" s="432">
        <v>244</v>
      </c>
      <c r="J798" s="427">
        <v>613</v>
      </c>
      <c r="K798" s="432">
        <v>0</v>
      </c>
      <c r="L798" s="432">
        <v>0</v>
      </c>
      <c r="M798" s="447"/>
    </row>
    <row r="799" spans="1:13" s="405" customFormat="1" ht="9" customHeight="1" x14ac:dyDescent="0.25">
      <c r="A799" s="448" t="s">
        <v>52</v>
      </c>
      <c r="B799" s="427">
        <f t="shared" si="44"/>
        <v>178971</v>
      </c>
      <c r="C799" s="427"/>
      <c r="D799" s="427">
        <v>113285</v>
      </c>
      <c r="E799" s="427">
        <v>43376</v>
      </c>
      <c r="F799" s="427">
        <v>16804</v>
      </c>
      <c r="G799" s="427">
        <v>5373</v>
      </c>
      <c r="H799" s="407">
        <v>0</v>
      </c>
      <c r="I799" s="427">
        <v>114</v>
      </c>
      <c r="J799" s="432">
        <v>19</v>
      </c>
      <c r="K799" s="432">
        <v>0</v>
      </c>
      <c r="L799" s="432">
        <v>0</v>
      </c>
      <c r="M799" s="447"/>
    </row>
    <row r="800" spans="1:13" s="405" customFormat="1" ht="9" customHeight="1" x14ac:dyDescent="0.25">
      <c r="A800" s="449" t="s">
        <v>53</v>
      </c>
      <c r="B800" s="434">
        <f t="shared" si="44"/>
        <v>188395</v>
      </c>
      <c r="C800" s="434"/>
      <c r="D800" s="434">
        <v>117836</v>
      </c>
      <c r="E800" s="434">
        <v>39845</v>
      </c>
      <c r="F800" s="434">
        <v>15380</v>
      </c>
      <c r="G800" s="434">
        <v>15086</v>
      </c>
      <c r="H800" s="434">
        <v>0</v>
      </c>
      <c r="I800" s="434">
        <v>248</v>
      </c>
      <c r="J800" s="434">
        <v>0</v>
      </c>
      <c r="K800" s="435">
        <v>0</v>
      </c>
      <c r="L800" s="435">
        <v>0</v>
      </c>
      <c r="M800" s="447"/>
    </row>
    <row r="801" spans="1:13" ht="3" customHeight="1" x14ac:dyDescent="0.25">
      <c r="A801" s="419"/>
      <c r="B801" s="419"/>
      <c r="C801" s="419"/>
      <c r="D801" s="419"/>
      <c r="E801" s="419"/>
      <c r="F801" s="419"/>
      <c r="G801" s="419"/>
      <c r="H801" s="419"/>
      <c r="I801" s="419"/>
      <c r="J801" s="419"/>
      <c r="K801" s="419"/>
      <c r="L801" s="450"/>
    </row>
    <row r="802" spans="1:13" ht="3" customHeight="1" x14ac:dyDescent="0.25">
      <c r="A802" s="420"/>
      <c r="B802" s="420"/>
      <c r="C802" s="420"/>
      <c r="D802" s="420"/>
      <c r="E802" s="420"/>
      <c r="F802" s="420"/>
      <c r="G802" s="420"/>
      <c r="H802" s="420"/>
    </row>
    <row r="803" spans="1:13" s="223" customFormat="1" ht="9" customHeight="1" x14ac:dyDescent="0.25">
      <c r="A803" s="247" t="s">
        <v>514</v>
      </c>
    </row>
    <row r="804" spans="1:13" s="223" customFormat="1" ht="9" customHeight="1" x14ac:dyDescent="0.25">
      <c r="A804" s="247" t="s">
        <v>515</v>
      </c>
    </row>
    <row r="805" spans="1:13" s="223" customFormat="1" ht="9" customHeight="1" x14ac:dyDescent="0.25">
      <c r="A805" s="247" t="s">
        <v>516</v>
      </c>
    </row>
    <row r="806" spans="1:13" s="223" customFormat="1" ht="9" customHeight="1" x14ac:dyDescent="0.25">
      <c r="A806" s="247" t="s">
        <v>517</v>
      </c>
    </row>
    <row r="807" spans="1:13" s="423" customFormat="1" ht="9.6" customHeight="1" x14ac:dyDescent="0.15">
      <c r="A807" s="452" t="s">
        <v>322</v>
      </c>
    </row>
    <row r="808" spans="1:13" s="423" customFormat="1" ht="9.6" customHeight="1" x14ac:dyDescent="0.15">
      <c r="A808" s="453" t="s">
        <v>323</v>
      </c>
    </row>
    <row r="809" spans="1:13" s="423" customFormat="1" ht="9.6" customHeight="1" x14ac:dyDescent="0.15">
      <c r="A809" s="453" t="s">
        <v>324</v>
      </c>
    </row>
    <row r="810" spans="1:13" ht="9.6" customHeight="1" x14ac:dyDescent="0.25">
      <c r="A810" s="225" t="s">
        <v>307</v>
      </c>
    </row>
    <row r="811" spans="1:13" ht="9.6" customHeight="1" x14ac:dyDescent="0.25">
      <c r="A811" s="225" t="s">
        <v>308</v>
      </c>
    </row>
    <row r="812" spans="1:13" ht="12.75" hidden="1" customHeight="1" x14ac:dyDescent="0.25">
      <c r="M812" s="420" t="s">
        <v>74</v>
      </c>
    </row>
    <row r="813" spans="1:13" ht="12.75" hidden="1" customHeight="1" x14ac:dyDescent="0.25"/>
    <row r="814" spans="1:13" ht="12.75" hidden="1" customHeight="1" x14ac:dyDescent="0.2">
      <c r="B814" s="455"/>
      <c r="C814" s="455"/>
      <c r="D814" s="455"/>
      <c r="E814" s="455"/>
      <c r="F814" s="455"/>
      <c r="G814" s="455"/>
      <c r="H814" s="455"/>
      <c r="I814" s="456"/>
      <c r="J814" s="456"/>
      <c r="K814" s="456"/>
      <c r="L814" s="456"/>
    </row>
    <row r="815" spans="1:13" ht="12.75" hidden="1" customHeight="1" x14ac:dyDescent="0.25"/>
    <row r="816" spans="1:13" ht="12.75" hidden="1" customHeight="1" x14ac:dyDescent="0.25"/>
    <row r="817" ht="11.25" customHeight="1" x14ac:dyDescent="0.25"/>
  </sheetData>
  <sheetProtection sheet="1" objects="1" scenarios="1"/>
  <mergeCells count="3">
    <mergeCell ref="K1:L1"/>
    <mergeCell ref="A6:A7"/>
    <mergeCell ref="E6:E7"/>
  </mergeCells>
  <hyperlinks>
    <hyperlink ref="K1" location="Índice!A1" display="Índice!A1"/>
    <hyperlink ref="K1:L1" location="Índice!A1" tooltip="Ir a Índice" display="Índice!A1"/>
  </hyperlinks>
  <printOptions horizontalCentered="1" verticalCentered="1"/>
  <pageMargins left="0.39370078740157483" right="0.39370078740157483" top="0.39370078740157483" bottom="0.39370078740157483" header="0.39370078740157483" footer="0.39370078740157483"/>
  <pageSetup orientation="portrait" r:id="rId1"/>
  <headerFooter>
    <oddHeader>&amp;L&amp;"Arial,Normal"&amp;10&amp;K000080INEGI. Anuario estadístico y geográfico por entidad federativa 2019.</oddHeader>
  </headerFooter>
  <rowBreaks count="10" manualBreakCount="10">
    <brk id="81" max="16383" man="1"/>
    <brk id="153" max="16383" man="1"/>
    <brk id="225" max="16383" man="1"/>
    <brk id="297" max="16383" man="1"/>
    <brk id="369" max="16383" man="1"/>
    <brk id="441" max="16383" man="1"/>
    <brk id="513" max="16383" man="1"/>
    <brk id="585" max="11" man="1"/>
    <brk id="657" max="16383" man="1"/>
    <brk id="729" max="11" man="1"/>
  </row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822"/>
  <sheetViews>
    <sheetView showGridLines="0" showRowColHeaders="0" zoomScale="130" zoomScaleNormal="130" workbookViewId="0">
      <pane xSplit="1" ySplit="10" topLeftCell="B11" activePane="bottomRight" state="frozen"/>
      <selection activeCell="B5" sqref="B5"/>
      <selection pane="topRight" activeCell="B5" sqref="B5"/>
      <selection pane="bottomLeft" activeCell="B5" sqref="B5"/>
      <selection pane="bottomRight"/>
    </sheetView>
  </sheetViews>
  <sheetFormatPr baseColWidth="10" defaultColWidth="0" defaultRowHeight="11.25" customHeight="1" zeroHeight="1" x14ac:dyDescent="0.25"/>
  <cols>
    <col min="1" max="1" width="17.28515625" style="461" customWidth="1"/>
    <col min="2" max="2" width="6.5703125" style="461" customWidth="1"/>
    <col min="3" max="3" width="1.28515625" style="461" customWidth="1"/>
    <col min="4" max="4" width="6.140625" style="461" customWidth="1"/>
    <col min="5" max="5" width="6.7109375" style="461" customWidth="1"/>
    <col min="6" max="6" width="6" style="461" customWidth="1"/>
    <col min="7" max="7" width="5.42578125" style="461" customWidth="1"/>
    <col min="8" max="8" width="0.5703125" style="461" customWidth="1"/>
    <col min="9" max="9" width="6.85546875" style="461" customWidth="1"/>
    <col min="10" max="10" width="1.28515625" style="461" customWidth="1"/>
    <col min="11" max="11" width="6.5703125" style="461" customWidth="1"/>
    <col min="12" max="12" width="6.7109375" style="461" customWidth="1"/>
    <col min="13" max="13" width="6.85546875" style="461" customWidth="1"/>
    <col min="14" max="14" width="6.7109375" style="461" customWidth="1"/>
    <col min="15" max="15" width="1.140625" style="461" customWidth="1"/>
    <col min="16" max="16" width="5.140625" style="461" customWidth="1"/>
    <col min="17" max="17" width="1.42578125" style="461" customWidth="1"/>
    <col min="18" max="18" width="5.140625" style="461" customWidth="1"/>
    <col min="19" max="19" width="5.28515625" style="461" customWidth="1"/>
    <col min="20" max="20" width="0.85546875" style="461" customWidth="1"/>
    <col min="21" max="25" width="11.42578125" style="462" hidden="1" customWidth="1"/>
    <col min="26" max="16384" width="11.42578125" style="461" hidden="1"/>
  </cols>
  <sheetData>
    <row r="1" spans="1:25" s="416" customFormat="1" ht="12" customHeight="1" x14ac:dyDescent="0.2">
      <c r="A1" s="414" t="s">
        <v>325</v>
      </c>
      <c r="B1" s="415"/>
      <c r="C1" s="415"/>
      <c r="D1" s="415"/>
      <c r="E1" s="415"/>
      <c r="F1" s="415"/>
      <c r="G1" s="415"/>
      <c r="H1" s="415"/>
      <c r="I1" s="415"/>
      <c r="J1" s="415"/>
      <c r="R1" s="823" t="s">
        <v>326</v>
      </c>
      <c r="S1" s="823"/>
      <c r="U1" s="457"/>
      <c r="V1" s="457"/>
      <c r="W1" s="457"/>
      <c r="X1" s="457"/>
      <c r="Y1" s="457"/>
    </row>
    <row r="2" spans="1:25" s="416" customFormat="1" ht="12" customHeight="1" x14ac:dyDescent="0.2">
      <c r="A2" s="414" t="s">
        <v>327</v>
      </c>
      <c r="B2" s="415"/>
      <c r="C2" s="415"/>
      <c r="D2" s="415"/>
      <c r="E2" s="415"/>
      <c r="F2" s="415"/>
      <c r="G2" s="415"/>
      <c r="H2" s="415"/>
      <c r="I2" s="415"/>
      <c r="J2" s="415"/>
      <c r="K2" s="458"/>
      <c r="S2" s="417"/>
      <c r="U2" s="457"/>
      <c r="V2" s="457"/>
      <c r="W2" s="457"/>
      <c r="X2" s="457"/>
      <c r="Y2" s="457"/>
    </row>
    <row r="3" spans="1:25" s="416" customFormat="1" ht="12" customHeight="1" x14ac:dyDescent="0.25">
      <c r="A3" s="418" t="s">
        <v>272</v>
      </c>
      <c r="B3" s="459"/>
      <c r="C3" s="459"/>
      <c r="D3" s="415"/>
      <c r="E3" s="415"/>
      <c r="F3" s="415"/>
      <c r="G3" s="415"/>
      <c r="H3" s="415"/>
      <c r="I3" s="415"/>
      <c r="J3" s="415"/>
      <c r="U3" s="457"/>
      <c r="V3" s="457"/>
      <c r="W3" s="457"/>
      <c r="X3" s="457"/>
      <c r="Y3" s="457"/>
    </row>
    <row r="4" spans="1:25" ht="3" customHeight="1" x14ac:dyDescent="0.25">
      <c r="A4" s="460"/>
      <c r="B4" s="460"/>
      <c r="C4" s="460"/>
      <c r="D4" s="460"/>
      <c r="E4" s="460"/>
      <c r="F4" s="460"/>
      <c r="G4" s="460"/>
      <c r="H4" s="460"/>
      <c r="I4" s="460"/>
      <c r="J4" s="460"/>
      <c r="K4" s="460"/>
      <c r="L4" s="460"/>
      <c r="M4" s="460"/>
      <c r="N4" s="460"/>
      <c r="O4" s="460"/>
      <c r="P4" s="460"/>
      <c r="Q4" s="460"/>
      <c r="R4" s="460"/>
      <c r="S4" s="460"/>
    </row>
    <row r="5" spans="1:25" ht="3" customHeight="1" x14ac:dyDescent="0.25">
      <c r="A5" s="463"/>
      <c r="B5" s="463"/>
      <c r="C5" s="463"/>
      <c r="D5" s="463"/>
      <c r="E5" s="463"/>
      <c r="F5" s="463"/>
      <c r="G5" s="463"/>
      <c r="H5" s="463"/>
      <c r="I5" s="463"/>
      <c r="J5" s="463"/>
    </row>
    <row r="6" spans="1:25" s="423" customFormat="1" ht="8.65" customHeight="1" x14ac:dyDescent="0.25">
      <c r="A6" s="762"/>
      <c r="B6" s="762"/>
      <c r="C6" s="762"/>
      <c r="D6" s="762"/>
      <c r="E6" s="762"/>
      <c r="F6" s="762"/>
      <c r="G6" s="762"/>
      <c r="H6" s="762"/>
      <c r="I6" s="762"/>
      <c r="J6" s="762"/>
      <c r="P6" s="828" t="s">
        <v>328</v>
      </c>
      <c r="Q6" s="828"/>
      <c r="R6" s="829"/>
      <c r="S6" s="829"/>
      <c r="U6" s="464"/>
      <c r="V6" s="464"/>
      <c r="W6" s="464"/>
      <c r="X6" s="464"/>
      <c r="Y6" s="464"/>
    </row>
    <row r="7" spans="1:25" s="423" customFormat="1" ht="9.6" customHeight="1" x14ac:dyDescent="0.15">
      <c r="A7" s="831" t="s">
        <v>4</v>
      </c>
      <c r="B7" s="465" t="s">
        <v>329</v>
      </c>
      <c r="C7" s="465"/>
      <c r="D7" s="465"/>
      <c r="E7" s="465"/>
      <c r="F7" s="465"/>
      <c r="G7" s="465"/>
      <c r="H7" s="466"/>
      <c r="I7" s="465" t="s">
        <v>330</v>
      </c>
      <c r="J7" s="465"/>
      <c r="K7" s="465"/>
      <c r="L7" s="465"/>
      <c r="M7" s="465"/>
      <c r="N7" s="465"/>
      <c r="O7" s="466"/>
      <c r="P7" s="830"/>
      <c r="Q7" s="830"/>
      <c r="R7" s="830"/>
      <c r="S7" s="830"/>
      <c r="U7" s="464"/>
      <c r="V7" s="464"/>
      <c r="W7" s="464"/>
      <c r="X7" s="464"/>
      <c r="Y7" s="464"/>
    </row>
    <row r="8" spans="1:25" s="423" customFormat="1" ht="9" customHeight="1" x14ac:dyDescent="0.15">
      <c r="A8" s="799"/>
      <c r="B8" s="764" t="s">
        <v>13</v>
      </c>
      <c r="C8" s="764"/>
      <c r="D8" s="832" t="s">
        <v>331</v>
      </c>
      <c r="E8" s="764" t="s">
        <v>332</v>
      </c>
      <c r="F8" s="832" t="s">
        <v>333</v>
      </c>
      <c r="G8" s="764" t="s">
        <v>313</v>
      </c>
      <c r="H8" s="466"/>
      <c r="I8" s="764" t="s">
        <v>13</v>
      </c>
      <c r="J8" s="764"/>
      <c r="K8" s="832" t="s">
        <v>331</v>
      </c>
      <c r="L8" s="764" t="s">
        <v>332</v>
      </c>
      <c r="M8" s="832" t="s">
        <v>333</v>
      </c>
      <c r="N8" s="764" t="s">
        <v>313</v>
      </c>
      <c r="O8" s="466"/>
      <c r="P8" s="764" t="s">
        <v>13</v>
      </c>
      <c r="Q8" s="764"/>
      <c r="R8" s="832" t="s">
        <v>334</v>
      </c>
      <c r="S8" s="832" t="s">
        <v>335</v>
      </c>
      <c r="U8" s="464"/>
      <c r="V8" s="464"/>
      <c r="W8" s="464"/>
      <c r="X8" s="464"/>
      <c r="Y8" s="464"/>
    </row>
    <row r="9" spans="1:25" s="423" customFormat="1" ht="8.25" customHeight="1" x14ac:dyDescent="0.15">
      <c r="A9" s="762"/>
      <c r="B9" s="764"/>
      <c r="C9" s="764"/>
      <c r="D9" s="833"/>
      <c r="E9" s="764"/>
      <c r="F9" s="833"/>
      <c r="G9" s="764"/>
      <c r="H9" s="466"/>
      <c r="I9" s="764"/>
      <c r="J9" s="764"/>
      <c r="K9" s="833"/>
      <c r="L9" s="764"/>
      <c r="M9" s="833"/>
      <c r="N9" s="764"/>
      <c r="O9" s="466"/>
      <c r="P9" s="764"/>
      <c r="Q9" s="764"/>
      <c r="R9" s="834"/>
      <c r="S9" s="834"/>
      <c r="U9" s="464"/>
      <c r="V9" s="464"/>
      <c r="W9" s="464"/>
      <c r="X9" s="464"/>
      <c r="Y9" s="464"/>
    </row>
    <row r="10" spans="1:25" ht="3" customHeight="1" x14ac:dyDescent="0.2">
      <c r="A10" s="460"/>
      <c r="B10" s="467"/>
      <c r="C10" s="467"/>
      <c r="D10" s="467"/>
      <c r="E10" s="467"/>
      <c r="F10" s="467"/>
      <c r="G10" s="467"/>
      <c r="H10" s="467"/>
      <c r="I10" s="467"/>
      <c r="J10" s="467"/>
      <c r="K10" s="467"/>
      <c r="L10" s="467"/>
      <c r="M10" s="467"/>
      <c r="N10" s="467"/>
      <c r="O10" s="468"/>
      <c r="P10" s="468"/>
      <c r="Q10" s="468"/>
      <c r="R10" s="468"/>
      <c r="S10" s="468"/>
    </row>
    <row r="11" spans="1:25" ht="3" customHeight="1" x14ac:dyDescent="0.2">
      <c r="A11" s="463"/>
      <c r="B11" s="469"/>
      <c r="C11" s="469"/>
      <c r="D11" s="469"/>
      <c r="E11" s="469"/>
      <c r="F11" s="469"/>
      <c r="G11" s="469"/>
      <c r="H11" s="469"/>
      <c r="I11" s="469"/>
      <c r="J11" s="469"/>
      <c r="K11" s="469"/>
      <c r="L11" s="469"/>
      <c r="M11" s="469"/>
      <c r="N11" s="469"/>
      <c r="O11" s="469"/>
      <c r="P11" s="469"/>
      <c r="Q11" s="469"/>
      <c r="R11" s="469"/>
      <c r="S11" s="469"/>
    </row>
    <row r="12" spans="1:25" s="428" customFormat="1" ht="9" customHeight="1" x14ac:dyDescent="0.25">
      <c r="A12" s="470">
        <v>1995</v>
      </c>
      <c r="B12" s="471"/>
      <c r="C12" s="471"/>
      <c r="D12" s="471"/>
      <c r="E12" s="471"/>
      <c r="F12" s="471"/>
      <c r="G12" s="471"/>
      <c r="H12" s="471"/>
      <c r="I12" s="471"/>
      <c r="J12" s="471"/>
      <c r="K12" s="471"/>
      <c r="L12" s="471"/>
      <c r="M12" s="471"/>
      <c r="N12" s="471"/>
      <c r="O12" s="471"/>
      <c r="P12" s="471"/>
      <c r="Q12" s="471"/>
      <c r="R12" s="471"/>
      <c r="S12" s="471"/>
      <c r="U12" s="472"/>
      <c r="V12" s="472"/>
      <c r="W12" s="472"/>
      <c r="X12" s="472"/>
      <c r="Y12" s="472"/>
    </row>
    <row r="13" spans="1:25" s="473" customFormat="1" ht="9" customHeight="1" x14ac:dyDescent="0.25">
      <c r="A13" s="429" t="s">
        <v>21</v>
      </c>
      <c r="B13" s="430">
        <f>SUM(B15:B46)</f>
        <v>2513632</v>
      </c>
      <c r="C13" s="430"/>
      <c r="D13" s="430">
        <f>SUM(D15:D46)</f>
        <v>892223</v>
      </c>
      <c r="E13" s="430">
        <f>SUM(E15:E46)</f>
        <v>1092581</v>
      </c>
      <c r="F13" s="430">
        <f>SUM(F15:F46)</f>
        <v>342361</v>
      </c>
      <c r="G13" s="430">
        <f>SUM(G15:G46)</f>
        <v>186467</v>
      </c>
      <c r="H13" s="430"/>
      <c r="I13" s="430">
        <f>SUM(I15:I46)</f>
        <v>8051751</v>
      </c>
      <c r="J13" s="430"/>
      <c r="K13" s="430">
        <f>SUM(K15:K46)</f>
        <v>1446453</v>
      </c>
      <c r="L13" s="430">
        <f>SUM(L15:L46)</f>
        <v>2756935</v>
      </c>
      <c r="M13" s="430">
        <f>SUM(M15:M46)</f>
        <v>3528549</v>
      </c>
      <c r="N13" s="430">
        <f>SUM(N15:N46)</f>
        <v>319814</v>
      </c>
      <c r="O13" s="430"/>
      <c r="P13" s="430">
        <f>SUM(P15:P46)</f>
        <v>586122</v>
      </c>
      <c r="Q13" s="430"/>
      <c r="R13" s="430">
        <f>SUM(R15:R46)</f>
        <v>37606</v>
      </c>
      <c r="S13" s="430">
        <f>SUM(S15:S46)</f>
        <v>548516</v>
      </c>
      <c r="U13" s="474"/>
      <c r="V13" s="474"/>
      <c r="W13" s="474"/>
      <c r="X13" s="474"/>
      <c r="Y13" s="474"/>
    </row>
    <row r="14" spans="1:25" s="473" customFormat="1" ht="3.95" customHeight="1" x14ac:dyDescent="0.25">
      <c r="A14" s="429"/>
      <c r="B14" s="430"/>
      <c r="C14" s="430"/>
      <c r="D14" s="430"/>
      <c r="E14" s="430"/>
      <c r="F14" s="430"/>
      <c r="G14" s="430"/>
      <c r="H14" s="430"/>
      <c r="I14" s="430"/>
      <c r="J14" s="430"/>
      <c r="K14" s="430"/>
      <c r="L14" s="430"/>
      <c r="M14" s="430"/>
      <c r="N14" s="430"/>
      <c r="O14" s="430"/>
      <c r="P14" s="430"/>
      <c r="Q14" s="430"/>
      <c r="R14" s="430"/>
      <c r="S14" s="430"/>
      <c r="U14" s="474"/>
      <c r="V14" s="474"/>
      <c r="W14" s="474"/>
      <c r="X14" s="474"/>
      <c r="Y14" s="474"/>
    </row>
    <row r="15" spans="1:25" s="428" customFormat="1" ht="9" customHeight="1" x14ac:dyDescent="0.25">
      <c r="A15" s="428" t="s">
        <v>23</v>
      </c>
      <c r="B15" s="427">
        <f t="shared" ref="B15:B46" si="0">SUM(D15:G15)</f>
        <v>26864</v>
      </c>
      <c r="C15" s="427"/>
      <c r="D15" s="427">
        <v>7448</v>
      </c>
      <c r="E15" s="427">
        <v>13167</v>
      </c>
      <c r="F15" s="427">
        <v>3165</v>
      </c>
      <c r="G15" s="427">
        <v>3084</v>
      </c>
      <c r="H15" s="427"/>
      <c r="I15" s="427">
        <f t="shared" ref="I15:I46" si="1">SUM(K15:N15)</f>
        <v>68312</v>
      </c>
      <c r="J15" s="427"/>
      <c r="K15" s="427">
        <v>10128</v>
      </c>
      <c r="L15" s="427">
        <v>30023</v>
      </c>
      <c r="M15" s="427">
        <v>23120</v>
      </c>
      <c r="N15" s="427">
        <v>5041</v>
      </c>
      <c r="O15" s="427"/>
      <c r="P15" s="427">
        <f t="shared" ref="P15:P46" si="2">SUM(R15:S15)</f>
        <v>3179</v>
      </c>
      <c r="Q15" s="427"/>
      <c r="R15" s="427">
        <v>595</v>
      </c>
      <c r="S15" s="427">
        <v>2584</v>
      </c>
      <c r="U15" s="472"/>
      <c r="V15" s="472"/>
      <c r="W15" s="472"/>
      <c r="X15" s="472"/>
      <c r="Y15" s="472"/>
    </row>
    <row r="16" spans="1:25" s="428" customFormat="1" ht="9" customHeight="1" x14ac:dyDescent="0.25">
      <c r="A16" s="428" t="s">
        <v>24</v>
      </c>
      <c r="B16" s="427">
        <f t="shared" si="0"/>
        <v>84246</v>
      </c>
      <c r="C16" s="427"/>
      <c r="D16" s="427">
        <v>46779</v>
      </c>
      <c r="E16" s="427">
        <v>25131</v>
      </c>
      <c r="F16" s="427">
        <v>9238</v>
      </c>
      <c r="G16" s="427">
        <v>3098</v>
      </c>
      <c r="H16" s="427"/>
      <c r="I16" s="427">
        <f t="shared" si="1"/>
        <v>203310</v>
      </c>
      <c r="J16" s="427"/>
      <c r="K16" s="427">
        <v>41880</v>
      </c>
      <c r="L16" s="427">
        <v>70538</v>
      </c>
      <c r="M16" s="427">
        <v>87623</v>
      </c>
      <c r="N16" s="427">
        <v>3269</v>
      </c>
      <c r="O16" s="427"/>
      <c r="P16" s="427">
        <f t="shared" si="2"/>
        <v>9236</v>
      </c>
      <c r="Q16" s="427"/>
      <c r="R16" s="427">
        <v>1010</v>
      </c>
      <c r="S16" s="427">
        <v>8226</v>
      </c>
      <c r="U16" s="472"/>
      <c r="V16" s="472"/>
      <c r="W16" s="472"/>
      <c r="X16" s="472"/>
      <c r="Y16" s="472"/>
    </row>
    <row r="17" spans="1:25" s="428" customFormat="1" ht="9" customHeight="1" x14ac:dyDescent="0.25">
      <c r="A17" s="428" t="s">
        <v>25</v>
      </c>
      <c r="B17" s="427">
        <f t="shared" si="0"/>
        <v>12041</v>
      </c>
      <c r="C17" s="427"/>
      <c r="D17" s="427">
        <v>4035</v>
      </c>
      <c r="E17" s="427">
        <v>4306</v>
      </c>
      <c r="F17" s="427">
        <v>2093</v>
      </c>
      <c r="G17" s="427">
        <v>1607</v>
      </c>
      <c r="H17" s="427"/>
      <c r="I17" s="427">
        <f t="shared" si="1"/>
        <v>41593</v>
      </c>
      <c r="J17" s="427"/>
      <c r="K17" s="427">
        <v>6283</v>
      </c>
      <c r="L17" s="427">
        <v>11121</v>
      </c>
      <c r="M17" s="427">
        <v>22388</v>
      </c>
      <c r="N17" s="427">
        <v>1801</v>
      </c>
      <c r="O17" s="427"/>
      <c r="P17" s="427">
        <f t="shared" si="2"/>
        <v>2532</v>
      </c>
      <c r="Q17" s="427"/>
      <c r="R17" s="427">
        <v>168</v>
      </c>
      <c r="S17" s="427">
        <v>2364</v>
      </c>
      <c r="U17" s="472"/>
      <c r="V17" s="472"/>
      <c r="W17" s="472"/>
      <c r="X17" s="472"/>
      <c r="Y17" s="472"/>
    </row>
    <row r="18" spans="1:25" s="428" customFormat="1" ht="9" customHeight="1" x14ac:dyDescent="0.25">
      <c r="A18" s="475" t="s">
        <v>26</v>
      </c>
      <c r="B18" s="434">
        <f t="shared" si="0"/>
        <v>20147</v>
      </c>
      <c r="C18" s="434"/>
      <c r="D18" s="434">
        <v>10893</v>
      </c>
      <c r="E18" s="434">
        <v>4939</v>
      </c>
      <c r="F18" s="434">
        <v>3223</v>
      </c>
      <c r="G18" s="434">
        <v>1092</v>
      </c>
      <c r="H18" s="434"/>
      <c r="I18" s="434">
        <f t="shared" si="1"/>
        <v>61163</v>
      </c>
      <c r="J18" s="434"/>
      <c r="K18" s="434">
        <v>21315</v>
      </c>
      <c r="L18" s="434">
        <v>9592</v>
      </c>
      <c r="M18" s="434">
        <v>28334</v>
      </c>
      <c r="N18" s="434">
        <v>1922</v>
      </c>
      <c r="O18" s="434"/>
      <c r="P18" s="434">
        <f t="shared" si="2"/>
        <v>8234</v>
      </c>
      <c r="Q18" s="434"/>
      <c r="R18" s="434">
        <v>258</v>
      </c>
      <c r="S18" s="434">
        <v>7976</v>
      </c>
      <c r="U18" s="472"/>
      <c r="V18" s="472"/>
      <c r="W18" s="472"/>
      <c r="X18" s="472"/>
      <c r="Y18" s="472"/>
    </row>
    <row r="19" spans="1:25" s="428" customFormat="1" ht="9" customHeight="1" x14ac:dyDescent="0.25">
      <c r="A19" s="428" t="s">
        <v>27</v>
      </c>
      <c r="B19" s="427">
        <f t="shared" si="0"/>
        <v>65532</v>
      </c>
      <c r="C19" s="427"/>
      <c r="D19" s="427">
        <v>25340</v>
      </c>
      <c r="E19" s="427">
        <v>26323</v>
      </c>
      <c r="F19" s="427">
        <v>10884</v>
      </c>
      <c r="G19" s="427">
        <v>2985</v>
      </c>
      <c r="H19" s="427"/>
      <c r="I19" s="427">
        <f t="shared" si="1"/>
        <v>237503</v>
      </c>
      <c r="J19" s="427"/>
      <c r="K19" s="427">
        <v>44326</v>
      </c>
      <c r="L19" s="427">
        <v>72085</v>
      </c>
      <c r="M19" s="427">
        <v>116656</v>
      </c>
      <c r="N19" s="427">
        <v>4436</v>
      </c>
      <c r="O19" s="427"/>
      <c r="P19" s="427">
        <f t="shared" si="2"/>
        <v>15844</v>
      </c>
      <c r="Q19" s="427"/>
      <c r="R19" s="427">
        <v>1131</v>
      </c>
      <c r="S19" s="427">
        <v>14713</v>
      </c>
      <c r="U19" s="472"/>
      <c r="V19" s="472"/>
      <c r="W19" s="472"/>
      <c r="X19" s="472"/>
      <c r="Y19" s="472"/>
    </row>
    <row r="20" spans="1:25" s="428" customFormat="1" ht="9" customHeight="1" x14ac:dyDescent="0.25">
      <c r="A20" s="428" t="s">
        <v>28</v>
      </c>
      <c r="B20" s="427">
        <f t="shared" si="0"/>
        <v>18060</v>
      </c>
      <c r="C20" s="427"/>
      <c r="D20" s="427">
        <v>6008</v>
      </c>
      <c r="E20" s="427">
        <v>7496</v>
      </c>
      <c r="F20" s="427">
        <v>2998</v>
      </c>
      <c r="G20" s="427">
        <v>1558</v>
      </c>
      <c r="H20" s="427"/>
      <c r="I20" s="427">
        <f t="shared" si="1"/>
        <v>63264</v>
      </c>
      <c r="J20" s="427"/>
      <c r="K20" s="427">
        <v>9465</v>
      </c>
      <c r="L20" s="427">
        <v>17553</v>
      </c>
      <c r="M20" s="427">
        <v>34171</v>
      </c>
      <c r="N20" s="427">
        <v>2075</v>
      </c>
      <c r="O20" s="427"/>
      <c r="P20" s="427">
        <f t="shared" si="2"/>
        <v>2962</v>
      </c>
      <c r="Q20" s="427"/>
      <c r="R20" s="427">
        <v>175</v>
      </c>
      <c r="S20" s="427">
        <v>2787</v>
      </c>
      <c r="U20" s="472"/>
      <c r="V20" s="472"/>
      <c r="W20" s="472"/>
      <c r="X20" s="472"/>
      <c r="Y20" s="472"/>
    </row>
    <row r="21" spans="1:25" s="428" customFormat="1" ht="9" customHeight="1" x14ac:dyDescent="0.25">
      <c r="A21" s="428" t="s">
        <v>29</v>
      </c>
      <c r="B21" s="427">
        <f t="shared" si="0"/>
        <v>99706</v>
      </c>
      <c r="C21" s="427"/>
      <c r="D21" s="427">
        <v>46862</v>
      </c>
      <c r="E21" s="427">
        <v>32225</v>
      </c>
      <c r="F21" s="427">
        <v>14290</v>
      </c>
      <c r="G21" s="427">
        <v>6329</v>
      </c>
      <c r="H21" s="427"/>
      <c r="I21" s="427">
        <f t="shared" si="1"/>
        <v>272840</v>
      </c>
      <c r="J21" s="427"/>
      <c r="K21" s="427">
        <v>70138</v>
      </c>
      <c r="L21" s="427">
        <v>66910</v>
      </c>
      <c r="M21" s="427">
        <v>118667</v>
      </c>
      <c r="N21" s="427">
        <v>17125</v>
      </c>
      <c r="O21" s="427"/>
      <c r="P21" s="427">
        <f t="shared" si="2"/>
        <v>50414</v>
      </c>
      <c r="Q21" s="427"/>
      <c r="R21" s="427">
        <v>598</v>
      </c>
      <c r="S21" s="427">
        <v>49816</v>
      </c>
      <c r="U21" s="472"/>
      <c r="V21" s="472"/>
      <c r="W21" s="472"/>
      <c r="X21" s="472"/>
      <c r="Y21" s="472"/>
    </row>
    <row r="22" spans="1:25" s="428" customFormat="1" ht="9" customHeight="1" x14ac:dyDescent="0.25">
      <c r="A22" s="475" t="s">
        <v>30</v>
      </c>
      <c r="B22" s="434">
        <f t="shared" si="0"/>
        <v>91806</v>
      </c>
      <c r="C22" s="434"/>
      <c r="D22" s="434">
        <v>25319</v>
      </c>
      <c r="E22" s="434">
        <v>47866</v>
      </c>
      <c r="F22" s="434">
        <v>12142</v>
      </c>
      <c r="G22" s="434">
        <v>6479</v>
      </c>
      <c r="H22" s="434"/>
      <c r="I22" s="434">
        <f t="shared" si="1"/>
        <v>278233</v>
      </c>
      <c r="J22" s="434"/>
      <c r="K22" s="434">
        <v>35601</v>
      </c>
      <c r="L22" s="434">
        <v>122356</v>
      </c>
      <c r="M22" s="434">
        <v>115776</v>
      </c>
      <c r="N22" s="434">
        <v>4500</v>
      </c>
      <c r="O22" s="434"/>
      <c r="P22" s="434">
        <f t="shared" si="2"/>
        <v>18382</v>
      </c>
      <c r="Q22" s="434"/>
      <c r="R22" s="434">
        <v>2089</v>
      </c>
      <c r="S22" s="434">
        <v>16293</v>
      </c>
      <c r="U22" s="472"/>
      <c r="V22" s="472"/>
      <c r="W22" s="472"/>
      <c r="X22" s="472"/>
      <c r="Y22" s="472"/>
    </row>
    <row r="23" spans="1:25" s="428" customFormat="1" ht="9" customHeight="1" x14ac:dyDescent="0.25">
      <c r="A23" s="428" t="s">
        <v>63</v>
      </c>
      <c r="B23" s="427">
        <f t="shared" si="0"/>
        <v>271372</v>
      </c>
      <c r="C23" s="427"/>
      <c r="D23" s="427">
        <v>52878</v>
      </c>
      <c r="E23" s="427">
        <v>150797</v>
      </c>
      <c r="F23" s="427">
        <v>46815</v>
      </c>
      <c r="G23" s="427">
        <v>20882</v>
      </c>
      <c r="H23" s="427"/>
      <c r="I23" s="427">
        <f t="shared" si="1"/>
        <v>1010204</v>
      </c>
      <c r="J23" s="427"/>
      <c r="K23" s="427">
        <v>70607</v>
      </c>
      <c r="L23" s="427">
        <v>403762</v>
      </c>
      <c r="M23" s="427">
        <v>519947</v>
      </c>
      <c r="N23" s="427">
        <v>15888</v>
      </c>
      <c r="O23" s="427"/>
      <c r="P23" s="427">
        <f t="shared" si="2"/>
        <v>52378</v>
      </c>
      <c r="Q23" s="427"/>
      <c r="R23" s="427">
        <v>8708</v>
      </c>
      <c r="S23" s="427">
        <v>43670</v>
      </c>
      <c r="U23" s="472"/>
      <c r="V23" s="472"/>
      <c r="W23" s="472"/>
      <c r="X23" s="472"/>
      <c r="Y23" s="472"/>
    </row>
    <row r="24" spans="1:25" s="428" customFormat="1" ht="9" customHeight="1" x14ac:dyDescent="0.25">
      <c r="A24" s="428" t="s">
        <v>31</v>
      </c>
      <c r="B24" s="427">
        <f t="shared" si="0"/>
        <v>49007</v>
      </c>
      <c r="C24" s="427"/>
      <c r="D24" s="427">
        <v>23397</v>
      </c>
      <c r="E24" s="427">
        <v>16041</v>
      </c>
      <c r="F24" s="427">
        <v>5524</v>
      </c>
      <c r="G24" s="427">
        <v>4045</v>
      </c>
      <c r="H24" s="427"/>
      <c r="I24" s="427">
        <f t="shared" si="1"/>
        <v>144271</v>
      </c>
      <c r="J24" s="427"/>
      <c r="K24" s="427">
        <v>37014</v>
      </c>
      <c r="L24" s="427">
        <v>46134</v>
      </c>
      <c r="M24" s="427">
        <v>54195</v>
      </c>
      <c r="N24" s="427">
        <v>6928</v>
      </c>
      <c r="O24" s="427"/>
      <c r="P24" s="427">
        <f t="shared" si="2"/>
        <v>10351</v>
      </c>
      <c r="Q24" s="427"/>
      <c r="R24" s="427">
        <v>582</v>
      </c>
      <c r="S24" s="427">
        <v>9769</v>
      </c>
      <c r="U24" s="472"/>
      <c r="V24" s="472"/>
      <c r="W24" s="472"/>
      <c r="X24" s="472"/>
      <c r="Y24" s="472"/>
    </row>
    <row r="25" spans="1:25" s="428" customFormat="1" ht="9" customHeight="1" x14ac:dyDescent="0.25">
      <c r="A25" s="428" t="s">
        <v>32</v>
      </c>
      <c r="B25" s="427">
        <f t="shared" si="0"/>
        <v>100312</v>
      </c>
      <c r="C25" s="427"/>
      <c r="D25" s="427">
        <v>39111</v>
      </c>
      <c r="E25" s="427">
        <v>38353</v>
      </c>
      <c r="F25" s="427">
        <v>12115</v>
      </c>
      <c r="G25" s="427">
        <v>10733</v>
      </c>
      <c r="H25" s="427"/>
      <c r="I25" s="427">
        <f t="shared" si="1"/>
        <v>281527</v>
      </c>
      <c r="J25" s="427"/>
      <c r="K25" s="427">
        <v>55889</v>
      </c>
      <c r="L25" s="427">
        <v>99674</v>
      </c>
      <c r="M25" s="427">
        <v>111001</v>
      </c>
      <c r="N25" s="427">
        <v>14963</v>
      </c>
      <c r="O25" s="427"/>
      <c r="P25" s="427">
        <f t="shared" si="2"/>
        <v>13176</v>
      </c>
      <c r="Q25" s="427"/>
      <c r="R25" s="427">
        <v>1177</v>
      </c>
      <c r="S25" s="427">
        <v>11999</v>
      </c>
      <c r="U25" s="472"/>
      <c r="V25" s="472"/>
      <c r="W25" s="472"/>
      <c r="X25" s="472"/>
      <c r="Y25" s="472"/>
    </row>
    <row r="26" spans="1:25" s="428" customFormat="1" ht="9" customHeight="1" x14ac:dyDescent="0.25">
      <c r="A26" s="475" t="s">
        <v>33</v>
      </c>
      <c r="B26" s="434">
        <f t="shared" si="0"/>
        <v>58165</v>
      </c>
      <c r="C26" s="434"/>
      <c r="D26" s="434">
        <v>27084</v>
      </c>
      <c r="E26" s="434">
        <v>17737</v>
      </c>
      <c r="F26" s="434">
        <v>7923</v>
      </c>
      <c r="G26" s="434">
        <v>5421</v>
      </c>
      <c r="H26" s="434"/>
      <c r="I26" s="434">
        <f t="shared" si="1"/>
        <v>228384</v>
      </c>
      <c r="J26" s="434"/>
      <c r="K26" s="434">
        <v>64113</v>
      </c>
      <c r="L26" s="434">
        <v>55988</v>
      </c>
      <c r="M26" s="434">
        <v>95153</v>
      </c>
      <c r="N26" s="434">
        <v>13130</v>
      </c>
      <c r="O26" s="434"/>
      <c r="P26" s="434">
        <f t="shared" si="2"/>
        <v>12735</v>
      </c>
      <c r="Q26" s="434"/>
      <c r="R26" s="434">
        <v>555</v>
      </c>
      <c r="S26" s="434">
        <v>12180</v>
      </c>
      <c r="U26" s="472"/>
      <c r="V26" s="472"/>
      <c r="W26" s="472"/>
      <c r="X26" s="472"/>
      <c r="Y26" s="472"/>
    </row>
    <row r="27" spans="1:25" s="428" customFormat="1" ht="9" customHeight="1" x14ac:dyDescent="0.25">
      <c r="A27" s="428" t="s">
        <v>34</v>
      </c>
      <c r="B27" s="427">
        <f t="shared" si="0"/>
        <v>59186</v>
      </c>
      <c r="C27" s="427"/>
      <c r="D27" s="427">
        <v>18326</v>
      </c>
      <c r="E27" s="427">
        <v>27907</v>
      </c>
      <c r="F27" s="427">
        <v>7976</v>
      </c>
      <c r="G27" s="427">
        <v>4977</v>
      </c>
      <c r="H27" s="427"/>
      <c r="I27" s="427">
        <f t="shared" si="1"/>
        <v>182934</v>
      </c>
      <c r="J27" s="427"/>
      <c r="K27" s="427">
        <v>26375</v>
      </c>
      <c r="L27" s="427">
        <v>64385</v>
      </c>
      <c r="M27" s="427">
        <v>86083</v>
      </c>
      <c r="N27" s="427">
        <v>6091</v>
      </c>
      <c r="O27" s="427"/>
      <c r="P27" s="427">
        <f t="shared" si="2"/>
        <v>27334</v>
      </c>
      <c r="Q27" s="427"/>
      <c r="R27" s="427">
        <v>595</v>
      </c>
      <c r="S27" s="427">
        <v>26739</v>
      </c>
      <c r="U27" s="472"/>
      <c r="V27" s="472"/>
      <c r="W27" s="472"/>
      <c r="X27" s="472"/>
      <c r="Y27" s="472"/>
    </row>
    <row r="28" spans="1:25" s="428" customFormat="1" ht="9" customHeight="1" x14ac:dyDescent="0.25">
      <c r="A28" s="428" t="s">
        <v>35</v>
      </c>
      <c r="B28" s="427">
        <f t="shared" si="0"/>
        <v>132450</v>
      </c>
      <c r="C28" s="427"/>
      <c r="D28" s="427">
        <v>43113</v>
      </c>
      <c r="E28" s="427">
        <v>54586</v>
      </c>
      <c r="F28" s="427">
        <v>20767</v>
      </c>
      <c r="G28" s="427">
        <v>13984</v>
      </c>
      <c r="H28" s="427"/>
      <c r="I28" s="427">
        <f t="shared" si="1"/>
        <v>447103</v>
      </c>
      <c r="J28" s="427"/>
      <c r="K28" s="427">
        <v>72572</v>
      </c>
      <c r="L28" s="427">
        <v>135268</v>
      </c>
      <c r="M28" s="427">
        <v>210206</v>
      </c>
      <c r="N28" s="427">
        <v>29057</v>
      </c>
      <c r="O28" s="427"/>
      <c r="P28" s="427">
        <f t="shared" si="2"/>
        <v>19724</v>
      </c>
      <c r="Q28" s="427"/>
      <c r="R28" s="427">
        <v>1545</v>
      </c>
      <c r="S28" s="427">
        <v>18179</v>
      </c>
      <c r="U28" s="472"/>
      <c r="V28" s="472"/>
      <c r="W28" s="472"/>
      <c r="X28" s="472"/>
      <c r="Y28" s="472"/>
    </row>
    <row r="29" spans="1:25" s="428" customFormat="1" ht="9" customHeight="1" x14ac:dyDescent="0.25">
      <c r="A29" s="428" t="s">
        <v>36</v>
      </c>
      <c r="B29" s="427">
        <f t="shared" si="0"/>
        <v>291963</v>
      </c>
      <c r="C29" s="427"/>
      <c r="D29" s="427">
        <v>77436</v>
      </c>
      <c r="E29" s="427">
        <v>151266</v>
      </c>
      <c r="F29" s="427">
        <v>33836</v>
      </c>
      <c r="G29" s="427">
        <v>29425</v>
      </c>
      <c r="H29" s="427"/>
      <c r="I29" s="427">
        <f t="shared" si="1"/>
        <v>1045809</v>
      </c>
      <c r="J29" s="427"/>
      <c r="K29" s="427">
        <v>190025</v>
      </c>
      <c r="L29" s="427">
        <v>410251</v>
      </c>
      <c r="M29" s="427">
        <v>369576</v>
      </c>
      <c r="N29" s="427">
        <v>75957</v>
      </c>
      <c r="O29" s="427"/>
      <c r="P29" s="427">
        <f t="shared" si="2"/>
        <v>34744</v>
      </c>
      <c r="Q29" s="427"/>
      <c r="R29" s="427">
        <v>5171</v>
      </c>
      <c r="S29" s="427">
        <v>29573</v>
      </c>
      <c r="U29" s="472"/>
      <c r="V29" s="472"/>
      <c r="W29" s="472"/>
      <c r="X29" s="472"/>
      <c r="Y29" s="472"/>
    </row>
    <row r="30" spans="1:25" s="428" customFormat="1" ht="9" customHeight="1" x14ac:dyDescent="0.25">
      <c r="A30" s="475" t="s">
        <v>37</v>
      </c>
      <c r="B30" s="434">
        <f t="shared" si="0"/>
        <v>106372</v>
      </c>
      <c r="C30" s="434"/>
      <c r="D30" s="434">
        <v>42058</v>
      </c>
      <c r="E30" s="434">
        <v>45053</v>
      </c>
      <c r="F30" s="434">
        <v>11470</v>
      </c>
      <c r="G30" s="434">
        <v>7791</v>
      </c>
      <c r="H30" s="434"/>
      <c r="I30" s="434">
        <f t="shared" si="1"/>
        <v>304454</v>
      </c>
      <c r="J30" s="434"/>
      <c r="K30" s="434">
        <v>70530</v>
      </c>
      <c r="L30" s="434">
        <v>113340</v>
      </c>
      <c r="M30" s="434">
        <v>106933</v>
      </c>
      <c r="N30" s="434">
        <v>13651</v>
      </c>
      <c r="O30" s="434"/>
      <c r="P30" s="434">
        <f t="shared" si="2"/>
        <v>27495</v>
      </c>
      <c r="Q30" s="434"/>
      <c r="R30" s="434">
        <v>922</v>
      </c>
      <c r="S30" s="434">
        <v>26573</v>
      </c>
      <c r="U30" s="472"/>
      <c r="V30" s="472"/>
      <c r="W30" s="472"/>
      <c r="X30" s="472"/>
      <c r="Y30" s="472"/>
    </row>
    <row r="31" spans="1:25" s="428" customFormat="1" ht="9" customHeight="1" x14ac:dyDescent="0.25">
      <c r="A31" s="428" t="s">
        <v>38</v>
      </c>
      <c r="B31" s="427">
        <f t="shared" si="0"/>
        <v>34147</v>
      </c>
      <c r="C31" s="427"/>
      <c r="D31" s="427">
        <v>12292</v>
      </c>
      <c r="E31" s="427">
        <v>13734</v>
      </c>
      <c r="F31" s="427">
        <v>4989</v>
      </c>
      <c r="G31" s="427">
        <v>3132</v>
      </c>
      <c r="H31" s="427"/>
      <c r="I31" s="427">
        <f t="shared" si="1"/>
        <v>115680</v>
      </c>
      <c r="J31" s="427"/>
      <c r="K31" s="427">
        <v>19495</v>
      </c>
      <c r="L31" s="427">
        <v>34487</v>
      </c>
      <c r="M31" s="427">
        <v>56709</v>
      </c>
      <c r="N31" s="427">
        <v>4989</v>
      </c>
      <c r="O31" s="427"/>
      <c r="P31" s="427">
        <f t="shared" si="2"/>
        <v>5990</v>
      </c>
      <c r="Q31" s="427"/>
      <c r="R31" s="427">
        <v>276</v>
      </c>
      <c r="S31" s="427">
        <v>5714</v>
      </c>
      <c r="U31" s="472"/>
      <c r="V31" s="472"/>
      <c r="W31" s="472"/>
      <c r="X31" s="472"/>
      <c r="Y31" s="472"/>
    </row>
    <row r="32" spans="1:25" s="428" customFormat="1" ht="9" customHeight="1" x14ac:dyDescent="0.25">
      <c r="A32" s="428" t="s">
        <v>39</v>
      </c>
      <c r="B32" s="427">
        <f t="shared" si="0"/>
        <v>35998</v>
      </c>
      <c r="C32" s="427"/>
      <c r="D32" s="427">
        <v>14919</v>
      </c>
      <c r="E32" s="427">
        <v>14112</v>
      </c>
      <c r="F32" s="427">
        <v>4151</v>
      </c>
      <c r="G32" s="427">
        <v>2816</v>
      </c>
      <c r="H32" s="427"/>
      <c r="I32" s="427">
        <f t="shared" si="1"/>
        <v>108000</v>
      </c>
      <c r="J32" s="427"/>
      <c r="K32" s="427">
        <v>26733</v>
      </c>
      <c r="L32" s="427">
        <v>35334</v>
      </c>
      <c r="M32" s="427">
        <v>41528</v>
      </c>
      <c r="N32" s="427">
        <v>4405</v>
      </c>
      <c r="O32" s="427"/>
      <c r="P32" s="427">
        <f t="shared" si="2"/>
        <v>7766</v>
      </c>
      <c r="Q32" s="427"/>
      <c r="R32" s="427">
        <v>361</v>
      </c>
      <c r="S32" s="427">
        <v>7405</v>
      </c>
      <c r="U32" s="472"/>
      <c r="V32" s="472"/>
      <c r="W32" s="472"/>
      <c r="X32" s="472"/>
      <c r="Y32" s="472"/>
    </row>
    <row r="33" spans="1:25" s="428" customFormat="1" ht="9" customHeight="1" x14ac:dyDescent="0.25">
      <c r="A33" s="428" t="s">
        <v>40</v>
      </c>
      <c r="B33" s="427">
        <f t="shared" si="0"/>
        <v>95804</v>
      </c>
      <c r="C33" s="427"/>
      <c r="D33" s="427">
        <v>20645</v>
      </c>
      <c r="E33" s="427">
        <v>55276</v>
      </c>
      <c r="F33" s="427">
        <v>13472</v>
      </c>
      <c r="G33" s="427">
        <v>6411</v>
      </c>
      <c r="H33" s="427"/>
      <c r="I33" s="427">
        <f t="shared" si="1"/>
        <v>347220</v>
      </c>
      <c r="J33" s="427"/>
      <c r="K33" s="427">
        <v>31499</v>
      </c>
      <c r="L33" s="427">
        <v>133680</v>
      </c>
      <c r="M33" s="427">
        <v>171844</v>
      </c>
      <c r="N33" s="427">
        <v>10197</v>
      </c>
      <c r="O33" s="427"/>
      <c r="P33" s="427">
        <f t="shared" si="2"/>
        <v>13492</v>
      </c>
      <c r="Q33" s="427"/>
      <c r="R33" s="427">
        <v>1215</v>
      </c>
      <c r="S33" s="427">
        <v>12277</v>
      </c>
      <c r="U33" s="472"/>
      <c r="V33" s="472"/>
      <c r="W33" s="472"/>
      <c r="X33" s="472"/>
      <c r="Y33" s="472"/>
    </row>
    <row r="34" spans="1:25" s="428" customFormat="1" ht="9" customHeight="1" x14ac:dyDescent="0.25">
      <c r="A34" s="475" t="s">
        <v>41</v>
      </c>
      <c r="B34" s="434">
        <f t="shared" si="0"/>
        <v>65412</v>
      </c>
      <c r="C34" s="434"/>
      <c r="D34" s="434">
        <v>24385</v>
      </c>
      <c r="E34" s="434">
        <v>28189</v>
      </c>
      <c r="F34" s="434">
        <v>9807</v>
      </c>
      <c r="G34" s="434">
        <v>3031</v>
      </c>
      <c r="H34" s="434"/>
      <c r="I34" s="434">
        <f t="shared" si="1"/>
        <v>201842</v>
      </c>
      <c r="J34" s="434"/>
      <c r="K34" s="434">
        <v>36320</v>
      </c>
      <c r="L34" s="434">
        <v>68845</v>
      </c>
      <c r="M34" s="434">
        <v>92855</v>
      </c>
      <c r="N34" s="434">
        <v>3822</v>
      </c>
      <c r="O34" s="434"/>
      <c r="P34" s="434">
        <f t="shared" si="2"/>
        <v>38708</v>
      </c>
      <c r="Q34" s="434"/>
      <c r="R34" s="434">
        <v>573</v>
      </c>
      <c r="S34" s="434">
        <v>38135</v>
      </c>
      <c r="U34" s="472"/>
      <c r="V34" s="472"/>
      <c r="W34" s="472"/>
      <c r="X34" s="472"/>
      <c r="Y34" s="472"/>
    </row>
    <row r="35" spans="1:25" s="428" customFormat="1" ht="9" customHeight="1" x14ac:dyDescent="0.25">
      <c r="A35" s="428" t="s">
        <v>42</v>
      </c>
      <c r="B35" s="427">
        <f t="shared" si="0"/>
        <v>124358</v>
      </c>
      <c r="C35" s="427"/>
      <c r="D35" s="427">
        <v>48287</v>
      </c>
      <c r="E35" s="427">
        <v>51998</v>
      </c>
      <c r="F35" s="427">
        <v>16106</v>
      </c>
      <c r="G35" s="427">
        <v>7967</v>
      </c>
      <c r="H35" s="427"/>
      <c r="I35" s="427">
        <f t="shared" si="1"/>
        <v>336631</v>
      </c>
      <c r="J35" s="427"/>
      <c r="K35" s="427">
        <v>78651</v>
      </c>
      <c r="L35" s="427">
        <v>113466</v>
      </c>
      <c r="M35" s="427">
        <v>131414</v>
      </c>
      <c r="N35" s="427">
        <v>13100</v>
      </c>
      <c r="O35" s="427"/>
      <c r="P35" s="427">
        <f t="shared" si="2"/>
        <v>32384</v>
      </c>
      <c r="Q35" s="427"/>
      <c r="R35" s="427">
        <v>1942</v>
      </c>
      <c r="S35" s="427">
        <v>30442</v>
      </c>
      <c r="U35" s="472"/>
      <c r="V35" s="472"/>
      <c r="W35" s="472"/>
      <c r="X35" s="472"/>
      <c r="Y35" s="472"/>
    </row>
    <row r="36" spans="1:25" s="428" customFormat="1" ht="9" customHeight="1" x14ac:dyDescent="0.25">
      <c r="A36" s="431" t="s">
        <v>43</v>
      </c>
      <c r="B36" s="427">
        <f t="shared" si="0"/>
        <v>29696</v>
      </c>
      <c r="C36" s="427"/>
      <c r="D36" s="427">
        <v>9292</v>
      </c>
      <c r="E36" s="427">
        <v>12614</v>
      </c>
      <c r="F36" s="427">
        <v>4986</v>
      </c>
      <c r="G36" s="427">
        <v>2804</v>
      </c>
      <c r="H36" s="427"/>
      <c r="I36" s="427">
        <f t="shared" si="1"/>
        <v>102105</v>
      </c>
      <c r="J36" s="427"/>
      <c r="K36" s="427">
        <v>16715</v>
      </c>
      <c r="L36" s="427">
        <v>35772</v>
      </c>
      <c r="M36" s="427">
        <v>44074</v>
      </c>
      <c r="N36" s="427">
        <v>5544</v>
      </c>
      <c r="O36" s="427"/>
      <c r="P36" s="427">
        <f t="shared" si="2"/>
        <v>5934</v>
      </c>
      <c r="Q36" s="427"/>
      <c r="R36" s="427">
        <v>613</v>
      </c>
      <c r="S36" s="427">
        <v>5321</v>
      </c>
      <c r="U36" s="472"/>
      <c r="V36" s="472"/>
      <c r="W36" s="472"/>
      <c r="X36" s="472"/>
      <c r="Y36" s="472"/>
    </row>
    <row r="37" spans="1:25" s="428" customFormat="1" ht="9" customHeight="1" x14ac:dyDescent="0.25">
      <c r="A37" s="428" t="s">
        <v>44</v>
      </c>
      <c r="B37" s="427">
        <f t="shared" si="0"/>
        <v>20572</v>
      </c>
      <c r="C37" s="427"/>
      <c r="D37" s="427">
        <v>8451</v>
      </c>
      <c r="E37" s="427">
        <v>7472</v>
      </c>
      <c r="F37" s="427">
        <v>3573</v>
      </c>
      <c r="G37" s="427">
        <v>1076</v>
      </c>
      <c r="H37" s="427"/>
      <c r="I37" s="427">
        <f t="shared" si="1"/>
        <v>48476</v>
      </c>
      <c r="J37" s="427"/>
      <c r="K37" s="427">
        <v>9688</v>
      </c>
      <c r="L37" s="427">
        <v>11852</v>
      </c>
      <c r="M37" s="427">
        <v>26108</v>
      </c>
      <c r="N37" s="427">
        <v>828</v>
      </c>
      <c r="O37" s="427"/>
      <c r="P37" s="427">
        <f t="shared" si="2"/>
        <v>4029</v>
      </c>
      <c r="Q37" s="427"/>
      <c r="R37" s="427">
        <v>503</v>
      </c>
      <c r="S37" s="427">
        <v>3526</v>
      </c>
      <c r="U37" s="472"/>
      <c r="V37" s="472"/>
      <c r="W37" s="472"/>
      <c r="X37" s="472"/>
      <c r="Y37" s="472"/>
    </row>
    <row r="38" spans="1:25" s="428" customFormat="1" ht="9" customHeight="1" x14ac:dyDescent="0.25">
      <c r="A38" s="475" t="s">
        <v>45</v>
      </c>
      <c r="B38" s="434">
        <f t="shared" si="0"/>
        <v>64070</v>
      </c>
      <c r="C38" s="434"/>
      <c r="D38" s="434">
        <v>27899</v>
      </c>
      <c r="E38" s="434">
        <v>26707</v>
      </c>
      <c r="F38" s="434">
        <v>5744</v>
      </c>
      <c r="G38" s="434">
        <v>3720</v>
      </c>
      <c r="H38" s="434"/>
      <c r="I38" s="434">
        <f t="shared" si="1"/>
        <v>176781</v>
      </c>
      <c r="J38" s="434"/>
      <c r="K38" s="434">
        <v>42200</v>
      </c>
      <c r="L38" s="434">
        <v>69051</v>
      </c>
      <c r="M38" s="434">
        <v>58643</v>
      </c>
      <c r="N38" s="434">
        <v>6887</v>
      </c>
      <c r="O38" s="434"/>
      <c r="P38" s="434">
        <f t="shared" si="2"/>
        <v>19165</v>
      </c>
      <c r="Q38" s="434"/>
      <c r="R38" s="434">
        <v>593</v>
      </c>
      <c r="S38" s="434">
        <v>18572</v>
      </c>
      <c r="U38" s="472"/>
      <c r="V38" s="472"/>
      <c r="W38" s="472"/>
      <c r="X38" s="472"/>
      <c r="Y38" s="472"/>
    </row>
    <row r="39" spans="1:25" s="428" customFormat="1" ht="9" customHeight="1" x14ac:dyDescent="0.25">
      <c r="A39" s="428" t="s">
        <v>46</v>
      </c>
      <c r="B39" s="427">
        <f t="shared" si="0"/>
        <v>95684</v>
      </c>
      <c r="C39" s="427"/>
      <c r="D39" s="427">
        <v>37210</v>
      </c>
      <c r="E39" s="427">
        <v>44384</v>
      </c>
      <c r="F39" s="427">
        <v>11534</v>
      </c>
      <c r="G39" s="427">
        <v>2556</v>
      </c>
      <c r="H39" s="427"/>
      <c r="I39" s="427">
        <f t="shared" si="1"/>
        <v>288972</v>
      </c>
      <c r="J39" s="427"/>
      <c r="K39" s="427">
        <v>63883</v>
      </c>
      <c r="L39" s="427">
        <v>92400</v>
      </c>
      <c r="M39" s="427">
        <v>128978</v>
      </c>
      <c r="N39" s="427">
        <v>3711</v>
      </c>
      <c r="O39" s="427"/>
      <c r="P39" s="427">
        <f t="shared" si="2"/>
        <v>18973</v>
      </c>
      <c r="Q39" s="427"/>
      <c r="R39" s="427">
        <v>569</v>
      </c>
      <c r="S39" s="427">
        <v>18404</v>
      </c>
      <c r="U39" s="472"/>
      <c r="V39" s="472"/>
      <c r="W39" s="472"/>
      <c r="X39" s="472"/>
      <c r="Y39" s="472"/>
    </row>
    <row r="40" spans="1:25" s="428" customFormat="1" ht="9" customHeight="1" x14ac:dyDescent="0.25">
      <c r="A40" s="428" t="s">
        <v>47</v>
      </c>
      <c r="B40" s="427">
        <f t="shared" si="0"/>
        <v>51544</v>
      </c>
      <c r="C40" s="427"/>
      <c r="D40" s="427">
        <v>17296</v>
      </c>
      <c r="E40" s="427">
        <v>24134</v>
      </c>
      <c r="F40" s="427">
        <v>7297</v>
      </c>
      <c r="G40" s="427">
        <v>2817</v>
      </c>
      <c r="H40" s="427"/>
      <c r="I40" s="427">
        <f t="shared" si="1"/>
        <v>177173</v>
      </c>
      <c r="J40" s="427"/>
      <c r="K40" s="427">
        <v>25589</v>
      </c>
      <c r="L40" s="427">
        <v>58331</v>
      </c>
      <c r="M40" s="427">
        <v>88725</v>
      </c>
      <c r="N40" s="427">
        <v>4528</v>
      </c>
      <c r="O40" s="427"/>
      <c r="P40" s="427">
        <f t="shared" si="2"/>
        <v>7980</v>
      </c>
      <c r="Q40" s="427"/>
      <c r="R40" s="427">
        <v>784</v>
      </c>
      <c r="S40" s="427">
        <v>7196</v>
      </c>
      <c r="U40" s="472"/>
      <c r="V40" s="472"/>
      <c r="W40" s="472"/>
      <c r="X40" s="472"/>
      <c r="Y40" s="472"/>
    </row>
    <row r="41" spans="1:25" s="428" customFormat="1" ht="9" customHeight="1" x14ac:dyDescent="0.25">
      <c r="A41" s="428" t="s">
        <v>48</v>
      </c>
      <c r="B41" s="427">
        <f t="shared" si="0"/>
        <v>43578</v>
      </c>
      <c r="C41" s="427"/>
      <c r="D41" s="427">
        <v>24083</v>
      </c>
      <c r="E41" s="427">
        <v>9845</v>
      </c>
      <c r="F41" s="427">
        <v>5474</v>
      </c>
      <c r="G41" s="427">
        <v>4176</v>
      </c>
      <c r="H41" s="427"/>
      <c r="I41" s="427">
        <f t="shared" si="1"/>
        <v>167840</v>
      </c>
      <c r="J41" s="427"/>
      <c r="K41" s="427">
        <v>44809</v>
      </c>
      <c r="L41" s="427">
        <v>27015</v>
      </c>
      <c r="M41" s="427">
        <v>87544</v>
      </c>
      <c r="N41" s="427">
        <v>8472</v>
      </c>
      <c r="O41" s="427"/>
      <c r="P41" s="427">
        <f t="shared" si="2"/>
        <v>14337</v>
      </c>
      <c r="Q41" s="427"/>
      <c r="R41" s="427">
        <v>752</v>
      </c>
      <c r="S41" s="427">
        <v>13585</v>
      </c>
      <c r="U41" s="472"/>
      <c r="V41" s="472"/>
      <c r="W41" s="472"/>
      <c r="X41" s="472"/>
      <c r="Y41" s="472"/>
    </row>
    <row r="42" spans="1:25" s="428" customFormat="1" ht="9" customHeight="1" x14ac:dyDescent="0.25">
      <c r="A42" s="475" t="s">
        <v>49</v>
      </c>
      <c r="B42" s="434">
        <f t="shared" si="0"/>
        <v>73878</v>
      </c>
      <c r="C42" s="434"/>
      <c r="D42" s="434">
        <v>34578</v>
      </c>
      <c r="E42" s="434">
        <v>25132</v>
      </c>
      <c r="F42" s="434">
        <v>10308</v>
      </c>
      <c r="G42" s="434">
        <v>3860</v>
      </c>
      <c r="H42" s="434"/>
      <c r="I42" s="434">
        <f t="shared" si="1"/>
        <v>234264</v>
      </c>
      <c r="J42" s="434"/>
      <c r="K42" s="434">
        <v>46786</v>
      </c>
      <c r="L42" s="434">
        <v>64299</v>
      </c>
      <c r="M42" s="434">
        <v>118557</v>
      </c>
      <c r="N42" s="434">
        <v>4622</v>
      </c>
      <c r="O42" s="434"/>
      <c r="P42" s="434">
        <f t="shared" si="2"/>
        <v>23049</v>
      </c>
      <c r="Q42" s="434"/>
      <c r="R42" s="434">
        <v>974</v>
      </c>
      <c r="S42" s="434">
        <v>22075</v>
      </c>
      <c r="U42" s="472"/>
      <c r="V42" s="472"/>
      <c r="W42" s="472"/>
      <c r="X42" s="472"/>
      <c r="Y42" s="472"/>
    </row>
    <row r="43" spans="1:25" s="428" customFormat="1" ht="9" customHeight="1" x14ac:dyDescent="0.25">
      <c r="A43" s="428" t="s">
        <v>50</v>
      </c>
      <c r="B43" s="427">
        <f t="shared" si="0"/>
        <v>20841</v>
      </c>
      <c r="C43" s="427"/>
      <c r="D43" s="427">
        <v>6984</v>
      </c>
      <c r="E43" s="427">
        <v>8578</v>
      </c>
      <c r="F43" s="427">
        <v>2316</v>
      </c>
      <c r="G43" s="427">
        <v>2963</v>
      </c>
      <c r="H43" s="427"/>
      <c r="I43" s="427">
        <f t="shared" si="1"/>
        <v>61797</v>
      </c>
      <c r="J43" s="427"/>
      <c r="K43" s="427">
        <v>9715</v>
      </c>
      <c r="L43" s="427">
        <v>23777</v>
      </c>
      <c r="M43" s="427">
        <v>24064</v>
      </c>
      <c r="N43" s="427">
        <v>4241</v>
      </c>
      <c r="O43" s="427"/>
      <c r="P43" s="427">
        <f t="shared" si="2"/>
        <v>3599</v>
      </c>
      <c r="Q43" s="427"/>
      <c r="R43" s="427">
        <v>248</v>
      </c>
      <c r="S43" s="427">
        <v>3351</v>
      </c>
      <c r="U43" s="472"/>
      <c r="V43" s="472"/>
      <c r="W43" s="472"/>
      <c r="X43" s="472"/>
      <c r="Y43" s="472"/>
    </row>
    <row r="44" spans="1:25" s="428" customFormat="1" ht="9" customHeight="1" x14ac:dyDescent="0.25">
      <c r="A44" s="428" t="s">
        <v>51</v>
      </c>
      <c r="B44" s="427">
        <f t="shared" si="0"/>
        <v>190838</v>
      </c>
      <c r="C44" s="427"/>
      <c r="D44" s="427">
        <v>74757</v>
      </c>
      <c r="E44" s="427">
        <v>78453</v>
      </c>
      <c r="F44" s="427">
        <v>28060</v>
      </c>
      <c r="G44" s="427">
        <v>9568</v>
      </c>
      <c r="H44" s="427"/>
      <c r="I44" s="427">
        <f t="shared" si="1"/>
        <v>582567</v>
      </c>
      <c r="J44" s="427"/>
      <c r="K44" s="427">
        <v>115653</v>
      </c>
      <c r="L44" s="427">
        <v>192124</v>
      </c>
      <c r="M44" s="427">
        <v>257589</v>
      </c>
      <c r="N44" s="427">
        <v>17201</v>
      </c>
      <c r="O44" s="427"/>
      <c r="P44" s="427">
        <f t="shared" si="2"/>
        <v>62157</v>
      </c>
      <c r="Q44" s="427"/>
      <c r="R44" s="427">
        <v>2085</v>
      </c>
      <c r="S44" s="427">
        <v>60072</v>
      </c>
      <c r="U44" s="472"/>
      <c r="V44" s="472"/>
      <c r="W44" s="472"/>
      <c r="X44" s="472"/>
      <c r="Y44" s="472"/>
    </row>
    <row r="45" spans="1:25" s="428" customFormat="1" ht="9" customHeight="1" x14ac:dyDescent="0.25">
      <c r="A45" s="428" t="s">
        <v>52</v>
      </c>
      <c r="B45" s="427">
        <f t="shared" si="0"/>
        <v>35662</v>
      </c>
      <c r="C45" s="427"/>
      <c r="D45" s="427">
        <v>21386</v>
      </c>
      <c r="E45" s="427">
        <v>7539</v>
      </c>
      <c r="F45" s="427">
        <v>5579</v>
      </c>
      <c r="G45" s="427">
        <v>1158</v>
      </c>
      <c r="H45" s="427"/>
      <c r="I45" s="427">
        <f t="shared" si="1"/>
        <v>101112</v>
      </c>
      <c r="J45" s="427"/>
      <c r="K45" s="427">
        <v>26270</v>
      </c>
      <c r="L45" s="427">
        <v>15437</v>
      </c>
      <c r="M45" s="427">
        <v>57836</v>
      </c>
      <c r="N45" s="427">
        <v>1569</v>
      </c>
      <c r="O45" s="427"/>
      <c r="P45" s="427">
        <f t="shared" si="2"/>
        <v>8733</v>
      </c>
      <c r="Q45" s="427"/>
      <c r="R45" s="427">
        <v>527</v>
      </c>
      <c r="S45" s="427">
        <v>8206</v>
      </c>
      <c r="U45" s="472"/>
      <c r="V45" s="472"/>
      <c r="W45" s="472"/>
      <c r="X45" s="472"/>
      <c r="Y45" s="472"/>
    </row>
    <row r="46" spans="1:25" s="428" customFormat="1" ht="9" customHeight="1" x14ac:dyDescent="0.25">
      <c r="A46" s="475" t="s">
        <v>53</v>
      </c>
      <c r="B46" s="434">
        <f t="shared" si="0"/>
        <v>44321</v>
      </c>
      <c r="C46" s="434"/>
      <c r="D46" s="434">
        <v>13672</v>
      </c>
      <c r="E46" s="434">
        <v>21221</v>
      </c>
      <c r="F46" s="434">
        <v>4506</v>
      </c>
      <c r="G46" s="434">
        <v>4922</v>
      </c>
      <c r="H46" s="434"/>
      <c r="I46" s="434">
        <f t="shared" si="1"/>
        <v>130387</v>
      </c>
      <c r="J46" s="434"/>
      <c r="K46" s="434">
        <v>26186</v>
      </c>
      <c r="L46" s="434">
        <v>52085</v>
      </c>
      <c r="M46" s="434">
        <v>42252</v>
      </c>
      <c r="N46" s="434">
        <v>9864</v>
      </c>
      <c r="O46" s="434"/>
      <c r="P46" s="434">
        <f t="shared" si="2"/>
        <v>11106</v>
      </c>
      <c r="Q46" s="434"/>
      <c r="R46" s="434">
        <v>312</v>
      </c>
      <c r="S46" s="434">
        <v>10794</v>
      </c>
      <c r="U46" s="472"/>
      <c r="V46" s="472"/>
      <c r="W46" s="472"/>
      <c r="X46" s="472"/>
      <c r="Y46" s="472"/>
    </row>
    <row r="47" spans="1:25" s="472" customFormat="1" ht="9" customHeight="1" x14ac:dyDescent="0.25">
      <c r="A47" s="436"/>
      <c r="B47" s="444"/>
      <c r="C47" s="444"/>
      <c r="D47" s="444"/>
      <c r="E47" s="444"/>
      <c r="F47" s="444"/>
      <c r="G47" s="444"/>
      <c r="H47" s="444"/>
      <c r="I47" s="444"/>
      <c r="J47" s="444"/>
      <c r="K47" s="444"/>
      <c r="L47" s="444"/>
      <c r="M47" s="444"/>
      <c r="N47" s="444"/>
      <c r="O47" s="444"/>
      <c r="P47" s="444"/>
      <c r="Q47" s="444"/>
      <c r="R47" s="444"/>
      <c r="S47" s="444"/>
    </row>
    <row r="48" spans="1:25" s="428" customFormat="1" ht="9" customHeight="1" x14ac:dyDescent="0.25">
      <c r="A48" s="441">
        <v>1996</v>
      </c>
      <c r="B48" s="427"/>
      <c r="C48" s="427"/>
      <c r="D48" s="476"/>
      <c r="E48" s="477"/>
      <c r="F48" s="477"/>
      <c r="G48" s="477"/>
      <c r="H48" s="477"/>
      <c r="I48" s="477"/>
      <c r="J48" s="477"/>
      <c r="K48" s="477"/>
      <c r="L48" s="477"/>
      <c r="M48" s="477"/>
      <c r="N48" s="477"/>
      <c r="O48" s="477"/>
      <c r="P48" s="477"/>
      <c r="Q48" s="477"/>
      <c r="R48" s="477"/>
      <c r="S48" s="477"/>
      <c r="U48" s="472"/>
      <c r="V48" s="472"/>
      <c r="W48" s="472"/>
      <c r="X48" s="472"/>
      <c r="Y48" s="472"/>
    </row>
    <row r="49" spans="1:25" s="428" customFormat="1" ht="9" customHeight="1" x14ac:dyDescent="0.25">
      <c r="A49" s="478" t="s">
        <v>336</v>
      </c>
      <c r="B49" s="476">
        <f>SUM(B51:B82)+15440</f>
        <v>2604440</v>
      </c>
      <c r="C49" s="476" t="s">
        <v>237</v>
      </c>
      <c r="D49" s="476">
        <f>SUM(D51:D82)</f>
        <v>926659</v>
      </c>
      <c r="E49" s="476">
        <f>SUM(E51:E82)</f>
        <v>1088470</v>
      </c>
      <c r="F49" s="476">
        <f>SUM(F51:F82)</f>
        <v>360741</v>
      </c>
      <c r="G49" s="476">
        <f>SUM(G51:G82)</f>
        <v>212293</v>
      </c>
      <c r="H49" s="476"/>
      <c r="I49" s="430">
        <f>SUM(I51:I82)</f>
        <v>8456743</v>
      </c>
      <c r="J49" s="430"/>
      <c r="K49" s="430">
        <f>SUM(K51:K82)</f>
        <v>1648876</v>
      </c>
      <c r="L49" s="430">
        <f>SUM(L51:L82)</f>
        <v>2882620</v>
      </c>
      <c r="M49" s="430">
        <f>SUM(M51:M82)</f>
        <v>3529524</v>
      </c>
      <c r="N49" s="430">
        <f>SUM(N51:N82)</f>
        <v>389519</v>
      </c>
      <c r="O49" s="430"/>
      <c r="P49" s="430">
        <f>SUM(P51:P82)</f>
        <v>406848</v>
      </c>
      <c r="Q49" s="430"/>
      <c r="R49" s="430">
        <f>SUM(R51:R82)</f>
        <v>33896</v>
      </c>
      <c r="S49" s="430">
        <f>SUM(S51:S82)</f>
        <v>372758</v>
      </c>
      <c r="U49" s="472"/>
      <c r="V49" s="472"/>
      <c r="W49" s="472"/>
      <c r="X49" s="472"/>
      <c r="Y49" s="472"/>
    </row>
    <row r="50" spans="1:25" s="428" customFormat="1" ht="3.95" customHeight="1" x14ac:dyDescent="0.25">
      <c r="A50" s="473"/>
      <c r="B50" s="476"/>
      <c r="C50" s="476"/>
      <c r="D50" s="476"/>
      <c r="E50" s="476"/>
      <c r="F50" s="476"/>
      <c r="G50" s="476"/>
      <c r="H50" s="476"/>
      <c r="I50" s="430"/>
      <c r="J50" s="430"/>
      <c r="K50" s="430"/>
      <c r="L50" s="430"/>
      <c r="M50" s="430"/>
      <c r="N50" s="430"/>
      <c r="O50" s="430"/>
      <c r="P50" s="430"/>
      <c r="Q50" s="430"/>
      <c r="R50" s="430"/>
      <c r="S50" s="430"/>
      <c r="U50" s="472"/>
      <c r="V50" s="472"/>
      <c r="W50" s="472"/>
      <c r="X50" s="472"/>
      <c r="Y50" s="472"/>
    </row>
    <row r="51" spans="1:25" s="428" customFormat="1" ht="9" customHeight="1" x14ac:dyDescent="0.25">
      <c r="A51" s="431" t="s">
        <v>23</v>
      </c>
      <c r="B51" s="427">
        <f>SUM(D51:G51)</f>
        <v>24483</v>
      </c>
      <c r="C51" s="427"/>
      <c r="D51" s="477">
        <v>6237</v>
      </c>
      <c r="E51" s="477">
        <v>11308</v>
      </c>
      <c r="F51" s="477">
        <v>3505</v>
      </c>
      <c r="G51" s="477">
        <v>3433</v>
      </c>
      <c r="I51" s="427">
        <f>SUM(K51:O51)</f>
        <v>72879</v>
      </c>
      <c r="J51" s="427"/>
      <c r="K51" s="427">
        <v>10795</v>
      </c>
      <c r="L51" s="427">
        <v>30543</v>
      </c>
      <c r="M51" s="427">
        <v>25406</v>
      </c>
      <c r="N51" s="427">
        <v>6135</v>
      </c>
      <c r="O51" s="427"/>
      <c r="P51" s="427">
        <f t="shared" ref="P51:P74" si="3">SUM(R51:S51)</f>
        <v>3807</v>
      </c>
      <c r="Q51" s="427"/>
      <c r="R51" s="427">
        <v>554</v>
      </c>
      <c r="S51" s="427">
        <v>3253</v>
      </c>
      <c r="U51" s="472"/>
      <c r="V51" s="472"/>
      <c r="W51" s="472"/>
      <c r="X51" s="472"/>
      <c r="Y51" s="472"/>
    </row>
    <row r="52" spans="1:25" s="428" customFormat="1" ht="9" customHeight="1" x14ac:dyDescent="0.25">
      <c r="A52" s="431" t="s">
        <v>24</v>
      </c>
      <c r="B52" s="427">
        <f>SUM(D52:G52)+837</f>
        <v>69192</v>
      </c>
      <c r="C52" s="477" t="s">
        <v>55</v>
      </c>
      <c r="D52" s="477">
        <v>34444</v>
      </c>
      <c r="E52" s="477">
        <v>21365</v>
      </c>
      <c r="F52" s="477">
        <v>9323</v>
      </c>
      <c r="G52" s="477">
        <v>3223</v>
      </c>
      <c r="I52" s="427">
        <f>SUM(K52:O52)+2566</f>
        <v>205158</v>
      </c>
      <c r="J52" s="477" t="s">
        <v>238</v>
      </c>
      <c r="K52" s="427">
        <v>40887</v>
      </c>
      <c r="L52" s="427">
        <v>65620</v>
      </c>
      <c r="M52" s="427">
        <v>92532</v>
      </c>
      <c r="N52" s="427">
        <v>3553</v>
      </c>
      <c r="O52" s="427"/>
      <c r="P52" s="427">
        <f t="shared" si="3"/>
        <v>10022</v>
      </c>
      <c r="Q52" s="427"/>
      <c r="R52" s="427">
        <v>902</v>
      </c>
      <c r="S52" s="427">
        <v>9120</v>
      </c>
      <c r="U52" s="472"/>
      <c r="V52" s="472"/>
      <c r="W52" s="472"/>
      <c r="X52" s="472"/>
      <c r="Y52" s="472"/>
    </row>
    <row r="53" spans="1:25" s="428" customFormat="1" ht="9" customHeight="1" x14ac:dyDescent="0.25">
      <c r="A53" s="431" t="s">
        <v>25</v>
      </c>
      <c r="B53" s="427">
        <f t="shared" ref="B53:B82" si="4">SUM(D53:G53)</f>
        <v>12262</v>
      </c>
      <c r="C53" s="427"/>
      <c r="D53" s="477">
        <v>4799</v>
      </c>
      <c r="E53" s="477">
        <v>4724</v>
      </c>
      <c r="F53" s="477">
        <v>1933</v>
      </c>
      <c r="G53" s="477">
        <v>806</v>
      </c>
      <c r="I53" s="427">
        <f t="shared" ref="I53:I81" si="5">SUM(K53:O53)</f>
        <v>43157</v>
      </c>
      <c r="J53" s="427"/>
      <c r="K53" s="427">
        <v>6652</v>
      </c>
      <c r="L53" s="427">
        <v>11490</v>
      </c>
      <c r="M53" s="427">
        <v>23993</v>
      </c>
      <c r="N53" s="427">
        <v>1022</v>
      </c>
      <c r="O53" s="427"/>
      <c r="P53" s="427">
        <f t="shared" si="3"/>
        <v>2560</v>
      </c>
      <c r="Q53" s="427"/>
      <c r="R53" s="427">
        <v>137</v>
      </c>
      <c r="S53" s="427">
        <v>2423</v>
      </c>
      <c r="U53" s="472"/>
      <c r="V53" s="472"/>
      <c r="W53" s="472"/>
      <c r="X53" s="472"/>
      <c r="Y53" s="472"/>
    </row>
    <row r="54" spans="1:25" s="428" customFormat="1" ht="9" customHeight="1" x14ac:dyDescent="0.25">
      <c r="A54" s="433" t="s">
        <v>26</v>
      </c>
      <c r="B54" s="434">
        <f t="shared" si="4"/>
        <v>20081</v>
      </c>
      <c r="C54" s="434"/>
      <c r="D54" s="479">
        <v>9079</v>
      </c>
      <c r="E54" s="479">
        <v>5464</v>
      </c>
      <c r="F54" s="479">
        <v>4287</v>
      </c>
      <c r="G54" s="479">
        <v>1251</v>
      </c>
      <c r="H54" s="475"/>
      <c r="I54" s="434">
        <f t="shared" si="5"/>
        <v>62830</v>
      </c>
      <c r="J54" s="434"/>
      <c r="K54" s="434">
        <v>23750</v>
      </c>
      <c r="L54" s="434">
        <v>10844</v>
      </c>
      <c r="M54" s="434">
        <v>26259</v>
      </c>
      <c r="N54" s="434">
        <v>1977</v>
      </c>
      <c r="O54" s="434"/>
      <c r="P54" s="434">
        <f t="shared" si="3"/>
        <v>4286</v>
      </c>
      <c r="Q54" s="434"/>
      <c r="R54" s="434">
        <v>209</v>
      </c>
      <c r="S54" s="434">
        <v>4077</v>
      </c>
      <c r="U54" s="472"/>
      <c r="V54" s="472"/>
      <c r="W54" s="472"/>
      <c r="X54" s="472"/>
      <c r="Y54" s="472"/>
    </row>
    <row r="55" spans="1:25" s="428" customFormat="1" ht="9" customHeight="1" x14ac:dyDescent="0.25">
      <c r="A55" s="431" t="s">
        <v>27</v>
      </c>
      <c r="B55" s="427">
        <f t="shared" si="4"/>
        <v>67020</v>
      </c>
      <c r="C55" s="427"/>
      <c r="D55" s="477">
        <v>24257</v>
      </c>
      <c r="E55" s="477">
        <v>27357</v>
      </c>
      <c r="F55" s="477">
        <v>11972</v>
      </c>
      <c r="G55" s="477">
        <v>3434</v>
      </c>
      <c r="I55" s="427">
        <f t="shared" si="5"/>
        <v>241346</v>
      </c>
      <c r="J55" s="427"/>
      <c r="K55" s="427">
        <v>46174</v>
      </c>
      <c r="L55" s="427">
        <v>72581</v>
      </c>
      <c r="M55" s="427">
        <v>116951</v>
      </c>
      <c r="N55" s="427">
        <v>5640</v>
      </c>
      <c r="O55" s="427"/>
      <c r="P55" s="427">
        <f t="shared" si="3"/>
        <v>12272</v>
      </c>
      <c r="Q55" s="427"/>
      <c r="R55" s="427">
        <v>1082</v>
      </c>
      <c r="S55" s="427">
        <v>11190</v>
      </c>
      <c r="U55" s="472"/>
      <c r="V55" s="472"/>
      <c r="W55" s="472"/>
      <c r="X55" s="472"/>
      <c r="Y55" s="472"/>
    </row>
    <row r="56" spans="1:25" s="428" customFormat="1" ht="9" customHeight="1" x14ac:dyDescent="0.25">
      <c r="A56" s="431" t="s">
        <v>28</v>
      </c>
      <c r="B56" s="427">
        <f t="shared" si="4"/>
        <v>19195</v>
      </c>
      <c r="C56" s="427"/>
      <c r="D56" s="477">
        <v>6798</v>
      </c>
      <c r="E56" s="477">
        <v>7974</v>
      </c>
      <c r="F56" s="477">
        <v>2936</v>
      </c>
      <c r="G56" s="477">
        <v>1487</v>
      </c>
      <c r="I56" s="427">
        <f t="shared" si="5"/>
        <v>65723</v>
      </c>
      <c r="J56" s="427"/>
      <c r="K56" s="427">
        <v>9837</v>
      </c>
      <c r="L56" s="427">
        <v>17548</v>
      </c>
      <c r="M56" s="427">
        <v>35647</v>
      </c>
      <c r="N56" s="427">
        <v>2691</v>
      </c>
      <c r="O56" s="427"/>
      <c r="P56" s="427">
        <f t="shared" si="3"/>
        <v>2917</v>
      </c>
      <c r="Q56" s="427"/>
      <c r="R56" s="427">
        <v>170</v>
      </c>
      <c r="S56" s="427">
        <v>2747</v>
      </c>
      <c r="U56" s="472"/>
      <c r="V56" s="472"/>
      <c r="W56" s="472"/>
      <c r="X56" s="472"/>
      <c r="Y56" s="472"/>
    </row>
    <row r="57" spans="1:25" s="428" customFormat="1" ht="9" customHeight="1" x14ac:dyDescent="0.25">
      <c r="A57" s="431" t="s">
        <v>29</v>
      </c>
      <c r="B57" s="427">
        <f t="shared" si="4"/>
        <v>120408</v>
      </c>
      <c r="C57" s="427"/>
      <c r="D57" s="477">
        <v>52438</v>
      </c>
      <c r="E57" s="477">
        <v>41982</v>
      </c>
      <c r="F57" s="477">
        <v>17310</v>
      </c>
      <c r="G57" s="477">
        <v>8678</v>
      </c>
      <c r="I57" s="427">
        <f t="shared" si="5"/>
        <v>296202</v>
      </c>
      <c r="J57" s="427"/>
      <c r="K57" s="427">
        <v>94343</v>
      </c>
      <c r="L57" s="427">
        <v>86224</v>
      </c>
      <c r="M57" s="427">
        <v>101171</v>
      </c>
      <c r="N57" s="427">
        <v>14464</v>
      </c>
      <c r="O57" s="427"/>
      <c r="P57" s="427">
        <f t="shared" si="3"/>
        <v>21608</v>
      </c>
      <c r="Q57" s="427"/>
      <c r="R57" s="427">
        <v>594</v>
      </c>
      <c r="S57" s="427">
        <v>21014</v>
      </c>
      <c r="U57" s="472"/>
      <c r="V57" s="472"/>
      <c r="W57" s="472"/>
      <c r="X57" s="472"/>
      <c r="Y57" s="472"/>
    </row>
    <row r="58" spans="1:25" s="428" customFormat="1" ht="9" customHeight="1" x14ac:dyDescent="0.25">
      <c r="A58" s="433" t="s">
        <v>30</v>
      </c>
      <c r="B58" s="434">
        <f t="shared" si="4"/>
        <v>83403</v>
      </c>
      <c r="C58" s="434"/>
      <c r="D58" s="479">
        <v>24262</v>
      </c>
      <c r="E58" s="479">
        <v>43740</v>
      </c>
      <c r="F58" s="479">
        <v>12101</v>
      </c>
      <c r="G58" s="479">
        <v>3300</v>
      </c>
      <c r="H58" s="475"/>
      <c r="I58" s="434">
        <f t="shared" si="5"/>
        <v>285304</v>
      </c>
      <c r="J58" s="434"/>
      <c r="K58" s="434">
        <v>42704</v>
      </c>
      <c r="L58" s="434">
        <v>124051</v>
      </c>
      <c r="M58" s="434">
        <v>109710</v>
      </c>
      <c r="N58" s="434">
        <v>8839</v>
      </c>
      <c r="O58" s="434"/>
      <c r="P58" s="434">
        <f t="shared" si="3"/>
        <v>12548</v>
      </c>
      <c r="Q58" s="434"/>
      <c r="R58" s="434">
        <v>1913</v>
      </c>
      <c r="S58" s="434">
        <v>10635</v>
      </c>
      <c r="U58" s="472"/>
      <c r="V58" s="472"/>
      <c r="W58" s="472"/>
      <c r="X58" s="472"/>
      <c r="Y58" s="472"/>
    </row>
    <row r="59" spans="1:25" s="428" customFormat="1" ht="9" customHeight="1" x14ac:dyDescent="0.25">
      <c r="A59" s="431" t="s">
        <v>63</v>
      </c>
      <c r="B59" s="427">
        <f t="shared" si="4"/>
        <v>270488</v>
      </c>
      <c r="C59" s="427"/>
      <c r="D59" s="477">
        <v>60211</v>
      </c>
      <c r="E59" s="477">
        <v>138261</v>
      </c>
      <c r="F59" s="477">
        <v>46058</v>
      </c>
      <c r="G59" s="477">
        <v>25958</v>
      </c>
      <c r="I59" s="427">
        <f t="shared" si="5"/>
        <v>1015671</v>
      </c>
      <c r="J59" s="427"/>
      <c r="K59" s="427">
        <v>83231</v>
      </c>
      <c r="L59" s="427">
        <v>414978</v>
      </c>
      <c r="M59" s="427">
        <v>495942</v>
      </c>
      <c r="N59" s="427">
        <v>21520</v>
      </c>
      <c r="O59" s="427"/>
      <c r="P59" s="427">
        <f t="shared" si="3"/>
        <v>51449</v>
      </c>
      <c r="Q59" s="427"/>
      <c r="R59" s="427">
        <v>7708</v>
      </c>
      <c r="S59" s="427">
        <v>43741</v>
      </c>
      <c r="U59" s="472"/>
      <c r="V59" s="472"/>
      <c r="W59" s="472"/>
      <c r="X59" s="472"/>
      <c r="Y59" s="472"/>
    </row>
    <row r="60" spans="1:25" s="428" customFormat="1" ht="9" customHeight="1" x14ac:dyDescent="0.25">
      <c r="A60" s="431" t="s">
        <v>31</v>
      </c>
      <c r="B60" s="427">
        <f t="shared" si="4"/>
        <v>51594</v>
      </c>
      <c r="C60" s="427"/>
      <c r="D60" s="477">
        <v>23670</v>
      </c>
      <c r="E60" s="477">
        <v>17520</v>
      </c>
      <c r="F60" s="477">
        <v>6413</v>
      </c>
      <c r="G60" s="477">
        <v>3991</v>
      </c>
      <c r="I60" s="427">
        <f t="shared" si="5"/>
        <v>153255</v>
      </c>
      <c r="J60" s="427"/>
      <c r="K60" s="427">
        <v>44425</v>
      </c>
      <c r="L60" s="427">
        <v>45405</v>
      </c>
      <c r="M60" s="427">
        <v>54356</v>
      </c>
      <c r="N60" s="427">
        <v>9069</v>
      </c>
      <c r="O60" s="427"/>
      <c r="P60" s="427">
        <f t="shared" si="3"/>
        <v>6893</v>
      </c>
      <c r="Q60" s="427"/>
      <c r="R60" s="427">
        <v>420</v>
      </c>
      <c r="S60" s="427">
        <v>6473</v>
      </c>
      <c r="U60" s="472"/>
      <c r="V60" s="472"/>
      <c r="W60" s="472"/>
      <c r="X60" s="472"/>
      <c r="Y60" s="472"/>
    </row>
    <row r="61" spans="1:25" s="428" customFormat="1" ht="9" customHeight="1" x14ac:dyDescent="0.25">
      <c r="A61" s="431" t="s">
        <v>32</v>
      </c>
      <c r="B61" s="427">
        <f t="shared" si="4"/>
        <v>107049</v>
      </c>
      <c r="C61" s="427"/>
      <c r="D61" s="477">
        <v>41679</v>
      </c>
      <c r="E61" s="477">
        <v>41673</v>
      </c>
      <c r="F61" s="477">
        <v>11881</v>
      </c>
      <c r="G61" s="477">
        <v>11816</v>
      </c>
      <c r="I61" s="427">
        <f t="shared" si="5"/>
        <v>290847</v>
      </c>
      <c r="J61" s="427"/>
      <c r="K61" s="427">
        <v>58687</v>
      </c>
      <c r="L61" s="427">
        <v>101459</v>
      </c>
      <c r="M61" s="427">
        <v>113512</v>
      </c>
      <c r="N61" s="427">
        <v>17189</v>
      </c>
      <c r="O61" s="427"/>
      <c r="P61" s="427">
        <f t="shared" si="3"/>
        <v>12357</v>
      </c>
      <c r="Q61" s="427"/>
      <c r="R61" s="427">
        <v>899</v>
      </c>
      <c r="S61" s="427">
        <v>11458</v>
      </c>
      <c r="U61" s="472"/>
      <c r="V61" s="472"/>
      <c r="W61" s="472"/>
      <c r="X61" s="472"/>
      <c r="Y61" s="472"/>
    </row>
    <row r="62" spans="1:25" s="428" customFormat="1" ht="9" customHeight="1" x14ac:dyDescent="0.25">
      <c r="A62" s="433" t="s">
        <v>33</v>
      </c>
      <c r="B62" s="434">
        <f t="shared" si="4"/>
        <v>60776</v>
      </c>
      <c r="C62" s="434"/>
      <c r="D62" s="479">
        <v>27837</v>
      </c>
      <c r="E62" s="479">
        <v>19216</v>
      </c>
      <c r="F62" s="479">
        <v>7795</v>
      </c>
      <c r="G62" s="479">
        <v>5928</v>
      </c>
      <c r="H62" s="475"/>
      <c r="I62" s="434">
        <f t="shared" si="5"/>
        <v>241721</v>
      </c>
      <c r="J62" s="434"/>
      <c r="K62" s="434">
        <v>67299</v>
      </c>
      <c r="L62" s="434">
        <v>56487</v>
      </c>
      <c r="M62" s="434">
        <v>102014</v>
      </c>
      <c r="N62" s="434">
        <v>15921</v>
      </c>
      <c r="O62" s="434"/>
      <c r="P62" s="434">
        <f t="shared" si="3"/>
        <v>12570</v>
      </c>
      <c r="Q62" s="434"/>
      <c r="R62" s="434">
        <v>665</v>
      </c>
      <c r="S62" s="434">
        <v>11905</v>
      </c>
      <c r="U62" s="472"/>
      <c r="V62" s="472"/>
      <c r="W62" s="472"/>
      <c r="X62" s="472"/>
      <c r="Y62" s="472"/>
    </row>
    <row r="63" spans="1:25" s="428" customFormat="1" ht="9" customHeight="1" x14ac:dyDescent="0.25">
      <c r="A63" s="431" t="s">
        <v>34</v>
      </c>
      <c r="B63" s="427">
        <f t="shared" si="4"/>
        <v>62717</v>
      </c>
      <c r="C63" s="427"/>
      <c r="D63" s="477">
        <v>20562</v>
      </c>
      <c r="E63" s="477">
        <v>27677</v>
      </c>
      <c r="F63" s="477">
        <v>9043</v>
      </c>
      <c r="G63" s="477">
        <v>5435</v>
      </c>
      <c r="I63" s="427">
        <f t="shared" si="5"/>
        <v>201575</v>
      </c>
      <c r="J63" s="427"/>
      <c r="K63" s="427">
        <v>39335</v>
      </c>
      <c r="L63" s="427">
        <v>73989</v>
      </c>
      <c r="M63" s="427">
        <v>78376</v>
      </c>
      <c r="N63" s="427">
        <v>9875</v>
      </c>
      <c r="O63" s="427"/>
      <c r="P63" s="427">
        <f t="shared" si="3"/>
        <v>11079</v>
      </c>
      <c r="Q63" s="427"/>
      <c r="R63" s="427">
        <v>447</v>
      </c>
      <c r="S63" s="427">
        <v>10632</v>
      </c>
      <c r="U63" s="472"/>
      <c r="V63" s="472"/>
      <c r="W63" s="472"/>
      <c r="X63" s="472"/>
      <c r="Y63" s="472"/>
    </row>
    <row r="64" spans="1:25" s="428" customFormat="1" ht="9" customHeight="1" x14ac:dyDescent="0.25">
      <c r="A64" s="431" t="s">
        <v>35</v>
      </c>
      <c r="B64" s="427">
        <f t="shared" si="4"/>
        <v>131061</v>
      </c>
      <c r="C64" s="427"/>
      <c r="D64" s="477">
        <v>41885</v>
      </c>
      <c r="E64" s="477">
        <v>53115</v>
      </c>
      <c r="F64" s="477">
        <v>20803</v>
      </c>
      <c r="G64" s="477">
        <v>15258</v>
      </c>
      <c r="I64" s="427">
        <f t="shared" si="5"/>
        <v>455153</v>
      </c>
      <c r="J64" s="427"/>
      <c r="K64" s="427">
        <v>70552</v>
      </c>
      <c r="L64" s="427">
        <v>133714</v>
      </c>
      <c r="M64" s="427">
        <v>218052</v>
      </c>
      <c r="N64" s="427">
        <v>32835</v>
      </c>
      <c r="O64" s="427"/>
      <c r="P64" s="427">
        <f t="shared" si="3"/>
        <v>20820</v>
      </c>
      <c r="Q64" s="427"/>
      <c r="R64" s="427">
        <v>1856</v>
      </c>
      <c r="S64" s="427">
        <v>18964</v>
      </c>
      <c r="U64" s="472"/>
      <c r="V64" s="472"/>
      <c r="W64" s="472"/>
      <c r="X64" s="472"/>
      <c r="Y64" s="472"/>
    </row>
    <row r="65" spans="1:25" s="428" customFormat="1" ht="9" customHeight="1" x14ac:dyDescent="0.25">
      <c r="A65" s="431" t="s">
        <v>36</v>
      </c>
      <c r="B65" s="427">
        <f t="shared" si="4"/>
        <v>287949</v>
      </c>
      <c r="C65" s="427"/>
      <c r="D65" s="477">
        <v>82145</v>
      </c>
      <c r="E65" s="477">
        <v>142212</v>
      </c>
      <c r="F65" s="477">
        <v>31126</v>
      </c>
      <c r="G65" s="477">
        <v>32466</v>
      </c>
      <c r="I65" s="427">
        <f t="shared" si="5"/>
        <v>1136132</v>
      </c>
      <c r="J65" s="427"/>
      <c r="K65" s="427">
        <v>207785</v>
      </c>
      <c r="L65" s="427">
        <v>436536</v>
      </c>
      <c r="M65" s="427">
        <v>398926</v>
      </c>
      <c r="N65" s="427">
        <v>92885</v>
      </c>
      <c r="O65" s="427"/>
      <c r="P65" s="427">
        <f t="shared" si="3"/>
        <v>33415</v>
      </c>
      <c r="Q65" s="427"/>
      <c r="R65" s="427">
        <v>4505</v>
      </c>
      <c r="S65" s="427">
        <v>28910</v>
      </c>
      <c r="U65" s="472"/>
      <c r="V65" s="472"/>
      <c r="W65" s="472"/>
      <c r="X65" s="472"/>
      <c r="Y65" s="472"/>
    </row>
    <row r="66" spans="1:25" s="428" customFormat="1" ht="9" customHeight="1" x14ac:dyDescent="0.25">
      <c r="A66" s="433" t="s">
        <v>37</v>
      </c>
      <c r="B66" s="434">
        <f t="shared" si="4"/>
        <v>112293</v>
      </c>
      <c r="C66" s="434"/>
      <c r="D66" s="479">
        <v>45077</v>
      </c>
      <c r="E66" s="479">
        <v>45464</v>
      </c>
      <c r="F66" s="479">
        <v>12516</v>
      </c>
      <c r="G66" s="479">
        <v>9236</v>
      </c>
      <c r="H66" s="475"/>
      <c r="I66" s="434">
        <f t="shared" si="5"/>
        <v>324445</v>
      </c>
      <c r="J66" s="434"/>
      <c r="K66" s="434">
        <v>83764</v>
      </c>
      <c r="L66" s="434">
        <v>121065</v>
      </c>
      <c r="M66" s="434">
        <v>103566</v>
      </c>
      <c r="N66" s="434">
        <v>16050</v>
      </c>
      <c r="O66" s="434"/>
      <c r="P66" s="434">
        <f t="shared" si="3"/>
        <v>14419</v>
      </c>
      <c r="Q66" s="434"/>
      <c r="R66" s="434">
        <v>1064</v>
      </c>
      <c r="S66" s="434">
        <v>13355</v>
      </c>
      <c r="U66" s="472"/>
      <c r="V66" s="472"/>
      <c r="W66" s="472"/>
      <c r="X66" s="472"/>
      <c r="Y66" s="472"/>
    </row>
    <row r="67" spans="1:25" s="428" customFormat="1" ht="9" customHeight="1" x14ac:dyDescent="0.25">
      <c r="A67" s="431" t="s">
        <v>38</v>
      </c>
      <c r="B67" s="427">
        <f t="shared" si="4"/>
        <v>32128</v>
      </c>
      <c r="C67" s="427"/>
      <c r="D67" s="477">
        <v>11844</v>
      </c>
      <c r="E67" s="477">
        <v>12421</v>
      </c>
      <c r="F67" s="477">
        <v>5107</v>
      </c>
      <c r="G67" s="477">
        <v>2756</v>
      </c>
      <c r="I67" s="427">
        <f t="shared" si="5"/>
        <v>120383</v>
      </c>
      <c r="J67" s="427"/>
      <c r="K67" s="427">
        <v>20643</v>
      </c>
      <c r="L67" s="427">
        <v>34794</v>
      </c>
      <c r="M67" s="427">
        <v>59840</v>
      </c>
      <c r="N67" s="427">
        <v>5106</v>
      </c>
      <c r="O67" s="427"/>
      <c r="P67" s="427">
        <f t="shared" si="3"/>
        <v>6043</v>
      </c>
      <c r="Q67" s="427"/>
      <c r="R67" s="427">
        <v>399</v>
      </c>
      <c r="S67" s="427">
        <v>5644</v>
      </c>
      <c r="U67" s="472"/>
      <c r="V67" s="472"/>
      <c r="W67" s="472"/>
      <c r="X67" s="472"/>
      <c r="Y67" s="472"/>
    </row>
    <row r="68" spans="1:25" s="428" customFormat="1" ht="9" customHeight="1" x14ac:dyDescent="0.25">
      <c r="A68" s="431" t="s">
        <v>39</v>
      </c>
      <c r="B68" s="427">
        <f t="shared" si="4"/>
        <v>33252</v>
      </c>
      <c r="C68" s="427"/>
      <c r="D68" s="477">
        <v>13925</v>
      </c>
      <c r="E68" s="477">
        <v>12617</v>
      </c>
      <c r="F68" s="477">
        <v>4105</v>
      </c>
      <c r="G68" s="477">
        <v>2605</v>
      </c>
      <c r="I68" s="427">
        <f t="shared" si="5"/>
        <v>111052</v>
      </c>
      <c r="J68" s="427"/>
      <c r="K68" s="427">
        <v>29904</v>
      </c>
      <c r="L68" s="427">
        <v>35114</v>
      </c>
      <c r="M68" s="427">
        <v>41032</v>
      </c>
      <c r="N68" s="427">
        <v>5002</v>
      </c>
      <c r="O68" s="427"/>
      <c r="P68" s="427">
        <f t="shared" si="3"/>
        <v>4148</v>
      </c>
      <c r="Q68" s="427"/>
      <c r="R68" s="427">
        <v>144</v>
      </c>
      <c r="S68" s="427">
        <v>4004</v>
      </c>
      <c r="U68" s="472"/>
      <c r="V68" s="472"/>
      <c r="W68" s="472"/>
      <c r="X68" s="472"/>
      <c r="Y68" s="472"/>
    </row>
    <row r="69" spans="1:25" s="428" customFormat="1" ht="9" customHeight="1" x14ac:dyDescent="0.25">
      <c r="A69" s="431" t="s">
        <v>40</v>
      </c>
      <c r="B69" s="427">
        <f t="shared" si="4"/>
        <v>100434</v>
      </c>
      <c r="C69" s="427"/>
      <c r="D69" s="477">
        <v>24821</v>
      </c>
      <c r="E69" s="477">
        <v>52057</v>
      </c>
      <c r="F69" s="477">
        <v>13664</v>
      </c>
      <c r="G69" s="477">
        <v>9892</v>
      </c>
      <c r="I69" s="427">
        <f t="shared" si="5"/>
        <v>348836</v>
      </c>
      <c r="J69" s="427"/>
      <c r="K69" s="427">
        <v>31449</v>
      </c>
      <c r="L69" s="427">
        <v>129180</v>
      </c>
      <c r="M69" s="427">
        <v>176310</v>
      </c>
      <c r="N69" s="427">
        <v>11897</v>
      </c>
      <c r="O69" s="427"/>
      <c r="P69" s="427">
        <f t="shared" si="3"/>
        <v>12777</v>
      </c>
      <c r="Q69" s="427"/>
      <c r="R69" s="427">
        <v>1144</v>
      </c>
      <c r="S69" s="427">
        <v>11633</v>
      </c>
      <c r="U69" s="472"/>
      <c r="V69" s="472"/>
      <c r="W69" s="472"/>
      <c r="X69" s="472"/>
      <c r="Y69" s="472"/>
    </row>
    <row r="70" spans="1:25" s="428" customFormat="1" ht="9" customHeight="1" x14ac:dyDescent="0.25">
      <c r="A70" s="433" t="s">
        <v>41</v>
      </c>
      <c r="B70" s="434">
        <f t="shared" si="4"/>
        <v>75744</v>
      </c>
      <c r="C70" s="434"/>
      <c r="D70" s="479">
        <v>26073</v>
      </c>
      <c r="E70" s="479">
        <v>33664</v>
      </c>
      <c r="F70" s="479">
        <v>12567</v>
      </c>
      <c r="G70" s="479">
        <v>3440</v>
      </c>
      <c r="H70" s="475"/>
      <c r="I70" s="434">
        <f t="shared" si="5"/>
        <v>226930</v>
      </c>
      <c r="J70" s="434"/>
      <c r="K70" s="434">
        <v>56331</v>
      </c>
      <c r="L70" s="434">
        <v>82120</v>
      </c>
      <c r="M70" s="434">
        <v>81867</v>
      </c>
      <c r="N70" s="434">
        <v>6612</v>
      </c>
      <c r="O70" s="434"/>
      <c r="P70" s="434">
        <f t="shared" si="3"/>
        <v>14506</v>
      </c>
      <c r="Q70" s="434"/>
      <c r="R70" s="434">
        <v>462</v>
      </c>
      <c r="S70" s="434">
        <v>14044</v>
      </c>
      <c r="U70" s="472"/>
      <c r="V70" s="472"/>
      <c r="W70" s="472"/>
      <c r="X70" s="472"/>
      <c r="Y70" s="472"/>
    </row>
    <row r="71" spans="1:25" s="428" customFormat="1" ht="9" customHeight="1" x14ac:dyDescent="0.25">
      <c r="A71" s="431" t="s">
        <v>42</v>
      </c>
      <c r="B71" s="427">
        <f t="shared" si="4"/>
        <v>139931</v>
      </c>
      <c r="C71" s="427"/>
      <c r="D71" s="477">
        <v>53733</v>
      </c>
      <c r="E71" s="477">
        <v>53574</v>
      </c>
      <c r="F71" s="477">
        <v>19396</v>
      </c>
      <c r="G71" s="477">
        <v>13228</v>
      </c>
      <c r="I71" s="427">
        <f t="shared" si="5"/>
        <v>373056</v>
      </c>
      <c r="J71" s="427"/>
      <c r="K71" s="427">
        <v>89070</v>
      </c>
      <c r="L71" s="427">
        <v>131331</v>
      </c>
      <c r="M71" s="427">
        <v>134657</v>
      </c>
      <c r="N71" s="427">
        <v>17998</v>
      </c>
      <c r="O71" s="427"/>
      <c r="P71" s="427">
        <f t="shared" si="3"/>
        <v>22818</v>
      </c>
      <c r="Q71" s="427"/>
      <c r="R71" s="427">
        <v>1721</v>
      </c>
      <c r="S71" s="427">
        <v>21097</v>
      </c>
      <c r="U71" s="472"/>
      <c r="V71" s="472"/>
      <c r="W71" s="472"/>
      <c r="X71" s="472"/>
      <c r="Y71" s="472"/>
    </row>
    <row r="72" spans="1:25" s="428" customFormat="1" ht="9" customHeight="1" x14ac:dyDescent="0.25">
      <c r="A72" s="431" t="s">
        <v>43</v>
      </c>
      <c r="B72" s="427">
        <f t="shared" si="4"/>
        <v>31076</v>
      </c>
      <c r="C72" s="427"/>
      <c r="D72" s="477">
        <v>9979</v>
      </c>
      <c r="E72" s="477">
        <v>13096</v>
      </c>
      <c r="F72" s="477">
        <v>5192</v>
      </c>
      <c r="G72" s="477">
        <v>2809</v>
      </c>
      <c r="I72" s="427">
        <f t="shared" si="5"/>
        <v>112623</v>
      </c>
      <c r="J72" s="427"/>
      <c r="K72" s="427">
        <v>17834</v>
      </c>
      <c r="L72" s="427">
        <v>35098</v>
      </c>
      <c r="M72" s="427">
        <v>50514</v>
      </c>
      <c r="N72" s="427">
        <v>9177</v>
      </c>
      <c r="O72" s="427"/>
      <c r="P72" s="427">
        <f t="shared" si="3"/>
        <v>6384</v>
      </c>
      <c r="Q72" s="427"/>
      <c r="R72" s="427">
        <v>562</v>
      </c>
      <c r="S72" s="427">
        <v>5822</v>
      </c>
      <c r="U72" s="472"/>
      <c r="V72" s="472"/>
      <c r="W72" s="472"/>
      <c r="X72" s="472"/>
      <c r="Y72" s="472"/>
    </row>
    <row r="73" spans="1:25" s="428" customFormat="1" ht="9" customHeight="1" x14ac:dyDescent="0.25">
      <c r="A73" s="431" t="s">
        <v>44</v>
      </c>
      <c r="B73" s="427">
        <f t="shared" si="4"/>
        <v>20970</v>
      </c>
      <c r="C73" s="427"/>
      <c r="D73" s="477">
        <v>8788</v>
      </c>
      <c r="E73" s="477">
        <v>6751</v>
      </c>
      <c r="F73" s="477">
        <v>4227</v>
      </c>
      <c r="G73" s="477">
        <v>1204</v>
      </c>
      <c r="I73" s="427">
        <f t="shared" si="5"/>
        <v>51833</v>
      </c>
      <c r="J73" s="427"/>
      <c r="K73" s="427">
        <v>10946</v>
      </c>
      <c r="L73" s="427">
        <v>13224</v>
      </c>
      <c r="M73" s="427">
        <v>25877</v>
      </c>
      <c r="N73" s="427">
        <v>1786</v>
      </c>
      <c r="O73" s="427"/>
      <c r="P73" s="427">
        <f t="shared" si="3"/>
        <v>5056</v>
      </c>
      <c r="Q73" s="427"/>
      <c r="R73" s="427">
        <v>651</v>
      </c>
      <c r="S73" s="427">
        <v>4405</v>
      </c>
      <c r="U73" s="472"/>
      <c r="V73" s="472"/>
      <c r="W73" s="472"/>
      <c r="X73" s="472"/>
      <c r="Y73" s="472"/>
    </row>
    <row r="74" spans="1:25" s="428" customFormat="1" ht="9" customHeight="1" x14ac:dyDescent="0.25">
      <c r="A74" s="433" t="s">
        <v>45</v>
      </c>
      <c r="B74" s="434">
        <f t="shared" si="4"/>
        <v>67026</v>
      </c>
      <c r="C74" s="434"/>
      <c r="D74" s="479">
        <v>28622</v>
      </c>
      <c r="E74" s="479">
        <v>27680</v>
      </c>
      <c r="F74" s="479">
        <v>6425</v>
      </c>
      <c r="G74" s="479">
        <v>4299</v>
      </c>
      <c r="H74" s="475"/>
      <c r="I74" s="434">
        <f t="shared" si="5"/>
        <v>186730</v>
      </c>
      <c r="J74" s="434"/>
      <c r="K74" s="434">
        <v>53904</v>
      </c>
      <c r="L74" s="434">
        <v>73469</v>
      </c>
      <c r="M74" s="434">
        <v>51508</v>
      </c>
      <c r="N74" s="434">
        <v>7849</v>
      </c>
      <c r="O74" s="434"/>
      <c r="P74" s="434">
        <f t="shared" si="3"/>
        <v>7585</v>
      </c>
      <c r="Q74" s="434"/>
      <c r="R74" s="434">
        <v>575</v>
      </c>
      <c r="S74" s="434">
        <v>7010</v>
      </c>
      <c r="U74" s="472"/>
      <c r="V74" s="472"/>
      <c r="W74" s="472"/>
      <c r="X74" s="472"/>
      <c r="Y74" s="472"/>
    </row>
    <row r="75" spans="1:25" s="428" customFormat="1" ht="9" customHeight="1" x14ac:dyDescent="0.25">
      <c r="A75" s="431" t="s">
        <v>46</v>
      </c>
      <c r="B75" s="427">
        <f t="shared" si="4"/>
        <v>87618</v>
      </c>
      <c r="C75" s="427"/>
      <c r="D75" s="477">
        <v>30053</v>
      </c>
      <c r="E75" s="477">
        <v>42091</v>
      </c>
      <c r="F75" s="477">
        <v>12233</v>
      </c>
      <c r="G75" s="477">
        <v>3241</v>
      </c>
      <c r="I75" s="427">
        <f t="shared" si="5"/>
        <v>292878</v>
      </c>
      <c r="J75" s="427"/>
      <c r="K75" s="427">
        <v>61645</v>
      </c>
      <c r="L75" s="427">
        <v>96228</v>
      </c>
      <c r="M75" s="427">
        <v>129557</v>
      </c>
      <c r="N75" s="427">
        <v>5448</v>
      </c>
      <c r="O75" s="480"/>
      <c r="P75" s="427">
        <f>SUM(R75:S75)+166</f>
        <v>12879</v>
      </c>
      <c r="Q75" s="427" t="s">
        <v>337</v>
      </c>
      <c r="R75" s="427">
        <v>461</v>
      </c>
      <c r="S75" s="427">
        <v>12252</v>
      </c>
      <c r="U75" s="472"/>
      <c r="V75" s="472"/>
      <c r="W75" s="472"/>
      <c r="X75" s="472"/>
      <c r="Y75" s="472"/>
    </row>
    <row r="76" spans="1:25" s="428" customFormat="1" ht="9" customHeight="1" x14ac:dyDescent="0.25">
      <c r="A76" s="431" t="s">
        <v>47</v>
      </c>
      <c r="B76" s="427">
        <f t="shared" si="4"/>
        <v>51142</v>
      </c>
      <c r="C76" s="427"/>
      <c r="D76" s="477">
        <v>17594</v>
      </c>
      <c r="E76" s="477">
        <v>22727</v>
      </c>
      <c r="F76" s="477">
        <v>7598</v>
      </c>
      <c r="G76" s="477">
        <v>3223</v>
      </c>
      <c r="I76" s="427">
        <f t="shared" si="5"/>
        <v>181814</v>
      </c>
      <c r="J76" s="427"/>
      <c r="K76" s="427">
        <v>25608</v>
      </c>
      <c r="L76" s="427">
        <v>58119</v>
      </c>
      <c r="M76" s="427">
        <v>91437</v>
      </c>
      <c r="N76" s="427">
        <v>6650</v>
      </c>
      <c r="O76" s="480"/>
      <c r="P76" s="427">
        <f>SUM(R76:S76)+28</f>
        <v>8615</v>
      </c>
      <c r="Q76" s="427" t="s">
        <v>338</v>
      </c>
      <c r="R76" s="427">
        <v>673</v>
      </c>
      <c r="S76" s="427">
        <v>7914</v>
      </c>
      <c r="U76" s="472"/>
      <c r="V76" s="472"/>
      <c r="W76" s="472"/>
      <c r="X76" s="472"/>
      <c r="Y76" s="472"/>
    </row>
    <row r="77" spans="1:25" s="428" customFormat="1" ht="9" customHeight="1" x14ac:dyDescent="0.25">
      <c r="A77" s="431" t="s">
        <v>48</v>
      </c>
      <c r="B77" s="427">
        <f t="shared" si="4"/>
        <v>46507</v>
      </c>
      <c r="C77" s="427"/>
      <c r="D77" s="477">
        <v>24715</v>
      </c>
      <c r="E77" s="477">
        <v>10651</v>
      </c>
      <c r="F77" s="477">
        <v>5675</v>
      </c>
      <c r="G77" s="477">
        <v>5466</v>
      </c>
      <c r="I77" s="427">
        <f t="shared" si="5"/>
        <v>174499</v>
      </c>
      <c r="J77" s="427"/>
      <c r="K77" s="427">
        <v>46621</v>
      </c>
      <c r="L77" s="427">
        <v>27555</v>
      </c>
      <c r="M77" s="427">
        <v>93344</v>
      </c>
      <c r="N77" s="427">
        <v>6979</v>
      </c>
      <c r="O77" s="427"/>
      <c r="P77" s="427">
        <f t="shared" ref="P77:P82" si="6">SUM(R77:S77)</f>
        <v>9768</v>
      </c>
      <c r="Q77" s="427"/>
      <c r="R77" s="427">
        <v>536</v>
      </c>
      <c r="S77" s="427">
        <v>9232</v>
      </c>
      <c r="U77" s="472"/>
      <c r="V77" s="472"/>
      <c r="W77" s="472"/>
      <c r="X77" s="472"/>
      <c r="Y77" s="472"/>
    </row>
    <row r="78" spans="1:25" s="428" customFormat="1" ht="9" customHeight="1" x14ac:dyDescent="0.25">
      <c r="A78" s="433" t="s">
        <v>49</v>
      </c>
      <c r="B78" s="434">
        <f t="shared" si="4"/>
        <v>76047</v>
      </c>
      <c r="C78" s="434"/>
      <c r="D78" s="479">
        <v>36210</v>
      </c>
      <c r="E78" s="479">
        <v>25035</v>
      </c>
      <c r="F78" s="479">
        <v>10349</v>
      </c>
      <c r="G78" s="479">
        <v>4453</v>
      </c>
      <c r="H78" s="475"/>
      <c r="I78" s="434">
        <f t="shared" si="5"/>
        <v>239170</v>
      </c>
      <c r="J78" s="434"/>
      <c r="K78" s="434">
        <v>54440</v>
      </c>
      <c r="L78" s="434">
        <v>63019</v>
      </c>
      <c r="M78" s="434">
        <v>115510</v>
      </c>
      <c r="N78" s="434">
        <v>6201</v>
      </c>
      <c r="O78" s="434"/>
      <c r="P78" s="434">
        <f t="shared" si="6"/>
        <v>11402</v>
      </c>
      <c r="Q78" s="434"/>
      <c r="R78" s="434">
        <v>791</v>
      </c>
      <c r="S78" s="434">
        <v>10611</v>
      </c>
      <c r="U78" s="472"/>
      <c r="V78" s="472"/>
      <c r="W78" s="472"/>
      <c r="X78" s="472"/>
      <c r="Y78" s="472"/>
    </row>
    <row r="79" spans="1:25" s="428" customFormat="1" ht="9" customHeight="1" x14ac:dyDescent="0.25">
      <c r="A79" s="431" t="s">
        <v>50</v>
      </c>
      <c r="B79" s="427">
        <f t="shared" si="4"/>
        <v>23612</v>
      </c>
      <c r="C79" s="427"/>
      <c r="D79" s="477">
        <v>8978</v>
      </c>
      <c r="E79" s="477">
        <v>8848</v>
      </c>
      <c r="F79" s="477">
        <v>2433</v>
      </c>
      <c r="G79" s="477">
        <v>3353</v>
      </c>
      <c r="I79" s="427">
        <f t="shared" si="5"/>
        <v>69956</v>
      </c>
      <c r="J79" s="427"/>
      <c r="K79" s="427">
        <v>12239</v>
      </c>
      <c r="L79" s="427">
        <v>24574</v>
      </c>
      <c r="M79" s="427">
        <v>26031</v>
      </c>
      <c r="N79" s="427">
        <v>7112</v>
      </c>
      <c r="O79" s="427"/>
      <c r="P79" s="427">
        <f t="shared" si="6"/>
        <v>3736</v>
      </c>
      <c r="Q79" s="427"/>
      <c r="R79" s="427">
        <v>233</v>
      </c>
      <c r="S79" s="427">
        <v>3503</v>
      </c>
      <c r="U79" s="472"/>
      <c r="V79" s="472"/>
      <c r="W79" s="472"/>
      <c r="X79" s="472"/>
      <c r="Y79" s="472"/>
    </row>
    <row r="80" spans="1:25" s="428" customFormat="1" ht="9" customHeight="1" x14ac:dyDescent="0.25">
      <c r="A80" s="431" t="s">
        <v>51</v>
      </c>
      <c r="B80" s="427">
        <f t="shared" si="4"/>
        <v>206885</v>
      </c>
      <c r="C80" s="427"/>
      <c r="D80" s="477">
        <v>81421</v>
      </c>
      <c r="E80" s="477">
        <v>84939</v>
      </c>
      <c r="F80" s="477">
        <v>30904</v>
      </c>
      <c r="G80" s="477">
        <v>9621</v>
      </c>
      <c r="I80" s="427">
        <f t="shared" si="5"/>
        <v>619602</v>
      </c>
      <c r="J80" s="427"/>
      <c r="K80" s="427">
        <v>143403</v>
      </c>
      <c r="L80" s="427">
        <v>201249</v>
      </c>
      <c r="M80" s="427">
        <v>255734</v>
      </c>
      <c r="N80" s="427">
        <v>19216</v>
      </c>
      <c r="O80" s="427"/>
      <c r="P80" s="427">
        <f t="shared" si="6"/>
        <v>35635</v>
      </c>
      <c r="Q80" s="427"/>
      <c r="R80" s="427">
        <v>1537</v>
      </c>
      <c r="S80" s="427">
        <v>34098</v>
      </c>
      <c r="U80" s="472"/>
      <c r="V80" s="472"/>
      <c r="W80" s="472"/>
      <c r="X80" s="472"/>
      <c r="Y80" s="472"/>
    </row>
    <row r="81" spans="1:25" s="428" customFormat="1" ht="9" customHeight="1" x14ac:dyDescent="0.25">
      <c r="A81" s="431" t="s">
        <v>52</v>
      </c>
      <c r="B81" s="427">
        <f t="shared" si="4"/>
        <v>47640</v>
      </c>
      <c r="C81" s="427"/>
      <c r="D81" s="477">
        <v>29123</v>
      </c>
      <c r="E81" s="477">
        <v>10713</v>
      </c>
      <c r="F81" s="477">
        <v>6382</v>
      </c>
      <c r="G81" s="477">
        <v>1422</v>
      </c>
      <c r="I81" s="427">
        <f t="shared" si="5"/>
        <v>118120</v>
      </c>
      <c r="J81" s="427"/>
      <c r="K81" s="427">
        <v>34658</v>
      </c>
      <c r="L81" s="427">
        <v>20196</v>
      </c>
      <c r="M81" s="427">
        <v>59565</v>
      </c>
      <c r="N81" s="427">
        <v>3701</v>
      </c>
      <c r="O81" s="427"/>
      <c r="P81" s="427">
        <f t="shared" si="6"/>
        <v>7279</v>
      </c>
      <c r="Q81" s="427"/>
      <c r="R81" s="427">
        <v>575</v>
      </c>
      <c r="S81" s="427">
        <v>6704</v>
      </c>
      <c r="U81" s="472"/>
      <c r="V81" s="472"/>
      <c r="W81" s="472"/>
      <c r="X81" s="472"/>
      <c r="Y81" s="472"/>
    </row>
    <row r="82" spans="1:25" s="428" customFormat="1" ht="9" customHeight="1" x14ac:dyDescent="0.25">
      <c r="A82" s="433" t="s">
        <v>53</v>
      </c>
      <c r="B82" s="434">
        <f t="shared" si="4"/>
        <v>49017</v>
      </c>
      <c r="C82" s="434"/>
      <c r="D82" s="479">
        <v>15400</v>
      </c>
      <c r="E82" s="479">
        <v>22554</v>
      </c>
      <c r="F82" s="479">
        <v>5482</v>
      </c>
      <c r="G82" s="479">
        <v>5581</v>
      </c>
      <c r="H82" s="475"/>
      <c r="I82" s="434">
        <f>SUM(K82:O82)+3638</f>
        <v>137863</v>
      </c>
      <c r="J82" s="434" t="s">
        <v>339</v>
      </c>
      <c r="K82" s="434">
        <v>29961</v>
      </c>
      <c r="L82" s="434">
        <v>54816</v>
      </c>
      <c r="M82" s="434">
        <v>40328</v>
      </c>
      <c r="N82" s="434">
        <v>9120</v>
      </c>
      <c r="O82" s="434"/>
      <c r="P82" s="434">
        <f t="shared" si="6"/>
        <v>5195</v>
      </c>
      <c r="Q82" s="434"/>
      <c r="R82" s="434">
        <v>307</v>
      </c>
      <c r="S82" s="434">
        <v>4888</v>
      </c>
      <c r="U82" s="472"/>
      <c r="V82" s="472"/>
      <c r="W82" s="472"/>
      <c r="X82" s="472"/>
      <c r="Y82" s="472"/>
    </row>
    <row r="83" spans="1:25" s="428" customFormat="1" ht="9" customHeight="1" x14ac:dyDescent="0.25">
      <c r="A83" s="431"/>
      <c r="B83" s="427"/>
      <c r="C83" s="427"/>
      <c r="D83" s="477"/>
      <c r="E83" s="477"/>
      <c r="F83" s="477"/>
      <c r="G83" s="477"/>
      <c r="I83" s="427"/>
      <c r="J83" s="427"/>
      <c r="K83" s="427"/>
      <c r="L83" s="427"/>
      <c r="M83" s="427"/>
      <c r="N83" s="427"/>
      <c r="O83" s="427"/>
      <c r="P83" s="427"/>
      <c r="Q83" s="427"/>
      <c r="R83" s="427"/>
      <c r="S83" s="427"/>
      <c r="U83" s="472"/>
      <c r="V83" s="472"/>
      <c r="W83" s="472"/>
      <c r="X83" s="472"/>
      <c r="Y83" s="472"/>
    </row>
    <row r="84" spans="1:25" s="428" customFormat="1" ht="9" customHeight="1" x14ac:dyDescent="0.25">
      <c r="A84" s="441">
        <v>1997</v>
      </c>
      <c r="B84" s="427"/>
      <c r="C84" s="427"/>
      <c r="D84" s="476"/>
      <c r="E84" s="477"/>
      <c r="F84" s="477"/>
      <c r="G84" s="477"/>
      <c r="H84" s="477"/>
      <c r="I84" s="477"/>
      <c r="J84" s="477"/>
      <c r="K84" s="477"/>
      <c r="L84" s="477"/>
      <c r="M84" s="477"/>
      <c r="N84" s="477"/>
      <c r="O84" s="477"/>
      <c r="P84" s="477"/>
      <c r="Q84" s="477"/>
      <c r="R84" s="477"/>
      <c r="S84" s="477"/>
      <c r="U84" s="472"/>
      <c r="V84" s="472"/>
      <c r="W84" s="472"/>
      <c r="X84" s="472"/>
      <c r="Y84" s="472"/>
    </row>
    <row r="85" spans="1:25" s="428" customFormat="1" ht="9" customHeight="1" x14ac:dyDescent="0.25">
      <c r="A85" s="478" t="s">
        <v>336</v>
      </c>
      <c r="B85" s="476">
        <f>SUM(B87:B118)</f>
        <v>2517749</v>
      </c>
      <c r="C85" s="476"/>
      <c r="D85" s="476">
        <f>SUM(D87:D118)</f>
        <v>881414</v>
      </c>
      <c r="E85" s="476">
        <f>SUM(E87:E118)</f>
        <v>1056902</v>
      </c>
      <c r="F85" s="476">
        <f>SUM(F87:F118)</f>
        <v>357387</v>
      </c>
      <c r="G85" s="476">
        <f>SUM(G87:G118)</f>
        <v>222046</v>
      </c>
      <c r="H85" s="476"/>
      <c r="I85" s="476">
        <f>SUM(I87:I118)</f>
        <v>8623432</v>
      </c>
      <c r="J85" s="430"/>
      <c r="K85" s="430">
        <f>SUM(K87:K118)</f>
        <v>1496877</v>
      </c>
      <c r="L85" s="430">
        <f>SUM(L87:L118)</f>
        <v>2845618</v>
      </c>
      <c r="M85" s="430">
        <f>SUM(M87:M118)</f>
        <v>3894083</v>
      </c>
      <c r="N85" s="430">
        <f>SUM(N87:N118)</f>
        <v>386854</v>
      </c>
      <c r="O85" s="430"/>
      <c r="P85" s="430">
        <f>SUM(P87:P118)+4070</f>
        <v>758886</v>
      </c>
      <c r="Q85" s="481"/>
      <c r="R85" s="430">
        <f>SUM(R87:R118)</f>
        <v>92460</v>
      </c>
      <c r="S85" s="430">
        <f>SUM(S87:S118)-1</f>
        <v>662355</v>
      </c>
      <c r="U85" s="472"/>
      <c r="V85" s="472"/>
      <c r="W85" s="472"/>
      <c r="X85" s="472"/>
      <c r="Y85" s="472"/>
    </row>
    <row r="86" spans="1:25" s="428" customFormat="1" ht="3.95" customHeight="1" x14ac:dyDescent="0.25">
      <c r="A86" s="429"/>
      <c r="B86" s="476"/>
      <c r="C86" s="476"/>
      <c r="D86" s="476"/>
      <c r="E86" s="476"/>
      <c r="F86" s="476"/>
      <c r="G86" s="476"/>
      <c r="H86" s="476"/>
      <c r="I86" s="430"/>
      <c r="J86" s="430"/>
      <c r="K86" s="430"/>
      <c r="L86" s="430"/>
      <c r="M86" s="430"/>
      <c r="N86" s="430"/>
      <c r="O86" s="430"/>
      <c r="P86" s="430"/>
      <c r="Q86" s="430"/>
      <c r="R86" s="430"/>
      <c r="S86" s="430"/>
      <c r="U86" s="472"/>
      <c r="V86" s="472"/>
      <c r="W86" s="472"/>
      <c r="X86" s="472"/>
      <c r="Y86" s="472"/>
    </row>
    <row r="87" spans="1:25" s="428" customFormat="1" ht="9" customHeight="1" x14ac:dyDescent="0.25">
      <c r="A87" s="431" t="s">
        <v>23</v>
      </c>
      <c r="B87" s="427">
        <f t="shared" ref="B87:B118" si="7">SUM(D87:G87)</f>
        <v>25438</v>
      </c>
      <c r="C87" s="427"/>
      <c r="D87" s="477">
        <v>6943</v>
      </c>
      <c r="E87" s="477">
        <v>11618</v>
      </c>
      <c r="F87" s="477">
        <v>3685</v>
      </c>
      <c r="G87" s="477">
        <v>3192</v>
      </c>
      <c r="I87" s="427">
        <f t="shared" ref="I87:I118" si="8">SUM(K87:O87)</f>
        <v>73657</v>
      </c>
      <c r="J87" s="427"/>
      <c r="K87" s="427">
        <v>10223</v>
      </c>
      <c r="L87" s="427">
        <v>28937</v>
      </c>
      <c r="M87" s="427">
        <v>29127</v>
      </c>
      <c r="N87" s="427">
        <v>5370</v>
      </c>
      <c r="O87" s="427"/>
      <c r="P87" s="427">
        <f t="shared" ref="P87:P118" si="9">SUM(R87:S87)</f>
        <v>6780</v>
      </c>
      <c r="Q87" s="427"/>
      <c r="R87" s="427">
        <v>552</v>
      </c>
      <c r="S87" s="427">
        <v>6228</v>
      </c>
      <c r="U87" s="472"/>
      <c r="V87" s="472"/>
      <c r="W87" s="472"/>
      <c r="X87" s="472"/>
      <c r="Y87" s="472"/>
    </row>
    <row r="88" spans="1:25" s="428" customFormat="1" ht="9" customHeight="1" x14ac:dyDescent="0.25">
      <c r="A88" s="431" t="s">
        <v>24</v>
      </c>
      <c r="B88" s="427">
        <f t="shared" si="7"/>
        <v>64648</v>
      </c>
      <c r="C88" s="427"/>
      <c r="D88" s="477">
        <v>32425</v>
      </c>
      <c r="E88" s="477">
        <v>18409</v>
      </c>
      <c r="F88" s="477">
        <v>9978</v>
      </c>
      <c r="G88" s="477">
        <v>3836</v>
      </c>
      <c r="I88" s="427">
        <f t="shared" si="8"/>
        <v>200125</v>
      </c>
      <c r="J88" s="427"/>
      <c r="K88" s="427">
        <v>38997</v>
      </c>
      <c r="L88" s="427">
        <v>61354</v>
      </c>
      <c r="M88" s="427">
        <v>96212</v>
      </c>
      <c r="N88" s="427">
        <v>3562</v>
      </c>
      <c r="O88" s="427"/>
      <c r="P88" s="427">
        <f t="shared" si="9"/>
        <v>15979</v>
      </c>
      <c r="Q88" s="427"/>
      <c r="R88" s="427">
        <v>1382</v>
      </c>
      <c r="S88" s="427">
        <v>14597</v>
      </c>
      <c r="U88" s="472"/>
      <c r="V88" s="472"/>
      <c r="W88" s="472"/>
      <c r="X88" s="472"/>
      <c r="Y88" s="472"/>
    </row>
    <row r="89" spans="1:25" s="428" customFormat="1" ht="9" customHeight="1" x14ac:dyDescent="0.25">
      <c r="A89" s="431" t="s">
        <v>25</v>
      </c>
      <c r="B89" s="427">
        <f t="shared" si="7"/>
        <v>12681</v>
      </c>
      <c r="C89" s="427"/>
      <c r="D89" s="477">
        <v>5034</v>
      </c>
      <c r="E89" s="477">
        <v>4659</v>
      </c>
      <c r="F89" s="477">
        <v>1954</v>
      </c>
      <c r="G89" s="477">
        <v>1034</v>
      </c>
      <c r="I89" s="427">
        <f t="shared" si="8"/>
        <v>47645</v>
      </c>
      <c r="J89" s="427"/>
      <c r="K89" s="427">
        <v>7380</v>
      </c>
      <c r="L89" s="427">
        <v>11840</v>
      </c>
      <c r="M89" s="427">
        <v>26868</v>
      </c>
      <c r="N89" s="427">
        <v>1557</v>
      </c>
      <c r="O89" s="427"/>
      <c r="P89" s="427">
        <f t="shared" si="9"/>
        <v>6763</v>
      </c>
      <c r="Q89" s="427"/>
      <c r="R89" s="427">
        <v>359</v>
      </c>
      <c r="S89" s="427">
        <v>6404</v>
      </c>
      <c r="U89" s="472"/>
      <c r="V89" s="472"/>
      <c r="W89" s="472"/>
      <c r="X89" s="472"/>
      <c r="Y89" s="472"/>
    </row>
    <row r="90" spans="1:25" s="428" customFormat="1" ht="9" customHeight="1" x14ac:dyDescent="0.25">
      <c r="A90" s="433" t="s">
        <v>26</v>
      </c>
      <c r="B90" s="434">
        <f t="shared" si="7"/>
        <v>21214</v>
      </c>
      <c r="C90" s="434"/>
      <c r="D90" s="479">
        <v>9940</v>
      </c>
      <c r="E90" s="479">
        <v>5395</v>
      </c>
      <c r="F90" s="479">
        <v>4128</v>
      </c>
      <c r="G90" s="479">
        <v>1751</v>
      </c>
      <c r="H90" s="475"/>
      <c r="I90" s="434">
        <f t="shared" si="8"/>
        <v>64119</v>
      </c>
      <c r="J90" s="434"/>
      <c r="K90" s="434">
        <v>17052</v>
      </c>
      <c r="L90" s="434">
        <v>10611</v>
      </c>
      <c r="M90" s="434">
        <v>35034</v>
      </c>
      <c r="N90" s="434">
        <v>1422</v>
      </c>
      <c r="O90" s="434"/>
      <c r="P90" s="434">
        <f t="shared" si="9"/>
        <v>6993</v>
      </c>
      <c r="Q90" s="434"/>
      <c r="R90" s="434">
        <v>450</v>
      </c>
      <c r="S90" s="434">
        <v>6543</v>
      </c>
      <c r="U90" s="472"/>
      <c r="V90" s="472"/>
      <c r="W90" s="472"/>
      <c r="X90" s="472"/>
      <c r="Y90" s="472"/>
    </row>
    <row r="91" spans="1:25" s="428" customFormat="1" ht="9" customHeight="1" x14ac:dyDescent="0.25">
      <c r="A91" s="431" t="s">
        <v>27</v>
      </c>
      <c r="B91" s="427">
        <f t="shared" si="7"/>
        <v>67406</v>
      </c>
      <c r="C91" s="427"/>
      <c r="D91" s="477">
        <v>23428</v>
      </c>
      <c r="E91" s="477">
        <v>28128</v>
      </c>
      <c r="F91" s="477">
        <v>12321</v>
      </c>
      <c r="G91" s="477">
        <v>3529</v>
      </c>
      <c r="I91" s="427">
        <f t="shared" si="8"/>
        <v>241979</v>
      </c>
      <c r="J91" s="427"/>
      <c r="K91" s="427">
        <v>39411</v>
      </c>
      <c r="L91" s="427">
        <v>70658</v>
      </c>
      <c r="M91" s="427">
        <v>126282</v>
      </c>
      <c r="N91" s="427">
        <v>5628</v>
      </c>
      <c r="O91" s="427"/>
      <c r="P91" s="427">
        <f t="shared" si="9"/>
        <v>21013</v>
      </c>
      <c r="Q91" s="427"/>
      <c r="R91" s="427">
        <v>1338</v>
      </c>
      <c r="S91" s="427">
        <v>19675</v>
      </c>
      <c r="U91" s="472"/>
      <c r="V91" s="472"/>
      <c r="W91" s="472"/>
      <c r="X91" s="472"/>
      <c r="Y91" s="472"/>
    </row>
    <row r="92" spans="1:25" s="428" customFormat="1" ht="9" customHeight="1" x14ac:dyDescent="0.25">
      <c r="A92" s="431" t="s">
        <v>28</v>
      </c>
      <c r="B92" s="427">
        <f t="shared" si="7"/>
        <v>19553</v>
      </c>
      <c r="C92" s="427"/>
      <c r="D92" s="477">
        <v>6713</v>
      </c>
      <c r="E92" s="477">
        <v>8140</v>
      </c>
      <c r="F92" s="477">
        <v>2927</v>
      </c>
      <c r="G92" s="477">
        <v>1773</v>
      </c>
      <c r="I92" s="427">
        <f t="shared" si="8"/>
        <v>66722</v>
      </c>
      <c r="J92" s="427"/>
      <c r="K92" s="427">
        <v>9453</v>
      </c>
      <c r="L92" s="427">
        <v>17483</v>
      </c>
      <c r="M92" s="427">
        <v>37515</v>
      </c>
      <c r="N92" s="427">
        <v>2271</v>
      </c>
      <c r="O92" s="427"/>
      <c r="P92" s="427">
        <f t="shared" si="9"/>
        <v>6184</v>
      </c>
      <c r="Q92" s="427"/>
      <c r="R92" s="427">
        <v>369</v>
      </c>
      <c r="S92" s="427">
        <v>5815</v>
      </c>
      <c r="U92" s="472"/>
      <c r="V92" s="472"/>
      <c r="W92" s="472"/>
      <c r="X92" s="472"/>
      <c r="Y92" s="472"/>
    </row>
    <row r="93" spans="1:25" s="428" customFormat="1" ht="9" customHeight="1" x14ac:dyDescent="0.25">
      <c r="A93" s="431" t="s">
        <v>29</v>
      </c>
      <c r="B93" s="427">
        <f t="shared" si="7"/>
        <v>115617</v>
      </c>
      <c r="C93" s="427"/>
      <c r="D93" s="477">
        <v>46465</v>
      </c>
      <c r="E93" s="477">
        <v>39606</v>
      </c>
      <c r="F93" s="477">
        <v>20301</v>
      </c>
      <c r="G93" s="477">
        <v>9245</v>
      </c>
      <c r="I93" s="427">
        <f t="shared" si="8"/>
        <v>320895</v>
      </c>
      <c r="J93" s="427"/>
      <c r="K93" s="427">
        <v>75404</v>
      </c>
      <c r="L93" s="427">
        <v>88185</v>
      </c>
      <c r="M93" s="427">
        <v>142230</v>
      </c>
      <c r="N93" s="427">
        <v>15076</v>
      </c>
      <c r="O93" s="427"/>
      <c r="P93" s="427">
        <f t="shared" si="9"/>
        <v>32376</v>
      </c>
      <c r="Q93" s="427"/>
      <c r="R93" s="427">
        <v>982</v>
      </c>
      <c r="S93" s="427">
        <v>31394</v>
      </c>
      <c r="U93" s="472"/>
      <c r="V93" s="472"/>
      <c r="W93" s="472"/>
      <c r="X93" s="472"/>
      <c r="Y93" s="472"/>
    </row>
    <row r="94" spans="1:25" s="428" customFormat="1" ht="9" customHeight="1" x14ac:dyDescent="0.25">
      <c r="A94" s="433" t="s">
        <v>30</v>
      </c>
      <c r="B94" s="434">
        <f t="shared" si="7"/>
        <v>88890</v>
      </c>
      <c r="C94" s="434"/>
      <c r="D94" s="479">
        <v>26274</v>
      </c>
      <c r="E94" s="479">
        <v>45316</v>
      </c>
      <c r="F94" s="479">
        <v>11752</v>
      </c>
      <c r="G94" s="479">
        <v>5548</v>
      </c>
      <c r="H94" s="475"/>
      <c r="I94" s="434">
        <f t="shared" si="8"/>
        <v>298720</v>
      </c>
      <c r="J94" s="434"/>
      <c r="K94" s="434">
        <v>40774</v>
      </c>
      <c r="L94" s="434">
        <v>123047</v>
      </c>
      <c r="M94" s="434">
        <v>126191</v>
      </c>
      <c r="N94" s="434">
        <v>8708</v>
      </c>
      <c r="O94" s="434"/>
      <c r="P94" s="434">
        <f t="shared" si="9"/>
        <v>20987</v>
      </c>
      <c r="Q94" s="434"/>
      <c r="R94" s="434">
        <v>3298</v>
      </c>
      <c r="S94" s="434">
        <v>17689</v>
      </c>
      <c r="U94" s="472"/>
      <c r="V94" s="472"/>
      <c r="W94" s="472"/>
      <c r="X94" s="472"/>
      <c r="Y94" s="472"/>
    </row>
    <row r="95" spans="1:25" s="428" customFormat="1" ht="9" customHeight="1" x14ac:dyDescent="0.25">
      <c r="A95" s="431" t="s">
        <v>63</v>
      </c>
      <c r="B95" s="427">
        <f t="shared" si="7"/>
        <v>265977</v>
      </c>
      <c r="C95" s="427"/>
      <c r="D95" s="477">
        <v>60408</v>
      </c>
      <c r="E95" s="477">
        <v>135743</v>
      </c>
      <c r="F95" s="477">
        <v>44431</v>
      </c>
      <c r="G95" s="477">
        <v>25395</v>
      </c>
      <c r="I95" s="427">
        <f t="shared" si="8"/>
        <v>996909</v>
      </c>
      <c r="J95" s="427"/>
      <c r="K95" s="427">
        <v>85486</v>
      </c>
      <c r="L95" s="427">
        <v>391890</v>
      </c>
      <c r="M95" s="427">
        <v>499834</v>
      </c>
      <c r="N95" s="427">
        <v>19699</v>
      </c>
      <c r="O95" s="427"/>
      <c r="P95" s="427">
        <f t="shared" si="9"/>
        <v>157085</v>
      </c>
      <c r="Q95" s="427"/>
      <c r="R95" s="427">
        <v>45238</v>
      </c>
      <c r="S95" s="427">
        <v>111847</v>
      </c>
      <c r="U95" s="472"/>
      <c r="V95" s="472"/>
      <c r="W95" s="472"/>
      <c r="X95" s="472"/>
      <c r="Y95" s="472"/>
    </row>
    <row r="96" spans="1:25" s="428" customFormat="1" ht="9" customHeight="1" x14ac:dyDescent="0.25">
      <c r="A96" s="431" t="s">
        <v>31</v>
      </c>
      <c r="B96" s="427">
        <f t="shared" si="7"/>
        <v>52525</v>
      </c>
      <c r="C96" s="427"/>
      <c r="D96" s="477">
        <v>23298</v>
      </c>
      <c r="E96" s="477">
        <v>17725</v>
      </c>
      <c r="F96" s="477">
        <v>6906</v>
      </c>
      <c r="G96" s="477">
        <v>4596</v>
      </c>
      <c r="I96" s="427">
        <f t="shared" si="8"/>
        <v>157074</v>
      </c>
      <c r="J96" s="427"/>
      <c r="K96" s="427">
        <v>38534</v>
      </c>
      <c r="L96" s="427">
        <v>45954</v>
      </c>
      <c r="M96" s="427">
        <v>65208</v>
      </c>
      <c r="N96" s="427">
        <v>7378</v>
      </c>
      <c r="O96" s="427"/>
      <c r="P96" s="427">
        <f t="shared" si="9"/>
        <v>15759</v>
      </c>
      <c r="Q96" s="427"/>
      <c r="R96" s="427">
        <v>1254</v>
      </c>
      <c r="S96" s="427">
        <v>14505</v>
      </c>
      <c r="U96" s="472"/>
      <c r="V96" s="472"/>
      <c r="W96" s="472"/>
      <c r="X96" s="472"/>
      <c r="Y96" s="472"/>
    </row>
    <row r="97" spans="1:25" s="428" customFormat="1" ht="9" customHeight="1" x14ac:dyDescent="0.25">
      <c r="A97" s="431" t="s">
        <v>32</v>
      </c>
      <c r="B97" s="427">
        <f t="shared" si="7"/>
        <v>98562</v>
      </c>
      <c r="C97" s="427"/>
      <c r="D97" s="477">
        <v>38090</v>
      </c>
      <c r="E97" s="477">
        <v>36537</v>
      </c>
      <c r="F97" s="477">
        <v>11379</v>
      </c>
      <c r="G97" s="477">
        <v>12556</v>
      </c>
      <c r="I97" s="427">
        <f t="shared" si="8"/>
        <v>297837</v>
      </c>
      <c r="J97" s="427"/>
      <c r="K97" s="427">
        <v>59218</v>
      </c>
      <c r="L97" s="427">
        <v>100361</v>
      </c>
      <c r="M97" s="427">
        <v>120041</v>
      </c>
      <c r="N97" s="427">
        <v>18217</v>
      </c>
      <c r="O97" s="427"/>
      <c r="P97" s="427">
        <f t="shared" si="9"/>
        <v>22372</v>
      </c>
      <c r="Q97" s="427"/>
      <c r="R97" s="427">
        <v>1498</v>
      </c>
      <c r="S97" s="427">
        <v>20874</v>
      </c>
      <c r="U97" s="472"/>
      <c r="V97" s="472"/>
      <c r="W97" s="472"/>
      <c r="X97" s="472"/>
      <c r="Y97" s="472"/>
    </row>
    <row r="98" spans="1:25" s="428" customFormat="1" ht="9" customHeight="1" x14ac:dyDescent="0.25">
      <c r="A98" s="433" t="s">
        <v>33</v>
      </c>
      <c r="B98" s="434">
        <f t="shared" si="7"/>
        <v>64669</v>
      </c>
      <c r="C98" s="434"/>
      <c r="D98" s="479">
        <v>29082</v>
      </c>
      <c r="E98" s="479">
        <v>20023</v>
      </c>
      <c r="F98" s="479">
        <v>8135</v>
      </c>
      <c r="G98" s="479">
        <v>7429</v>
      </c>
      <c r="H98" s="475"/>
      <c r="I98" s="434">
        <f t="shared" si="8"/>
        <v>256558</v>
      </c>
      <c r="J98" s="434"/>
      <c r="K98" s="434">
        <v>68742</v>
      </c>
      <c r="L98" s="434">
        <v>57626</v>
      </c>
      <c r="M98" s="434">
        <v>114634</v>
      </c>
      <c r="N98" s="434">
        <v>15556</v>
      </c>
      <c r="O98" s="434"/>
      <c r="P98" s="434">
        <f t="shared" si="9"/>
        <v>22698</v>
      </c>
      <c r="Q98" s="434"/>
      <c r="R98" s="434">
        <v>1104</v>
      </c>
      <c r="S98" s="434">
        <v>21594</v>
      </c>
      <c r="U98" s="472"/>
      <c r="V98" s="472"/>
      <c r="W98" s="472"/>
      <c r="X98" s="472"/>
      <c r="Y98" s="472"/>
    </row>
    <row r="99" spans="1:25" s="428" customFormat="1" ht="9" customHeight="1" x14ac:dyDescent="0.25">
      <c r="A99" s="431" t="s">
        <v>34</v>
      </c>
      <c r="B99" s="427">
        <f t="shared" si="7"/>
        <v>64750</v>
      </c>
      <c r="C99" s="427"/>
      <c r="D99" s="477">
        <v>19764</v>
      </c>
      <c r="E99" s="477">
        <v>30107</v>
      </c>
      <c r="F99" s="477">
        <v>9655</v>
      </c>
      <c r="G99" s="477">
        <v>5224</v>
      </c>
      <c r="I99" s="427">
        <f t="shared" si="8"/>
        <v>210555</v>
      </c>
      <c r="J99" s="427"/>
      <c r="K99" s="427">
        <v>32267</v>
      </c>
      <c r="L99" s="427">
        <v>69208</v>
      </c>
      <c r="M99" s="427">
        <v>101287</v>
      </c>
      <c r="N99" s="427">
        <v>7793</v>
      </c>
      <c r="O99" s="427"/>
      <c r="P99" s="427">
        <f t="shared" si="9"/>
        <v>19658</v>
      </c>
      <c r="Q99" s="427"/>
      <c r="R99" s="427">
        <v>1240</v>
      </c>
      <c r="S99" s="427">
        <v>18418</v>
      </c>
      <c r="U99" s="472"/>
      <c r="V99" s="472"/>
      <c r="W99" s="472"/>
      <c r="X99" s="472"/>
      <c r="Y99" s="472"/>
    </row>
    <row r="100" spans="1:25" s="428" customFormat="1" ht="9" customHeight="1" x14ac:dyDescent="0.25">
      <c r="A100" s="431" t="s">
        <v>35</v>
      </c>
      <c r="B100" s="427">
        <f t="shared" si="7"/>
        <v>124989</v>
      </c>
      <c r="C100" s="427"/>
      <c r="D100" s="477">
        <v>37808</v>
      </c>
      <c r="E100" s="477">
        <v>52585</v>
      </c>
      <c r="F100" s="477">
        <v>20051</v>
      </c>
      <c r="G100" s="477">
        <v>14545</v>
      </c>
      <c r="I100" s="427">
        <f t="shared" si="8"/>
        <v>458802</v>
      </c>
      <c r="J100" s="427"/>
      <c r="K100" s="427">
        <v>70072</v>
      </c>
      <c r="L100" s="427">
        <v>132923</v>
      </c>
      <c r="M100" s="427">
        <v>222402</v>
      </c>
      <c r="N100" s="427">
        <v>33405</v>
      </c>
      <c r="O100" s="427"/>
      <c r="P100" s="427">
        <f t="shared" si="9"/>
        <v>33980</v>
      </c>
      <c r="Q100" s="427"/>
      <c r="R100" s="427">
        <v>2772</v>
      </c>
      <c r="S100" s="427">
        <v>31208</v>
      </c>
      <c r="U100" s="472"/>
      <c r="V100" s="472"/>
      <c r="W100" s="472"/>
      <c r="X100" s="472"/>
      <c r="Y100" s="472"/>
    </row>
    <row r="101" spans="1:25" s="428" customFormat="1" ht="9" customHeight="1" x14ac:dyDescent="0.25">
      <c r="A101" s="431" t="s">
        <v>36</v>
      </c>
      <c r="B101" s="427">
        <f t="shared" si="7"/>
        <v>264324</v>
      </c>
      <c r="C101" s="427"/>
      <c r="D101" s="477">
        <v>80746</v>
      </c>
      <c r="E101" s="477">
        <v>123376</v>
      </c>
      <c r="F101" s="477">
        <v>26523</v>
      </c>
      <c r="G101" s="477">
        <v>33679</v>
      </c>
      <c r="I101" s="427">
        <f t="shared" si="8"/>
        <v>1148922</v>
      </c>
      <c r="J101" s="427"/>
      <c r="K101" s="427">
        <v>215775</v>
      </c>
      <c r="L101" s="427">
        <v>414653</v>
      </c>
      <c r="M101" s="427">
        <v>409352</v>
      </c>
      <c r="N101" s="427">
        <v>109142</v>
      </c>
      <c r="O101" s="427"/>
      <c r="P101" s="427">
        <f t="shared" si="9"/>
        <v>44875</v>
      </c>
      <c r="Q101" s="427"/>
      <c r="R101" s="427">
        <v>8550</v>
      </c>
      <c r="S101" s="427">
        <v>36325</v>
      </c>
      <c r="U101" s="472"/>
      <c r="V101" s="472"/>
      <c r="W101" s="472"/>
      <c r="X101" s="472"/>
      <c r="Y101" s="472"/>
    </row>
    <row r="102" spans="1:25" s="428" customFormat="1" ht="9" customHeight="1" x14ac:dyDescent="0.25">
      <c r="A102" s="433" t="s">
        <v>37</v>
      </c>
      <c r="B102" s="434">
        <f t="shared" si="7"/>
        <v>112730</v>
      </c>
      <c r="C102" s="434"/>
      <c r="D102" s="479">
        <v>46432</v>
      </c>
      <c r="E102" s="479">
        <v>40859</v>
      </c>
      <c r="F102" s="479">
        <v>12983</v>
      </c>
      <c r="G102" s="479">
        <v>12456</v>
      </c>
      <c r="H102" s="475"/>
      <c r="I102" s="434">
        <f t="shared" si="8"/>
        <v>338802</v>
      </c>
      <c r="J102" s="434"/>
      <c r="K102" s="434">
        <v>71951</v>
      </c>
      <c r="L102" s="434">
        <v>124907</v>
      </c>
      <c r="M102" s="434">
        <v>125404</v>
      </c>
      <c r="N102" s="434">
        <v>16540</v>
      </c>
      <c r="O102" s="434"/>
      <c r="P102" s="434">
        <f t="shared" si="9"/>
        <v>31746</v>
      </c>
      <c r="Q102" s="434"/>
      <c r="R102" s="434">
        <v>1968</v>
      </c>
      <c r="S102" s="434">
        <v>29778</v>
      </c>
      <c r="U102" s="472"/>
      <c r="V102" s="472"/>
      <c r="W102" s="472"/>
      <c r="X102" s="472"/>
      <c r="Y102" s="472"/>
    </row>
    <row r="103" spans="1:25" s="428" customFormat="1" ht="9" customHeight="1" x14ac:dyDescent="0.25">
      <c r="A103" s="431" t="s">
        <v>38</v>
      </c>
      <c r="B103" s="427">
        <f t="shared" si="7"/>
        <v>32251</v>
      </c>
      <c r="C103" s="427"/>
      <c r="D103" s="477">
        <v>12402</v>
      </c>
      <c r="E103" s="477">
        <v>11510</v>
      </c>
      <c r="F103" s="477">
        <v>4414</v>
      </c>
      <c r="G103" s="477">
        <v>3925</v>
      </c>
      <c r="I103" s="427">
        <f t="shared" si="8"/>
        <v>123662</v>
      </c>
      <c r="J103" s="427"/>
      <c r="K103" s="427">
        <v>21773</v>
      </c>
      <c r="L103" s="427">
        <v>34441</v>
      </c>
      <c r="M103" s="427">
        <v>61873</v>
      </c>
      <c r="N103" s="427">
        <v>5575</v>
      </c>
      <c r="O103" s="427"/>
      <c r="P103" s="427">
        <f t="shared" si="9"/>
        <v>13246</v>
      </c>
      <c r="Q103" s="427"/>
      <c r="R103" s="427">
        <v>1030</v>
      </c>
      <c r="S103" s="427">
        <v>12216</v>
      </c>
      <c r="U103" s="472"/>
      <c r="V103" s="472"/>
      <c r="W103" s="472"/>
      <c r="X103" s="472"/>
      <c r="Y103" s="472"/>
    </row>
    <row r="104" spans="1:25" s="428" customFormat="1" ht="9" customHeight="1" x14ac:dyDescent="0.25">
      <c r="A104" s="431" t="s">
        <v>39</v>
      </c>
      <c r="B104" s="427">
        <f t="shared" si="7"/>
        <v>35053</v>
      </c>
      <c r="C104" s="427"/>
      <c r="D104" s="477">
        <v>15298</v>
      </c>
      <c r="E104" s="477">
        <v>12555</v>
      </c>
      <c r="F104" s="477">
        <v>4286</v>
      </c>
      <c r="G104" s="477">
        <v>2914</v>
      </c>
      <c r="I104" s="427">
        <f t="shared" si="8"/>
        <v>110993</v>
      </c>
      <c r="J104" s="427"/>
      <c r="K104" s="427">
        <v>26399</v>
      </c>
      <c r="L104" s="427">
        <v>34284</v>
      </c>
      <c r="M104" s="427">
        <v>46209</v>
      </c>
      <c r="N104" s="427">
        <v>4101</v>
      </c>
      <c r="O104" s="427"/>
      <c r="P104" s="427">
        <f t="shared" si="9"/>
        <v>9452</v>
      </c>
      <c r="Q104" s="427"/>
      <c r="R104" s="427">
        <v>613</v>
      </c>
      <c r="S104" s="427">
        <v>8839</v>
      </c>
      <c r="U104" s="472"/>
      <c r="V104" s="472"/>
      <c r="W104" s="472"/>
      <c r="X104" s="472"/>
      <c r="Y104" s="472"/>
    </row>
    <row r="105" spans="1:25" s="428" customFormat="1" ht="9" customHeight="1" x14ac:dyDescent="0.25">
      <c r="A105" s="431" t="s">
        <v>40</v>
      </c>
      <c r="B105" s="427">
        <f t="shared" si="7"/>
        <v>103916</v>
      </c>
      <c r="C105" s="427"/>
      <c r="D105" s="477">
        <v>25354</v>
      </c>
      <c r="E105" s="477">
        <v>56431</v>
      </c>
      <c r="F105" s="477">
        <v>14072</v>
      </c>
      <c r="G105" s="477">
        <v>8059</v>
      </c>
      <c r="I105" s="427">
        <f t="shared" si="8"/>
        <v>350786</v>
      </c>
      <c r="J105" s="427"/>
      <c r="K105" s="427">
        <v>35463</v>
      </c>
      <c r="L105" s="427">
        <v>130928</v>
      </c>
      <c r="M105" s="427">
        <v>173539</v>
      </c>
      <c r="N105" s="427">
        <v>10856</v>
      </c>
      <c r="O105" s="427"/>
      <c r="P105" s="427">
        <f t="shared" si="9"/>
        <v>23916</v>
      </c>
      <c r="Q105" s="427"/>
      <c r="R105" s="427">
        <v>2692</v>
      </c>
      <c r="S105" s="427">
        <v>21224</v>
      </c>
      <c r="U105" s="472"/>
      <c r="V105" s="472"/>
      <c r="W105" s="472"/>
      <c r="X105" s="472"/>
      <c r="Y105" s="472"/>
    </row>
    <row r="106" spans="1:25" s="428" customFormat="1" ht="9" customHeight="1" x14ac:dyDescent="0.25">
      <c r="A106" s="433" t="s">
        <v>41</v>
      </c>
      <c r="B106" s="434">
        <f t="shared" si="7"/>
        <v>76355</v>
      </c>
      <c r="C106" s="434"/>
      <c r="D106" s="479">
        <v>26582</v>
      </c>
      <c r="E106" s="479">
        <v>32745</v>
      </c>
      <c r="F106" s="479">
        <v>13347</v>
      </c>
      <c r="G106" s="479">
        <v>3681</v>
      </c>
      <c r="H106" s="475"/>
      <c r="I106" s="434">
        <f t="shared" si="8"/>
        <v>244727</v>
      </c>
      <c r="J106" s="434"/>
      <c r="K106" s="434">
        <v>43111</v>
      </c>
      <c r="L106" s="434">
        <v>80152</v>
      </c>
      <c r="M106" s="434">
        <v>116296</v>
      </c>
      <c r="N106" s="434">
        <v>5168</v>
      </c>
      <c r="O106" s="434"/>
      <c r="P106" s="434">
        <f t="shared" si="9"/>
        <v>25440</v>
      </c>
      <c r="Q106" s="434"/>
      <c r="R106" s="434">
        <v>935</v>
      </c>
      <c r="S106" s="434">
        <v>24505</v>
      </c>
      <c r="U106" s="472"/>
      <c r="V106" s="472"/>
      <c r="W106" s="472"/>
      <c r="X106" s="472"/>
      <c r="Y106" s="472"/>
    </row>
    <row r="107" spans="1:25" s="428" customFormat="1" ht="9" customHeight="1" x14ac:dyDescent="0.25">
      <c r="A107" s="431" t="s">
        <v>42</v>
      </c>
      <c r="B107" s="427">
        <f t="shared" si="7"/>
        <v>131632</v>
      </c>
      <c r="C107" s="427"/>
      <c r="D107" s="477">
        <v>47195</v>
      </c>
      <c r="E107" s="477">
        <v>49972</v>
      </c>
      <c r="F107" s="477">
        <v>19621</v>
      </c>
      <c r="G107" s="477">
        <v>14844</v>
      </c>
      <c r="I107" s="427">
        <f t="shared" si="8"/>
        <v>395129</v>
      </c>
      <c r="J107" s="427"/>
      <c r="K107" s="427">
        <v>77554</v>
      </c>
      <c r="L107" s="427">
        <v>134038</v>
      </c>
      <c r="M107" s="427">
        <v>161589</v>
      </c>
      <c r="N107" s="427">
        <v>21948</v>
      </c>
      <c r="O107" s="427"/>
      <c r="P107" s="427">
        <f t="shared" si="9"/>
        <v>32497</v>
      </c>
      <c r="Q107" s="427"/>
      <c r="R107" s="427">
        <v>3417</v>
      </c>
      <c r="S107" s="427">
        <v>29080</v>
      </c>
      <c r="U107" s="472"/>
      <c r="V107" s="472"/>
      <c r="W107" s="472"/>
      <c r="X107" s="472"/>
      <c r="Y107" s="472"/>
    </row>
    <row r="108" spans="1:25" s="428" customFormat="1" ht="9" customHeight="1" x14ac:dyDescent="0.25">
      <c r="A108" s="431" t="s">
        <v>43</v>
      </c>
      <c r="B108" s="427">
        <f t="shared" si="7"/>
        <v>34326</v>
      </c>
      <c r="C108" s="427"/>
      <c r="D108" s="477">
        <v>10897</v>
      </c>
      <c r="E108" s="477">
        <v>15137</v>
      </c>
      <c r="F108" s="477">
        <v>5115</v>
      </c>
      <c r="G108" s="477">
        <v>3177</v>
      </c>
      <c r="I108" s="427">
        <f t="shared" si="8"/>
        <v>113299</v>
      </c>
      <c r="J108" s="427"/>
      <c r="K108" s="427">
        <v>15750</v>
      </c>
      <c r="L108" s="427">
        <v>37435</v>
      </c>
      <c r="M108" s="427">
        <v>54296</v>
      </c>
      <c r="N108" s="427">
        <v>5818</v>
      </c>
      <c r="O108" s="427"/>
      <c r="P108" s="427">
        <f t="shared" si="9"/>
        <v>11567</v>
      </c>
      <c r="Q108" s="427"/>
      <c r="R108" s="427">
        <v>1275</v>
      </c>
      <c r="S108" s="427">
        <v>10292</v>
      </c>
      <c r="U108" s="472"/>
      <c r="V108" s="472"/>
      <c r="W108" s="472"/>
      <c r="X108" s="472"/>
      <c r="Y108" s="472"/>
    </row>
    <row r="109" spans="1:25" s="428" customFormat="1" ht="9" customHeight="1" x14ac:dyDescent="0.25">
      <c r="A109" s="431" t="s">
        <v>44</v>
      </c>
      <c r="B109" s="427">
        <f t="shared" si="7"/>
        <v>20633</v>
      </c>
      <c r="C109" s="427"/>
      <c r="D109" s="477">
        <v>8491</v>
      </c>
      <c r="E109" s="477">
        <v>6767</v>
      </c>
      <c r="F109" s="477">
        <v>3957</v>
      </c>
      <c r="G109" s="477">
        <v>1418</v>
      </c>
      <c r="I109" s="427">
        <f t="shared" si="8"/>
        <v>57252</v>
      </c>
      <c r="J109" s="427"/>
      <c r="K109" s="427">
        <v>11325</v>
      </c>
      <c r="L109" s="427">
        <v>14407</v>
      </c>
      <c r="M109" s="427">
        <v>29719</v>
      </c>
      <c r="N109" s="427">
        <v>1801</v>
      </c>
      <c r="O109" s="427"/>
      <c r="P109" s="427">
        <f t="shared" si="9"/>
        <v>7763</v>
      </c>
      <c r="Q109" s="427"/>
      <c r="R109" s="427">
        <v>753</v>
      </c>
      <c r="S109" s="427">
        <v>7010</v>
      </c>
      <c r="U109" s="472"/>
      <c r="V109" s="472"/>
      <c r="W109" s="472"/>
      <c r="X109" s="472"/>
      <c r="Y109" s="472"/>
    </row>
    <row r="110" spans="1:25" s="428" customFormat="1" ht="9" customHeight="1" x14ac:dyDescent="0.25">
      <c r="A110" s="433" t="s">
        <v>45</v>
      </c>
      <c r="B110" s="434">
        <f t="shared" si="7"/>
        <v>71118</v>
      </c>
      <c r="C110" s="434"/>
      <c r="D110" s="479">
        <v>32208</v>
      </c>
      <c r="E110" s="479">
        <v>27752</v>
      </c>
      <c r="F110" s="479">
        <v>6589</v>
      </c>
      <c r="G110" s="479">
        <v>4569</v>
      </c>
      <c r="H110" s="475"/>
      <c r="I110" s="434">
        <f t="shared" si="8"/>
        <v>194024</v>
      </c>
      <c r="J110" s="434"/>
      <c r="K110" s="434">
        <v>44288</v>
      </c>
      <c r="L110" s="434">
        <v>73880</v>
      </c>
      <c r="M110" s="434">
        <v>68338</v>
      </c>
      <c r="N110" s="434">
        <v>7518</v>
      </c>
      <c r="O110" s="434"/>
      <c r="P110" s="434">
        <f t="shared" si="9"/>
        <v>15190</v>
      </c>
      <c r="Q110" s="434"/>
      <c r="R110" s="434">
        <v>1411</v>
      </c>
      <c r="S110" s="434">
        <v>13779</v>
      </c>
      <c r="U110" s="472"/>
      <c r="V110" s="472"/>
      <c r="W110" s="472"/>
      <c r="X110" s="472"/>
      <c r="Y110" s="472"/>
    </row>
    <row r="111" spans="1:25" s="428" customFormat="1" ht="9" customHeight="1" x14ac:dyDescent="0.25">
      <c r="A111" s="431" t="s">
        <v>46</v>
      </c>
      <c r="B111" s="427">
        <f t="shared" si="7"/>
        <v>79392</v>
      </c>
      <c r="C111" s="427"/>
      <c r="D111" s="477">
        <v>24667</v>
      </c>
      <c r="E111" s="477">
        <v>39468</v>
      </c>
      <c r="F111" s="477">
        <v>12118</v>
      </c>
      <c r="G111" s="477">
        <v>3139</v>
      </c>
      <c r="I111" s="427">
        <f t="shared" si="8"/>
        <v>290642</v>
      </c>
      <c r="J111" s="427"/>
      <c r="K111" s="427">
        <v>50009</v>
      </c>
      <c r="L111" s="427">
        <v>95652</v>
      </c>
      <c r="M111" s="427">
        <v>140186</v>
      </c>
      <c r="N111" s="427">
        <v>4795</v>
      </c>
      <c r="O111" s="427"/>
      <c r="P111" s="427">
        <f t="shared" si="9"/>
        <v>24574</v>
      </c>
      <c r="Q111" s="427"/>
      <c r="R111" s="427">
        <v>640</v>
      </c>
      <c r="S111" s="427">
        <v>23934</v>
      </c>
      <c r="U111" s="472"/>
      <c r="V111" s="472"/>
      <c r="W111" s="472"/>
      <c r="X111" s="472"/>
      <c r="Y111" s="472"/>
    </row>
    <row r="112" spans="1:25" s="428" customFormat="1" ht="9" customHeight="1" x14ac:dyDescent="0.25">
      <c r="A112" s="431" t="s">
        <v>47</v>
      </c>
      <c r="B112" s="427">
        <f t="shared" si="7"/>
        <v>51550</v>
      </c>
      <c r="C112" s="427"/>
      <c r="D112" s="477">
        <v>16192</v>
      </c>
      <c r="E112" s="477">
        <v>24731</v>
      </c>
      <c r="F112" s="477">
        <v>7437</v>
      </c>
      <c r="G112" s="477">
        <v>3190</v>
      </c>
      <c r="I112" s="427">
        <f t="shared" si="8"/>
        <v>186189</v>
      </c>
      <c r="J112" s="427"/>
      <c r="K112" s="427">
        <v>25366</v>
      </c>
      <c r="L112" s="427">
        <v>59170</v>
      </c>
      <c r="M112" s="427">
        <v>94232</v>
      </c>
      <c r="N112" s="427">
        <v>7421</v>
      </c>
      <c r="O112" s="427"/>
      <c r="P112" s="427">
        <f t="shared" si="9"/>
        <v>15375</v>
      </c>
      <c r="Q112" s="427"/>
      <c r="R112" s="427">
        <v>950</v>
      </c>
      <c r="S112" s="427">
        <v>14425</v>
      </c>
      <c r="U112" s="472"/>
      <c r="V112" s="472"/>
      <c r="W112" s="472"/>
      <c r="X112" s="472"/>
      <c r="Y112" s="472"/>
    </row>
    <row r="113" spans="1:25" s="428" customFormat="1" ht="9" customHeight="1" x14ac:dyDescent="0.25">
      <c r="A113" s="431" t="s">
        <v>48</v>
      </c>
      <c r="B113" s="427">
        <f t="shared" si="7"/>
        <v>41289</v>
      </c>
      <c r="C113" s="427"/>
      <c r="D113" s="477">
        <v>23891</v>
      </c>
      <c r="E113" s="477">
        <v>9750</v>
      </c>
      <c r="F113" s="477">
        <v>4798</v>
      </c>
      <c r="G113" s="477">
        <v>2850</v>
      </c>
      <c r="I113" s="427">
        <f t="shared" si="8"/>
        <v>168759</v>
      </c>
      <c r="J113" s="427"/>
      <c r="K113" s="427">
        <v>41605</v>
      </c>
      <c r="L113" s="427">
        <v>26320</v>
      </c>
      <c r="M113" s="427">
        <v>96366</v>
      </c>
      <c r="N113" s="427">
        <v>4468</v>
      </c>
      <c r="O113" s="427"/>
      <c r="P113" s="427">
        <f t="shared" si="9"/>
        <v>11384</v>
      </c>
      <c r="Q113" s="427"/>
      <c r="R113" s="427">
        <v>287</v>
      </c>
      <c r="S113" s="427">
        <v>11097</v>
      </c>
      <c r="U113" s="472"/>
      <c r="V113" s="472"/>
      <c r="W113" s="472"/>
      <c r="X113" s="472"/>
      <c r="Y113" s="472"/>
    </row>
    <row r="114" spans="1:25" s="428" customFormat="1" ht="9" customHeight="1" x14ac:dyDescent="0.25">
      <c r="A114" s="433" t="s">
        <v>49</v>
      </c>
      <c r="B114" s="434">
        <f t="shared" si="7"/>
        <v>69968</v>
      </c>
      <c r="C114" s="434"/>
      <c r="D114" s="479">
        <v>32115</v>
      </c>
      <c r="E114" s="479">
        <v>23977</v>
      </c>
      <c r="F114" s="479">
        <v>9738</v>
      </c>
      <c r="G114" s="479">
        <v>4138</v>
      </c>
      <c r="H114" s="475"/>
      <c r="I114" s="434">
        <f t="shared" si="8"/>
        <v>235574</v>
      </c>
      <c r="J114" s="434"/>
      <c r="K114" s="434">
        <v>43253</v>
      </c>
      <c r="L114" s="434">
        <v>62156</v>
      </c>
      <c r="M114" s="434">
        <v>125502</v>
      </c>
      <c r="N114" s="434">
        <v>4663</v>
      </c>
      <c r="O114" s="434"/>
      <c r="P114" s="434">
        <f t="shared" si="9"/>
        <v>22603</v>
      </c>
      <c r="Q114" s="434"/>
      <c r="R114" s="434">
        <v>1954</v>
      </c>
      <c r="S114" s="434">
        <v>20649</v>
      </c>
      <c r="U114" s="472"/>
      <c r="V114" s="472"/>
      <c r="W114" s="472"/>
      <c r="X114" s="472"/>
      <c r="Y114" s="472"/>
    </row>
    <row r="115" spans="1:25" s="428" customFormat="1" ht="9" customHeight="1" x14ac:dyDescent="0.25">
      <c r="A115" s="431" t="s">
        <v>50</v>
      </c>
      <c r="B115" s="427">
        <f t="shared" si="7"/>
        <v>26021</v>
      </c>
      <c r="C115" s="427"/>
      <c r="D115" s="477">
        <v>7989</v>
      </c>
      <c r="E115" s="477">
        <v>10747</v>
      </c>
      <c r="F115" s="477">
        <v>3380</v>
      </c>
      <c r="G115" s="477">
        <v>3905</v>
      </c>
      <c r="I115" s="427">
        <f t="shared" si="8"/>
        <v>79778</v>
      </c>
      <c r="J115" s="427"/>
      <c r="K115" s="427">
        <v>12755</v>
      </c>
      <c r="L115" s="427">
        <v>26438</v>
      </c>
      <c r="M115" s="427">
        <v>34361</v>
      </c>
      <c r="N115" s="427">
        <v>6224</v>
      </c>
      <c r="O115" s="427"/>
      <c r="P115" s="427">
        <f t="shared" si="9"/>
        <v>7444</v>
      </c>
      <c r="Q115" s="427"/>
      <c r="R115" s="427">
        <v>455</v>
      </c>
      <c r="S115" s="427">
        <v>6989</v>
      </c>
      <c r="U115" s="472"/>
      <c r="V115" s="472"/>
      <c r="W115" s="472"/>
      <c r="X115" s="472"/>
      <c r="Y115" s="472"/>
    </row>
    <row r="116" spans="1:25" s="428" customFormat="1" ht="9" customHeight="1" x14ac:dyDescent="0.25">
      <c r="A116" s="431" t="s">
        <v>51</v>
      </c>
      <c r="B116" s="427">
        <f t="shared" si="7"/>
        <v>189667</v>
      </c>
      <c r="C116" s="427"/>
      <c r="D116" s="477">
        <v>70929</v>
      </c>
      <c r="E116" s="477">
        <v>81040</v>
      </c>
      <c r="F116" s="477">
        <v>28128</v>
      </c>
      <c r="G116" s="477">
        <v>9570</v>
      </c>
      <c r="I116" s="427">
        <f t="shared" si="8"/>
        <v>633835</v>
      </c>
      <c r="J116" s="427"/>
      <c r="K116" s="427">
        <v>112104</v>
      </c>
      <c r="L116" s="427">
        <v>207325</v>
      </c>
      <c r="M116" s="427">
        <v>300600</v>
      </c>
      <c r="N116" s="427">
        <v>13806</v>
      </c>
      <c r="O116" s="427"/>
      <c r="P116" s="427">
        <f t="shared" si="9"/>
        <v>47953</v>
      </c>
      <c r="Q116" s="427"/>
      <c r="R116" s="427">
        <v>2360</v>
      </c>
      <c r="S116" s="427">
        <v>45593</v>
      </c>
      <c r="U116" s="472"/>
      <c r="V116" s="472"/>
      <c r="W116" s="472"/>
      <c r="X116" s="472"/>
      <c r="Y116" s="472"/>
    </row>
    <row r="117" spans="1:25" s="428" customFormat="1" ht="9" customHeight="1" x14ac:dyDescent="0.25">
      <c r="A117" s="431" t="s">
        <v>52</v>
      </c>
      <c r="B117" s="427">
        <f t="shared" si="7"/>
        <v>41856</v>
      </c>
      <c r="C117" s="427"/>
      <c r="D117" s="477">
        <v>19591</v>
      </c>
      <c r="E117" s="477">
        <v>13548</v>
      </c>
      <c r="F117" s="477">
        <v>7416</v>
      </c>
      <c r="G117" s="477">
        <v>1301</v>
      </c>
      <c r="I117" s="427">
        <f t="shared" si="8"/>
        <v>119320</v>
      </c>
      <c r="J117" s="427"/>
      <c r="K117" s="427">
        <v>30046</v>
      </c>
      <c r="L117" s="427">
        <v>24069</v>
      </c>
      <c r="M117" s="427">
        <v>62665</v>
      </c>
      <c r="N117" s="427">
        <v>2540</v>
      </c>
      <c r="O117" s="427"/>
      <c r="P117" s="427">
        <f t="shared" si="9"/>
        <v>11714</v>
      </c>
      <c r="Q117" s="427"/>
      <c r="R117" s="427">
        <v>741</v>
      </c>
      <c r="S117" s="427">
        <v>10973</v>
      </c>
      <c r="U117" s="472"/>
      <c r="V117" s="472"/>
      <c r="W117" s="472"/>
      <c r="X117" s="472"/>
      <c r="Y117" s="472"/>
    </row>
    <row r="118" spans="1:25" s="428" customFormat="1" ht="9" customHeight="1" x14ac:dyDescent="0.25">
      <c r="A118" s="433" t="s">
        <v>53</v>
      </c>
      <c r="B118" s="434">
        <f t="shared" si="7"/>
        <v>48749</v>
      </c>
      <c r="C118" s="434"/>
      <c r="D118" s="479">
        <v>14763</v>
      </c>
      <c r="E118" s="479">
        <v>22546</v>
      </c>
      <c r="F118" s="479">
        <v>5862</v>
      </c>
      <c r="G118" s="479">
        <v>5578</v>
      </c>
      <c r="H118" s="475"/>
      <c r="I118" s="434">
        <f t="shared" si="8"/>
        <v>140142</v>
      </c>
      <c r="J118" s="434"/>
      <c r="K118" s="434">
        <v>25337</v>
      </c>
      <c r="L118" s="434">
        <v>55286</v>
      </c>
      <c r="M118" s="434">
        <v>50691</v>
      </c>
      <c r="N118" s="434">
        <v>8828</v>
      </c>
      <c r="O118" s="434"/>
      <c r="P118" s="434">
        <f t="shared" si="9"/>
        <v>9450</v>
      </c>
      <c r="Q118" s="434"/>
      <c r="R118" s="434">
        <v>593</v>
      </c>
      <c r="S118" s="434">
        <v>8857</v>
      </c>
      <c r="U118" s="472"/>
      <c r="V118" s="472"/>
      <c r="W118" s="472"/>
      <c r="X118" s="472"/>
      <c r="Y118" s="472"/>
    </row>
    <row r="119" spans="1:25" s="428" customFormat="1" ht="9" customHeight="1" x14ac:dyDescent="0.25">
      <c r="A119" s="431"/>
      <c r="B119" s="427"/>
      <c r="C119" s="427"/>
      <c r="D119" s="477"/>
      <c r="E119" s="477"/>
      <c r="F119" s="477"/>
      <c r="G119" s="477"/>
      <c r="I119" s="427"/>
      <c r="J119" s="427"/>
      <c r="K119" s="427"/>
      <c r="L119" s="427"/>
      <c r="M119" s="427"/>
      <c r="N119" s="427"/>
      <c r="O119" s="427"/>
      <c r="P119" s="427"/>
      <c r="Q119" s="427"/>
      <c r="R119" s="427"/>
      <c r="S119" s="427"/>
      <c r="U119" s="472"/>
      <c r="V119" s="472"/>
      <c r="W119" s="472"/>
      <c r="X119" s="472"/>
      <c r="Y119" s="472"/>
    </row>
    <row r="120" spans="1:25" s="428" customFormat="1" ht="9" customHeight="1" x14ac:dyDescent="0.25">
      <c r="A120" s="441">
        <v>1998</v>
      </c>
      <c r="B120" s="427"/>
      <c r="C120" s="427"/>
      <c r="D120" s="476"/>
      <c r="E120" s="477"/>
      <c r="F120" s="477"/>
      <c r="G120" s="477"/>
      <c r="H120" s="477"/>
      <c r="I120" s="477"/>
      <c r="J120" s="477"/>
      <c r="K120" s="477"/>
      <c r="L120" s="477"/>
      <c r="M120" s="477"/>
      <c r="N120" s="477"/>
      <c r="O120" s="477"/>
      <c r="P120" s="477"/>
      <c r="Q120" s="477"/>
      <c r="R120" s="477"/>
      <c r="S120" s="477"/>
      <c r="U120" s="472"/>
      <c r="V120" s="472"/>
      <c r="W120" s="472"/>
      <c r="X120" s="472"/>
      <c r="Y120" s="472"/>
    </row>
    <row r="121" spans="1:25" s="428" customFormat="1" ht="9" customHeight="1" x14ac:dyDescent="0.25">
      <c r="A121" s="429" t="s">
        <v>21</v>
      </c>
      <c r="B121" s="476">
        <f>SUM(B123:B154)</f>
        <v>2544792</v>
      </c>
      <c r="C121" s="476"/>
      <c r="D121" s="476">
        <f>SUM(D123:D154)</f>
        <v>944631</v>
      </c>
      <c r="E121" s="476">
        <f>SUM(E123:E154)</f>
        <v>1049342</v>
      </c>
      <c r="F121" s="476">
        <f>SUM(F123:F154)</f>
        <v>341460</v>
      </c>
      <c r="G121" s="476">
        <f>SUM(G123:G154)</f>
        <v>209359</v>
      </c>
      <c r="H121" s="476"/>
      <c r="I121" s="430">
        <f>SUM(I123:I154)</f>
        <v>8978659</v>
      </c>
      <c r="J121" s="430"/>
      <c r="K121" s="430">
        <f>SUM(K123:K154)</f>
        <v>1572572</v>
      </c>
      <c r="L121" s="430">
        <f>SUM(L123:L154)</f>
        <v>2932876</v>
      </c>
      <c r="M121" s="430">
        <f>SUM(M123:M154)</f>
        <v>4085150</v>
      </c>
      <c r="N121" s="430">
        <f>SUM(N123:N154)</f>
        <v>388061</v>
      </c>
      <c r="O121" s="430"/>
      <c r="P121" s="430">
        <f>SUM(P123:P154)</f>
        <v>813251</v>
      </c>
      <c r="Q121" s="430"/>
      <c r="R121" s="430">
        <f>SUM(R123:R154)</f>
        <v>94934</v>
      </c>
      <c r="S121" s="430">
        <f>SUM(S123:S154)</f>
        <v>718317</v>
      </c>
      <c r="U121" s="472"/>
      <c r="V121" s="472"/>
      <c r="W121" s="472"/>
      <c r="X121" s="472"/>
      <c r="Y121" s="472"/>
    </row>
    <row r="122" spans="1:25" s="428" customFormat="1" ht="3.95" customHeight="1" x14ac:dyDescent="0.25">
      <c r="A122" s="429"/>
      <c r="B122" s="476"/>
      <c r="C122" s="476"/>
      <c r="D122" s="476"/>
      <c r="E122" s="476"/>
      <c r="F122" s="476"/>
      <c r="G122" s="476"/>
      <c r="H122" s="476"/>
      <c r="I122" s="430"/>
      <c r="J122" s="430"/>
      <c r="K122" s="430"/>
      <c r="L122" s="430"/>
      <c r="M122" s="430"/>
      <c r="N122" s="430"/>
      <c r="O122" s="430"/>
      <c r="P122" s="430"/>
      <c r="Q122" s="430"/>
      <c r="R122" s="430"/>
      <c r="S122" s="430"/>
      <c r="U122" s="472"/>
      <c r="V122" s="472"/>
      <c r="W122" s="472"/>
      <c r="X122" s="472"/>
      <c r="Y122" s="472"/>
    </row>
    <row r="123" spans="1:25" s="428" customFormat="1" ht="9" customHeight="1" x14ac:dyDescent="0.25">
      <c r="A123" s="431" t="s">
        <v>23</v>
      </c>
      <c r="B123" s="427">
        <f t="shared" ref="B123:B154" si="10">SUM(D123:G123)</f>
        <v>26985</v>
      </c>
      <c r="C123" s="427"/>
      <c r="D123" s="477">
        <v>9208</v>
      </c>
      <c r="E123" s="477">
        <v>11292</v>
      </c>
      <c r="F123" s="477">
        <v>3622</v>
      </c>
      <c r="G123" s="477">
        <v>2863</v>
      </c>
      <c r="I123" s="427">
        <f t="shared" ref="I123:I154" si="11">SUM(K123:O123)</f>
        <v>78614</v>
      </c>
      <c r="J123" s="427"/>
      <c r="K123" s="427">
        <v>12086</v>
      </c>
      <c r="L123" s="427">
        <v>29487</v>
      </c>
      <c r="M123" s="427">
        <v>31994</v>
      </c>
      <c r="N123" s="427">
        <v>5047</v>
      </c>
      <c r="O123" s="427"/>
      <c r="P123" s="427">
        <f t="shared" ref="P123:P154" si="12">SUM(R123:S123)</f>
        <v>7217</v>
      </c>
      <c r="Q123" s="427"/>
      <c r="R123" s="427">
        <v>581</v>
      </c>
      <c r="S123" s="427">
        <v>6636</v>
      </c>
      <c r="U123" s="472"/>
      <c r="V123" s="472"/>
      <c r="W123" s="472"/>
      <c r="X123" s="472"/>
      <c r="Y123" s="472"/>
    </row>
    <row r="124" spans="1:25" s="428" customFormat="1" ht="9" customHeight="1" x14ac:dyDescent="0.25">
      <c r="A124" s="431" t="s">
        <v>24</v>
      </c>
      <c r="B124" s="427">
        <f t="shared" si="10"/>
        <v>70688</v>
      </c>
      <c r="C124" s="427"/>
      <c r="D124" s="477">
        <v>37684</v>
      </c>
      <c r="E124" s="477">
        <v>19172</v>
      </c>
      <c r="F124" s="477">
        <v>10423</v>
      </c>
      <c r="G124" s="477">
        <v>3409</v>
      </c>
      <c r="I124" s="427">
        <f t="shared" si="11"/>
        <v>208053</v>
      </c>
      <c r="J124" s="427"/>
      <c r="K124" s="427">
        <v>41417</v>
      </c>
      <c r="L124" s="427">
        <v>58315</v>
      </c>
      <c r="M124" s="427">
        <v>103012</v>
      </c>
      <c r="N124" s="427">
        <v>5309</v>
      </c>
      <c r="O124" s="427"/>
      <c r="P124" s="427">
        <f t="shared" si="12"/>
        <v>17060</v>
      </c>
      <c r="Q124" s="427"/>
      <c r="R124" s="427">
        <v>1609</v>
      </c>
      <c r="S124" s="427">
        <v>15451</v>
      </c>
      <c r="U124" s="472"/>
      <c r="V124" s="472"/>
      <c r="W124" s="472"/>
      <c r="X124" s="472"/>
      <c r="Y124" s="472"/>
    </row>
    <row r="125" spans="1:25" s="428" customFormat="1" ht="9" customHeight="1" x14ac:dyDescent="0.25">
      <c r="A125" s="431" t="s">
        <v>25</v>
      </c>
      <c r="B125" s="427">
        <f t="shared" si="10"/>
        <v>13799</v>
      </c>
      <c r="C125" s="427"/>
      <c r="D125" s="477">
        <v>5965</v>
      </c>
      <c r="E125" s="477">
        <v>4787</v>
      </c>
      <c r="F125" s="477">
        <v>1912</v>
      </c>
      <c r="G125" s="477">
        <v>1135</v>
      </c>
      <c r="I125" s="427">
        <f t="shared" si="11"/>
        <v>49697</v>
      </c>
      <c r="J125" s="427"/>
      <c r="K125" s="427">
        <v>7554</v>
      </c>
      <c r="L125" s="427">
        <v>12217</v>
      </c>
      <c r="M125" s="427">
        <v>29190</v>
      </c>
      <c r="N125" s="427">
        <v>736</v>
      </c>
      <c r="O125" s="427"/>
      <c r="P125" s="427">
        <f t="shared" si="12"/>
        <v>7088</v>
      </c>
      <c r="Q125" s="427"/>
      <c r="R125" s="427">
        <v>380</v>
      </c>
      <c r="S125" s="427">
        <v>6708</v>
      </c>
      <c r="U125" s="472"/>
      <c r="V125" s="472"/>
      <c r="W125" s="472"/>
      <c r="X125" s="472"/>
      <c r="Y125" s="472"/>
    </row>
    <row r="126" spans="1:25" s="428" customFormat="1" ht="9" customHeight="1" x14ac:dyDescent="0.25">
      <c r="A126" s="433" t="s">
        <v>26</v>
      </c>
      <c r="B126" s="434">
        <f t="shared" si="10"/>
        <v>21464</v>
      </c>
      <c r="C126" s="434"/>
      <c r="D126" s="479">
        <v>10449</v>
      </c>
      <c r="E126" s="479">
        <v>5922</v>
      </c>
      <c r="F126" s="479">
        <v>4005</v>
      </c>
      <c r="G126" s="479">
        <v>1088</v>
      </c>
      <c r="H126" s="475"/>
      <c r="I126" s="434">
        <f t="shared" si="11"/>
        <v>67938</v>
      </c>
      <c r="J126" s="434"/>
      <c r="K126" s="434">
        <v>16760</v>
      </c>
      <c r="L126" s="434">
        <v>11433</v>
      </c>
      <c r="M126" s="434">
        <v>38713</v>
      </c>
      <c r="N126" s="434">
        <v>1032</v>
      </c>
      <c r="O126" s="434"/>
      <c r="P126" s="434">
        <f t="shared" si="12"/>
        <v>8568</v>
      </c>
      <c r="Q126" s="434"/>
      <c r="R126" s="434">
        <v>545</v>
      </c>
      <c r="S126" s="434">
        <v>8023</v>
      </c>
      <c r="U126" s="472"/>
      <c r="V126" s="472"/>
      <c r="W126" s="472"/>
      <c r="X126" s="472"/>
      <c r="Y126" s="472"/>
    </row>
    <row r="127" spans="1:25" s="428" customFormat="1" ht="9" customHeight="1" x14ac:dyDescent="0.25">
      <c r="A127" s="431" t="s">
        <v>27</v>
      </c>
      <c r="B127" s="427">
        <f t="shared" si="10"/>
        <v>74894</v>
      </c>
      <c r="C127" s="427"/>
      <c r="D127" s="477">
        <v>28428</v>
      </c>
      <c r="E127" s="477">
        <v>30369</v>
      </c>
      <c r="F127" s="477">
        <v>12192</v>
      </c>
      <c r="G127" s="477">
        <v>3905</v>
      </c>
      <c r="I127" s="427">
        <f t="shared" si="11"/>
        <v>251994</v>
      </c>
      <c r="J127" s="427"/>
      <c r="K127" s="427">
        <v>38980</v>
      </c>
      <c r="L127" s="427">
        <v>75716</v>
      </c>
      <c r="M127" s="427">
        <v>131868</v>
      </c>
      <c r="N127" s="427">
        <v>5430</v>
      </c>
      <c r="O127" s="427"/>
      <c r="P127" s="427">
        <f t="shared" si="12"/>
        <v>21557</v>
      </c>
      <c r="Q127" s="427"/>
      <c r="R127" s="427">
        <v>1198</v>
      </c>
      <c r="S127" s="427">
        <v>20359</v>
      </c>
      <c r="U127" s="472"/>
      <c r="V127" s="472"/>
      <c r="W127" s="472"/>
      <c r="X127" s="472"/>
      <c r="Y127" s="472"/>
    </row>
    <row r="128" spans="1:25" s="428" customFormat="1" ht="9" customHeight="1" x14ac:dyDescent="0.25">
      <c r="A128" s="431" t="s">
        <v>28</v>
      </c>
      <c r="B128" s="427">
        <f t="shared" si="10"/>
        <v>19914</v>
      </c>
      <c r="C128" s="427"/>
      <c r="D128" s="477">
        <v>7081</v>
      </c>
      <c r="E128" s="477">
        <v>8753</v>
      </c>
      <c r="F128" s="477">
        <v>2723</v>
      </c>
      <c r="G128" s="477">
        <v>1357</v>
      </c>
      <c r="I128" s="427">
        <f t="shared" si="11"/>
        <v>66148</v>
      </c>
      <c r="J128" s="427"/>
      <c r="K128" s="427">
        <v>9297</v>
      </c>
      <c r="L128" s="427">
        <v>16725</v>
      </c>
      <c r="M128" s="427">
        <v>38386</v>
      </c>
      <c r="N128" s="427">
        <v>1740</v>
      </c>
      <c r="O128" s="427"/>
      <c r="P128" s="427">
        <f t="shared" si="12"/>
        <v>6192</v>
      </c>
      <c r="Q128" s="427"/>
      <c r="R128" s="427">
        <v>375</v>
      </c>
      <c r="S128" s="427">
        <v>5817</v>
      </c>
      <c r="U128" s="472"/>
      <c r="V128" s="472"/>
      <c r="W128" s="472"/>
      <c r="X128" s="472"/>
      <c r="Y128" s="472"/>
    </row>
    <row r="129" spans="1:25" s="428" customFormat="1" ht="9" customHeight="1" x14ac:dyDescent="0.25">
      <c r="A129" s="431" t="s">
        <v>29</v>
      </c>
      <c r="B129" s="427">
        <f t="shared" si="10"/>
        <v>112560</v>
      </c>
      <c r="C129" s="427"/>
      <c r="D129" s="477">
        <v>50107</v>
      </c>
      <c r="E129" s="477">
        <v>38047</v>
      </c>
      <c r="F129" s="477">
        <v>15985</v>
      </c>
      <c r="G129" s="477">
        <v>8421</v>
      </c>
      <c r="I129" s="427">
        <f t="shared" si="11"/>
        <v>345626</v>
      </c>
      <c r="J129" s="427"/>
      <c r="K129" s="427">
        <v>77759</v>
      </c>
      <c r="L129" s="427">
        <v>99159</v>
      </c>
      <c r="M129" s="427">
        <v>155374</v>
      </c>
      <c r="N129" s="427">
        <v>13334</v>
      </c>
      <c r="O129" s="427"/>
      <c r="P129" s="427">
        <f t="shared" si="12"/>
        <v>28800</v>
      </c>
      <c r="Q129" s="427"/>
      <c r="R129" s="427">
        <v>787</v>
      </c>
      <c r="S129" s="427">
        <v>28013</v>
      </c>
      <c r="U129" s="472"/>
      <c r="V129" s="472"/>
      <c r="W129" s="472"/>
      <c r="X129" s="472"/>
      <c r="Y129" s="472"/>
    </row>
    <row r="130" spans="1:25" s="428" customFormat="1" ht="9" customHeight="1" x14ac:dyDescent="0.25">
      <c r="A130" s="433" t="s">
        <v>30</v>
      </c>
      <c r="B130" s="434">
        <f t="shared" si="10"/>
        <v>85449</v>
      </c>
      <c r="C130" s="434"/>
      <c r="D130" s="479">
        <v>26233</v>
      </c>
      <c r="E130" s="479">
        <v>43766</v>
      </c>
      <c r="F130" s="479">
        <v>11290</v>
      </c>
      <c r="G130" s="479">
        <v>4160</v>
      </c>
      <c r="H130" s="475"/>
      <c r="I130" s="434">
        <f t="shared" si="11"/>
        <v>300485</v>
      </c>
      <c r="J130" s="434"/>
      <c r="K130" s="434">
        <v>37176</v>
      </c>
      <c r="L130" s="434">
        <v>124524</v>
      </c>
      <c r="M130" s="434">
        <v>134088</v>
      </c>
      <c r="N130" s="434">
        <v>4697</v>
      </c>
      <c r="O130" s="434"/>
      <c r="P130" s="434">
        <f t="shared" si="12"/>
        <v>21435</v>
      </c>
      <c r="Q130" s="434"/>
      <c r="R130" s="434">
        <v>3158</v>
      </c>
      <c r="S130" s="434">
        <v>18277</v>
      </c>
      <c r="U130" s="472"/>
      <c r="V130" s="472"/>
      <c r="W130" s="472"/>
      <c r="X130" s="472"/>
      <c r="Y130" s="472"/>
    </row>
    <row r="131" spans="1:25" s="428" customFormat="1" ht="9" customHeight="1" x14ac:dyDescent="0.25">
      <c r="A131" s="431" t="s">
        <v>63</v>
      </c>
      <c r="B131" s="427">
        <f t="shared" si="10"/>
        <v>260758</v>
      </c>
      <c r="C131" s="427"/>
      <c r="D131" s="477">
        <v>66104</v>
      </c>
      <c r="E131" s="477">
        <v>131567</v>
      </c>
      <c r="F131" s="477">
        <v>42221</v>
      </c>
      <c r="G131" s="477">
        <v>20866</v>
      </c>
      <c r="I131" s="427">
        <f t="shared" si="11"/>
        <v>1010038</v>
      </c>
      <c r="J131" s="427"/>
      <c r="K131" s="427">
        <v>99110</v>
      </c>
      <c r="L131" s="427">
        <v>384695</v>
      </c>
      <c r="M131" s="427">
        <v>508350</v>
      </c>
      <c r="N131" s="427">
        <v>17883</v>
      </c>
      <c r="O131" s="427"/>
      <c r="P131" s="427">
        <f t="shared" si="12"/>
        <v>162313</v>
      </c>
      <c r="Q131" s="427"/>
      <c r="R131" s="427">
        <v>46849</v>
      </c>
      <c r="S131" s="427">
        <v>115464</v>
      </c>
      <c r="U131" s="472"/>
      <c r="V131" s="472"/>
      <c r="W131" s="472"/>
      <c r="X131" s="472"/>
      <c r="Y131" s="472"/>
    </row>
    <row r="132" spans="1:25" s="428" customFormat="1" ht="9" customHeight="1" x14ac:dyDescent="0.25">
      <c r="A132" s="431" t="s">
        <v>31</v>
      </c>
      <c r="B132" s="427">
        <f t="shared" si="10"/>
        <v>52620</v>
      </c>
      <c r="C132" s="427"/>
      <c r="D132" s="477">
        <v>23021</v>
      </c>
      <c r="E132" s="477">
        <v>19696</v>
      </c>
      <c r="F132" s="477">
        <v>5397</v>
      </c>
      <c r="G132" s="477">
        <v>4506</v>
      </c>
      <c r="I132" s="427">
        <f t="shared" si="11"/>
        <v>174633</v>
      </c>
      <c r="J132" s="427"/>
      <c r="K132" s="427">
        <v>39005</v>
      </c>
      <c r="L132" s="427">
        <v>57843</v>
      </c>
      <c r="M132" s="427">
        <v>69863</v>
      </c>
      <c r="N132" s="427">
        <v>7922</v>
      </c>
      <c r="O132" s="427"/>
      <c r="P132" s="427">
        <f t="shared" si="12"/>
        <v>15186</v>
      </c>
      <c r="Q132" s="427"/>
      <c r="R132" s="427">
        <v>1190</v>
      </c>
      <c r="S132" s="427">
        <v>13996</v>
      </c>
      <c r="U132" s="472"/>
      <c r="V132" s="472"/>
      <c r="W132" s="472"/>
      <c r="X132" s="472"/>
      <c r="Y132" s="472"/>
    </row>
    <row r="133" spans="1:25" s="428" customFormat="1" ht="9" customHeight="1" x14ac:dyDescent="0.25">
      <c r="A133" s="431" t="s">
        <v>32</v>
      </c>
      <c r="B133" s="427">
        <f t="shared" si="10"/>
        <v>102926</v>
      </c>
      <c r="C133" s="427"/>
      <c r="D133" s="477">
        <v>43841</v>
      </c>
      <c r="E133" s="477">
        <v>34368</v>
      </c>
      <c r="F133" s="477">
        <v>10842</v>
      </c>
      <c r="G133" s="477">
        <v>13875</v>
      </c>
      <c r="I133" s="427">
        <f t="shared" si="11"/>
        <v>313220</v>
      </c>
      <c r="J133" s="427"/>
      <c r="K133" s="427">
        <v>65520</v>
      </c>
      <c r="L133" s="427">
        <v>100541</v>
      </c>
      <c r="M133" s="427">
        <v>122170</v>
      </c>
      <c r="N133" s="427">
        <v>24989</v>
      </c>
      <c r="O133" s="427"/>
      <c r="P133" s="427">
        <f t="shared" si="12"/>
        <v>25476</v>
      </c>
      <c r="Q133" s="427"/>
      <c r="R133" s="427">
        <v>1522</v>
      </c>
      <c r="S133" s="427">
        <v>23954</v>
      </c>
      <c r="U133" s="472"/>
      <c r="V133" s="472"/>
      <c r="W133" s="472"/>
      <c r="X133" s="472"/>
      <c r="Y133" s="472"/>
    </row>
    <row r="134" spans="1:25" s="428" customFormat="1" ht="9" customHeight="1" x14ac:dyDescent="0.25">
      <c r="A134" s="433" t="s">
        <v>33</v>
      </c>
      <c r="B134" s="434">
        <f t="shared" si="10"/>
        <v>65603</v>
      </c>
      <c r="C134" s="434"/>
      <c r="D134" s="479">
        <v>30962</v>
      </c>
      <c r="E134" s="479">
        <v>19509</v>
      </c>
      <c r="F134" s="479">
        <v>7981</v>
      </c>
      <c r="G134" s="479">
        <v>7151</v>
      </c>
      <c r="H134" s="475"/>
      <c r="I134" s="434">
        <f t="shared" si="11"/>
        <v>267269</v>
      </c>
      <c r="J134" s="434"/>
      <c r="K134" s="434">
        <v>74407</v>
      </c>
      <c r="L134" s="434">
        <v>58613</v>
      </c>
      <c r="M134" s="434">
        <v>118611</v>
      </c>
      <c r="N134" s="434">
        <v>15638</v>
      </c>
      <c r="O134" s="434"/>
      <c r="P134" s="434">
        <f t="shared" si="12"/>
        <v>23013</v>
      </c>
      <c r="Q134" s="434"/>
      <c r="R134" s="434">
        <v>1200</v>
      </c>
      <c r="S134" s="434">
        <v>21813</v>
      </c>
      <c r="U134" s="472"/>
      <c r="V134" s="472"/>
      <c r="W134" s="472"/>
      <c r="X134" s="472"/>
      <c r="Y134" s="472"/>
    </row>
    <row r="135" spans="1:25" s="428" customFormat="1" ht="9" customHeight="1" x14ac:dyDescent="0.25">
      <c r="A135" s="431" t="s">
        <v>34</v>
      </c>
      <c r="B135" s="427">
        <f t="shared" si="10"/>
        <v>66091</v>
      </c>
      <c r="C135" s="427"/>
      <c r="D135" s="477">
        <v>21742</v>
      </c>
      <c r="E135" s="477">
        <v>29373</v>
      </c>
      <c r="F135" s="477">
        <v>9207</v>
      </c>
      <c r="G135" s="477">
        <v>5769</v>
      </c>
      <c r="I135" s="427">
        <f t="shared" si="11"/>
        <v>223012</v>
      </c>
      <c r="J135" s="427"/>
      <c r="K135" s="427">
        <v>33208</v>
      </c>
      <c r="L135" s="427">
        <v>76731</v>
      </c>
      <c r="M135" s="427">
        <v>105296</v>
      </c>
      <c r="N135" s="427">
        <v>7777</v>
      </c>
      <c r="O135" s="427"/>
      <c r="P135" s="427">
        <f t="shared" si="12"/>
        <v>20436</v>
      </c>
      <c r="Q135" s="427"/>
      <c r="R135" s="427">
        <v>1244</v>
      </c>
      <c r="S135" s="427">
        <v>19192</v>
      </c>
      <c r="U135" s="472"/>
      <c r="V135" s="472"/>
      <c r="W135" s="472"/>
      <c r="X135" s="472"/>
      <c r="Y135" s="472"/>
    </row>
    <row r="136" spans="1:25" s="428" customFormat="1" ht="9" customHeight="1" x14ac:dyDescent="0.25">
      <c r="A136" s="431" t="s">
        <v>35</v>
      </c>
      <c r="B136" s="427">
        <f t="shared" si="10"/>
        <v>122509</v>
      </c>
      <c r="C136" s="427"/>
      <c r="D136" s="477">
        <v>38266</v>
      </c>
      <c r="E136" s="477">
        <v>50167</v>
      </c>
      <c r="F136" s="477">
        <v>19524</v>
      </c>
      <c r="G136" s="477">
        <v>14552</v>
      </c>
      <c r="I136" s="427">
        <f t="shared" si="11"/>
        <v>468510</v>
      </c>
      <c r="J136" s="427"/>
      <c r="K136" s="427">
        <v>70466</v>
      </c>
      <c r="L136" s="427">
        <v>132791</v>
      </c>
      <c r="M136" s="427">
        <v>231333</v>
      </c>
      <c r="N136" s="427">
        <v>33920</v>
      </c>
      <c r="O136" s="427"/>
      <c r="P136" s="427">
        <f t="shared" si="12"/>
        <v>35845</v>
      </c>
      <c r="Q136" s="427"/>
      <c r="R136" s="427">
        <v>2811</v>
      </c>
      <c r="S136" s="427">
        <v>33034</v>
      </c>
      <c r="U136" s="472"/>
      <c r="V136" s="472"/>
      <c r="W136" s="472"/>
      <c r="X136" s="472"/>
      <c r="Y136" s="472"/>
    </row>
    <row r="137" spans="1:25" s="428" customFormat="1" ht="9" customHeight="1" x14ac:dyDescent="0.25">
      <c r="A137" s="431" t="s">
        <v>36</v>
      </c>
      <c r="B137" s="427">
        <f t="shared" si="10"/>
        <v>253055</v>
      </c>
      <c r="C137" s="427"/>
      <c r="D137" s="477">
        <v>84139</v>
      </c>
      <c r="E137" s="477">
        <v>110152</v>
      </c>
      <c r="F137" s="477">
        <v>24817</v>
      </c>
      <c r="G137" s="477">
        <v>33947</v>
      </c>
      <c r="I137" s="427">
        <f t="shared" si="11"/>
        <v>1171732</v>
      </c>
      <c r="J137" s="427"/>
      <c r="K137" s="427">
        <v>225269</v>
      </c>
      <c r="L137" s="427">
        <v>415378</v>
      </c>
      <c r="M137" s="427">
        <v>415484</v>
      </c>
      <c r="N137" s="427">
        <v>115601</v>
      </c>
      <c r="O137" s="427"/>
      <c r="P137" s="427">
        <f t="shared" si="12"/>
        <v>45250</v>
      </c>
      <c r="Q137" s="427"/>
      <c r="R137" s="427">
        <v>8754</v>
      </c>
      <c r="S137" s="427">
        <v>36496</v>
      </c>
      <c r="U137" s="472"/>
      <c r="V137" s="472"/>
      <c r="W137" s="472"/>
      <c r="X137" s="472"/>
      <c r="Y137" s="472"/>
    </row>
    <row r="138" spans="1:25" s="428" customFormat="1" ht="9" customHeight="1" x14ac:dyDescent="0.25">
      <c r="A138" s="433" t="s">
        <v>37</v>
      </c>
      <c r="B138" s="434">
        <f t="shared" si="10"/>
        <v>114266</v>
      </c>
      <c r="C138" s="434"/>
      <c r="D138" s="479">
        <v>46643</v>
      </c>
      <c r="E138" s="479">
        <v>43871</v>
      </c>
      <c r="F138" s="479">
        <v>11454</v>
      </c>
      <c r="G138" s="479">
        <v>12298</v>
      </c>
      <c r="H138" s="475"/>
      <c r="I138" s="434">
        <f t="shared" si="11"/>
        <v>337885</v>
      </c>
      <c r="J138" s="434"/>
      <c r="K138" s="434">
        <v>69378</v>
      </c>
      <c r="L138" s="434">
        <v>120394</v>
      </c>
      <c r="M138" s="434">
        <v>132205</v>
      </c>
      <c r="N138" s="434">
        <v>15908</v>
      </c>
      <c r="O138" s="434"/>
      <c r="P138" s="434">
        <f t="shared" si="12"/>
        <v>32248</v>
      </c>
      <c r="Q138" s="434"/>
      <c r="R138" s="434">
        <v>1806</v>
      </c>
      <c r="S138" s="434">
        <v>30442</v>
      </c>
      <c r="U138" s="472"/>
      <c r="V138" s="472"/>
      <c r="W138" s="472"/>
      <c r="X138" s="472"/>
      <c r="Y138" s="472"/>
    </row>
    <row r="139" spans="1:25" s="428" customFormat="1" ht="9" customHeight="1" x14ac:dyDescent="0.25">
      <c r="A139" s="431" t="s">
        <v>38</v>
      </c>
      <c r="B139" s="427">
        <f t="shared" si="10"/>
        <v>31295</v>
      </c>
      <c r="C139" s="427"/>
      <c r="D139" s="477">
        <v>11457</v>
      </c>
      <c r="E139" s="477">
        <v>10690</v>
      </c>
      <c r="F139" s="477">
        <v>4481</v>
      </c>
      <c r="G139" s="477">
        <v>4667</v>
      </c>
      <c r="I139" s="427">
        <f t="shared" si="11"/>
        <v>124673</v>
      </c>
      <c r="J139" s="427"/>
      <c r="K139" s="427">
        <v>21121</v>
      </c>
      <c r="L139" s="427">
        <v>33169</v>
      </c>
      <c r="M139" s="427">
        <v>64792</v>
      </c>
      <c r="N139" s="427">
        <v>5591</v>
      </c>
      <c r="O139" s="427"/>
      <c r="P139" s="427">
        <f t="shared" si="12"/>
        <v>13899</v>
      </c>
      <c r="Q139" s="427"/>
      <c r="R139" s="427">
        <v>976</v>
      </c>
      <c r="S139" s="427">
        <v>12923</v>
      </c>
      <c r="U139" s="472"/>
      <c r="V139" s="472"/>
      <c r="W139" s="472"/>
      <c r="X139" s="472"/>
      <c r="Y139" s="472"/>
    </row>
    <row r="140" spans="1:25" s="428" customFormat="1" ht="9" customHeight="1" x14ac:dyDescent="0.25">
      <c r="A140" s="431" t="s">
        <v>39</v>
      </c>
      <c r="B140" s="427">
        <f t="shared" si="10"/>
        <v>34490</v>
      </c>
      <c r="C140" s="427"/>
      <c r="D140" s="477">
        <v>15008</v>
      </c>
      <c r="E140" s="477">
        <v>13056</v>
      </c>
      <c r="F140" s="477">
        <v>3955</v>
      </c>
      <c r="G140" s="477">
        <v>2471</v>
      </c>
      <c r="I140" s="427">
        <f t="shared" si="11"/>
        <v>111528</v>
      </c>
      <c r="J140" s="427"/>
      <c r="K140" s="427">
        <v>25474</v>
      </c>
      <c r="L140" s="427">
        <v>34364</v>
      </c>
      <c r="M140" s="427">
        <v>47853</v>
      </c>
      <c r="N140" s="427">
        <v>3837</v>
      </c>
      <c r="O140" s="427"/>
      <c r="P140" s="427">
        <f t="shared" si="12"/>
        <v>9534</v>
      </c>
      <c r="Q140" s="427"/>
      <c r="R140" s="427">
        <v>645</v>
      </c>
      <c r="S140" s="427">
        <v>8889</v>
      </c>
      <c r="U140" s="472"/>
      <c r="V140" s="472"/>
      <c r="W140" s="472"/>
      <c r="X140" s="472"/>
      <c r="Y140" s="472"/>
    </row>
    <row r="141" spans="1:25" s="428" customFormat="1" ht="9" customHeight="1" x14ac:dyDescent="0.25">
      <c r="A141" s="431" t="s">
        <v>40</v>
      </c>
      <c r="B141" s="427">
        <f t="shared" si="10"/>
        <v>105430</v>
      </c>
      <c r="C141" s="427"/>
      <c r="D141" s="477">
        <v>25981</v>
      </c>
      <c r="E141" s="477">
        <v>57270</v>
      </c>
      <c r="F141" s="477">
        <v>14299</v>
      </c>
      <c r="G141" s="477">
        <v>7880</v>
      </c>
      <c r="I141" s="427">
        <f t="shared" si="11"/>
        <v>384305</v>
      </c>
      <c r="J141" s="427"/>
      <c r="K141" s="427">
        <v>38805</v>
      </c>
      <c r="L141" s="427">
        <v>139624</v>
      </c>
      <c r="M141" s="427">
        <v>194679</v>
      </c>
      <c r="N141" s="427">
        <v>11197</v>
      </c>
      <c r="O141" s="427"/>
      <c r="P141" s="427">
        <f t="shared" si="12"/>
        <v>27058</v>
      </c>
      <c r="Q141" s="427"/>
      <c r="R141" s="427">
        <v>2996</v>
      </c>
      <c r="S141" s="427">
        <v>24062</v>
      </c>
      <c r="U141" s="472"/>
      <c r="V141" s="472"/>
      <c r="W141" s="472"/>
      <c r="X141" s="472"/>
      <c r="Y141" s="472"/>
    </row>
    <row r="142" spans="1:25" s="428" customFormat="1" ht="9" customHeight="1" x14ac:dyDescent="0.25">
      <c r="A142" s="433" t="s">
        <v>41</v>
      </c>
      <c r="B142" s="434">
        <f t="shared" si="10"/>
        <v>78924</v>
      </c>
      <c r="C142" s="434"/>
      <c r="D142" s="479">
        <v>28256</v>
      </c>
      <c r="E142" s="479">
        <v>34850</v>
      </c>
      <c r="F142" s="479">
        <v>12020</v>
      </c>
      <c r="G142" s="479">
        <v>3798</v>
      </c>
      <c r="H142" s="475"/>
      <c r="I142" s="434">
        <f t="shared" si="11"/>
        <v>265915</v>
      </c>
      <c r="J142" s="434"/>
      <c r="K142" s="434">
        <v>46345</v>
      </c>
      <c r="L142" s="434">
        <v>88819</v>
      </c>
      <c r="M142" s="434">
        <v>125712</v>
      </c>
      <c r="N142" s="434">
        <v>5039</v>
      </c>
      <c r="O142" s="434"/>
      <c r="P142" s="434">
        <f t="shared" si="12"/>
        <v>26406</v>
      </c>
      <c r="Q142" s="434"/>
      <c r="R142" s="434">
        <v>1024</v>
      </c>
      <c r="S142" s="434">
        <v>25382</v>
      </c>
      <c r="U142" s="472"/>
      <c r="V142" s="472"/>
      <c r="W142" s="472"/>
      <c r="X142" s="472"/>
      <c r="Y142" s="472"/>
    </row>
    <row r="143" spans="1:25" s="428" customFormat="1" ht="9" customHeight="1" x14ac:dyDescent="0.25">
      <c r="A143" s="431" t="s">
        <v>42</v>
      </c>
      <c r="B143" s="427">
        <f t="shared" si="10"/>
        <v>144802</v>
      </c>
      <c r="C143" s="427"/>
      <c r="D143" s="477">
        <v>59721</v>
      </c>
      <c r="E143" s="477">
        <v>53797</v>
      </c>
      <c r="F143" s="477">
        <v>18375</v>
      </c>
      <c r="G143" s="477">
        <v>12909</v>
      </c>
      <c r="I143" s="427">
        <f t="shared" si="11"/>
        <v>423198</v>
      </c>
      <c r="J143" s="427"/>
      <c r="K143" s="427">
        <v>89406</v>
      </c>
      <c r="L143" s="427">
        <v>141947</v>
      </c>
      <c r="M143" s="427">
        <v>167960</v>
      </c>
      <c r="N143" s="427">
        <v>23885</v>
      </c>
      <c r="O143" s="427"/>
      <c r="P143" s="427">
        <f t="shared" si="12"/>
        <v>32298</v>
      </c>
      <c r="Q143" s="427"/>
      <c r="R143" s="427">
        <v>3204</v>
      </c>
      <c r="S143" s="427">
        <v>29094</v>
      </c>
      <c r="U143" s="472"/>
      <c r="V143" s="472"/>
      <c r="W143" s="472"/>
      <c r="X143" s="472"/>
      <c r="Y143" s="472"/>
    </row>
    <row r="144" spans="1:25" s="428" customFormat="1" ht="9" customHeight="1" x14ac:dyDescent="0.25">
      <c r="A144" s="431" t="s">
        <v>43</v>
      </c>
      <c r="B144" s="427">
        <f t="shared" si="10"/>
        <v>38557</v>
      </c>
      <c r="C144" s="427"/>
      <c r="D144" s="477">
        <v>13151</v>
      </c>
      <c r="E144" s="477">
        <v>17853</v>
      </c>
      <c r="F144" s="477">
        <v>5288</v>
      </c>
      <c r="G144" s="477">
        <v>2265</v>
      </c>
      <c r="I144" s="427">
        <f t="shared" si="11"/>
        <v>123736</v>
      </c>
      <c r="J144" s="427"/>
      <c r="K144" s="427">
        <v>17834</v>
      </c>
      <c r="L144" s="427">
        <v>41893</v>
      </c>
      <c r="M144" s="427">
        <v>58603</v>
      </c>
      <c r="N144" s="427">
        <v>5406</v>
      </c>
      <c r="O144" s="427"/>
      <c r="P144" s="427">
        <f t="shared" si="12"/>
        <v>12088</v>
      </c>
      <c r="Q144" s="427"/>
      <c r="R144" s="427">
        <v>1471</v>
      </c>
      <c r="S144" s="427">
        <v>10617</v>
      </c>
      <c r="U144" s="472"/>
      <c r="V144" s="472"/>
      <c r="W144" s="472"/>
      <c r="X144" s="472"/>
      <c r="Y144" s="472"/>
    </row>
    <row r="145" spans="1:25" s="428" customFormat="1" ht="9" customHeight="1" x14ac:dyDescent="0.25">
      <c r="A145" s="431" t="s">
        <v>44</v>
      </c>
      <c r="B145" s="427">
        <f t="shared" si="10"/>
        <v>20872</v>
      </c>
      <c r="C145" s="427"/>
      <c r="D145" s="477">
        <v>9516</v>
      </c>
      <c r="E145" s="477">
        <v>6482</v>
      </c>
      <c r="F145" s="477">
        <v>3665</v>
      </c>
      <c r="G145" s="477">
        <v>1209</v>
      </c>
      <c r="I145" s="427">
        <f t="shared" si="11"/>
        <v>60831</v>
      </c>
      <c r="J145" s="427"/>
      <c r="K145" s="427">
        <v>12471</v>
      </c>
      <c r="L145" s="427">
        <v>14634</v>
      </c>
      <c r="M145" s="427">
        <v>32725</v>
      </c>
      <c r="N145" s="427">
        <v>1001</v>
      </c>
      <c r="O145" s="427"/>
      <c r="P145" s="427">
        <f t="shared" si="12"/>
        <v>7684</v>
      </c>
      <c r="Q145" s="427"/>
      <c r="R145" s="427">
        <v>672</v>
      </c>
      <c r="S145" s="427">
        <v>7012</v>
      </c>
      <c r="U145" s="472"/>
      <c r="V145" s="472"/>
      <c r="W145" s="472"/>
      <c r="X145" s="472"/>
      <c r="Y145" s="472"/>
    </row>
    <row r="146" spans="1:25" s="428" customFormat="1" ht="9" customHeight="1" x14ac:dyDescent="0.25">
      <c r="A146" s="433" t="s">
        <v>45</v>
      </c>
      <c r="B146" s="434">
        <f t="shared" si="10"/>
        <v>67921</v>
      </c>
      <c r="C146" s="434"/>
      <c r="D146" s="479">
        <v>27421</v>
      </c>
      <c r="E146" s="479">
        <v>30841</v>
      </c>
      <c r="F146" s="479">
        <v>6837</v>
      </c>
      <c r="G146" s="479">
        <v>2822</v>
      </c>
      <c r="H146" s="475"/>
      <c r="I146" s="434">
        <f t="shared" si="11"/>
        <v>191599</v>
      </c>
      <c r="J146" s="434"/>
      <c r="K146" s="434">
        <v>41827</v>
      </c>
      <c r="L146" s="434">
        <v>76588</v>
      </c>
      <c r="M146" s="434">
        <v>68297</v>
      </c>
      <c r="N146" s="434">
        <v>4887</v>
      </c>
      <c r="O146" s="434"/>
      <c r="P146" s="434">
        <f t="shared" si="12"/>
        <v>15986</v>
      </c>
      <c r="Q146" s="434"/>
      <c r="R146" s="434">
        <v>1449</v>
      </c>
      <c r="S146" s="434">
        <v>14537</v>
      </c>
      <c r="U146" s="472"/>
      <c r="V146" s="472"/>
      <c r="W146" s="472"/>
      <c r="X146" s="472"/>
      <c r="Y146" s="472"/>
    </row>
    <row r="147" spans="1:25" s="428" customFormat="1" ht="9" customHeight="1" x14ac:dyDescent="0.25">
      <c r="A147" s="431" t="s">
        <v>46</v>
      </c>
      <c r="B147" s="427">
        <f t="shared" si="10"/>
        <v>77858</v>
      </c>
      <c r="C147" s="427"/>
      <c r="D147" s="477">
        <v>26421</v>
      </c>
      <c r="E147" s="477">
        <v>36736</v>
      </c>
      <c r="F147" s="477">
        <v>11687</v>
      </c>
      <c r="G147" s="477">
        <v>3014</v>
      </c>
      <c r="I147" s="427">
        <f t="shared" si="11"/>
        <v>295473</v>
      </c>
      <c r="J147" s="427"/>
      <c r="K147" s="427">
        <v>48569</v>
      </c>
      <c r="L147" s="427">
        <v>97621</v>
      </c>
      <c r="M147" s="427">
        <v>144795</v>
      </c>
      <c r="N147" s="427">
        <v>4488</v>
      </c>
      <c r="O147" s="427"/>
      <c r="P147" s="427">
        <f t="shared" si="12"/>
        <v>25324</v>
      </c>
      <c r="Q147" s="427"/>
      <c r="R147" s="427">
        <v>599</v>
      </c>
      <c r="S147" s="427">
        <v>24725</v>
      </c>
      <c r="U147" s="472"/>
      <c r="V147" s="472"/>
      <c r="W147" s="472"/>
      <c r="X147" s="472"/>
      <c r="Y147" s="472"/>
    </row>
    <row r="148" spans="1:25" s="428" customFormat="1" ht="9" customHeight="1" x14ac:dyDescent="0.25">
      <c r="A148" s="431" t="s">
        <v>47</v>
      </c>
      <c r="B148" s="427">
        <f t="shared" si="10"/>
        <v>54612</v>
      </c>
      <c r="C148" s="427"/>
      <c r="D148" s="477">
        <v>19666</v>
      </c>
      <c r="E148" s="477">
        <v>23976</v>
      </c>
      <c r="F148" s="477">
        <v>7308</v>
      </c>
      <c r="G148" s="477">
        <v>3662</v>
      </c>
      <c r="I148" s="427">
        <f t="shared" si="11"/>
        <v>223391</v>
      </c>
      <c r="J148" s="427"/>
      <c r="K148" s="427">
        <v>36399</v>
      </c>
      <c r="L148" s="427">
        <v>68089</v>
      </c>
      <c r="M148" s="427">
        <v>109994</v>
      </c>
      <c r="N148" s="427">
        <v>8909</v>
      </c>
      <c r="O148" s="427"/>
      <c r="P148" s="427">
        <f t="shared" si="12"/>
        <v>15557</v>
      </c>
      <c r="Q148" s="427"/>
      <c r="R148" s="427">
        <v>809</v>
      </c>
      <c r="S148" s="427">
        <v>14748</v>
      </c>
      <c r="U148" s="472"/>
      <c r="V148" s="472"/>
      <c r="W148" s="472"/>
      <c r="X148" s="472"/>
      <c r="Y148" s="472"/>
    </row>
    <row r="149" spans="1:25" s="428" customFormat="1" ht="9" customHeight="1" x14ac:dyDescent="0.25">
      <c r="A149" s="431" t="s">
        <v>48</v>
      </c>
      <c r="B149" s="427">
        <f t="shared" si="10"/>
        <v>44196</v>
      </c>
      <c r="C149" s="427"/>
      <c r="D149" s="477">
        <v>27055</v>
      </c>
      <c r="E149" s="477">
        <v>8578</v>
      </c>
      <c r="F149" s="477">
        <v>5201</v>
      </c>
      <c r="G149" s="477">
        <v>3362</v>
      </c>
      <c r="I149" s="427">
        <f t="shared" si="11"/>
        <v>186603</v>
      </c>
      <c r="J149" s="427"/>
      <c r="K149" s="427">
        <v>48501</v>
      </c>
      <c r="L149" s="427">
        <v>26750</v>
      </c>
      <c r="M149" s="427">
        <v>105777</v>
      </c>
      <c r="N149" s="427">
        <v>5575</v>
      </c>
      <c r="O149" s="427"/>
      <c r="P149" s="427">
        <f t="shared" si="12"/>
        <v>23650</v>
      </c>
      <c r="Q149" s="427"/>
      <c r="R149" s="427">
        <v>445</v>
      </c>
      <c r="S149" s="427">
        <v>23205</v>
      </c>
      <c r="U149" s="472"/>
      <c r="V149" s="472"/>
      <c r="W149" s="472"/>
      <c r="X149" s="472"/>
      <c r="Y149" s="472"/>
    </row>
    <row r="150" spans="1:25" s="428" customFormat="1" ht="9" customHeight="1" x14ac:dyDescent="0.25">
      <c r="A150" s="433" t="s">
        <v>49</v>
      </c>
      <c r="B150" s="434">
        <f t="shared" si="10"/>
        <v>73505</v>
      </c>
      <c r="C150" s="434"/>
      <c r="D150" s="479">
        <v>34765</v>
      </c>
      <c r="E150" s="479">
        <v>25426</v>
      </c>
      <c r="F150" s="479">
        <v>9810</v>
      </c>
      <c r="G150" s="479">
        <v>3504</v>
      </c>
      <c r="H150" s="475"/>
      <c r="I150" s="434">
        <f t="shared" si="11"/>
        <v>246609</v>
      </c>
      <c r="J150" s="434"/>
      <c r="K150" s="434">
        <v>47859</v>
      </c>
      <c r="L150" s="434">
        <v>64094</v>
      </c>
      <c r="M150" s="434">
        <v>130650</v>
      </c>
      <c r="N150" s="434">
        <v>4006</v>
      </c>
      <c r="O150" s="434"/>
      <c r="P150" s="434">
        <f t="shared" si="12"/>
        <v>33478</v>
      </c>
      <c r="Q150" s="434"/>
      <c r="R150" s="434">
        <v>2289</v>
      </c>
      <c r="S150" s="434">
        <v>31189</v>
      </c>
      <c r="U150" s="472"/>
      <c r="V150" s="472"/>
      <c r="W150" s="472"/>
      <c r="X150" s="472"/>
      <c r="Y150" s="472"/>
    </row>
    <row r="151" spans="1:25" s="428" customFormat="1" ht="9" customHeight="1" x14ac:dyDescent="0.25">
      <c r="A151" s="431" t="s">
        <v>50</v>
      </c>
      <c r="B151" s="427">
        <f t="shared" si="10"/>
        <v>25452</v>
      </c>
      <c r="C151" s="427"/>
      <c r="D151" s="477">
        <v>7519</v>
      </c>
      <c r="E151" s="477">
        <v>11338</v>
      </c>
      <c r="F151" s="477">
        <v>3614</v>
      </c>
      <c r="G151" s="477">
        <v>2981</v>
      </c>
      <c r="I151" s="427">
        <f t="shared" si="11"/>
        <v>84790</v>
      </c>
      <c r="J151" s="427"/>
      <c r="K151" s="427">
        <v>12911</v>
      </c>
      <c r="L151" s="427">
        <v>28091</v>
      </c>
      <c r="M151" s="427">
        <v>37964</v>
      </c>
      <c r="N151" s="427">
        <v>5824</v>
      </c>
      <c r="O151" s="427"/>
      <c r="P151" s="427">
        <f t="shared" si="12"/>
        <v>7348</v>
      </c>
      <c r="Q151" s="427"/>
      <c r="R151" s="427">
        <v>472</v>
      </c>
      <c r="S151" s="427">
        <v>6876</v>
      </c>
      <c r="U151" s="472"/>
      <c r="V151" s="472"/>
      <c r="W151" s="472"/>
      <c r="X151" s="472"/>
      <c r="Y151" s="472"/>
    </row>
    <row r="152" spans="1:25" s="428" customFormat="1" ht="9" customHeight="1" x14ac:dyDescent="0.25">
      <c r="A152" s="431" t="s">
        <v>51</v>
      </c>
      <c r="B152" s="427">
        <f t="shared" si="10"/>
        <v>191974</v>
      </c>
      <c r="C152" s="427"/>
      <c r="D152" s="477">
        <v>72943</v>
      </c>
      <c r="E152" s="477">
        <v>80767</v>
      </c>
      <c r="F152" s="477">
        <v>28365</v>
      </c>
      <c r="G152" s="477">
        <v>9899</v>
      </c>
      <c r="I152" s="427">
        <f t="shared" si="11"/>
        <v>650254</v>
      </c>
      <c r="J152" s="427"/>
      <c r="K152" s="427">
        <v>112449</v>
      </c>
      <c r="L152" s="427">
        <v>217269</v>
      </c>
      <c r="M152" s="427">
        <v>308648</v>
      </c>
      <c r="N152" s="427">
        <v>11888</v>
      </c>
      <c r="O152" s="427"/>
      <c r="P152" s="427">
        <f t="shared" si="12"/>
        <v>63202</v>
      </c>
      <c r="Q152" s="427"/>
      <c r="R152" s="427">
        <v>2440</v>
      </c>
      <c r="S152" s="427">
        <v>60762</v>
      </c>
      <c r="U152" s="472"/>
      <c r="V152" s="472"/>
      <c r="W152" s="472"/>
      <c r="X152" s="472"/>
      <c r="Y152" s="472"/>
    </row>
    <row r="153" spans="1:25" s="428" customFormat="1" ht="9" customHeight="1" x14ac:dyDescent="0.25">
      <c r="A153" s="431" t="s">
        <v>52</v>
      </c>
      <c r="B153" s="427">
        <f t="shared" si="10"/>
        <v>43635</v>
      </c>
      <c r="C153" s="427"/>
      <c r="D153" s="477">
        <v>21506</v>
      </c>
      <c r="E153" s="477">
        <v>13337</v>
      </c>
      <c r="F153" s="477">
        <v>7506</v>
      </c>
      <c r="G153" s="477">
        <v>1286</v>
      </c>
      <c r="I153" s="427">
        <f t="shared" si="11"/>
        <v>127598</v>
      </c>
      <c r="J153" s="427"/>
      <c r="K153" s="427">
        <v>30363</v>
      </c>
      <c r="L153" s="427">
        <v>27501</v>
      </c>
      <c r="M153" s="427">
        <v>68342</v>
      </c>
      <c r="N153" s="427">
        <v>1392</v>
      </c>
      <c r="O153" s="427"/>
      <c r="P153" s="427">
        <f t="shared" si="12"/>
        <v>12199</v>
      </c>
      <c r="Q153" s="427"/>
      <c r="R153" s="427">
        <v>773</v>
      </c>
      <c r="S153" s="427">
        <v>11426</v>
      </c>
      <c r="U153" s="472"/>
      <c r="V153" s="472"/>
      <c r="W153" s="472"/>
      <c r="X153" s="472"/>
      <c r="Y153" s="472"/>
    </row>
    <row r="154" spans="1:25" s="428" customFormat="1" ht="9" customHeight="1" x14ac:dyDescent="0.25">
      <c r="A154" s="433" t="s">
        <v>53</v>
      </c>
      <c r="B154" s="434">
        <f t="shared" si="10"/>
        <v>47688</v>
      </c>
      <c r="C154" s="434"/>
      <c r="D154" s="479">
        <v>14372</v>
      </c>
      <c r="E154" s="479">
        <v>23534</v>
      </c>
      <c r="F154" s="479">
        <v>5454</v>
      </c>
      <c r="G154" s="479">
        <v>4328</v>
      </c>
      <c r="H154" s="475"/>
      <c r="I154" s="434">
        <f t="shared" si="11"/>
        <v>143302</v>
      </c>
      <c r="J154" s="434"/>
      <c r="K154" s="434">
        <v>24846</v>
      </c>
      <c r="L154" s="434">
        <v>57861</v>
      </c>
      <c r="M154" s="434">
        <v>52422</v>
      </c>
      <c r="N154" s="434">
        <v>8173</v>
      </c>
      <c r="O154" s="434"/>
      <c r="P154" s="434">
        <f t="shared" si="12"/>
        <v>9856</v>
      </c>
      <c r="Q154" s="434"/>
      <c r="R154" s="434">
        <v>661</v>
      </c>
      <c r="S154" s="434">
        <v>9195</v>
      </c>
      <c r="U154" s="472"/>
      <c r="V154" s="472"/>
      <c r="W154" s="472"/>
      <c r="X154" s="472"/>
      <c r="Y154" s="472"/>
    </row>
    <row r="155" spans="1:25" s="428" customFormat="1" ht="9" customHeight="1" x14ac:dyDescent="0.25">
      <c r="A155" s="431"/>
      <c r="B155" s="427"/>
      <c r="C155" s="427"/>
      <c r="D155" s="477"/>
      <c r="E155" s="477"/>
      <c r="F155" s="477"/>
      <c r="G155" s="477"/>
      <c r="I155" s="427"/>
      <c r="J155" s="427"/>
      <c r="K155" s="427"/>
      <c r="L155" s="427"/>
      <c r="M155" s="427"/>
      <c r="N155" s="427"/>
      <c r="O155" s="427"/>
      <c r="P155" s="427"/>
      <c r="Q155" s="427"/>
      <c r="R155" s="427"/>
      <c r="S155" s="427"/>
      <c r="U155" s="472"/>
      <c r="V155" s="472"/>
      <c r="W155" s="472"/>
      <c r="X155" s="472"/>
      <c r="Y155" s="472"/>
    </row>
    <row r="156" spans="1:25" s="428" customFormat="1" ht="9" customHeight="1" x14ac:dyDescent="0.25">
      <c r="A156" s="441">
        <v>1999</v>
      </c>
      <c r="B156" s="427"/>
      <c r="C156" s="427"/>
      <c r="D156" s="476"/>
      <c r="E156" s="477"/>
      <c r="F156" s="477"/>
      <c r="G156" s="477"/>
      <c r="H156" s="477"/>
      <c r="I156" s="477"/>
      <c r="J156" s="477"/>
      <c r="K156" s="477"/>
      <c r="L156" s="477"/>
      <c r="M156" s="477"/>
      <c r="N156" s="477"/>
      <c r="O156" s="477"/>
      <c r="P156" s="477"/>
      <c r="Q156" s="477"/>
      <c r="R156" s="477"/>
      <c r="S156" s="477"/>
      <c r="U156" s="472"/>
      <c r="V156" s="472"/>
      <c r="W156" s="472"/>
      <c r="X156" s="472"/>
      <c r="Y156" s="472"/>
    </row>
    <row r="157" spans="1:25" s="428" customFormat="1" ht="9" customHeight="1" x14ac:dyDescent="0.25">
      <c r="A157" s="429" t="s">
        <v>21</v>
      </c>
      <c r="B157" s="476">
        <f>SUM(B159:B190)</f>
        <v>2542511</v>
      </c>
      <c r="C157" s="476"/>
      <c r="D157" s="476">
        <f>SUM(D159:D190)</f>
        <v>960663</v>
      </c>
      <c r="E157" s="476">
        <f>SUM(E159:E190)</f>
        <v>1027923</v>
      </c>
      <c r="F157" s="476">
        <f>SUM(F159:F190)</f>
        <v>341098</v>
      </c>
      <c r="G157" s="476">
        <f>SUM(G159:G190)</f>
        <v>212827</v>
      </c>
      <c r="H157" s="476"/>
      <c r="I157" s="430">
        <f>SUM(I159:I190)</f>
        <v>9302543</v>
      </c>
      <c r="J157" s="430"/>
      <c r="K157" s="430">
        <f>SUM(K159:K190)</f>
        <v>1634098</v>
      </c>
      <c r="L157" s="430">
        <f>SUM(L159:L190)</f>
        <v>2930764</v>
      </c>
      <c r="M157" s="430">
        <f>SUM(M159:M190)</f>
        <v>4345516</v>
      </c>
      <c r="N157" s="430">
        <f>SUM(N159:N190)</f>
        <v>392165</v>
      </c>
      <c r="O157" s="430"/>
      <c r="P157" s="430">
        <f>SUM(P159:P190)</f>
        <v>374994</v>
      </c>
      <c r="Q157" s="430"/>
      <c r="R157" s="430">
        <f>SUM(R159:R190)</f>
        <v>31928</v>
      </c>
      <c r="S157" s="430">
        <f>SUM(S159:S190)</f>
        <v>343066</v>
      </c>
      <c r="U157" s="472"/>
      <c r="V157" s="472"/>
      <c r="W157" s="472"/>
      <c r="X157" s="472"/>
      <c r="Y157" s="472"/>
    </row>
    <row r="158" spans="1:25" s="428" customFormat="1" ht="3.95" customHeight="1" x14ac:dyDescent="0.25">
      <c r="A158" s="429"/>
      <c r="B158" s="476"/>
      <c r="C158" s="476"/>
      <c r="D158" s="476"/>
      <c r="E158" s="476"/>
      <c r="F158" s="476"/>
      <c r="G158" s="476"/>
      <c r="H158" s="476"/>
      <c r="I158" s="430"/>
      <c r="J158" s="430"/>
      <c r="K158" s="430"/>
      <c r="L158" s="430"/>
      <c r="M158" s="430"/>
      <c r="N158" s="430"/>
      <c r="O158" s="430"/>
      <c r="P158" s="430"/>
      <c r="Q158" s="430"/>
      <c r="R158" s="430"/>
      <c r="S158" s="430"/>
      <c r="U158" s="472"/>
      <c r="V158" s="472"/>
      <c r="W158" s="472"/>
      <c r="X158" s="472"/>
      <c r="Y158" s="472"/>
    </row>
    <row r="159" spans="1:25" s="428" customFormat="1" ht="9" customHeight="1" x14ac:dyDescent="0.25">
      <c r="A159" s="431" t="s">
        <v>23</v>
      </c>
      <c r="B159" s="427">
        <f t="shared" ref="B159:B190" si="13">SUM(D159:G159)</f>
        <v>25240</v>
      </c>
      <c r="C159" s="427"/>
      <c r="D159" s="477">
        <v>9978</v>
      </c>
      <c r="E159" s="477">
        <v>9148</v>
      </c>
      <c r="F159" s="477">
        <v>3360</v>
      </c>
      <c r="G159" s="477">
        <v>2754</v>
      </c>
      <c r="I159" s="427">
        <f t="shared" ref="I159:I190" si="14">SUM(K159:O159)</f>
        <v>82103</v>
      </c>
      <c r="J159" s="427"/>
      <c r="K159" s="427">
        <v>14809</v>
      </c>
      <c r="L159" s="427">
        <v>28647</v>
      </c>
      <c r="M159" s="427">
        <v>33416</v>
      </c>
      <c r="N159" s="427">
        <v>5231</v>
      </c>
      <c r="O159" s="427"/>
      <c r="P159" s="427">
        <f t="shared" ref="P159:P190" si="15">SUM(R159:S159)</f>
        <v>3902</v>
      </c>
      <c r="Q159" s="427"/>
      <c r="R159" s="427">
        <v>478</v>
      </c>
      <c r="S159" s="427">
        <v>3424</v>
      </c>
      <c r="U159" s="472"/>
      <c r="V159" s="472"/>
      <c r="W159" s="472"/>
      <c r="X159" s="472"/>
      <c r="Y159" s="472"/>
    </row>
    <row r="160" spans="1:25" s="428" customFormat="1" ht="9" customHeight="1" x14ac:dyDescent="0.25">
      <c r="A160" s="431" t="s">
        <v>24</v>
      </c>
      <c r="B160" s="427">
        <f t="shared" si="13"/>
        <v>80121</v>
      </c>
      <c r="C160" s="427"/>
      <c r="D160" s="477">
        <v>46862</v>
      </c>
      <c r="E160" s="477">
        <v>19032</v>
      </c>
      <c r="F160" s="477">
        <v>10520</v>
      </c>
      <c r="G160" s="477">
        <v>3707</v>
      </c>
      <c r="I160" s="427">
        <f t="shared" si="14"/>
        <v>217880</v>
      </c>
      <c r="J160" s="427"/>
      <c r="K160" s="427">
        <v>47271</v>
      </c>
      <c r="L160" s="427">
        <v>56906</v>
      </c>
      <c r="M160" s="427">
        <v>107208</v>
      </c>
      <c r="N160" s="427">
        <v>6495</v>
      </c>
      <c r="O160" s="427"/>
      <c r="P160" s="427">
        <f t="shared" si="15"/>
        <v>11311</v>
      </c>
      <c r="Q160" s="427"/>
      <c r="R160" s="427">
        <v>1157</v>
      </c>
      <c r="S160" s="427">
        <v>10154</v>
      </c>
      <c r="U160" s="472"/>
      <c r="V160" s="472"/>
      <c r="W160" s="472"/>
      <c r="X160" s="472"/>
      <c r="Y160" s="472"/>
    </row>
    <row r="161" spans="1:25" s="428" customFormat="1" ht="9" customHeight="1" x14ac:dyDescent="0.25">
      <c r="A161" s="431" t="s">
        <v>25</v>
      </c>
      <c r="B161" s="427">
        <f t="shared" si="13"/>
        <v>13794</v>
      </c>
      <c r="C161" s="427"/>
      <c r="D161" s="477">
        <v>6594</v>
      </c>
      <c r="E161" s="477">
        <v>4336</v>
      </c>
      <c r="F161" s="477">
        <v>1968</v>
      </c>
      <c r="G161" s="477">
        <v>896</v>
      </c>
      <c r="I161" s="427">
        <f t="shared" si="14"/>
        <v>52963</v>
      </c>
      <c r="J161" s="427"/>
      <c r="K161" s="427">
        <v>8576</v>
      </c>
      <c r="L161" s="427">
        <v>12584</v>
      </c>
      <c r="M161" s="427">
        <v>30688</v>
      </c>
      <c r="N161" s="427">
        <v>1115</v>
      </c>
      <c r="O161" s="427"/>
      <c r="P161" s="427">
        <f t="shared" si="15"/>
        <v>2306</v>
      </c>
      <c r="Q161" s="427"/>
      <c r="R161" s="427">
        <v>166</v>
      </c>
      <c r="S161" s="427">
        <v>2140</v>
      </c>
      <c r="U161" s="472"/>
      <c r="V161" s="472"/>
      <c r="W161" s="472"/>
      <c r="X161" s="472"/>
      <c r="Y161" s="472"/>
    </row>
    <row r="162" spans="1:25" s="428" customFormat="1" ht="9" customHeight="1" x14ac:dyDescent="0.25">
      <c r="A162" s="433" t="s">
        <v>26</v>
      </c>
      <c r="B162" s="434">
        <f t="shared" si="13"/>
        <v>21605</v>
      </c>
      <c r="C162" s="434"/>
      <c r="D162" s="479">
        <v>9696</v>
      </c>
      <c r="E162" s="479">
        <v>6713</v>
      </c>
      <c r="F162" s="479">
        <v>4151</v>
      </c>
      <c r="G162" s="479">
        <v>1045</v>
      </c>
      <c r="H162" s="475"/>
      <c r="I162" s="434">
        <f t="shared" si="14"/>
        <v>71897</v>
      </c>
      <c r="J162" s="434"/>
      <c r="K162" s="434">
        <v>16938</v>
      </c>
      <c r="L162" s="434">
        <v>12412</v>
      </c>
      <c r="M162" s="434">
        <v>41439</v>
      </c>
      <c r="N162" s="434">
        <v>1108</v>
      </c>
      <c r="O162" s="434"/>
      <c r="P162" s="434">
        <f t="shared" si="15"/>
        <v>4161</v>
      </c>
      <c r="Q162" s="434"/>
      <c r="R162" s="434">
        <v>232</v>
      </c>
      <c r="S162" s="434">
        <v>3929</v>
      </c>
      <c r="U162" s="472"/>
      <c r="V162" s="472"/>
      <c r="W162" s="472"/>
      <c r="X162" s="472"/>
      <c r="Y162" s="472"/>
    </row>
    <row r="163" spans="1:25" s="428" customFormat="1" ht="9" customHeight="1" x14ac:dyDescent="0.25">
      <c r="A163" s="431" t="s">
        <v>27</v>
      </c>
      <c r="B163" s="427">
        <f t="shared" si="13"/>
        <v>72199</v>
      </c>
      <c r="C163" s="427"/>
      <c r="D163" s="477">
        <v>27406</v>
      </c>
      <c r="E163" s="477">
        <v>29769</v>
      </c>
      <c r="F163" s="477">
        <v>11318</v>
      </c>
      <c r="G163" s="477">
        <v>3706</v>
      </c>
      <c r="I163" s="427">
        <f t="shared" si="14"/>
        <v>263961</v>
      </c>
      <c r="J163" s="427"/>
      <c r="K163" s="427">
        <v>43740</v>
      </c>
      <c r="L163" s="427">
        <v>77381</v>
      </c>
      <c r="M163" s="427">
        <v>137027</v>
      </c>
      <c r="N163" s="427">
        <v>5813</v>
      </c>
      <c r="O163" s="427"/>
      <c r="P163" s="427">
        <f t="shared" si="15"/>
        <v>11533</v>
      </c>
      <c r="Q163" s="427"/>
      <c r="R163" s="427">
        <v>978</v>
      </c>
      <c r="S163" s="427">
        <v>10555</v>
      </c>
      <c r="U163" s="472"/>
      <c r="V163" s="472"/>
      <c r="W163" s="472"/>
      <c r="X163" s="472"/>
      <c r="Y163" s="472"/>
    </row>
    <row r="164" spans="1:25" s="428" customFormat="1" ht="9" customHeight="1" x14ac:dyDescent="0.25">
      <c r="A164" s="431" t="s">
        <v>28</v>
      </c>
      <c r="B164" s="427">
        <f t="shared" si="13"/>
        <v>19336</v>
      </c>
      <c r="C164" s="427"/>
      <c r="D164" s="477">
        <v>7546</v>
      </c>
      <c r="E164" s="477">
        <v>7497</v>
      </c>
      <c r="F164" s="477">
        <v>2748</v>
      </c>
      <c r="G164" s="477">
        <v>1545</v>
      </c>
      <c r="I164" s="427">
        <f t="shared" si="14"/>
        <v>67273</v>
      </c>
      <c r="J164" s="427"/>
      <c r="K164" s="427">
        <v>9723</v>
      </c>
      <c r="L164" s="427">
        <v>16198</v>
      </c>
      <c r="M164" s="427">
        <v>39367</v>
      </c>
      <c r="N164" s="427">
        <v>1985</v>
      </c>
      <c r="O164" s="427"/>
      <c r="P164" s="427">
        <f t="shared" si="15"/>
        <v>2728</v>
      </c>
      <c r="Q164" s="427"/>
      <c r="R164" s="427">
        <v>118</v>
      </c>
      <c r="S164" s="427">
        <v>2610</v>
      </c>
      <c r="U164" s="472"/>
      <c r="V164" s="472"/>
      <c r="W164" s="472"/>
      <c r="X164" s="472"/>
      <c r="Y164" s="472"/>
    </row>
    <row r="165" spans="1:25" s="428" customFormat="1" ht="9" customHeight="1" x14ac:dyDescent="0.25">
      <c r="A165" s="431" t="s">
        <v>29</v>
      </c>
      <c r="B165" s="427">
        <f t="shared" si="13"/>
        <v>113996</v>
      </c>
      <c r="C165" s="427"/>
      <c r="D165" s="477">
        <v>52477</v>
      </c>
      <c r="E165" s="477">
        <v>39491</v>
      </c>
      <c r="F165" s="477">
        <v>13481</v>
      </c>
      <c r="G165" s="477">
        <v>8547</v>
      </c>
      <c r="I165" s="427">
        <f t="shared" si="14"/>
        <v>368178</v>
      </c>
      <c r="J165" s="427"/>
      <c r="K165" s="427">
        <v>79265</v>
      </c>
      <c r="L165" s="427">
        <v>104009</v>
      </c>
      <c r="M165" s="427">
        <v>173109</v>
      </c>
      <c r="N165" s="427">
        <v>11795</v>
      </c>
      <c r="O165" s="427"/>
      <c r="P165" s="427">
        <f t="shared" si="15"/>
        <v>17113</v>
      </c>
      <c r="Q165" s="427"/>
      <c r="R165" s="427">
        <v>593</v>
      </c>
      <c r="S165" s="427">
        <v>16520</v>
      </c>
      <c r="U165" s="472"/>
      <c r="V165" s="472"/>
      <c r="W165" s="472"/>
      <c r="X165" s="472"/>
      <c r="Y165" s="472"/>
    </row>
    <row r="166" spans="1:25" s="428" customFormat="1" ht="9" customHeight="1" x14ac:dyDescent="0.25">
      <c r="A166" s="433" t="s">
        <v>30</v>
      </c>
      <c r="B166" s="434">
        <f t="shared" si="13"/>
        <v>78109</v>
      </c>
      <c r="C166" s="434"/>
      <c r="D166" s="479">
        <v>22902</v>
      </c>
      <c r="E166" s="479">
        <v>40652</v>
      </c>
      <c r="F166" s="479">
        <v>11143</v>
      </c>
      <c r="G166" s="479">
        <v>3412</v>
      </c>
      <c r="H166" s="475"/>
      <c r="I166" s="434">
        <f t="shared" si="14"/>
        <v>303251</v>
      </c>
      <c r="J166" s="434"/>
      <c r="K166" s="434">
        <v>37556</v>
      </c>
      <c r="L166" s="434">
        <v>123054</v>
      </c>
      <c r="M166" s="434">
        <v>138510</v>
      </c>
      <c r="N166" s="434">
        <v>4131</v>
      </c>
      <c r="O166" s="434"/>
      <c r="P166" s="434">
        <f t="shared" si="15"/>
        <v>11887</v>
      </c>
      <c r="Q166" s="434"/>
      <c r="R166" s="434">
        <v>1671</v>
      </c>
      <c r="S166" s="434">
        <v>10216</v>
      </c>
      <c r="U166" s="472"/>
      <c r="V166" s="472"/>
      <c r="W166" s="472"/>
      <c r="X166" s="472"/>
      <c r="Y166" s="472"/>
    </row>
    <row r="167" spans="1:25" s="428" customFormat="1" ht="9" customHeight="1" x14ac:dyDescent="0.25">
      <c r="A167" s="431" t="s">
        <v>63</v>
      </c>
      <c r="B167" s="427">
        <f t="shared" si="13"/>
        <v>252314</v>
      </c>
      <c r="C167" s="427"/>
      <c r="D167" s="477">
        <v>66591</v>
      </c>
      <c r="E167" s="477">
        <v>126246</v>
      </c>
      <c r="F167" s="477">
        <v>41206</v>
      </c>
      <c r="G167" s="477">
        <v>18271</v>
      </c>
      <c r="I167" s="427">
        <f t="shared" si="14"/>
        <v>1033023</v>
      </c>
      <c r="J167" s="427"/>
      <c r="K167" s="427">
        <v>119188</v>
      </c>
      <c r="L167" s="427">
        <v>370628</v>
      </c>
      <c r="M167" s="427">
        <v>527826</v>
      </c>
      <c r="N167" s="427">
        <v>15381</v>
      </c>
      <c r="O167" s="427"/>
      <c r="P167" s="427">
        <f t="shared" si="15"/>
        <v>42064</v>
      </c>
      <c r="Q167" s="427"/>
      <c r="R167" s="427">
        <v>5880</v>
      </c>
      <c r="S167" s="427">
        <v>36184</v>
      </c>
      <c r="U167" s="472"/>
      <c r="V167" s="472"/>
      <c r="W167" s="472"/>
      <c r="X167" s="472"/>
      <c r="Y167" s="472"/>
    </row>
    <row r="168" spans="1:25" s="428" customFormat="1" ht="9" customHeight="1" x14ac:dyDescent="0.25">
      <c r="A168" s="431" t="s">
        <v>31</v>
      </c>
      <c r="B168" s="427">
        <f t="shared" si="13"/>
        <v>48115</v>
      </c>
      <c r="C168" s="427"/>
      <c r="D168" s="477">
        <v>21338</v>
      </c>
      <c r="E168" s="477">
        <v>16982</v>
      </c>
      <c r="F168" s="477">
        <v>5730</v>
      </c>
      <c r="G168" s="477">
        <v>4065</v>
      </c>
      <c r="I168" s="427">
        <f t="shared" si="14"/>
        <v>181619</v>
      </c>
      <c r="J168" s="427"/>
      <c r="K168" s="427">
        <v>39984</v>
      </c>
      <c r="L168" s="427">
        <v>61249</v>
      </c>
      <c r="M168" s="427">
        <v>71501</v>
      </c>
      <c r="N168" s="427">
        <v>8885</v>
      </c>
      <c r="O168" s="427"/>
      <c r="P168" s="427">
        <f t="shared" si="15"/>
        <v>6549</v>
      </c>
      <c r="Q168" s="427"/>
      <c r="R168" s="427">
        <v>445</v>
      </c>
      <c r="S168" s="427">
        <v>6104</v>
      </c>
      <c r="U168" s="472"/>
      <c r="V168" s="472"/>
      <c r="W168" s="472"/>
      <c r="X168" s="472"/>
      <c r="Y168" s="472"/>
    </row>
    <row r="169" spans="1:25" s="428" customFormat="1" ht="9" customHeight="1" x14ac:dyDescent="0.25">
      <c r="A169" s="431" t="s">
        <v>32</v>
      </c>
      <c r="B169" s="427">
        <f t="shared" si="13"/>
        <v>106136</v>
      </c>
      <c r="C169" s="427"/>
      <c r="D169" s="477">
        <v>48143</v>
      </c>
      <c r="E169" s="477">
        <v>34352</v>
      </c>
      <c r="F169" s="477">
        <v>11019</v>
      </c>
      <c r="G169" s="477">
        <v>12622</v>
      </c>
      <c r="I169" s="427">
        <f t="shared" si="14"/>
        <v>323399</v>
      </c>
      <c r="J169" s="427"/>
      <c r="K169" s="427">
        <v>70961</v>
      </c>
      <c r="L169" s="427">
        <v>99624</v>
      </c>
      <c r="M169" s="427">
        <v>134094</v>
      </c>
      <c r="N169" s="427">
        <v>18720</v>
      </c>
      <c r="O169" s="427"/>
      <c r="P169" s="427">
        <f t="shared" si="15"/>
        <v>13037</v>
      </c>
      <c r="Q169" s="427"/>
      <c r="R169" s="427">
        <v>1145</v>
      </c>
      <c r="S169" s="427">
        <v>11892</v>
      </c>
      <c r="U169" s="472"/>
      <c r="V169" s="472"/>
      <c r="W169" s="472"/>
      <c r="X169" s="472"/>
      <c r="Y169" s="472"/>
    </row>
    <row r="170" spans="1:25" s="428" customFormat="1" ht="9" customHeight="1" x14ac:dyDescent="0.25">
      <c r="A170" s="433" t="s">
        <v>33</v>
      </c>
      <c r="B170" s="434">
        <f t="shared" si="13"/>
        <v>66525</v>
      </c>
      <c r="C170" s="434"/>
      <c r="D170" s="479">
        <v>32062</v>
      </c>
      <c r="E170" s="479">
        <v>19505</v>
      </c>
      <c r="F170" s="479">
        <v>7208</v>
      </c>
      <c r="G170" s="479">
        <v>7750</v>
      </c>
      <c r="H170" s="475"/>
      <c r="I170" s="434">
        <f t="shared" si="14"/>
        <v>279246</v>
      </c>
      <c r="J170" s="434"/>
      <c r="K170" s="434">
        <v>78031</v>
      </c>
      <c r="L170" s="434">
        <v>57839</v>
      </c>
      <c r="M170" s="434">
        <v>128299</v>
      </c>
      <c r="N170" s="434">
        <v>15077</v>
      </c>
      <c r="O170" s="434"/>
      <c r="P170" s="434">
        <f t="shared" si="15"/>
        <v>9916</v>
      </c>
      <c r="Q170" s="434"/>
      <c r="R170" s="434">
        <v>392</v>
      </c>
      <c r="S170" s="434">
        <v>9524</v>
      </c>
      <c r="U170" s="472"/>
      <c r="V170" s="472"/>
      <c r="W170" s="472"/>
      <c r="X170" s="472"/>
      <c r="Y170" s="472"/>
    </row>
    <row r="171" spans="1:25" s="428" customFormat="1" ht="9" customHeight="1" x14ac:dyDescent="0.25">
      <c r="A171" s="431" t="s">
        <v>34</v>
      </c>
      <c r="B171" s="427">
        <f t="shared" si="13"/>
        <v>69252</v>
      </c>
      <c r="C171" s="427"/>
      <c r="D171" s="477">
        <v>24145</v>
      </c>
      <c r="E171" s="477">
        <v>30473</v>
      </c>
      <c r="F171" s="477">
        <v>7954</v>
      </c>
      <c r="G171" s="477">
        <v>6680</v>
      </c>
      <c r="I171" s="427">
        <f t="shared" si="14"/>
        <v>235071</v>
      </c>
      <c r="J171" s="427"/>
      <c r="K171" s="427">
        <v>34166</v>
      </c>
      <c r="L171" s="427">
        <v>79675</v>
      </c>
      <c r="M171" s="427">
        <v>111422</v>
      </c>
      <c r="N171" s="427">
        <v>9808</v>
      </c>
      <c r="O171" s="427"/>
      <c r="P171" s="427">
        <f t="shared" si="15"/>
        <v>9676</v>
      </c>
      <c r="Q171" s="427"/>
      <c r="R171" s="427">
        <v>642</v>
      </c>
      <c r="S171" s="427">
        <v>9034</v>
      </c>
      <c r="U171" s="472"/>
      <c r="V171" s="472"/>
      <c r="W171" s="472"/>
      <c r="X171" s="472"/>
      <c r="Y171" s="472"/>
    </row>
    <row r="172" spans="1:25" s="428" customFormat="1" ht="9" customHeight="1" x14ac:dyDescent="0.25">
      <c r="A172" s="431" t="s">
        <v>35</v>
      </c>
      <c r="B172" s="427">
        <f t="shared" si="13"/>
        <v>116064</v>
      </c>
      <c r="C172" s="427"/>
      <c r="D172" s="477">
        <v>39588</v>
      </c>
      <c r="E172" s="477">
        <v>43048</v>
      </c>
      <c r="F172" s="477">
        <v>18879</v>
      </c>
      <c r="G172" s="477">
        <v>14549</v>
      </c>
      <c r="I172" s="427">
        <f t="shared" si="14"/>
        <v>470550</v>
      </c>
      <c r="J172" s="427"/>
      <c r="K172" s="427">
        <v>71759</v>
      </c>
      <c r="L172" s="427">
        <v>125308</v>
      </c>
      <c r="M172" s="427">
        <v>238513</v>
      </c>
      <c r="N172" s="427">
        <v>34970</v>
      </c>
      <c r="O172" s="427"/>
      <c r="P172" s="427">
        <f t="shared" si="15"/>
        <v>19976</v>
      </c>
      <c r="Q172" s="427"/>
      <c r="R172" s="427">
        <v>1876</v>
      </c>
      <c r="S172" s="427">
        <v>18100</v>
      </c>
      <c r="U172" s="472"/>
      <c r="V172" s="472"/>
      <c r="W172" s="472"/>
      <c r="X172" s="472"/>
      <c r="Y172" s="472"/>
    </row>
    <row r="173" spans="1:25" s="428" customFormat="1" ht="9" customHeight="1" x14ac:dyDescent="0.25">
      <c r="A173" s="431" t="s">
        <v>36</v>
      </c>
      <c r="B173" s="427">
        <f t="shared" si="13"/>
        <v>244120</v>
      </c>
      <c r="C173" s="427"/>
      <c r="D173" s="477">
        <v>78062</v>
      </c>
      <c r="E173" s="477">
        <v>106371</v>
      </c>
      <c r="F173" s="477">
        <v>25357</v>
      </c>
      <c r="G173" s="477">
        <v>34330</v>
      </c>
      <c r="I173" s="427">
        <f t="shared" si="14"/>
        <v>1187351</v>
      </c>
      <c r="J173" s="427"/>
      <c r="K173" s="427">
        <v>232962</v>
      </c>
      <c r="L173" s="427">
        <v>403008</v>
      </c>
      <c r="M173" s="427">
        <v>426671</v>
      </c>
      <c r="N173" s="427">
        <v>124710</v>
      </c>
      <c r="O173" s="427"/>
      <c r="P173" s="427">
        <f t="shared" si="15"/>
        <v>30330</v>
      </c>
      <c r="Q173" s="427"/>
      <c r="R173" s="427">
        <v>4293</v>
      </c>
      <c r="S173" s="427">
        <v>26037</v>
      </c>
      <c r="U173" s="472"/>
      <c r="V173" s="472"/>
      <c r="W173" s="472"/>
      <c r="X173" s="472"/>
      <c r="Y173" s="472"/>
    </row>
    <row r="174" spans="1:25" s="428" customFormat="1" ht="9" customHeight="1" x14ac:dyDescent="0.25">
      <c r="A174" s="433" t="s">
        <v>37</v>
      </c>
      <c r="B174" s="434">
        <f t="shared" si="13"/>
        <v>120842</v>
      </c>
      <c r="C174" s="434"/>
      <c r="D174" s="479">
        <v>49617</v>
      </c>
      <c r="E174" s="479">
        <v>47963</v>
      </c>
      <c r="F174" s="479">
        <v>10407</v>
      </c>
      <c r="G174" s="479">
        <v>12855</v>
      </c>
      <c r="H174" s="475"/>
      <c r="I174" s="434">
        <f t="shared" si="14"/>
        <v>349405</v>
      </c>
      <c r="J174" s="434"/>
      <c r="K174" s="434">
        <v>67845</v>
      </c>
      <c r="L174" s="434">
        <v>126405</v>
      </c>
      <c r="M174" s="434">
        <v>140499</v>
      </c>
      <c r="N174" s="434">
        <v>14656</v>
      </c>
      <c r="O174" s="434"/>
      <c r="P174" s="434">
        <f t="shared" si="15"/>
        <v>12706</v>
      </c>
      <c r="Q174" s="434"/>
      <c r="R174" s="434">
        <v>1029</v>
      </c>
      <c r="S174" s="434">
        <v>11677</v>
      </c>
      <c r="U174" s="472"/>
      <c r="V174" s="472"/>
      <c r="W174" s="472"/>
      <c r="X174" s="472"/>
      <c r="Y174" s="472"/>
    </row>
    <row r="175" spans="1:25" s="428" customFormat="1" ht="9" customHeight="1" x14ac:dyDescent="0.25">
      <c r="A175" s="431" t="s">
        <v>38</v>
      </c>
      <c r="B175" s="427">
        <f t="shared" si="13"/>
        <v>34134</v>
      </c>
      <c r="C175" s="427"/>
      <c r="D175" s="477">
        <v>11476</v>
      </c>
      <c r="E175" s="477">
        <v>10649</v>
      </c>
      <c r="F175" s="477">
        <v>5220</v>
      </c>
      <c r="G175" s="477">
        <v>6789</v>
      </c>
      <c r="I175" s="427">
        <f t="shared" si="14"/>
        <v>130748</v>
      </c>
      <c r="J175" s="427"/>
      <c r="K175" s="427">
        <v>21796</v>
      </c>
      <c r="L175" s="427">
        <v>32783</v>
      </c>
      <c r="M175" s="427">
        <v>70451</v>
      </c>
      <c r="N175" s="427">
        <v>5718</v>
      </c>
      <c r="O175" s="427"/>
      <c r="P175" s="427">
        <f t="shared" si="15"/>
        <v>6253</v>
      </c>
      <c r="Q175" s="427"/>
      <c r="R175" s="427">
        <v>410</v>
      </c>
      <c r="S175" s="427">
        <v>5843</v>
      </c>
      <c r="U175" s="472"/>
      <c r="V175" s="472"/>
      <c r="W175" s="472"/>
      <c r="X175" s="472"/>
      <c r="Y175" s="472"/>
    </row>
    <row r="176" spans="1:25" s="428" customFormat="1" ht="9" customHeight="1" x14ac:dyDescent="0.25">
      <c r="A176" s="431" t="s">
        <v>39</v>
      </c>
      <c r="B176" s="427">
        <f t="shared" si="13"/>
        <v>35083</v>
      </c>
      <c r="C176" s="427"/>
      <c r="D176" s="477">
        <v>16610</v>
      </c>
      <c r="E176" s="477">
        <v>11505</v>
      </c>
      <c r="F176" s="477">
        <v>4262</v>
      </c>
      <c r="G176" s="477">
        <v>2706</v>
      </c>
      <c r="I176" s="427">
        <f t="shared" si="14"/>
        <v>114164</v>
      </c>
      <c r="J176" s="427"/>
      <c r="K176" s="427">
        <v>26849</v>
      </c>
      <c r="L176" s="427">
        <v>32578</v>
      </c>
      <c r="M176" s="427">
        <v>50642</v>
      </c>
      <c r="N176" s="427">
        <v>4095</v>
      </c>
      <c r="O176" s="427"/>
      <c r="P176" s="427">
        <f t="shared" si="15"/>
        <v>4313</v>
      </c>
      <c r="Q176" s="427"/>
      <c r="R176" s="427">
        <v>144</v>
      </c>
      <c r="S176" s="427">
        <v>4169</v>
      </c>
      <c r="U176" s="472"/>
      <c r="V176" s="472"/>
      <c r="W176" s="472"/>
      <c r="X176" s="472"/>
      <c r="Y176" s="472"/>
    </row>
    <row r="177" spans="1:25" s="428" customFormat="1" ht="9" customHeight="1" x14ac:dyDescent="0.25">
      <c r="A177" s="431" t="s">
        <v>40</v>
      </c>
      <c r="B177" s="427">
        <f t="shared" si="13"/>
        <v>108074</v>
      </c>
      <c r="C177" s="427"/>
      <c r="D177" s="477">
        <v>26192</v>
      </c>
      <c r="E177" s="477">
        <v>60298</v>
      </c>
      <c r="F177" s="477">
        <v>14713</v>
      </c>
      <c r="G177" s="477">
        <v>6871</v>
      </c>
      <c r="I177" s="427">
        <f t="shared" si="14"/>
        <v>394088</v>
      </c>
      <c r="J177" s="427"/>
      <c r="K177" s="427">
        <v>41326</v>
      </c>
      <c r="L177" s="427">
        <v>141865</v>
      </c>
      <c r="M177" s="427">
        <v>199853</v>
      </c>
      <c r="N177" s="427">
        <v>11044</v>
      </c>
      <c r="O177" s="427"/>
      <c r="P177" s="427">
        <f t="shared" si="15"/>
        <v>14812</v>
      </c>
      <c r="Q177" s="427"/>
      <c r="R177" s="427">
        <v>1307</v>
      </c>
      <c r="S177" s="427">
        <v>13505</v>
      </c>
      <c r="U177" s="472"/>
      <c r="V177" s="472"/>
      <c r="W177" s="472"/>
      <c r="X177" s="472"/>
      <c r="Y177" s="472"/>
    </row>
    <row r="178" spans="1:25" s="428" customFormat="1" ht="9" customHeight="1" x14ac:dyDescent="0.25">
      <c r="A178" s="433" t="s">
        <v>41</v>
      </c>
      <c r="B178" s="434">
        <f t="shared" si="13"/>
        <v>86805</v>
      </c>
      <c r="C178" s="434"/>
      <c r="D178" s="479">
        <v>34888</v>
      </c>
      <c r="E178" s="479">
        <v>35354</v>
      </c>
      <c r="F178" s="479">
        <v>12074</v>
      </c>
      <c r="G178" s="479">
        <v>4489</v>
      </c>
      <c r="H178" s="475"/>
      <c r="I178" s="434">
        <f t="shared" si="14"/>
        <v>287084</v>
      </c>
      <c r="J178" s="434"/>
      <c r="K178" s="434">
        <v>50284</v>
      </c>
      <c r="L178" s="434">
        <v>95400</v>
      </c>
      <c r="M178" s="434">
        <v>136011</v>
      </c>
      <c r="N178" s="434">
        <v>5389</v>
      </c>
      <c r="O178" s="434"/>
      <c r="P178" s="434">
        <f t="shared" si="15"/>
        <v>13985</v>
      </c>
      <c r="Q178" s="434"/>
      <c r="R178" s="434">
        <v>555</v>
      </c>
      <c r="S178" s="434">
        <v>13430</v>
      </c>
      <c r="U178" s="472"/>
      <c r="V178" s="472"/>
      <c r="W178" s="472"/>
      <c r="X178" s="472"/>
      <c r="Y178" s="472"/>
    </row>
    <row r="179" spans="1:25" s="428" customFormat="1" ht="9" customHeight="1" x14ac:dyDescent="0.25">
      <c r="A179" s="431" t="s">
        <v>42</v>
      </c>
      <c r="B179" s="427">
        <f t="shared" si="13"/>
        <v>135232</v>
      </c>
      <c r="C179" s="427"/>
      <c r="D179" s="477">
        <v>52384</v>
      </c>
      <c r="E179" s="477">
        <v>54082</v>
      </c>
      <c r="F179" s="477">
        <v>16622</v>
      </c>
      <c r="G179" s="477">
        <v>12144</v>
      </c>
      <c r="I179" s="427">
        <f t="shared" si="14"/>
        <v>446955</v>
      </c>
      <c r="J179" s="427"/>
      <c r="K179" s="427">
        <v>88199</v>
      </c>
      <c r="L179" s="427">
        <v>150560</v>
      </c>
      <c r="M179" s="427">
        <v>184939</v>
      </c>
      <c r="N179" s="427">
        <v>23257</v>
      </c>
      <c r="O179" s="427"/>
      <c r="P179" s="427">
        <f t="shared" si="15"/>
        <v>17222</v>
      </c>
      <c r="Q179" s="427"/>
      <c r="R179" s="427">
        <v>1666</v>
      </c>
      <c r="S179" s="427">
        <v>15556</v>
      </c>
      <c r="U179" s="472"/>
      <c r="V179" s="472"/>
      <c r="W179" s="472"/>
      <c r="X179" s="472"/>
      <c r="Y179" s="472"/>
    </row>
    <row r="180" spans="1:25" s="428" customFormat="1" ht="9" customHeight="1" x14ac:dyDescent="0.25">
      <c r="A180" s="431" t="s">
        <v>43</v>
      </c>
      <c r="B180" s="427">
        <f t="shared" si="13"/>
        <v>38977</v>
      </c>
      <c r="C180" s="427"/>
      <c r="D180" s="477">
        <v>14012</v>
      </c>
      <c r="E180" s="477">
        <v>16965</v>
      </c>
      <c r="F180" s="477">
        <v>5037</v>
      </c>
      <c r="G180" s="477">
        <v>2963</v>
      </c>
      <c r="I180" s="427">
        <f t="shared" si="14"/>
        <v>126123</v>
      </c>
      <c r="J180" s="427"/>
      <c r="K180" s="427">
        <v>17374</v>
      </c>
      <c r="L180" s="427">
        <v>42870</v>
      </c>
      <c r="M180" s="427">
        <v>60777</v>
      </c>
      <c r="N180" s="427">
        <v>5102</v>
      </c>
      <c r="O180" s="427"/>
      <c r="P180" s="427">
        <f t="shared" si="15"/>
        <v>6097</v>
      </c>
      <c r="Q180" s="427"/>
      <c r="R180" s="427">
        <v>605</v>
      </c>
      <c r="S180" s="427">
        <v>5492</v>
      </c>
      <c r="U180" s="472"/>
      <c r="V180" s="472"/>
      <c r="W180" s="472"/>
      <c r="X180" s="472"/>
      <c r="Y180" s="472"/>
    </row>
    <row r="181" spans="1:25" s="428" customFormat="1" ht="9" customHeight="1" x14ac:dyDescent="0.25">
      <c r="A181" s="431" t="s">
        <v>44</v>
      </c>
      <c r="B181" s="427">
        <f t="shared" si="13"/>
        <v>22959</v>
      </c>
      <c r="C181" s="427"/>
      <c r="D181" s="477">
        <v>10604</v>
      </c>
      <c r="E181" s="477">
        <v>6363</v>
      </c>
      <c r="F181" s="477">
        <v>4379</v>
      </c>
      <c r="G181" s="477">
        <v>1613</v>
      </c>
      <c r="I181" s="427">
        <f t="shared" si="14"/>
        <v>68711</v>
      </c>
      <c r="J181" s="427"/>
      <c r="K181" s="427">
        <v>13620</v>
      </c>
      <c r="L181" s="427">
        <v>16738</v>
      </c>
      <c r="M181" s="427">
        <v>36872</v>
      </c>
      <c r="N181" s="427">
        <v>1481</v>
      </c>
      <c r="O181" s="427"/>
      <c r="P181" s="427">
        <f t="shared" si="15"/>
        <v>4898</v>
      </c>
      <c r="Q181" s="427"/>
      <c r="R181" s="427">
        <v>687</v>
      </c>
      <c r="S181" s="427">
        <v>4211</v>
      </c>
      <c r="U181" s="472"/>
      <c r="V181" s="472"/>
      <c r="W181" s="472"/>
      <c r="X181" s="472"/>
      <c r="Y181" s="472"/>
    </row>
    <row r="182" spans="1:25" s="428" customFormat="1" ht="9" customHeight="1" x14ac:dyDescent="0.25">
      <c r="A182" s="433" t="s">
        <v>45</v>
      </c>
      <c r="B182" s="434">
        <f t="shared" si="13"/>
        <v>65568</v>
      </c>
      <c r="C182" s="434"/>
      <c r="D182" s="479">
        <v>26398</v>
      </c>
      <c r="E182" s="479">
        <v>29309</v>
      </c>
      <c r="F182" s="479">
        <v>6474</v>
      </c>
      <c r="G182" s="479">
        <v>3387</v>
      </c>
      <c r="H182" s="475"/>
      <c r="I182" s="434">
        <f t="shared" si="14"/>
        <v>197182</v>
      </c>
      <c r="J182" s="434"/>
      <c r="K182" s="434">
        <v>40848</v>
      </c>
      <c r="L182" s="434">
        <v>78686</v>
      </c>
      <c r="M182" s="434">
        <v>72868</v>
      </c>
      <c r="N182" s="434">
        <v>4780</v>
      </c>
      <c r="O182" s="434"/>
      <c r="P182" s="434">
        <f t="shared" si="15"/>
        <v>7273</v>
      </c>
      <c r="Q182" s="434"/>
      <c r="R182" s="434">
        <v>566</v>
      </c>
      <c r="S182" s="434">
        <v>6707</v>
      </c>
      <c r="U182" s="472"/>
      <c r="V182" s="472"/>
      <c r="W182" s="472"/>
      <c r="X182" s="472"/>
      <c r="Y182" s="472"/>
    </row>
    <row r="183" spans="1:25" s="428" customFormat="1" ht="9" customHeight="1" x14ac:dyDescent="0.25">
      <c r="A183" s="431" t="s">
        <v>46</v>
      </c>
      <c r="B183" s="427">
        <f t="shared" si="13"/>
        <v>80113</v>
      </c>
      <c r="C183" s="427"/>
      <c r="D183" s="477">
        <v>27428</v>
      </c>
      <c r="E183" s="477">
        <v>36617</v>
      </c>
      <c r="F183" s="477">
        <v>13309</v>
      </c>
      <c r="G183" s="477">
        <v>2759</v>
      </c>
      <c r="I183" s="427">
        <f t="shared" si="14"/>
        <v>299461</v>
      </c>
      <c r="J183" s="427"/>
      <c r="K183" s="427">
        <v>47699</v>
      </c>
      <c r="L183" s="427">
        <v>94552</v>
      </c>
      <c r="M183" s="427">
        <v>153677</v>
      </c>
      <c r="N183" s="427">
        <v>3533</v>
      </c>
      <c r="O183" s="427"/>
      <c r="P183" s="427">
        <f t="shared" si="15"/>
        <v>11683</v>
      </c>
      <c r="Q183" s="427"/>
      <c r="R183" s="427">
        <v>399</v>
      </c>
      <c r="S183" s="427">
        <v>11284</v>
      </c>
      <c r="U183" s="472"/>
      <c r="V183" s="472"/>
      <c r="W183" s="472"/>
      <c r="X183" s="472"/>
      <c r="Y183" s="472"/>
    </row>
    <row r="184" spans="1:25" s="428" customFormat="1" ht="9" customHeight="1" x14ac:dyDescent="0.25">
      <c r="A184" s="431" t="s">
        <v>47</v>
      </c>
      <c r="B184" s="427">
        <f t="shared" si="13"/>
        <v>55276</v>
      </c>
      <c r="C184" s="427"/>
      <c r="D184" s="477">
        <v>21319</v>
      </c>
      <c r="E184" s="477">
        <v>22313</v>
      </c>
      <c r="F184" s="477">
        <v>7619</v>
      </c>
      <c r="G184" s="477">
        <v>4025</v>
      </c>
      <c r="I184" s="427">
        <f t="shared" si="14"/>
        <v>200306</v>
      </c>
      <c r="J184" s="427"/>
      <c r="K184" s="427">
        <v>30196</v>
      </c>
      <c r="L184" s="427">
        <v>60480</v>
      </c>
      <c r="M184" s="427">
        <v>103568</v>
      </c>
      <c r="N184" s="427">
        <v>6062</v>
      </c>
      <c r="O184" s="427"/>
      <c r="P184" s="427">
        <f t="shared" si="15"/>
        <v>8963</v>
      </c>
      <c r="Q184" s="427"/>
      <c r="R184" s="427">
        <v>729</v>
      </c>
      <c r="S184" s="427">
        <v>8234</v>
      </c>
      <c r="U184" s="472"/>
      <c r="V184" s="472"/>
      <c r="W184" s="472"/>
      <c r="X184" s="472"/>
      <c r="Y184" s="472"/>
    </row>
    <row r="185" spans="1:25" s="428" customFormat="1" ht="9" customHeight="1" x14ac:dyDescent="0.25">
      <c r="A185" s="431" t="s">
        <v>48</v>
      </c>
      <c r="B185" s="427">
        <f t="shared" si="13"/>
        <v>39135</v>
      </c>
      <c r="C185" s="427"/>
      <c r="D185" s="477">
        <v>22618</v>
      </c>
      <c r="E185" s="477">
        <v>8404</v>
      </c>
      <c r="F185" s="477">
        <v>4893</v>
      </c>
      <c r="G185" s="477">
        <v>3220</v>
      </c>
      <c r="I185" s="427">
        <f t="shared" si="14"/>
        <v>195849</v>
      </c>
      <c r="J185" s="427"/>
      <c r="K185" s="427">
        <v>50182</v>
      </c>
      <c r="L185" s="427">
        <v>25483</v>
      </c>
      <c r="M185" s="427">
        <v>114664</v>
      </c>
      <c r="N185" s="427">
        <v>5520</v>
      </c>
      <c r="O185" s="427"/>
      <c r="P185" s="427">
        <f t="shared" si="15"/>
        <v>8240</v>
      </c>
      <c r="Q185" s="427"/>
      <c r="R185" s="427">
        <v>323</v>
      </c>
      <c r="S185" s="427">
        <v>7917</v>
      </c>
      <c r="U185" s="472"/>
      <c r="V185" s="472"/>
      <c r="W185" s="472"/>
      <c r="X185" s="472"/>
      <c r="Y185" s="472"/>
    </row>
    <row r="186" spans="1:25" s="428" customFormat="1" ht="9" customHeight="1" x14ac:dyDescent="0.25">
      <c r="A186" s="433" t="s">
        <v>49</v>
      </c>
      <c r="B186" s="434">
        <f t="shared" si="13"/>
        <v>72135</v>
      </c>
      <c r="C186" s="434"/>
      <c r="D186" s="479">
        <v>33125</v>
      </c>
      <c r="E186" s="479">
        <v>26372</v>
      </c>
      <c r="F186" s="479">
        <v>9428</v>
      </c>
      <c r="G186" s="479">
        <v>3210</v>
      </c>
      <c r="H186" s="475"/>
      <c r="I186" s="434">
        <f t="shared" si="14"/>
        <v>257523</v>
      </c>
      <c r="J186" s="434"/>
      <c r="K186" s="434">
        <v>49355</v>
      </c>
      <c r="L186" s="434">
        <v>64832</v>
      </c>
      <c r="M186" s="434">
        <v>139374</v>
      </c>
      <c r="N186" s="434">
        <v>3962</v>
      </c>
      <c r="O186" s="434"/>
      <c r="P186" s="434">
        <f t="shared" si="15"/>
        <v>12000</v>
      </c>
      <c r="Q186" s="434"/>
      <c r="R186" s="434">
        <v>818</v>
      </c>
      <c r="S186" s="434">
        <v>11182</v>
      </c>
      <c r="U186" s="472"/>
      <c r="V186" s="472"/>
      <c r="W186" s="472"/>
      <c r="X186" s="472"/>
      <c r="Y186" s="472"/>
    </row>
    <row r="187" spans="1:25" s="428" customFormat="1" ht="9" customHeight="1" x14ac:dyDescent="0.25">
      <c r="A187" s="431" t="s">
        <v>50</v>
      </c>
      <c r="B187" s="427">
        <f t="shared" si="13"/>
        <v>23649</v>
      </c>
      <c r="C187" s="427"/>
      <c r="D187" s="477">
        <v>7520</v>
      </c>
      <c r="E187" s="477">
        <v>10402</v>
      </c>
      <c r="F187" s="477">
        <v>2891</v>
      </c>
      <c r="G187" s="477">
        <v>2836</v>
      </c>
      <c r="I187" s="427">
        <f t="shared" si="14"/>
        <v>90115</v>
      </c>
      <c r="J187" s="427"/>
      <c r="K187" s="427">
        <v>13836</v>
      </c>
      <c r="L187" s="427">
        <v>29487</v>
      </c>
      <c r="M187" s="427">
        <v>39416</v>
      </c>
      <c r="N187" s="427">
        <v>7376</v>
      </c>
      <c r="O187" s="427"/>
      <c r="P187" s="427">
        <f t="shared" si="15"/>
        <v>3851</v>
      </c>
      <c r="Q187" s="427"/>
      <c r="R187" s="427">
        <v>236</v>
      </c>
      <c r="S187" s="427">
        <v>3615</v>
      </c>
      <c r="U187" s="472"/>
      <c r="V187" s="472"/>
      <c r="W187" s="472"/>
      <c r="X187" s="472"/>
      <c r="Y187" s="472"/>
    </row>
    <row r="188" spans="1:25" s="428" customFormat="1" ht="9" customHeight="1" x14ac:dyDescent="0.25">
      <c r="A188" s="431" t="s">
        <v>51</v>
      </c>
      <c r="B188" s="427">
        <f t="shared" si="13"/>
        <v>205367</v>
      </c>
      <c r="C188" s="427"/>
      <c r="D188" s="477">
        <v>76654</v>
      </c>
      <c r="E188" s="477">
        <v>81114</v>
      </c>
      <c r="F188" s="477">
        <v>33975</v>
      </c>
      <c r="G188" s="477">
        <v>13624</v>
      </c>
      <c r="I188" s="427">
        <f t="shared" si="14"/>
        <v>718577</v>
      </c>
      <c r="J188" s="427"/>
      <c r="K188" s="427">
        <v>113782</v>
      </c>
      <c r="L188" s="427">
        <v>218521</v>
      </c>
      <c r="M188" s="427">
        <v>370645</v>
      </c>
      <c r="N188" s="427">
        <v>15629</v>
      </c>
      <c r="O188" s="427"/>
      <c r="P188" s="427">
        <f t="shared" si="15"/>
        <v>32604</v>
      </c>
      <c r="Q188" s="427"/>
      <c r="R188" s="427">
        <v>1482</v>
      </c>
      <c r="S188" s="427">
        <v>31122</v>
      </c>
      <c r="U188" s="472"/>
      <c r="V188" s="472"/>
      <c r="W188" s="472"/>
      <c r="X188" s="472"/>
      <c r="Y188" s="472"/>
    </row>
    <row r="189" spans="1:25" s="428" customFormat="1" ht="9" customHeight="1" x14ac:dyDescent="0.25">
      <c r="A189" s="431" t="s">
        <v>52</v>
      </c>
      <c r="B189" s="427">
        <f t="shared" si="13"/>
        <v>44675</v>
      </c>
      <c r="C189" s="427"/>
      <c r="D189" s="477">
        <v>21491</v>
      </c>
      <c r="E189" s="477">
        <v>13226</v>
      </c>
      <c r="F189" s="477">
        <v>8722</v>
      </c>
      <c r="G189" s="477">
        <v>1236</v>
      </c>
      <c r="I189" s="427">
        <f t="shared" si="14"/>
        <v>141444</v>
      </c>
      <c r="J189" s="427"/>
      <c r="K189" s="427">
        <v>31708</v>
      </c>
      <c r="L189" s="427">
        <v>31851</v>
      </c>
      <c r="M189" s="427">
        <v>76006</v>
      </c>
      <c r="N189" s="427">
        <v>1879</v>
      </c>
      <c r="O189" s="427"/>
      <c r="P189" s="427">
        <f t="shared" si="15"/>
        <v>8668</v>
      </c>
      <c r="Q189" s="427"/>
      <c r="R189" s="427">
        <v>650</v>
      </c>
      <c r="S189" s="427">
        <v>8018</v>
      </c>
      <c r="U189" s="472"/>
      <c r="V189" s="472"/>
      <c r="W189" s="472"/>
      <c r="X189" s="472"/>
      <c r="Y189" s="472"/>
    </row>
    <row r="190" spans="1:25" s="428" customFormat="1" ht="9" customHeight="1" x14ac:dyDescent="0.25">
      <c r="A190" s="433" t="s">
        <v>53</v>
      </c>
      <c r="B190" s="434">
        <f t="shared" si="13"/>
        <v>47561</v>
      </c>
      <c r="C190" s="434"/>
      <c r="D190" s="479">
        <v>14937</v>
      </c>
      <c r="E190" s="479">
        <v>23372</v>
      </c>
      <c r="F190" s="479">
        <v>5031</v>
      </c>
      <c r="G190" s="479">
        <v>4221</v>
      </c>
      <c r="H190" s="475"/>
      <c r="I190" s="434">
        <f t="shared" si="14"/>
        <v>147043</v>
      </c>
      <c r="J190" s="434"/>
      <c r="K190" s="434">
        <v>24270</v>
      </c>
      <c r="L190" s="434">
        <v>59151</v>
      </c>
      <c r="M190" s="434">
        <v>56164</v>
      </c>
      <c r="N190" s="434">
        <v>7458</v>
      </c>
      <c r="O190" s="434"/>
      <c r="P190" s="434">
        <f t="shared" si="15"/>
        <v>4937</v>
      </c>
      <c r="Q190" s="434"/>
      <c r="R190" s="434">
        <v>256</v>
      </c>
      <c r="S190" s="434">
        <v>4681</v>
      </c>
      <c r="U190" s="472"/>
      <c r="V190" s="472"/>
      <c r="W190" s="472"/>
      <c r="X190" s="472"/>
      <c r="Y190" s="472"/>
    </row>
    <row r="191" spans="1:25" s="428" customFormat="1" ht="9" customHeight="1" x14ac:dyDescent="0.25">
      <c r="A191" s="441"/>
      <c r="B191" s="427"/>
      <c r="C191" s="427"/>
      <c r="D191" s="476"/>
      <c r="E191" s="477"/>
      <c r="F191" s="477"/>
      <c r="G191" s="477"/>
      <c r="H191" s="477"/>
      <c r="I191" s="477"/>
      <c r="J191" s="477"/>
      <c r="K191" s="477"/>
      <c r="L191" s="477"/>
      <c r="M191" s="477"/>
      <c r="N191" s="477"/>
      <c r="O191" s="477"/>
      <c r="P191" s="477"/>
      <c r="Q191" s="477"/>
      <c r="R191" s="477"/>
      <c r="S191" s="477"/>
      <c r="U191" s="472"/>
      <c r="V191" s="472"/>
      <c r="W191" s="472"/>
      <c r="X191" s="472"/>
      <c r="Y191" s="472"/>
    </row>
    <row r="192" spans="1:25" s="428" customFormat="1" ht="9" customHeight="1" x14ac:dyDescent="0.25">
      <c r="A192" s="441">
        <v>2000</v>
      </c>
      <c r="B192" s="427"/>
      <c r="C192" s="427"/>
      <c r="D192" s="476"/>
      <c r="E192" s="477"/>
      <c r="F192" s="477"/>
      <c r="G192" s="477"/>
      <c r="H192" s="477"/>
      <c r="I192" s="477"/>
      <c r="J192" s="477"/>
      <c r="K192" s="477"/>
      <c r="L192" s="477"/>
      <c r="M192" s="477"/>
      <c r="N192" s="477"/>
      <c r="O192" s="477"/>
      <c r="P192" s="477"/>
      <c r="Q192" s="477"/>
      <c r="R192" s="477"/>
      <c r="S192" s="477"/>
      <c r="U192" s="472"/>
      <c r="V192" s="472"/>
      <c r="W192" s="472"/>
      <c r="X192" s="472"/>
      <c r="Y192" s="472"/>
    </row>
    <row r="193" spans="1:25" s="428" customFormat="1" ht="9" customHeight="1" x14ac:dyDescent="0.25">
      <c r="A193" s="429" t="s">
        <v>21</v>
      </c>
      <c r="B193" s="476">
        <f>SUM(B195:B226)</f>
        <v>2552987</v>
      </c>
      <c r="C193" s="476"/>
      <c r="D193" s="476">
        <f>SUM(D195:D226)</f>
        <v>963257</v>
      </c>
      <c r="E193" s="476">
        <f>SUM(E195:E226)</f>
        <v>1020993</v>
      </c>
      <c r="F193" s="476">
        <f>SUM(F195:F226)</f>
        <v>324188</v>
      </c>
      <c r="G193" s="476">
        <f>SUM(G195:G226)</f>
        <v>244549</v>
      </c>
      <c r="H193" s="476"/>
      <c r="I193" s="430">
        <f>SUM(I195:I226)</f>
        <v>9692561</v>
      </c>
      <c r="J193" s="430"/>
      <c r="K193" s="430">
        <f>SUM(K195:K226)</f>
        <v>1633874</v>
      </c>
      <c r="L193" s="430">
        <f>SUM(L195:L226)</f>
        <v>2999902</v>
      </c>
      <c r="M193" s="430">
        <f>SUM(M195:M226)</f>
        <v>4576858</v>
      </c>
      <c r="N193" s="430">
        <f>SUM(N195:N226)</f>
        <v>481927</v>
      </c>
      <c r="O193" s="430"/>
      <c r="P193" s="430">
        <f>SUM(P195:P226)</f>
        <v>367581</v>
      </c>
      <c r="Q193" s="430"/>
      <c r="R193" s="430">
        <f>SUM(R195:R226)</f>
        <v>33399</v>
      </c>
      <c r="S193" s="430">
        <f>SUM(S195:S226)</f>
        <v>334182</v>
      </c>
      <c r="U193" s="472"/>
      <c r="V193" s="472"/>
      <c r="W193" s="472"/>
      <c r="X193" s="472"/>
      <c r="Y193" s="472"/>
    </row>
    <row r="194" spans="1:25" s="428" customFormat="1" ht="3" customHeight="1" x14ac:dyDescent="0.25">
      <c r="A194" s="429"/>
      <c r="B194" s="476"/>
      <c r="C194" s="476"/>
      <c r="D194" s="476"/>
      <c r="E194" s="476"/>
      <c r="F194" s="476"/>
      <c r="G194" s="476"/>
      <c r="H194" s="476"/>
      <c r="I194" s="430"/>
      <c r="J194" s="430"/>
      <c r="K194" s="430"/>
      <c r="L194" s="430"/>
      <c r="M194" s="430"/>
      <c r="N194" s="430"/>
      <c r="O194" s="430"/>
      <c r="P194" s="430"/>
      <c r="Q194" s="430"/>
      <c r="R194" s="430"/>
      <c r="S194" s="430"/>
      <c r="U194" s="472"/>
      <c r="V194" s="472"/>
      <c r="W194" s="472"/>
      <c r="X194" s="472"/>
      <c r="Y194" s="472"/>
    </row>
    <row r="195" spans="1:25" s="428" customFormat="1" ht="9" customHeight="1" x14ac:dyDescent="0.25">
      <c r="A195" s="431" t="s">
        <v>23</v>
      </c>
      <c r="B195" s="427">
        <f t="shared" ref="B195:B226" si="16">SUM(D195:G195)</f>
        <v>26867</v>
      </c>
      <c r="C195" s="427"/>
      <c r="D195" s="477">
        <v>11047</v>
      </c>
      <c r="E195" s="477">
        <v>9177</v>
      </c>
      <c r="F195" s="477">
        <v>3263</v>
      </c>
      <c r="G195" s="477">
        <v>3380</v>
      </c>
      <c r="I195" s="427">
        <f t="shared" ref="I195:I226" si="17">SUM(K195:O195)</f>
        <v>86216</v>
      </c>
      <c r="J195" s="427"/>
      <c r="K195" s="427">
        <v>16204</v>
      </c>
      <c r="L195" s="427">
        <v>30289</v>
      </c>
      <c r="M195" s="427">
        <v>34388</v>
      </c>
      <c r="N195" s="427">
        <v>5335</v>
      </c>
      <c r="O195" s="427"/>
      <c r="P195" s="427">
        <f t="shared" ref="P195:P226" si="18">SUM(R195:S195)</f>
        <v>3967</v>
      </c>
      <c r="Q195" s="427"/>
      <c r="R195" s="427">
        <v>500</v>
      </c>
      <c r="S195" s="427">
        <v>3467</v>
      </c>
      <c r="U195" s="472"/>
      <c r="V195" s="472"/>
      <c r="W195" s="472"/>
      <c r="X195" s="472"/>
      <c r="Y195" s="472"/>
    </row>
    <row r="196" spans="1:25" s="428" customFormat="1" ht="9" customHeight="1" x14ac:dyDescent="0.25">
      <c r="A196" s="431" t="s">
        <v>24</v>
      </c>
      <c r="B196" s="427">
        <f t="shared" si="16"/>
        <v>99743</v>
      </c>
      <c r="C196" s="427"/>
      <c r="D196" s="477">
        <v>59449</v>
      </c>
      <c r="E196" s="477">
        <v>22827</v>
      </c>
      <c r="F196" s="477">
        <v>11597</v>
      </c>
      <c r="G196" s="477">
        <v>5870</v>
      </c>
      <c r="I196" s="427">
        <f t="shared" si="17"/>
        <v>240896</v>
      </c>
      <c r="J196" s="427"/>
      <c r="K196" s="427">
        <v>57009</v>
      </c>
      <c r="L196" s="427">
        <v>66529</v>
      </c>
      <c r="M196" s="427">
        <v>110728</v>
      </c>
      <c r="N196" s="427">
        <v>6630</v>
      </c>
      <c r="O196" s="427"/>
      <c r="P196" s="427">
        <f t="shared" si="18"/>
        <v>12246</v>
      </c>
      <c r="Q196" s="427"/>
      <c r="R196" s="427">
        <v>1100</v>
      </c>
      <c r="S196" s="427">
        <v>11146</v>
      </c>
      <c r="U196" s="472"/>
      <c r="V196" s="472"/>
      <c r="W196" s="472"/>
      <c r="X196" s="472"/>
      <c r="Y196" s="472"/>
    </row>
    <row r="197" spans="1:25" s="428" customFormat="1" ht="9" customHeight="1" x14ac:dyDescent="0.25">
      <c r="A197" s="431" t="s">
        <v>25</v>
      </c>
      <c r="B197" s="427">
        <f t="shared" si="16"/>
        <v>14532</v>
      </c>
      <c r="C197" s="427"/>
      <c r="D197" s="477">
        <v>6099</v>
      </c>
      <c r="E197" s="477">
        <v>5140</v>
      </c>
      <c r="F197" s="477">
        <v>1867</v>
      </c>
      <c r="G197" s="477">
        <v>1426</v>
      </c>
      <c r="I197" s="427">
        <f t="shared" si="17"/>
        <v>55322</v>
      </c>
      <c r="J197" s="427"/>
      <c r="K197" s="427">
        <v>7943</v>
      </c>
      <c r="L197" s="427">
        <v>13237</v>
      </c>
      <c r="M197" s="427">
        <v>31886</v>
      </c>
      <c r="N197" s="427">
        <v>2256</v>
      </c>
      <c r="O197" s="427"/>
      <c r="P197" s="427">
        <f t="shared" si="18"/>
        <v>2627</v>
      </c>
      <c r="Q197" s="427"/>
      <c r="R197" s="427">
        <v>185</v>
      </c>
      <c r="S197" s="427">
        <v>2442</v>
      </c>
      <c r="U197" s="472"/>
      <c r="V197" s="472"/>
      <c r="W197" s="472"/>
      <c r="X197" s="472"/>
      <c r="Y197" s="472"/>
    </row>
    <row r="198" spans="1:25" s="428" customFormat="1" ht="9" customHeight="1" x14ac:dyDescent="0.25">
      <c r="A198" s="433" t="s">
        <v>26</v>
      </c>
      <c r="B198" s="434">
        <f t="shared" si="16"/>
        <v>19432</v>
      </c>
      <c r="C198" s="434"/>
      <c r="D198" s="479">
        <v>9030</v>
      </c>
      <c r="E198" s="479">
        <v>5968</v>
      </c>
      <c r="F198" s="479">
        <v>3473</v>
      </c>
      <c r="G198" s="479">
        <v>961</v>
      </c>
      <c r="H198" s="475"/>
      <c r="I198" s="434">
        <f t="shared" si="17"/>
        <v>76108</v>
      </c>
      <c r="J198" s="434"/>
      <c r="K198" s="434">
        <v>16461</v>
      </c>
      <c r="L198" s="434">
        <v>13234</v>
      </c>
      <c r="M198" s="434">
        <v>44875</v>
      </c>
      <c r="N198" s="434">
        <v>1538</v>
      </c>
      <c r="O198" s="434"/>
      <c r="P198" s="434">
        <f t="shared" si="18"/>
        <v>4566</v>
      </c>
      <c r="Q198" s="434"/>
      <c r="R198" s="434">
        <v>258</v>
      </c>
      <c r="S198" s="434">
        <v>4308</v>
      </c>
      <c r="U198" s="472"/>
      <c r="V198" s="472"/>
      <c r="W198" s="472"/>
      <c r="X198" s="472"/>
      <c r="Y198" s="472"/>
    </row>
    <row r="199" spans="1:25" s="428" customFormat="1" ht="9" customHeight="1" x14ac:dyDescent="0.25">
      <c r="A199" s="431" t="s">
        <v>27</v>
      </c>
      <c r="B199" s="427">
        <f t="shared" si="16"/>
        <v>72039</v>
      </c>
      <c r="C199" s="427"/>
      <c r="D199" s="477">
        <v>26001</v>
      </c>
      <c r="E199" s="477">
        <v>30460</v>
      </c>
      <c r="F199" s="477">
        <v>10474</v>
      </c>
      <c r="G199" s="477">
        <v>5104</v>
      </c>
      <c r="I199" s="427">
        <f t="shared" si="17"/>
        <v>269420</v>
      </c>
      <c r="J199" s="427"/>
      <c r="K199" s="427">
        <v>40224</v>
      </c>
      <c r="L199" s="427">
        <v>81153</v>
      </c>
      <c r="M199" s="427">
        <v>140521</v>
      </c>
      <c r="N199" s="427">
        <v>7522</v>
      </c>
      <c r="O199" s="427"/>
      <c r="P199" s="427">
        <f t="shared" si="18"/>
        <v>10901</v>
      </c>
      <c r="Q199" s="427"/>
      <c r="R199" s="427">
        <v>861</v>
      </c>
      <c r="S199" s="427">
        <v>10040</v>
      </c>
      <c r="U199" s="472"/>
      <c r="V199" s="472"/>
      <c r="W199" s="472"/>
      <c r="X199" s="472"/>
      <c r="Y199" s="472"/>
    </row>
    <row r="200" spans="1:25" s="428" customFormat="1" ht="9" customHeight="1" x14ac:dyDescent="0.25">
      <c r="A200" s="431" t="s">
        <v>28</v>
      </c>
      <c r="B200" s="427">
        <f t="shared" si="16"/>
        <v>21975</v>
      </c>
      <c r="C200" s="427"/>
      <c r="D200" s="477">
        <v>8989</v>
      </c>
      <c r="E200" s="477">
        <v>8074</v>
      </c>
      <c r="F200" s="477">
        <v>2800</v>
      </c>
      <c r="G200" s="477">
        <v>2112</v>
      </c>
      <c r="I200" s="427">
        <f t="shared" si="17"/>
        <v>70588</v>
      </c>
      <c r="J200" s="427"/>
      <c r="K200" s="427">
        <v>10269</v>
      </c>
      <c r="L200" s="427">
        <v>16524</v>
      </c>
      <c r="M200" s="427">
        <v>41393</v>
      </c>
      <c r="N200" s="427">
        <v>2402</v>
      </c>
      <c r="O200" s="427"/>
      <c r="P200" s="427">
        <f t="shared" si="18"/>
        <v>2695</v>
      </c>
      <c r="Q200" s="427"/>
      <c r="R200" s="427">
        <v>104</v>
      </c>
      <c r="S200" s="427">
        <v>2591</v>
      </c>
      <c r="U200" s="472"/>
      <c r="V200" s="472"/>
      <c r="W200" s="472"/>
      <c r="X200" s="472"/>
      <c r="Y200" s="472"/>
    </row>
    <row r="201" spans="1:25" s="428" customFormat="1" ht="9" customHeight="1" x14ac:dyDescent="0.25">
      <c r="A201" s="431" t="s">
        <v>29</v>
      </c>
      <c r="B201" s="427">
        <f t="shared" si="16"/>
        <v>114490</v>
      </c>
      <c r="C201" s="427"/>
      <c r="D201" s="477">
        <v>50160</v>
      </c>
      <c r="E201" s="477">
        <v>41051</v>
      </c>
      <c r="F201" s="477">
        <v>12786</v>
      </c>
      <c r="G201" s="477">
        <v>10493</v>
      </c>
      <c r="I201" s="427">
        <f t="shared" si="17"/>
        <v>392044</v>
      </c>
      <c r="J201" s="427"/>
      <c r="K201" s="427">
        <v>76704</v>
      </c>
      <c r="L201" s="427">
        <v>109375</v>
      </c>
      <c r="M201" s="427">
        <v>190982</v>
      </c>
      <c r="N201" s="427">
        <v>14983</v>
      </c>
      <c r="O201" s="427"/>
      <c r="P201" s="427">
        <f t="shared" si="18"/>
        <v>16221</v>
      </c>
      <c r="Q201" s="427"/>
      <c r="R201" s="427">
        <v>418</v>
      </c>
      <c r="S201" s="427">
        <v>15803</v>
      </c>
      <c r="U201" s="472"/>
      <c r="V201" s="472"/>
      <c r="W201" s="472"/>
      <c r="X201" s="472"/>
      <c r="Y201" s="472"/>
    </row>
    <row r="202" spans="1:25" s="428" customFormat="1" ht="9" customHeight="1" x14ac:dyDescent="0.25">
      <c r="A202" s="433" t="s">
        <v>30</v>
      </c>
      <c r="B202" s="434">
        <f t="shared" si="16"/>
        <v>89799</v>
      </c>
      <c r="C202" s="434"/>
      <c r="D202" s="479">
        <v>32426</v>
      </c>
      <c r="E202" s="479">
        <v>41324</v>
      </c>
      <c r="F202" s="479">
        <v>10929</v>
      </c>
      <c r="G202" s="479">
        <v>5120</v>
      </c>
      <c r="H202" s="475"/>
      <c r="I202" s="434">
        <f t="shared" si="17"/>
        <v>317401</v>
      </c>
      <c r="J202" s="434"/>
      <c r="K202" s="434">
        <v>38592</v>
      </c>
      <c r="L202" s="434">
        <v>128895</v>
      </c>
      <c r="M202" s="434">
        <v>143867</v>
      </c>
      <c r="N202" s="434">
        <v>6047</v>
      </c>
      <c r="O202" s="434"/>
      <c r="P202" s="434">
        <f t="shared" si="18"/>
        <v>11808</v>
      </c>
      <c r="Q202" s="434"/>
      <c r="R202" s="434">
        <v>1704</v>
      </c>
      <c r="S202" s="434">
        <v>10104</v>
      </c>
      <c r="U202" s="472"/>
      <c r="V202" s="472"/>
      <c r="W202" s="472"/>
      <c r="X202" s="472"/>
      <c r="Y202" s="472"/>
    </row>
    <row r="203" spans="1:25" s="428" customFormat="1" ht="9" customHeight="1" x14ac:dyDescent="0.25">
      <c r="A203" s="431" t="s">
        <v>63</v>
      </c>
      <c r="B203" s="427">
        <f t="shared" si="16"/>
        <v>252196</v>
      </c>
      <c r="C203" s="427"/>
      <c r="D203" s="477">
        <v>64524</v>
      </c>
      <c r="E203" s="477">
        <v>122909</v>
      </c>
      <c r="F203" s="477">
        <v>36989</v>
      </c>
      <c r="G203" s="477">
        <v>27774</v>
      </c>
      <c r="I203" s="427">
        <f t="shared" si="17"/>
        <v>1006169</v>
      </c>
      <c r="J203" s="427"/>
      <c r="K203" s="427">
        <v>102533</v>
      </c>
      <c r="L203" s="427">
        <v>348587</v>
      </c>
      <c r="M203" s="427">
        <v>539609</v>
      </c>
      <c r="N203" s="427">
        <v>15440</v>
      </c>
      <c r="O203" s="427"/>
      <c r="P203" s="427">
        <f t="shared" si="18"/>
        <v>43125</v>
      </c>
      <c r="Q203" s="427"/>
      <c r="R203" s="427">
        <v>7362</v>
      </c>
      <c r="S203" s="427">
        <v>35763</v>
      </c>
      <c r="U203" s="472"/>
      <c r="V203" s="472"/>
      <c r="W203" s="472"/>
      <c r="X203" s="472"/>
      <c r="Y203" s="472"/>
    </row>
    <row r="204" spans="1:25" s="428" customFormat="1" ht="9" customHeight="1" x14ac:dyDescent="0.25">
      <c r="A204" s="431" t="s">
        <v>31</v>
      </c>
      <c r="B204" s="427">
        <f t="shared" si="16"/>
        <v>52634</v>
      </c>
      <c r="C204" s="427"/>
      <c r="D204" s="477">
        <v>25142</v>
      </c>
      <c r="E204" s="477">
        <v>17432</v>
      </c>
      <c r="F204" s="477">
        <v>5205</v>
      </c>
      <c r="G204" s="477">
        <v>4855</v>
      </c>
      <c r="I204" s="427">
        <f t="shared" si="17"/>
        <v>174343</v>
      </c>
      <c r="J204" s="427"/>
      <c r="K204" s="427">
        <v>38173</v>
      </c>
      <c r="L204" s="427">
        <v>57738</v>
      </c>
      <c r="M204" s="427">
        <v>71052</v>
      </c>
      <c r="N204" s="427">
        <v>7380</v>
      </c>
      <c r="O204" s="427"/>
      <c r="P204" s="427">
        <f t="shared" si="18"/>
        <v>6073</v>
      </c>
      <c r="Q204" s="427"/>
      <c r="R204" s="427">
        <v>386</v>
      </c>
      <c r="S204" s="427">
        <v>5687</v>
      </c>
      <c r="U204" s="472"/>
      <c r="V204" s="472"/>
      <c r="W204" s="472"/>
      <c r="X204" s="472"/>
      <c r="Y204" s="472"/>
    </row>
    <row r="205" spans="1:25" s="428" customFormat="1" ht="9" customHeight="1" x14ac:dyDescent="0.25">
      <c r="A205" s="431" t="s">
        <v>32</v>
      </c>
      <c r="B205" s="427">
        <f t="shared" si="16"/>
        <v>102366</v>
      </c>
      <c r="C205" s="427"/>
      <c r="D205" s="477">
        <v>42283</v>
      </c>
      <c r="E205" s="477">
        <v>33289</v>
      </c>
      <c r="F205" s="477">
        <v>10910</v>
      </c>
      <c r="G205" s="477">
        <v>15884</v>
      </c>
      <c r="I205" s="427">
        <f t="shared" si="17"/>
        <v>330219</v>
      </c>
      <c r="J205" s="427"/>
      <c r="K205" s="427">
        <v>73660</v>
      </c>
      <c r="L205" s="427">
        <v>99327</v>
      </c>
      <c r="M205" s="427">
        <v>135992</v>
      </c>
      <c r="N205" s="427">
        <v>21240</v>
      </c>
      <c r="O205" s="427"/>
      <c r="P205" s="427">
        <f t="shared" si="18"/>
        <v>13037</v>
      </c>
      <c r="Q205" s="427"/>
      <c r="R205" s="427">
        <v>1168</v>
      </c>
      <c r="S205" s="427">
        <v>11869</v>
      </c>
      <c r="U205" s="472"/>
      <c r="V205" s="472"/>
      <c r="W205" s="472"/>
      <c r="X205" s="472"/>
      <c r="Y205" s="472"/>
    </row>
    <row r="206" spans="1:25" s="428" customFormat="1" ht="9" customHeight="1" x14ac:dyDescent="0.25">
      <c r="A206" s="433" t="s">
        <v>33</v>
      </c>
      <c r="B206" s="434">
        <f t="shared" si="16"/>
        <v>68253</v>
      </c>
      <c r="C206" s="434"/>
      <c r="D206" s="479">
        <v>32108</v>
      </c>
      <c r="E206" s="479">
        <v>19862</v>
      </c>
      <c r="F206" s="479">
        <v>6437</v>
      </c>
      <c r="G206" s="479">
        <v>9846</v>
      </c>
      <c r="H206" s="475"/>
      <c r="I206" s="434">
        <f t="shared" si="17"/>
        <v>290643</v>
      </c>
      <c r="J206" s="434"/>
      <c r="K206" s="434">
        <v>78019</v>
      </c>
      <c r="L206" s="434">
        <v>59786</v>
      </c>
      <c r="M206" s="434">
        <v>134548</v>
      </c>
      <c r="N206" s="434">
        <v>18290</v>
      </c>
      <c r="O206" s="434"/>
      <c r="P206" s="434">
        <f t="shared" si="18"/>
        <v>9141</v>
      </c>
      <c r="Q206" s="434"/>
      <c r="R206" s="434">
        <v>314</v>
      </c>
      <c r="S206" s="434">
        <v>8827</v>
      </c>
      <c r="U206" s="472"/>
      <c r="V206" s="472"/>
      <c r="W206" s="472"/>
      <c r="X206" s="472"/>
      <c r="Y206" s="472"/>
    </row>
    <row r="207" spans="1:25" s="428" customFormat="1" ht="9" customHeight="1" x14ac:dyDescent="0.25">
      <c r="A207" s="431" t="s">
        <v>34</v>
      </c>
      <c r="B207" s="427">
        <f t="shared" si="16"/>
        <v>68779</v>
      </c>
      <c r="C207" s="427"/>
      <c r="D207" s="477">
        <v>23123</v>
      </c>
      <c r="E207" s="477">
        <v>32001</v>
      </c>
      <c r="F207" s="477">
        <v>7496</v>
      </c>
      <c r="G207" s="477">
        <v>6159</v>
      </c>
      <c r="I207" s="427">
        <f t="shared" si="17"/>
        <v>254497</v>
      </c>
      <c r="J207" s="427"/>
      <c r="K207" s="427">
        <v>35595</v>
      </c>
      <c r="L207" s="427">
        <v>85783</v>
      </c>
      <c r="M207" s="427">
        <v>122188</v>
      </c>
      <c r="N207" s="427">
        <v>10931</v>
      </c>
      <c r="O207" s="427"/>
      <c r="P207" s="427">
        <f t="shared" si="18"/>
        <v>8816</v>
      </c>
      <c r="Q207" s="427"/>
      <c r="R207" s="427">
        <v>568</v>
      </c>
      <c r="S207" s="427">
        <v>8248</v>
      </c>
      <c r="U207" s="472"/>
      <c r="V207" s="472"/>
      <c r="W207" s="472"/>
      <c r="X207" s="472"/>
      <c r="Y207" s="472"/>
    </row>
    <row r="208" spans="1:25" s="428" customFormat="1" ht="9" customHeight="1" x14ac:dyDescent="0.25">
      <c r="A208" s="431" t="s">
        <v>35</v>
      </c>
      <c r="B208" s="427">
        <f t="shared" si="16"/>
        <v>114589</v>
      </c>
      <c r="C208" s="427"/>
      <c r="D208" s="477">
        <v>37628</v>
      </c>
      <c r="E208" s="477">
        <v>41478</v>
      </c>
      <c r="F208" s="477">
        <v>17090</v>
      </c>
      <c r="G208" s="477">
        <v>18393</v>
      </c>
      <c r="I208" s="427">
        <f t="shared" si="17"/>
        <v>481185</v>
      </c>
      <c r="J208" s="427"/>
      <c r="K208" s="427">
        <v>72147</v>
      </c>
      <c r="L208" s="427">
        <v>120197</v>
      </c>
      <c r="M208" s="427">
        <v>248758</v>
      </c>
      <c r="N208" s="427">
        <v>40083</v>
      </c>
      <c r="O208" s="427"/>
      <c r="P208" s="427">
        <f t="shared" si="18"/>
        <v>17767</v>
      </c>
      <c r="Q208" s="427"/>
      <c r="R208" s="427">
        <v>1715</v>
      </c>
      <c r="S208" s="427">
        <v>16052</v>
      </c>
      <c r="U208" s="472"/>
      <c r="V208" s="472"/>
      <c r="W208" s="472"/>
      <c r="X208" s="472"/>
      <c r="Y208" s="472"/>
    </row>
    <row r="209" spans="1:25" s="428" customFormat="1" ht="9" customHeight="1" x14ac:dyDescent="0.25">
      <c r="A209" s="431" t="s">
        <v>36</v>
      </c>
      <c r="B209" s="427">
        <f t="shared" si="16"/>
        <v>228593</v>
      </c>
      <c r="C209" s="427"/>
      <c r="D209" s="477">
        <v>74485</v>
      </c>
      <c r="E209" s="477">
        <v>103162</v>
      </c>
      <c r="F209" s="477">
        <v>24011</v>
      </c>
      <c r="G209" s="477">
        <v>26935</v>
      </c>
      <c r="I209" s="427">
        <f t="shared" si="17"/>
        <v>1195635</v>
      </c>
      <c r="J209" s="427"/>
      <c r="K209" s="427">
        <v>229921</v>
      </c>
      <c r="L209" s="427">
        <v>398805</v>
      </c>
      <c r="M209" s="427">
        <v>445138</v>
      </c>
      <c r="N209" s="427">
        <v>121771</v>
      </c>
      <c r="O209" s="427"/>
      <c r="P209" s="427">
        <f t="shared" si="18"/>
        <v>28949</v>
      </c>
      <c r="Q209" s="427"/>
      <c r="R209" s="427">
        <v>4216</v>
      </c>
      <c r="S209" s="427">
        <v>24733</v>
      </c>
      <c r="U209" s="472"/>
      <c r="V209" s="472"/>
      <c r="W209" s="472"/>
      <c r="X209" s="472"/>
      <c r="Y209" s="472"/>
    </row>
    <row r="210" spans="1:25" s="428" customFormat="1" ht="9" customHeight="1" x14ac:dyDescent="0.25">
      <c r="A210" s="433" t="s">
        <v>37</v>
      </c>
      <c r="B210" s="434">
        <f t="shared" si="16"/>
        <v>113298</v>
      </c>
      <c r="C210" s="434"/>
      <c r="D210" s="479">
        <v>46089</v>
      </c>
      <c r="E210" s="479">
        <v>44355</v>
      </c>
      <c r="F210" s="479">
        <v>8750</v>
      </c>
      <c r="G210" s="479">
        <v>14104</v>
      </c>
      <c r="H210" s="475"/>
      <c r="I210" s="434">
        <f t="shared" si="17"/>
        <v>365910</v>
      </c>
      <c r="J210" s="434"/>
      <c r="K210" s="434">
        <v>70873</v>
      </c>
      <c r="L210" s="434">
        <v>133610</v>
      </c>
      <c r="M210" s="434">
        <v>144817</v>
      </c>
      <c r="N210" s="434">
        <v>16610</v>
      </c>
      <c r="O210" s="434"/>
      <c r="P210" s="434">
        <f t="shared" si="18"/>
        <v>11196</v>
      </c>
      <c r="Q210" s="434"/>
      <c r="R210" s="434">
        <v>806</v>
      </c>
      <c r="S210" s="434">
        <v>10390</v>
      </c>
      <c r="U210" s="472"/>
      <c r="V210" s="472"/>
      <c r="W210" s="472"/>
      <c r="X210" s="472"/>
      <c r="Y210" s="472"/>
    </row>
    <row r="211" spans="1:25" s="428" customFormat="1" ht="9" customHeight="1" x14ac:dyDescent="0.25">
      <c r="A211" s="431" t="s">
        <v>38</v>
      </c>
      <c r="B211" s="427">
        <f t="shared" si="16"/>
        <v>30706</v>
      </c>
      <c r="C211" s="427"/>
      <c r="D211" s="477">
        <v>11241</v>
      </c>
      <c r="E211" s="477">
        <v>10382</v>
      </c>
      <c r="F211" s="477">
        <v>4780</v>
      </c>
      <c r="G211" s="477">
        <v>4303</v>
      </c>
      <c r="I211" s="427">
        <f t="shared" si="17"/>
        <v>136451</v>
      </c>
      <c r="J211" s="427"/>
      <c r="K211" s="427">
        <v>23038</v>
      </c>
      <c r="L211" s="427">
        <v>33105</v>
      </c>
      <c r="M211" s="427">
        <v>73953</v>
      </c>
      <c r="N211" s="427">
        <v>6355</v>
      </c>
      <c r="O211" s="427"/>
      <c r="P211" s="427">
        <f t="shared" si="18"/>
        <v>5786</v>
      </c>
      <c r="Q211" s="427"/>
      <c r="R211" s="427">
        <v>345</v>
      </c>
      <c r="S211" s="427">
        <v>5441</v>
      </c>
      <c r="U211" s="472"/>
      <c r="V211" s="472"/>
      <c r="W211" s="472"/>
      <c r="X211" s="472"/>
      <c r="Y211" s="472"/>
    </row>
    <row r="212" spans="1:25" s="428" customFormat="1" ht="9" customHeight="1" x14ac:dyDescent="0.25">
      <c r="A212" s="431" t="s">
        <v>39</v>
      </c>
      <c r="B212" s="427">
        <f t="shared" si="16"/>
        <v>34256</v>
      </c>
      <c r="C212" s="427"/>
      <c r="D212" s="477">
        <v>16302</v>
      </c>
      <c r="E212" s="477">
        <v>10759</v>
      </c>
      <c r="F212" s="477">
        <v>3907</v>
      </c>
      <c r="G212" s="477">
        <v>3288</v>
      </c>
      <c r="I212" s="427">
        <f t="shared" si="17"/>
        <v>119121</v>
      </c>
      <c r="J212" s="427"/>
      <c r="K212" s="427">
        <v>28454</v>
      </c>
      <c r="L212" s="427">
        <v>32570</v>
      </c>
      <c r="M212" s="427">
        <v>52934</v>
      </c>
      <c r="N212" s="427">
        <v>5163</v>
      </c>
      <c r="O212" s="427"/>
      <c r="P212" s="427">
        <f t="shared" si="18"/>
        <v>4034</v>
      </c>
      <c r="Q212" s="427"/>
      <c r="R212" s="427">
        <v>147</v>
      </c>
      <c r="S212" s="427">
        <v>3887</v>
      </c>
      <c r="U212" s="472"/>
      <c r="V212" s="472"/>
      <c r="W212" s="472"/>
      <c r="X212" s="472"/>
      <c r="Y212" s="472"/>
    </row>
    <row r="213" spans="1:25" s="428" customFormat="1" ht="9" customHeight="1" x14ac:dyDescent="0.25">
      <c r="A213" s="431" t="s">
        <v>40</v>
      </c>
      <c r="B213" s="427">
        <f t="shared" si="16"/>
        <v>109425</v>
      </c>
      <c r="C213" s="427"/>
      <c r="D213" s="477">
        <v>28506</v>
      </c>
      <c r="E213" s="477">
        <v>60463</v>
      </c>
      <c r="F213" s="477">
        <v>14159</v>
      </c>
      <c r="G213" s="477">
        <v>6297</v>
      </c>
      <c r="I213" s="427">
        <f t="shared" si="17"/>
        <v>381584</v>
      </c>
      <c r="J213" s="427"/>
      <c r="K213" s="427">
        <v>39498</v>
      </c>
      <c r="L213" s="427">
        <v>144680</v>
      </c>
      <c r="M213" s="427">
        <v>187953</v>
      </c>
      <c r="N213" s="427">
        <v>9453</v>
      </c>
      <c r="O213" s="427"/>
      <c r="P213" s="427">
        <f t="shared" si="18"/>
        <v>14322</v>
      </c>
      <c r="Q213" s="427"/>
      <c r="R213" s="427">
        <v>1340</v>
      </c>
      <c r="S213" s="427">
        <v>12982</v>
      </c>
      <c r="U213" s="472"/>
      <c r="V213" s="472"/>
      <c r="W213" s="472"/>
      <c r="X213" s="472"/>
      <c r="Y213" s="472"/>
    </row>
    <row r="214" spans="1:25" s="428" customFormat="1" ht="9" customHeight="1" x14ac:dyDescent="0.25">
      <c r="A214" s="433" t="s">
        <v>41</v>
      </c>
      <c r="B214" s="434">
        <f t="shared" si="16"/>
        <v>88343</v>
      </c>
      <c r="C214" s="434"/>
      <c r="D214" s="479">
        <v>36208</v>
      </c>
      <c r="E214" s="479">
        <v>35296</v>
      </c>
      <c r="F214" s="479">
        <v>11341</v>
      </c>
      <c r="G214" s="479">
        <v>5498</v>
      </c>
      <c r="H214" s="475"/>
      <c r="I214" s="434">
        <f t="shared" si="17"/>
        <v>317824</v>
      </c>
      <c r="J214" s="434"/>
      <c r="K214" s="434">
        <v>52628</v>
      </c>
      <c r="L214" s="434">
        <v>100765</v>
      </c>
      <c r="M214" s="434">
        <v>155509</v>
      </c>
      <c r="N214" s="434">
        <v>8922</v>
      </c>
      <c r="O214" s="434"/>
      <c r="P214" s="434">
        <f t="shared" si="18"/>
        <v>12683</v>
      </c>
      <c r="Q214" s="434"/>
      <c r="R214" s="434">
        <v>650</v>
      </c>
      <c r="S214" s="434">
        <v>12033</v>
      </c>
      <c r="U214" s="472"/>
      <c r="V214" s="472"/>
      <c r="W214" s="472"/>
      <c r="X214" s="472"/>
      <c r="Y214" s="472"/>
    </row>
    <row r="215" spans="1:25" s="428" customFormat="1" ht="9" customHeight="1" x14ac:dyDescent="0.25">
      <c r="A215" s="431" t="s">
        <v>42</v>
      </c>
      <c r="B215" s="427">
        <f t="shared" si="16"/>
        <v>125260</v>
      </c>
      <c r="C215" s="427"/>
      <c r="D215" s="477">
        <v>45008</v>
      </c>
      <c r="E215" s="477">
        <v>53260</v>
      </c>
      <c r="F215" s="477">
        <v>17122</v>
      </c>
      <c r="G215" s="477">
        <v>9870</v>
      </c>
      <c r="I215" s="427">
        <f t="shared" si="17"/>
        <v>460678</v>
      </c>
      <c r="J215" s="427"/>
      <c r="K215" s="427">
        <v>81550</v>
      </c>
      <c r="L215" s="427">
        <v>159837</v>
      </c>
      <c r="M215" s="427">
        <v>196063</v>
      </c>
      <c r="N215" s="427">
        <v>23228</v>
      </c>
      <c r="O215" s="427"/>
      <c r="P215" s="427">
        <f t="shared" si="18"/>
        <v>17331</v>
      </c>
      <c r="Q215" s="427"/>
      <c r="R215" s="427">
        <v>1694</v>
      </c>
      <c r="S215" s="427">
        <v>15637</v>
      </c>
      <c r="U215" s="472"/>
      <c r="V215" s="472"/>
      <c r="W215" s="472"/>
      <c r="X215" s="472"/>
      <c r="Y215" s="472"/>
    </row>
    <row r="216" spans="1:25" s="428" customFormat="1" ht="9" customHeight="1" x14ac:dyDescent="0.25">
      <c r="A216" s="431" t="s">
        <v>43</v>
      </c>
      <c r="B216" s="427">
        <f t="shared" si="16"/>
        <v>40335</v>
      </c>
      <c r="C216" s="427"/>
      <c r="D216" s="477">
        <v>14325</v>
      </c>
      <c r="E216" s="477">
        <v>17965</v>
      </c>
      <c r="F216" s="477">
        <v>4915</v>
      </c>
      <c r="G216" s="477">
        <v>3130</v>
      </c>
      <c r="I216" s="427">
        <f t="shared" si="17"/>
        <v>137816</v>
      </c>
      <c r="J216" s="427"/>
      <c r="K216" s="427">
        <v>18880</v>
      </c>
      <c r="L216" s="427">
        <v>49482</v>
      </c>
      <c r="M216" s="427">
        <v>63567</v>
      </c>
      <c r="N216" s="427">
        <v>5887</v>
      </c>
      <c r="O216" s="427"/>
      <c r="P216" s="427">
        <f t="shared" si="18"/>
        <v>6143</v>
      </c>
      <c r="Q216" s="427"/>
      <c r="R216" s="427">
        <v>655</v>
      </c>
      <c r="S216" s="427">
        <v>5488</v>
      </c>
      <c r="U216" s="472"/>
      <c r="V216" s="472"/>
      <c r="W216" s="472"/>
      <c r="X216" s="472"/>
      <c r="Y216" s="472"/>
    </row>
    <row r="217" spans="1:25" s="428" customFormat="1" ht="9" customHeight="1" x14ac:dyDescent="0.25">
      <c r="A217" s="431" t="s">
        <v>44</v>
      </c>
      <c r="B217" s="427">
        <f t="shared" si="16"/>
        <v>26278</v>
      </c>
      <c r="C217" s="427"/>
      <c r="D217" s="477">
        <v>10705</v>
      </c>
      <c r="E217" s="477">
        <v>7946</v>
      </c>
      <c r="F217" s="477">
        <v>5040</v>
      </c>
      <c r="G217" s="477">
        <v>2587</v>
      </c>
      <c r="I217" s="427">
        <f t="shared" si="17"/>
        <v>81645</v>
      </c>
      <c r="J217" s="427"/>
      <c r="K217" s="427">
        <v>16237</v>
      </c>
      <c r="L217" s="427">
        <v>20921</v>
      </c>
      <c r="M217" s="427">
        <v>40563</v>
      </c>
      <c r="N217" s="427">
        <v>3924</v>
      </c>
      <c r="O217" s="427"/>
      <c r="P217" s="427">
        <f t="shared" si="18"/>
        <v>5667</v>
      </c>
      <c r="Q217" s="427"/>
      <c r="R217" s="427">
        <v>800</v>
      </c>
      <c r="S217" s="427">
        <v>4867</v>
      </c>
      <c r="U217" s="472"/>
      <c r="V217" s="472"/>
      <c r="W217" s="472"/>
      <c r="X217" s="472"/>
      <c r="Y217" s="472"/>
    </row>
    <row r="218" spans="1:25" s="428" customFormat="1" ht="9" customHeight="1" x14ac:dyDescent="0.25">
      <c r="A218" s="433" t="s">
        <v>45</v>
      </c>
      <c r="B218" s="434">
        <f t="shared" si="16"/>
        <v>67332</v>
      </c>
      <c r="C218" s="434"/>
      <c r="D218" s="479">
        <v>26494</v>
      </c>
      <c r="E218" s="479">
        <v>30247</v>
      </c>
      <c r="F218" s="479">
        <v>6435</v>
      </c>
      <c r="G218" s="479">
        <v>4156</v>
      </c>
      <c r="H218" s="475"/>
      <c r="I218" s="434">
        <f t="shared" si="17"/>
        <v>208554</v>
      </c>
      <c r="J218" s="434"/>
      <c r="K218" s="434">
        <v>42638</v>
      </c>
      <c r="L218" s="434">
        <v>82344</v>
      </c>
      <c r="M218" s="434">
        <v>77911</v>
      </c>
      <c r="N218" s="434">
        <v>5661</v>
      </c>
      <c r="O218" s="434"/>
      <c r="P218" s="434">
        <f t="shared" si="18"/>
        <v>7371</v>
      </c>
      <c r="Q218" s="434"/>
      <c r="R218" s="434">
        <v>474</v>
      </c>
      <c r="S218" s="434">
        <v>6897</v>
      </c>
      <c r="U218" s="472"/>
      <c r="V218" s="472"/>
      <c r="W218" s="472"/>
      <c r="X218" s="472"/>
      <c r="Y218" s="472"/>
    </row>
    <row r="219" spans="1:25" s="428" customFormat="1" ht="9" customHeight="1" x14ac:dyDescent="0.25">
      <c r="A219" s="431" t="s">
        <v>46</v>
      </c>
      <c r="B219" s="427">
        <f t="shared" si="16"/>
        <v>75440</v>
      </c>
      <c r="C219" s="427"/>
      <c r="D219" s="477">
        <v>26890</v>
      </c>
      <c r="E219" s="477">
        <v>34390</v>
      </c>
      <c r="F219" s="477">
        <v>11151</v>
      </c>
      <c r="G219" s="477">
        <v>3009</v>
      </c>
      <c r="I219" s="427">
        <f t="shared" si="17"/>
        <v>304223</v>
      </c>
      <c r="J219" s="427"/>
      <c r="K219" s="427">
        <v>46632</v>
      </c>
      <c r="L219" s="427">
        <v>94194</v>
      </c>
      <c r="M219" s="427">
        <v>160428</v>
      </c>
      <c r="N219" s="427">
        <v>2969</v>
      </c>
      <c r="O219" s="427"/>
      <c r="P219" s="427">
        <f t="shared" si="18"/>
        <v>11145</v>
      </c>
      <c r="Q219" s="427"/>
      <c r="R219" s="427">
        <v>375</v>
      </c>
      <c r="S219" s="427">
        <v>10770</v>
      </c>
      <c r="U219" s="472"/>
      <c r="V219" s="472"/>
      <c r="W219" s="472"/>
      <c r="X219" s="472"/>
      <c r="Y219" s="472"/>
    </row>
    <row r="220" spans="1:25" s="428" customFormat="1" ht="9" customHeight="1" x14ac:dyDescent="0.25">
      <c r="A220" s="431" t="s">
        <v>47</v>
      </c>
      <c r="B220" s="427">
        <f t="shared" si="16"/>
        <v>58520</v>
      </c>
      <c r="C220" s="427"/>
      <c r="D220" s="477">
        <v>21530</v>
      </c>
      <c r="E220" s="477">
        <v>24249</v>
      </c>
      <c r="F220" s="477">
        <v>7557</v>
      </c>
      <c r="G220" s="477">
        <v>5184</v>
      </c>
      <c r="I220" s="427">
        <f t="shared" si="17"/>
        <v>251538</v>
      </c>
      <c r="J220" s="427"/>
      <c r="K220" s="427">
        <v>31559</v>
      </c>
      <c r="L220" s="427">
        <v>63640</v>
      </c>
      <c r="M220" s="427">
        <v>105848</v>
      </c>
      <c r="N220" s="427">
        <v>50491</v>
      </c>
      <c r="O220" s="427"/>
      <c r="P220" s="427">
        <f t="shared" si="18"/>
        <v>9915</v>
      </c>
      <c r="Q220" s="427"/>
      <c r="R220" s="427">
        <v>916</v>
      </c>
      <c r="S220" s="427">
        <v>8999</v>
      </c>
      <c r="U220" s="472"/>
      <c r="V220" s="472"/>
      <c r="W220" s="472"/>
      <c r="X220" s="472"/>
      <c r="Y220" s="472"/>
    </row>
    <row r="221" spans="1:25" s="428" customFormat="1" ht="9" customHeight="1" x14ac:dyDescent="0.25">
      <c r="A221" s="431" t="s">
        <v>48</v>
      </c>
      <c r="B221" s="427">
        <f t="shared" si="16"/>
        <v>41277</v>
      </c>
      <c r="C221" s="427"/>
      <c r="D221" s="477">
        <v>22904</v>
      </c>
      <c r="E221" s="477">
        <v>9023</v>
      </c>
      <c r="F221" s="477">
        <v>5978</v>
      </c>
      <c r="G221" s="477">
        <v>3372</v>
      </c>
      <c r="I221" s="427">
        <f t="shared" si="17"/>
        <v>210653</v>
      </c>
      <c r="J221" s="427"/>
      <c r="K221" s="427">
        <v>53271</v>
      </c>
      <c r="L221" s="427">
        <v>27836</v>
      </c>
      <c r="M221" s="427">
        <v>122003</v>
      </c>
      <c r="N221" s="427">
        <v>7543</v>
      </c>
      <c r="O221" s="427"/>
      <c r="P221" s="427">
        <f t="shared" si="18"/>
        <v>8119</v>
      </c>
      <c r="Q221" s="427"/>
      <c r="R221" s="427">
        <v>350</v>
      </c>
      <c r="S221" s="427">
        <v>7769</v>
      </c>
      <c r="U221" s="472"/>
      <c r="V221" s="472"/>
      <c r="W221" s="472"/>
      <c r="X221" s="472"/>
      <c r="Y221" s="472"/>
    </row>
    <row r="222" spans="1:25" s="428" customFormat="1" ht="9" customHeight="1" x14ac:dyDescent="0.25">
      <c r="A222" s="433" t="s">
        <v>49</v>
      </c>
      <c r="B222" s="434">
        <f t="shared" si="16"/>
        <v>78995</v>
      </c>
      <c r="C222" s="434"/>
      <c r="D222" s="479">
        <v>34388</v>
      </c>
      <c r="E222" s="479">
        <v>30032</v>
      </c>
      <c r="F222" s="479">
        <v>9784</v>
      </c>
      <c r="G222" s="479">
        <v>4791</v>
      </c>
      <c r="H222" s="475"/>
      <c r="I222" s="434">
        <f t="shared" si="17"/>
        <v>265107</v>
      </c>
      <c r="J222" s="434"/>
      <c r="K222" s="434">
        <v>47851</v>
      </c>
      <c r="L222" s="434">
        <v>70901</v>
      </c>
      <c r="M222" s="434">
        <v>140384</v>
      </c>
      <c r="N222" s="434">
        <v>5971</v>
      </c>
      <c r="O222" s="434"/>
      <c r="P222" s="434">
        <f t="shared" si="18"/>
        <v>12405</v>
      </c>
      <c r="Q222" s="434"/>
      <c r="R222" s="434">
        <v>822</v>
      </c>
      <c r="S222" s="434">
        <v>11583</v>
      </c>
      <c r="U222" s="472"/>
      <c r="V222" s="472"/>
      <c r="W222" s="472"/>
      <c r="X222" s="472"/>
      <c r="Y222" s="472"/>
    </row>
    <row r="223" spans="1:25" s="428" customFormat="1" ht="9" customHeight="1" x14ac:dyDescent="0.25">
      <c r="A223" s="431" t="s">
        <v>50</v>
      </c>
      <c r="B223" s="427">
        <f t="shared" si="16"/>
        <v>21054</v>
      </c>
      <c r="C223" s="427"/>
      <c r="D223" s="477">
        <v>7051</v>
      </c>
      <c r="E223" s="477">
        <v>8967</v>
      </c>
      <c r="F223" s="477">
        <v>2272</v>
      </c>
      <c r="G223" s="477">
        <v>2764</v>
      </c>
      <c r="I223" s="427">
        <f t="shared" si="17"/>
        <v>93753</v>
      </c>
      <c r="J223" s="427"/>
      <c r="K223" s="427">
        <v>13828</v>
      </c>
      <c r="L223" s="427">
        <v>30061</v>
      </c>
      <c r="M223" s="427">
        <v>41180</v>
      </c>
      <c r="N223" s="427">
        <v>8684</v>
      </c>
      <c r="O223" s="427"/>
      <c r="P223" s="427">
        <f t="shared" si="18"/>
        <v>3866</v>
      </c>
      <c r="Q223" s="427"/>
      <c r="R223" s="427">
        <v>225</v>
      </c>
      <c r="S223" s="427">
        <v>3641</v>
      </c>
      <c r="U223" s="472"/>
      <c r="V223" s="472"/>
      <c r="W223" s="472"/>
      <c r="X223" s="472"/>
      <c r="Y223" s="472"/>
    </row>
    <row r="224" spans="1:25" s="428" customFormat="1" ht="9" customHeight="1" x14ac:dyDescent="0.25">
      <c r="A224" s="428" t="s">
        <v>51</v>
      </c>
      <c r="B224" s="427">
        <f t="shared" si="16"/>
        <v>203144</v>
      </c>
      <c r="C224" s="427"/>
      <c r="D224" s="477">
        <v>73491</v>
      </c>
      <c r="E224" s="477">
        <v>74945</v>
      </c>
      <c r="F224" s="477">
        <v>32640</v>
      </c>
      <c r="G224" s="477">
        <v>22068</v>
      </c>
      <c r="I224" s="427">
        <f t="shared" si="17"/>
        <v>809879</v>
      </c>
      <c r="J224" s="427"/>
      <c r="K224" s="427">
        <v>116434</v>
      </c>
      <c r="L224" s="427">
        <v>227690</v>
      </c>
      <c r="M224" s="427">
        <v>437750</v>
      </c>
      <c r="N224" s="427">
        <v>28005</v>
      </c>
      <c r="O224" s="427"/>
      <c r="P224" s="427">
        <f t="shared" si="18"/>
        <v>32975</v>
      </c>
      <c r="Q224" s="427"/>
      <c r="R224" s="427">
        <v>1982</v>
      </c>
      <c r="S224" s="427">
        <v>30993</v>
      </c>
      <c r="U224" s="472"/>
      <c r="V224" s="472"/>
      <c r="W224" s="472"/>
      <c r="X224" s="472"/>
      <c r="Y224" s="472"/>
    </row>
    <row r="225" spans="1:25" s="428" customFormat="1" ht="9" customHeight="1" x14ac:dyDescent="0.25">
      <c r="A225" s="428" t="s">
        <v>52</v>
      </c>
      <c r="B225" s="427">
        <f t="shared" si="16"/>
        <v>45165</v>
      </c>
      <c r="C225" s="427"/>
      <c r="D225" s="477">
        <v>23076</v>
      </c>
      <c r="E225" s="477">
        <v>11772</v>
      </c>
      <c r="F225" s="477">
        <v>8456</v>
      </c>
      <c r="G225" s="477">
        <v>1861</v>
      </c>
      <c r="I225" s="427">
        <f t="shared" si="17"/>
        <v>154116</v>
      </c>
      <c r="J225" s="427"/>
      <c r="K225" s="427">
        <v>33310</v>
      </c>
      <c r="L225" s="427">
        <v>36313</v>
      </c>
      <c r="M225" s="427">
        <v>81032</v>
      </c>
      <c r="N225" s="427">
        <v>3461</v>
      </c>
      <c r="O225" s="427"/>
      <c r="P225" s="427">
        <f t="shared" si="18"/>
        <v>8325</v>
      </c>
      <c r="Q225" s="427"/>
      <c r="R225" s="427">
        <v>728</v>
      </c>
      <c r="S225" s="427">
        <v>7597</v>
      </c>
      <c r="U225" s="472"/>
      <c r="V225" s="472"/>
      <c r="W225" s="472"/>
      <c r="X225" s="472"/>
      <c r="Y225" s="472"/>
    </row>
    <row r="226" spans="1:25" s="428" customFormat="1" ht="9" customHeight="1" x14ac:dyDescent="0.25">
      <c r="A226" s="433" t="s">
        <v>53</v>
      </c>
      <c r="B226" s="434">
        <f t="shared" si="16"/>
        <v>47872</v>
      </c>
      <c r="C226" s="434"/>
      <c r="D226" s="479">
        <v>16555</v>
      </c>
      <c r="E226" s="479">
        <v>22788</v>
      </c>
      <c r="F226" s="479">
        <v>4574</v>
      </c>
      <c r="G226" s="479">
        <v>3955</v>
      </c>
      <c r="H226" s="475"/>
      <c r="I226" s="434">
        <f t="shared" si="17"/>
        <v>153023</v>
      </c>
      <c r="J226" s="434"/>
      <c r="K226" s="434">
        <v>23739</v>
      </c>
      <c r="L226" s="434">
        <v>62494</v>
      </c>
      <c r="M226" s="434">
        <v>59038</v>
      </c>
      <c r="N226" s="434">
        <v>7752</v>
      </c>
      <c r="O226" s="434"/>
      <c r="P226" s="434">
        <f t="shared" si="18"/>
        <v>4359</v>
      </c>
      <c r="Q226" s="434"/>
      <c r="R226" s="434">
        <v>231</v>
      </c>
      <c r="S226" s="434">
        <v>4128</v>
      </c>
      <c r="U226" s="472"/>
      <c r="V226" s="472"/>
      <c r="W226" s="472"/>
      <c r="X226" s="472"/>
      <c r="Y226" s="472"/>
    </row>
    <row r="227" spans="1:25" s="428" customFormat="1" ht="9" customHeight="1" x14ac:dyDescent="0.25">
      <c r="B227" s="427"/>
      <c r="C227" s="427"/>
      <c r="D227" s="477"/>
      <c r="E227" s="477"/>
      <c r="F227" s="477"/>
      <c r="G227" s="477"/>
      <c r="I227" s="427"/>
      <c r="J227" s="427"/>
      <c r="K227" s="427"/>
      <c r="L227" s="427"/>
      <c r="M227" s="427"/>
      <c r="N227" s="427"/>
      <c r="O227" s="427"/>
      <c r="P227" s="427"/>
      <c r="Q227" s="427"/>
      <c r="R227" s="427"/>
      <c r="S227" s="427"/>
      <c r="U227" s="472"/>
      <c r="V227" s="472"/>
      <c r="W227" s="472"/>
      <c r="X227" s="472"/>
      <c r="Y227" s="472"/>
    </row>
    <row r="228" spans="1:25" s="428" customFormat="1" ht="9" customHeight="1" x14ac:dyDescent="0.25">
      <c r="A228" s="441">
        <v>2001</v>
      </c>
      <c r="B228" s="427"/>
      <c r="C228" s="427"/>
      <c r="D228" s="476"/>
      <c r="E228" s="477"/>
      <c r="F228" s="477"/>
      <c r="G228" s="477"/>
      <c r="H228" s="477"/>
      <c r="I228" s="477"/>
      <c r="J228" s="477"/>
      <c r="K228" s="477"/>
      <c r="L228" s="477"/>
      <c r="M228" s="477"/>
      <c r="N228" s="477"/>
      <c r="O228" s="477"/>
      <c r="P228" s="477"/>
      <c r="Q228" s="477"/>
      <c r="R228" s="477"/>
      <c r="S228" s="477"/>
      <c r="U228" s="472"/>
      <c r="V228" s="472"/>
      <c r="W228" s="472"/>
      <c r="X228" s="472"/>
      <c r="Y228" s="472"/>
    </row>
    <row r="229" spans="1:25" s="428" customFormat="1" ht="9" customHeight="1" x14ac:dyDescent="0.25">
      <c r="A229" s="429" t="s">
        <v>21</v>
      </c>
      <c r="B229" s="476">
        <f>SUM(B231:B262)</f>
        <v>2442786</v>
      </c>
      <c r="C229" s="476"/>
      <c r="D229" s="476">
        <f>SUM(D231:D262)</f>
        <v>916136</v>
      </c>
      <c r="E229" s="476">
        <f>SUM(E231:E262)</f>
        <v>983372</v>
      </c>
      <c r="F229" s="476">
        <f>SUM(F231:F262)</f>
        <v>312743</v>
      </c>
      <c r="G229" s="476">
        <f>SUM(G231:G262)</f>
        <v>230535</v>
      </c>
      <c r="H229" s="476"/>
      <c r="I229" s="430">
        <f>SUM(I231:I262)</f>
        <v>9963156</v>
      </c>
      <c r="J229" s="430"/>
      <c r="K229" s="430">
        <f>SUM(K231:K262)</f>
        <v>1677858</v>
      </c>
      <c r="L229" s="430">
        <f>SUM(L231:L262)</f>
        <v>3097888</v>
      </c>
      <c r="M229" s="430">
        <f>SUM(M231:M262)</f>
        <v>4715388</v>
      </c>
      <c r="N229" s="430">
        <f>SUM(N231:N262)</f>
        <v>472022</v>
      </c>
      <c r="O229" s="430"/>
      <c r="P229" s="430">
        <f>SUM(P231:P262)</f>
        <v>359893</v>
      </c>
      <c r="Q229" s="430"/>
      <c r="R229" s="430">
        <f>SUM(R231:R262)</f>
        <v>31945</v>
      </c>
      <c r="S229" s="430">
        <f>SUM(S231:S262)</f>
        <v>327948</v>
      </c>
      <c r="U229" s="472"/>
      <c r="V229" s="472"/>
      <c r="W229" s="472"/>
      <c r="X229" s="472"/>
      <c r="Y229" s="472"/>
    </row>
    <row r="230" spans="1:25" s="428" customFormat="1" ht="3.95" customHeight="1" x14ac:dyDescent="0.25">
      <c r="A230" s="429"/>
      <c r="B230" s="476"/>
      <c r="C230" s="476"/>
      <c r="D230" s="476"/>
      <c r="E230" s="476"/>
      <c r="F230" s="476"/>
      <c r="G230" s="476"/>
      <c r="H230" s="476"/>
      <c r="I230" s="430"/>
      <c r="J230" s="430"/>
      <c r="K230" s="430"/>
      <c r="L230" s="430"/>
      <c r="M230" s="430"/>
      <c r="N230" s="430"/>
      <c r="O230" s="430"/>
      <c r="P230" s="430"/>
      <c r="Q230" s="430"/>
      <c r="R230" s="430"/>
      <c r="S230" s="430"/>
      <c r="U230" s="472"/>
      <c r="V230" s="472"/>
      <c r="W230" s="472"/>
      <c r="X230" s="472"/>
      <c r="Y230" s="472"/>
    </row>
    <row r="231" spans="1:25" s="428" customFormat="1" ht="9.1999999999999993" customHeight="1" x14ac:dyDescent="0.25">
      <c r="A231" s="431" t="s">
        <v>23</v>
      </c>
      <c r="B231" s="427">
        <f t="shared" ref="B231:B262" si="19">SUM(D231:G231)</f>
        <v>27939</v>
      </c>
      <c r="C231" s="427"/>
      <c r="D231" s="477">
        <v>12155</v>
      </c>
      <c r="E231" s="477">
        <v>8900</v>
      </c>
      <c r="F231" s="477">
        <v>3585</v>
      </c>
      <c r="G231" s="477">
        <v>3299</v>
      </c>
      <c r="I231" s="427">
        <f t="shared" ref="I231:I262" si="20">SUM(K231:O231)</f>
        <v>92316</v>
      </c>
      <c r="J231" s="427"/>
      <c r="K231" s="427">
        <v>16420</v>
      </c>
      <c r="L231" s="427">
        <v>32838</v>
      </c>
      <c r="M231" s="427">
        <v>36566</v>
      </c>
      <c r="N231" s="427">
        <v>6492</v>
      </c>
      <c r="O231" s="427"/>
      <c r="P231" s="427">
        <f t="shared" ref="P231:P262" si="21">SUM(R231:S231)</f>
        <v>4310</v>
      </c>
      <c r="Q231" s="427"/>
      <c r="R231" s="427">
        <v>583</v>
      </c>
      <c r="S231" s="427">
        <v>3727</v>
      </c>
      <c r="U231" s="472"/>
      <c r="V231" s="472"/>
      <c r="W231" s="472"/>
      <c r="X231" s="472"/>
      <c r="Y231" s="472"/>
    </row>
    <row r="232" spans="1:25" s="428" customFormat="1" ht="9.1999999999999993" customHeight="1" x14ac:dyDescent="0.25">
      <c r="A232" s="431" t="s">
        <v>24</v>
      </c>
      <c r="B232" s="427">
        <f t="shared" si="19"/>
        <v>124801</v>
      </c>
      <c r="C232" s="427"/>
      <c r="D232" s="477">
        <v>79304</v>
      </c>
      <c r="E232" s="477">
        <v>27188</v>
      </c>
      <c r="F232" s="477">
        <v>11616</v>
      </c>
      <c r="G232" s="477">
        <v>6693</v>
      </c>
      <c r="I232" s="427">
        <f t="shared" si="20"/>
        <v>270159</v>
      </c>
      <c r="J232" s="427"/>
      <c r="K232" s="427">
        <v>70892</v>
      </c>
      <c r="L232" s="427">
        <v>78306</v>
      </c>
      <c r="M232" s="427">
        <v>112125</v>
      </c>
      <c r="N232" s="427">
        <v>8836</v>
      </c>
      <c r="O232" s="427"/>
      <c r="P232" s="427">
        <f t="shared" si="21"/>
        <v>11994</v>
      </c>
      <c r="Q232" s="427"/>
      <c r="R232" s="427">
        <v>1318</v>
      </c>
      <c r="S232" s="427">
        <v>10676</v>
      </c>
      <c r="U232" s="472"/>
      <c r="V232" s="472"/>
      <c r="W232" s="472"/>
      <c r="X232" s="472"/>
      <c r="Y232" s="472"/>
    </row>
    <row r="233" spans="1:25" s="428" customFormat="1" ht="9.1999999999999993" customHeight="1" x14ac:dyDescent="0.25">
      <c r="A233" s="431" t="s">
        <v>25</v>
      </c>
      <c r="B233" s="427">
        <f t="shared" si="19"/>
        <v>13308</v>
      </c>
      <c r="C233" s="427"/>
      <c r="D233" s="477">
        <v>5584</v>
      </c>
      <c r="E233" s="477">
        <v>4763</v>
      </c>
      <c r="F233" s="477">
        <v>1912</v>
      </c>
      <c r="G233" s="477">
        <v>1049</v>
      </c>
      <c r="I233" s="427">
        <f t="shared" si="20"/>
        <v>58253</v>
      </c>
      <c r="J233" s="427"/>
      <c r="K233" s="427">
        <v>8014</v>
      </c>
      <c r="L233" s="427">
        <v>14012</v>
      </c>
      <c r="M233" s="427">
        <v>32832</v>
      </c>
      <c r="N233" s="427">
        <v>3395</v>
      </c>
      <c r="O233" s="427"/>
      <c r="P233" s="427">
        <f t="shared" si="21"/>
        <v>2415</v>
      </c>
      <c r="Q233" s="427"/>
      <c r="R233" s="427">
        <v>197</v>
      </c>
      <c r="S233" s="427">
        <v>2218</v>
      </c>
      <c r="U233" s="472"/>
      <c r="V233" s="472"/>
      <c r="W233" s="472"/>
      <c r="X233" s="472"/>
      <c r="Y233" s="472"/>
    </row>
    <row r="234" spans="1:25" s="428" customFormat="1" ht="9.1999999999999993" customHeight="1" x14ac:dyDescent="0.25">
      <c r="A234" s="433" t="s">
        <v>26</v>
      </c>
      <c r="B234" s="434">
        <f t="shared" si="19"/>
        <v>18047</v>
      </c>
      <c r="C234" s="434"/>
      <c r="D234" s="479">
        <v>9031</v>
      </c>
      <c r="E234" s="479">
        <v>5974</v>
      </c>
      <c r="F234" s="479">
        <v>1947</v>
      </c>
      <c r="G234" s="479">
        <v>1095</v>
      </c>
      <c r="H234" s="475"/>
      <c r="I234" s="434">
        <f t="shared" si="20"/>
        <v>83130</v>
      </c>
      <c r="J234" s="434"/>
      <c r="K234" s="434">
        <v>16817</v>
      </c>
      <c r="L234" s="434">
        <v>15511</v>
      </c>
      <c r="M234" s="434">
        <v>47779</v>
      </c>
      <c r="N234" s="434">
        <v>3023</v>
      </c>
      <c r="O234" s="434"/>
      <c r="P234" s="434">
        <f t="shared" si="21"/>
        <v>3623</v>
      </c>
      <c r="Q234" s="434"/>
      <c r="R234" s="434">
        <v>198</v>
      </c>
      <c r="S234" s="434">
        <v>3425</v>
      </c>
      <c r="U234" s="472"/>
      <c r="V234" s="472"/>
      <c r="W234" s="472"/>
      <c r="X234" s="472"/>
      <c r="Y234" s="472"/>
    </row>
    <row r="235" spans="1:25" s="428" customFormat="1" ht="9.1999999999999993" customHeight="1" x14ac:dyDescent="0.25">
      <c r="A235" s="431" t="s">
        <v>27</v>
      </c>
      <c r="B235" s="427">
        <f t="shared" si="19"/>
        <v>71673</v>
      </c>
      <c r="C235" s="427"/>
      <c r="D235" s="477">
        <v>24785</v>
      </c>
      <c r="E235" s="477">
        <v>31361</v>
      </c>
      <c r="F235" s="477">
        <v>11101</v>
      </c>
      <c r="G235" s="477">
        <v>4426</v>
      </c>
      <c r="I235" s="427">
        <f t="shared" si="20"/>
        <v>271910</v>
      </c>
      <c r="J235" s="427"/>
      <c r="K235" s="427">
        <v>40043</v>
      </c>
      <c r="L235" s="427">
        <v>79967</v>
      </c>
      <c r="M235" s="427">
        <v>144439</v>
      </c>
      <c r="N235" s="427">
        <v>7461</v>
      </c>
      <c r="O235" s="427"/>
      <c r="P235" s="427">
        <f t="shared" si="21"/>
        <v>12120</v>
      </c>
      <c r="Q235" s="427"/>
      <c r="R235" s="427">
        <v>1385</v>
      </c>
      <c r="S235" s="427">
        <v>10735</v>
      </c>
      <c r="U235" s="472"/>
      <c r="V235" s="472"/>
      <c r="W235" s="472"/>
      <c r="X235" s="472"/>
      <c r="Y235" s="472"/>
    </row>
    <row r="236" spans="1:25" s="428" customFormat="1" ht="9.1999999999999993" customHeight="1" x14ac:dyDescent="0.25">
      <c r="A236" s="431" t="s">
        <v>28</v>
      </c>
      <c r="B236" s="427">
        <f t="shared" si="19"/>
        <v>19589</v>
      </c>
      <c r="C236" s="427"/>
      <c r="D236" s="477">
        <v>7277</v>
      </c>
      <c r="E236" s="477">
        <v>7644</v>
      </c>
      <c r="F236" s="477">
        <v>2581</v>
      </c>
      <c r="G236" s="477">
        <v>2087</v>
      </c>
      <c r="I236" s="427">
        <f t="shared" si="20"/>
        <v>72244</v>
      </c>
      <c r="J236" s="427"/>
      <c r="K236" s="427">
        <v>9375</v>
      </c>
      <c r="L236" s="427">
        <v>16328</v>
      </c>
      <c r="M236" s="427">
        <v>43777</v>
      </c>
      <c r="N236" s="427">
        <v>2764</v>
      </c>
      <c r="O236" s="427"/>
      <c r="P236" s="427">
        <f t="shared" si="21"/>
        <v>2617</v>
      </c>
      <c r="Q236" s="427"/>
      <c r="R236" s="427">
        <v>122</v>
      </c>
      <c r="S236" s="427">
        <v>2495</v>
      </c>
      <c r="U236" s="472"/>
      <c r="V236" s="472"/>
      <c r="W236" s="472"/>
      <c r="X236" s="472"/>
      <c r="Y236" s="472"/>
    </row>
    <row r="237" spans="1:25" s="428" customFormat="1" ht="9.1999999999999993" customHeight="1" x14ac:dyDescent="0.25">
      <c r="A237" s="431" t="s">
        <v>29</v>
      </c>
      <c r="B237" s="427">
        <f t="shared" si="19"/>
        <v>111382</v>
      </c>
      <c r="C237" s="427"/>
      <c r="D237" s="477">
        <v>48608</v>
      </c>
      <c r="E237" s="477">
        <v>41611</v>
      </c>
      <c r="F237" s="477">
        <v>12651</v>
      </c>
      <c r="G237" s="477">
        <v>8512</v>
      </c>
      <c r="I237" s="427">
        <f t="shared" si="20"/>
        <v>420341</v>
      </c>
      <c r="J237" s="427"/>
      <c r="K237" s="427">
        <v>78110</v>
      </c>
      <c r="L237" s="427">
        <v>122949</v>
      </c>
      <c r="M237" s="427">
        <v>199868</v>
      </c>
      <c r="N237" s="427">
        <v>19414</v>
      </c>
      <c r="O237" s="427"/>
      <c r="P237" s="427">
        <f t="shared" si="21"/>
        <v>16113</v>
      </c>
      <c r="Q237" s="427"/>
      <c r="R237" s="427">
        <v>611</v>
      </c>
      <c r="S237" s="427">
        <v>15502</v>
      </c>
      <c r="U237" s="472"/>
      <c r="V237" s="472"/>
      <c r="W237" s="472"/>
      <c r="X237" s="472"/>
      <c r="Y237" s="472"/>
    </row>
    <row r="238" spans="1:25" s="428" customFormat="1" ht="9.1999999999999993" customHeight="1" x14ac:dyDescent="0.25">
      <c r="A238" s="433" t="s">
        <v>30</v>
      </c>
      <c r="B238" s="434">
        <f t="shared" si="19"/>
        <v>78372</v>
      </c>
      <c r="C238" s="434"/>
      <c r="D238" s="479">
        <v>27150</v>
      </c>
      <c r="E238" s="479">
        <v>36379</v>
      </c>
      <c r="F238" s="479">
        <v>11084</v>
      </c>
      <c r="G238" s="479">
        <v>3759</v>
      </c>
      <c r="H238" s="475"/>
      <c r="I238" s="434">
        <f t="shared" si="20"/>
        <v>324496</v>
      </c>
      <c r="J238" s="434"/>
      <c r="K238" s="434">
        <v>37007</v>
      </c>
      <c r="L238" s="434">
        <v>132198</v>
      </c>
      <c r="M238" s="434">
        <v>147606</v>
      </c>
      <c r="N238" s="434">
        <v>7685</v>
      </c>
      <c r="O238" s="434"/>
      <c r="P238" s="434">
        <f t="shared" si="21"/>
        <v>11950</v>
      </c>
      <c r="Q238" s="434"/>
      <c r="R238" s="434">
        <v>1778</v>
      </c>
      <c r="S238" s="434">
        <v>10172</v>
      </c>
      <c r="U238" s="472"/>
      <c r="V238" s="472"/>
      <c r="W238" s="472"/>
      <c r="X238" s="472"/>
      <c r="Y238" s="472"/>
    </row>
    <row r="239" spans="1:25" s="428" customFormat="1" ht="9.1999999999999993" customHeight="1" x14ac:dyDescent="0.25">
      <c r="A239" s="431" t="s">
        <v>63</v>
      </c>
      <c r="B239" s="427">
        <f t="shared" si="19"/>
        <v>241222</v>
      </c>
      <c r="C239" s="427"/>
      <c r="D239" s="477">
        <v>57847</v>
      </c>
      <c r="E239" s="477">
        <v>112720</v>
      </c>
      <c r="F239" s="477">
        <v>37089</v>
      </c>
      <c r="G239" s="477">
        <v>33566</v>
      </c>
      <c r="I239" s="427">
        <f t="shared" si="20"/>
        <v>1064946</v>
      </c>
      <c r="J239" s="427"/>
      <c r="K239" s="427">
        <v>131197</v>
      </c>
      <c r="L239" s="427">
        <v>353269</v>
      </c>
      <c r="M239" s="427">
        <v>550375</v>
      </c>
      <c r="N239" s="427">
        <v>30105</v>
      </c>
      <c r="O239" s="427"/>
      <c r="P239" s="427">
        <f t="shared" si="21"/>
        <v>43361</v>
      </c>
      <c r="Q239" s="427"/>
      <c r="R239" s="427">
        <v>5413</v>
      </c>
      <c r="S239" s="427">
        <v>37948</v>
      </c>
      <c r="U239" s="472"/>
      <c r="V239" s="472"/>
      <c r="W239" s="472"/>
      <c r="X239" s="472"/>
      <c r="Y239" s="472"/>
    </row>
    <row r="240" spans="1:25" s="428" customFormat="1" ht="9.1999999999999993" customHeight="1" x14ac:dyDescent="0.25">
      <c r="A240" s="431" t="s">
        <v>31</v>
      </c>
      <c r="B240" s="427">
        <f t="shared" si="19"/>
        <v>47970</v>
      </c>
      <c r="C240" s="427"/>
      <c r="D240" s="477">
        <v>21781</v>
      </c>
      <c r="E240" s="477">
        <v>17535</v>
      </c>
      <c r="F240" s="477">
        <v>5009</v>
      </c>
      <c r="G240" s="477">
        <v>3645</v>
      </c>
      <c r="I240" s="427">
        <f t="shared" si="20"/>
        <v>181528</v>
      </c>
      <c r="J240" s="427"/>
      <c r="K240" s="427">
        <v>38151</v>
      </c>
      <c r="L240" s="427">
        <v>60563</v>
      </c>
      <c r="M240" s="427">
        <v>73761</v>
      </c>
      <c r="N240" s="427">
        <v>9053</v>
      </c>
      <c r="O240" s="427"/>
      <c r="P240" s="427">
        <f t="shared" si="21"/>
        <v>5835</v>
      </c>
      <c r="Q240" s="427"/>
      <c r="R240" s="427">
        <v>370</v>
      </c>
      <c r="S240" s="427">
        <v>5465</v>
      </c>
      <c r="U240" s="472"/>
      <c r="V240" s="472"/>
      <c r="W240" s="472"/>
      <c r="X240" s="472"/>
      <c r="Y240" s="472"/>
    </row>
    <row r="241" spans="1:25" s="428" customFormat="1" ht="9.1999999999999993" customHeight="1" x14ac:dyDescent="0.25">
      <c r="A241" s="431" t="s">
        <v>32</v>
      </c>
      <c r="B241" s="427">
        <f t="shared" si="19"/>
        <v>95088</v>
      </c>
      <c r="C241" s="427"/>
      <c r="D241" s="477">
        <v>36746</v>
      </c>
      <c r="E241" s="477">
        <v>31104</v>
      </c>
      <c r="F241" s="477">
        <v>11146</v>
      </c>
      <c r="G241" s="477">
        <v>16092</v>
      </c>
      <c r="I241" s="427">
        <f t="shared" si="20"/>
        <v>337594</v>
      </c>
      <c r="J241" s="427"/>
      <c r="K241" s="427">
        <v>72803</v>
      </c>
      <c r="L241" s="427">
        <v>100801</v>
      </c>
      <c r="M241" s="427">
        <v>140757</v>
      </c>
      <c r="N241" s="427">
        <v>23233</v>
      </c>
      <c r="O241" s="427"/>
      <c r="P241" s="427">
        <f t="shared" si="21"/>
        <v>13077</v>
      </c>
      <c r="Q241" s="427"/>
      <c r="R241" s="427">
        <v>1066</v>
      </c>
      <c r="S241" s="427">
        <v>12011</v>
      </c>
      <c r="U241" s="472"/>
      <c r="V241" s="472"/>
      <c r="W241" s="472"/>
      <c r="X241" s="472"/>
      <c r="Y241" s="472"/>
    </row>
    <row r="242" spans="1:25" s="428" customFormat="1" ht="9.1999999999999993" customHeight="1" x14ac:dyDescent="0.25">
      <c r="A242" s="433" t="s">
        <v>33</v>
      </c>
      <c r="B242" s="434">
        <f t="shared" si="19"/>
        <v>66829</v>
      </c>
      <c r="C242" s="434"/>
      <c r="D242" s="479">
        <v>33015</v>
      </c>
      <c r="E242" s="479">
        <v>18315</v>
      </c>
      <c r="F242" s="479">
        <v>6448</v>
      </c>
      <c r="G242" s="479">
        <v>9051</v>
      </c>
      <c r="H242" s="475"/>
      <c r="I242" s="434">
        <f t="shared" si="20"/>
        <v>302534</v>
      </c>
      <c r="J242" s="434"/>
      <c r="K242" s="434">
        <v>84257</v>
      </c>
      <c r="L242" s="434">
        <v>57694</v>
      </c>
      <c r="M242" s="434">
        <v>142775</v>
      </c>
      <c r="N242" s="434">
        <v>17808</v>
      </c>
      <c r="O242" s="434"/>
      <c r="P242" s="434">
        <f t="shared" si="21"/>
        <v>8744</v>
      </c>
      <c r="Q242" s="434"/>
      <c r="R242" s="434">
        <v>300</v>
      </c>
      <c r="S242" s="434">
        <v>8444</v>
      </c>
      <c r="U242" s="472"/>
      <c r="V242" s="472"/>
      <c r="W242" s="472"/>
      <c r="X242" s="472"/>
      <c r="Y242" s="472"/>
    </row>
    <row r="243" spans="1:25" s="428" customFormat="1" ht="9.1999999999999993" customHeight="1" x14ac:dyDescent="0.25">
      <c r="A243" s="431" t="s">
        <v>34</v>
      </c>
      <c r="B243" s="427">
        <f t="shared" si="19"/>
        <v>63899</v>
      </c>
      <c r="C243" s="427"/>
      <c r="D243" s="477">
        <v>20899</v>
      </c>
      <c r="E243" s="477">
        <v>29179</v>
      </c>
      <c r="F243" s="477">
        <v>7132</v>
      </c>
      <c r="G243" s="477">
        <v>6689</v>
      </c>
      <c r="I243" s="427">
        <f t="shared" si="20"/>
        <v>267972</v>
      </c>
      <c r="J243" s="427"/>
      <c r="K243" s="427">
        <v>38232</v>
      </c>
      <c r="L243" s="427">
        <v>91175</v>
      </c>
      <c r="M243" s="427">
        <v>126653</v>
      </c>
      <c r="N243" s="427">
        <v>11912</v>
      </c>
      <c r="O243" s="427"/>
      <c r="P243" s="427">
        <f t="shared" si="21"/>
        <v>9378</v>
      </c>
      <c r="Q243" s="427"/>
      <c r="R243" s="427">
        <v>685</v>
      </c>
      <c r="S243" s="427">
        <v>8693</v>
      </c>
      <c r="U243" s="472"/>
      <c r="V243" s="472"/>
      <c r="W243" s="472"/>
      <c r="X243" s="472"/>
      <c r="Y243" s="472"/>
    </row>
    <row r="244" spans="1:25" s="428" customFormat="1" ht="9.1999999999999993" customHeight="1" x14ac:dyDescent="0.25">
      <c r="A244" s="431" t="s">
        <v>35</v>
      </c>
      <c r="B244" s="427">
        <f t="shared" si="19"/>
        <v>106007</v>
      </c>
      <c r="C244" s="427"/>
      <c r="D244" s="477">
        <v>35444</v>
      </c>
      <c r="E244" s="477">
        <v>35323</v>
      </c>
      <c r="F244" s="477">
        <v>17678</v>
      </c>
      <c r="G244" s="477">
        <v>17562</v>
      </c>
      <c r="I244" s="427">
        <f t="shared" si="20"/>
        <v>494362</v>
      </c>
      <c r="J244" s="427"/>
      <c r="K244" s="427">
        <v>76694</v>
      </c>
      <c r="L244" s="427">
        <v>114827</v>
      </c>
      <c r="M244" s="427">
        <v>254460</v>
      </c>
      <c r="N244" s="427">
        <v>48381</v>
      </c>
      <c r="O244" s="427"/>
      <c r="P244" s="427">
        <f t="shared" si="21"/>
        <v>18292</v>
      </c>
      <c r="Q244" s="427"/>
      <c r="R244" s="427">
        <v>2011</v>
      </c>
      <c r="S244" s="427">
        <v>16281</v>
      </c>
      <c r="U244" s="472"/>
      <c r="V244" s="472"/>
      <c r="W244" s="472"/>
      <c r="X244" s="472"/>
      <c r="Y244" s="472"/>
    </row>
    <row r="245" spans="1:25" s="428" customFormat="1" ht="9.1999999999999993" customHeight="1" x14ac:dyDescent="0.25">
      <c r="A245" s="431" t="s">
        <v>36</v>
      </c>
      <c r="B245" s="427">
        <f t="shared" si="19"/>
        <v>219984</v>
      </c>
      <c r="C245" s="427"/>
      <c r="D245" s="477">
        <v>72105</v>
      </c>
      <c r="E245" s="477">
        <v>98434</v>
      </c>
      <c r="F245" s="477">
        <v>24040</v>
      </c>
      <c r="G245" s="477">
        <v>25405</v>
      </c>
      <c r="I245" s="427">
        <f t="shared" si="20"/>
        <v>1169673</v>
      </c>
      <c r="J245" s="427"/>
      <c r="K245" s="427">
        <v>221751</v>
      </c>
      <c r="L245" s="427">
        <v>390472</v>
      </c>
      <c r="M245" s="427">
        <v>444134</v>
      </c>
      <c r="N245" s="427">
        <v>113316</v>
      </c>
      <c r="O245" s="427"/>
      <c r="P245" s="427">
        <f t="shared" si="21"/>
        <v>28219</v>
      </c>
      <c r="Q245" s="427"/>
      <c r="R245" s="427">
        <v>4288</v>
      </c>
      <c r="S245" s="427">
        <v>23931</v>
      </c>
      <c r="U245" s="472"/>
      <c r="V245" s="472"/>
      <c r="W245" s="472"/>
      <c r="X245" s="472"/>
      <c r="Y245" s="472"/>
    </row>
    <row r="246" spans="1:25" s="428" customFormat="1" ht="9.1999999999999993" customHeight="1" x14ac:dyDescent="0.25">
      <c r="A246" s="433" t="s">
        <v>37</v>
      </c>
      <c r="B246" s="434">
        <f t="shared" si="19"/>
        <v>106429</v>
      </c>
      <c r="C246" s="434"/>
      <c r="D246" s="479">
        <v>40177</v>
      </c>
      <c r="E246" s="479">
        <v>44195</v>
      </c>
      <c r="F246" s="479">
        <v>9230</v>
      </c>
      <c r="G246" s="479">
        <v>12827</v>
      </c>
      <c r="H246" s="475"/>
      <c r="I246" s="434">
        <f t="shared" si="20"/>
        <v>375378</v>
      </c>
      <c r="J246" s="434"/>
      <c r="K246" s="434">
        <v>69188</v>
      </c>
      <c r="L246" s="434">
        <v>138781</v>
      </c>
      <c r="M246" s="434">
        <v>150956</v>
      </c>
      <c r="N246" s="434">
        <v>16453</v>
      </c>
      <c r="O246" s="434"/>
      <c r="P246" s="434">
        <f t="shared" si="21"/>
        <v>11466</v>
      </c>
      <c r="Q246" s="434"/>
      <c r="R246" s="434">
        <v>858</v>
      </c>
      <c r="S246" s="434">
        <v>10608</v>
      </c>
      <c r="U246" s="472"/>
      <c r="V246" s="472"/>
      <c r="W246" s="472"/>
      <c r="X246" s="472"/>
      <c r="Y246" s="472"/>
    </row>
    <row r="247" spans="1:25" s="428" customFormat="1" ht="9.1999999999999993" customHeight="1" x14ac:dyDescent="0.25">
      <c r="A247" s="431" t="s">
        <v>38</v>
      </c>
      <c r="B247" s="427">
        <f t="shared" si="19"/>
        <v>32430</v>
      </c>
      <c r="C247" s="427"/>
      <c r="D247" s="477">
        <v>10724</v>
      </c>
      <c r="E247" s="477">
        <v>11426</v>
      </c>
      <c r="F247" s="477">
        <v>4735</v>
      </c>
      <c r="G247" s="477">
        <v>5545</v>
      </c>
      <c r="I247" s="427">
        <f t="shared" si="20"/>
        <v>142506</v>
      </c>
      <c r="J247" s="427"/>
      <c r="K247" s="427">
        <v>24673</v>
      </c>
      <c r="L247" s="427">
        <v>33291</v>
      </c>
      <c r="M247" s="427">
        <v>76415</v>
      </c>
      <c r="N247" s="427">
        <v>8127</v>
      </c>
      <c r="O247" s="427"/>
      <c r="P247" s="427">
        <f t="shared" si="21"/>
        <v>5371</v>
      </c>
      <c r="Q247" s="427"/>
      <c r="R247" s="427">
        <v>264</v>
      </c>
      <c r="S247" s="427">
        <v>5107</v>
      </c>
      <c r="U247" s="472"/>
      <c r="V247" s="472"/>
      <c r="W247" s="472"/>
      <c r="X247" s="472"/>
      <c r="Y247" s="472"/>
    </row>
    <row r="248" spans="1:25" s="428" customFormat="1" ht="9.1999999999999993" customHeight="1" x14ac:dyDescent="0.25">
      <c r="A248" s="431" t="s">
        <v>39</v>
      </c>
      <c r="B248" s="427">
        <f t="shared" si="19"/>
        <v>30560</v>
      </c>
      <c r="C248" s="427"/>
      <c r="D248" s="477">
        <v>15045</v>
      </c>
      <c r="E248" s="477">
        <v>9565</v>
      </c>
      <c r="F248" s="477">
        <v>3705</v>
      </c>
      <c r="G248" s="477">
        <v>2245</v>
      </c>
      <c r="I248" s="427">
        <f t="shared" si="20"/>
        <v>118372</v>
      </c>
      <c r="J248" s="427"/>
      <c r="K248" s="427">
        <v>26810</v>
      </c>
      <c r="L248" s="427">
        <v>32758</v>
      </c>
      <c r="M248" s="427">
        <v>53130</v>
      </c>
      <c r="N248" s="427">
        <v>5674</v>
      </c>
      <c r="O248" s="427"/>
      <c r="P248" s="427">
        <f t="shared" si="21"/>
        <v>3784</v>
      </c>
      <c r="Q248" s="427"/>
      <c r="R248" s="427">
        <v>191</v>
      </c>
      <c r="S248" s="427">
        <v>3593</v>
      </c>
      <c r="U248" s="472"/>
      <c r="V248" s="472"/>
      <c r="W248" s="472"/>
      <c r="X248" s="472"/>
      <c r="Y248" s="472"/>
    </row>
    <row r="249" spans="1:25" s="428" customFormat="1" ht="9.1999999999999993" customHeight="1" x14ac:dyDescent="0.25">
      <c r="A249" s="431" t="s">
        <v>40</v>
      </c>
      <c r="B249" s="427">
        <f t="shared" si="19"/>
        <v>114721</v>
      </c>
      <c r="C249" s="427"/>
      <c r="D249" s="477">
        <v>32196</v>
      </c>
      <c r="E249" s="477">
        <v>61178</v>
      </c>
      <c r="F249" s="477">
        <v>15033</v>
      </c>
      <c r="G249" s="477">
        <v>6314</v>
      </c>
      <c r="I249" s="427">
        <f t="shared" si="20"/>
        <v>397792</v>
      </c>
      <c r="J249" s="427"/>
      <c r="K249" s="427">
        <v>42028</v>
      </c>
      <c r="L249" s="427">
        <v>151935</v>
      </c>
      <c r="M249" s="427">
        <v>193060</v>
      </c>
      <c r="N249" s="427">
        <v>10769</v>
      </c>
      <c r="O249" s="427"/>
      <c r="P249" s="427">
        <f t="shared" si="21"/>
        <v>15085</v>
      </c>
      <c r="Q249" s="427"/>
      <c r="R249" s="427">
        <v>1406</v>
      </c>
      <c r="S249" s="427">
        <v>13679</v>
      </c>
      <c r="U249" s="472"/>
      <c r="V249" s="472"/>
      <c r="W249" s="472"/>
      <c r="X249" s="472"/>
      <c r="Y249" s="472"/>
    </row>
    <row r="250" spans="1:25" s="428" customFormat="1" ht="9.1999999999999993" customHeight="1" x14ac:dyDescent="0.25">
      <c r="A250" s="433" t="s">
        <v>41</v>
      </c>
      <c r="B250" s="434">
        <f t="shared" si="19"/>
        <v>78055</v>
      </c>
      <c r="C250" s="434"/>
      <c r="D250" s="479">
        <v>31082</v>
      </c>
      <c r="E250" s="479">
        <v>33272</v>
      </c>
      <c r="F250" s="479">
        <v>9405</v>
      </c>
      <c r="G250" s="479">
        <v>4296</v>
      </c>
      <c r="H250" s="475"/>
      <c r="I250" s="434">
        <f t="shared" si="20"/>
        <v>345778</v>
      </c>
      <c r="J250" s="434"/>
      <c r="K250" s="434">
        <v>57328</v>
      </c>
      <c r="L250" s="434">
        <v>110101</v>
      </c>
      <c r="M250" s="434">
        <v>166960</v>
      </c>
      <c r="N250" s="434">
        <v>11389</v>
      </c>
      <c r="O250" s="434"/>
      <c r="P250" s="434">
        <f t="shared" si="21"/>
        <v>11009</v>
      </c>
      <c r="Q250" s="434"/>
      <c r="R250" s="434">
        <v>420</v>
      </c>
      <c r="S250" s="434">
        <v>10589</v>
      </c>
      <c r="U250" s="472"/>
      <c r="V250" s="472"/>
      <c r="W250" s="472"/>
      <c r="X250" s="472"/>
      <c r="Y250" s="472"/>
    </row>
    <row r="251" spans="1:25" s="428" customFormat="1" ht="9.1999999999999993" customHeight="1" x14ac:dyDescent="0.25">
      <c r="A251" s="431" t="s">
        <v>42</v>
      </c>
      <c r="B251" s="427">
        <f t="shared" si="19"/>
        <v>115052</v>
      </c>
      <c r="C251" s="427"/>
      <c r="D251" s="477">
        <v>33325</v>
      </c>
      <c r="E251" s="477">
        <v>55321</v>
      </c>
      <c r="F251" s="477">
        <v>16953</v>
      </c>
      <c r="G251" s="477">
        <v>9453</v>
      </c>
      <c r="I251" s="427">
        <f t="shared" si="20"/>
        <v>472302</v>
      </c>
      <c r="J251" s="427"/>
      <c r="K251" s="427">
        <v>75121</v>
      </c>
      <c r="L251" s="427">
        <v>174917</v>
      </c>
      <c r="M251" s="427">
        <v>198976</v>
      </c>
      <c r="N251" s="427">
        <v>23288</v>
      </c>
      <c r="O251" s="427"/>
      <c r="P251" s="427">
        <f t="shared" si="21"/>
        <v>16801</v>
      </c>
      <c r="Q251" s="427"/>
      <c r="R251" s="427">
        <v>1618</v>
      </c>
      <c r="S251" s="427">
        <v>15183</v>
      </c>
      <c r="U251" s="472"/>
      <c r="V251" s="472"/>
      <c r="W251" s="472"/>
      <c r="X251" s="472"/>
      <c r="Y251" s="472"/>
    </row>
    <row r="252" spans="1:25" s="428" customFormat="1" ht="9.1999999999999993" customHeight="1" x14ac:dyDescent="0.25">
      <c r="A252" s="431" t="s">
        <v>43</v>
      </c>
      <c r="B252" s="427">
        <f t="shared" si="19"/>
        <v>37613</v>
      </c>
      <c r="C252" s="427"/>
      <c r="D252" s="477">
        <v>13686</v>
      </c>
      <c r="E252" s="477">
        <v>16345</v>
      </c>
      <c r="F252" s="477">
        <v>4550</v>
      </c>
      <c r="G252" s="477">
        <v>3032</v>
      </c>
      <c r="I252" s="427">
        <f t="shared" si="20"/>
        <v>147097</v>
      </c>
      <c r="J252" s="427"/>
      <c r="K252" s="427">
        <v>19782</v>
      </c>
      <c r="L252" s="427">
        <v>54247</v>
      </c>
      <c r="M252" s="427">
        <v>66612</v>
      </c>
      <c r="N252" s="427">
        <v>6456</v>
      </c>
      <c r="O252" s="427"/>
      <c r="P252" s="427">
        <f t="shared" si="21"/>
        <v>5774</v>
      </c>
      <c r="Q252" s="427"/>
      <c r="R252" s="427">
        <v>641</v>
      </c>
      <c r="S252" s="427">
        <v>5133</v>
      </c>
      <c r="U252" s="472"/>
      <c r="V252" s="472"/>
      <c r="W252" s="472"/>
      <c r="X252" s="472"/>
      <c r="Y252" s="472"/>
    </row>
    <row r="253" spans="1:25" s="428" customFormat="1" ht="9.1999999999999993" customHeight="1" x14ac:dyDescent="0.25">
      <c r="A253" s="431" t="s">
        <v>44</v>
      </c>
      <c r="B253" s="427">
        <f t="shared" si="19"/>
        <v>27404</v>
      </c>
      <c r="C253" s="427"/>
      <c r="D253" s="477">
        <v>11046</v>
      </c>
      <c r="E253" s="477">
        <v>8877</v>
      </c>
      <c r="F253" s="477">
        <v>5338</v>
      </c>
      <c r="G253" s="477">
        <v>2143</v>
      </c>
      <c r="I253" s="427">
        <f t="shared" si="20"/>
        <v>86487</v>
      </c>
      <c r="J253" s="427"/>
      <c r="K253" s="427">
        <v>17532</v>
      </c>
      <c r="L253" s="427">
        <v>23199</v>
      </c>
      <c r="M253" s="427">
        <v>42945</v>
      </c>
      <c r="N253" s="427">
        <v>2811</v>
      </c>
      <c r="O253" s="427"/>
      <c r="P253" s="427">
        <f t="shared" si="21"/>
        <v>5187</v>
      </c>
      <c r="Q253" s="427"/>
      <c r="R253" s="427">
        <v>790</v>
      </c>
      <c r="S253" s="427">
        <v>4397</v>
      </c>
      <c r="U253" s="472"/>
      <c r="V253" s="472"/>
      <c r="W253" s="472"/>
      <c r="X253" s="472"/>
      <c r="Y253" s="472"/>
    </row>
    <row r="254" spans="1:25" s="428" customFormat="1" ht="9.1999999999999993" customHeight="1" x14ac:dyDescent="0.25">
      <c r="A254" s="433" t="s">
        <v>45</v>
      </c>
      <c r="B254" s="434">
        <f t="shared" si="19"/>
        <v>63415</v>
      </c>
      <c r="C254" s="434"/>
      <c r="D254" s="479">
        <v>24116</v>
      </c>
      <c r="E254" s="479">
        <v>29811</v>
      </c>
      <c r="F254" s="479">
        <v>6078</v>
      </c>
      <c r="G254" s="479">
        <v>3410</v>
      </c>
      <c r="H254" s="475"/>
      <c r="I254" s="434">
        <f t="shared" si="20"/>
        <v>218485</v>
      </c>
      <c r="J254" s="434"/>
      <c r="K254" s="434">
        <v>40967</v>
      </c>
      <c r="L254" s="434">
        <v>88232</v>
      </c>
      <c r="M254" s="434">
        <v>82070</v>
      </c>
      <c r="N254" s="434">
        <v>7216</v>
      </c>
      <c r="O254" s="434"/>
      <c r="P254" s="434">
        <f t="shared" si="21"/>
        <v>7526</v>
      </c>
      <c r="Q254" s="434"/>
      <c r="R254" s="434">
        <v>578</v>
      </c>
      <c r="S254" s="434">
        <v>6948</v>
      </c>
      <c r="U254" s="472"/>
      <c r="V254" s="472"/>
      <c r="W254" s="472"/>
      <c r="X254" s="472"/>
      <c r="Y254" s="472"/>
    </row>
    <row r="255" spans="1:25" s="428" customFormat="1" ht="9.1999999999999993" customHeight="1" x14ac:dyDescent="0.25">
      <c r="A255" s="431" t="s">
        <v>46</v>
      </c>
      <c r="B255" s="427">
        <f t="shared" si="19"/>
        <v>75583</v>
      </c>
      <c r="C255" s="427"/>
      <c r="D255" s="477">
        <v>25446</v>
      </c>
      <c r="E255" s="477">
        <v>34403</v>
      </c>
      <c r="F255" s="477">
        <v>12127</v>
      </c>
      <c r="G255" s="477">
        <v>3607</v>
      </c>
      <c r="I255" s="427">
        <f t="shared" si="20"/>
        <v>302248</v>
      </c>
      <c r="J255" s="427"/>
      <c r="K255" s="427">
        <v>40707</v>
      </c>
      <c r="L255" s="427">
        <v>94291</v>
      </c>
      <c r="M255" s="427">
        <v>163983</v>
      </c>
      <c r="N255" s="427">
        <v>3267</v>
      </c>
      <c r="O255" s="427"/>
      <c r="P255" s="427">
        <f t="shared" si="21"/>
        <v>11678</v>
      </c>
      <c r="Q255" s="427"/>
      <c r="R255" s="427">
        <v>376</v>
      </c>
      <c r="S255" s="427">
        <v>11302</v>
      </c>
      <c r="U255" s="472"/>
      <c r="V255" s="472"/>
      <c r="W255" s="472"/>
      <c r="X255" s="472"/>
      <c r="Y255" s="472"/>
    </row>
    <row r="256" spans="1:25" s="428" customFormat="1" ht="9.1999999999999993" customHeight="1" x14ac:dyDescent="0.25">
      <c r="A256" s="431" t="s">
        <v>47</v>
      </c>
      <c r="B256" s="427">
        <f t="shared" si="19"/>
        <v>55149</v>
      </c>
      <c r="C256" s="427"/>
      <c r="D256" s="477">
        <v>20685</v>
      </c>
      <c r="E256" s="477">
        <v>22946</v>
      </c>
      <c r="F256" s="477">
        <v>7370</v>
      </c>
      <c r="G256" s="477">
        <v>4148</v>
      </c>
      <c r="I256" s="427">
        <f t="shared" si="20"/>
        <v>210432</v>
      </c>
      <c r="J256" s="427"/>
      <c r="K256" s="427">
        <v>31059</v>
      </c>
      <c r="L256" s="427">
        <v>63767</v>
      </c>
      <c r="M256" s="427">
        <v>107998</v>
      </c>
      <c r="N256" s="427">
        <v>7608</v>
      </c>
      <c r="O256" s="427"/>
      <c r="P256" s="427">
        <f t="shared" si="21"/>
        <v>9220</v>
      </c>
      <c r="Q256" s="427"/>
      <c r="R256" s="427">
        <v>1033</v>
      </c>
      <c r="S256" s="427">
        <v>8187</v>
      </c>
      <c r="U256" s="472"/>
      <c r="V256" s="472"/>
      <c r="W256" s="472"/>
      <c r="X256" s="472"/>
      <c r="Y256" s="472"/>
    </row>
    <row r="257" spans="1:25" s="428" customFormat="1" ht="9.1999999999999993" customHeight="1" x14ac:dyDescent="0.25">
      <c r="A257" s="431" t="s">
        <v>48</v>
      </c>
      <c r="B257" s="427">
        <f t="shared" si="19"/>
        <v>43960</v>
      </c>
      <c r="C257" s="427"/>
      <c r="D257" s="477">
        <v>25846</v>
      </c>
      <c r="E257" s="477">
        <v>8240</v>
      </c>
      <c r="F257" s="477">
        <v>5441</v>
      </c>
      <c r="G257" s="477">
        <v>4433</v>
      </c>
      <c r="I257" s="427">
        <f t="shared" si="20"/>
        <v>226588</v>
      </c>
      <c r="J257" s="427"/>
      <c r="K257" s="427">
        <v>59589</v>
      </c>
      <c r="L257" s="427">
        <v>29003</v>
      </c>
      <c r="M257" s="427">
        <v>128709</v>
      </c>
      <c r="N257" s="427">
        <v>9287</v>
      </c>
      <c r="O257" s="427"/>
      <c r="P257" s="427">
        <f t="shared" si="21"/>
        <v>7844</v>
      </c>
      <c r="Q257" s="427"/>
      <c r="R257" s="427">
        <v>298</v>
      </c>
      <c r="S257" s="427">
        <v>7546</v>
      </c>
      <c r="U257" s="472"/>
      <c r="V257" s="472"/>
      <c r="W257" s="472"/>
      <c r="X257" s="472"/>
      <c r="Y257" s="472"/>
    </row>
    <row r="258" spans="1:25" s="428" customFormat="1" ht="9.1999999999999993" customHeight="1" x14ac:dyDescent="0.25">
      <c r="A258" s="433" t="s">
        <v>49</v>
      </c>
      <c r="B258" s="434">
        <f t="shared" si="19"/>
        <v>75929</v>
      </c>
      <c r="C258" s="434"/>
      <c r="D258" s="479">
        <v>32654</v>
      </c>
      <c r="E258" s="479">
        <v>29838</v>
      </c>
      <c r="F258" s="479">
        <v>9500</v>
      </c>
      <c r="G258" s="479">
        <v>3937</v>
      </c>
      <c r="H258" s="475"/>
      <c r="I258" s="434">
        <f t="shared" si="20"/>
        <v>276425</v>
      </c>
      <c r="J258" s="434"/>
      <c r="K258" s="434">
        <v>48718</v>
      </c>
      <c r="L258" s="434">
        <v>76205</v>
      </c>
      <c r="M258" s="434">
        <v>146976</v>
      </c>
      <c r="N258" s="434">
        <v>4526</v>
      </c>
      <c r="O258" s="434"/>
      <c r="P258" s="434">
        <f t="shared" si="21"/>
        <v>12036</v>
      </c>
      <c r="Q258" s="434"/>
      <c r="R258" s="434">
        <v>922</v>
      </c>
      <c r="S258" s="434">
        <v>11114</v>
      </c>
      <c r="U258" s="472"/>
      <c r="V258" s="472"/>
      <c r="W258" s="472"/>
      <c r="X258" s="472"/>
      <c r="Y258" s="472"/>
    </row>
    <row r="259" spans="1:25" s="428" customFormat="1" ht="9.1999999999999993" customHeight="1" x14ac:dyDescent="0.25">
      <c r="A259" s="431" t="s">
        <v>50</v>
      </c>
      <c r="B259" s="427">
        <f t="shared" si="19"/>
        <v>22175</v>
      </c>
      <c r="C259" s="427"/>
      <c r="D259" s="477">
        <v>7778</v>
      </c>
      <c r="E259" s="477">
        <v>8829</v>
      </c>
      <c r="F259" s="477">
        <v>2301</v>
      </c>
      <c r="G259" s="477">
        <v>3267</v>
      </c>
      <c r="I259" s="427">
        <f t="shared" si="20"/>
        <v>97602</v>
      </c>
      <c r="J259" s="427"/>
      <c r="K259" s="427">
        <v>15250</v>
      </c>
      <c r="L259" s="427">
        <v>31320</v>
      </c>
      <c r="M259" s="427">
        <v>43487</v>
      </c>
      <c r="N259" s="427">
        <v>7545</v>
      </c>
      <c r="O259" s="427"/>
      <c r="P259" s="427">
        <f t="shared" si="21"/>
        <v>4111</v>
      </c>
      <c r="Q259" s="427"/>
      <c r="R259" s="427">
        <v>281</v>
      </c>
      <c r="S259" s="427">
        <v>3830</v>
      </c>
      <c r="U259" s="472"/>
      <c r="V259" s="472"/>
      <c r="W259" s="472"/>
      <c r="X259" s="472"/>
      <c r="Y259" s="472"/>
    </row>
    <row r="260" spans="1:25" s="428" customFormat="1" ht="9.1999999999999993" customHeight="1" x14ac:dyDescent="0.25">
      <c r="A260" s="428" t="s">
        <v>51</v>
      </c>
      <c r="B260" s="427">
        <f t="shared" si="19"/>
        <v>174595</v>
      </c>
      <c r="C260" s="427"/>
      <c r="D260" s="477">
        <v>68208</v>
      </c>
      <c r="E260" s="477">
        <v>68754</v>
      </c>
      <c r="F260" s="477">
        <v>24065</v>
      </c>
      <c r="G260" s="477">
        <v>13568</v>
      </c>
      <c r="I260" s="427">
        <f t="shared" si="20"/>
        <v>817722</v>
      </c>
      <c r="J260" s="427"/>
      <c r="K260" s="427">
        <v>113692</v>
      </c>
      <c r="L260" s="427">
        <v>229423</v>
      </c>
      <c r="M260" s="427">
        <v>450714</v>
      </c>
      <c r="N260" s="427">
        <v>23893</v>
      </c>
      <c r="O260" s="427"/>
      <c r="P260" s="427">
        <f t="shared" si="21"/>
        <v>29009</v>
      </c>
      <c r="Q260" s="427"/>
      <c r="R260" s="427">
        <v>1184</v>
      </c>
      <c r="S260" s="427">
        <v>27825</v>
      </c>
      <c r="U260" s="472"/>
      <c r="V260" s="472"/>
      <c r="W260" s="472"/>
      <c r="X260" s="472"/>
      <c r="Y260" s="472"/>
    </row>
    <row r="261" spans="1:25" s="428" customFormat="1" ht="9.1999999999999993" customHeight="1" x14ac:dyDescent="0.25">
      <c r="A261" s="428" t="s">
        <v>52</v>
      </c>
      <c r="B261" s="427">
        <f t="shared" si="19"/>
        <v>39050</v>
      </c>
      <c r="C261" s="427"/>
      <c r="D261" s="477">
        <v>18341</v>
      </c>
      <c r="E261" s="477">
        <v>11625</v>
      </c>
      <c r="F261" s="477">
        <v>7732</v>
      </c>
      <c r="G261" s="477">
        <v>1352</v>
      </c>
      <c r="I261" s="427">
        <f t="shared" si="20"/>
        <v>157896</v>
      </c>
      <c r="J261" s="427"/>
      <c r="K261" s="427">
        <v>31800</v>
      </c>
      <c r="L261" s="427">
        <v>39704</v>
      </c>
      <c r="M261" s="427">
        <v>83625</v>
      </c>
      <c r="N261" s="427">
        <v>2767</v>
      </c>
      <c r="O261" s="427"/>
      <c r="P261" s="427">
        <f t="shared" si="21"/>
        <v>7841</v>
      </c>
      <c r="Q261" s="427"/>
      <c r="R261" s="427">
        <v>542</v>
      </c>
      <c r="S261" s="427">
        <v>7299</v>
      </c>
      <c r="U261" s="472"/>
      <c r="V261" s="472"/>
      <c r="W261" s="472"/>
      <c r="X261" s="472"/>
      <c r="Y261" s="472"/>
    </row>
    <row r="262" spans="1:25" s="428" customFormat="1" ht="9.1999999999999993" customHeight="1" x14ac:dyDescent="0.25">
      <c r="A262" s="433" t="s">
        <v>53</v>
      </c>
      <c r="B262" s="434">
        <f t="shared" si="19"/>
        <v>44556</v>
      </c>
      <c r="C262" s="434"/>
      <c r="D262" s="479">
        <v>14050</v>
      </c>
      <c r="E262" s="479">
        <v>22317</v>
      </c>
      <c r="F262" s="479">
        <v>4161</v>
      </c>
      <c r="G262" s="479">
        <v>4028</v>
      </c>
      <c r="H262" s="475"/>
      <c r="I262" s="434">
        <f t="shared" si="20"/>
        <v>158588</v>
      </c>
      <c r="J262" s="434"/>
      <c r="K262" s="434">
        <v>23851</v>
      </c>
      <c r="L262" s="434">
        <v>65804</v>
      </c>
      <c r="M262" s="434">
        <v>60865</v>
      </c>
      <c r="N262" s="434">
        <v>8068</v>
      </c>
      <c r="O262" s="434"/>
      <c r="P262" s="434">
        <f t="shared" si="21"/>
        <v>4103</v>
      </c>
      <c r="Q262" s="434"/>
      <c r="R262" s="434">
        <v>218</v>
      </c>
      <c r="S262" s="434">
        <v>3885</v>
      </c>
      <c r="U262" s="472"/>
      <c r="V262" s="472"/>
      <c r="W262" s="472"/>
      <c r="X262" s="472"/>
      <c r="Y262" s="472"/>
    </row>
    <row r="263" spans="1:25" s="428" customFormat="1" ht="9" customHeight="1" x14ac:dyDescent="0.25">
      <c r="B263" s="427"/>
      <c r="C263" s="427"/>
      <c r="D263" s="477"/>
      <c r="E263" s="477"/>
      <c r="F263" s="477"/>
      <c r="G263" s="477"/>
      <c r="I263" s="427"/>
      <c r="J263" s="427"/>
      <c r="K263" s="427"/>
      <c r="L263" s="427"/>
      <c r="M263" s="427"/>
      <c r="N263" s="427"/>
      <c r="O263" s="427"/>
      <c r="P263" s="427"/>
      <c r="Q263" s="427"/>
      <c r="R263" s="427"/>
      <c r="S263" s="427"/>
      <c r="U263" s="472"/>
      <c r="V263" s="472"/>
      <c r="W263" s="472"/>
      <c r="X263" s="472"/>
      <c r="Y263" s="472"/>
    </row>
    <row r="264" spans="1:25" s="428" customFormat="1" ht="9" customHeight="1" x14ac:dyDescent="0.25">
      <c r="A264" s="441">
        <v>2002</v>
      </c>
      <c r="B264" s="427"/>
      <c r="C264" s="427"/>
      <c r="D264" s="476"/>
      <c r="E264" s="477"/>
      <c r="F264" s="477"/>
      <c r="G264" s="477"/>
      <c r="H264" s="477"/>
      <c r="I264" s="477"/>
      <c r="J264" s="477"/>
      <c r="K264" s="477"/>
      <c r="L264" s="477"/>
      <c r="M264" s="477"/>
      <c r="N264" s="477"/>
      <c r="O264" s="477"/>
      <c r="P264" s="477"/>
      <c r="Q264" s="477"/>
      <c r="R264" s="477"/>
      <c r="S264" s="477"/>
      <c r="U264" s="472"/>
      <c r="V264" s="472"/>
      <c r="W264" s="472"/>
      <c r="X264" s="472"/>
      <c r="Y264" s="472"/>
    </row>
    <row r="265" spans="1:25" s="428" customFormat="1" ht="9" customHeight="1" x14ac:dyDescent="0.25">
      <c r="A265" s="429" t="s">
        <v>21</v>
      </c>
      <c r="B265" s="476">
        <f>SUM(B267:B298)</f>
        <v>2393305</v>
      </c>
      <c r="C265" s="476"/>
      <c r="D265" s="476">
        <f>SUM(D267:D298)</f>
        <v>926384</v>
      </c>
      <c r="E265" s="476">
        <f>SUM(E267:E298)</f>
        <v>919670</v>
      </c>
      <c r="F265" s="476">
        <f>SUM(F267:F298)</f>
        <v>300258</v>
      </c>
      <c r="G265" s="476">
        <f>SUM(G267:G298)</f>
        <v>246993</v>
      </c>
      <c r="H265" s="476"/>
      <c r="I265" s="430">
        <f>SUM(I267:I298)</f>
        <v>10082821</v>
      </c>
      <c r="J265" s="430"/>
      <c r="K265" s="430">
        <f>SUM(K267:K298)</f>
        <v>1651834</v>
      </c>
      <c r="L265" s="430">
        <f>SUM(L267:L298)</f>
        <v>3099896</v>
      </c>
      <c r="M265" s="430">
        <f>SUM(M267:M298)</f>
        <v>4789151</v>
      </c>
      <c r="N265" s="430">
        <f>SUM(N267:N298)</f>
        <v>541940</v>
      </c>
      <c r="O265" s="482" t="s">
        <v>340</v>
      </c>
      <c r="P265" s="430">
        <f>SUM(P267:P298)</f>
        <v>352432</v>
      </c>
      <c r="Q265" s="430"/>
      <c r="R265" s="430">
        <f>SUM(R267:R298)</f>
        <v>32791</v>
      </c>
      <c r="S265" s="430">
        <f>SUM(S267:S298)</f>
        <v>319641</v>
      </c>
      <c r="U265" s="472"/>
      <c r="V265" s="472"/>
      <c r="W265" s="472"/>
      <c r="X265" s="472"/>
      <c r="Y265" s="472"/>
    </row>
    <row r="266" spans="1:25" s="428" customFormat="1" ht="3.95" customHeight="1" x14ac:dyDescent="0.25">
      <c r="A266" s="429"/>
      <c r="B266" s="476"/>
      <c r="C266" s="476"/>
      <c r="D266" s="476"/>
      <c r="E266" s="476"/>
      <c r="F266" s="476"/>
      <c r="G266" s="476"/>
      <c r="H266" s="476"/>
      <c r="I266" s="430"/>
      <c r="J266" s="430"/>
      <c r="K266" s="430"/>
      <c r="L266" s="430"/>
      <c r="M266" s="430"/>
      <c r="N266" s="430"/>
      <c r="O266" s="430"/>
      <c r="P266" s="430"/>
      <c r="Q266" s="430"/>
      <c r="R266" s="430"/>
      <c r="S266" s="430"/>
      <c r="U266" s="472"/>
      <c r="V266" s="472"/>
      <c r="W266" s="472"/>
      <c r="X266" s="472"/>
      <c r="Y266" s="472"/>
    </row>
    <row r="267" spans="1:25" s="428" customFormat="1" ht="9.1999999999999993" customHeight="1" x14ac:dyDescent="0.25">
      <c r="A267" s="431" t="s">
        <v>23</v>
      </c>
      <c r="B267" s="427">
        <f t="shared" ref="B267:B298" si="22">SUM(D267:G267)</f>
        <v>25283</v>
      </c>
      <c r="C267" s="427"/>
      <c r="D267" s="477">
        <v>10465</v>
      </c>
      <c r="E267" s="477">
        <v>8100</v>
      </c>
      <c r="F267" s="477">
        <v>3483</v>
      </c>
      <c r="G267" s="477">
        <v>3235</v>
      </c>
      <c r="I267" s="427">
        <f t="shared" ref="I267:I298" si="23">SUM(K267:O267)</f>
        <v>95898</v>
      </c>
      <c r="J267" s="427"/>
      <c r="K267" s="427">
        <v>16467</v>
      </c>
      <c r="L267" s="427">
        <v>33568</v>
      </c>
      <c r="M267" s="427">
        <v>38773</v>
      </c>
      <c r="N267" s="427">
        <v>7090</v>
      </c>
      <c r="O267" s="427"/>
      <c r="P267" s="427">
        <f t="shared" ref="P267:P298" si="24">SUM(R267:S267)</f>
        <v>4401</v>
      </c>
      <c r="Q267" s="427"/>
      <c r="R267" s="427">
        <v>603</v>
      </c>
      <c r="S267" s="427">
        <v>3798</v>
      </c>
      <c r="U267" s="472"/>
      <c r="V267" s="472"/>
      <c r="W267" s="472"/>
      <c r="X267" s="472"/>
      <c r="Y267" s="472"/>
    </row>
    <row r="268" spans="1:25" s="428" customFormat="1" ht="9.1999999999999993" customHeight="1" x14ac:dyDescent="0.25">
      <c r="A268" s="431" t="s">
        <v>24</v>
      </c>
      <c r="B268" s="427">
        <f t="shared" si="22"/>
        <v>132298</v>
      </c>
      <c r="C268" s="427"/>
      <c r="D268" s="477">
        <v>89005</v>
      </c>
      <c r="E268" s="477">
        <v>24714</v>
      </c>
      <c r="F268" s="477">
        <v>11656</v>
      </c>
      <c r="G268" s="477">
        <v>6923</v>
      </c>
      <c r="I268" s="427">
        <f t="shared" si="23"/>
        <v>280461</v>
      </c>
      <c r="J268" s="427"/>
      <c r="K268" s="427">
        <v>75115</v>
      </c>
      <c r="L268" s="427">
        <v>83868</v>
      </c>
      <c r="M268" s="427">
        <v>116573</v>
      </c>
      <c r="N268" s="427">
        <v>4905</v>
      </c>
      <c r="O268" s="427"/>
      <c r="P268" s="427">
        <f t="shared" si="24"/>
        <v>12156</v>
      </c>
      <c r="Q268" s="427"/>
      <c r="R268" s="427">
        <v>1356</v>
      </c>
      <c r="S268" s="427">
        <v>10800</v>
      </c>
      <c r="U268" s="472"/>
      <c r="V268" s="472"/>
      <c r="W268" s="472"/>
      <c r="X268" s="472"/>
      <c r="Y268" s="472"/>
    </row>
    <row r="269" spans="1:25" s="428" customFormat="1" ht="9.1999999999999993" customHeight="1" x14ac:dyDescent="0.25">
      <c r="A269" s="431" t="s">
        <v>25</v>
      </c>
      <c r="B269" s="427">
        <f t="shared" si="22"/>
        <v>12741</v>
      </c>
      <c r="C269" s="427"/>
      <c r="D269" s="477">
        <v>4859</v>
      </c>
      <c r="E269" s="477">
        <v>4658</v>
      </c>
      <c r="F269" s="477">
        <v>1868</v>
      </c>
      <c r="G269" s="477">
        <v>1356</v>
      </c>
      <c r="I269" s="427">
        <f t="shared" si="23"/>
        <v>58884</v>
      </c>
      <c r="J269" s="427"/>
      <c r="K269" s="427">
        <v>7015</v>
      </c>
      <c r="L269" s="427">
        <v>14163</v>
      </c>
      <c r="M269" s="427">
        <v>33553</v>
      </c>
      <c r="N269" s="427">
        <v>4153</v>
      </c>
      <c r="O269" s="427"/>
      <c r="P269" s="427">
        <f t="shared" si="24"/>
        <v>2409</v>
      </c>
      <c r="Q269" s="427"/>
      <c r="R269" s="427">
        <v>192</v>
      </c>
      <c r="S269" s="427">
        <v>2217</v>
      </c>
      <c r="U269" s="472"/>
      <c r="V269" s="472"/>
      <c r="W269" s="472"/>
      <c r="X269" s="472"/>
      <c r="Y269" s="472"/>
    </row>
    <row r="270" spans="1:25" s="428" customFormat="1" ht="9.1999999999999993" customHeight="1" x14ac:dyDescent="0.25">
      <c r="A270" s="433" t="s">
        <v>26</v>
      </c>
      <c r="B270" s="434">
        <f t="shared" si="22"/>
        <v>17684</v>
      </c>
      <c r="C270" s="434"/>
      <c r="D270" s="479">
        <v>8706</v>
      </c>
      <c r="E270" s="479">
        <v>5739</v>
      </c>
      <c r="F270" s="479">
        <v>2067</v>
      </c>
      <c r="G270" s="479">
        <v>1172</v>
      </c>
      <c r="H270" s="475"/>
      <c r="I270" s="434">
        <f t="shared" si="23"/>
        <v>88662</v>
      </c>
      <c r="J270" s="434"/>
      <c r="K270" s="434">
        <v>18031</v>
      </c>
      <c r="L270" s="434">
        <v>15814</v>
      </c>
      <c r="M270" s="434">
        <v>50029</v>
      </c>
      <c r="N270" s="434">
        <v>4788</v>
      </c>
      <c r="O270" s="434"/>
      <c r="P270" s="434">
        <f t="shared" si="24"/>
        <v>3662</v>
      </c>
      <c r="Q270" s="434"/>
      <c r="R270" s="434">
        <v>230</v>
      </c>
      <c r="S270" s="434">
        <v>3432</v>
      </c>
      <c r="U270" s="472"/>
      <c r="V270" s="472"/>
      <c r="W270" s="472"/>
      <c r="X270" s="472"/>
      <c r="Y270" s="472"/>
    </row>
    <row r="271" spans="1:25" s="428" customFormat="1" ht="9.1999999999999993" customHeight="1" x14ac:dyDescent="0.25">
      <c r="A271" s="431" t="s">
        <v>27</v>
      </c>
      <c r="B271" s="427">
        <f t="shared" si="22"/>
        <v>69435</v>
      </c>
      <c r="C271" s="427"/>
      <c r="D271" s="477">
        <v>25317</v>
      </c>
      <c r="E271" s="477">
        <v>27873</v>
      </c>
      <c r="F271" s="477">
        <v>10643</v>
      </c>
      <c r="G271" s="477">
        <v>5602</v>
      </c>
      <c r="I271" s="427">
        <f t="shared" si="23"/>
        <v>278234</v>
      </c>
      <c r="J271" s="427"/>
      <c r="K271" s="427">
        <v>40407</v>
      </c>
      <c r="L271" s="427">
        <v>81651</v>
      </c>
      <c r="M271" s="427">
        <v>149036</v>
      </c>
      <c r="N271" s="427">
        <v>7140</v>
      </c>
      <c r="O271" s="427"/>
      <c r="P271" s="427">
        <f t="shared" si="24"/>
        <v>11707</v>
      </c>
      <c r="Q271" s="427"/>
      <c r="R271" s="427">
        <v>1400</v>
      </c>
      <c r="S271" s="427">
        <v>10307</v>
      </c>
      <c r="U271" s="472"/>
      <c r="V271" s="472"/>
      <c r="W271" s="472"/>
      <c r="X271" s="472"/>
      <c r="Y271" s="472"/>
    </row>
    <row r="272" spans="1:25" s="428" customFormat="1" ht="9.1999999999999993" customHeight="1" x14ac:dyDescent="0.25">
      <c r="A272" s="431" t="s">
        <v>28</v>
      </c>
      <c r="B272" s="427">
        <f t="shared" si="22"/>
        <v>18222</v>
      </c>
      <c r="C272" s="427"/>
      <c r="D272" s="477">
        <v>6803</v>
      </c>
      <c r="E272" s="477">
        <v>6837</v>
      </c>
      <c r="F272" s="477">
        <v>2420</v>
      </c>
      <c r="G272" s="477">
        <v>2162</v>
      </c>
      <c r="I272" s="427">
        <f t="shared" si="23"/>
        <v>76841</v>
      </c>
      <c r="J272" s="427"/>
      <c r="K272" s="427">
        <v>16532</v>
      </c>
      <c r="L272" s="427">
        <v>15937</v>
      </c>
      <c r="M272" s="427">
        <v>38498</v>
      </c>
      <c r="N272" s="427">
        <v>5874</v>
      </c>
      <c r="O272" s="427"/>
      <c r="P272" s="427">
        <f t="shared" si="24"/>
        <v>2429</v>
      </c>
      <c r="Q272" s="427"/>
      <c r="R272" s="427">
        <v>138</v>
      </c>
      <c r="S272" s="427">
        <v>2291</v>
      </c>
      <c r="U272" s="472"/>
      <c r="V272" s="472"/>
      <c r="W272" s="472"/>
      <c r="X272" s="472"/>
      <c r="Y272" s="472"/>
    </row>
    <row r="273" spans="1:25" s="428" customFormat="1" ht="9.1999999999999993" customHeight="1" x14ac:dyDescent="0.25">
      <c r="A273" s="431" t="s">
        <v>29</v>
      </c>
      <c r="B273" s="427">
        <f t="shared" si="22"/>
        <v>108919</v>
      </c>
      <c r="C273" s="427"/>
      <c r="D273" s="477">
        <v>51338</v>
      </c>
      <c r="E273" s="477">
        <v>37183</v>
      </c>
      <c r="F273" s="477">
        <v>12247</v>
      </c>
      <c r="G273" s="477">
        <v>8151</v>
      </c>
      <c r="I273" s="427">
        <f t="shared" si="23"/>
        <v>427054</v>
      </c>
      <c r="J273" s="427"/>
      <c r="K273" s="427">
        <v>84174</v>
      </c>
      <c r="L273" s="427">
        <v>125235</v>
      </c>
      <c r="M273" s="427">
        <v>201045</v>
      </c>
      <c r="N273" s="427">
        <v>16600</v>
      </c>
      <c r="O273" s="427"/>
      <c r="P273" s="427">
        <f t="shared" si="24"/>
        <v>14519</v>
      </c>
      <c r="Q273" s="427"/>
      <c r="R273" s="427">
        <v>324</v>
      </c>
      <c r="S273" s="427">
        <v>14195</v>
      </c>
      <c r="U273" s="472"/>
      <c r="V273" s="472"/>
      <c r="W273" s="472"/>
      <c r="X273" s="472"/>
      <c r="Y273" s="472"/>
    </row>
    <row r="274" spans="1:25" s="428" customFormat="1" ht="9.1999999999999993" customHeight="1" x14ac:dyDescent="0.25">
      <c r="A274" s="433" t="s">
        <v>30</v>
      </c>
      <c r="B274" s="434">
        <f t="shared" si="22"/>
        <v>82572</v>
      </c>
      <c r="C274" s="434"/>
      <c r="D274" s="479">
        <v>34478</v>
      </c>
      <c r="E274" s="479">
        <v>32884</v>
      </c>
      <c r="F274" s="479">
        <v>10778</v>
      </c>
      <c r="G274" s="479">
        <v>4432</v>
      </c>
      <c r="H274" s="475"/>
      <c r="I274" s="434">
        <f t="shared" si="23"/>
        <v>324673</v>
      </c>
      <c r="J274" s="434"/>
      <c r="K274" s="434">
        <v>34533</v>
      </c>
      <c r="L274" s="434">
        <v>132277</v>
      </c>
      <c r="M274" s="434">
        <v>149795</v>
      </c>
      <c r="N274" s="434">
        <v>8068</v>
      </c>
      <c r="O274" s="434"/>
      <c r="P274" s="434">
        <f t="shared" si="24"/>
        <v>11557</v>
      </c>
      <c r="Q274" s="434"/>
      <c r="R274" s="434">
        <v>1970</v>
      </c>
      <c r="S274" s="434">
        <v>9587</v>
      </c>
      <c r="U274" s="472"/>
      <c r="V274" s="472"/>
      <c r="W274" s="472"/>
      <c r="X274" s="472"/>
      <c r="Y274" s="472"/>
    </row>
    <row r="275" spans="1:25" s="428" customFormat="1" ht="9.1999999999999993" customHeight="1" x14ac:dyDescent="0.25">
      <c r="A275" s="431" t="s">
        <v>63</v>
      </c>
      <c r="B275" s="427">
        <f t="shared" si="22"/>
        <v>224543</v>
      </c>
      <c r="C275" s="427"/>
      <c r="D275" s="477">
        <v>52516</v>
      </c>
      <c r="E275" s="477">
        <v>103882</v>
      </c>
      <c r="F275" s="477">
        <v>35803</v>
      </c>
      <c r="G275" s="477">
        <v>32342</v>
      </c>
      <c r="I275" s="427">
        <f t="shared" si="23"/>
        <v>1037379</v>
      </c>
      <c r="J275" s="427"/>
      <c r="K275" s="427">
        <v>103202</v>
      </c>
      <c r="L275" s="427">
        <v>337834</v>
      </c>
      <c r="M275" s="427">
        <v>552317</v>
      </c>
      <c r="N275" s="427">
        <v>44026</v>
      </c>
      <c r="O275" s="427"/>
      <c r="P275" s="427">
        <f t="shared" si="24"/>
        <v>40042</v>
      </c>
      <c r="Q275" s="427"/>
      <c r="R275" s="427">
        <v>5628</v>
      </c>
      <c r="S275" s="427">
        <v>34414</v>
      </c>
      <c r="U275" s="472"/>
      <c r="V275" s="472"/>
      <c r="W275" s="472"/>
      <c r="X275" s="472"/>
      <c r="Y275" s="472"/>
    </row>
    <row r="276" spans="1:25" s="428" customFormat="1" ht="9.1999999999999993" customHeight="1" x14ac:dyDescent="0.25">
      <c r="A276" s="431" t="s">
        <v>31</v>
      </c>
      <c r="B276" s="427">
        <f t="shared" si="22"/>
        <v>47007</v>
      </c>
      <c r="C276" s="427"/>
      <c r="D276" s="477">
        <v>22294</v>
      </c>
      <c r="E276" s="477">
        <v>16567</v>
      </c>
      <c r="F276" s="477">
        <v>4919</v>
      </c>
      <c r="G276" s="477">
        <v>3227</v>
      </c>
      <c r="I276" s="427">
        <f t="shared" si="23"/>
        <v>177537</v>
      </c>
      <c r="J276" s="427"/>
      <c r="K276" s="427">
        <v>34420</v>
      </c>
      <c r="L276" s="427">
        <v>63839</v>
      </c>
      <c r="M276" s="427">
        <v>72079</v>
      </c>
      <c r="N276" s="427">
        <v>7199</v>
      </c>
      <c r="O276" s="427"/>
      <c r="P276" s="427">
        <f t="shared" si="24"/>
        <v>5864</v>
      </c>
      <c r="Q276" s="427"/>
      <c r="R276" s="427">
        <v>423</v>
      </c>
      <c r="S276" s="427">
        <v>5441</v>
      </c>
      <c r="U276" s="472"/>
      <c r="V276" s="472"/>
      <c r="W276" s="472"/>
      <c r="X276" s="472"/>
      <c r="Y276" s="472"/>
    </row>
    <row r="277" spans="1:25" s="428" customFormat="1" ht="9.1999999999999993" customHeight="1" x14ac:dyDescent="0.25">
      <c r="A277" s="431" t="s">
        <v>32</v>
      </c>
      <c r="B277" s="427">
        <f t="shared" si="22"/>
        <v>90863</v>
      </c>
      <c r="C277" s="427"/>
      <c r="D277" s="477">
        <v>32262</v>
      </c>
      <c r="E277" s="477">
        <v>30482</v>
      </c>
      <c r="F277" s="477">
        <v>11456</v>
      </c>
      <c r="G277" s="477">
        <v>16663</v>
      </c>
      <c r="I277" s="427">
        <f t="shared" si="23"/>
        <v>330133</v>
      </c>
      <c r="J277" s="427"/>
      <c r="K277" s="427">
        <v>66858</v>
      </c>
      <c r="L277" s="427">
        <v>100603</v>
      </c>
      <c r="M277" s="427">
        <v>137068</v>
      </c>
      <c r="N277" s="427">
        <v>25604</v>
      </c>
      <c r="O277" s="427"/>
      <c r="P277" s="427">
        <f t="shared" si="24"/>
        <v>13583</v>
      </c>
      <c r="Q277" s="427"/>
      <c r="R277" s="427">
        <v>964</v>
      </c>
      <c r="S277" s="427">
        <v>12619</v>
      </c>
      <c r="U277" s="472"/>
      <c r="V277" s="472"/>
      <c r="W277" s="472"/>
      <c r="X277" s="472"/>
      <c r="Y277" s="472"/>
    </row>
    <row r="278" spans="1:25" s="428" customFormat="1" ht="9.1999999999999993" customHeight="1" x14ac:dyDescent="0.25">
      <c r="A278" s="433" t="s">
        <v>33</v>
      </c>
      <c r="B278" s="434">
        <f t="shared" si="22"/>
        <v>62607</v>
      </c>
      <c r="C278" s="434"/>
      <c r="D278" s="479">
        <v>29594</v>
      </c>
      <c r="E278" s="479">
        <v>17148</v>
      </c>
      <c r="F278" s="479">
        <v>5957</v>
      </c>
      <c r="G278" s="479">
        <v>9908</v>
      </c>
      <c r="H278" s="475"/>
      <c r="I278" s="434">
        <f t="shared" si="23"/>
        <v>311151</v>
      </c>
      <c r="J278" s="434"/>
      <c r="K278" s="434">
        <v>82740</v>
      </c>
      <c r="L278" s="434">
        <v>57528</v>
      </c>
      <c r="M278" s="434">
        <v>148953</v>
      </c>
      <c r="N278" s="434">
        <v>21930</v>
      </c>
      <c r="O278" s="434"/>
      <c r="P278" s="434">
        <f t="shared" si="24"/>
        <v>8584</v>
      </c>
      <c r="Q278" s="434"/>
      <c r="R278" s="434">
        <v>294</v>
      </c>
      <c r="S278" s="434">
        <v>8290</v>
      </c>
      <c r="U278" s="472"/>
      <c r="V278" s="472"/>
      <c r="W278" s="472"/>
      <c r="X278" s="472"/>
      <c r="Y278" s="472"/>
    </row>
    <row r="279" spans="1:25" s="428" customFormat="1" ht="9.1999999999999993" customHeight="1" x14ac:dyDescent="0.25">
      <c r="A279" s="431" t="s">
        <v>34</v>
      </c>
      <c r="B279" s="427">
        <f t="shared" si="22"/>
        <v>66419</v>
      </c>
      <c r="C279" s="427"/>
      <c r="D279" s="477">
        <v>24516</v>
      </c>
      <c r="E279" s="477">
        <v>28602</v>
      </c>
      <c r="F279" s="477">
        <v>6473</v>
      </c>
      <c r="G279" s="477">
        <v>6828</v>
      </c>
      <c r="I279" s="427">
        <f t="shared" si="23"/>
        <v>283169</v>
      </c>
      <c r="J279" s="427"/>
      <c r="K279" s="427">
        <v>39862</v>
      </c>
      <c r="L279" s="427">
        <v>96506</v>
      </c>
      <c r="M279" s="427">
        <v>132470</v>
      </c>
      <c r="N279" s="427">
        <v>14331</v>
      </c>
      <c r="O279" s="427"/>
      <c r="P279" s="427">
        <f t="shared" si="24"/>
        <v>8959</v>
      </c>
      <c r="Q279" s="427"/>
      <c r="R279" s="427">
        <v>744</v>
      </c>
      <c r="S279" s="427">
        <v>8215</v>
      </c>
      <c r="U279" s="472"/>
      <c r="V279" s="472"/>
      <c r="W279" s="472"/>
      <c r="X279" s="472"/>
      <c r="Y279" s="472"/>
    </row>
    <row r="280" spans="1:25" s="428" customFormat="1" ht="9.1999999999999993" customHeight="1" x14ac:dyDescent="0.25">
      <c r="A280" s="431" t="s">
        <v>35</v>
      </c>
      <c r="B280" s="427">
        <f t="shared" si="22"/>
        <v>103622</v>
      </c>
      <c r="C280" s="427"/>
      <c r="D280" s="477">
        <v>33832</v>
      </c>
      <c r="E280" s="477">
        <v>33898</v>
      </c>
      <c r="F280" s="477">
        <v>19329</v>
      </c>
      <c r="G280" s="477">
        <v>16563</v>
      </c>
      <c r="I280" s="427">
        <f t="shared" si="23"/>
        <v>486121</v>
      </c>
      <c r="J280" s="427"/>
      <c r="K280" s="427">
        <v>73580</v>
      </c>
      <c r="L280" s="427">
        <v>108388</v>
      </c>
      <c r="M280" s="427">
        <v>258486</v>
      </c>
      <c r="N280" s="427">
        <v>45667</v>
      </c>
      <c r="O280" s="427"/>
      <c r="P280" s="427">
        <f t="shared" si="24"/>
        <v>20739</v>
      </c>
      <c r="Q280" s="427"/>
      <c r="R280" s="427">
        <v>2439</v>
      </c>
      <c r="S280" s="427">
        <v>18300</v>
      </c>
      <c r="U280" s="472"/>
      <c r="V280" s="472"/>
      <c r="W280" s="472"/>
      <c r="X280" s="472"/>
      <c r="Y280" s="472"/>
    </row>
    <row r="281" spans="1:25" s="428" customFormat="1" ht="9.1999999999999993" customHeight="1" x14ac:dyDescent="0.25">
      <c r="A281" s="431" t="s">
        <v>36</v>
      </c>
      <c r="B281" s="427">
        <f t="shared" si="22"/>
        <v>220312</v>
      </c>
      <c r="C281" s="427"/>
      <c r="D281" s="477">
        <v>66708</v>
      </c>
      <c r="E281" s="477">
        <v>91218</v>
      </c>
      <c r="F281" s="477">
        <v>23740</v>
      </c>
      <c r="G281" s="477">
        <v>38646</v>
      </c>
      <c r="I281" s="427">
        <f t="shared" si="23"/>
        <v>1158242</v>
      </c>
      <c r="J281" s="427"/>
      <c r="K281" s="427">
        <v>207210</v>
      </c>
      <c r="L281" s="427">
        <v>377136</v>
      </c>
      <c r="M281" s="427">
        <v>451068</v>
      </c>
      <c r="N281" s="427">
        <v>122828</v>
      </c>
      <c r="O281" s="427"/>
      <c r="P281" s="427">
        <f t="shared" si="24"/>
        <v>27408</v>
      </c>
      <c r="Q281" s="427"/>
      <c r="R281" s="427">
        <v>4260</v>
      </c>
      <c r="S281" s="427">
        <v>23148</v>
      </c>
      <c r="U281" s="472"/>
      <c r="V281" s="472"/>
      <c r="W281" s="472"/>
      <c r="X281" s="472"/>
      <c r="Y281" s="472"/>
    </row>
    <row r="282" spans="1:25" s="428" customFormat="1" ht="9.1999999999999993" customHeight="1" x14ac:dyDescent="0.25">
      <c r="A282" s="433" t="s">
        <v>37</v>
      </c>
      <c r="B282" s="434">
        <f t="shared" si="22"/>
        <v>108198</v>
      </c>
      <c r="C282" s="434"/>
      <c r="D282" s="479">
        <v>43450</v>
      </c>
      <c r="E282" s="479">
        <v>41744</v>
      </c>
      <c r="F282" s="479">
        <v>8503</v>
      </c>
      <c r="G282" s="479">
        <v>14501</v>
      </c>
      <c r="H282" s="475"/>
      <c r="I282" s="434">
        <f t="shared" si="23"/>
        <v>377761</v>
      </c>
      <c r="J282" s="434"/>
      <c r="K282" s="434">
        <v>68423</v>
      </c>
      <c r="L282" s="434">
        <v>135852</v>
      </c>
      <c r="M282" s="434">
        <v>155257</v>
      </c>
      <c r="N282" s="434">
        <v>18229</v>
      </c>
      <c r="O282" s="434"/>
      <c r="P282" s="434">
        <f t="shared" si="24"/>
        <v>11336</v>
      </c>
      <c r="Q282" s="434"/>
      <c r="R282" s="434">
        <v>776</v>
      </c>
      <c r="S282" s="434">
        <v>10560</v>
      </c>
      <c r="U282" s="472"/>
      <c r="V282" s="472"/>
      <c r="W282" s="472"/>
      <c r="X282" s="472"/>
      <c r="Y282" s="472"/>
    </row>
    <row r="283" spans="1:25" s="428" customFormat="1" ht="9.1999999999999993" customHeight="1" x14ac:dyDescent="0.25">
      <c r="A283" s="431" t="s">
        <v>38</v>
      </c>
      <c r="B283" s="427">
        <f t="shared" si="22"/>
        <v>31081</v>
      </c>
      <c r="C283" s="427"/>
      <c r="D283" s="477">
        <v>9744</v>
      </c>
      <c r="E283" s="477">
        <v>11190</v>
      </c>
      <c r="F283" s="477">
        <v>4897</v>
      </c>
      <c r="G283" s="477">
        <v>5250</v>
      </c>
      <c r="I283" s="427">
        <f t="shared" si="23"/>
        <v>148102</v>
      </c>
      <c r="J283" s="427"/>
      <c r="K283" s="427">
        <v>25036</v>
      </c>
      <c r="L283" s="427">
        <v>33453</v>
      </c>
      <c r="M283" s="427">
        <v>79950</v>
      </c>
      <c r="N283" s="427">
        <v>9663</v>
      </c>
      <c r="O283" s="427"/>
      <c r="P283" s="427">
        <f t="shared" si="24"/>
        <v>5122</v>
      </c>
      <c r="Q283" s="427"/>
      <c r="R283" s="427">
        <v>378</v>
      </c>
      <c r="S283" s="427">
        <v>4744</v>
      </c>
      <c r="U283" s="472"/>
      <c r="V283" s="472"/>
      <c r="W283" s="472"/>
      <c r="X283" s="472"/>
      <c r="Y283" s="472"/>
    </row>
    <row r="284" spans="1:25" s="428" customFormat="1" ht="9.1999999999999993" customHeight="1" x14ac:dyDescent="0.25">
      <c r="A284" s="431" t="s">
        <v>39</v>
      </c>
      <c r="B284" s="427">
        <f t="shared" si="22"/>
        <v>27783</v>
      </c>
      <c r="C284" s="427"/>
      <c r="D284" s="477">
        <v>14232</v>
      </c>
      <c r="E284" s="477">
        <v>7920</v>
      </c>
      <c r="F284" s="477">
        <v>3165</v>
      </c>
      <c r="G284" s="477">
        <v>2466</v>
      </c>
      <c r="I284" s="427">
        <f t="shared" si="23"/>
        <v>115751</v>
      </c>
      <c r="J284" s="427"/>
      <c r="K284" s="427">
        <v>26461</v>
      </c>
      <c r="L284" s="427">
        <v>30990</v>
      </c>
      <c r="M284" s="427">
        <v>53021</v>
      </c>
      <c r="N284" s="427">
        <v>5279</v>
      </c>
      <c r="O284" s="427"/>
      <c r="P284" s="427">
        <f t="shared" si="24"/>
        <v>3789</v>
      </c>
      <c r="Q284" s="427"/>
      <c r="R284" s="427">
        <v>196</v>
      </c>
      <c r="S284" s="427">
        <v>3593</v>
      </c>
      <c r="U284" s="472"/>
      <c r="V284" s="472"/>
      <c r="W284" s="472"/>
      <c r="X284" s="472"/>
      <c r="Y284" s="472"/>
    </row>
    <row r="285" spans="1:25" s="428" customFormat="1" ht="9.1999999999999993" customHeight="1" x14ac:dyDescent="0.25">
      <c r="A285" s="431" t="s">
        <v>40</v>
      </c>
      <c r="B285" s="427">
        <f t="shared" si="22"/>
        <v>106435</v>
      </c>
      <c r="C285" s="427"/>
      <c r="D285" s="477">
        <v>30287</v>
      </c>
      <c r="E285" s="477">
        <v>57088</v>
      </c>
      <c r="F285" s="477">
        <v>13110</v>
      </c>
      <c r="G285" s="477">
        <v>5950</v>
      </c>
      <c r="I285" s="427">
        <f t="shared" si="23"/>
        <v>407732</v>
      </c>
      <c r="J285" s="427"/>
      <c r="K285" s="427">
        <v>41154</v>
      </c>
      <c r="L285" s="427">
        <v>156486</v>
      </c>
      <c r="M285" s="427">
        <v>198074</v>
      </c>
      <c r="N285" s="427">
        <v>12018</v>
      </c>
      <c r="O285" s="427"/>
      <c r="P285" s="427">
        <f t="shared" si="24"/>
        <v>13543</v>
      </c>
      <c r="Q285" s="427"/>
      <c r="R285" s="427">
        <v>1536</v>
      </c>
      <c r="S285" s="427">
        <v>12007</v>
      </c>
      <c r="U285" s="472"/>
      <c r="V285" s="472"/>
      <c r="W285" s="472"/>
      <c r="X285" s="472"/>
      <c r="Y285" s="472"/>
    </row>
    <row r="286" spans="1:25" s="428" customFormat="1" ht="9.1999999999999993" customHeight="1" x14ac:dyDescent="0.25">
      <c r="A286" s="433" t="s">
        <v>41</v>
      </c>
      <c r="B286" s="434">
        <f t="shared" si="22"/>
        <v>79746</v>
      </c>
      <c r="C286" s="434"/>
      <c r="D286" s="479">
        <v>32947</v>
      </c>
      <c r="E286" s="479">
        <v>32794</v>
      </c>
      <c r="F286" s="479">
        <v>9105</v>
      </c>
      <c r="G286" s="479">
        <v>4900</v>
      </c>
      <c r="H286" s="475"/>
      <c r="I286" s="434">
        <f t="shared" si="23"/>
        <v>359012</v>
      </c>
      <c r="J286" s="434"/>
      <c r="K286" s="434">
        <v>57350</v>
      </c>
      <c r="L286" s="434">
        <v>113461</v>
      </c>
      <c r="M286" s="434">
        <v>175241</v>
      </c>
      <c r="N286" s="434">
        <v>12960</v>
      </c>
      <c r="O286" s="434"/>
      <c r="P286" s="434">
        <f t="shared" si="24"/>
        <v>11159</v>
      </c>
      <c r="Q286" s="434"/>
      <c r="R286" s="434">
        <v>404</v>
      </c>
      <c r="S286" s="434">
        <v>10755</v>
      </c>
      <c r="U286" s="472"/>
      <c r="V286" s="472"/>
      <c r="W286" s="472"/>
      <c r="X286" s="472"/>
      <c r="Y286" s="472"/>
    </row>
    <row r="287" spans="1:25" s="428" customFormat="1" ht="9.1999999999999993" customHeight="1" x14ac:dyDescent="0.25">
      <c r="A287" s="431" t="s">
        <v>42</v>
      </c>
      <c r="B287" s="427">
        <f t="shared" si="22"/>
        <v>125313</v>
      </c>
      <c r="C287" s="427"/>
      <c r="D287" s="477">
        <v>46101</v>
      </c>
      <c r="E287" s="477">
        <v>52229</v>
      </c>
      <c r="F287" s="477">
        <v>16170</v>
      </c>
      <c r="G287" s="477">
        <v>10813</v>
      </c>
      <c r="I287" s="427">
        <f t="shared" si="23"/>
        <v>498121</v>
      </c>
      <c r="J287" s="427"/>
      <c r="K287" s="427">
        <v>78339</v>
      </c>
      <c r="L287" s="427">
        <v>181935</v>
      </c>
      <c r="M287" s="427">
        <v>207607</v>
      </c>
      <c r="N287" s="427">
        <v>30240</v>
      </c>
      <c r="O287" s="427"/>
      <c r="P287" s="427">
        <f t="shared" si="24"/>
        <v>16595</v>
      </c>
      <c r="Q287" s="427"/>
      <c r="R287" s="427">
        <v>1536</v>
      </c>
      <c r="S287" s="427">
        <v>15059</v>
      </c>
      <c r="U287" s="472"/>
      <c r="V287" s="472"/>
      <c r="W287" s="472"/>
      <c r="X287" s="472"/>
      <c r="Y287" s="472"/>
    </row>
    <row r="288" spans="1:25" s="428" customFormat="1" ht="9.1999999999999993" customHeight="1" x14ac:dyDescent="0.25">
      <c r="A288" s="431" t="s">
        <v>43</v>
      </c>
      <c r="B288" s="427">
        <f t="shared" si="22"/>
        <v>37318</v>
      </c>
      <c r="C288" s="427"/>
      <c r="D288" s="477">
        <v>13435</v>
      </c>
      <c r="E288" s="477">
        <v>16431</v>
      </c>
      <c r="F288" s="477">
        <v>4474</v>
      </c>
      <c r="G288" s="477">
        <v>2978</v>
      </c>
      <c r="I288" s="427">
        <f t="shared" si="23"/>
        <v>146460</v>
      </c>
      <c r="J288" s="427"/>
      <c r="K288" s="427">
        <v>19768</v>
      </c>
      <c r="L288" s="427">
        <v>55542</v>
      </c>
      <c r="M288" s="427">
        <v>65094</v>
      </c>
      <c r="N288" s="427">
        <v>6056</v>
      </c>
      <c r="O288" s="427"/>
      <c r="P288" s="427">
        <f t="shared" si="24"/>
        <v>5940</v>
      </c>
      <c r="Q288" s="427"/>
      <c r="R288" s="427">
        <v>688</v>
      </c>
      <c r="S288" s="427">
        <v>5252</v>
      </c>
      <c r="U288" s="472"/>
      <c r="V288" s="472"/>
      <c r="W288" s="472"/>
      <c r="X288" s="472"/>
      <c r="Y288" s="472"/>
    </row>
    <row r="289" spans="1:256" s="428" customFormat="1" ht="9.1999999999999993" customHeight="1" x14ac:dyDescent="0.25">
      <c r="A289" s="431" t="s">
        <v>44</v>
      </c>
      <c r="B289" s="427">
        <f t="shared" si="22"/>
        <v>22912</v>
      </c>
      <c r="C289" s="427"/>
      <c r="D289" s="477">
        <v>9033</v>
      </c>
      <c r="E289" s="477">
        <v>7228</v>
      </c>
      <c r="F289" s="477">
        <v>4564</v>
      </c>
      <c r="G289" s="477">
        <v>2087</v>
      </c>
      <c r="I289" s="427">
        <f t="shared" si="23"/>
        <v>88354</v>
      </c>
      <c r="J289" s="427"/>
      <c r="K289" s="427">
        <v>17504</v>
      </c>
      <c r="L289" s="427">
        <v>24011</v>
      </c>
      <c r="M289" s="427">
        <v>43642</v>
      </c>
      <c r="N289" s="427">
        <v>3197</v>
      </c>
      <c r="O289" s="427"/>
      <c r="P289" s="427">
        <f t="shared" si="24"/>
        <v>5189</v>
      </c>
      <c r="Q289" s="427"/>
      <c r="R289" s="427">
        <v>613</v>
      </c>
      <c r="S289" s="427">
        <v>4576</v>
      </c>
      <c r="U289" s="472"/>
      <c r="V289" s="472"/>
      <c r="W289" s="472"/>
      <c r="X289" s="472"/>
      <c r="Y289" s="472"/>
    </row>
    <row r="290" spans="1:256" s="428" customFormat="1" ht="9.1999999999999993" customHeight="1" x14ac:dyDescent="0.25">
      <c r="A290" s="433" t="s">
        <v>45</v>
      </c>
      <c r="B290" s="434">
        <f t="shared" si="22"/>
        <v>61248</v>
      </c>
      <c r="C290" s="434"/>
      <c r="D290" s="479">
        <v>23229</v>
      </c>
      <c r="E290" s="479">
        <v>28802</v>
      </c>
      <c r="F290" s="479">
        <v>5782</v>
      </c>
      <c r="G290" s="479">
        <v>3435</v>
      </c>
      <c r="H290" s="475"/>
      <c r="I290" s="434">
        <f t="shared" si="23"/>
        <v>225072</v>
      </c>
      <c r="J290" s="434"/>
      <c r="K290" s="434">
        <v>40976</v>
      </c>
      <c r="L290" s="434">
        <v>90015</v>
      </c>
      <c r="M290" s="434">
        <v>85538</v>
      </c>
      <c r="N290" s="434">
        <v>8543</v>
      </c>
      <c r="O290" s="434"/>
      <c r="P290" s="434">
        <f t="shared" si="24"/>
        <v>7189</v>
      </c>
      <c r="Q290" s="434"/>
      <c r="R290" s="434">
        <v>600</v>
      </c>
      <c r="S290" s="434">
        <v>6589</v>
      </c>
      <c r="U290" s="472"/>
      <c r="V290" s="472"/>
      <c r="W290" s="472"/>
      <c r="X290" s="472"/>
      <c r="Y290" s="472"/>
    </row>
    <row r="291" spans="1:256" s="428" customFormat="1" ht="9.1999999999999993" customHeight="1" x14ac:dyDescent="0.25">
      <c r="A291" s="431" t="s">
        <v>46</v>
      </c>
      <c r="B291" s="427">
        <f t="shared" si="22"/>
        <v>71671</v>
      </c>
      <c r="C291" s="427"/>
      <c r="D291" s="477">
        <v>25732</v>
      </c>
      <c r="E291" s="477">
        <v>31444</v>
      </c>
      <c r="F291" s="477">
        <v>11146</v>
      </c>
      <c r="G291" s="477">
        <v>3349</v>
      </c>
      <c r="I291" s="427">
        <f t="shared" si="23"/>
        <v>298187</v>
      </c>
      <c r="J291" s="427"/>
      <c r="K291" s="427">
        <v>39643</v>
      </c>
      <c r="L291" s="427">
        <v>89746</v>
      </c>
      <c r="M291" s="427">
        <v>164653</v>
      </c>
      <c r="N291" s="427">
        <v>4145</v>
      </c>
      <c r="O291" s="427"/>
      <c r="P291" s="427">
        <f t="shared" si="24"/>
        <v>10917</v>
      </c>
      <c r="Q291" s="427"/>
      <c r="R291" s="427">
        <v>533</v>
      </c>
      <c r="S291" s="427">
        <v>10384</v>
      </c>
      <c r="U291" s="472"/>
      <c r="V291" s="472"/>
      <c r="W291" s="472"/>
      <c r="X291" s="472"/>
      <c r="Y291" s="472"/>
    </row>
    <row r="292" spans="1:256" s="428" customFormat="1" ht="9.1999999999999993" customHeight="1" x14ac:dyDescent="0.25">
      <c r="A292" s="431" t="s">
        <v>47</v>
      </c>
      <c r="B292" s="427">
        <f t="shared" si="22"/>
        <v>55376</v>
      </c>
      <c r="C292" s="427"/>
      <c r="D292" s="477">
        <v>22103</v>
      </c>
      <c r="E292" s="477">
        <v>19962</v>
      </c>
      <c r="F292" s="477">
        <v>7532</v>
      </c>
      <c r="G292" s="477">
        <v>5779</v>
      </c>
      <c r="I292" s="427">
        <f t="shared" si="23"/>
        <v>222636</v>
      </c>
      <c r="J292" s="427"/>
      <c r="K292" s="427">
        <v>35948</v>
      </c>
      <c r="L292" s="427">
        <v>63692</v>
      </c>
      <c r="M292" s="427">
        <v>110271</v>
      </c>
      <c r="N292" s="427">
        <v>12725</v>
      </c>
      <c r="O292" s="427"/>
      <c r="P292" s="427">
        <f t="shared" si="24"/>
        <v>9532</v>
      </c>
      <c r="Q292" s="427"/>
      <c r="R292" s="427">
        <v>1014</v>
      </c>
      <c r="S292" s="427">
        <v>8518</v>
      </c>
      <c r="U292" s="472"/>
      <c r="V292" s="472"/>
      <c r="W292" s="472"/>
      <c r="X292" s="472"/>
      <c r="Y292" s="472"/>
    </row>
    <row r="293" spans="1:256" s="428" customFormat="1" ht="9.1999999999999993" customHeight="1" x14ac:dyDescent="0.25">
      <c r="A293" s="431" t="s">
        <v>48</v>
      </c>
      <c r="B293" s="427">
        <f t="shared" si="22"/>
        <v>40428</v>
      </c>
      <c r="C293" s="427"/>
      <c r="D293" s="477">
        <v>22685</v>
      </c>
      <c r="E293" s="477">
        <v>7421</v>
      </c>
      <c r="F293" s="477">
        <v>5099</v>
      </c>
      <c r="G293" s="477">
        <v>5223</v>
      </c>
      <c r="I293" s="427">
        <f t="shared" si="23"/>
        <v>235677</v>
      </c>
      <c r="J293" s="427"/>
      <c r="K293" s="427">
        <v>58778</v>
      </c>
      <c r="L293" s="427">
        <v>28148</v>
      </c>
      <c r="M293" s="427">
        <v>128088</v>
      </c>
      <c r="N293" s="427">
        <v>20663</v>
      </c>
      <c r="O293" s="427"/>
      <c r="P293" s="427">
        <f t="shared" si="24"/>
        <v>8344</v>
      </c>
      <c r="Q293" s="427"/>
      <c r="R293" s="427">
        <v>381</v>
      </c>
      <c r="S293" s="427">
        <v>7963</v>
      </c>
      <c r="U293" s="472"/>
      <c r="V293" s="472"/>
      <c r="W293" s="472"/>
      <c r="X293" s="472"/>
      <c r="Y293" s="472"/>
    </row>
    <row r="294" spans="1:256" s="428" customFormat="1" ht="9.1999999999999993" customHeight="1" x14ac:dyDescent="0.25">
      <c r="A294" s="433" t="s">
        <v>49</v>
      </c>
      <c r="B294" s="434">
        <f t="shared" si="22"/>
        <v>74606</v>
      </c>
      <c r="C294" s="434"/>
      <c r="D294" s="479">
        <v>34838</v>
      </c>
      <c r="E294" s="479">
        <v>27401</v>
      </c>
      <c r="F294" s="479">
        <v>9165</v>
      </c>
      <c r="G294" s="479">
        <v>3202</v>
      </c>
      <c r="H294" s="475"/>
      <c r="I294" s="434">
        <f t="shared" si="23"/>
        <v>283867</v>
      </c>
      <c r="J294" s="434"/>
      <c r="K294" s="434">
        <v>52096</v>
      </c>
      <c r="L294" s="434">
        <v>78983</v>
      </c>
      <c r="M294" s="434">
        <v>146983</v>
      </c>
      <c r="N294" s="434">
        <v>5805</v>
      </c>
      <c r="O294" s="434"/>
      <c r="P294" s="434">
        <f t="shared" si="24"/>
        <v>11868</v>
      </c>
      <c r="Q294" s="434"/>
      <c r="R294" s="434">
        <v>800</v>
      </c>
      <c r="S294" s="434">
        <v>11068</v>
      </c>
      <c r="U294" s="472"/>
      <c r="V294" s="472"/>
      <c r="W294" s="472"/>
      <c r="X294" s="472"/>
      <c r="Y294" s="472"/>
    </row>
    <row r="295" spans="1:256" s="428" customFormat="1" ht="9.1999999999999993" customHeight="1" x14ac:dyDescent="0.25">
      <c r="A295" s="431" t="s">
        <v>50</v>
      </c>
      <c r="B295" s="427">
        <f t="shared" si="22"/>
        <v>21055</v>
      </c>
      <c r="C295" s="427"/>
      <c r="D295" s="477">
        <v>7518</v>
      </c>
      <c r="E295" s="477">
        <v>8281</v>
      </c>
      <c r="F295" s="477">
        <v>1967</v>
      </c>
      <c r="G295" s="477">
        <v>3289</v>
      </c>
      <c r="I295" s="427">
        <f t="shared" si="23"/>
        <v>99022</v>
      </c>
      <c r="J295" s="427"/>
      <c r="K295" s="427">
        <v>15108</v>
      </c>
      <c r="L295" s="427">
        <v>31974</v>
      </c>
      <c r="M295" s="427">
        <v>44568</v>
      </c>
      <c r="N295" s="427">
        <v>7372</v>
      </c>
      <c r="O295" s="427"/>
      <c r="P295" s="427">
        <f t="shared" si="24"/>
        <v>3918</v>
      </c>
      <c r="Q295" s="427"/>
      <c r="R295" s="427">
        <v>202</v>
      </c>
      <c r="S295" s="427">
        <v>3716</v>
      </c>
      <c r="U295" s="472"/>
      <c r="V295" s="472"/>
      <c r="W295" s="472"/>
      <c r="X295" s="472"/>
      <c r="Y295" s="472"/>
    </row>
    <row r="296" spans="1:256" s="428" customFormat="1" ht="9.1999999999999993" customHeight="1" x14ac:dyDescent="0.25">
      <c r="A296" s="428" t="s">
        <v>51</v>
      </c>
      <c r="B296" s="427">
        <f t="shared" si="22"/>
        <v>159148</v>
      </c>
      <c r="C296" s="427"/>
      <c r="D296" s="477">
        <v>62791</v>
      </c>
      <c r="E296" s="477">
        <v>64450</v>
      </c>
      <c r="F296" s="477">
        <v>21137</v>
      </c>
      <c r="G296" s="477">
        <v>10770</v>
      </c>
      <c r="I296" s="427">
        <f t="shared" si="23"/>
        <v>827918</v>
      </c>
      <c r="J296" s="427"/>
      <c r="K296" s="427">
        <v>110543</v>
      </c>
      <c r="L296" s="427">
        <v>233316</v>
      </c>
      <c r="M296" s="427">
        <v>452629</v>
      </c>
      <c r="N296" s="427">
        <v>31430</v>
      </c>
      <c r="O296" s="427"/>
      <c r="P296" s="427">
        <f t="shared" si="24"/>
        <v>28232</v>
      </c>
      <c r="Q296" s="427"/>
      <c r="R296" s="427">
        <v>1210</v>
      </c>
      <c r="S296" s="427">
        <v>27022</v>
      </c>
      <c r="U296" s="472"/>
      <c r="V296" s="472"/>
      <c r="W296" s="472"/>
      <c r="X296" s="472"/>
      <c r="Y296" s="472"/>
    </row>
    <row r="297" spans="1:256" s="428" customFormat="1" ht="9.1999999999999993" customHeight="1" x14ac:dyDescent="0.25">
      <c r="A297" s="428" t="s">
        <v>52</v>
      </c>
      <c r="B297" s="427">
        <f t="shared" si="22"/>
        <v>37785</v>
      </c>
      <c r="C297" s="427"/>
      <c r="D297" s="477">
        <v>18054</v>
      </c>
      <c r="E297" s="477">
        <v>10985</v>
      </c>
      <c r="F297" s="477">
        <v>7051</v>
      </c>
      <c r="G297" s="477">
        <v>1695</v>
      </c>
      <c r="I297" s="427">
        <f t="shared" si="23"/>
        <v>169097</v>
      </c>
      <c r="J297" s="427"/>
      <c r="K297" s="427">
        <v>39434</v>
      </c>
      <c r="L297" s="427">
        <v>39207</v>
      </c>
      <c r="M297" s="427">
        <v>86090</v>
      </c>
      <c r="N297" s="427">
        <v>4366</v>
      </c>
      <c r="O297" s="427"/>
      <c r="P297" s="427">
        <f t="shared" si="24"/>
        <v>7342</v>
      </c>
      <c r="Q297" s="427"/>
      <c r="R297" s="427">
        <v>672</v>
      </c>
      <c r="S297" s="427">
        <v>6670</v>
      </c>
      <c r="U297" s="472"/>
      <c r="V297" s="472"/>
      <c r="W297" s="472"/>
      <c r="X297" s="472"/>
      <c r="Y297" s="472"/>
    </row>
    <row r="298" spans="1:256" s="428" customFormat="1" ht="9.1999999999999993" customHeight="1" x14ac:dyDescent="0.25">
      <c r="A298" s="433" t="s">
        <v>53</v>
      </c>
      <c r="B298" s="434">
        <f t="shared" si="22"/>
        <v>50675</v>
      </c>
      <c r="C298" s="434"/>
      <c r="D298" s="479">
        <v>17512</v>
      </c>
      <c r="E298" s="479">
        <v>24515</v>
      </c>
      <c r="F298" s="479">
        <v>4552</v>
      </c>
      <c r="G298" s="479">
        <v>4096</v>
      </c>
      <c r="H298" s="475"/>
      <c r="I298" s="434">
        <f t="shared" si="23"/>
        <v>165613</v>
      </c>
      <c r="J298" s="434"/>
      <c r="K298" s="434">
        <v>25127</v>
      </c>
      <c r="L298" s="434">
        <v>68738</v>
      </c>
      <c r="M298" s="434">
        <v>62702</v>
      </c>
      <c r="N298" s="434">
        <v>9046</v>
      </c>
      <c r="O298" s="434"/>
      <c r="P298" s="434">
        <f t="shared" si="24"/>
        <v>4398</v>
      </c>
      <c r="Q298" s="434"/>
      <c r="R298" s="434">
        <v>287</v>
      </c>
      <c r="S298" s="434">
        <v>4111</v>
      </c>
      <c r="U298" s="472"/>
      <c r="V298" s="472"/>
      <c r="W298" s="472"/>
      <c r="X298" s="472"/>
      <c r="Y298" s="472"/>
    </row>
    <row r="299" spans="1:256" s="428" customFormat="1" ht="9" customHeight="1" x14ac:dyDescent="0.25">
      <c r="B299" s="427"/>
      <c r="C299" s="427"/>
      <c r="D299" s="477"/>
      <c r="E299" s="477"/>
      <c r="F299" s="477"/>
      <c r="G299" s="477"/>
      <c r="I299" s="427"/>
      <c r="J299" s="427"/>
      <c r="K299" s="427"/>
      <c r="L299" s="427"/>
      <c r="M299" s="427"/>
      <c r="N299" s="427"/>
      <c r="O299" s="427"/>
      <c r="P299" s="427"/>
      <c r="Q299" s="427"/>
      <c r="R299" s="427"/>
      <c r="S299" s="427"/>
      <c r="U299" s="472"/>
      <c r="V299" s="472"/>
      <c r="W299" s="472"/>
      <c r="X299" s="472"/>
      <c r="Y299" s="472"/>
    </row>
    <row r="300" spans="1:256" s="428" customFormat="1" ht="9" customHeight="1" x14ac:dyDescent="0.25">
      <c r="A300" s="441">
        <v>2003</v>
      </c>
      <c r="B300" s="427"/>
      <c r="C300" s="427"/>
      <c r="D300" s="476"/>
      <c r="E300" s="477"/>
      <c r="F300" s="477"/>
      <c r="G300" s="477"/>
      <c r="H300" s="477"/>
      <c r="I300" s="477"/>
      <c r="J300" s="477"/>
      <c r="K300" s="477"/>
      <c r="L300" s="477"/>
      <c r="M300" s="477"/>
      <c r="N300" s="477"/>
      <c r="O300" s="477"/>
      <c r="P300" s="477"/>
      <c r="Q300" s="477"/>
      <c r="R300" s="477"/>
      <c r="S300" s="477"/>
      <c r="U300" s="472"/>
      <c r="V300" s="472"/>
      <c r="W300" s="472"/>
      <c r="X300" s="472"/>
      <c r="Y300" s="472"/>
    </row>
    <row r="301" spans="1:256" s="428" customFormat="1" ht="9" customHeight="1" x14ac:dyDescent="0.25">
      <c r="A301" s="429" t="s">
        <v>341</v>
      </c>
      <c r="B301" s="476">
        <f>SUM(B303:B334)-17149</f>
        <v>2284249</v>
      </c>
      <c r="C301" s="476"/>
      <c r="D301" s="476">
        <f>SUM(D303:D334)-34</f>
        <v>853979</v>
      </c>
      <c r="E301" s="476">
        <f>SUM(E303:E334)-11</f>
        <v>845961</v>
      </c>
      <c r="F301" s="476">
        <f>SUM(F303:F334)-54</f>
        <v>291717</v>
      </c>
      <c r="G301" s="476">
        <f>SUM(G303:G334)-47</f>
        <v>309596</v>
      </c>
      <c r="H301" s="476"/>
      <c r="I301" s="430">
        <f>SUM(I303:I334)+348674</f>
        <v>10102671</v>
      </c>
      <c r="J301" s="430"/>
      <c r="K301" s="430">
        <f>SUM(K303:K334)+65046</f>
        <v>1625630</v>
      </c>
      <c r="L301" s="430">
        <f>SUM(L303:L334)+97597</f>
        <v>3108544</v>
      </c>
      <c r="M301" s="430">
        <f>SUM(M303:M334)+160517</f>
        <v>4849594</v>
      </c>
      <c r="N301" s="430">
        <f>SUM(N303:N334)+25514</f>
        <v>518903</v>
      </c>
      <c r="O301" s="482"/>
      <c r="P301" s="430">
        <f>SUM(P303:P334)-59</f>
        <v>356512</v>
      </c>
      <c r="Q301" s="430"/>
      <c r="R301" s="430">
        <f>SUM(R303:R334)-1</f>
        <v>30418</v>
      </c>
      <c r="S301" s="430">
        <f>SUM(S303:S334)-59</f>
        <v>326257</v>
      </c>
      <c r="T301" s="430">
        <f t="shared" ref="T301" si="25">SUM(T303:T334)-1</f>
        <v>-1</v>
      </c>
      <c r="U301" s="440"/>
      <c r="V301" s="440"/>
      <c r="W301" s="440"/>
      <c r="X301" s="440"/>
      <c r="Y301" s="440"/>
      <c r="Z301" s="430"/>
      <c r="AA301" s="430"/>
      <c r="AB301" s="430"/>
      <c r="AC301" s="430"/>
      <c r="AD301" s="430"/>
      <c r="AE301" s="430"/>
      <c r="AF301" s="430"/>
      <c r="AG301" s="430"/>
      <c r="AH301" s="430"/>
      <c r="AI301" s="430"/>
      <c r="AJ301" s="430"/>
      <c r="AK301" s="430"/>
      <c r="AL301" s="430"/>
      <c r="AM301" s="430"/>
      <c r="AN301" s="430"/>
      <c r="AO301" s="430"/>
      <c r="AP301" s="430"/>
      <c r="AQ301" s="430"/>
      <c r="AR301" s="430"/>
      <c r="AS301" s="430"/>
      <c r="AT301" s="430"/>
      <c r="AU301" s="430"/>
      <c r="AV301" s="430"/>
      <c r="AW301" s="430"/>
      <c r="AX301" s="430"/>
      <c r="AY301" s="430"/>
      <c r="AZ301" s="430"/>
      <c r="BA301" s="430"/>
      <c r="BB301" s="430"/>
      <c r="BC301" s="430"/>
      <c r="BD301" s="430"/>
      <c r="BE301" s="430"/>
      <c r="BF301" s="430"/>
      <c r="BG301" s="430"/>
      <c r="BH301" s="430"/>
      <c r="BI301" s="430"/>
      <c r="BJ301" s="430"/>
      <c r="BK301" s="430"/>
      <c r="BL301" s="430"/>
      <c r="BM301" s="430"/>
      <c r="BN301" s="430"/>
      <c r="BO301" s="430"/>
      <c r="BP301" s="430"/>
      <c r="BQ301" s="430"/>
      <c r="BR301" s="430"/>
      <c r="BS301" s="430"/>
      <c r="BT301" s="430"/>
      <c r="BU301" s="430"/>
      <c r="BV301" s="430"/>
      <c r="BW301" s="430"/>
      <c r="BX301" s="430"/>
      <c r="BY301" s="430"/>
      <c r="BZ301" s="430"/>
      <c r="CA301" s="430"/>
      <c r="CB301" s="430"/>
      <c r="CC301" s="430"/>
      <c r="CD301" s="430"/>
      <c r="CE301" s="430"/>
      <c r="CF301" s="430"/>
      <c r="CG301" s="430"/>
      <c r="CH301" s="430"/>
      <c r="CI301" s="430"/>
      <c r="CJ301" s="430"/>
      <c r="CK301" s="430"/>
      <c r="CL301" s="430"/>
      <c r="CM301" s="430"/>
      <c r="CN301" s="430"/>
      <c r="CO301" s="430"/>
      <c r="CP301" s="430"/>
      <c r="CQ301" s="430"/>
      <c r="CR301" s="430"/>
      <c r="CS301" s="430"/>
      <c r="CT301" s="430"/>
      <c r="CU301" s="430"/>
      <c r="CV301" s="430"/>
      <c r="CW301" s="430"/>
      <c r="CX301" s="430"/>
      <c r="CY301" s="430"/>
      <c r="CZ301" s="430"/>
      <c r="DA301" s="430"/>
      <c r="DB301" s="430"/>
      <c r="DC301" s="430"/>
      <c r="DD301" s="430"/>
      <c r="DE301" s="430"/>
      <c r="DF301" s="430"/>
      <c r="DG301" s="430"/>
      <c r="DH301" s="430"/>
      <c r="DI301" s="430"/>
      <c r="DJ301" s="430"/>
      <c r="DK301" s="430"/>
      <c r="DL301" s="430"/>
      <c r="DM301" s="430"/>
      <c r="DN301" s="430"/>
      <c r="DO301" s="430"/>
      <c r="DP301" s="430"/>
      <c r="DQ301" s="430"/>
      <c r="DR301" s="430"/>
      <c r="DS301" s="430"/>
      <c r="DT301" s="430"/>
      <c r="DU301" s="430"/>
      <c r="DV301" s="430"/>
      <c r="DW301" s="430"/>
      <c r="DX301" s="430"/>
      <c r="DY301" s="430"/>
      <c r="DZ301" s="430"/>
      <c r="EA301" s="430"/>
      <c r="EB301" s="430"/>
      <c r="EC301" s="430"/>
      <c r="ED301" s="430"/>
      <c r="EE301" s="430"/>
      <c r="EF301" s="430"/>
      <c r="EG301" s="430"/>
      <c r="EH301" s="430"/>
      <c r="EI301" s="430"/>
      <c r="EJ301" s="430"/>
      <c r="EK301" s="430"/>
      <c r="EL301" s="430"/>
      <c r="EM301" s="430"/>
      <c r="EN301" s="430"/>
      <c r="EO301" s="430"/>
      <c r="EP301" s="430"/>
      <c r="EQ301" s="430"/>
      <c r="ER301" s="430"/>
      <c r="ES301" s="430"/>
      <c r="ET301" s="430"/>
      <c r="EU301" s="430"/>
      <c r="EV301" s="430"/>
      <c r="EW301" s="430"/>
      <c r="EX301" s="430"/>
      <c r="EY301" s="430"/>
      <c r="EZ301" s="430"/>
      <c r="FA301" s="430"/>
      <c r="FB301" s="430"/>
      <c r="FC301" s="430"/>
      <c r="FD301" s="430"/>
      <c r="FE301" s="430"/>
      <c r="FF301" s="430"/>
      <c r="FG301" s="430"/>
      <c r="FH301" s="430"/>
      <c r="FI301" s="430"/>
      <c r="FJ301" s="430"/>
      <c r="FK301" s="430"/>
      <c r="FL301" s="430"/>
      <c r="FM301" s="430"/>
      <c r="FN301" s="430"/>
      <c r="FO301" s="430"/>
      <c r="FP301" s="430"/>
      <c r="FQ301" s="430"/>
      <c r="FR301" s="430"/>
      <c r="FS301" s="430"/>
      <c r="FT301" s="430"/>
      <c r="FU301" s="430"/>
      <c r="FV301" s="430"/>
      <c r="FW301" s="430"/>
      <c r="FX301" s="430"/>
      <c r="FY301" s="430"/>
      <c r="FZ301" s="430"/>
      <c r="GA301" s="430"/>
      <c r="GB301" s="430"/>
      <c r="GC301" s="430"/>
      <c r="GD301" s="430"/>
      <c r="GE301" s="430"/>
      <c r="GF301" s="430"/>
      <c r="GG301" s="430"/>
      <c r="GH301" s="430"/>
      <c r="GI301" s="430"/>
      <c r="GJ301" s="430"/>
      <c r="GK301" s="430"/>
      <c r="GL301" s="430"/>
      <c r="GM301" s="430"/>
      <c r="GN301" s="430"/>
      <c r="GO301" s="430"/>
      <c r="GP301" s="430"/>
      <c r="GQ301" s="430"/>
      <c r="GR301" s="430"/>
      <c r="GS301" s="430"/>
      <c r="GT301" s="430"/>
      <c r="GU301" s="430"/>
      <c r="GV301" s="430"/>
      <c r="GW301" s="430"/>
      <c r="GX301" s="430"/>
      <c r="GY301" s="430"/>
      <c r="GZ301" s="430"/>
      <c r="HA301" s="430"/>
      <c r="HB301" s="430"/>
      <c r="HC301" s="430"/>
      <c r="HD301" s="430"/>
      <c r="HE301" s="430"/>
      <c r="HF301" s="430"/>
      <c r="HG301" s="430"/>
      <c r="HH301" s="430"/>
      <c r="HI301" s="430"/>
      <c r="HJ301" s="430"/>
      <c r="HK301" s="430"/>
      <c r="HL301" s="430"/>
      <c r="HM301" s="430"/>
      <c r="HN301" s="430"/>
      <c r="HO301" s="430"/>
      <c r="HP301" s="430"/>
      <c r="HQ301" s="430"/>
      <c r="HR301" s="430"/>
      <c r="HS301" s="430"/>
      <c r="HT301" s="430"/>
      <c r="HU301" s="430"/>
      <c r="HV301" s="430"/>
      <c r="HW301" s="430"/>
      <c r="HX301" s="430"/>
      <c r="HY301" s="430"/>
      <c r="HZ301" s="430"/>
      <c r="IA301" s="430"/>
      <c r="IB301" s="430"/>
      <c r="IC301" s="430"/>
      <c r="ID301" s="430"/>
      <c r="IE301" s="430"/>
      <c r="IF301" s="430"/>
      <c r="IG301" s="430"/>
      <c r="IH301" s="430"/>
      <c r="II301" s="430"/>
      <c r="IJ301" s="430"/>
      <c r="IK301" s="430"/>
      <c r="IL301" s="430"/>
      <c r="IM301" s="430"/>
      <c r="IN301" s="430"/>
      <c r="IO301" s="430"/>
      <c r="IP301" s="430"/>
      <c r="IQ301" s="430"/>
      <c r="IR301" s="430"/>
      <c r="IS301" s="430"/>
      <c r="IT301" s="430"/>
      <c r="IU301" s="430"/>
      <c r="IV301" s="430"/>
    </row>
    <row r="302" spans="1:256" s="428" customFormat="1" ht="3.95" customHeight="1" x14ac:dyDescent="0.25">
      <c r="A302" s="429"/>
      <c r="B302" s="476"/>
      <c r="C302" s="476"/>
      <c r="D302" s="476"/>
      <c r="E302" s="476"/>
      <c r="F302" s="476"/>
      <c r="G302" s="476"/>
      <c r="H302" s="476"/>
      <c r="I302" s="430"/>
      <c r="J302" s="430"/>
      <c r="K302" s="430"/>
      <c r="L302" s="430"/>
      <c r="M302" s="430"/>
      <c r="N302" s="430"/>
      <c r="O302" s="430"/>
      <c r="P302" s="430"/>
      <c r="Q302" s="430"/>
      <c r="R302" s="430"/>
      <c r="S302" s="430"/>
      <c r="U302" s="472"/>
      <c r="V302" s="472"/>
      <c r="W302" s="472"/>
      <c r="X302" s="472"/>
      <c r="Y302" s="472"/>
    </row>
    <row r="303" spans="1:256" s="428" customFormat="1" ht="9.1999999999999993" customHeight="1" x14ac:dyDescent="0.25">
      <c r="A303" s="431" t="s">
        <v>23</v>
      </c>
      <c r="B303" s="427">
        <f t="shared" ref="B303:B312" si="26">SUM(D303:G303)</f>
        <v>26117</v>
      </c>
      <c r="C303" s="427"/>
      <c r="D303" s="477">
        <v>11914</v>
      </c>
      <c r="E303" s="477">
        <v>7872</v>
      </c>
      <c r="F303" s="477">
        <v>3387</v>
      </c>
      <c r="G303" s="477">
        <v>2944</v>
      </c>
      <c r="I303" s="427">
        <f t="shared" ref="I303:I334" si="27">SUM(K303:O303)</f>
        <v>97367</v>
      </c>
      <c r="J303" s="427"/>
      <c r="K303" s="427">
        <v>15130</v>
      </c>
      <c r="L303" s="427">
        <v>34532</v>
      </c>
      <c r="M303" s="427">
        <v>40774</v>
      </c>
      <c r="N303" s="427">
        <v>6931</v>
      </c>
      <c r="O303" s="427"/>
      <c r="P303" s="427">
        <f t="shared" ref="P303:P310" si="28">SUM(R303:S303)</f>
        <v>4086</v>
      </c>
      <c r="Q303" s="427"/>
      <c r="R303" s="427">
        <v>601</v>
      </c>
      <c r="S303" s="427">
        <v>3485</v>
      </c>
      <c r="U303" s="472"/>
      <c r="V303" s="472"/>
      <c r="W303" s="472"/>
      <c r="X303" s="472"/>
      <c r="Y303" s="472"/>
    </row>
    <row r="304" spans="1:256" s="428" customFormat="1" ht="9.1999999999999993" customHeight="1" x14ac:dyDescent="0.25">
      <c r="A304" s="431" t="s">
        <v>24</v>
      </c>
      <c r="B304" s="427">
        <f t="shared" si="26"/>
        <v>107362</v>
      </c>
      <c r="C304" s="427"/>
      <c r="D304" s="477">
        <v>70472</v>
      </c>
      <c r="E304" s="477">
        <v>20394</v>
      </c>
      <c r="F304" s="477">
        <v>10783</v>
      </c>
      <c r="G304" s="477">
        <v>5713</v>
      </c>
      <c r="I304" s="427">
        <f t="shared" si="27"/>
        <v>291987</v>
      </c>
      <c r="J304" s="427"/>
      <c r="K304" s="427">
        <v>80181</v>
      </c>
      <c r="L304" s="427">
        <v>87134</v>
      </c>
      <c r="M304" s="427">
        <v>120786</v>
      </c>
      <c r="N304" s="427">
        <v>3886</v>
      </c>
      <c r="O304" s="427"/>
      <c r="P304" s="427">
        <f t="shared" si="28"/>
        <v>11439</v>
      </c>
      <c r="Q304" s="427"/>
      <c r="R304" s="427">
        <v>1073</v>
      </c>
      <c r="S304" s="427">
        <v>10366</v>
      </c>
      <c r="U304" s="472"/>
      <c r="V304" s="472"/>
      <c r="W304" s="472"/>
      <c r="X304" s="472"/>
      <c r="Y304" s="472"/>
    </row>
    <row r="305" spans="1:25" s="428" customFormat="1" ht="9.1999999999999993" customHeight="1" x14ac:dyDescent="0.25">
      <c r="A305" s="431" t="s">
        <v>25</v>
      </c>
      <c r="B305" s="427">
        <f t="shared" si="26"/>
        <v>12923</v>
      </c>
      <c r="C305" s="427"/>
      <c r="D305" s="477">
        <v>4878</v>
      </c>
      <c r="E305" s="477">
        <v>4443</v>
      </c>
      <c r="F305" s="477">
        <v>1876</v>
      </c>
      <c r="G305" s="477">
        <v>1726</v>
      </c>
      <c r="I305" s="427">
        <f t="shared" si="27"/>
        <v>57687</v>
      </c>
      <c r="J305" s="427"/>
      <c r="K305" s="427">
        <v>7097</v>
      </c>
      <c r="L305" s="427">
        <v>14087</v>
      </c>
      <c r="M305" s="427">
        <v>34307</v>
      </c>
      <c r="N305" s="427">
        <v>2196</v>
      </c>
      <c r="O305" s="427"/>
      <c r="P305" s="427">
        <f t="shared" si="28"/>
        <v>2471</v>
      </c>
      <c r="Q305" s="427"/>
      <c r="R305" s="427">
        <v>158</v>
      </c>
      <c r="S305" s="427">
        <v>2313</v>
      </c>
      <c r="U305" s="472"/>
      <c r="V305" s="472"/>
      <c r="W305" s="472"/>
      <c r="X305" s="472"/>
      <c r="Y305" s="472"/>
    </row>
    <row r="306" spans="1:25" s="428" customFormat="1" ht="9.1999999999999993" customHeight="1" x14ac:dyDescent="0.25">
      <c r="A306" s="433" t="s">
        <v>26</v>
      </c>
      <c r="B306" s="434">
        <f t="shared" si="26"/>
        <v>16250</v>
      </c>
      <c r="C306" s="434"/>
      <c r="D306" s="479">
        <v>6456</v>
      </c>
      <c r="E306" s="479">
        <v>5633</v>
      </c>
      <c r="F306" s="479">
        <v>1945</v>
      </c>
      <c r="G306" s="479">
        <v>2216</v>
      </c>
      <c r="H306" s="475"/>
      <c r="I306" s="434">
        <f t="shared" si="27"/>
        <v>75392</v>
      </c>
      <c r="J306" s="434"/>
      <c r="K306" s="434">
        <v>14220</v>
      </c>
      <c r="L306" s="434">
        <v>14896</v>
      </c>
      <c r="M306" s="434">
        <v>44383</v>
      </c>
      <c r="N306" s="434">
        <v>1893</v>
      </c>
      <c r="O306" s="434"/>
      <c r="P306" s="434">
        <f t="shared" si="28"/>
        <v>3399</v>
      </c>
      <c r="Q306" s="434"/>
      <c r="R306" s="434">
        <v>246</v>
      </c>
      <c r="S306" s="434">
        <v>3153</v>
      </c>
      <c r="U306" s="472"/>
      <c r="V306" s="472"/>
      <c r="W306" s="472"/>
      <c r="X306" s="472"/>
      <c r="Y306" s="472"/>
    </row>
    <row r="307" spans="1:25" s="428" customFormat="1" ht="9.1999999999999993" customHeight="1" x14ac:dyDescent="0.25">
      <c r="A307" s="431" t="s">
        <v>27</v>
      </c>
      <c r="B307" s="427">
        <f t="shared" si="26"/>
        <v>62583</v>
      </c>
      <c r="C307" s="427"/>
      <c r="D307" s="477">
        <v>21787</v>
      </c>
      <c r="E307" s="477">
        <v>25615</v>
      </c>
      <c r="F307" s="477">
        <v>10118</v>
      </c>
      <c r="G307" s="477">
        <v>5063</v>
      </c>
      <c r="I307" s="427">
        <f t="shared" si="27"/>
        <v>251010</v>
      </c>
      <c r="J307" s="427"/>
      <c r="K307" s="427">
        <v>31327</v>
      </c>
      <c r="L307" s="427">
        <v>73412</v>
      </c>
      <c r="M307" s="427">
        <v>141229</v>
      </c>
      <c r="N307" s="427">
        <v>5042</v>
      </c>
      <c r="O307" s="427"/>
      <c r="P307" s="427">
        <f t="shared" si="28"/>
        <v>10713</v>
      </c>
      <c r="Q307" s="427"/>
      <c r="R307" s="427">
        <v>852</v>
      </c>
      <c r="S307" s="427">
        <v>9861</v>
      </c>
      <c r="U307" s="472"/>
      <c r="V307" s="472"/>
      <c r="W307" s="472"/>
      <c r="X307" s="472"/>
      <c r="Y307" s="472"/>
    </row>
    <row r="308" spans="1:25" s="428" customFormat="1" ht="9.1999999999999993" customHeight="1" x14ac:dyDescent="0.25">
      <c r="A308" s="431" t="s">
        <v>28</v>
      </c>
      <c r="B308" s="427">
        <f t="shared" si="26"/>
        <v>17639</v>
      </c>
      <c r="C308" s="427"/>
      <c r="D308" s="477">
        <v>6648</v>
      </c>
      <c r="E308" s="477">
        <v>6657</v>
      </c>
      <c r="F308" s="477">
        <v>2514</v>
      </c>
      <c r="G308" s="477">
        <v>1820</v>
      </c>
      <c r="I308" s="427">
        <f t="shared" si="27"/>
        <v>75732</v>
      </c>
      <c r="J308" s="427"/>
      <c r="K308" s="427">
        <v>11446</v>
      </c>
      <c r="L308" s="427">
        <v>16046</v>
      </c>
      <c r="M308" s="427">
        <v>44856</v>
      </c>
      <c r="N308" s="427">
        <v>3384</v>
      </c>
      <c r="O308" s="427"/>
      <c r="P308" s="427">
        <f t="shared" si="28"/>
        <v>2450</v>
      </c>
      <c r="Q308" s="427"/>
      <c r="R308" s="427">
        <v>102</v>
      </c>
      <c r="S308" s="427">
        <v>2348</v>
      </c>
      <c r="U308" s="472"/>
      <c r="V308" s="472"/>
      <c r="W308" s="472"/>
      <c r="X308" s="472"/>
      <c r="Y308" s="472"/>
    </row>
    <row r="309" spans="1:25" s="428" customFormat="1" ht="9.1999999999999993" customHeight="1" x14ac:dyDescent="0.25">
      <c r="A309" s="431" t="s">
        <v>29</v>
      </c>
      <c r="B309" s="427">
        <f t="shared" si="26"/>
        <v>111337</v>
      </c>
      <c r="C309" s="427"/>
      <c r="D309" s="477">
        <v>44925</v>
      </c>
      <c r="E309" s="477">
        <v>35510</v>
      </c>
      <c r="F309" s="477">
        <v>11878</v>
      </c>
      <c r="G309" s="477">
        <v>19024</v>
      </c>
      <c r="I309" s="427">
        <f t="shared" si="27"/>
        <v>419379</v>
      </c>
      <c r="J309" s="427"/>
      <c r="K309" s="427">
        <v>83819</v>
      </c>
      <c r="L309" s="427">
        <v>123279</v>
      </c>
      <c r="M309" s="427">
        <v>196479</v>
      </c>
      <c r="N309" s="427">
        <v>15802</v>
      </c>
      <c r="O309" s="427"/>
      <c r="P309" s="427">
        <f t="shared" si="28"/>
        <v>14065</v>
      </c>
      <c r="Q309" s="427"/>
      <c r="R309" s="427">
        <v>317</v>
      </c>
      <c r="S309" s="427">
        <v>13748</v>
      </c>
      <c r="U309" s="472"/>
      <c r="V309" s="472"/>
      <c r="W309" s="472"/>
      <c r="X309" s="472"/>
      <c r="Y309" s="472"/>
    </row>
    <row r="310" spans="1:25" s="428" customFormat="1" ht="9.1999999999999993" customHeight="1" x14ac:dyDescent="0.25">
      <c r="A310" s="433" t="s">
        <v>30</v>
      </c>
      <c r="B310" s="434">
        <f t="shared" si="26"/>
        <v>87384</v>
      </c>
      <c r="C310" s="434"/>
      <c r="D310" s="479">
        <v>41114</v>
      </c>
      <c r="E310" s="479">
        <v>28803</v>
      </c>
      <c r="F310" s="479">
        <v>11466</v>
      </c>
      <c r="G310" s="479">
        <v>6001</v>
      </c>
      <c r="H310" s="475"/>
      <c r="I310" s="434">
        <f t="shared" si="27"/>
        <v>303113</v>
      </c>
      <c r="J310" s="434"/>
      <c r="K310" s="434">
        <v>29447</v>
      </c>
      <c r="L310" s="434">
        <v>127029</v>
      </c>
      <c r="M310" s="434">
        <v>141454</v>
      </c>
      <c r="N310" s="434">
        <v>5183</v>
      </c>
      <c r="O310" s="434"/>
      <c r="P310" s="434">
        <f t="shared" si="28"/>
        <v>12242</v>
      </c>
      <c r="Q310" s="434"/>
      <c r="R310" s="434">
        <v>2011</v>
      </c>
      <c r="S310" s="434">
        <v>10231</v>
      </c>
      <c r="U310" s="472"/>
      <c r="V310" s="472"/>
      <c r="W310" s="472"/>
      <c r="X310" s="472"/>
      <c r="Y310" s="472"/>
    </row>
    <row r="311" spans="1:25" s="428" customFormat="1" ht="9.1999999999999993" customHeight="1" x14ac:dyDescent="0.25">
      <c r="A311" s="431" t="s">
        <v>63</v>
      </c>
      <c r="B311" s="427">
        <f t="shared" si="26"/>
        <v>206938</v>
      </c>
      <c r="C311" s="427"/>
      <c r="D311" s="477">
        <v>37944</v>
      </c>
      <c r="E311" s="477">
        <v>89669</v>
      </c>
      <c r="F311" s="477">
        <v>33041</v>
      </c>
      <c r="G311" s="477">
        <v>46284</v>
      </c>
      <c r="I311" s="427">
        <f t="shared" si="27"/>
        <v>1023775</v>
      </c>
      <c r="J311" s="427"/>
      <c r="K311" s="427">
        <v>97301</v>
      </c>
      <c r="L311" s="427">
        <v>325144</v>
      </c>
      <c r="M311" s="427">
        <v>543982</v>
      </c>
      <c r="N311" s="427">
        <v>57348</v>
      </c>
      <c r="O311" s="427"/>
      <c r="P311" s="427">
        <v>46178</v>
      </c>
      <c r="Q311" s="427"/>
      <c r="R311" s="427">
        <v>5497</v>
      </c>
      <c r="S311" s="427">
        <v>40844</v>
      </c>
      <c r="U311" s="472"/>
      <c r="V311" s="472"/>
      <c r="W311" s="472"/>
      <c r="X311" s="472"/>
      <c r="Y311" s="472"/>
    </row>
    <row r="312" spans="1:25" s="428" customFormat="1" ht="9.1999999999999993" customHeight="1" x14ac:dyDescent="0.25">
      <c r="A312" s="431" t="s">
        <v>31</v>
      </c>
      <c r="B312" s="427">
        <f t="shared" si="26"/>
        <v>51697</v>
      </c>
      <c r="C312" s="427"/>
      <c r="D312" s="477">
        <v>27396</v>
      </c>
      <c r="E312" s="477">
        <v>14389</v>
      </c>
      <c r="F312" s="477">
        <v>4744</v>
      </c>
      <c r="G312" s="477">
        <v>5168</v>
      </c>
      <c r="I312" s="427">
        <f t="shared" si="27"/>
        <v>153282</v>
      </c>
      <c r="J312" s="427"/>
      <c r="K312" s="427">
        <v>27095</v>
      </c>
      <c r="L312" s="427">
        <v>54960</v>
      </c>
      <c r="M312" s="427">
        <v>66549</v>
      </c>
      <c r="N312" s="427">
        <v>4678</v>
      </c>
      <c r="O312" s="427"/>
      <c r="P312" s="427">
        <f>SUM(R312:S312)</f>
        <v>5883</v>
      </c>
      <c r="Q312" s="427"/>
      <c r="R312" s="427">
        <v>306</v>
      </c>
      <c r="S312" s="427">
        <v>5577</v>
      </c>
      <c r="U312" s="472"/>
      <c r="V312" s="472"/>
      <c r="W312" s="472"/>
      <c r="X312" s="472"/>
      <c r="Y312" s="472"/>
    </row>
    <row r="313" spans="1:25" s="428" customFormat="1" ht="9.1999999999999993" customHeight="1" x14ac:dyDescent="0.25">
      <c r="A313" s="431" t="s">
        <v>32</v>
      </c>
      <c r="B313" s="427">
        <f>SUM(D313:G313)-1</f>
        <v>85948</v>
      </c>
      <c r="C313" s="427"/>
      <c r="D313" s="477">
        <v>25857</v>
      </c>
      <c r="E313" s="477">
        <v>30650</v>
      </c>
      <c r="F313" s="477">
        <v>12293</v>
      </c>
      <c r="G313" s="477">
        <v>17149</v>
      </c>
      <c r="I313" s="427">
        <f t="shared" si="27"/>
        <v>343099</v>
      </c>
      <c r="J313" s="427"/>
      <c r="K313" s="427">
        <v>67624</v>
      </c>
      <c r="L313" s="427">
        <v>102662</v>
      </c>
      <c r="M313" s="427">
        <v>142626</v>
      </c>
      <c r="N313" s="427">
        <v>30187</v>
      </c>
      <c r="O313" s="427"/>
      <c r="P313" s="427">
        <f>SUM(R313:S313)</f>
        <v>14305</v>
      </c>
      <c r="Q313" s="427"/>
      <c r="R313" s="427">
        <v>888</v>
      </c>
      <c r="S313" s="427">
        <v>13417</v>
      </c>
      <c r="U313" s="472"/>
      <c r="V313" s="472"/>
      <c r="W313" s="472"/>
      <c r="X313" s="472"/>
      <c r="Y313" s="472"/>
    </row>
    <row r="314" spans="1:25" s="428" customFormat="1" ht="9.1999999999999993" customHeight="1" x14ac:dyDescent="0.25">
      <c r="A314" s="433" t="s">
        <v>33</v>
      </c>
      <c r="B314" s="434">
        <f>SUM(D314:G314)</f>
        <v>64102</v>
      </c>
      <c r="C314" s="434"/>
      <c r="D314" s="479">
        <v>29744</v>
      </c>
      <c r="E314" s="479">
        <v>17131</v>
      </c>
      <c r="F314" s="479">
        <v>7072</v>
      </c>
      <c r="G314" s="479">
        <v>10155</v>
      </c>
      <c r="H314" s="475"/>
      <c r="I314" s="434">
        <f t="shared" si="27"/>
        <v>324279</v>
      </c>
      <c r="J314" s="434"/>
      <c r="K314" s="434">
        <v>85887</v>
      </c>
      <c r="L314" s="434">
        <v>59861</v>
      </c>
      <c r="M314" s="434">
        <v>154572</v>
      </c>
      <c r="N314" s="434">
        <v>23959</v>
      </c>
      <c r="O314" s="434"/>
      <c r="P314" s="434">
        <f>SUM(R314:S314)</f>
        <v>7841</v>
      </c>
      <c r="Q314" s="434"/>
      <c r="R314" s="434">
        <v>264</v>
      </c>
      <c r="S314" s="434">
        <v>7577</v>
      </c>
      <c r="U314" s="472"/>
      <c r="V314" s="472"/>
      <c r="W314" s="472"/>
      <c r="X314" s="472"/>
      <c r="Y314" s="472"/>
    </row>
    <row r="315" spans="1:25" s="428" customFormat="1" ht="9.1999999999999993" customHeight="1" x14ac:dyDescent="0.25">
      <c r="A315" s="431" t="s">
        <v>34</v>
      </c>
      <c r="B315" s="427">
        <f>SUM(D315:G315)</f>
        <v>73963</v>
      </c>
      <c r="C315" s="427"/>
      <c r="D315" s="477">
        <v>29582</v>
      </c>
      <c r="E315" s="477">
        <v>28043</v>
      </c>
      <c r="F315" s="477">
        <v>6658</v>
      </c>
      <c r="G315" s="477">
        <v>9680</v>
      </c>
      <c r="I315" s="427">
        <f t="shared" si="27"/>
        <v>258351</v>
      </c>
      <c r="J315" s="427"/>
      <c r="K315" s="427">
        <v>36212</v>
      </c>
      <c r="L315" s="427">
        <v>86150</v>
      </c>
      <c r="M315" s="427">
        <v>124253</v>
      </c>
      <c r="N315" s="427">
        <v>11736</v>
      </c>
      <c r="O315" s="427"/>
      <c r="P315" s="427">
        <f>SUM(R315:S315)-1</f>
        <v>9396</v>
      </c>
      <c r="Q315" s="427"/>
      <c r="R315" s="427">
        <v>548</v>
      </c>
      <c r="S315" s="427">
        <v>8849</v>
      </c>
      <c r="U315" s="472"/>
      <c r="V315" s="472"/>
      <c r="W315" s="472"/>
      <c r="X315" s="472"/>
      <c r="Y315" s="472"/>
    </row>
    <row r="316" spans="1:25" s="428" customFormat="1" ht="9.1999999999999993" customHeight="1" x14ac:dyDescent="0.25">
      <c r="A316" s="431" t="s">
        <v>35</v>
      </c>
      <c r="B316" s="427">
        <f>SUM(D316:G316)+1</f>
        <v>92892</v>
      </c>
      <c r="C316" s="427"/>
      <c r="D316" s="477">
        <v>30144</v>
      </c>
      <c r="E316" s="477">
        <v>29130</v>
      </c>
      <c r="F316" s="477">
        <v>19325</v>
      </c>
      <c r="G316" s="477">
        <v>14292</v>
      </c>
      <c r="I316" s="427">
        <f t="shared" si="27"/>
        <v>478888</v>
      </c>
      <c r="J316" s="427"/>
      <c r="K316" s="427">
        <v>71443</v>
      </c>
      <c r="L316" s="427">
        <v>105957</v>
      </c>
      <c r="M316" s="427">
        <v>259042</v>
      </c>
      <c r="N316" s="427">
        <v>42446</v>
      </c>
      <c r="O316" s="427"/>
      <c r="P316" s="427">
        <f t="shared" ref="P316:P321" si="29">SUM(R316:S316)</f>
        <v>20823</v>
      </c>
      <c r="Q316" s="427"/>
      <c r="R316" s="427">
        <v>2254</v>
      </c>
      <c r="S316" s="427">
        <v>18569</v>
      </c>
      <c r="U316" s="472"/>
      <c r="V316" s="472"/>
      <c r="W316" s="472"/>
      <c r="X316" s="472"/>
      <c r="Y316" s="472"/>
    </row>
    <row r="317" spans="1:25" s="428" customFormat="1" ht="9.1999999999999993" customHeight="1" x14ac:dyDescent="0.25">
      <c r="A317" s="431" t="s">
        <v>36</v>
      </c>
      <c r="B317" s="427">
        <f t="shared" ref="B317:B322" si="30">SUM(D317:G317)</f>
        <v>190197</v>
      </c>
      <c r="C317" s="427"/>
      <c r="D317" s="477">
        <v>50170</v>
      </c>
      <c r="E317" s="477">
        <v>82294</v>
      </c>
      <c r="F317" s="477">
        <v>22005</v>
      </c>
      <c r="G317" s="477">
        <v>35728</v>
      </c>
      <c r="I317" s="427">
        <f t="shared" si="27"/>
        <v>1095394</v>
      </c>
      <c r="J317" s="427"/>
      <c r="K317" s="427">
        <v>191579</v>
      </c>
      <c r="L317" s="427">
        <v>355490</v>
      </c>
      <c r="M317" s="427">
        <v>432110</v>
      </c>
      <c r="N317" s="427">
        <v>116215</v>
      </c>
      <c r="O317" s="427"/>
      <c r="P317" s="427">
        <f t="shared" si="29"/>
        <v>26113</v>
      </c>
      <c r="Q317" s="427"/>
      <c r="R317" s="427">
        <v>4123</v>
      </c>
      <c r="S317" s="427">
        <v>21990</v>
      </c>
      <c r="T317" s="427"/>
      <c r="U317" s="472"/>
      <c r="V317" s="472"/>
      <c r="W317" s="472"/>
      <c r="X317" s="472"/>
      <c r="Y317" s="472"/>
    </row>
    <row r="318" spans="1:25" s="428" customFormat="1" ht="9.1999999999999993" customHeight="1" x14ac:dyDescent="0.25">
      <c r="A318" s="433" t="s">
        <v>37</v>
      </c>
      <c r="B318" s="434">
        <f t="shared" si="30"/>
        <v>112196</v>
      </c>
      <c r="C318" s="434"/>
      <c r="D318" s="479">
        <v>43786</v>
      </c>
      <c r="E318" s="479">
        <v>40481</v>
      </c>
      <c r="F318" s="479">
        <v>10524</v>
      </c>
      <c r="G318" s="479">
        <v>17405</v>
      </c>
      <c r="H318" s="475"/>
      <c r="I318" s="434">
        <f t="shared" si="27"/>
        <v>345924</v>
      </c>
      <c r="J318" s="434"/>
      <c r="K318" s="434">
        <v>62554</v>
      </c>
      <c r="L318" s="434">
        <v>127543</v>
      </c>
      <c r="M318" s="434">
        <v>138487</v>
      </c>
      <c r="N318" s="434">
        <v>17340</v>
      </c>
      <c r="O318" s="434"/>
      <c r="P318" s="434">
        <f t="shared" si="29"/>
        <v>13352</v>
      </c>
      <c r="Q318" s="434"/>
      <c r="R318" s="434">
        <v>1050</v>
      </c>
      <c r="S318" s="434">
        <v>12302</v>
      </c>
      <c r="U318" s="472"/>
      <c r="V318" s="472"/>
      <c r="W318" s="472"/>
      <c r="X318" s="472"/>
      <c r="Y318" s="472"/>
    </row>
    <row r="319" spans="1:25" s="428" customFormat="1" ht="9.1999999999999993" customHeight="1" x14ac:dyDescent="0.25">
      <c r="A319" s="431" t="s">
        <v>38</v>
      </c>
      <c r="B319" s="427">
        <f t="shared" si="30"/>
        <v>30123</v>
      </c>
      <c r="C319" s="427"/>
      <c r="D319" s="477">
        <v>9598</v>
      </c>
      <c r="E319" s="477">
        <v>10713</v>
      </c>
      <c r="F319" s="477">
        <v>5350</v>
      </c>
      <c r="G319" s="477">
        <v>4462</v>
      </c>
      <c r="I319" s="427">
        <f t="shared" si="27"/>
        <v>148052</v>
      </c>
      <c r="J319" s="427"/>
      <c r="K319" s="427">
        <v>24391</v>
      </c>
      <c r="L319" s="427">
        <v>32797</v>
      </c>
      <c r="M319" s="427">
        <v>81907</v>
      </c>
      <c r="N319" s="427">
        <v>8957</v>
      </c>
      <c r="O319" s="427"/>
      <c r="P319" s="427">
        <f t="shared" si="29"/>
        <v>5353</v>
      </c>
      <c r="Q319" s="427"/>
      <c r="R319" s="427">
        <v>363</v>
      </c>
      <c r="S319" s="427">
        <v>4990</v>
      </c>
      <c r="U319" s="472"/>
      <c r="V319" s="472"/>
      <c r="W319" s="472"/>
      <c r="X319" s="472"/>
      <c r="Y319" s="472"/>
    </row>
    <row r="320" spans="1:25" s="428" customFormat="1" ht="9.1999999999999993" customHeight="1" x14ac:dyDescent="0.25">
      <c r="A320" s="431" t="s">
        <v>39</v>
      </c>
      <c r="B320" s="427">
        <f t="shared" si="30"/>
        <v>27513</v>
      </c>
      <c r="C320" s="427"/>
      <c r="D320" s="477">
        <v>14286</v>
      </c>
      <c r="E320" s="477">
        <v>7492</v>
      </c>
      <c r="F320" s="477">
        <v>2855</v>
      </c>
      <c r="G320" s="477">
        <v>2880</v>
      </c>
      <c r="I320" s="427">
        <f t="shared" si="27"/>
        <v>98972</v>
      </c>
      <c r="J320" s="427"/>
      <c r="K320" s="427">
        <v>23978</v>
      </c>
      <c r="L320" s="427">
        <v>26799</v>
      </c>
      <c r="M320" s="427">
        <v>44242</v>
      </c>
      <c r="N320" s="427">
        <v>3953</v>
      </c>
      <c r="O320" s="427"/>
      <c r="P320" s="427">
        <f t="shared" si="29"/>
        <v>3768</v>
      </c>
      <c r="Q320" s="427"/>
      <c r="R320" s="427">
        <v>209</v>
      </c>
      <c r="S320" s="427">
        <v>3559</v>
      </c>
      <c r="U320" s="472"/>
      <c r="V320" s="472"/>
      <c r="W320" s="472"/>
      <c r="X320" s="472"/>
      <c r="Y320" s="472"/>
    </row>
    <row r="321" spans="1:25" s="428" customFormat="1" ht="9.1999999999999993" customHeight="1" x14ac:dyDescent="0.25">
      <c r="A321" s="431" t="s">
        <v>40</v>
      </c>
      <c r="B321" s="427">
        <f t="shared" si="30"/>
        <v>100679</v>
      </c>
      <c r="C321" s="427"/>
      <c r="D321" s="477">
        <v>30223</v>
      </c>
      <c r="E321" s="477">
        <v>51393</v>
      </c>
      <c r="F321" s="477">
        <v>12894</v>
      </c>
      <c r="G321" s="477">
        <v>6169</v>
      </c>
      <c r="I321" s="427">
        <f t="shared" si="27"/>
        <v>405406</v>
      </c>
      <c r="J321" s="427"/>
      <c r="K321" s="427">
        <v>42649</v>
      </c>
      <c r="L321" s="427">
        <v>156352</v>
      </c>
      <c r="M321" s="427">
        <v>195234</v>
      </c>
      <c r="N321" s="427">
        <v>11171</v>
      </c>
      <c r="O321" s="427"/>
      <c r="P321" s="427">
        <f t="shared" si="29"/>
        <v>13310</v>
      </c>
      <c r="Q321" s="427"/>
      <c r="R321" s="427">
        <v>1365</v>
      </c>
      <c r="S321" s="427">
        <v>11945</v>
      </c>
      <c r="U321" s="472"/>
      <c r="V321" s="472"/>
      <c r="W321" s="472"/>
      <c r="X321" s="472"/>
      <c r="Y321" s="472"/>
    </row>
    <row r="322" spans="1:25" s="428" customFormat="1" ht="9.1999999999999993" customHeight="1" x14ac:dyDescent="0.25">
      <c r="A322" s="433" t="s">
        <v>41</v>
      </c>
      <c r="B322" s="434">
        <f t="shared" si="30"/>
        <v>77316</v>
      </c>
      <c r="C322" s="434"/>
      <c r="D322" s="479">
        <v>24534</v>
      </c>
      <c r="E322" s="479">
        <v>30392</v>
      </c>
      <c r="F322" s="479">
        <v>8493</v>
      </c>
      <c r="G322" s="479">
        <v>13897</v>
      </c>
      <c r="H322" s="475"/>
      <c r="I322" s="434">
        <f t="shared" si="27"/>
        <v>324526</v>
      </c>
      <c r="J322" s="434"/>
      <c r="K322" s="434">
        <v>47748</v>
      </c>
      <c r="L322" s="434">
        <v>108173</v>
      </c>
      <c r="M322" s="434">
        <v>160734</v>
      </c>
      <c r="N322" s="434">
        <v>7871</v>
      </c>
      <c r="O322" s="434"/>
      <c r="P322" s="434">
        <f>SUM(R322:S322)+1</f>
        <v>10184</v>
      </c>
      <c r="Q322" s="434"/>
      <c r="R322" s="434">
        <v>322</v>
      </c>
      <c r="S322" s="434">
        <v>9861</v>
      </c>
      <c r="U322" s="472"/>
      <c r="V322" s="472"/>
      <c r="W322" s="472"/>
      <c r="X322" s="472"/>
      <c r="Y322" s="472"/>
    </row>
    <row r="323" spans="1:25" s="428" customFormat="1" ht="9.1999999999999993" customHeight="1" x14ac:dyDescent="0.25">
      <c r="A323" s="431" t="s">
        <v>42</v>
      </c>
      <c r="B323" s="427">
        <f>SUM(D323:G323)-1</f>
        <v>122974</v>
      </c>
      <c r="C323" s="427"/>
      <c r="D323" s="477">
        <v>40505</v>
      </c>
      <c r="E323" s="477">
        <v>49901</v>
      </c>
      <c r="F323" s="477">
        <v>13552</v>
      </c>
      <c r="G323" s="477">
        <v>19017</v>
      </c>
      <c r="I323" s="427">
        <f t="shared" si="27"/>
        <v>507418</v>
      </c>
      <c r="J323" s="427"/>
      <c r="K323" s="427">
        <v>81177</v>
      </c>
      <c r="L323" s="427">
        <v>189006</v>
      </c>
      <c r="M323" s="427">
        <v>211075</v>
      </c>
      <c r="N323" s="427">
        <v>26160</v>
      </c>
      <c r="O323" s="427"/>
      <c r="P323" s="427">
        <f t="shared" ref="P323:P328" si="31">SUM(R323:S323)</f>
        <v>17249</v>
      </c>
      <c r="Q323" s="427"/>
      <c r="R323" s="427">
        <v>1352</v>
      </c>
      <c r="S323" s="427">
        <v>15897</v>
      </c>
      <c r="U323" s="472"/>
      <c r="V323" s="472"/>
      <c r="W323" s="472"/>
      <c r="X323" s="472"/>
      <c r="Y323" s="472"/>
    </row>
    <row r="324" spans="1:25" s="428" customFormat="1" ht="9.1999999999999993" customHeight="1" x14ac:dyDescent="0.25">
      <c r="A324" s="431" t="s">
        <v>43</v>
      </c>
      <c r="B324" s="427">
        <f>SUM(D324:G324)</f>
        <v>38640</v>
      </c>
      <c r="C324" s="427"/>
      <c r="D324" s="477">
        <v>15182</v>
      </c>
      <c r="E324" s="477">
        <v>16152</v>
      </c>
      <c r="F324" s="477">
        <v>4745</v>
      </c>
      <c r="G324" s="477">
        <v>2561</v>
      </c>
      <c r="I324" s="427">
        <f t="shared" si="27"/>
        <v>155648</v>
      </c>
      <c r="J324" s="427"/>
      <c r="K324" s="427">
        <v>20585</v>
      </c>
      <c r="L324" s="427">
        <v>58441</v>
      </c>
      <c r="M324" s="427">
        <v>69949</v>
      </c>
      <c r="N324" s="427">
        <v>6673</v>
      </c>
      <c r="O324" s="427"/>
      <c r="P324" s="427">
        <f t="shared" si="31"/>
        <v>6306</v>
      </c>
      <c r="Q324" s="427"/>
      <c r="R324" s="427">
        <v>838</v>
      </c>
      <c r="S324" s="427">
        <v>5468</v>
      </c>
      <c r="U324" s="472"/>
      <c r="V324" s="472"/>
      <c r="W324" s="472"/>
      <c r="X324" s="472"/>
      <c r="Y324" s="472"/>
    </row>
    <row r="325" spans="1:25" s="428" customFormat="1" ht="9.1999999999999993" customHeight="1" x14ac:dyDescent="0.25">
      <c r="A325" s="431" t="s">
        <v>44</v>
      </c>
      <c r="B325" s="427">
        <f>SUM(D325:G325)</f>
        <v>21769</v>
      </c>
      <c r="C325" s="427"/>
      <c r="D325" s="477">
        <v>9056</v>
      </c>
      <c r="E325" s="477">
        <v>6200</v>
      </c>
      <c r="F325" s="477">
        <v>4583</v>
      </c>
      <c r="G325" s="477">
        <v>1930</v>
      </c>
      <c r="I325" s="427">
        <f t="shared" si="27"/>
        <v>97092</v>
      </c>
      <c r="J325" s="427"/>
      <c r="K325" s="427">
        <v>17822</v>
      </c>
      <c r="L325" s="427">
        <v>25304</v>
      </c>
      <c r="M325" s="427">
        <v>51025</v>
      </c>
      <c r="N325" s="427">
        <v>2941</v>
      </c>
      <c r="O325" s="427"/>
      <c r="P325" s="427">
        <f t="shared" si="31"/>
        <v>4939</v>
      </c>
      <c r="Q325" s="427"/>
      <c r="R325" s="427">
        <v>676</v>
      </c>
      <c r="S325" s="427">
        <v>4263</v>
      </c>
      <c r="U325" s="472"/>
      <c r="V325" s="472"/>
      <c r="W325" s="472"/>
      <c r="X325" s="472"/>
      <c r="Y325" s="472"/>
    </row>
    <row r="326" spans="1:25" s="428" customFormat="1" ht="9.1999999999999993" customHeight="1" x14ac:dyDescent="0.25">
      <c r="A326" s="433" t="s">
        <v>45</v>
      </c>
      <c r="B326" s="434">
        <f>SUM(D326:G326)</f>
        <v>55964</v>
      </c>
      <c r="C326" s="434"/>
      <c r="D326" s="479">
        <v>17474</v>
      </c>
      <c r="E326" s="479">
        <v>26891</v>
      </c>
      <c r="F326" s="479">
        <v>5221</v>
      </c>
      <c r="G326" s="479">
        <v>6378</v>
      </c>
      <c r="H326" s="475"/>
      <c r="I326" s="434">
        <f t="shared" si="27"/>
        <v>204683</v>
      </c>
      <c r="J326" s="434"/>
      <c r="K326" s="434">
        <v>34623</v>
      </c>
      <c r="L326" s="434">
        <v>86700</v>
      </c>
      <c r="M326" s="434">
        <v>77086</v>
      </c>
      <c r="N326" s="434">
        <v>6274</v>
      </c>
      <c r="O326" s="434"/>
      <c r="P326" s="434">
        <f t="shared" si="31"/>
        <v>6772</v>
      </c>
      <c r="Q326" s="434"/>
      <c r="R326" s="434">
        <v>580</v>
      </c>
      <c r="S326" s="434">
        <v>6192</v>
      </c>
      <c r="U326" s="472"/>
      <c r="V326" s="472"/>
      <c r="W326" s="472"/>
      <c r="X326" s="472"/>
      <c r="Y326" s="472"/>
    </row>
    <row r="327" spans="1:25" s="428" customFormat="1" ht="9.1999999999999993" customHeight="1" x14ac:dyDescent="0.25">
      <c r="A327" s="431" t="s">
        <v>46</v>
      </c>
      <c r="B327" s="427">
        <f>SUM(D327:G327)+1</f>
        <v>76028</v>
      </c>
      <c r="C327" s="427"/>
      <c r="D327" s="477">
        <v>31398</v>
      </c>
      <c r="E327" s="477">
        <v>28930</v>
      </c>
      <c r="F327" s="477">
        <v>10336</v>
      </c>
      <c r="G327" s="477">
        <v>5363</v>
      </c>
      <c r="I327" s="427">
        <f t="shared" si="27"/>
        <v>264112</v>
      </c>
      <c r="J327" s="427"/>
      <c r="K327" s="427">
        <v>33101</v>
      </c>
      <c r="L327" s="427">
        <v>81903</v>
      </c>
      <c r="M327" s="427">
        <v>146749</v>
      </c>
      <c r="N327" s="427">
        <v>2359</v>
      </c>
      <c r="O327" s="427"/>
      <c r="P327" s="427">
        <f t="shared" si="31"/>
        <v>10058</v>
      </c>
      <c r="Q327" s="427"/>
      <c r="R327" s="427">
        <v>370</v>
      </c>
      <c r="S327" s="427">
        <v>9688</v>
      </c>
      <c r="U327" s="472"/>
      <c r="V327" s="472"/>
      <c r="W327" s="472"/>
      <c r="X327" s="472"/>
      <c r="Y327" s="472"/>
    </row>
    <row r="328" spans="1:25" s="428" customFormat="1" ht="9.1999999999999993" customHeight="1" x14ac:dyDescent="0.25">
      <c r="A328" s="431" t="s">
        <v>47</v>
      </c>
      <c r="B328" s="427">
        <f>SUM(D328:G328)</f>
        <v>59948</v>
      </c>
      <c r="C328" s="427"/>
      <c r="D328" s="477">
        <v>25536</v>
      </c>
      <c r="E328" s="477">
        <v>19997</v>
      </c>
      <c r="F328" s="477">
        <v>7426</v>
      </c>
      <c r="G328" s="477">
        <v>6989</v>
      </c>
      <c r="I328" s="427">
        <f t="shared" si="27"/>
        <v>221653</v>
      </c>
      <c r="J328" s="427"/>
      <c r="K328" s="427">
        <v>36284</v>
      </c>
      <c r="L328" s="427">
        <v>64927</v>
      </c>
      <c r="M328" s="427">
        <v>110782</v>
      </c>
      <c r="N328" s="427">
        <v>9660</v>
      </c>
      <c r="O328" s="427"/>
      <c r="P328" s="427">
        <f t="shared" si="31"/>
        <v>9524</v>
      </c>
      <c r="Q328" s="427"/>
      <c r="R328" s="427">
        <v>943</v>
      </c>
      <c r="S328" s="427">
        <v>8581</v>
      </c>
      <c r="U328" s="472"/>
      <c r="V328" s="472"/>
      <c r="W328" s="472"/>
      <c r="X328" s="472"/>
      <c r="Y328" s="472"/>
    </row>
    <row r="329" spans="1:25" s="428" customFormat="1" ht="9.1999999999999993" customHeight="1" x14ac:dyDescent="0.25">
      <c r="A329" s="431" t="s">
        <v>48</v>
      </c>
      <c r="B329" s="427">
        <f>SUM(D329:G329)</f>
        <v>39900</v>
      </c>
      <c r="C329" s="427"/>
      <c r="D329" s="477">
        <v>22590</v>
      </c>
      <c r="E329" s="477">
        <v>8757</v>
      </c>
      <c r="F329" s="477">
        <v>4956</v>
      </c>
      <c r="G329" s="477">
        <v>3597</v>
      </c>
      <c r="I329" s="427">
        <f t="shared" si="27"/>
        <v>236262</v>
      </c>
      <c r="J329" s="427"/>
      <c r="K329" s="427">
        <v>62518</v>
      </c>
      <c r="L329" s="427">
        <v>30028</v>
      </c>
      <c r="M329" s="427">
        <v>132561</v>
      </c>
      <c r="N329" s="427">
        <v>11155</v>
      </c>
      <c r="O329" s="427"/>
      <c r="P329" s="427">
        <f>SUM(R329:S329)-1</f>
        <v>8806</v>
      </c>
      <c r="Q329" s="427"/>
      <c r="R329" s="427">
        <v>288</v>
      </c>
      <c r="S329" s="427">
        <v>8519</v>
      </c>
      <c r="U329" s="472"/>
      <c r="V329" s="472"/>
      <c r="W329" s="472"/>
      <c r="X329" s="472"/>
      <c r="Y329" s="472"/>
    </row>
    <row r="330" spans="1:25" s="428" customFormat="1" ht="9.1999999999999993" customHeight="1" x14ac:dyDescent="0.25">
      <c r="A330" s="433" t="s">
        <v>49</v>
      </c>
      <c r="B330" s="434">
        <f>SUM(D330:G330)</f>
        <v>72269</v>
      </c>
      <c r="C330" s="434"/>
      <c r="D330" s="479">
        <v>32688</v>
      </c>
      <c r="E330" s="479">
        <v>25212</v>
      </c>
      <c r="F330" s="479">
        <v>9050</v>
      </c>
      <c r="G330" s="479">
        <v>5319</v>
      </c>
      <c r="H330" s="475"/>
      <c r="I330" s="434">
        <f t="shared" si="27"/>
        <v>274560</v>
      </c>
      <c r="J330" s="434"/>
      <c r="K330" s="434">
        <v>42745</v>
      </c>
      <c r="L330" s="434">
        <v>77843</v>
      </c>
      <c r="M330" s="434">
        <v>147694</v>
      </c>
      <c r="N330" s="434">
        <v>6278</v>
      </c>
      <c r="O330" s="434"/>
      <c r="P330" s="434">
        <f>SUM(R330:S330)</f>
        <v>11431</v>
      </c>
      <c r="Q330" s="434"/>
      <c r="R330" s="434">
        <v>817</v>
      </c>
      <c r="S330" s="434">
        <v>10614</v>
      </c>
      <c r="U330" s="472"/>
      <c r="V330" s="472"/>
      <c r="W330" s="472"/>
      <c r="X330" s="472"/>
      <c r="Y330" s="472"/>
    </row>
    <row r="331" spans="1:25" s="428" customFormat="1" ht="9.1999999999999993" customHeight="1" x14ac:dyDescent="0.25">
      <c r="A331" s="431" t="s">
        <v>50</v>
      </c>
      <c r="B331" s="427">
        <f>SUM(D331:G331)</f>
        <v>17014</v>
      </c>
      <c r="C331" s="427"/>
      <c r="D331" s="477">
        <v>5496</v>
      </c>
      <c r="E331" s="477">
        <v>6947</v>
      </c>
      <c r="F331" s="477">
        <v>1961</v>
      </c>
      <c r="G331" s="477">
        <v>2610</v>
      </c>
      <c r="I331" s="427">
        <f t="shared" si="27"/>
        <v>95565</v>
      </c>
      <c r="J331" s="427"/>
      <c r="K331" s="427">
        <v>14144</v>
      </c>
      <c r="L331" s="427">
        <v>31579</v>
      </c>
      <c r="M331" s="427">
        <v>43037</v>
      </c>
      <c r="N331" s="427">
        <v>6805</v>
      </c>
      <c r="O331" s="427"/>
      <c r="P331" s="427">
        <f>SUM(R331:S331)</f>
        <v>4141</v>
      </c>
      <c r="Q331" s="427"/>
      <c r="R331" s="427">
        <v>139</v>
      </c>
      <c r="S331" s="427">
        <v>4002</v>
      </c>
      <c r="U331" s="472"/>
      <c r="V331" s="472"/>
      <c r="W331" s="472"/>
      <c r="X331" s="472"/>
      <c r="Y331" s="472"/>
    </row>
    <row r="332" spans="1:25" s="428" customFormat="1" ht="9.1999999999999993" customHeight="1" x14ac:dyDescent="0.25">
      <c r="A332" s="428" t="s">
        <v>51</v>
      </c>
      <c r="B332" s="427">
        <f>SUM(D332:G332)-1</f>
        <v>146610</v>
      </c>
      <c r="C332" s="427"/>
      <c r="D332" s="477">
        <v>53580</v>
      </c>
      <c r="E332" s="477">
        <v>57017</v>
      </c>
      <c r="F332" s="477">
        <v>19430</v>
      </c>
      <c r="G332" s="477">
        <v>16584</v>
      </c>
      <c r="I332" s="427">
        <f t="shared" si="27"/>
        <v>813680</v>
      </c>
      <c r="J332" s="427"/>
      <c r="K332" s="427">
        <v>111461</v>
      </c>
      <c r="L332" s="427">
        <v>229188</v>
      </c>
      <c r="M332" s="427">
        <v>449567</v>
      </c>
      <c r="N332" s="427">
        <v>23464</v>
      </c>
      <c r="O332" s="427"/>
      <c r="P332" s="427">
        <f>SUM(R332:S332)</f>
        <v>28284</v>
      </c>
      <c r="Q332" s="427"/>
      <c r="R332" s="427">
        <v>1038</v>
      </c>
      <c r="S332" s="427">
        <v>27246</v>
      </c>
      <c r="U332" s="472"/>
      <c r="V332" s="472"/>
      <c r="W332" s="472"/>
      <c r="X332" s="472"/>
      <c r="Y332" s="472"/>
    </row>
    <row r="333" spans="1:25" s="428" customFormat="1" ht="9.1999999999999993" customHeight="1" x14ac:dyDescent="0.25">
      <c r="A333" s="428" t="s">
        <v>52</v>
      </c>
      <c r="B333" s="427">
        <f>SUM(D333:G333)</f>
        <v>44143</v>
      </c>
      <c r="C333" s="427"/>
      <c r="D333" s="477">
        <v>22143</v>
      </c>
      <c r="E333" s="477">
        <v>10162</v>
      </c>
      <c r="F333" s="477">
        <v>7009</v>
      </c>
      <c r="G333" s="477">
        <v>4829</v>
      </c>
      <c r="I333" s="427">
        <f t="shared" si="27"/>
        <v>159682</v>
      </c>
      <c r="J333" s="427"/>
      <c r="K333" s="427">
        <v>33408</v>
      </c>
      <c r="L333" s="427">
        <v>39155</v>
      </c>
      <c r="M333" s="427">
        <v>83746</v>
      </c>
      <c r="N333" s="427">
        <v>3373</v>
      </c>
      <c r="O333" s="427"/>
      <c r="P333" s="427">
        <f>SUM(R333:S333)</f>
        <v>7575</v>
      </c>
      <c r="Q333" s="427"/>
      <c r="R333" s="427">
        <v>536</v>
      </c>
      <c r="S333" s="427">
        <v>7039</v>
      </c>
      <c r="U333" s="472"/>
      <c r="V333" s="472"/>
      <c r="W333" s="472"/>
      <c r="X333" s="472"/>
      <c r="Y333" s="472"/>
    </row>
    <row r="334" spans="1:25" s="428" customFormat="1" ht="9.1999999999999993" customHeight="1" x14ac:dyDescent="0.25">
      <c r="A334" s="433" t="s">
        <v>53</v>
      </c>
      <c r="B334" s="434">
        <f>SUM(D334:G334)</f>
        <v>50980</v>
      </c>
      <c r="C334" s="434"/>
      <c r="D334" s="479">
        <v>16907</v>
      </c>
      <c r="E334" s="479">
        <v>23102</v>
      </c>
      <c r="F334" s="479">
        <v>4281</v>
      </c>
      <c r="G334" s="479">
        <v>6690</v>
      </c>
      <c r="H334" s="475"/>
      <c r="I334" s="434">
        <f t="shared" si="27"/>
        <v>152027</v>
      </c>
      <c r="J334" s="434"/>
      <c r="K334" s="434">
        <v>21588</v>
      </c>
      <c r="L334" s="434">
        <v>64570</v>
      </c>
      <c r="M334" s="434">
        <v>57800</v>
      </c>
      <c r="N334" s="434">
        <v>8069</v>
      </c>
      <c r="O334" s="434"/>
      <c r="P334" s="434">
        <f>SUM(R334:S334)</f>
        <v>4115</v>
      </c>
      <c r="Q334" s="434"/>
      <c r="R334" s="434">
        <v>293</v>
      </c>
      <c r="S334" s="434">
        <v>3822</v>
      </c>
      <c r="U334" s="472"/>
      <c r="V334" s="472"/>
      <c r="W334" s="472"/>
      <c r="X334" s="472"/>
      <c r="Y334" s="472"/>
    </row>
    <row r="335" spans="1:25" s="428" customFormat="1" ht="9" customHeight="1" x14ac:dyDescent="0.25">
      <c r="B335" s="427"/>
      <c r="C335" s="427"/>
      <c r="D335" s="477"/>
      <c r="E335" s="477"/>
      <c r="F335" s="477"/>
      <c r="G335" s="477"/>
      <c r="I335" s="427"/>
      <c r="J335" s="427"/>
      <c r="K335" s="427"/>
      <c r="L335" s="427"/>
      <c r="M335" s="427"/>
      <c r="N335" s="427"/>
      <c r="O335" s="427"/>
      <c r="P335" s="427"/>
      <c r="Q335" s="427"/>
      <c r="R335" s="427"/>
      <c r="S335" s="427"/>
      <c r="U335" s="472"/>
      <c r="V335" s="472"/>
      <c r="W335" s="472"/>
      <c r="X335" s="472"/>
      <c r="Y335" s="472"/>
    </row>
    <row r="336" spans="1:25" s="428" customFormat="1" ht="9" customHeight="1" x14ac:dyDescent="0.25">
      <c r="A336" s="441">
        <v>2004</v>
      </c>
      <c r="B336" s="427"/>
      <c r="C336" s="427"/>
      <c r="D336" s="476"/>
      <c r="E336" s="477"/>
      <c r="F336" s="477"/>
      <c r="G336" s="477"/>
      <c r="H336" s="477"/>
      <c r="I336" s="477"/>
      <c r="J336" s="477"/>
      <c r="K336" s="477"/>
      <c r="L336" s="477"/>
      <c r="M336" s="477"/>
      <c r="N336" s="477"/>
      <c r="O336" s="477"/>
      <c r="P336" s="477"/>
      <c r="Q336" s="477"/>
      <c r="R336" s="477"/>
      <c r="S336" s="477"/>
      <c r="U336" s="472"/>
      <c r="V336" s="472"/>
      <c r="W336" s="472"/>
      <c r="X336" s="472"/>
      <c r="Y336" s="472"/>
    </row>
    <row r="337" spans="1:25" s="428" customFormat="1" ht="9" customHeight="1" x14ac:dyDescent="0.25">
      <c r="A337" s="429" t="s">
        <v>21</v>
      </c>
      <c r="B337" s="476">
        <f>SUM(B339:B370)</f>
        <v>2230414</v>
      </c>
      <c r="C337" s="476"/>
      <c r="D337" s="476">
        <f>SUM(D339:D370)</f>
        <v>924414</v>
      </c>
      <c r="E337" s="476">
        <f>SUM(E339:E370)</f>
        <v>785287</v>
      </c>
      <c r="F337" s="476">
        <f>SUM(F339:F370)</f>
        <v>283853</v>
      </c>
      <c r="G337" s="476">
        <f>SUM(G339:G370)</f>
        <v>236860</v>
      </c>
      <c r="H337" s="476"/>
      <c r="I337" s="430">
        <f>SUM(I339:I370)</f>
        <v>10463874</v>
      </c>
      <c r="J337" s="430"/>
      <c r="K337" s="430">
        <f>SUM(K339:K370)</f>
        <v>1711859</v>
      </c>
      <c r="L337" s="430">
        <f>SUM(L339:L370)</f>
        <v>3146649</v>
      </c>
      <c r="M337" s="430">
        <f>SUM(M339:M370)</f>
        <v>5053589</v>
      </c>
      <c r="N337" s="430">
        <f>SUM(N339:N370)</f>
        <v>551777</v>
      </c>
      <c r="O337" s="482"/>
      <c r="P337" s="430">
        <f>SUM(P339:P370)</f>
        <v>356429</v>
      </c>
      <c r="Q337" s="430"/>
      <c r="R337" s="430">
        <f>SUM(R339:R370)</f>
        <v>32545</v>
      </c>
      <c r="S337" s="430">
        <f>SUM(S339:S370)</f>
        <v>323884</v>
      </c>
      <c r="U337" s="472"/>
      <c r="V337" s="472"/>
      <c r="W337" s="472"/>
      <c r="X337" s="472"/>
      <c r="Y337" s="472"/>
    </row>
    <row r="338" spans="1:25" s="428" customFormat="1" ht="3.95" customHeight="1" x14ac:dyDescent="0.25">
      <c r="A338" s="429"/>
      <c r="B338" s="476"/>
      <c r="C338" s="476"/>
      <c r="D338" s="476"/>
      <c r="E338" s="476"/>
      <c r="F338" s="476"/>
      <c r="G338" s="476"/>
      <c r="H338" s="476"/>
      <c r="I338" s="430"/>
      <c r="J338" s="430"/>
      <c r="K338" s="430"/>
      <c r="L338" s="430"/>
      <c r="M338" s="430"/>
      <c r="N338" s="430"/>
      <c r="O338" s="430"/>
      <c r="P338" s="430"/>
      <c r="Q338" s="430"/>
      <c r="R338" s="430"/>
      <c r="S338" s="430"/>
      <c r="U338" s="472"/>
      <c r="V338" s="472"/>
      <c r="W338" s="472"/>
      <c r="X338" s="472"/>
      <c r="Y338" s="472"/>
    </row>
    <row r="339" spans="1:25" s="428" customFormat="1" ht="9.1999999999999993" customHeight="1" x14ac:dyDescent="0.25">
      <c r="A339" s="431" t="s">
        <v>23</v>
      </c>
      <c r="B339" s="427">
        <f t="shared" ref="B339:B370" si="32">SUM(D339:G339)</f>
        <v>25665</v>
      </c>
      <c r="C339" s="427"/>
      <c r="D339" s="477">
        <v>12723</v>
      </c>
      <c r="E339" s="477">
        <v>6931</v>
      </c>
      <c r="F339" s="477">
        <v>2969</v>
      </c>
      <c r="G339" s="477">
        <v>3042</v>
      </c>
      <c r="I339" s="427">
        <f t="shared" ref="I339:I370" si="33">SUM(K339:O339)</f>
        <v>101391</v>
      </c>
      <c r="J339" s="427"/>
      <c r="K339" s="427">
        <v>17757</v>
      </c>
      <c r="L339" s="427">
        <v>32440</v>
      </c>
      <c r="M339" s="427">
        <v>43867</v>
      </c>
      <c r="N339" s="427">
        <v>7327</v>
      </c>
      <c r="O339" s="427"/>
      <c r="P339" s="427">
        <f t="shared" ref="P339:P370" si="34">SUM(R339:S339)</f>
        <v>3736</v>
      </c>
      <c r="Q339" s="427"/>
      <c r="R339" s="427">
        <v>517</v>
      </c>
      <c r="S339" s="427">
        <v>3219</v>
      </c>
      <c r="U339" s="472"/>
      <c r="V339" s="472"/>
      <c r="W339" s="472"/>
      <c r="X339" s="472"/>
      <c r="Y339" s="472"/>
    </row>
    <row r="340" spans="1:25" s="428" customFormat="1" ht="9.1999999999999993" customHeight="1" x14ac:dyDescent="0.25">
      <c r="A340" s="431" t="s">
        <v>24</v>
      </c>
      <c r="B340" s="427">
        <f t="shared" si="32"/>
        <v>85504</v>
      </c>
      <c r="C340" s="427"/>
      <c r="D340" s="477">
        <v>53474</v>
      </c>
      <c r="E340" s="477">
        <v>18435</v>
      </c>
      <c r="F340" s="477">
        <v>10237</v>
      </c>
      <c r="G340" s="477">
        <v>3358</v>
      </c>
      <c r="I340" s="427">
        <f t="shared" si="33"/>
        <v>296554</v>
      </c>
      <c r="J340" s="427"/>
      <c r="K340" s="427">
        <v>77200</v>
      </c>
      <c r="L340" s="427">
        <v>84730</v>
      </c>
      <c r="M340" s="427">
        <v>128788</v>
      </c>
      <c r="N340" s="427">
        <v>5836</v>
      </c>
      <c r="O340" s="427"/>
      <c r="P340" s="427">
        <f t="shared" si="34"/>
        <v>12302</v>
      </c>
      <c r="Q340" s="427"/>
      <c r="R340" s="427">
        <v>1265</v>
      </c>
      <c r="S340" s="427">
        <v>11037</v>
      </c>
      <c r="U340" s="472"/>
      <c r="V340" s="472"/>
      <c r="W340" s="472"/>
      <c r="X340" s="472"/>
      <c r="Y340" s="472"/>
    </row>
    <row r="341" spans="1:25" s="428" customFormat="1" ht="9.1999999999999993" customHeight="1" x14ac:dyDescent="0.25">
      <c r="A341" s="431" t="s">
        <v>25</v>
      </c>
      <c r="B341" s="427">
        <f t="shared" si="32"/>
        <v>15299</v>
      </c>
      <c r="C341" s="427"/>
      <c r="D341" s="477">
        <v>6921</v>
      </c>
      <c r="E341" s="477">
        <v>4733</v>
      </c>
      <c r="F341" s="477">
        <v>2064</v>
      </c>
      <c r="G341" s="477">
        <v>1581</v>
      </c>
      <c r="I341" s="427">
        <f t="shared" si="33"/>
        <v>64112</v>
      </c>
      <c r="J341" s="427"/>
      <c r="K341" s="427">
        <v>8471</v>
      </c>
      <c r="L341" s="427">
        <v>16086</v>
      </c>
      <c r="M341" s="427">
        <v>37557</v>
      </c>
      <c r="N341" s="427">
        <v>1998</v>
      </c>
      <c r="O341" s="427"/>
      <c r="P341" s="427">
        <f t="shared" si="34"/>
        <v>2593</v>
      </c>
      <c r="Q341" s="427"/>
      <c r="R341" s="427">
        <v>169</v>
      </c>
      <c r="S341" s="427">
        <v>2424</v>
      </c>
      <c r="U341" s="472"/>
      <c r="V341" s="472"/>
      <c r="W341" s="472"/>
      <c r="X341" s="472"/>
      <c r="Y341" s="472"/>
    </row>
    <row r="342" spans="1:25" s="428" customFormat="1" ht="9.1999999999999993" customHeight="1" x14ac:dyDescent="0.25">
      <c r="A342" s="433" t="s">
        <v>26</v>
      </c>
      <c r="B342" s="434">
        <f t="shared" si="32"/>
        <v>17616</v>
      </c>
      <c r="C342" s="434"/>
      <c r="D342" s="479">
        <v>9267</v>
      </c>
      <c r="E342" s="479">
        <v>5038</v>
      </c>
      <c r="F342" s="479">
        <v>1850</v>
      </c>
      <c r="G342" s="479">
        <v>1461</v>
      </c>
      <c r="H342" s="475"/>
      <c r="I342" s="434">
        <f t="shared" si="33"/>
        <v>88055</v>
      </c>
      <c r="J342" s="434"/>
      <c r="K342" s="434">
        <v>17298</v>
      </c>
      <c r="L342" s="434">
        <v>16710</v>
      </c>
      <c r="M342" s="434">
        <v>51903</v>
      </c>
      <c r="N342" s="434">
        <v>2144</v>
      </c>
      <c r="O342" s="434"/>
      <c r="P342" s="434">
        <f t="shared" si="34"/>
        <v>3285</v>
      </c>
      <c r="Q342" s="434"/>
      <c r="R342" s="434">
        <v>205</v>
      </c>
      <c r="S342" s="434">
        <v>3080</v>
      </c>
      <c r="U342" s="472"/>
      <c r="V342" s="472"/>
      <c r="W342" s="472"/>
      <c r="X342" s="472"/>
      <c r="Y342" s="472"/>
    </row>
    <row r="343" spans="1:25" s="428" customFormat="1" ht="9.1999999999999993" customHeight="1" x14ac:dyDescent="0.25">
      <c r="A343" s="431" t="s">
        <v>27</v>
      </c>
      <c r="B343" s="427">
        <f t="shared" si="32"/>
        <v>63681</v>
      </c>
      <c r="C343" s="427"/>
      <c r="D343" s="477">
        <v>24279</v>
      </c>
      <c r="E343" s="477">
        <v>24834</v>
      </c>
      <c r="F343" s="477">
        <v>10611</v>
      </c>
      <c r="G343" s="477">
        <v>3957</v>
      </c>
      <c r="I343" s="427">
        <f t="shared" si="33"/>
        <v>284314</v>
      </c>
      <c r="J343" s="427"/>
      <c r="K343" s="427">
        <v>37970</v>
      </c>
      <c r="L343" s="427">
        <v>84454</v>
      </c>
      <c r="M343" s="427">
        <v>156255</v>
      </c>
      <c r="N343" s="427">
        <v>5635</v>
      </c>
      <c r="O343" s="427"/>
      <c r="P343" s="427">
        <f t="shared" si="34"/>
        <v>10903</v>
      </c>
      <c r="Q343" s="427"/>
      <c r="R343" s="427">
        <v>1002</v>
      </c>
      <c r="S343" s="427">
        <v>9901</v>
      </c>
      <c r="U343" s="472"/>
      <c r="V343" s="472"/>
      <c r="W343" s="472"/>
      <c r="X343" s="472"/>
      <c r="Y343" s="472"/>
    </row>
    <row r="344" spans="1:25" s="428" customFormat="1" ht="9.1999999999999993" customHeight="1" x14ac:dyDescent="0.25">
      <c r="A344" s="431" t="s">
        <v>28</v>
      </c>
      <c r="B344" s="427">
        <f t="shared" si="32"/>
        <v>18795</v>
      </c>
      <c r="C344" s="427"/>
      <c r="D344" s="477">
        <v>7487</v>
      </c>
      <c r="E344" s="477">
        <v>6613</v>
      </c>
      <c r="F344" s="477">
        <v>2672</v>
      </c>
      <c r="G344" s="477">
        <v>2023</v>
      </c>
      <c r="I344" s="427">
        <f t="shared" si="33"/>
        <v>77029</v>
      </c>
      <c r="J344" s="427"/>
      <c r="K344" s="427">
        <v>10611</v>
      </c>
      <c r="L344" s="427">
        <v>16253</v>
      </c>
      <c r="M344" s="427">
        <v>46679</v>
      </c>
      <c r="N344" s="427">
        <v>3486</v>
      </c>
      <c r="O344" s="427"/>
      <c r="P344" s="427">
        <f t="shared" si="34"/>
        <v>2528</v>
      </c>
      <c r="Q344" s="427"/>
      <c r="R344" s="427">
        <v>119</v>
      </c>
      <c r="S344" s="427">
        <v>2409</v>
      </c>
      <c r="U344" s="472"/>
      <c r="V344" s="472"/>
      <c r="W344" s="472"/>
      <c r="X344" s="472"/>
      <c r="Y344" s="472"/>
    </row>
    <row r="345" spans="1:25" s="428" customFormat="1" ht="9.1999999999999993" customHeight="1" x14ac:dyDescent="0.25">
      <c r="A345" s="431" t="s">
        <v>29</v>
      </c>
      <c r="B345" s="427">
        <f t="shared" si="32"/>
        <v>103639</v>
      </c>
      <c r="C345" s="427"/>
      <c r="D345" s="477">
        <v>56627</v>
      </c>
      <c r="E345" s="477">
        <v>30309</v>
      </c>
      <c r="F345" s="477">
        <v>9755</v>
      </c>
      <c r="G345" s="477">
        <v>6948</v>
      </c>
      <c r="I345" s="427">
        <f t="shared" si="33"/>
        <v>458545</v>
      </c>
      <c r="J345" s="427"/>
      <c r="K345" s="427">
        <v>90101</v>
      </c>
      <c r="L345" s="427">
        <v>131725</v>
      </c>
      <c r="M345" s="427">
        <v>219533</v>
      </c>
      <c r="N345" s="427">
        <v>17186</v>
      </c>
      <c r="O345" s="427"/>
      <c r="P345" s="427">
        <f t="shared" si="34"/>
        <v>12042</v>
      </c>
      <c r="Q345" s="427"/>
      <c r="R345" s="427">
        <v>151</v>
      </c>
      <c r="S345" s="427">
        <v>11891</v>
      </c>
      <c r="U345" s="472"/>
      <c r="V345" s="472"/>
      <c r="W345" s="472"/>
      <c r="X345" s="472"/>
      <c r="Y345" s="472"/>
    </row>
    <row r="346" spans="1:25" s="428" customFormat="1" ht="9.1999999999999993" customHeight="1" x14ac:dyDescent="0.25">
      <c r="A346" s="433" t="s">
        <v>30</v>
      </c>
      <c r="B346" s="434">
        <f t="shared" si="32"/>
        <v>78195</v>
      </c>
      <c r="C346" s="434"/>
      <c r="D346" s="479">
        <v>37153</v>
      </c>
      <c r="E346" s="479">
        <v>25831</v>
      </c>
      <c r="F346" s="479">
        <v>11013</v>
      </c>
      <c r="G346" s="479">
        <v>4198</v>
      </c>
      <c r="H346" s="475"/>
      <c r="I346" s="434">
        <f t="shared" si="33"/>
        <v>338559</v>
      </c>
      <c r="J346" s="434"/>
      <c r="K346" s="434">
        <v>41522</v>
      </c>
      <c r="L346" s="434">
        <v>126843</v>
      </c>
      <c r="M346" s="434">
        <v>161511</v>
      </c>
      <c r="N346" s="434">
        <v>8683</v>
      </c>
      <c r="O346" s="434"/>
      <c r="P346" s="434">
        <f t="shared" si="34"/>
        <v>11083</v>
      </c>
      <c r="Q346" s="434"/>
      <c r="R346" s="434">
        <v>1987</v>
      </c>
      <c r="S346" s="434">
        <v>9096</v>
      </c>
      <c r="U346" s="472"/>
      <c r="V346" s="472"/>
      <c r="W346" s="472"/>
      <c r="X346" s="472"/>
      <c r="Y346" s="472"/>
    </row>
    <row r="347" spans="1:25" s="428" customFormat="1" ht="9.1999999999999993" customHeight="1" x14ac:dyDescent="0.25">
      <c r="A347" s="431" t="s">
        <v>63</v>
      </c>
      <c r="B347" s="427">
        <f t="shared" si="32"/>
        <v>188241</v>
      </c>
      <c r="C347" s="427"/>
      <c r="D347" s="477">
        <v>43673</v>
      </c>
      <c r="E347" s="477">
        <v>80655</v>
      </c>
      <c r="F347" s="477">
        <v>33438</v>
      </c>
      <c r="G347" s="477">
        <v>30475</v>
      </c>
      <c r="I347" s="427">
        <f t="shared" si="33"/>
        <v>1021507</v>
      </c>
      <c r="J347" s="427"/>
      <c r="K347" s="427">
        <v>98878</v>
      </c>
      <c r="L347" s="427">
        <v>320028</v>
      </c>
      <c r="M347" s="427">
        <v>555861</v>
      </c>
      <c r="N347" s="427">
        <v>46740</v>
      </c>
      <c r="O347" s="427"/>
      <c r="P347" s="427">
        <f t="shared" si="34"/>
        <v>45607</v>
      </c>
      <c r="Q347" s="427"/>
      <c r="R347" s="427">
        <v>5896</v>
      </c>
      <c r="S347" s="427">
        <v>39711</v>
      </c>
      <c r="U347" s="472"/>
      <c r="V347" s="472"/>
      <c r="W347" s="472"/>
      <c r="X347" s="472"/>
      <c r="Y347" s="472"/>
    </row>
    <row r="348" spans="1:25" s="428" customFormat="1" ht="9.1999999999999993" customHeight="1" x14ac:dyDescent="0.25">
      <c r="A348" s="431" t="s">
        <v>31</v>
      </c>
      <c r="B348" s="427">
        <f t="shared" si="32"/>
        <v>46202</v>
      </c>
      <c r="C348" s="427"/>
      <c r="D348" s="477">
        <v>24669</v>
      </c>
      <c r="E348" s="477">
        <v>13621</v>
      </c>
      <c r="F348" s="477">
        <v>4468</v>
      </c>
      <c r="G348" s="477">
        <v>3444</v>
      </c>
      <c r="I348" s="427">
        <f t="shared" si="33"/>
        <v>186036</v>
      </c>
      <c r="J348" s="427"/>
      <c r="K348" s="427">
        <v>34727</v>
      </c>
      <c r="L348" s="427">
        <v>62902</v>
      </c>
      <c r="M348" s="427">
        <v>82061</v>
      </c>
      <c r="N348" s="427">
        <v>6346</v>
      </c>
      <c r="O348" s="427"/>
      <c r="P348" s="427">
        <f t="shared" si="34"/>
        <v>5575</v>
      </c>
      <c r="Q348" s="427"/>
      <c r="R348" s="427">
        <v>409</v>
      </c>
      <c r="S348" s="427">
        <v>5166</v>
      </c>
      <c r="U348" s="472"/>
      <c r="V348" s="472"/>
      <c r="W348" s="472"/>
      <c r="X348" s="472"/>
      <c r="Y348" s="472"/>
    </row>
    <row r="349" spans="1:25" s="428" customFormat="1" ht="9.1999999999999993" customHeight="1" x14ac:dyDescent="0.25">
      <c r="A349" s="431" t="s">
        <v>32</v>
      </c>
      <c r="B349" s="427">
        <f t="shared" si="32"/>
        <v>87686</v>
      </c>
      <c r="C349" s="427"/>
      <c r="D349" s="477">
        <v>31705</v>
      </c>
      <c r="E349" s="477">
        <v>28472</v>
      </c>
      <c r="F349" s="477">
        <v>11955</v>
      </c>
      <c r="G349" s="477">
        <v>15554</v>
      </c>
      <c r="I349" s="427">
        <f t="shared" si="33"/>
        <v>356915</v>
      </c>
      <c r="J349" s="427"/>
      <c r="K349" s="427">
        <v>69858</v>
      </c>
      <c r="L349" s="427">
        <v>103311</v>
      </c>
      <c r="M349" s="427">
        <v>151523</v>
      </c>
      <c r="N349" s="427">
        <v>32223</v>
      </c>
      <c r="O349" s="427"/>
      <c r="P349" s="427">
        <f t="shared" si="34"/>
        <v>14586</v>
      </c>
      <c r="Q349" s="427"/>
      <c r="R349" s="427">
        <v>925</v>
      </c>
      <c r="S349" s="427">
        <v>13661</v>
      </c>
      <c r="U349" s="472"/>
      <c r="V349" s="472"/>
      <c r="W349" s="472"/>
      <c r="X349" s="472"/>
      <c r="Y349" s="472"/>
    </row>
    <row r="350" spans="1:25" s="428" customFormat="1" ht="9.1999999999999993" customHeight="1" x14ac:dyDescent="0.25">
      <c r="A350" s="433" t="s">
        <v>33</v>
      </c>
      <c r="B350" s="434">
        <f t="shared" si="32"/>
        <v>61860</v>
      </c>
      <c r="C350" s="434"/>
      <c r="D350" s="479">
        <v>27635</v>
      </c>
      <c r="E350" s="479">
        <v>16992</v>
      </c>
      <c r="F350" s="479">
        <v>7106</v>
      </c>
      <c r="G350" s="479">
        <v>10127</v>
      </c>
      <c r="H350" s="475"/>
      <c r="I350" s="434">
        <f t="shared" si="33"/>
        <v>337414</v>
      </c>
      <c r="J350" s="434"/>
      <c r="K350" s="434">
        <v>90566</v>
      </c>
      <c r="L350" s="434">
        <v>63173</v>
      </c>
      <c r="M350" s="434">
        <v>158284</v>
      </c>
      <c r="N350" s="434">
        <v>25391</v>
      </c>
      <c r="O350" s="434"/>
      <c r="P350" s="434">
        <f t="shared" si="34"/>
        <v>7722</v>
      </c>
      <c r="Q350" s="434"/>
      <c r="R350" s="434">
        <v>325</v>
      </c>
      <c r="S350" s="434">
        <v>7397</v>
      </c>
      <c r="U350" s="472"/>
      <c r="V350" s="472"/>
      <c r="W350" s="472"/>
      <c r="X350" s="472"/>
      <c r="Y350" s="472"/>
    </row>
    <row r="351" spans="1:25" s="428" customFormat="1" ht="9.1999999999999993" customHeight="1" x14ac:dyDescent="0.25">
      <c r="A351" s="431" t="s">
        <v>34</v>
      </c>
      <c r="B351" s="427">
        <f t="shared" si="32"/>
        <v>62735</v>
      </c>
      <c r="C351" s="427"/>
      <c r="D351" s="477">
        <v>23413</v>
      </c>
      <c r="E351" s="477">
        <v>26727</v>
      </c>
      <c r="F351" s="477">
        <v>5973</v>
      </c>
      <c r="G351" s="477">
        <v>6622</v>
      </c>
      <c r="I351" s="427">
        <f t="shared" si="33"/>
        <v>297236</v>
      </c>
      <c r="J351" s="427"/>
      <c r="K351" s="427">
        <v>42065</v>
      </c>
      <c r="L351" s="427">
        <v>98491</v>
      </c>
      <c r="M351" s="427">
        <v>143319</v>
      </c>
      <c r="N351" s="427">
        <v>13361</v>
      </c>
      <c r="O351" s="427"/>
      <c r="P351" s="427">
        <f t="shared" si="34"/>
        <v>8684</v>
      </c>
      <c r="Q351" s="427"/>
      <c r="R351" s="427">
        <v>661</v>
      </c>
      <c r="S351" s="427">
        <v>8023</v>
      </c>
      <c r="U351" s="472"/>
      <c r="V351" s="472"/>
      <c r="W351" s="472"/>
      <c r="X351" s="472"/>
      <c r="Y351" s="472"/>
    </row>
    <row r="352" spans="1:25" s="428" customFormat="1" ht="9.1999999999999993" customHeight="1" x14ac:dyDescent="0.25">
      <c r="A352" s="431" t="s">
        <v>35</v>
      </c>
      <c r="B352" s="427">
        <f t="shared" si="32"/>
        <v>99177</v>
      </c>
      <c r="C352" s="427"/>
      <c r="D352" s="477">
        <v>38595</v>
      </c>
      <c r="E352" s="477">
        <v>27018</v>
      </c>
      <c r="F352" s="477">
        <v>19488</v>
      </c>
      <c r="G352" s="477">
        <v>14076</v>
      </c>
      <c r="I352" s="427">
        <f t="shared" si="33"/>
        <v>488389</v>
      </c>
      <c r="J352" s="427"/>
      <c r="K352" s="427">
        <v>71958</v>
      </c>
      <c r="L352" s="427">
        <v>103503</v>
      </c>
      <c r="M352" s="427">
        <v>269182</v>
      </c>
      <c r="N352" s="427">
        <v>43746</v>
      </c>
      <c r="O352" s="427"/>
      <c r="P352" s="427">
        <f t="shared" si="34"/>
        <v>23107</v>
      </c>
      <c r="Q352" s="427"/>
      <c r="R352" s="427">
        <v>2097</v>
      </c>
      <c r="S352" s="427">
        <v>21010</v>
      </c>
      <c r="U352" s="472"/>
      <c r="V352" s="472"/>
      <c r="W352" s="472"/>
      <c r="X352" s="472"/>
      <c r="Y352" s="472"/>
    </row>
    <row r="353" spans="1:25" s="428" customFormat="1" ht="9.1999999999999993" customHeight="1" x14ac:dyDescent="0.25">
      <c r="A353" s="431" t="s">
        <v>36</v>
      </c>
      <c r="B353" s="427">
        <f t="shared" si="32"/>
        <v>203100</v>
      </c>
      <c r="C353" s="427"/>
      <c r="D353" s="477">
        <v>59788</v>
      </c>
      <c r="E353" s="477">
        <v>79701</v>
      </c>
      <c r="F353" s="477">
        <v>25028</v>
      </c>
      <c r="G353" s="477">
        <v>38583</v>
      </c>
      <c r="I353" s="427">
        <f t="shared" si="33"/>
        <v>1185246</v>
      </c>
      <c r="J353" s="427"/>
      <c r="K353" s="427">
        <v>207338</v>
      </c>
      <c r="L353" s="427">
        <v>359380</v>
      </c>
      <c r="M353" s="427">
        <v>470690</v>
      </c>
      <c r="N353" s="427">
        <v>147838</v>
      </c>
      <c r="O353" s="427"/>
      <c r="P353" s="427">
        <f t="shared" si="34"/>
        <v>30139</v>
      </c>
      <c r="Q353" s="427"/>
      <c r="R353" s="427">
        <v>4778</v>
      </c>
      <c r="S353" s="427">
        <v>25361</v>
      </c>
      <c r="U353" s="472"/>
      <c r="V353" s="472"/>
      <c r="W353" s="472"/>
      <c r="X353" s="472"/>
      <c r="Y353" s="472"/>
    </row>
    <row r="354" spans="1:25" s="428" customFormat="1" ht="9.1999999999999993" customHeight="1" x14ac:dyDescent="0.25">
      <c r="A354" s="433" t="s">
        <v>37</v>
      </c>
      <c r="B354" s="434">
        <f t="shared" si="32"/>
        <v>103439</v>
      </c>
      <c r="C354" s="434"/>
      <c r="D354" s="479">
        <v>49189</v>
      </c>
      <c r="E354" s="479">
        <v>36669</v>
      </c>
      <c r="F354" s="479">
        <v>8454</v>
      </c>
      <c r="G354" s="479">
        <v>9127</v>
      </c>
      <c r="H354" s="475"/>
      <c r="I354" s="434">
        <f t="shared" si="33"/>
        <v>404629</v>
      </c>
      <c r="J354" s="434"/>
      <c r="K354" s="434">
        <v>73938</v>
      </c>
      <c r="L354" s="434">
        <v>146043</v>
      </c>
      <c r="M354" s="434">
        <v>169636</v>
      </c>
      <c r="N354" s="434">
        <v>15012</v>
      </c>
      <c r="O354" s="434"/>
      <c r="P354" s="434">
        <f t="shared" si="34"/>
        <v>11154</v>
      </c>
      <c r="Q354" s="434"/>
      <c r="R354" s="434">
        <v>759</v>
      </c>
      <c r="S354" s="434">
        <v>10395</v>
      </c>
      <c r="U354" s="472"/>
      <c r="V354" s="472"/>
      <c r="W354" s="472"/>
      <c r="X354" s="472"/>
      <c r="Y354" s="472"/>
    </row>
    <row r="355" spans="1:25" s="428" customFormat="1" ht="9.1999999999999993" customHeight="1" x14ac:dyDescent="0.25">
      <c r="A355" s="431" t="s">
        <v>38</v>
      </c>
      <c r="B355" s="427">
        <f t="shared" si="32"/>
        <v>27997</v>
      </c>
      <c r="C355" s="427"/>
      <c r="D355" s="477">
        <v>8740</v>
      </c>
      <c r="E355" s="477">
        <v>9005</v>
      </c>
      <c r="F355" s="477">
        <v>4871</v>
      </c>
      <c r="G355" s="477">
        <v>5381</v>
      </c>
      <c r="I355" s="427">
        <f t="shared" si="33"/>
        <v>154744</v>
      </c>
      <c r="J355" s="427"/>
      <c r="K355" s="427">
        <v>24694</v>
      </c>
      <c r="L355" s="427">
        <v>33718</v>
      </c>
      <c r="M355" s="427">
        <v>85055</v>
      </c>
      <c r="N355" s="427">
        <v>11277</v>
      </c>
      <c r="O355" s="427"/>
      <c r="P355" s="427">
        <f t="shared" si="34"/>
        <v>5510</v>
      </c>
      <c r="Q355" s="427"/>
      <c r="R355" s="427">
        <v>426</v>
      </c>
      <c r="S355" s="427">
        <v>5084</v>
      </c>
      <c r="U355" s="472"/>
      <c r="V355" s="472"/>
      <c r="W355" s="472"/>
      <c r="X355" s="472"/>
      <c r="Y355" s="472"/>
    </row>
    <row r="356" spans="1:25" s="428" customFormat="1" ht="9.1999999999999993" customHeight="1" x14ac:dyDescent="0.25">
      <c r="A356" s="431" t="s">
        <v>39</v>
      </c>
      <c r="B356" s="427">
        <f t="shared" si="32"/>
        <v>28028</v>
      </c>
      <c r="C356" s="427"/>
      <c r="D356" s="477">
        <v>16679</v>
      </c>
      <c r="E356" s="477">
        <v>6621</v>
      </c>
      <c r="F356" s="477">
        <v>2787</v>
      </c>
      <c r="G356" s="477">
        <v>1941</v>
      </c>
      <c r="I356" s="427">
        <f t="shared" si="33"/>
        <v>114684</v>
      </c>
      <c r="J356" s="427"/>
      <c r="K356" s="427">
        <v>27780</v>
      </c>
      <c r="L356" s="427">
        <v>29947</v>
      </c>
      <c r="M356" s="427">
        <v>53052</v>
      </c>
      <c r="N356" s="427">
        <v>3905</v>
      </c>
      <c r="O356" s="427"/>
      <c r="P356" s="427">
        <f t="shared" si="34"/>
        <v>3725</v>
      </c>
      <c r="Q356" s="427"/>
      <c r="R356" s="427">
        <v>286</v>
      </c>
      <c r="S356" s="427">
        <v>3439</v>
      </c>
      <c r="U356" s="472"/>
      <c r="V356" s="472"/>
      <c r="W356" s="472"/>
      <c r="X356" s="472"/>
      <c r="Y356" s="472"/>
    </row>
    <row r="357" spans="1:25" s="428" customFormat="1" ht="9.1999999999999993" customHeight="1" x14ac:dyDescent="0.25">
      <c r="A357" s="431" t="s">
        <v>40</v>
      </c>
      <c r="B357" s="427">
        <f t="shared" si="32"/>
        <v>101277</v>
      </c>
      <c r="C357" s="427"/>
      <c r="D357" s="477">
        <v>31818</v>
      </c>
      <c r="E357" s="477">
        <v>50141</v>
      </c>
      <c r="F357" s="477">
        <v>13176</v>
      </c>
      <c r="G357" s="477">
        <v>6142</v>
      </c>
      <c r="I357" s="427">
        <f t="shared" si="33"/>
        <v>426427</v>
      </c>
      <c r="J357" s="427"/>
      <c r="K357" s="427">
        <v>48712</v>
      </c>
      <c r="L357" s="427">
        <v>163044</v>
      </c>
      <c r="M357" s="427">
        <v>202827</v>
      </c>
      <c r="N357" s="427">
        <v>11844</v>
      </c>
      <c r="O357" s="427"/>
      <c r="P357" s="427">
        <f t="shared" si="34"/>
        <v>13620</v>
      </c>
      <c r="Q357" s="427"/>
      <c r="R357" s="427">
        <v>1725</v>
      </c>
      <c r="S357" s="427">
        <v>11895</v>
      </c>
      <c r="U357" s="472"/>
      <c r="V357" s="472"/>
      <c r="W357" s="472"/>
      <c r="X357" s="472"/>
      <c r="Y357" s="472"/>
    </row>
    <row r="358" spans="1:25" s="428" customFormat="1" ht="9.1999999999999993" customHeight="1" x14ac:dyDescent="0.25">
      <c r="A358" s="433" t="s">
        <v>41</v>
      </c>
      <c r="B358" s="434">
        <f t="shared" si="32"/>
        <v>71886</v>
      </c>
      <c r="C358" s="434"/>
      <c r="D358" s="479">
        <v>32181</v>
      </c>
      <c r="E358" s="479">
        <v>26671</v>
      </c>
      <c r="F358" s="479">
        <v>8095</v>
      </c>
      <c r="G358" s="479">
        <v>4939</v>
      </c>
      <c r="H358" s="475"/>
      <c r="I358" s="434">
        <f t="shared" si="33"/>
        <v>363185</v>
      </c>
      <c r="J358" s="434"/>
      <c r="K358" s="434">
        <v>54616</v>
      </c>
      <c r="L358" s="434">
        <v>114525</v>
      </c>
      <c r="M358" s="434">
        <v>181632</v>
      </c>
      <c r="N358" s="434">
        <v>12412</v>
      </c>
      <c r="O358" s="434"/>
      <c r="P358" s="434">
        <f t="shared" si="34"/>
        <v>10195</v>
      </c>
      <c r="Q358" s="434"/>
      <c r="R358" s="434">
        <v>266</v>
      </c>
      <c r="S358" s="434">
        <v>9929</v>
      </c>
      <c r="U358" s="472"/>
      <c r="V358" s="472"/>
      <c r="W358" s="472"/>
      <c r="X358" s="472"/>
      <c r="Y358" s="472"/>
    </row>
    <row r="359" spans="1:25" s="428" customFormat="1" ht="9.1999999999999993" customHeight="1" x14ac:dyDescent="0.25">
      <c r="A359" s="431" t="s">
        <v>42</v>
      </c>
      <c r="B359" s="427">
        <f t="shared" si="32"/>
        <v>117915</v>
      </c>
      <c r="C359" s="427"/>
      <c r="D359" s="477">
        <v>46077</v>
      </c>
      <c r="E359" s="477">
        <v>45607</v>
      </c>
      <c r="F359" s="477">
        <v>11798</v>
      </c>
      <c r="G359" s="477">
        <v>14433</v>
      </c>
      <c r="I359" s="427">
        <f t="shared" si="33"/>
        <v>533787</v>
      </c>
      <c r="J359" s="427"/>
      <c r="K359" s="427">
        <v>87135</v>
      </c>
      <c r="L359" s="427">
        <v>197566</v>
      </c>
      <c r="M359" s="427">
        <v>221289</v>
      </c>
      <c r="N359" s="427">
        <v>27797</v>
      </c>
      <c r="O359" s="427"/>
      <c r="P359" s="427">
        <f t="shared" si="34"/>
        <v>17227</v>
      </c>
      <c r="Q359" s="427"/>
      <c r="R359" s="427">
        <v>1500</v>
      </c>
      <c r="S359" s="427">
        <v>15727</v>
      </c>
      <c r="U359" s="472"/>
      <c r="V359" s="472"/>
      <c r="W359" s="472"/>
      <c r="X359" s="472"/>
      <c r="Y359" s="472"/>
    </row>
    <row r="360" spans="1:25" s="428" customFormat="1" ht="9.1999999999999993" customHeight="1" x14ac:dyDescent="0.25">
      <c r="A360" s="431" t="s">
        <v>43</v>
      </c>
      <c r="B360" s="427">
        <f t="shared" si="32"/>
        <v>37851</v>
      </c>
      <c r="C360" s="427"/>
      <c r="D360" s="477">
        <v>15426</v>
      </c>
      <c r="E360" s="477">
        <v>14572</v>
      </c>
      <c r="F360" s="477">
        <v>4970</v>
      </c>
      <c r="G360" s="477">
        <v>2883</v>
      </c>
      <c r="I360" s="427">
        <f t="shared" si="33"/>
        <v>155019</v>
      </c>
      <c r="J360" s="427"/>
      <c r="K360" s="427">
        <v>22362</v>
      </c>
      <c r="L360" s="427">
        <v>59316</v>
      </c>
      <c r="M360" s="427">
        <v>66180</v>
      </c>
      <c r="N360" s="427">
        <v>7161</v>
      </c>
      <c r="O360" s="427"/>
      <c r="P360" s="427">
        <f t="shared" si="34"/>
        <v>6423</v>
      </c>
      <c r="Q360" s="427"/>
      <c r="R360" s="427">
        <v>879</v>
      </c>
      <c r="S360" s="427">
        <v>5544</v>
      </c>
      <c r="U360" s="472"/>
      <c r="V360" s="472"/>
      <c r="W360" s="472"/>
      <c r="X360" s="472"/>
      <c r="Y360" s="472"/>
    </row>
    <row r="361" spans="1:25" s="428" customFormat="1" ht="9.1999999999999993" customHeight="1" x14ac:dyDescent="0.25">
      <c r="A361" s="431" t="s">
        <v>44</v>
      </c>
      <c r="B361" s="427">
        <f t="shared" si="32"/>
        <v>27411</v>
      </c>
      <c r="C361" s="427"/>
      <c r="D361" s="477">
        <v>10413</v>
      </c>
      <c r="E361" s="477">
        <v>7697</v>
      </c>
      <c r="F361" s="477">
        <v>4920</v>
      </c>
      <c r="G361" s="477">
        <v>4381</v>
      </c>
      <c r="I361" s="427">
        <f t="shared" si="33"/>
        <v>114242</v>
      </c>
      <c r="J361" s="427"/>
      <c r="K361" s="427">
        <v>20088</v>
      </c>
      <c r="L361" s="427">
        <v>30176</v>
      </c>
      <c r="M361" s="427">
        <v>56208</v>
      </c>
      <c r="N361" s="427">
        <v>7770</v>
      </c>
      <c r="O361" s="427"/>
      <c r="P361" s="427">
        <f t="shared" si="34"/>
        <v>5255</v>
      </c>
      <c r="Q361" s="427"/>
      <c r="R361" s="427">
        <v>667</v>
      </c>
      <c r="S361" s="427">
        <v>4588</v>
      </c>
      <c r="U361" s="472"/>
      <c r="V361" s="472"/>
      <c r="W361" s="472"/>
      <c r="X361" s="472"/>
      <c r="Y361" s="472"/>
    </row>
    <row r="362" spans="1:25" s="428" customFormat="1" ht="9.1999999999999993" customHeight="1" x14ac:dyDescent="0.25">
      <c r="A362" s="433" t="s">
        <v>45</v>
      </c>
      <c r="B362" s="434">
        <f t="shared" si="32"/>
        <v>56646</v>
      </c>
      <c r="C362" s="434"/>
      <c r="D362" s="479">
        <v>23292</v>
      </c>
      <c r="E362" s="479">
        <v>23945</v>
      </c>
      <c r="F362" s="479">
        <v>5095</v>
      </c>
      <c r="G362" s="479">
        <v>4314</v>
      </c>
      <c r="H362" s="475"/>
      <c r="I362" s="434">
        <f t="shared" si="33"/>
        <v>233223</v>
      </c>
      <c r="J362" s="434"/>
      <c r="K362" s="434">
        <v>38949</v>
      </c>
      <c r="L362" s="434">
        <v>93508</v>
      </c>
      <c r="M362" s="434">
        <v>93208</v>
      </c>
      <c r="N362" s="434">
        <v>7558</v>
      </c>
      <c r="O362" s="434"/>
      <c r="P362" s="434">
        <f t="shared" si="34"/>
        <v>6983</v>
      </c>
      <c r="Q362" s="434"/>
      <c r="R362" s="434">
        <v>448</v>
      </c>
      <c r="S362" s="434">
        <v>6535</v>
      </c>
      <c r="U362" s="472"/>
      <c r="V362" s="472"/>
      <c r="W362" s="472"/>
      <c r="X362" s="472"/>
      <c r="Y362" s="472"/>
    </row>
    <row r="363" spans="1:25" s="428" customFormat="1" ht="9.1999999999999993" customHeight="1" x14ac:dyDescent="0.25">
      <c r="A363" s="431" t="s">
        <v>46</v>
      </c>
      <c r="B363" s="427">
        <f t="shared" si="32"/>
        <v>68602</v>
      </c>
      <c r="C363" s="427"/>
      <c r="D363" s="477">
        <v>28469</v>
      </c>
      <c r="E363" s="477">
        <v>26761</v>
      </c>
      <c r="F363" s="477">
        <v>9772</v>
      </c>
      <c r="G363" s="477">
        <v>3600</v>
      </c>
      <c r="I363" s="427">
        <f t="shared" si="33"/>
        <v>310807</v>
      </c>
      <c r="J363" s="427"/>
      <c r="K363" s="427">
        <v>42954</v>
      </c>
      <c r="L363" s="427">
        <v>90943</v>
      </c>
      <c r="M363" s="427">
        <v>172091</v>
      </c>
      <c r="N363" s="427">
        <v>4819</v>
      </c>
      <c r="O363" s="427"/>
      <c r="P363" s="427">
        <f t="shared" si="34"/>
        <v>9485</v>
      </c>
      <c r="Q363" s="427"/>
      <c r="R363" s="427">
        <v>383</v>
      </c>
      <c r="S363" s="427">
        <v>9102</v>
      </c>
      <c r="U363" s="472"/>
      <c r="V363" s="472"/>
      <c r="W363" s="472"/>
      <c r="X363" s="472"/>
      <c r="Y363" s="472"/>
    </row>
    <row r="364" spans="1:25" s="428" customFormat="1" ht="9.1999999999999993" customHeight="1" x14ac:dyDescent="0.25">
      <c r="A364" s="431" t="s">
        <v>47</v>
      </c>
      <c r="B364" s="427">
        <f t="shared" si="32"/>
        <v>56456</v>
      </c>
      <c r="C364" s="427"/>
      <c r="D364" s="477">
        <v>25691</v>
      </c>
      <c r="E364" s="477">
        <v>17582</v>
      </c>
      <c r="F364" s="477">
        <v>6968</v>
      </c>
      <c r="G364" s="477">
        <v>6215</v>
      </c>
      <c r="I364" s="427">
        <f t="shared" si="33"/>
        <v>236299</v>
      </c>
      <c r="J364" s="427"/>
      <c r="K364" s="427">
        <v>42912</v>
      </c>
      <c r="L364" s="427">
        <v>67088</v>
      </c>
      <c r="M364" s="427">
        <v>116457</v>
      </c>
      <c r="N364" s="427">
        <v>9842</v>
      </c>
      <c r="O364" s="427"/>
      <c r="P364" s="427">
        <f t="shared" si="34"/>
        <v>9259</v>
      </c>
      <c r="Q364" s="427"/>
      <c r="R364" s="427">
        <v>949</v>
      </c>
      <c r="S364" s="427">
        <v>8310</v>
      </c>
      <c r="U364" s="472"/>
      <c r="V364" s="472"/>
      <c r="W364" s="472"/>
      <c r="X364" s="472"/>
      <c r="Y364" s="472"/>
    </row>
    <row r="365" spans="1:25" s="428" customFormat="1" ht="9.1999999999999993" customHeight="1" x14ac:dyDescent="0.25">
      <c r="A365" s="431" t="s">
        <v>48</v>
      </c>
      <c r="B365" s="427">
        <f t="shared" si="32"/>
        <v>41385</v>
      </c>
      <c r="C365" s="427"/>
      <c r="D365" s="477">
        <v>27233</v>
      </c>
      <c r="E365" s="477">
        <v>7130</v>
      </c>
      <c r="F365" s="477">
        <v>4468</v>
      </c>
      <c r="G365" s="477">
        <v>2554</v>
      </c>
      <c r="I365" s="427">
        <f t="shared" si="33"/>
        <v>251759</v>
      </c>
      <c r="J365" s="427"/>
      <c r="K365" s="427">
        <v>69832</v>
      </c>
      <c r="L365" s="427">
        <v>34696</v>
      </c>
      <c r="M365" s="427">
        <v>137060</v>
      </c>
      <c r="N365" s="427">
        <v>10171</v>
      </c>
      <c r="O365" s="427"/>
      <c r="P365" s="427">
        <f t="shared" si="34"/>
        <v>9037</v>
      </c>
      <c r="Q365" s="427"/>
      <c r="R365" s="427">
        <v>860</v>
      </c>
      <c r="S365" s="427">
        <v>8177</v>
      </c>
      <c r="U365" s="472"/>
      <c r="V365" s="472"/>
      <c r="W365" s="472"/>
      <c r="X365" s="472"/>
      <c r="Y365" s="472"/>
    </row>
    <row r="366" spans="1:25" s="428" customFormat="1" ht="9.1999999999999993" customHeight="1" x14ac:dyDescent="0.25">
      <c r="A366" s="433" t="s">
        <v>49</v>
      </c>
      <c r="B366" s="434">
        <f t="shared" si="32"/>
        <v>63778</v>
      </c>
      <c r="C366" s="434"/>
      <c r="D366" s="479">
        <v>30604</v>
      </c>
      <c r="E366" s="479">
        <v>22134</v>
      </c>
      <c r="F366" s="479">
        <v>7578</v>
      </c>
      <c r="G366" s="479">
        <v>3462</v>
      </c>
      <c r="H366" s="475"/>
      <c r="I366" s="434">
        <f t="shared" si="33"/>
        <v>287243</v>
      </c>
      <c r="J366" s="434"/>
      <c r="K366" s="434">
        <v>44909</v>
      </c>
      <c r="L366" s="434">
        <v>81700</v>
      </c>
      <c r="M366" s="434">
        <v>153764</v>
      </c>
      <c r="N366" s="434">
        <v>6870</v>
      </c>
      <c r="O366" s="434"/>
      <c r="P366" s="434">
        <f t="shared" si="34"/>
        <v>10342</v>
      </c>
      <c r="Q366" s="434"/>
      <c r="R366" s="434">
        <v>759</v>
      </c>
      <c r="S366" s="434">
        <v>9583</v>
      </c>
      <c r="U366" s="472"/>
      <c r="V366" s="472"/>
      <c r="W366" s="472"/>
      <c r="X366" s="472"/>
      <c r="Y366" s="472"/>
    </row>
    <row r="367" spans="1:25" s="428" customFormat="1" ht="9.1999999999999993" customHeight="1" x14ac:dyDescent="0.25">
      <c r="A367" s="431" t="s">
        <v>50</v>
      </c>
      <c r="B367" s="427">
        <f t="shared" si="32"/>
        <v>14953</v>
      </c>
      <c r="C367" s="427"/>
      <c r="D367" s="477">
        <v>4530</v>
      </c>
      <c r="E367" s="477">
        <v>5875</v>
      </c>
      <c r="F367" s="477">
        <v>2263</v>
      </c>
      <c r="G367" s="477">
        <v>2285</v>
      </c>
      <c r="I367" s="427">
        <f t="shared" si="33"/>
        <v>99648</v>
      </c>
      <c r="J367" s="427"/>
      <c r="K367" s="427">
        <v>13317</v>
      </c>
      <c r="L367" s="427">
        <v>31149</v>
      </c>
      <c r="M367" s="427">
        <v>48339</v>
      </c>
      <c r="N367" s="427">
        <v>6843</v>
      </c>
      <c r="O367" s="427"/>
      <c r="P367" s="427">
        <f t="shared" si="34"/>
        <v>4353</v>
      </c>
      <c r="Q367" s="427"/>
      <c r="R367" s="427">
        <v>150</v>
      </c>
      <c r="S367" s="427">
        <v>4203</v>
      </c>
      <c r="U367" s="472"/>
      <c r="V367" s="472"/>
      <c r="W367" s="472"/>
      <c r="X367" s="472"/>
      <c r="Y367" s="472"/>
    </row>
    <row r="368" spans="1:25" s="428" customFormat="1" ht="9.1999999999999993" customHeight="1" x14ac:dyDescent="0.25">
      <c r="A368" s="428" t="s">
        <v>51</v>
      </c>
      <c r="B368" s="427">
        <f t="shared" si="32"/>
        <v>161820</v>
      </c>
      <c r="C368" s="427"/>
      <c r="D368" s="477">
        <v>73590</v>
      </c>
      <c r="E368" s="477">
        <v>57234</v>
      </c>
      <c r="F368" s="477">
        <v>18745</v>
      </c>
      <c r="G368" s="477">
        <v>12251</v>
      </c>
      <c r="I368" s="427">
        <f t="shared" si="33"/>
        <v>841652</v>
      </c>
      <c r="J368" s="427"/>
      <c r="K368" s="427">
        <v>118421</v>
      </c>
      <c r="L368" s="427">
        <v>236754</v>
      </c>
      <c r="M368" s="427">
        <v>459547</v>
      </c>
      <c r="N368" s="427">
        <v>26930</v>
      </c>
      <c r="O368" s="427"/>
      <c r="P368" s="427">
        <f t="shared" si="34"/>
        <v>28328</v>
      </c>
      <c r="Q368" s="427"/>
      <c r="R368" s="427">
        <v>1236</v>
      </c>
      <c r="S368" s="427">
        <v>27092</v>
      </c>
      <c r="U368" s="472"/>
      <c r="V368" s="472"/>
      <c r="W368" s="472"/>
      <c r="X368" s="472"/>
      <c r="Y368" s="472"/>
    </row>
    <row r="369" spans="1:25" s="428" customFormat="1" ht="9.1999999999999993" customHeight="1" x14ac:dyDescent="0.25">
      <c r="A369" s="428" t="s">
        <v>52</v>
      </c>
      <c r="B369" s="427">
        <f t="shared" si="32"/>
        <v>47182</v>
      </c>
      <c r="C369" s="427"/>
      <c r="D369" s="477">
        <v>26970</v>
      </c>
      <c r="E369" s="477">
        <v>10362</v>
      </c>
      <c r="F369" s="477">
        <v>6786</v>
      </c>
      <c r="G369" s="477">
        <v>3064</v>
      </c>
      <c r="I369" s="427">
        <f t="shared" si="33"/>
        <v>178519</v>
      </c>
      <c r="J369" s="427"/>
      <c r="K369" s="427">
        <v>38531</v>
      </c>
      <c r="L369" s="427">
        <v>43344</v>
      </c>
      <c r="M369" s="427">
        <v>92679</v>
      </c>
      <c r="N369" s="427">
        <v>3965</v>
      </c>
      <c r="O369" s="427"/>
      <c r="P369" s="427">
        <f t="shared" si="34"/>
        <v>7449</v>
      </c>
      <c r="Q369" s="427"/>
      <c r="R369" s="427">
        <v>458</v>
      </c>
      <c r="S369" s="427">
        <v>6991</v>
      </c>
      <c r="U369" s="472"/>
      <c r="V369" s="472"/>
      <c r="W369" s="472"/>
      <c r="X369" s="472"/>
      <c r="Y369" s="472"/>
    </row>
    <row r="370" spans="1:25" s="428" customFormat="1" ht="9.1999999999999993" customHeight="1" x14ac:dyDescent="0.25">
      <c r="A370" s="433" t="s">
        <v>53</v>
      </c>
      <c r="B370" s="434">
        <f t="shared" si="32"/>
        <v>46393</v>
      </c>
      <c r="C370" s="434"/>
      <c r="D370" s="479">
        <v>16103</v>
      </c>
      <c r="E370" s="479">
        <v>21371</v>
      </c>
      <c r="F370" s="479">
        <v>4480</v>
      </c>
      <c r="G370" s="479">
        <v>4439</v>
      </c>
      <c r="H370" s="475"/>
      <c r="I370" s="434">
        <f t="shared" si="33"/>
        <v>176705</v>
      </c>
      <c r="J370" s="434"/>
      <c r="K370" s="434">
        <v>26389</v>
      </c>
      <c r="L370" s="434">
        <v>73103</v>
      </c>
      <c r="M370" s="434">
        <v>67552</v>
      </c>
      <c r="N370" s="434">
        <v>9661</v>
      </c>
      <c r="O370" s="434"/>
      <c r="P370" s="434">
        <f t="shared" si="34"/>
        <v>4192</v>
      </c>
      <c r="Q370" s="434"/>
      <c r="R370" s="434">
        <v>288</v>
      </c>
      <c r="S370" s="434">
        <v>3904</v>
      </c>
      <c r="U370" s="472"/>
      <c r="V370" s="472"/>
      <c r="W370" s="472"/>
      <c r="X370" s="472"/>
      <c r="Y370" s="472"/>
    </row>
    <row r="371" spans="1:25" s="428" customFormat="1" ht="9" customHeight="1" x14ac:dyDescent="0.25">
      <c r="B371" s="427"/>
      <c r="C371" s="427"/>
      <c r="D371" s="477"/>
      <c r="E371" s="477"/>
      <c r="F371" s="477"/>
      <c r="G371" s="477"/>
      <c r="I371" s="427"/>
      <c r="J371" s="427"/>
      <c r="K371" s="427"/>
      <c r="L371" s="427"/>
      <c r="M371" s="427"/>
      <c r="N371" s="427"/>
      <c r="O371" s="427"/>
      <c r="P371" s="427"/>
      <c r="Q371" s="427"/>
      <c r="R371" s="427"/>
      <c r="S371" s="427"/>
      <c r="U371" s="472"/>
      <c r="V371" s="472"/>
      <c r="W371" s="472"/>
      <c r="X371" s="472"/>
      <c r="Y371" s="472"/>
    </row>
    <row r="372" spans="1:25" s="428" customFormat="1" ht="9" customHeight="1" x14ac:dyDescent="0.25">
      <c r="A372" s="441">
        <v>2005</v>
      </c>
      <c r="B372" s="427"/>
      <c r="C372" s="427"/>
      <c r="D372" s="476"/>
      <c r="E372" s="477"/>
      <c r="F372" s="477"/>
      <c r="G372" s="477"/>
      <c r="H372" s="477"/>
      <c r="I372" s="477"/>
      <c r="J372" s="477"/>
      <c r="K372" s="477"/>
      <c r="L372" s="477"/>
      <c r="M372" s="477"/>
      <c r="N372" s="477"/>
      <c r="O372" s="477"/>
      <c r="P372" s="477"/>
      <c r="Q372" s="477"/>
      <c r="R372" s="477"/>
      <c r="S372" s="477"/>
      <c r="U372" s="472"/>
      <c r="V372" s="472"/>
      <c r="W372" s="472"/>
      <c r="X372" s="472"/>
      <c r="Y372" s="472"/>
    </row>
    <row r="373" spans="1:25" s="428" customFormat="1" ht="9" customHeight="1" x14ac:dyDescent="0.25">
      <c r="A373" s="429" t="s">
        <v>21</v>
      </c>
      <c r="B373" s="476">
        <f>SUM(B375:B406)</f>
        <v>2194153</v>
      </c>
      <c r="C373" s="476"/>
      <c r="D373" s="476">
        <f>SUM(D375:D406)</f>
        <v>896075</v>
      </c>
      <c r="E373" s="476">
        <f>SUM(E375:E406)</f>
        <v>766492</v>
      </c>
      <c r="F373" s="476">
        <f>SUM(F375:F406)</f>
        <v>287250</v>
      </c>
      <c r="G373" s="476">
        <f>SUM(G375:G406)</f>
        <v>244336</v>
      </c>
      <c r="H373" s="476"/>
      <c r="I373" s="430">
        <f>SUM(I375:I406)</f>
        <v>10474351</v>
      </c>
      <c r="J373" s="430"/>
      <c r="K373" s="430">
        <f>SUM(K375:K406)</f>
        <v>1636908</v>
      </c>
      <c r="L373" s="430">
        <f>SUM(L375:L406)</f>
        <v>3026431</v>
      </c>
      <c r="M373" s="430">
        <f>SUM(M375:M406)</f>
        <v>5235029</v>
      </c>
      <c r="N373" s="430">
        <f>SUM(N375:N406)</f>
        <v>575983</v>
      </c>
      <c r="O373" s="482"/>
      <c r="P373" s="430">
        <f>SUM(P375:P406)</f>
        <v>374132</v>
      </c>
      <c r="Q373" s="430"/>
      <c r="R373" s="430">
        <f>SUM(R375:R406)</f>
        <v>38229</v>
      </c>
      <c r="S373" s="430">
        <f>SUM(S375:S406)</f>
        <v>335903</v>
      </c>
      <c r="U373" s="472"/>
      <c r="V373" s="472"/>
      <c r="W373" s="472"/>
      <c r="X373" s="472"/>
      <c r="Y373" s="472"/>
    </row>
    <row r="374" spans="1:25" s="428" customFormat="1" ht="3.95" customHeight="1" x14ac:dyDescent="0.25">
      <c r="A374" s="429"/>
      <c r="B374" s="476"/>
      <c r="C374" s="476"/>
      <c r="D374" s="476"/>
      <c r="E374" s="476"/>
      <c r="F374" s="476"/>
      <c r="G374" s="476"/>
      <c r="H374" s="476"/>
      <c r="I374" s="430"/>
      <c r="J374" s="430"/>
      <c r="K374" s="430"/>
      <c r="L374" s="430"/>
      <c r="M374" s="430"/>
      <c r="N374" s="430"/>
      <c r="O374" s="430"/>
      <c r="P374" s="430"/>
      <c r="Q374" s="430"/>
      <c r="R374" s="430"/>
      <c r="S374" s="430"/>
      <c r="U374" s="472"/>
      <c r="V374" s="472"/>
      <c r="W374" s="472"/>
      <c r="X374" s="472"/>
      <c r="Y374" s="472"/>
    </row>
    <row r="375" spans="1:25" s="428" customFormat="1" ht="9.1999999999999993" customHeight="1" x14ac:dyDescent="0.25">
      <c r="A375" s="431" t="s">
        <v>23</v>
      </c>
      <c r="B375" s="427">
        <f t="shared" ref="B375:B406" si="35">SUM(D375:G375)</f>
        <v>27268</v>
      </c>
      <c r="C375" s="427"/>
      <c r="D375" s="477">
        <v>14083</v>
      </c>
      <c r="E375" s="477">
        <v>6819</v>
      </c>
      <c r="F375" s="477">
        <v>3229</v>
      </c>
      <c r="G375" s="477">
        <v>3137</v>
      </c>
      <c r="I375" s="427">
        <f t="shared" ref="I375:I406" si="36">SUM(K375:O375)</f>
        <v>104552</v>
      </c>
      <c r="J375" s="427"/>
      <c r="K375" s="427">
        <v>19248</v>
      </c>
      <c r="L375" s="427">
        <v>31252</v>
      </c>
      <c r="M375" s="427">
        <v>46697</v>
      </c>
      <c r="N375" s="427">
        <v>7355</v>
      </c>
      <c r="O375" s="427"/>
      <c r="P375" s="427">
        <f t="shared" ref="P375:P406" si="37">SUM(R375:S375)</f>
        <v>4090</v>
      </c>
      <c r="Q375" s="427"/>
      <c r="R375" s="427">
        <v>603</v>
      </c>
      <c r="S375" s="427">
        <v>3487</v>
      </c>
      <c r="U375" s="472"/>
      <c r="V375" s="472"/>
      <c r="W375" s="472"/>
      <c r="X375" s="472"/>
      <c r="Y375" s="472"/>
    </row>
    <row r="376" spans="1:25" s="428" customFormat="1" ht="9.1999999999999993" customHeight="1" x14ac:dyDescent="0.25">
      <c r="A376" s="431" t="s">
        <v>24</v>
      </c>
      <c r="B376" s="427">
        <f t="shared" si="35"/>
        <v>83138</v>
      </c>
      <c r="C376" s="427"/>
      <c r="D376" s="477">
        <v>53647</v>
      </c>
      <c r="E376" s="477">
        <v>16669</v>
      </c>
      <c r="F376" s="477">
        <v>9677</v>
      </c>
      <c r="G376" s="477">
        <v>3145</v>
      </c>
      <c r="I376" s="427">
        <f t="shared" si="36"/>
        <v>300330</v>
      </c>
      <c r="J376" s="427"/>
      <c r="K376" s="427">
        <v>79886</v>
      </c>
      <c r="L376" s="427">
        <v>80381</v>
      </c>
      <c r="M376" s="427">
        <v>136409</v>
      </c>
      <c r="N376" s="427">
        <v>3654</v>
      </c>
      <c r="O376" s="427"/>
      <c r="P376" s="427">
        <f t="shared" si="37"/>
        <v>11981</v>
      </c>
      <c r="Q376" s="427"/>
      <c r="R376" s="427">
        <v>1556</v>
      </c>
      <c r="S376" s="427">
        <v>10425</v>
      </c>
      <c r="U376" s="472"/>
      <c r="V376" s="472"/>
      <c r="W376" s="472"/>
      <c r="X376" s="472"/>
      <c r="Y376" s="472"/>
    </row>
    <row r="377" spans="1:25" s="428" customFormat="1" ht="9.1999999999999993" customHeight="1" x14ac:dyDescent="0.25">
      <c r="A377" s="431" t="s">
        <v>25</v>
      </c>
      <c r="B377" s="427">
        <f t="shared" si="35"/>
        <v>14403</v>
      </c>
      <c r="C377" s="427"/>
      <c r="D377" s="477">
        <v>6822</v>
      </c>
      <c r="E377" s="477">
        <v>4314</v>
      </c>
      <c r="F377" s="477">
        <v>2184</v>
      </c>
      <c r="G377" s="477">
        <v>1083</v>
      </c>
      <c r="I377" s="427">
        <f t="shared" si="36"/>
        <v>64417</v>
      </c>
      <c r="J377" s="427"/>
      <c r="K377" s="427">
        <v>8759</v>
      </c>
      <c r="L377" s="427">
        <v>15003</v>
      </c>
      <c r="M377" s="427">
        <v>39873</v>
      </c>
      <c r="N377" s="427">
        <v>782</v>
      </c>
      <c r="O377" s="427"/>
      <c r="P377" s="427">
        <f t="shared" si="37"/>
        <v>2615</v>
      </c>
      <c r="Q377" s="427"/>
      <c r="R377" s="427">
        <v>259</v>
      </c>
      <c r="S377" s="427">
        <v>2356</v>
      </c>
      <c r="U377" s="472"/>
      <c r="V377" s="472"/>
      <c r="W377" s="472"/>
      <c r="X377" s="472"/>
      <c r="Y377" s="472"/>
    </row>
    <row r="378" spans="1:25" s="428" customFormat="1" ht="9.1999999999999993" customHeight="1" x14ac:dyDescent="0.25">
      <c r="A378" s="433" t="s">
        <v>26</v>
      </c>
      <c r="B378" s="434">
        <f t="shared" si="35"/>
        <v>19466</v>
      </c>
      <c r="C378" s="434"/>
      <c r="D378" s="479">
        <v>10281</v>
      </c>
      <c r="E378" s="479">
        <v>5521</v>
      </c>
      <c r="F378" s="479">
        <v>1857</v>
      </c>
      <c r="G378" s="479">
        <v>1807</v>
      </c>
      <c r="H378" s="475"/>
      <c r="I378" s="434">
        <f t="shared" si="36"/>
        <v>92205</v>
      </c>
      <c r="J378" s="434"/>
      <c r="K378" s="434">
        <v>16454</v>
      </c>
      <c r="L378" s="434">
        <v>17927</v>
      </c>
      <c r="M378" s="434">
        <v>53652</v>
      </c>
      <c r="N378" s="434">
        <v>4172</v>
      </c>
      <c r="O378" s="434"/>
      <c r="P378" s="434">
        <f t="shared" si="37"/>
        <v>3323</v>
      </c>
      <c r="Q378" s="434"/>
      <c r="R378" s="434">
        <v>263</v>
      </c>
      <c r="S378" s="434">
        <v>3060</v>
      </c>
      <c r="U378" s="472"/>
      <c r="V378" s="472"/>
      <c r="W378" s="472"/>
      <c r="X378" s="472"/>
      <c r="Y378" s="472"/>
    </row>
    <row r="379" spans="1:25" s="428" customFormat="1" ht="9.1999999999999993" customHeight="1" x14ac:dyDescent="0.25">
      <c r="A379" s="431" t="s">
        <v>27</v>
      </c>
      <c r="B379" s="427">
        <f t="shared" si="35"/>
        <v>68624</v>
      </c>
      <c r="C379" s="427"/>
      <c r="D379" s="477">
        <v>24334</v>
      </c>
      <c r="E379" s="477">
        <v>28317</v>
      </c>
      <c r="F379" s="477">
        <v>10823</v>
      </c>
      <c r="G379" s="477">
        <v>5150</v>
      </c>
      <c r="I379" s="427">
        <f t="shared" si="36"/>
        <v>293100</v>
      </c>
      <c r="J379" s="427"/>
      <c r="K379" s="427">
        <v>35872</v>
      </c>
      <c r="L379" s="427">
        <v>85539</v>
      </c>
      <c r="M379" s="427">
        <v>163472</v>
      </c>
      <c r="N379" s="427">
        <v>8217</v>
      </c>
      <c r="O379" s="427"/>
      <c r="P379" s="427">
        <f t="shared" si="37"/>
        <v>11405</v>
      </c>
      <c r="Q379" s="427"/>
      <c r="R379" s="427">
        <v>1359</v>
      </c>
      <c r="S379" s="427">
        <v>10046</v>
      </c>
      <c r="U379" s="472"/>
      <c r="V379" s="472"/>
      <c r="W379" s="472"/>
      <c r="X379" s="472"/>
      <c r="Y379" s="472"/>
    </row>
    <row r="380" spans="1:25" s="428" customFormat="1" ht="9.1999999999999993" customHeight="1" x14ac:dyDescent="0.25">
      <c r="A380" s="431" t="s">
        <v>28</v>
      </c>
      <c r="B380" s="427">
        <f t="shared" si="35"/>
        <v>18936</v>
      </c>
      <c r="C380" s="427"/>
      <c r="D380" s="477">
        <v>7479</v>
      </c>
      <c r="E380" s="477">
        <v>6685</v>
      </c>
      <c r="F380" s="477">
        <v>2909</v>
      </c>
      <c r="G380" s="477">
        <v>1863</v>
      </c>
      <c r="I380" s="427">
        <f t="shared" si="36"/>
        <v>70413</v>
      </c>
      <c r="J380" s="427"/>
      <c r="K380" s="427">
        <v>10179</v>
      </c>
      <c r="L380" s="427">
        <v>15161</v>
      </c>
      <c r="M380" s="427">
        <v>41422</v>
      </c>
      <c r="N380" s="427">
        <v>3651</v>
      </c>
      <c r="O380" s="427"/>
      <c r="P380" s="427">
        <f t="shared" si="37"/>
        <v>3011</v>
      </c>
      <c r="Q380" s="427"/>
      <c r="R380" s="427">
        <v>298</v>
      </c>
      <c r="S380" s="427">
        <v>2713</v>
      </c>
      <c r="U380" s="472"/>
      <c r="V380" s="472"/>
      <c r="W380" s="472"/>
      <c r="X380" s="472"/>
      <c r="Y380" s="472"/>
    </row>
    <row r="381" spans="1:25" s="428" customFormat="1" ht="9.1999999999999993" customHeight="1" x14ac:dyDescent="0.25">
      <c r="A381" s="431" t="s">
        <v>29</v>
      </c>
      <c r="B381" s="427">
        <f t="shared" si="35"/>
        <v>105626</v>
      </c>
      <c r="C381" s="427"/>
      <c r="D381" s="477">
        <v>57668</v>
      </c>
      <c r="E381" s="477">
        <v>31038</v>
      </c>
      <c r="F381" s="477">
        <v>10503</v>
      </c>
      <c r="G381" s="477">
        <v>6417</v>
      </c>
      <c r="I381" s="427">
        <f t="shared" si="36"/>
        <v>472855</v>
      </c>
      <c r="J381" s="427"/>
      <c r="K381" s="427">
        <v>86809</v>
      </c>
      <c r="L381" s="427">
        <v>131243</v>
      </c>
      <c r="M381" s="427">
        <v>228907</v>
      </c>
      <c r="N381" s="427">
        <v>25896</v>
      </c>
      <c r="O381" s="427"/>
      <c r="P381" s="427">
        <f t="shared" si="37"/>
        <v>12753</v>
      </c>
      <c r="Q381" s="427"/>
      <c r="R381" s="427">
        <v>194</v>
      </c>
      <c r="S381" s="427">
        <v>12559</v>
      </c>
      <c r="U381" s="472"/>
      <c r="V381" s="472"/>
      <c r="W381" s="472"/>
      <c r="X381" s="472"/>
      <c r="Y381" s="472"/>
    </row>
    <row r="382" spans="1:25" s="428" customFormat="1" ht="9.1999999999999993" customHeight="1" x14ac:dyDescent="0.25">
      <c r="A382" s="433" t="s">
        <v>30</v>
      </c>
      <c r="B382" s="434">
        <f t="shared" si="35"/>
        <v>77024</v>
      </c>
      <c r="C382" s="434"/>
      <c r="D382" s="479">
        <v>39687</v>
      </c>
      <c r="E382" s="479">
        <v>23036</v>
      </c>
      <c r="F382" s="479">
        <v>10832</v>
      </c>
      <c r="G382" s="479">
        <v>3469</v>
      </c>
      <c r="H382" s="475"/>
      <c r="I382" s="434">
        <f t="shared" si="36"/>
        <v>337046</v>
      </c>
      <c r="J382" s="434"/>
      <c r="K382" s="434">
        <v>45361</v>
      </c>
      <c r="L382" s="434">
        <v>115985</v>
      </c>
      <c r="M382" s="434">
        <v>170041</v>
      </c>
      <c r="N382" s="434">
        <v>5659</v>
      </c>
      <c r="O382" s="434"/>
      <c r="P382" s="434">
        <f t="shared" si="37"/>
        <v>12302</v>
      </c>
      <c r="Q382" s="434"/>
      <c r="R382" s="434">
        <v>2121</v>
      </c>
      <c r="S382" s="434">
        <v>10181</v>
      </c>
      <c r="U382" s="472"/>
      <c r="V382" s="472"/>
      <c r="W382" s="472"/>
      <c r="X382" s="472"/>
      <c r="Y382" s="472"/>
    </row>
    <row r="383" spans="1:25" s="428" customFormat="1" ht="9.1999999999999993" customHeight="1" x14ac:dyDescent="0.25">
      <c r="A383" s="431" t="s">
        <v>63</v>
      </c>
      <c r="B383" s="427">
        <f t="shared" si="35"/>
        <v>191312</v>
      </c>
      <c r="C383" s="427"/>
      <c r="D383" s="477">
        <v>44768</v>
      </c>
      <c r="E383" s="477">
        <v>77199</v>
      </c>
      <c r="F383" s="477">
        <v>32768</v>
      </c>
      <c r="G383" s="477">
        <v>36577</v>
      </c>
      <c r="I383" s="427">
        <f t="shared" si="36"/>
        <v>989701</v>
      </c>
      <c r="J383" s="427"/>
      <c r="K383" s="427">
        <v>91437</v>
      </c>
      <c r="L383" s="427">
        <v>284722</v>
      </c>
      <c r="M383" s="427">
        <v>570922</v>
      </c>
      <c r="N383" s="427">
        <v>42620</v>
      </c>
      <c r="O383" s="427"/>
      <c r="P383" s="427">
        <f t="shared" si="37"/>
        <v>45294</v>
      </c>
      <c r="Q383" s="427"/>
      <c r="R383" s="427">
        <v>6374</v>
      </c>
      <c r="S383" s="427">
        <v>38920</v>
      </c>
      <c r="U383" s="472"/>
      <c r="V383" s="472"/>
      <c r="W383" s="472"/>
      <c r="X383" s="472"/>
      <c r="Y383" s="472"/>
    </row>
    <row r="384" spans="1:25" s="428" customFormat="1" ht="9.1999999999999993" customHeight="1" x14ac:dyDescent="0.25">
      <c r="A384" s="431" t="s">
        <v>31</v>
      </c>
      <c r="B384" s="427">
        <f t="shared" si="35"/>
        <v>47438</v>
      </c>
      <c r="C384" s="427"/>
      <c r="D384" s="477">
        <v>26995</v>
      </c>
      <c r="E384" s="477">
        <v>13459</v>
      </c>
      <c r="F384" s="477">
        <v>4571</v>
      </c>
      <c r="G384" s="477">
        <v>2413</v>
      </c>
      <c r="I384" s="427">
        <f t="shared" si="36"/>
        <v>190631</v>
      </c>
      <c r="J384" s="427"/>
      <c r="K384" s="427">
        <v>36472</v>
      </c>
      <c r="L384" s="427">
        <v>61183</v>
      </c>
      <c r="M384" s="427">
        <v>85160</v>
      </c>
      <c r="N384" s="427">
        <v>7816</v>
      </c>
      <c r="O384" s="427"/>
      <c r="P384" s="427">
        <f t="shared" si="37"/>
        <v>5954</v>
      </c>
      <c r="Q384" s="427"/>
      <c r="R384" s="427">
        <v>670</v>
      </c>
      <c r="S384" s="427">
        <v>5284</v>
      </c>
      <c r="U384" s="472"/>
      <c r="V384" s="472"/>
      <c r="W384" s="472"/>
      <c r="X384" s="472"/>
      <c r="Y384" s="472"/>
    </row>
    <row r="385" spans="1:25" s="428" customFormat="1" ht="9.1999999999999993" customHeight="1" x14ac:dyDescent="0.25">
      <c r="A385" s="431" t="s">
        <v>32</v>
      </c>
      <c r="B385" s="427">
        <f t="shared" si="35"/>
        <v>85937</v>
      </c>
      <c r="C385" s="427"/>
      <c r="D385" s="477">
        <v>30077</v>
      </c>
      <c r="E385" s="477">
        <v>29196</v>
      </c>
      <c r="F385" s="477">
        <v>12697</v>
      </c>
      <c r="G385" s="477">
        <v>13967</v>
      </c>
      <c r="I385" s="427">
        <f t="shared" si="36"/>
        <v>360845</v>
      </c>
      <c r="J385" s="427"/>
      <c r="K385" s="427">
        <v>65798</v>
      </c>
      <c r="L385" s="427">
        <v>101679</v>
      </c>
      <c r="M385" s="427">
        <v>163420</v>
      </c>
      <c r="N385" s="427">
        <v>29948</v>
      </c>
      <c r="O385" s="427"/>
      <c r="P385" s="427">
        <f t="shared" si="37"/>
        <v>16592</v>
      </c>
      <c r="Q385" s="427"/>
      <c r="R385" s="427">
        <v>1278</v>
      </c>
      <c r="S385" s="427">
        <v>15314</v>
      </c>
      <c r="U385" s="472"/>
      <c r="V385" s="472"/>
      <c r="W385" s="472"/>
      <c r="X385" s="472"/>
      <c r="Y385" s="472"/>
    </row>
    <row r="386" spans="1:25" s="428" customFormat="1" ht="9.1999999999999993" customHeight="1" x14ac:dyDescent="0.25">
      <c r="A386" s="433" t="s">
        <v>33</v>
      </c>
      <c r="B386" s="434">
        <f t="shared" si="35"/>
        <v>57271</v>
      </c>
      <c r="C386" s="434"/>
      <c r="D386" s="479">
        <v>26581</v>
      </c>
      <c r="E386" s="479">
        <v>14945</v>
      </c>
      <c r="F386" s="479">
        <v>7122</v>
      </c>
      <c r="G386" s="479">
        <v>8623</v>
      </c>
      <c r="H386" s="475"/>
      <c r="I386" s="434">
        <f t="shared" si="36"/>
        <v>336943</v>
      </c>
      <c r="J386" s="434"/>
      <c r="K386" s="434">
        <v>88694</v>
      </c>
      <c r="L386" s="434">
        <v>60437</v>
      </c>
      <c r="M386" s="434">
        <v>165513</v>
      </c>
      <c r="N386" s="434">
        <v>22299</v>
      </c>
      <c r="O386" s="434"/>
      <c r="P386" s="434">
        <f t="shared" si="37"/>
        <v>7609</v>
      </c>
      <c r="Q386" s="434"/>
      <c r="R386" s="434">
        <v>333</v>
      </c>
      <c r="S386" s="434">
        <v>7276</v>
      </c>
      <c r="U386" s="472"/>
      <c r="V386" s="472"/>
      <c r="W386" s="472"/>
      <c r="X386" s="472"/>
      <c r="Y386" s="472"/>
    </row>
    <row r="387" spans="1:25" s="428" customFormat="1" ht="9.1999999999999993" customHeight="1" x14ac:dyDescent="0.25">
      <c r="A387" s="431" t="s">
        <v>34</v>
      </c>
      <c r="B387" s="427">
        <f t="shared" si="35"/>
        <v>60071</v>
      </c>
      <c r="C387" s="427"/>
      <c r="D387" s="477">
        <v>21597</v>
      </c>
      <c r="E387" s="477">
        <v>25886</v>
      </c>
      <c r="F387" s="477">
        <v>6544</v>
      </c>
      <c r="G387" s="477">
        <v>6044</v>
      </c>
      <c r="I387" s="427">
        <f t="shared" si="36"/>
        <v>307206</v>
      </c>
      <c r="J387" s="427"/>
      <c r="K387" s="427">
        <v>38740</v>
      </c>
      <c r="L387" s="427">
        <v>101111</v>
      </c>
      <c r="M387" s="427">
        <v>150240</v>
      </c>
      <c r="N387" s="427">
        <v>17115</v>
      </c>
      <c r="O387" s="427"/>
      <c r="P387" s="427">
        <f t="shared" si="37"/>
        <v>9630</v>
      </c>
      <c r="Q387" s="427"/>
      <c r="R387" s="427">
        <v>799</v>
      </c>
      <c r="S387" s="427">
        <v>8831</v>
      </c>
      <c r="U387" s="472"/>
      <c r="V387" s="472"/>
      <c r="W387" s="472"/>
      <c r="X387" s="472"/>
      <c r="Y387" s="472"/>
    </row>
    <row r="388" spans="1:25" s="428" customFormat="1" ht="9.1999999999999993" customHeight="1" x14ac:dyDescent="0.25">
      <c r="A388" s="431" t="s">
        <v>35</v>
      </c>
      <c r="B388" s="427">
        <f t="shared" si="35"/>
        <v>104051</v>
      </c>
      <c r="C388" s="427"/>
      <c r="D388" s="477">
        <v>42688</v>
      </c>
      <c r="E388" s="477">
        <v>28511</v>
      </c>
      <c r="F388" s="477">
        <v>19525</v>
      </c>
      <c r="G388" s="477">
        <v>13327</v>
      </c>
      <c r="I388" s="427">
        <f t="shared" si="36"/>
        <v>489862</v>
      </c>
      <c r="J388" s="427"/>
      <c r="K388" s="427">
        <v>74906</v>
      </c>
      <c r="L388" s="427">
        <v>98380</v>
      </c>
      <c r="M388" s="427">
        <v>277738</v>
      </c>
      <c r="N388" s="427">
        <v>38838</v>
      </c>
      <c r="O388" s="427"/>
      <c r="P388" s="427">
        <f t="shared" si="37"/>
        <v>23884</v>
      </c>
      <c r="Q388" s="427"/>
      <c r="R388" s="427">
        <v>2696</v>
      </c>
      <c r="S388" s="427">
        <v>21188</v>
      </c>
      <c r="U388" s="472"/>
      <c r="V388" s="472"/>
      <c r="W388" s="472"/>
      <c r="X388" s="472"/>
      <c r="Y388" s="472"/>
    </row>
    <row r="389" spans="1:25" s="428" customFormat="1" ht="9.1999999999999993" customHeight="1" x14ac:dyDescent="0.25">
      <c r="A389" s="431" t="s">
        <v>36</v>
      </c>
      <c r="B389" s="427">
        <f t="shared" si="35"/>
        <v>185821</v>
      </c>
      <c r="C389" s="427"/>
      <c r="D389" s="477">
        <v>52901</v>
      </c>
      <c r="E389" s="477">
        <v>75506</v>
      </c>
      <c r="F389" s="477">
        <v>26105</v>
      </c>
      <c r="G389" s="477">
        <v>31309</v>
      </c>
      <c r="I389" s="427">
        <f t="shared" si="36"/>
        <v>1135579</v>
      </c>
      <c r="J389" s="427"/>
      <c r="K389" s="427">
        <v>187839</v>
      </c>
      <c r="L389" s="427">
        <v>330292</v>
      </c>
      <c r="M389" s="427">
        <v>472642</v>
      </c>
      <c r="N389" s="427">
        <v>144806</v>
      </c>
      <c r="O389" s="427"/>
      <c r="P389" s="427">
        <f t="shared" si="37"/>
        <v>32177</v>
      </c>
      <c r="Q389" s="427"/>
      <c r="R389" s="427">
        <v>5053</v>
      </c>
      <c r="S389" s="427">
        <v>27124</v>
      </c>
      <c r="U389" s="472"/>
      <c r="V389" s="472"/>
      <c r="W389" s="472"/>
      <c r="X389" s="472"/>
      <c r="Y389" s="472"/>
    </row>
    <row r="390" spans="1:25" s="428" customFormat="1" ht="9.1999999999999993" customHeight="1" x14ac:dyDescent="0.25">
      <c r="A390" s="433" t="s">
        <v>37</v>
      </c>
      <c r="B390" s="434">
        <f t="shared" si="35"/>
        <v>95481</v>
      </c>
      <c r="C390" s="434"/>
      <c r="D390" s="479">
        <v>42515</v>
      </c>
      <c r="E390" s="479">
        <v>34510</v>
      </c>
      <c r="F390" s="479">
        <v>8921</v>
      </c>
      <c r="G390" s="479">
        <v>9535</v>
      </c>
      <c r="H390" s="475"/>
      <c r="I390" s="434">
        <f t="shared" si="36"/>
        <v>412873</v>
      </c>
      <c r="J390" s="434"/>
      <c r="K390" s="434">
        <v>65453</v>
      </c>
      <c r="L390" s="434">
        <v>146914</v>
      </c>
      <c r="M390" s="434">
        <v>178119</v>
      </c>
      <c r="N390" s="434">
        <v>22387</v>
      </c>
      <c r="O390" s="434"/>
      <c r="P390" s="434">
        <f t="shared" si="37"/>
        <v>12319</v>
      </c>
      <c r="Q390" s="434"/>
      <c r="R390" s="434">
        <v>1021</v>
      </c>
      <c r="S390" s="434">
        <v>11298</v>
      </c>
      <c r="U390" s="472"/>
      <c r="V390" s="472"/>
      <c r="W390" s="472"/>
      <c r="X390" s="472"/>
      <c r="Y390" s="472"/>
    </row>
    <row r="391" spans="1:25" s="428" customFormat="1" ht="9.1999999999999993" customHeight="1" x14ac:dyDescent="0.25">
      <c r="A391" s="431" t="s">
        <v>38</v>
      </c>
      <c r="B391" s="427">
        <f t="shared" si="35"/>
        <v>32599</v>
      </c>
      <c r="C391" s="427"/>
      <c r="D391" s="477">
        <v>9372</v>
      </c>
      <c r="E391" s="477">
        <v>10597</v>
      </c>
      <c r="F391" s="477">
        <v>5632</v>
      </c>
      <c r="G391" s="477">
        <v>6998</v>
      </c>
      <c r="I391" s="427">
        <f t="shared" si="36"/>
        <v>155345</v>
      </c>
      <c r="J391" s="427"/>
      <c r="K391" s="427">
        <v>23782</v>
      </c>
      <c r="L391" s="427">
        <v>31671</v>
      </c>
      <c r="M391" s="427">
        <v>88385</v>
      </c>
      <c r="N391" s="427">
        <v>11507</v>
      </c>
      <c r="O391" s="427"/>
      <c r="P391" s="427">
        <f t="shared" si="37"/>
        <v>6254</v>
      </c>
      <c r="Q391" s="427"/>
      <c r="R391" s="427">
        <v>545</v>
      </c>
      <c r="S391" s="427">
        <v>5709</v>
      </c>
      <c r="U391" s="472"/>
      <c r="V391" s="472"/>
      <c r="W391" s="472"/>
      <c r="X391" s="472"/>
      <c r="Y391" s="472"/>
    </row>
    <row r="392" spans="1:25" s="428" customFormat="1" ht="9.1999999999999993" customHeight="1" x14ac:dyDescent="0.25">
      <c r="A392" s="431" t="s">
        <v>39</v>
      </c>
      <c r="B392" s="427">
        <f t="shared" si="35"/>
        <v>26336</v>
      </c>
      <c r="C392" s="427"/>
      <c r="D392" s="477">
        <v>16008</v>
      </c>
      <c r="E392" s="477">
        <v>6340</v>
      </c>
      <c r="F392" s="477">
        <v>2419</v>
      </c>
      <c r="G392" s="477">
        <v>1569</v>
      </c>
      <c r="I392" s="427">
        <f t="shared" si="36"/>
        <v>114834</v>
      </c>
      <c r="J392" s="427"/>
      <c r="K392" s="427">
        <v>28684</v>
      </c>
      <c r="L392" s="427">
        <v>28840</v>
      </c>
      <c r="M392" s="427">
        <v>53145</v>
      </c>
      <c r="N392" s="427">
        <v>4165</v>
      </c>
      <c r="O392" s="427"/>
      <c r="P392" s="427">
        <f t="shared" si="37"/>
        <v>3278</v>
      </c>
      <c r="Q392" s="427"/>
      <c r="R392" s="427">
        <v>206</v>
      </c>
      <c r="S392" s="427">
        <v>3072</v>
      </c>
      <c r="U392" s="472"/>
      <c r="V392" s="472"/>
      <c r="W392" s="472"/>
      <c r="X392" s="472"/>
      <c r="Y392" s="472"/>
    </row>
    <row r="393" spans="1:25" s="428" customFormat="1" ht="9.1999999999999993" customHeight="1" x14ac:dyDescent="0.25">
      <c r="A393" s="431" t="s">
        <v>40</v>
      </c>
      <c r="B393" s="427">
        <f t="shared" si="35"/>
        <v>93348</v>
      </c>
      <c r="C393" s="427"/>
      <c r="D393" s="477">
        <v>25373</v>
      </c>
      <c r="E393" s="477">
        <v>49150</v>
      </c>
      <c r="F393" s="477">
        <v>13200</v>
      </c>
      <c r="G393" s="477">
        <v>5625</v>
      </c>
      <c r="I393" s="427">
        <f t="shared" si="36"/>
        <v>426309</v>
      </c>
      <c r="J393" s="427"/>
      <c r="K393" s="427">
        <v>45884</v>
      </c>
      <c r="L393" s="427">
        <v>156892</v>
      </c>
      <c r="M393" s="427">
        <v>212250</v>
      </c>
      <c r="N393" s="427">
        <v>11283</v>
      </c>
      <c r="O393" s="427"/>
      <c r="P393" s="427">
        <f t="shared" si="37"/>
        <v>14122</v>
      </c>
      <c r="Q393" s="427"/>
      <c r="R393" s="427">
        <v>2370</v>
      </c>
      <c r="S393" s="427">
        <v>11752</v>
      </c>
      <c r="U393" s="472"/>
      <c r="V393" s="472"/>
      <c r="W393" s="472"/>
      <c r="X393" s="472"/>
      <c r="Y393" s="472"/>
    </row>
    <row r="394" spans="1:25" s="428" customFormat="1" ht="9.1999999999999993" customHeight="1" x14ac:dyDescent="0.25">
      <c r="A394" s="433" t="s">
        <v>41</v>
      </c>
      <c r="B394" s="434">
        <f t="shared" si="35"/>
        <v>66329</v>
      </c>
      <c r="C394" s="434"/>
      <c r="D394" s="479">
        <v>27616</v>
      </c>
      <c r="E394" s="479">
        <v>26029</v>
      </c>
      <c r="F394" s="479">
        <v>8090</v>
      </c>
      <c r="G394" s="479">
        <v>4594</v>
      </c>
      <c r="H394" s="475"/>
      <c r="I394" s="434">
        <f t="shared" si="36"/>
        <v>366090</v>
      </c>
      <c r="J394" s="434"/>
      <c r="K394" s="434">
        <v>44949</v>
      </c>
      <c r="L394" s="434">
        <v>114036</v>
      </c>
      <c r="M394" s="434">
        <v>190096</v>
      </c>
      <c r="N394" s="434">
        <v>17009</v>
      </c>
      <c r="O394" s="434"/>
      <c r="P394" s="434">
        <f t="shared" si="37"/>
        <v>10675</v>
      </c>
      <c r="Q394" s="434"/>
      <c r="R394" s="434">
        <v>386</v>
      </c>
      <c r="S394" s="434">
        <v>10289</v>
      </c>
      <c r="U394" s="472"/>
      <c r="V394" s="472"/>
      <c r="W394" s="472"/>
      <c r="X394" s="472"/>
      <c r="Y394" s="472"/>
    </row>
    <row r="395" spans="1:25" s="428" customFormat="1" ht="9.1999999999999993" customHeight="1" x14ac:dyDescent="0.25">
      <c r="A395" s="431" t="s">
        <v>42</v>
      </c>
      <c r="B395" s="427">
        <f t="shared" si="35"/>
        <v>124591</v>
      </c>
      <c r="C395" s="427"/>
      <c r="D395" s="477">
        <v>42939</v>
      </c>
      <c r="E395" s="477">
        <v>42163</v>
      </c>
      <c r="F395" s="477">
        <v>11471</v>
      </c>
      <c r="G395" s="477">
        <v>28018</v>
      </c>
      <c r="I395" s="427">
        <f t="shared" si="36"/>
        <v>545548</v>
      </c>
      <c r="J395" s="427"/>
      <c r="K395" s="427">
        <v>81317</v>
      </c>
      <c r="L395" s="427">
        <v>193397</v>
      </c>
      <c r="M395" s="427">
        <v>234782</v>
      </c>
      <c r="N395" s="427">
        <v>36052</v>
      </c>
      <c r="O395" s="427"/>
      <c r="P395" s="427">
        <f t="shared" si="37"/>
        <v>18504</v>
      </c>
      <c r="Q395" s="427"/>
      <c r="R395" s="427">
        <v>1316</v>
      </c>
      <c r="S395" s="427">
        <v>17188</v>
      </c>
      <c r="U395" s="472"/>
      <c r="V395" s="472"/>
      <c r="W395" s="472"/>
      <c r="X395" s="472"/>
      <c r="Y395" s="472"/>
    </row>
    <row r="396" spans="1:25" s="428" customFormat="1" ht="9.1999999999999993" customHeight="1" x14ac:dyDescent="0.25">
      <c r="A396" s="431" t="s">
        <v>43</v>
      </c>
      <c r="B396" s="427">
        <f t="shared" si="35"/>
        <v>36182</v>
      </c>
      <c r="C396" s="427"/>
      <c r="D396" s="477">
        <v>13850</v>
      </c>
      <c r="E396" s="477">
        <v>14982</v>
      </c>
      <c r="F396" s="477">
        <v>4847</v>
      </c>
      <c r="G396" s="477">
        <v>2503</v>
      </c>
      <c r="I396" s="427">
        <f t="shared" si="36"/>
        <v>164525</v>
      </c>
      <c r="J396" s="427"/>
      <c r="K396" s="427">
        <v>22551</v>
      </c>
      <c r="L396" s="427">
        <v>60028</v>
      </c>
      <c r="M396" s="427">
        <v>74523</v>
      </c>
      <c r="N396" s="427">
        <v>7423</v>
      </c>
      <c r="O396" s="427"/>
      <c r="P396" s="427">
        <f t="shared" si="37"/>
        <v>6340</v>
      </c>
      <c r="Q396" s="427"/>
      <c r="R396" s="427">
        <v>1122</v>
      </c>
      <c r="S396" s="427">
        <v>5218</v>
      </c>
      <c r="U396" s="472"/>
      <c r="V396" s="472"/>
      <c r="W396" s="472"/>
      <c r="X396" s="472"/>
      <c r="Y396" s="472"/>
    </row>
    <row r="397" spans="1:25" s="428" customFormat="1" ht="9.1999999999999993" customHeight="1" x14ac:dyDescent="0.25">
      <c r="A397" s="431" t="s">
        <v>44</v>
      </c>
      <c r="B397" s="427">
        <f t="shared" si="35"/>
        <v>23488</v>
      </c>
      <c r="C397" s="427"/>
      <c r="D397" s="477">
        <v>9340</v>
      </c>
      <c r="E397" s="477">
        <v>6759</v>
      </c>
      <c r="F397" s="477">
        <v>4341</v>
      </c>
      <c r="G397" s="477">
        <v>3048</v>
      </c>
      <c r="I397" s="427">
        <f t="shared" si="36"/>
        <v>110096</v>
      </c>
      <c r="J397" s="427"/>
      <c r="K397" s="427">
        <v>17896</v>
      </c>
      <c r="L397" s="427">
        <v>28278</v>
      </c>
      <c r="M397" s="427">
        <v>60238</v>
      </c>
      <c r="N397" s="427">
        <v>3684</v>
      </c>
      <c r="O397" s="427"/>
      <c r="P397" s="427">
        <f t="shared" si="37"/>
        <v>4695</v>
      </c>
      <c r="Q397" s="427"/>
      <c r="R397" s="427">
        <v>474</v>
      </c>
      <c r="S397" s="427">
        <v>4221</v>
      </c>
      <c r="U397" s="472"/>
      <c r="V397" s="472"/>
      <c r="W397" s="472"/>
      <c r="X397" s="472"/>
      <c r="Y397" s="472"/>
    </row>
    <row r="398" spans="1:25" s="428" customFormat="1" ht="9.1999999999999993" customHeight="1" x14ac:dyDescent="0.25">
      <c r="A398" s="433" t="s">
        <v>45</v>
      </c>
      <c r="B398" s="434">
        <f t="shared" si="35"/>
        <v>59995</v>
      </c>
      <c r="C398" s="434"/>
      <c r="D398" s="479">
        <v>24699</v>
      </c>
      <c r="E398" s="479">
        <v>24980</v>
      </c>
      <c r="F398" s="479">
        <v>5439</v>
      </c>
      <c r="G398" s="479">
        <v>4877</v>
      </c>
      <c r="H398" s="475"/>
      <c r="I398" s="434">
        <f t="shared" si="36"/>
        <v>237946</v>
      </c>
      <c r="J398" s="434"/>
      <c r="K398" s="434">
        <v>37205</v>
      </c>
      <c r="L398" s="434">
        <v>93160</v>
      </c>
      <c r="M398" s="434">
        <v>96786</v>
      </c>
      <c r="N398" s="434">
        <v>10795</v>
      </c>
      <c r="O398" s="434"/>
      <c r="P398" s="434">
        <f t="shared" si="37"/>
        <v>7704</v>
      </c>
      <c r="Q398" s="434"/>
      <c r="R398" s="434">
        <v>693</v>
      </c>
      <c r="S398" s="434">
        <v>7011</v>
      </c>
      <c r="U398" s="472"/>
      <c r="V398" s="472"/>
      <c r="W398" s="472"/>
      <c r="X398" s="472"/>
      <c r="Y398" s="472"/>
    </row>
    <row r="399" spans="1:25" s="428" customFormat="1" ht="9.1999999999999993" customHeight="1" x14ac:dyDescent="0.25">
      <c r="A399" s="431" t="s">
        <v>46</v>
      </c>
      <c r="B399" s="427">
        <f t="shared" si="35"/>
        <v>66329</v>
      </c>
      <c r="C399" s="427"/>
      <c r="D399" s="477">
        <v>26977</v>
      </c>
      <c r="E399" s="477">
        <v>25249</v>
      </c>
      <c r="F399" s="477">
        <v>9158</v>
      </c>
      <c r="G399" s="477">
        <v>4945</v>
      </c>
      <c r="I399" s="427">
        <f t="shared" si="36"/>
        <v>304379</v>
      </c>
      <c r="J399" s="427"/>
      <c r="K399" s="427">
        <v>39686</v>
      </c>
      <c r="L399" s="427">
        <v>84194</v>
      </c>
      <c r="M399" s="427">
        <v>175516</v>
      </c>
      <c r="N399" s="427">
        <v>4983</v>
      </c>
      <c r="O399" s="427"/>
      <c r="P399" s="427">
        <f t="shared" si="37"/>
        <v>10525</v>
      </c>
      <c r="Q399" s="427"/>
      <c r="R399" s="427">
        <v>951</v>
      </c>
      <c r="S399" s="427">
        <v>9574</v>
      </c>
      <c r="U399" s="472"/>
      <c r="V399" s="472"/>
      <c r="W399" s="472"/>
      <c r="X399" s="472"/>
      <c r="Y399" s="472"/>
    </row>
    <row r="400" spans="1:25" s="428" customFormat="1" ht="9.1999999999999993" customHeight="1" x14ac:dyDescent="0.25">
      <c r="A400" s="431" t="s">
        <v>47</v>
      </c>
      <c r="B400" s="427">
        <f t="shared" si="35"/>
        <v>48488</v>
      </c>
      <c r="C400" s="427"/>
      <c r="D400" s="477">
        <v>20656</v>
      </c>
      <c r="E400" s="477">
        <v>16127</v>
      </c>
      <c r="F400" s="477">
        <v>6562</v>
      </c>
      <c r="G400" s="477">
        <v>5143</v>
      </c>
      <c r="I400" s="427">
        <f t="shared" si="36"/>
        <v>252284</v>
      </c>
      <c r="J400" s="427"/>
      <c r="K400" s="427">
        <v>47946</v>
      </c>
      <c r="L400" s="427">
        <v>68886</v>
      </c>
      <c r="M400" s="427">
        <v>126428</v>
      </c>
      <c r="N400" s="427">
        <v>9024</v>
      </c>
      <c r="O400" s="427"/>
      <c r="P400" s="427">
        <f t="shared" si="37"/>
        <v>8841</v>
      </c>
      <c r="Q400" s="427"/>
      <c r="R400" s="427">
        <v>1047</v>
      </c>
      <c r="S400" s="427">
        <v>7794</v>
      </c>
      <c r="U400" s="472"/>
      <c r="V400" s="472"/>
      <c r="W400" s="472"/>
      <c r="X400" s="472"/>
      <c r="Y400" s="472"/>
    </row>
    <row r="401" spans="1:25" s="428" customFormat="1" ht="9.1999999999999993" customHeight="1" x14ac:dyDescent="0.25">
      <c r="A401" s="431" t="s">
        <v>48</v>
      </c>
      <c r="B401" s="427">
        <f t="shared" si="35"/>
        <v>38482</v>
      </c>
      <c r="C401" s="427"/>
      <c r="D401" s="477">
        <v>24946</v>
      </c>
      <c r="E401" s="477">
        <v>6745</v>
      </c>
      <c r="F401" s="477">
        <v>4225</v>
      </c>
      <c r="G401" s="477">
        <v>2566</v>
      </c>
      <c r="I401" s="427">
        <f t="shared" si="36"/>
        <v>247055</v>
      </c>
      <c r="J401" s="427"/>
      <c r="K401" s="427">
        <v>67056</v>
      </c>
      <c r="L401" s="427">
        <v>33281</v>
      </c>
      <c r="M401" s="427">
        <v>139835</v>
      </c>
      <c r="N401" s="427">
        <v>6883</v>
      </c>
      <c r="O401" s="427"/>
      <c r="P401" s="427">
        <f t="shared" si="37"/>
        <v>11567</v>
      </c>
      <c r="Q401" s="427"/>
      <c r="R401" s="427">
        <v>598</v>
      </c>
      <c r="S401" s="427">
        <v>10969</v>
      </c>
      <c r="U401" s="472"/>
      <c r="V401" s="472"/>
      <c r="W401" s="472"/>
      <c r="X401" s="472"/>
      <c r="Y401" s="472"/>
    </row>
    <row r="402" spans="1:25" s="428" customFormat="1" ht="9.1999999999999993" customHeight="1" x14ac:dyDescent="0.25">
      <c r="A402" s="433" t="s">
        <v>49</v>
      </c>
      <c r="B402" s="434">
        <f t="shared" si="35"/>
        <v>71500</v>
      </c>
      <c r="C402" s="434"/>
      <c r="D402" s="479">
        <v>36206</v>
      </c>
      <c r="E402" s="479">
        <v>24022</v>
      </c>
      <c r="F402" s="479">
        <v>8176</v>
      </c>
      <c r="G402" s="479">
        <v>3096</v>
      </c>
      <c r="H402" s="475"/>
      <c r="I402" s="434">
        <f t="shared" si="36"/>
        <v>297076</v>
      </c>
      <c r="J402" s="434"/>
      <c r="K402" s="434">
        <v>45242</v>
      </c>
      <c r="L402" s="434">
        <v>82263</v>
      </c>
      <c r="M402" s="434">
        <v>160498</v>
      </c>
      <c r="N402" s="434">
        <v>9073</v>
      </c>
      <c r="O402" s="434"/>
      <c r="P402" s="434">
        <f t="shared" si="37"/>
        <v>11231</v>
      </c>
      <c r="Q402" s="434"/>
      <c r="R402" s="434">
        <v>1067</v>
      </c>
      <c r="S402" s="434">
        <v>10164</v>
      </c>
      <c r="U402" s="472"/>
      <c r="V402" s="472"/>
      <c r="W402" s="472"/>
      <c r="X402" s="472"/>
      <c r="Y402" s="472"/>
    </row>
    <row r="403" spans="1:25" s="428" customFormat="1" ht="9.1999999999999993" customHeight="1" x14ac:dyDescent="0.25">
      <c r="A403" s="431" t="s">
        <v>50</v>
      </c>
      <c r="B403" s="427">
        <f t="shared" si="35"/>
        <v>14538</v>
      </c>
      <c r="C403" s="427"/>
      <c r="D403" s="477">
        <v>4307</v>
      </c>
      <c r="E403" s="477">
        <v>5739</v>
      </c>
      <c r="F403" s="477">
        <v>2332</v>
      </c>
      <c r="G403" s="477">
        <v>2160</v>
      </c>
      <c r="I403" s="427">
        <f t="shared" si="36"/>
        <v>98331</v>
      </c>
      <c r="J403" s="427"/>
      <c r="K403" s="427">
        <v>13618</v>
      </c>
      <c r="L403" s="427">
        <v>28427</v>
      </c>
      <c r="M403" s="427">
        <v>49318</v>
      </c>
      <c r="N403" s="427">
        <v>6968</v>
      </c>
      <c r="O403" s="427"/>
      <c r="P403" s="427">
        <f t="shared" si="37"/>
        <v>4469</v>
      </c>
      <c r="Q403" s="427"/>
      <c r="R403" s="427">
        <v>182</v>
      </c>
      <c r="S403" s="427">
        <v>4287</v>
      </c>
      <c r="U403" s="472"/>
      <c r="V403" s="472"/>
      <c r="W403" s="472"/>
      <c r="X403" s="472"/>
      <c r="Y403" s="472"/>
    </row>
    <row r="404" spans="1:25" s="428" customFormat="1" ht="9.1999999999999993" customHeight="1" x14ac:dyDescent="0.25">
      <c r="A404" s="428" t="s">
        <v>51</v>
      </c>
      <c r="B404" s="427">
        <f t="shared" si="35"/>
        <v>166052</v>
      </c>
      <c r="C404" s="427"/>
      <c r="D404" s="477">
        <v>75695</v>
      </c>
      <c r="E404" s="477">
        <v>54962</v>
      </c>
      <c r="F404" s="477">
        <v>20002</v>
      </c>
      <c r="G404" s="477">
        <v>15393</v>
      </c>
      <c r="I404" s="427">
        <f t="shared" si="36"/>
        <v>838098</v>
      </c>
      <c r="J404" s="427"/>
      <c r="K404" s="427">
        <v>111960</v>
      </c>
      <c r="L404" s="427">
        <v>229850</v>
      </c>
      <c r="M404" s="427">
        <v>460765</v>
      </c>
      <c r="N404" s="427">
        <v>35523</v>
      </c>
      <c r="O404" s="427"/>
      <c r="P404" s="427">
        <f t="shared" si="37"/>
        <v>28656</v>
      </c>
      <c r="Q404" s="427"/>
      <c r="R404" s="427">
        <v>1486</v>
      </c>
      <c r="S404" s="427">
        <v>27170</v>
      </c>
      <c r="U404" s="472"/>
      <c r="V404" s="472"/>
      <c r="W404" s="472"/>
      <c r="X404" s="472"/>
      <c r="Y404" s="472"/>
    </row>
    <row r="405" spans="1:25" s="428" customFormat="1" ht="9.1999999999999993" customHeight="1" x14ac:dyDescent="0.25">
      <c r="A405" s="428" t="s">
        <v>52</v>
      </c>
      <c r="B405" s="427">
        <f t="shared" si="35"/>
        <v>40355</v>
      </c>
      <c r="C405" s="427"/>
      <c r="D405" s="477">
        <v>20599</v>
      </c>
      <c r="E405" s="477">
        <v>10619</v>
      </c>
      <c r="F405" s="477">
        <v>6663</v>
      </c>
      <c r="G405" s="477">
        <v>2474</v>
      </c>
      <c r="I405" s="427">
        <f t="shared" si="36"/>
        <v>183676</v>
      </c>
      <c r="J405" s="427"/>
      <c r="K405" s="427">
        <v>33118</v>
      </c>
      <c r="L405" s="427">
        <v>45048</v>
      </c>
      <c r="M405" s="427">
        <v>99165</v>
      </c>
      <c r="N405" s="427">
        <v>6345</v>
      </c>
      <c r="O405" s="427"/>
      <c r="P405" s="427">
        <f t="shared" si="37"/>
        <v>8008</v>
      </c>
      <c r="Q405" s="427"/>
      <c r="R405" s="427">
        <v>583</v>
      </c>
      <c r="S405" s="427">
        <v>7425</v>
      </c>
      <c r="U405" s="472"/>
      <c r="V405" s="472"/>
      <c r="W405" s="472"/>
      <c r="X405" s="472"/>
      <c r="Y405" s="472"/>
    </row>
    <row r="406" spans="1:25" s="428" customFormat="1" ht="9.1999999999999993" customHeight="1" x14ac:dyDescent="0.25">
      <c r="A406" s="433" t="s">
        <v>53</v>
      </c>
      <c r="B406" s="434">
        <f t="shared" si="35"/>
        <v>43674</v>
      </c>
      <c r="C406" s="434"/>
      <c r="D406" s="479">
        <v>15369</v>
      </c>
      <c r="E406" s="479">
        <v>20418</v>
      </c>
      <c r="F406" s="479">
        <v>4426</v>
      </c>
      <c r="G406" s="479">
        <v>3461</v>
      </c>
      <c r="H406" s="475"/>
      <c r="I406" s="434">
        <f t="shared" si="36"/>
        <v>174201</v>
      </c>
      <c r="J406" s="434"/>
      <c r="K406" s="434">
        <v>24107</v>
      </c>
      <c r="L406" s="434">
        <v>70971</v>
      </c>
      <c r="M406" s="434">
        <v>69072</v>
      </c>
      <c r="N406" s="434">
        <v>10051</v>
      </c>
      <c r="O406" s="434"/>
      <c r="P406" s="434">
        <f t="shared" si="37"/>
        <v>4324</v>
      </c>
      <c r="Q406" s="434"/>
      <c r="R406" s="434">
        <v>326</v>
      </c>
      <c r="S406" s="434">
        <v>3998</v>
      </c>
      <c r="U406" s="472"/>
      <c r="V406" s="472"/>
      <c r="W406" s="472"/>
      <c r="X406" s="472"/>
      <c r="Y406" s="472"/>
    </row>
    <row r="407" spans="1:25" s="428" customFormat="1" ht="9" customHeight="1" x14ac:dyDescent="0.25">
      <c r="B407" s="427"/>
      <c r="C407" s="427"/>
      <c r="D407" s="477"/>
      <c r="E407" s="477"/>
      <c r="F407" s="477"/>
      <c r="G407" s="477"/>
      <c r="I407" s="427"/>
      <c r="J407" s="427"/>
      <c r="K407" s="427"/>
      <c r="L407" s="427"/>
      <c r="M407" s="427"/>
      <c r="N407" s="427"/>
      <c r="O407" s="427"/>
      <c r="P407" s="427"/>
      <c r="Q407" s="427"/>
      <c r="R407" s="427"/>
      <c r="S407" s="427"/>
      <c r="U407" s="472"/>
      <c r="V407" s="472"/>
      <c r="W407" s="472"/>
      <c r="X407" s="472"/>
      <c r="Y407" s="472"/>
    </row>
    <row r="408" spans="1:25" s="428" customFormat="1" ht="9" customHeight="1" x14ac:dyDescent="0.25">
      <c r="A408" s="441">
        <v>2006</v>
      </c>
      <c r="B408" s="427"/>
      <c r="C408" s="427"/>
      <c r="D408" s="476"/>
      <c r="E408" s="477"/>
      <c r="F408" s="477"/>
      <c r="G408" s="477"/>
      <c r="H408" s="477"/>
      <c r="I408" s="477"/>
      <c r="J408" s="477"/>
      <c r="K408" s="477"/>
      <c r="L408" s="477"/>
      <c r="M408" s="477"/>
      <c r="N408" s="477"/>
      <c r="O408" s="477"/>
      <c r="P408" s="477"/>
      <c r="Q408" s="477"/>
      <c r="R408" s="477"/>
      <c r="S408" s="477"/>
      <c r="U408" s="472"/>
      <c r="V408" s="472"/>
      <c r="W408" s="472"/>
      <c r="X408" s="472"/>
      <c r="Y408" s="472"/>
    </row>
    <row r="409" spans="1:25" s="428" customFormat="1" ht="9" customHeight="1" x14ac:dyDescent="0.25">
      <c r="A409" s="429" t="s">
        <v>341</v>
      </c>
      <c r="B409" s="476">
        <f>SUM(B411:B442)+4736</f>
        <v>2181112</v>
      </c>
      <c r="C409" s="476"/>
      <c r="D409" s="476">
        <f>SUM(D411:D442)+877</f>
        <v>908357</v>
      </c>
      <c r="E409" s="476">
        <f>SUM(E411:E442)+2815</f>
        <v>752935</v>
      </c>
      <c r="F409" s="476">
        <f>SUM(F411:F442)+390</f>
        <v>281064</v>
      </c>
      <c r="G409" s="476">
        <f>SUM(G411:G442)+654</f>
        <v>238756</v>
      </c>
      <c r="H409" s="476"/>
      <c r="I409" s="430">
        <f>SUM(I411:I442)-35739</f>
        <v>11584240</v>
      </c>
      <c r="J409" s="430"/>
      <c r="K409" s="430">
        <f>SUM(K411:K442)-13059</f>
        <v>1864264</v>
      </c>
      <c r="L409" s="430">
        <f>SUM(L411:L442)-8059</f>
        <v>3169100</v>
      </c>
      <c r="M409" s="430">
        <f>SUM(M411:M442)-11712</f>
        <v>5749518</v>
      </c>
      <c r="N409" s="430">
        <f>SUM(N411:N442)-2909</f>
        <v>801358</v>
      </c>
      <c r="O409" s="482"/>
      <c r="P409" s="430">
        <f>SUM(P411:P442)+380</f>
        <v>372394</v>
      </c>
      <c r="Q409" s="430"/>
      <c r="R409" s="430">
        <f>SUM(R411:R442)+12</f>
        <v>36877</v>
      </c>
      <c r="S409" s="430">
        <f>SUM(S411:S442)+368</f>
        <v>335517</v>
      </c>
      <c r="U409" s="472"/>
      <c r="V409" s="472"/>
      <c r="W409" s="472"/>
      <c r="X409" s="472"/>
      <c r="Y409" s="472"/>
    </row>
    <row r="410" spans="1:25" s="428" customFormat="1" ht="3.95" customHeight="1" x14ac:dyDescent="0.25">
      <c r="A410" s="429"/>
      <c r="B410" s="476"/>
      <c r="C410" s="476"/>
      <c r="D410" s="476"/>
      <c r="E410" s="476"/>
      <c r="F410" s="476"/>
      <c r="G410" s="476"/>
      <c r="H410" s="476"/>
      <c r="I410" s="430"/>
      <c r="J410" s="430"/>
      <c r="K410" s="430"/>
      <c r="L410" s="430"/>
      <c r="M410" s="430"/>
      <c r="N410" s="430"/>
      <c r="O410" s="430"/>
      <c r="P410" s="430"/>
      <c r="Q410" s="430"/>
      <c r="R410" s="430"/>
      <c r="S410" s="430"/>
      <c r="U410" s="472"/>
      <c r="V410" s="472"/>
      <c r="W410" s="472"/>
      <c r="X410" s="472"/>
      <c r="Y410" s="472"/>
    </row>
    <row r="411" spans="1:25" s="428" customFormat="1" ht="9.1999999999999993" customHeight="1" x14ac:dyDescent="0.25">
      <c r="A411" s="431" t="s">
        <v>23</v>
      </c>
      <c r="B411" s="427">
        <f t="shared" ref="B411:B442" si="38">SUM(D411:G411)</f>
        <v>26912</v>
      </c>
      <c r="C411" s="427"/>
      <c r="D411" s="477">
        <v>15145</v>
      </c>
      <c r="E411" s="477">
        <v>6079</v>
      </c>
      <c r="F411" s="477">
        <v>2890</v>
      </c>
      <c r="G411" s="477">
        <v>2798</v>
      </c>
      <c r="I411" s="427">
        <f t="shared" ref="I411:I442" si="39">SUM(K411:O411)</f>
        <v>108412</v>
      </c>
      <c r="J411" s="427"/>
      <c r="K411" s="427">
        <v>20141</v>
      </c>
      <c r="L411" s="427">
        <v>30509</v>
      </c>
      <c r="M411" s="427">
        <v>50092</v>
      </c>
      <c r="N411" s="427">
        <v>7670</v>
      </c>
      <c r="O411" s="427"/>
      <c r="P411" s="427">
        <f t="shared" ref="P411:P442" si="40">SUM(R411:S411)</f>
        <v>4290</v>
      </c>
      <c r="Q411" s="427"/>
      <c r="R411" s="427">
        <v>611</v>
      </c>
      <c r="S411" s="427">
        <v>3679</v>
      </c>
      <c r="U411" s="472"/>
      <c r="V411" s="472"/>
      <c r="W411" s="472"/>
      <c r="X411" s="472"/>
      <c r="Y411" s="472"/>
    </row>
    <row r="412" spans="1:25" s="428" customFormat="1" ht="9.1999999999999993" customHeight="1" x14ac:dyDescent="0.25">
      <c r="A412" s="431" t="s">
        <v>24</v>
      </c>
      <c r="B412" s="427">
        <f t="shared" si="38"/>
        <v>73897</v>
      </c>
      <c r="C412" s="427"/>
      <c r="D412" s="477">
        <v>44374</v>
      </c>
      <c r="E412" s="477">
        <v>16562</v>
      </c>
      <c r="F412" s="477">
        <v>9915</v>
      </c>
      <c r="G412" s="477">
        <v>3046</v>
      </c>
      <c r="I412" s="427">
        <f t="shared" si="39"/>
        <v>304648</v>
      </c>
      <c r="J412" s="427"/>
      <c r="K412" s="427">
        <v>69836</v>
      </c>
      <c r="L412" s="427">
        <v>86294</v>
      </c>
      <c r="M412" s="427">
        <v>145308</v>
      </c>
      <c r="N412" s="427">
        <v>3210</v>
      </c>
      <c r="O412" s="427"/>
      <c r="P412" s="427">
        <f t="shared" si="40"/>
        <v>12606</v>
      </c>
      <c r="Q412" s="427"/>
      <c r="R412" s="427">
        <v>1574</v>
      </c>
      <c r="S412" s="427">
        <v>11032</v>
      </c>
      <c r="U412" s="472"/>
      <c r="V412" s="472"/>
      <c r="W412" s="472"/>
      <c r="X412" s="472"/>
      <c r="Y412" s="472"/>
    </row>
    <row r="413" spans="1:25" s="428" customFormat="1" ht="9.1999999999999993" customHeight="1" x14ac:dyDescent="0.25">
      <c r="A413" s="431" t="s">
        <v>25</v>
      </c>
      <c r="B413" s="427">
        <f t="shared" si="38"/>
        <v>13828</v>
      </c>
      <c r="C413" s="427"/>
      <c r="D413" s="477">
        <v>6400</v>
      </c>
      <c r="E413" s="477">
        <v>4109</v>
      </c>
      <c r="F413" s="477">
        <v>2270</v>
      </c>
      <c r="G413" s="477">
        <v>1049</v>
      </c>
      <c r="I413" s="427">
        <f t="shared" si="39"/>
        <v>66227</v>
      </c>
      <c r="J413" s="427"/>
      <c r="K413" s="427">
        <v>8521</v>
      </c>
      <c r="L413" s="427">
        <v>15045</v>
      </c>
      <c r="M413" s="427">
        <v>41881</v>
      </c>
      <c r="N413" s="427">
        <v>780</v>
      </c>
      <c r="O413" s="427"/>
      <c r="P413" s="427">
        <f t="shared" si="40"/>
        <v>2700</v>
      </c>
      <c r="Q413" s="427"/>
      <c r="R413" s="427">
        <v>248</v>
      </c>
      <c r="S413" s="427">
        <v>2452</v>
      </c>
      <c r="U413" s="472"/>
      <c r="V413" s="472"/>
      <c r="W413" s="472"/>
      <c r="X413" s="472"/>
      <c r="Y413" s="472"/>
    </row>
    <row r="414" spans="1:25" s="428" customFormat="1" ht="9.1999999999999993" customHeight="1" x14ac:dyDescent="0.25">
      <c r="A414" s="433" t="s">
        <v>26</v>
      </c>
      <c r="B414" s="434">
        <f t="shared" si="38"/>
        <v>17349</v>
      </c>
      <c r="C414" s="434"/>
      <c r="D414" s="479">
        <v>7968</v>
      </c>
      <c r="E414" s="479">
        <v>5092</v>
      </c>
      <c r="F414" s="479">
        <v>1988</v>
      </c>
      <c r="G414" s="479">
        <v>2301</v>
      </c>
      <c r="H414" s="475"/>
      <c r="I414" s="434">
        <f t="shared" si="39"/>
        <v>94679</v>
      </c>
      <c r="J414" s="434"/>
      <c r="K414" s="434">
        <v>17045</v>
      </c>
      <c r="L414" s="434">
        <v>19076</v>
      </c>
      <c r="M414" s="434">
        <v>54450</v>
      </c>
      <c r="N414" s="434">
        <v>4108</v>
      </c>
      <c r="O414" s="434"/>
      <c r="P414" s="434">
        <f t="shared" si="40"/>
        <v>3540</v>
      </c>
      <c r="Q414" s="434"/>
      <c r="R414" s="434">
        <v>318</v>
      </c>
      <c r="S414" s="434">
        <v>3222</v>
      </c>
      <c r="U414" s="472"/>
      <c r="V414" s="472"/>
      <c r="W414" s="472"/>
      <c r="X414" s="472"/>
      <c r="Y414" s="472"/>
    </row>
    <row r="415" spans="1:25" s="428" customFormat="1" ht="9.1999999999999993" customHeight="1" x14ac:dyDescent="0.25">
      <c r="A415" s="431" t="s">
        <v>27</v>
      </c>
      <c r="B415" s="427">
        <f t="shared" si="38"/>
        <v>69912</v>
      </c>
      <c r="C415" s="427"/>
      <c r="D415" s="477">
        <v>23912</v>
      </c>
      <c r="E415" s="477">
        <v>29313</v>
      </c>
      <c r="F415" s="477">
        <v>11244</v>
      </c>
      <c r="G415" s="477">
        <v>5443</v>
      </c>
      <c r="I415" s="427">
        <f t="shared" si="39"/>
        <v>305284</v>
      </c>
      <c r="J415" s="427"/>
      <c r="K415" s="427">
        <v>37212</v>
      </c>
      <c r="L415" s="427">
        <v>89694</v>
      </c>
      <c r="M415" s="427">
        <v>170957</v>
      </c>
      <c r="N415" s="427">
        <v>7421</v>
      </c>
      <c r="O415" s="427"/>
      <c r="P415" s="427">
        <f t="shared" si="40"/>
        <v>11646</v>
      </c>
      <c r="Q415" s="427"/>
      <c r="R415" s="427">
        <v>1210</v>
      </c>
      <c r="S415" s="427">
        <v>10436</v>
      </c>
      <c r="U415" s="472"/>
      <c r="V415" s="472"/>
      <c r="W415" s="472"/>
      <c r="X415" s="472"/>
      <c r="Y415" s="472"/>
    </row>
    <row r="416" spans="1:25" s="428" customFormat="1" ht="9.1999999999999993" customHeight="1" x14ac:dyDescent="0.25">
      <c r="A416" s="431" t="s">
        <v>28</v>
      </c>
      <c r="B416" s="427">
        <f t="shared" si="38"/>
        <v>18735</v>
      </c>
      <c r="C416" s="427"/>
      <c r="D416" s="477">
        <v>7430</v>
      </c>
      <c r="E416" s="477">
        <v>7013</v>
      </c>
      <c r="F416" s="477">
        <v>2823</v>
      </c>
      <c r="G416" s="477">
        <v>1469</v>
      </c>
      <c r="I416" s="427">
        <f t="shared" si="39"/>
        <v>75041</v>
      </c>
      <c r="J416" s="427"/>
      <c r="K416" s="427">
        <v>9458</v>
      </c>
      <c r="L416" s="427">
        <v>14401</v>
      </c>
      <c r="M416" s="427">
        <v>47347</v>
      </c>
      <c r="N416" s="427">
        <v>3835</v>
      </c>
      <c r="O416" s="427"/>
      <c r="P416" s="427">
        <f t="shared" si="40"/>
        <v>2928</v>
      </c>
      <c r="Q416" s="427"/>
      <c r="R416" s="427">
        <v>160</v>
      </c>
      <c r="S416" s="427">
        <v>2768</v>
      </c>
      <c r="U416" s="472"/>
      <c r="V416" s="472"/>
      <c r="W416" s="472"/>
      <c r="X416" s="472"/>
      <c r="Y416" s="472"/>
    </row>
    <row r="417" spans="1:25" s="428" customFormat="1" ht="9.1999999999999993" customHeight="1" x14ac:dyDescent="0.25">
      <c r="A417" s="431" t="s">
        <v>29</v>
      </c>
      <c r="B417" s="427">
        <f t="shared" si="38"/>
        <v>105295</v>
      </c>
      <c r="C417" s="427"/>
      <c r="D417" s="477">
        <v>58034</v>
      </c>
      <c r="E417" s="477">
        <v>29588</v>
      </c>
      <c r="F417" s="477">
        <v>10884</v>
      </c>
      <c r="G417" s="477">
        <v>6789</v>
      </c>
      <c r="I417" s="427">
        <f t="shared" si="39"/>
        <v>477969</v>
      </c>
      <c r="J417" s="427"/>
      <c r="K417" s="427">
        <v>101088</v>
      </c>
      <c r="L417" s="427">
        <v>129381</v>
      </c>
      <c r="M417" s="427">
        <v>232453</v>
      </c>
      <c r="N417" s="427">
        <v>15047</v>
      </c>
      <c r="O417" s="427"/>
      <c r="P417" s="427">
        <f t="shared" si="40"/>
        <v>13529</v>
      </c>
      <c r="Q417" s="427"/>
      <c r="R417" s="427">
        <v>243</v>
      </c>
      <c r="S417" s="427">
        <v>13286</v>
      </c>
      <c r="U417" s="472"/>
      <c r="V417" s="472"/>
      <c r="W417" s="472"/>
      <c r="X417" s="472"/>
      <c r="Y417" s="472"/>
    </row>
    <row r="418" spans="1:25" s="428" customFormat="1" ht="9.1999999999999993" customHeight="1" x14ac:dyDescent="0.25">
      <c r="A418" s="433" t="s">
        <v>30</v>
      </c>
      <c r="B418" s="434">
        <f t="shared" si="38"/>
        <v>74749</v>
      </c>
      <c r="C418" s="434"/>
      <c r="D418" s="479">
        <v>39803</v>
      </c>
      <c r="E418" s="479">
        <v>20196</v>
      </c>
      <c r="F418" s="479">
        <v>10692</v>
      </c>
      <c r="G418" s="479">
        <v>4058</v>
      </c>
      <c r="H418" s="475"/>
      <c r="I418" s="434">
        <f t="shared" si="39"/>
        <v>339141</v>
      </c>
      <c r="J418" s="434"/>
      <c r="K418" s="434">
        <v>47528</v>
      </c>
      <c r="L418" s="434">
        <v>108213</v>
      </c>
      <c r="M418" s="434">
        <v>178044</v>
      </c>
      <c r="N418" s="434">
        <v>5356</v>
      </c>
      <c r="O418" s="434"/>
      <c r="P418" s="434">
        <f t="shared" si="40"/>
        <v>12778</v>
      </c>
      <c r="Q418" s="434"/>
      <c r="R418" s="434">
        <v>1902</v>
      </c>
      <c r="S418" s="434">
        <v>10876</v>
      </c>
      <c r="U418" s="472"/>
      <c r="V418" s="472"/>
      <c r="W418" s="472"/>
      <c r="X418" s="472"/>
      <c r="Y418" s="472"/>
    </row>
    <row r="419" spans="1:25" s="428" customFormat="1" ht="9.1999999999999993" customHeight="1" x14ac:dyDescent="0.25">
      <c r="A419" s="431" t="s">
        <v>63</v>
      </c>
      <c r="B419" s="427">
        <f t="shared" si="38"/>
        <v>174062</v>
      </c>
      <c r="C419" s="427"/>
      <c r="D419" s="477">
        <v>43930</v>
      </c>
      <c r="E419" s="477">
        <v>67737</v>
      </c>
      <c r="F419" s="477">
        <v>27877</v>
      </c>
      <c r="G419" s="477">
        <v>34518</v>
      </c>
      <c r="I419" s="427">
        <f t="shared" si="39"/>
        <v>984851</v>
      </c>
      <c r="J419" s="427"/>
      <c r="K419" s="427">
        <v>91066</v>
      </c>
      <c r="L419" s="427">
        <v>267447</v>
      </c>
      <c r="M419" s="427">
        <v>580210</v>
      </c>
      <c r="N419" s="427">
        <v>46128</v>
      </c>
      <c r="O419" s="427"/>
      <c r="P419" s="427">
        <f t="shared" si="40"/>
        <v>34249</v>
      </c>
      <c r="Q419" s="427"/>
      <c r="R419" s="427">
        <v>5148</v>
      </c>
      <c r="S419" s="427">
        <v>29101</v>
      </c>
      <c r="U419" s="472"/>
      <c r="V419" s="472"/>
      <c r="W419" s="472"/>
      <c r="X419" s="472"/>
      <c r="Y419" s="472"/>
    </row>
    <row r="420" spans="1:25" s="428" customFormat="1" ht="9.1999999999999993" customHeight="1" x14ac:dyDescent="0.25">
      <c r="A420" s="431" t="s">
        <v>31</v>
      </c>
      <c r="B420" s="427">
        <f t="shared" si="38"/>
        <v>42887</v>
      </c>
      <c r="C420" s="427"/>
      <c r="D420" s="477">
        <v>23237</v>
      </c>
      <c r="E420" s="477">
        <v>12896</v>
      </c>
      <c r="F420" s="477">
        <v>4811</v>
      </c>
      <c r="G420" s="477">
        <v>1943</v>
      </c>
      <c r="I420" s="427">
        <f t="shared" si="39"/>
        <v>190163</v>
      </c>
      <c r="J420" s="427"/>
      <c r="K420" s="427">
        <v>35434</v>
      </c>
      <c r="L420" s="427">
        <v>60195</v>
      </c>
      <c r="M420" s="427">
        <v>89045</v>
      </c>
      <c r="N420" s="427">
        <v>5489</v>
      </c>
      <c r="O420" s="427"/>
      <c r="P420" s="427">
        <f t="shared" si="40"/>
        <v>6073</v>
      </c>
      <c r="Q420" s="427"/>
      <c r="R420" s="427">
        <v>828</v>
      </c>
      <c r="S420" s="427">
        <v>5245</v>
      </c>
      <c r="U420" s="472"/>
      <c r="V420" s="472"/>
      <c r="W420" s="472"/>
      <c r="X420" s="472"/>
      <c r="Y420" s="472"/>
    </row>
    <row r="421" spans="1:25" s="428" customFormat="1" ht="9.1999999999999993" customHeight="1" x14ac:dyDescent="0.25">
      <c r="A421" s="431" t="s">
        <v>32</v>
      </c>
      <c r="B421" s="427">
        <f t="shared" si="38"/>
        <v>93005</v>
      </c>
      <c r="C421" s="427"/>
      <c r="D421" s="477">
        <v>31786</v>
      </c>
      <c r="E421" s="477">
        <v>33569</v>
      </c>
      <c r="F421" s="477">
        <v>13266</v>
      </c>
      <c r="G421" s="477">
        <v>14384</v>
      </c>
      <c r="I421" s="427">
        <f t="shared" si="39"/>
        <v>374871</v>
      </c>
      <c r="J421" s="427"/>
      <c r="K421" s="427">
        <v>63458</v>
      </c>
      <c r="L421" s="427">
        <v>107019</v>
      </c>
      <c r="M421" s="427">
        <v>173289</v>
      </c>
      <c r="N421" s="427">
        <v>31105</v>
      </c>
      <c r="O421" s="427"/>
      <c r="P421" s="427">
        <f t="shared" si="40"/>
        <v>17530</v>
      </c>
      <c r="Q421" s="427"/>
      <c r="R421" s="427">
        <v>1617</v>
      </c>
      <c r="S421" s="427">
        <v>15913</v>
      </c>
      <c r="U421" s="472"/>
      <c r="V421" s="472"/>
      <c r="W421" s="472"/>
      <c r="X421" s="472"/>
      <c r="Y421" s="472"/>
    </row>
    <row r="422" spans="1:25" s="428" customFormat="1" ht="9.1999999999999993" customHeight="1" x14ac:dyDescent="0.25">
      <c r="A422" s="433" t="s">
        <v>33</v>
      </c>
      <c r="B422" s="434">
        <f t="shared" si="38"/>
        <v>58393</v>
      </c>
      <c r="C422" s="434"/>
      <c r="D422" s="479">
        <v>26837</v>
      </c>
      <c r="E422" s="479">
        <v>14603</v>
      </c>
      <c r="F422" s="479">
        <v>7244</v>
      </c>
      <c r="G422" s="479">
        <v>9709</v>
      </c>
      <c r="H422" s="475"/>
      <c r="I422" s="434">
        <f t="shared" si="39"/>
        <v>342870</v>
      </c>
      <c r="J422" s="434"/>
      <c r="K422" s="434">
        <v>89188</v>
      </c>
      <c r="L422" s="434">
        <v>57805</v>
      </c>
      <c r="M422" s="434">
        <v>171449</v>
      </c>
      <c r="N422" s="434">
        <v>24428</v>
      </c>
      <c r="O422" s="434"/>
      <c r="P422" s="434">
        <f t="shared" si="40"/>
        <v>8403</v>
      </c>
      <c r="Q422" s="434"/>
      <c r="R422" s="434">
        <v>438</v>
      </c>
      <c r="S422" s="434">
        <v>7965</v>
      </c>
      <c r="U422" s="472"/>
      <c r="V422" s="472"/>
      <c r="W422" s="472"/>
      <c r="X422" s="472"/>
      <c r="Y422" s="472"/>
    </row>
    <row r="423" spans="1:25" s="428" customFormat="1" ht="9.1999999999999993" customHeight="1" x14ac:dyDescent="0.25">
      <c r="A423" s="431" t="s">
        <v>34</v>
      </c>
      <c r="B423" s="427">
        <f t="shared" si="38"/>
        <v>60361</v>
      </c>
      <c r="C423" s="427"/>
      <c r="D423" s="477">
        <v>20561</v>
      </c>
      <c r="E423" s="477">
        <v>24545</v>
      </c>
      <c r="F423" s="477">
        <v>6496</v>
      </c>
      <c r="G423" s="477">
        <v>8759</v>
      </c>
      <c r="I423" s="427">
        <f t="shared" si="39"/>
        <v>315810</v>
      </c>
      <c r="J423" s="427"/>
      <c r="K423" s="427">
        <v>40719</v>
      </c>
      <c r="L423" s="427">
        <v>104057</v>
      </c>
      <c r="M423" s="427">
        <v>154074</v>
      </c>
      <c r="N423" s="427">
        <v>16960</v>
      </c>
      <c r="O423" s="427"/>
      <c r="P423" s="427">
        <f t="shared" si="40"/>
        <v>9902</v>
      </c>
      <c r="Q423" s="427"/>
      <c r="R423" s="427">
        <v>878</v>
      </c>
      <c r="S423" s="427">
        <v>9024</v>
      </c>
      <c r="U423" s="472"/>
      <c r="V423" s="472"/>
      <c r="W423" s="472"/>
      <c r="X423" s="472"/>
      <c r="Y423" s="472"/>
    </row>
    <row r="424" spans="1:25" s="428" customFormat="1" ht="9.1999999999999993" customHeight="1" x14ac:dyDescent="0.25">
      <c r="A424" s="431" t="s">
        <v>35</v>
      </c>
      <c r="B424" s="427">
        <f t="shared" si="38"/>
        <v>103215</v>
      </c>
      <c r="C424" s="427"/>
      <c r="D424" s="477">
        <v>44161</v>
      </c>
      <c r="E424" s="477">
        <v>26034</v>
      </c>
      <c r="F424" s="477">
        <v>19610</v>
      </c>
      <c r="G424" s="477">
        <v>13410</v>
      </c>
      <c r="I424" s="427">
        <f t="shared" si="39"/>
        <v>490178</v>
      </c>
      <c r="J424" s="427"/>
      <c r="K424" s="427">
        <v>73127</v>
      </c>
      <c r="L424" s="427">
        <v>94150</v>
      </c>
      <c r="M424" s="427">
        <v>283988</v>
      </c>
      <c r="N424" s="427">
        <v>38913</v>
      </c>
      <c r="O424" s="427"/>
      <c r="P424" s="427">
        <f t="shared" si="40"/>
        <v>24376</v>
      </c>
      <c r="Q424" s="427"/>
      <c r="R424" s="427">
        <v>2758</v>
      </c>
      <c r="S424" s="427">
        <v>21618</v>
      </c>
      <c r="U424" s="472"/>
      <c r="V424" s="472"/>
      <c r="W424" s="472"/>
      <c r="X424" s="472"/>
      <c r="Y424" s="472"/>
    </row>
    <row r="425" spans="1:25" s="428" customFormat="1" ht="9.1999999999999993" customHeight="1" x14ac:dyDescent="0.25">
      <c r="A425" s="431" t="s">
        <v>36</v>
      </c>
      <c r="B425" s="427">
        <f t="shared" si="38"/>
        <v>197606</v>
      </c>
      <c r="C425" s="427"/>
      <c r="D425" s="477">
        <v>57511</v>
      </c>
      <c r="E425" s="477">
        <v>77252</v>
      </c>
      <c r="F425" s="477">
        <v>27241</v>
      </c>
      <c r="G425" s="477">
        <v>35602</v>
      </c>
      <c r="I425" s="427">
        <f t="shared" si="39"/>
        <v>2103637</v>
      </c>
      <c r="J425" s="427"/>
      <c r="K425" s="427">
        <v>374977</v>
      </c>
      <c r="L425" s="427">
        <v>493297</v>
      </c>
      <c r="M425" s="427">
        <v>822416</v>
      </c>
      <c r="N425" s="427">
        <v>412947</v>
      </c>
      <c r="O425" s="427"/>
      <c r="P425" s="427">
        <f t="shared" si="40"/>
        <v>36406</v>
      </c>
      <c r="Q425" s="427"/>
      <c r="R425" s="427">
        <v>5018</v>
      </c>
      <c r="S425" s="427">
        <v>31388</v>
      </c>
      <c r="U425" s="472"/>
      <c r="V425" s="472"/>
      <c r="W425" s="472"/>
      <c r="X425" s="472"/>
      <c r="Y425" s="472"/>
    </row>
    <row r="426" spans="1:25" s="428" customFormat="1" ht="9.1999999999999993" customHeight="1" x14ac:dyDescent="0.25">
      <c r="A426" s="433" t="s">
        <v>37</v>
      </c>
      <c r="B426" s="434">
        <f t="shared" si="38"/>
        <v>94766</v>
      </c>
      <c r="C426" s="434"/>
      <c r="D426" s="479">
        <v>42949</v>
      </c>
      <c r="E426" s="479">
        <v>34495</v>
      </c>
      <c r="F426" s="479">
        <v>8210</v>
      </c>
      <c r="G426" s="479">
        <v>9112</v>
      </c>
      <c r="H426" s="475"/>
      <c r="I426" s="434">
        <f t="shared" si="39"/>
        <v>424612</v>
      </c>
      <c r="J426" s="434"/>
      <c r="K426" s="434">
        <v>71649</v>
      </c>
      <c r="L426" s="434">
        <v>149786</v>
      </c>
      <c r="M426" s="434">
        <v>185418</v>
      </c>
      <c r="N426" s="434">
        <v>17759</v>
      </c>
      <c r="O426" s="434"/>
      <c r="P426" s="434">
        <f t="shared" si="40"/>
        <v>12422</v>
      </c>
      <c r="Q426" s="434"/>
      <c r="R426" s="434">
        <v>1100</v>
      </c>
      <c r="S426" s="434">
        <v>11322</v>
      </c>
      <c r="U426" s="472"/>
      <c r="V426" s="472"/>
      <c r="W426" s="472"/>
      <c r="X426" s="472"/>
      <c r="Y426" s="472"/>
    </row>
    <row r="427" spans="1:25" s="428" customFormat="1" ht="9.1999999999999993" customHeight="1" x14ac:dyDescent="0.25">
      <c r="A427" s="431" t="s">
        <v>38</v>
      </c>
      <c r="B427" s="427">
        <f t="shared" si="38"/>
        <v>31310</v>
      </c>
      <c r="C427" s="427"/>
      <c r="D427" s="477">
        <v>9522</v>
      </c>
      <c r="E427" s="477">
        <v>9314</v>
      </c>
      <c r="F427" s="477">
        <v>4782</v>
      </c>
      <c r="G427" s="477">
        <v>7692</v>
      </c>
      <c r="I427" s="427">
        <f t="shared" si="39"/>
        <v>152600</v>
      </c>
      <c r="J427" s="427"/>
      <c r="K427" s="427">
        <v>21610</v>
      </c>
      <c r="L427" s="427">
        <v>29593</v>
      </c>
      <c r="M427" s="427">
        <v>89966</v>
      </c>
      <c r="N427" s="427">
        <v>11431</v>
      </c>
      <c r="O427" s="427"/>
      <c r="P427" s="427">
        <f t="shared" si="40"/>
        <v>6021</v>
      </c>
      <c r="Q427" s="427"/>
      <c r="R427" s="427">
        <v>479</v>
      </c>
      <c r="S427" s="427">
        <v>5542</v>
      </c>
      <c r="U427" s="472"/>
      <c r="V427" s="472"/>
      <c r="W427" s="472"/>
      <c r="X427" s="472"/>
      <c r="Y427" s="472"/>
    </row>
    <row r="428" spans="1:25" s="428" customFormat="1" ht="9.1999999999999993" customHeight="1" x14ac:dyDescent="0.25">
      <c r="A428" s="431" t="s">
        <v>39</v>
      </c>
      <c r="B428" s="427">
        <f t="shared" si="38"/>
        <v>26043</v>
      </c>
      <c r="C428" s="427"/>
      <c r="D428" s="477">
        <v>15135</v>
      </c>
      <c r="E428" s="477">
        <v>6734</v>
      </c>
      <c r="F428" s="477">
        <v>2471</v>
      </c>
      <c r="G428" s="477">
        <v>1703</v>
      </c>
      <c r="I428" s="427">
        <f t="shared" si="39"/>
        <v>117938</v>
      </c>
      <c r="J428" s="427"/>
      <c r="K428" s="427">
        <v>28840</v>
      </c>
      <c r="L428" s="427">
        <v>28987</v>
      </c>
      <c r="M428" s="427">
        <v>56065</v>
      </c>
      <c r="N428" s="427">
        <v>4046</v>
      </c>
      <c r="O428" s="427"/>
      <c r="P428" s="427">
        <f t="shared" si="40"/>
        <v>3520</v>
      </c>
      <c r="Q428" s="427"/>
      <c r="R428" s="427">
        <v>207</v>
      </c>
      <c r="S428" s="427">
        <v>3313</v>
      </c>
      <c r="U428" s="472"/>
      <c r="V428" s="472"/>
      <c r="W428" s="472"/>
      <c r="X428" s="472"/>
      <c r="Y428" s="472"/>
    </row>
    <row r="429" spans="1:25" s="428" customFormat="1" ht="9.1999999999999993" customHeight="1" x14ac:dyDescent="0.25">
      <c r="A429" s="431" t="s">
        <v>40</v>
      </c>
      <c r="B429" s="427">
        <f t="shared" si="38"/>
        <v>91130</v>
      </c>
      <c r="C429" s="427"/>
      <c r="D429" s="477">
        <v>29729</v>
      </c>
      <c r="E429" s="477">
        <v>44041</v>
      </c>
      <c r="F429" s="477">
        <v>12141</v>
      </c>
      <c r="G429" s="477">
        <v>5219</v>
      </c>
      <c r="I429" s="427">
        <f t="shared" si="39"/>
        <v>437092</v>
      </c>
      <c r="J429" s="427"/>
      <c r="K429" s="427">
        <v>46575</v>
      </c>
      <c r="L429" s="427">
        <v>154298</v>
      </c>
      <c r="M429" s="427">
        <v>225199</v>
      </c>
      <c r="N429" s="427">
        <v>11020</v>
      </c>
      <c r="O429" s="427"/>
      <c r="P429" s="427">
        <f t="shared" si="40"/>
        <v>13156</v>
      </c>
      <c r="Q429" s="427"/>
      <c r="R429" s="427">
        <v>2122</v>
      </c>
      <c r="S429" s="427">
        <v>11034</v>
      </c>
      <c r="U429" s="472"/>
      <c r="V429" s="472"/>
      <c r="W429" s="472"/>
      <c r="X429" s="472"/>
      <c r="Y429" s="472"/>
    </row>
    <row r="430" spans="1:25" s="428" customFormat="1" ht="9.1999999999999993" customHeight="1" x14ac:dyDescent="0.25">
      <c r="A430" s="433" t="s">
        <v>41</v>
      </c>
      <c r="B430" s="434">
        <f t="shared" si="38"/>
        <v>63357</v>
      </c>
      <c r="C430" s="434"/>
      <c r="D430" s="479">
        <v>26532</v>
      </c>
      <c r="E430" s="479">
        <v>25785</v>
      </c>
      <c r="F430" s="479">
        <v>7646</v>
      </c>
      <c r="G430" s="479">
        <v>3394</v>
      </c>
      <c r="H430" s="475"/>
      <c r="I430" s="434">
        <f t="shared" si="39"/>
        <v>369643</v>
      </c>
      <c r="J430" s="434"/>
      <c r="K430" s="434">
        <v>51878</v>
      </c>
      <c r="L430" s="434">
        <v>112351</v>
      </c>
      <c r="M430" s="434">
        <v>196747</v>
      </c>
      <c r="N430" s="434">
        <v>8667</v>
      </c>
      <c r="O430" s="434"/>
      <c r="P430" s="434">
        <f t="shared" si="40"/>
        <v>10616</v>
      </c>
      <c r="Q430" s="434"/>
      <c r="R430" s="434">
        <v>329</v>
      </c>
      <c r="S430" s="434">
        <v>10287</v>
      </c>
      <c r="U430" s="472"/>
      <c r="V430" s="472"/>
      <c r="W430" s="472"/>
      <c r="X430" s="472"/>
      <c r="Y430" s="472"/>
    </row>
    <row r="431" spans="1:25" s="428" customFormat="1" ht="9.1999999999999993" customHeight="1" x14ac:dyDescent="0.25">
      <c r="A431" s="431" t="s">
        <v>42</v>
      </c>
      <c r="B431" s="427">
        <f t="shared" si="38"/>
        <v>105030</v>
      </c>
      <c r="C431" s="427"/>
      <c r="D431" s="477">
        <v>42309</v>
      </c>
      <c r="E431" s="477">
        <v>40723</v>
      </c>
      <c r="F431" s="477">
        <v>10570</v>
      </c>
      <c r="G431" s="477">
        <v>11428</v>
      </c>
      <c r="I431" s="427">
        <f t="shared" si="39"/>
        <v>549604</v>
      </c>
      <c r="J431" s="427"/>
      <c r="K431" s="427">
        <v>84589</v>
      </c>
      <c r="L431" s="427">
        <v>193439</v>
      </c>
      <c r="M431" s="427">
        <v>243090</v>
      </c>
      <c r="N431" s="427">
        <v>28486</v>
      </c>
      <c r="O431" s="427"/>
      <c r="P431" s="427">
        <f t="shared" si="40"/>
        <v>19538</v>
      </c>
      <c r="Q431" s="427"/>
      <c r="R431" s="427">
        <v>1408</v>
      </c>
      <c r="S431" s="427">
        <v>18130</v>
      </c>
      <c r="U431" s="472"/>
      <c r="V431" s="472"/>
      <c r="W431" s="472"/>
      <c r="X431" s="472"/>
      <c r="Y431" s="472"/>
    </row>
    <row r="432" spans="1:25" s="428" customFormat="1" ht="9.1999999999999993" customHeight="1" x14ac:dyDescent="0.25">
      <c r="A432" s="431" t="s">
        <v>43</v>
      </c>
      <c r="B432" s="427">
        <f t="shared" si="38"/>
        <v>37180</v>
      </c>
      <c r="C432" s="427"/>
      <c r="D432" s="477">
        <v>14023</v>
      </c>
      <c r="E432" s="477">
        <v>14153</v>
      </c>
      <c r="F432" s="477">
        <v>5899</v>
      </c>
      <c r="G432" s="477">
        <v>3105</v>
      </c>
      <c r="I432" s="427">
        <f t="shared" si="39"/>
        <v>177282</v>
      </c>
      <c r="J432" s="427"/>
      <c r="K432" s="427">
        <v>22695</v>
      </c>
      <c r="L432" s="427">
        <v>62785</v>
      </c>
      <c r="M432" s="427">
        <v>84141</v>
      </c>
      <c r="N432" s="427">
        <v>7661</v>
      </c>
      <c r="O432" s="427"/>
      <c r="P432" s="427">
        <f t="shared" si="40"/>
        <v>6959</v>
      </c>
      <c r="Q432" s="427"/>
      <c r="R432" s="427">
        <v>1221</v>
      </c>
      <c r="S432" s="427">
        <v>5738</v>
      </c>
      <c r="U432" s="472"/>
      <c r="V432" s="472"/>
      <c r="W432" s="472"/>
      <c r="X432" s="472"/>
      <c r="Y432" s="472"/>
    </row>
    <row r="433" spans="1:25" s="428" customFormat="1" ht="9.1999999999999993" customHeight="1" x14ac:dyDescent="0.25">
      <c r="A433" s="431" t="s">
        <v>44</v>
      </c>
      <c r="B433" s="427">
        <f t="shared" si="38"/>
        <v>28995</v>
      </c>
      <c r="C433" s="427"/>
      <c r="D433" s="477">
        <v>13438</v>
      </c>
      <c r="E433" s="477">
        <v>7883</v>
      </c>
      <c r="F433" s="477">
        <v>5425</v>
      </c>
      <c r="G433" s="477">
        <v>2249</v>
      </c>
      <c r="I433" s="427">
        <f t="shared" si="39"/>
        <v>117929</v>
      </c>
      <c r="J433" s="427"/>
      <c r="K433" s="427">
        <v>19920</v>
      </c>
      <c r="L433" s="427">
        <v>30270</v>
      </c>
      <c r="M433" s="427">
        <v>64940</v>
      </c>
      <c r="N433" s="427">
        <v>2799</v>
      </c>
      <c r="O433" s="427"/>
      <c r="P433" s="427">
        <f t="shared" si="40"/>
        <v>5727</v>
      </c>
      <c r="Q433" s="427"/>
      <c r="R433" s="427">
        <v>767</v>
      </c>
      <c r="S433" s="427">
        <v>4960</v>
      </c>
      <c r="U433" s="472"/>
      <c r="V433" s="472"/>
      <c r="W433" s="472"/>
      <c r="X433" s="472"/>
      <c r="Y433" s="472"/>
    </row>
    <row r="434" spans="1:25" s="428" customFormat="1" ht="9.1999999999999993" customHeight="1" x14ac:dyDescent="0.25">
      <c r="A434" s="433" t="s">
        <v>45</v>
      </c>
      <c r="B434" s="434">
        <f t="shared" si="38"/>
        <v>70286</v>
      </c>
      <c r="C434" s="434"/>
      <c r="D434" s="479">
        <v>31298</v>
      </c>
      <c r="E434" s="479">
        <v>28855</v>
      </c>
      <c r="F434" s="479">
        <v>5327</v>
      </c>
      <c r="G434" s="479">
        <v>4806</v>
      </c>
      <c r="H434" s="475"/>
      <c r="I434" s="434">
        <f t="shared" si="39"/>
        <v>272633</v>
      </c>
      <c r="J434" s="434"/>
      <c r="K434" s="434">
        <v>54123</v>
      </c>
      <c r="L434" s="434">
        <v>102973</v>
      </c>
      <c r="M434" s="434">
        <v>106431</v>
      </c>
      <c r="N434" s="434">
        <v>9106</v>
      </c>
      <c r="O434" s="434"/>
      <c r="P434" s="434">
        <f t="shared" si="40"/>
        <v>8042</v>
      </c>
      <c r="Q434" s="434"/>
      <c r="R434" s="434">
        <v>805</v>
      </c>
      <c r="S434" s="434">
        <v>7237</v>
      </c>
      <c r="U434" s="472"/>
      <c r="V434" s="472"/>
      <c r="W434" s="472"/>
      <c r="X434" s="472"/>
      <c r="Y434" s="472"/>
    </row>
    <row r="435" spans="1:25" s="428" customFormat="1" ht="9.1999999999999993" customHeight="1" x14ac:dyDescent="0.25">
      <c r="A435" s="431" t="s">
        <v>46</v>
      </c>
      <c r="B435" s="427">
        <f t="shared" si="38"/>
        <v>66949</v>
      </c>
      <c r="C435" s="427"/>
      <c r="D435" s="477">
        <v>28953</v>
      </c>
      <c r="E435" s="477">
        <v>24313</v>
      </c>
      <c r="F435" s="477">
        <v>8309</v>
      </c>
      <c r="G435" s="477">
        <v>5374</v>
      </c>
      <c r="I435" s="427">
        <f t="shared" si="39"/>
        <v>306684</v>
      </c>
      <c r="J435" s="427"/>
      <c r="K435" s="427">
        <v>40408</v>
      </c>
      <c r="L435" s="427">
        <v>84190</v>
      </c>
      <c r="M435" s="427">
        <v>178307</v>
      </c>
      <c r="N435" s="427">
        <v>3779</v>
      </c>
      <c r="O435" s="427"/>
      <c r="P435" s="427">
        <f t="shared" si="40"/>
        <v>10151</v>
      </c>
      <c r="Q435" s="427"/>
      <c r="R435" s="427">
        <v>584</v>
      </c>
      <c r="S435" s="427">
        <v>9567</v>
      </c>
      <c r="U435" s="472"/>
      <c r="V435" s="472"/>
      <c r="W435" s="472"/>
      <c r="X435" s="472"/>
      <c r="Y435" s="472"/>
    </row>
    <row r="436" spans="1:25" s="428" customFormat="1" ht="9.1999999999999993" customHeight="1" x14ac:dyDescent="0.25">
      <c r="A436" s="431" t="s">
        <v>47</v>
      </c>
      <c r="B436" s="427">
        <f t="shared" si="38"/>
        <v>58699</v>
      </c>
      <c r="C436" s="427"/>
      <c r="D436" s="477">
        <v>21993</v>
      </c>
      <c r="E436" s="477">
        <v>25413</v>
      </c>
      <c r="F436" s="477">
        <v>6116</v>
      </c>
      <c r="G436" s="477">
        <v>5177</v>
      </c>
      <c r="I436" s="427">
        <f t="shared" si="39"/>
        <v>261071</v>
      </c>
      <c r="J436" s="427"/>
      <c r="K436" s="427">
        <v>46482</v>
      </c>
      <c r="L436" s="427">
        <v>75267</v>
      </c>
      <c r="M436" s="427">
        <v>129802</v>
      </c>
      <c r="N436" s="427">
        <v>9520</v>
      </c>
      <c r="O436" s="427"/>
      <c r="P436" s="427">
        <f t="shared" si="40"/>
        <v>8732</v>
      </c>
      <c r="Q436" s="427"/>
      <c r="R436" s="427">
        <v>806</v>
      </c>
      <c r="S436" s="427">
        <v>7926</v>
      </c>
      <c r="U436" s="472"/>
      <c r="V436" s="472"/>
      <c r="W436" s="472"/>
      <c r="X436" s="472"/>
      <c r="Y436" s="472"/>
    </row>
    <row r="437" spans="1:25" s="428" customFormat="1" ht="9.1999999999999993" customHeight="1" x14ac:dyDescent="0.25">
      <c r="A437" s="431" t="s">
        <v>48</v>
      </c>
      <c r="B437" s="427">
        <f t="shared" si="38"/>
        <v>39237</v>
      </c>
      <c r="C437" s="427"/>
      <c r="D437" s="477">
        <v>25747</v>
      </c>
      <c r="E437" s="477">
        <v>5895</v>
      </c>
      <c r="F437" s="477">
        <v>3720</v>
      </c>
      <c r="G437" s="477">
        <v>3875</v>
      </c>
      <c r="I437" s="427">
        <f t="shared" si="39"/>
        <v>259891</v>
      </c>
      <c r="J437" s="427"/>
      <c r="K437" s="427">
        <v>66617</v>
      </c>
      <c r="L437" s="427">
        <v>31939</v>
      </c>
      <c r="M437" s="427">
        <v>150735</v>
      </c>
      <c r="N437" s="427">
        <v>10600</v>
      </c>
      <c r="O437" s="427"/>
      <c r="P437" s="427">
        <f t="shared" si="40"/>
        <v>8955</v>
      </c>
      <c r="Q437" s="427"/>
      <c r="R437" s="427">
        <v>424</v>
      </c>
      <c r="S437" s="427">
        <v>8531</v>
      </c>
      <c r="U437" s="472"/>
      <c r="V437" s="472"/>
      <c r="W437" s="472"/>
      <c r="X437" s="472"/>
      <c r="Y437" s="472"/>
    </row>
    <row r="438" spans="1:25" s="428" customFormat="1" ht="9.1999999999999993" customHeight="1" x14ac:dyDescent="0.25">
      <c r="A438" s="433" t="s">
        <v>49</v>
      </c>
      <c r="B438" s="434">
        <f t="shared" si="38"/>
        <v>79137</v>
      </c>
      <c r="C438" s="434"/>
      <c r="D438" s="479">
        <v>41980</v>
      </c>
      <c r="E438" s="479">
        <v>21373</v>
      </c>
      <c r="F438" s="479">
        <v>8898</v>
      </c>
      <c r="G438" s="479">
        <v>6886</v>
      </c>
      <c r="H438" s="475"/>
      <c r="I438" s="434">
        <f t="shared" si="39"/>
        <v>296618</v>
      </c>
      <c r="J438" s="434"/>
      <c r="K438" s="434">
        <v>48781</v>
      </c>
      <c r="L438" s="434">
        <v>79480</v>
      </c>
      <c r="M438" s="434">
        <v>159577</v>
      </c>
      <c r="N438" s="434">
        <v>8780</v>
      </c>
      <c r="O438" s="434"/>
      <c r="P438" s="434">
        <f t="shared" si="40"/>
        <v>11944</v>
      </c>
      <c r="Q438" s="434"/>
      <c r="R438" s="434">
        <v>1188</v>
      </c>
      <c r="S438" s="434">
        <v>10756</v>
      </c>
      <c r="U438" s="472"/>
      <c r="V438" s="472"/>
      <c r="W438" s="472"/>
      <c r="X438" s="472"/>
      <c r="Y438" s="472"/>
    </row>
    <row r="439" spans="1:25" s="428" customFormat="1" ht="9.1999999999999993" customHeight="1" x14ac:dyDescent="0.25">
      <c r="A439" s="431" t="s">
        <v>50</v>
      </c>
      <c r="B439" s="427">
        <f t="shared" si="38"/>
        <v>13985</v>
      </c>
      <c r="C439" s="427"/>
      <c r="D439" s="477">
        <v>4181</v>
      </c>
      <c r="E439" s="477">
        <v>5551</v>
      </c>
      <c r="F439" s="477">
        <v>2106</v>
      </c>
      <c r="G439" s="477">
        <v>2147</v>
      </c>
      <c r="I439" s="427">
        <f t="shared" si="39"/>
        <v>98707</v>
      </c>
      <c r="J439" s="427"/>
      <c r="K439" s="427">
        <v>12039</v>
      </c>
      <c r="L439" s="427">
        <v>27340</v>
      </c>
      <c r="M439" s="427">
        <v>52865</v>
      </c>
      <c r="N439" s="427">
        <v>6463</v>
      </c>
      <c r="O439" s="427"/>
      <c r="P439" s="427">
        <f t="shared" si="40"/>
        <v>4758</v>
      </c>
      <c r="Q439" s="427"/>
      <c r="R439" s="427">
        <v>186</v>
      </c>
      <c r="S439" s="427">
        <v>4572</v>
      </c>
      <c r="U439" s="472"/>
      <c r="V439" s="472"/>
      <c r="W439" s="472"/>
      <c r="X439" s="472"/>
      <c r="Y439" s="472"/>
    </row>
    <row r="440" spans="1:25" s="428" customFormat="1" ht="9.1999999999999993" customHeight="1" x14ac:dyDescent="0.25">
      <c r="A440" s="428" t="s">
        <v>51</v>
      </c>
      <c r="B440" s="427">
        <f t="shared" si="38"/>
        <v>158198</v>
      </c>
      <c r="C440" s="427"/>
      <c r="D440" s="477">
        <v>72749</v>
      </c>
      <c r="E440" s="477">
        <v>51138</v>
      </c>
      <c r="F440" s="477">
        <v>19463</v>
      </c>
      <c r="G440" s="477">
        <v>14848</v>
      </c>
      <c r="I440" s="427">
        <f t="shared" si="39"/>
        <v>836970</v>
      </c>
      <c r="J440" s="427"/>
      <c r="K440" s="427">
        <v>120522</v>
      </c>
      <c r="L440" s="427">
        <v>220937</v>
      </c>
      <c r="M440" s="427">
        <v>467277</v>
      </c>
      <c r="N440" s="427">
        <v>28234</v>
      </c>
      <c r="O440" s="427"/>
      <c r="P440" s="427">
        <f t="shared" si="40"/>
        <v>28355</v>
      </c>
      <c r="Q440" s="427"/>
      <c r="R440" s="427">
        <v>1493</v>
      </c>
      <c r="S440" s="427">
        <v>26862</v>
      </c>
      <c r="U440" s="472"/>
      <c r="V440" s="472"/>
      <c r="W440" s="472"/>
      <c r="X440" s="472"/>
      <c r="Y440" s="472"/>
    </row>
    <row r="441" spans="1:25" s="428" customFormat="1" ht="9.1999999999999993" customHeight="1" x14ac:dyDescent="0.25">
      <c r="A441" s="428" t="s">
        <v>52</v>
      </c>
      <c r="B441" s="427">
        <f t="shared" si="38"/>
        <v>38793</v>
      </c>
      <c r="C441" s="427"/>
      <c r="D441" s="477">
        <v>19012</v>
      </c>
      <c r="E441" s="477">
        <v>11351</v>
      </c>
      <c r="F441" s="477">
        <v>6112</v>
      </c>
      <c r="G441" s="477">
        <v>2318</v>
      </c>
      <c r="I441" s="427">
        <f t="shared" si="39"/>
        <v>191547</v>
      </c>
      <c r="J441" s="427"/>
      <c r="K441" s="427">
        <v>34700</v>
      </c>
      <c r="L441" s="427">
        <v>48012</v>
      </c>
      <c r="M441" s="427">
        <v>104490</v>
      </c>
      <c r="N441" s="427">
        <v>4345</v>
      </c>
      <c r="O441" s="427"/>
      <c r="P441" s="427">
        <f t="shared" si="40"/>
        <v>7724</v>
      </c>
      <c r="Q441" s="427"/>
      <c r="R441" s="427">
        <v>559</v>
      </c>
      <c r="S441" s="427">
        <v>7165</v>
      </c>
      <c r="U441" s="472"/>
      <c r="V441" s="472"/>
      <c r="W441" s="472"/>
      <c r="X441" s="472"/>
      <c r="Y441" s="472"/>
    </row>
    <row r="442" spans="1:25" s="428" customFormat="1" ht="9.1999999999999993" customHeight="1" x14ac:dyDescent="0.25">
      <c r="A442" s="433" t="s">
        <v>53</v>
      </c>
      <c r="B442" s="434">
        <f t="shared" si="38"/>
        <v>43075</v>
      </c>
      <c r="C442" s="434"/>
      <c r="D442" s="479">
        <v>16841</v>
      </c>
      <c r="E442" s="479">
        <v>18515</v>
      </c>
      <c r="F442" s="479">
        <v>4228</v>
      </c>
      <c r="G442" s="479">
        <v>3491</v>
      </c>
      <c r="H442" s="475"/>
      <c r="I442" s="434">
        <f t="shared" si="39"/>
        <v>175377</v>
      </c>
      <c r="J442" s="434"/>
      <c r="K442" s="434">
        <v>27097</v>
      </c>
      <c r="L442" s="434">
        <v>68929</v>
      </c>
      <c r="M442" s="434">
        <v>71177</v>
      </c>
      <c r="N442" s="434">
        <v>8174</v>
      </c>
      <c r="O442" s="434"/>
      <c r="P442" s="434">
        <f t="shared" si="40"/>
        <v>4438</v>
      </c>
      <c r="Q442" s="434"/>
      <c r="R442" s="434">
        <v>236</v>
      </c>
      <c r="S442" s="434">
        <v>4202</v>
      </c>
      <c r="U442" s="472"/>
      <c r="V442" s="472"/>
      <c r="W442" s="472"/>
      <c r="X442" s="472"/>
      <c r="Y442" s="472"/>
    </row>
    <row r="443" spans="1:25" s="428" customFormat="1" ht="9" customHeight="1" x14ac:dyDescent="0.25">
      <c r="B443" s="427"/>
      <c r="C443" s="427"/>
      <c r="D443" s="477"/>
      <c r="E443" s="477"/>
      <c r="F443" s="477"/>
      <c r="G443" s="477"/>
      <c r="I443" s="427"/>
      <c r="J443" s="427"/>
      <c r="K443" s="427"/>
      <c r="L443" s="427"/>
      <c r="M443" s="427"/>
      <c r="N443" s="427"/>
      <c r="O443" s="427"/>
      <c r="P443" s="427"/>
      <c r="Q443" s="427"/>
      <c r="R443" s="427"/>
      <c r="S443" s="427"/>
      <c r="U443" s="472"/>
      <c r="V443" s="472"/>
      <c r="W443" s="472"/>
      <c r="X443" s="472"/>
      <c r="Y443" s="472"/>
    </row>
    <row r="444" spans="1:25" s="428" customFormat="1" ht="9" customHeight="1" x14ac:dyDescent="0.25">
      <c r="A444" s="441">
        <v>2007</v>
      </c>
      <c r="B444" s="427"/>
      <c r="C444" s="427"/>
      <c r="D444" s="476"/>
      <c r="E444" s="477"/>
      <c r="F444" s="477"/>
      <c r="G444" s="477"/>
      <c r="H444" s="477"/>
      <c r="I444" s="477"/>
      <c r="J444" s="477"/>
      <c r="K444" s="477"/>
      <c r="L444" s="477"/>
      <c r="M444" s="477"/>
      <c r="N444" s="477"/>
      <c r="O444" s="477"/>
      <c r="P444" s="477"/>
      <c r="Q444" s="477"/>
      <c r="R444" s="477"/>
      <c r="S444" s="477"/>
      <c r="U444" s="472"/>
      <c r="V444" s="472"/>
      <c r="W444" s="472"/>
      <c r="X444" s="472"/>
      <c r="Y444" s="472"/>
    </row>
    <row r="445" spans="1:25" s="428" customFormat="1" ht="9" customHeight="1" x14ac:dyDescent="0.25">
      <c r="A445" s="429" t="s">
        <v>216</v>
      </c>
      <c r="B445" s="476">
        <f>SUM(B447:B478)</f>
        <v>2234425</v>
      </c>
      <c r="C445" s="476"/>
      <c r="D445" s="476">
        <f>SUM(D447:D478)</f>
        <v>947253</v>
      </c>
      <c r="E445" s="476">
        <f>SUM(E447:E478)</f>
        <v>711065</v>
      </c>
      <c r="F445" s="476">
        <f>SUM(F447:F478)</f>
        <v>295826</v>
      </c>
      <c r="G445" s="476">
        <f>SUM(G447:G478)</f>
        <v>280281</v>
      </c>
      <c r="H445" s="476"/>
      <c r="I445" s="476">
        <f>SUM(I447:I478)</f>
        <v>10688113</v>
      </c>
      <c r="J445" s="430"/>
      <c r="K445" s="476">
        <f>SUM(K447:K478)</f>
        <v>1724852</v>
      </c>
      <c r="L445" s="476">
        <f>SUM(L447:L478)</f>
        <v>2989819</v>
      </c>
      <c r="M445" s="476">
        <f>SUM(M447:M478)</f>
        <v>5432960</v>
      </c>
      <c r="N445" s="476">
        <f>SUM(N447:N478)</f>
        <v>540482</v>
      </c>
      <c r="O445" s="482"/>
      <c r="P445" s="476">
        <f>SUM(P447:P478)</f>
        <v>394904</v>
      </c>
      <c r="Q445" s="430"/>
      <c r="R445" s="476">
        <f>SUM(R447:R478)</f>
        <v>36957</v>
      </c>
      <c r="S445" s="476">
        <f>SUM(S447:S478)</f>
        <v>357947</v>
      </c>
      <c r="U445" s="472"/>
      <c r="V445" s="472"/>
      <c r="W445" s="472"/>
      <c r="X445" s="472"/>
      <c r="Y445" s="472"/>
    </row>
    <row r="446" spans="1:25" s="428" customFormat="1" ht="3.95" customHeight="1" x14ac:dyDescent="0.25">
      <c r="A446" s="429"/>
      <c r="B446" s="476"/>
      <c r="C446" s="476"/>
      <c r="D446" s="476"/>
      <c r="E446" s="476"/>
      <c r="F446" s="476"/>
      <c r="G446" s="476"/>
      <c r="H446" s="476"/>
      <c r="I446" s="430"/>
      <c r="J446" s="430"/>
      <c r="K446" s="430"/>
      <c r="L446" s="430"/>
      <c r="M446" s="430"/>
      <c r="N446" s="430"/>
      <c r="O446" s="430"/>
      <c r="P446" s="430"/>
      <c r="Q446" s="430"/>
      <c r="R446" s="430"/>
      <c r="S446" s="430"/>
      <c r="U446" s="472"/>
      <c r="V446" s="472"/>
      <c r="W446" s="472"/>
      <c r="X446" s="472"/>
      <c r="Y446" s="472"/>
    </row>
    <row r="447" spans="1:25" s="428" customFormat="1" ht="9.1999999999999993" customHeight="1" x14ac:dyDescent="0.25">
      <c r="A447" s="431" t="s">
        <v>23</v>
      </c>
      <c r="B447" s="427">
        <f t="shared" ref="B447:B478" si="41">SUM(D447:G447)</f>
        <v>32539</v>
      </c>
      <c r="C447" s="427"/>
      <c r="D447" s="477">
        <v>13397</v>
      </c>
      <c r="E447" s="477">
        <v>8328</v>
      </c>
      <c r="F447" s="477">
        <v>3271</v>
      </c>
      <c r="G447" s="477">
        <v>7543</v>
      </c>
      <c r="I447" s="427">
        <f t="shared" ref="I447:I478" si="42">SUM(K447:O447)</f>
        <v>119494</v>
      </c>
      <c r="J447" s="427"/>
      <c r="K447" s="427">
        <v>22393</v>
      </c>
      <c r="L447" s="427">
        <v>32409</v>
      </c>
      <c r="M447" s="427">
        <v>52876</v>
      </c>
      <c r="N447" s="427">
        <v>11816</v>
      </c>
      <c r="O447" s="427"/>
      <c r="P447" s="427">
        <f t="shared" ref="P447:P478" si="43">SUM(R447:S447)</f>
        <v>4523</v>
      </c>
      <c r="Q447" s="427"/>
      <c r="R447" s="427">
        <v>698</v>
      </c>
      <c r="S447" s="427">
        <v>3825</v>
      </c>
      <c r="U447" s="472"/>
      <c r="V447" s="472"/>
      <c r="W447" s="472"/>
      <c r="X447" s="472"/>
      <c r="Y447" s="472"/>
    </row>
    <row r="448" spans="1:25" s="428" customFormat="1" ht="9.1999999999999993" customHeight="1" x14ac:dyDescent="0.25">
      <c r="A448" s="431" t="s">
        <v>24</v>
      </c>
      <c r="B448" s="427">
        <f t="shared" si="41"/>
        <v>74979</v>
      </c>
      <c r="C448" s="427"/>
      <c r="D448" s="477">
        <v>46000</v>
      </c>
      <c r="E448" s="477">
        <v>15071</v>
      </c>
      <c r="F448" s="477">
        <v>9724</v>
      </c>
      <c r="G448" s="477">
        <v>4184</v>
      </c>
      <c r="I448" s="427">
        <f t="shared" si="42"/>
        <v>312109</v>
      </c>
      <c r="J448" s="427"/>
      <c r="K448" s="427">
        <v>72351</v>
      </c>
      <c r="L448" s="427">
        <v>83754</v>
      </c>
      <c r="M448" s="427">
        <v>152808</v>
      </c>
      <c r="N448" s="427">
        <v>3196</v>
      </c>
      <c r="O448" s="427"/>
      <c r="P448" s="427">
        <f t="shared" si="43"/>
        <v>12408</v>
      </c>
      <c r="Q448" s="427"/>
      <c r="R448" s="427">
        <v>1428</v>
      </c>
      <c r="S448" s="427">
        <v>10980</v>
      </c>
      <c r="U448" s="472"/>
      <c r="V448" s="472"/>
      <c r="W448" s="472"/>
      <c r="X448" s="472"/>
      <c r="Y448" s="472"/>
    </row>
    <row r="449" spans="1:25" s="428" customFormat="1" ht="9.1999999999999993" customHeight="1" x14ac:dyDescent="0.25">
      <c r="A449" s="431" t="s">
        <v>25</v>
      </c>
      <c r="B449" s="427">
        <f t="shared" si="41"/>
        <v>10481</v>
      </c>
      <c r="C449" s="427"/>
      <c r="D449" s="477">
        <v>5092</v>
      </c>
      <c r="E449" s="477">
        <v>3177</v>
      </c>
      <c r="F449" s="477">
        <v>1806</v>
      </c>
      <c r="G449" s="477">
        <v>406</v>
      </c>
      <c r="I449" s="427">
        <f t="shared" si="42"/>
        <v>68806</v>
      </c>
      <c r="J449" s="427"/>
      <c r="K449" s="427">
        <v>9051</v>
      </c>
      <c r="L449" s="427">
        <v>15191</v>
      </c>
      <c r="M449" s="427">
        <v>43706</v>
      </c>
      <c r="N449" s="427">
        <v>858</v>
      </c>
      <c r="O449" s="427"/>
      <c r="P449" s="427">
        <f t="shared" si="43"/>
        <v>2679</v>
      </c>
      <c r="Q449" s="427"/>
      <c r="R449" s="427">
        <v>282</v>
      </c>
      <c r="S449" s="427">
        <v>2397</v>
      </c>
      <c r="U449" s="472"/>
      <c r="V449" s="472"/>
      <c r="W449" s="472"/>
      <c r="X449" s="472"/>
      <c r="Y449" s="472"/>
    </row>
    <row r="450" spans="1:25" s="428" customFormat="1" ht="9.1999999999999993" customHeight="1" x14ac:dyDescent="0.25">
      <c r="A450" s="433" t="s">
        <v>26</v>
      </c>
      <c r="B450" s="434">
        <f t="shared" si="41"/>
        <v>18905</v>
      </c>
      <c r="C450" s="434"/>
      <c r="D450" s="479">
        <v>9694</v>
      </c>
      <c r="E450" s="479">
        <v>4847</v>
      </c>
      <c r="F450" s="479">
        <v>1966</v>
      </c>
      <c r="G450" s="479">
        <v>2398</v>
      </c>
      <c r="H450" s="475"/>
      <c r="I450" s="434">
        <f t="shared" si="42"/>
        <v>99174</v>
      </c>
      <c r="J450" s="434"/>
      <c r="K450" s="434">
        <v>18992</v>
      </c>
      <c r="L450" s="434">
        <v>20125</v>
      </c>
      <c r="M450" s="434">
        <v>55583</v>
      </c>
      <c r="N450" s="434">
        <v>4474</v>
      </c>
      <c r="O450" s="434"/>
      <c r="P450" s="434">
        <f t="shared" si="43"/>
        <v>4977</v>
      </c>
      <c r="Q450" s="434"/>
      <c r="R450" s="434">
        <v>275</v>
      </c>
      <c r="S450" s="434">
        <v>4702</v>
      </c>
      <c r="U450" s="472"/>
      <c r="V450" s="472"/>
      <c r="W450" s="472"/>
      <c r="X450" s="472"/>
      <c r="Y450" s="472"/>
    </row>
    <row r="451" spans="1:25" s="428" customFormat="1" ht="9.1999999999999993" customHeight="1" x14ac:dyDescent="0.25">
      <c r="A451" s="431" t="s">
        <v>27</v>
      </c>
      <c r="B451" s="427">
        <f t="shared" si="41"/>
        <v>77060</v>
      </c>
      <c r="C451" s="427"/>
      <c r="D451" s="477">
        <v>32125</v>
      </c>
      <c r="E451" s="477">
        <v>29274</v>
      </c>
      <c r="F451" s="477">
        <v>10652</v>
      </c>
      <c r="G451" s="477">
        <v>5009</v>
      </c>
      <c r="I451" s="427">
        <f t="shared" si="42"/>
        <v>323591</v>
      </c>
      <c r="J451" s="427"/>
      <c r="K451" s="427">
        <v>42892</v>
      </c>
      <c r="L451" s="427">
        <v>98787</v>
      </c>
      <c r="M451" s="427">
        <v>174708</v>
      </c>
      <c r="N451" s="427">
        <v>7204</v>
      </c>
      <c r="O451" s="427"/>
      <c r="P451" s="427">
        <f t="shared" si="43"/>
        <v>12051</v>
      </c>
      <c r="Q451" s="427"/>
      <c r="R451" s="427">
        <v>1190</v>
      </c>
      <c r="S451" s="427">
        <v>10861</v>
      </c>
      <c r="U451" s="472"/>
      <c r="V451" s="472"/>
      <c r="W451" s="472"/>
      <c r="X451" s="472"/>
      <c r="Y451" s="472"/>
    </row>
    <row r="452" spans="1:25" s="428" customFormat="1" ht="9.1999999999999993" customHeight="1" x14ac:dyDescent="0.25">
      <c r="A452" s="431" t="s">
        <v>28</v>
      </c>
      <c r="B452" s="427">
        <f t="shared" si="41"/>
        <v>18419</v>
      </c>
      <c r="C452" s="427"/>
      <c r="D452" s="477">
        <v>8960</v>
      </c>
      <c r="E452" s="477">
        <v>4736</v>
      </c>
      <c r="F452" s="477">
        <v>2144</v>
      </c>
      <c r="G452" s="477">
        <v>2579</v>
      </c>
      <c r="I452" s="427">
        <f t="shared" si="42"/>
        <v>86757</v>
      </c>
      <c r="J452" s="427"/>
      <c r="K452" s="427">
        <v>12930</v>
      </c>
      <c r="L452" s="427">
        <v>14745</v>
      </c>
      <c r="M452" s="427">
        <v>50616</v>
      </c>
      <c r="N452" s="427">
        <v>8466</v>
      </c>
      <c r="O452" s="427"/>
      <c r="P452" s="427">
        <f t="shared" si="43"/>
        <v>3507</v>
      </c>
      <c r="Q452" s="427"/>
      <c r="R452" s="427">
        <v>146</v>
      </c>
      <c r="S452" s="427">
        <v>3361</v>
      </c>
      <c r="U452" s="472"/>
      <c r="V452" s="472"/>
      <c r="W452" s="472"/>
      <c r="X452" s="472"/>
      <c r="Y452" s="472"/>
    </row>
    <row r="453" spans="1:25" s="428" customFormat="1" ht="9.1999999999999993" customHeight="1" x14ac:dyDescent="0.25">
      <c r="A453" s="431" t="s">
        <v>29</v>
      </c>
      <c r="B453" s="427">
        <f t="shared" si="41"/>
        <v>105071</v>
      </c>
      <c r="C453" s="427"/>
      <c r="D453" s="477">
        <v>60335</v>
      </c>
      <c r="E453" s="477">
        <v>27779</v>
      </c>
      <c r="F453" s="477">
        <v>10418</v>
      </c>
      <c r="G453" s="477">
        <v>6539</v>
      </c>
      <c r="I453" s="427">
        <f t="shared" si="42"/>
        <v>460717</v>
      </c>
      <c r="J453" s="427"/>
      <c r="K453" s="427">
        <v>104493</v>
      </c>
      <c r="L453" s="427">
        <v>123106</v>
      </c>
      <c r="M453" s="427">
        <v>217345</v>
      </c>
      <c r="N453" s="427">
        <v>15773</v>
      </c>
      <c r="O453" s="427"/>
      <c r="P453" s="427">
        <f t="shared" si="43"/>
        <v>14999</v>
      </c>
      <c r="Q453" s="427"/>
      <c r="R453" s="427">
        <v>436</v>
      </c>
      <c r="S453" s="427">
        <v>14563</v>
      </c>
      <c r="U453" s="472"/>
      <c r="V453" s="472"/>
      <c r="W453" s="472"/>
      <c r="X453" s="472"/>
      <c r="Y453" s="472"/>
    </row>
    <row r="454" spans="1:25" s="428" customFormat="1" ht="9.1999999999999993" customHeight="1" x14ac:dyDescent="0.25">
      <c r="A454" s="433" t="s">
        <v>30</v>
      </c>
      <c r="B454" s="434">
        <f t="shared" si="41"/>
        <v>78228</v>
      </c>
      <c r="C454" s="434"/>
      <c r="D454" s="479">
        <v>42676</v>
      </c>
      <c r="E454" s="479">
        <v>19406</v>
      </c>
      <c r="F454" s="479">
        <v>10996</v>
      </c>
      <c r="G454" s="479">
        <v>5150</v>
      </c>
      <c r="H454" s="475"/>
      <c r="I454" s="434">
        <f t="shared" si="42"/>
        <v>347031</v>
      </c>
      <c r="J454" s="434"/>
      <c r="K454" s="434">
        <v>51802</v>
      </c>
      <c r="L454" s="434">
        <v>107090</v>
      </c>
      <c r="M454" s="434">
        <v>182695</v>
      </c>
      <c r="N454" s="434">
        <v>5444</v>
      </c>
      <c r="O454" s="434"/>
      <c r="P454" s="434">
        <f t="shared" si="43"/>
        <v>13563</v>
      </c>
      <c r="Q454" s="434"/>
      <c r="R454" s="434">
        <v>1981</v>
      </c>
      <c r="S454" s="434">
        <v>11582</v>
      </c>
      <c r="U454" s="472"/>
      <c r="V454" s="472"/>
      <c r="W454" s="472"/>
      <c r="X454" s="472"/>
      <c r="Y454" s="472"/>
    </row>
    <row r="455" spans="1:25" s="428" customFormat="1" ht="9.1999999999999993" customHeight="1" x14ac:dyDescent="0.25">
      <c r="A455" s="431" t="s">
        <v>63</v>
      </c>
      <c r="B455" s="427">
        <f t="shared" si="41"/>
        <v>176388</v>
      </c>
      <c r="C455" s="427"/>
      <c r="D455" s="477">
        <v>49063</v>
      </c>
      <c r="E455" s="477">
        <v>61005</v>
      </c>
      <c r="F455" s="477">
        <v>24809</v>
      </c>
      <c r="G455" s="477">
        <v>41511</v>
      </c>
      <c r="I455" s="427">
        <f t="shared" si="42"/>
        <v>971615</v>
      </c>
      <c r="J455" s="427"/>
      <c r="K455" s="427">
        <v>86598</v>
      </c>
      <c r="L455" s="427">
        <v>249836</v>
      </c>
      <c r="M455" s="427">
        <v>586014</v>
      </c>
      <c r="N455" s="427">
        <v>49167</v>
      </c>
      <c r="O455" s="427"/>
      <c r="P455" s="427">
        <f t="shared" si="43"/>
        <v>34131</v>
      </c>
      <c r="Q455" s="427"/>
      <c r="R455" s="427">
        <v>5028</v>
      </c>
      <c r="S455" s="427">
        <v>29103</v>
      </c>
      <c r="U455" s="472"/>
      <c r="V455" s="472"/>
      <c r="W455" s="472"/>
      <c r="X455" s="472"/>
      <c r="Y455" s="472"/>
    </row>
    <row r="456" spans="1:25" s="428" customFormat="1" ht="9.1999999999999993" customHeight="1" x14ac:dyDescent="0.25">
      <c r="A456" s="431" t="s">
        <v>31</v>
      </c>
      <c r="B456" s="427">
        <f t="shared" si="41"/>
        <v>40654</v>
      </c>
      <c r="C456" s="427"/>
      <c r="D456" s="477">
        <v>22537</v>
      </c>
      <c r="E456" s="477">
        <v>11720</v>
      </c>
      <c r="F456" s="477">
        <v>4243</v>
      </c>
      <c r="G456" s="477">
        <v>2154</v>
      </c>
      <c r="I456" s="427">
        <f t="shared" si="42"/>
        <v>177846</v>
      </c>
      <c r="J456" s="427"/>
      <c r="K456" s="427">
        <v>37603</v>
      </c>
      <c r="L456" s="427">
        <v>60828</v>
      </c>
      <c r="M456" s="427">
        <v>72891</v>
      </c>
      <c r="N456" s="427">
        <v>6524</v>
      </c>
      <c r="O456" s="427"/>
      <c r="P456" s="427">
        <f t="shared" si="43"/>
        <v>6187</v>
      </c>
      <c r="Q456" s="427"/>
      <c r="R456" s="427">
        <v>800</v>
      </c>
      <c r="S456" s="427">
        <v>5387</v>
      </c>
      <c r="U456" s="472"/>
      <c r="V456" s="472"/>
      <c r="W456" s="472"/>
      <c r="X456" s="472"/>
      <c r="Y456" s="472"/>
    </row>
    <row r="457" spans="1:25" s="428" customFormat="1" ht="9.1999999999999993" customHeight="1" x14ac:dyDescent="0.25">
      <c r="A457" s="431" t="s">
        <v>32</v>
      </c>
      <c r="B457" s="427">
        <f t="shared" si="41"/>
        <v>99722</v>
      </c>
      <c r="C457" s="427"/>
      <c r="D457" s="477">
        <v>37323</v>
      </c>
      <c r="E457" s="477">
        <v>32030</v>
      </c>
      <c r="F457" s="477">
        <v>12758</v>
      </c>
      <c r="G457" s="477">
        <v>17611</v>
      </c>
      <c r="I457" s="427">
        <f t="shared" si="42"/>
        <v>395714</v>
      </c>
      <c r="J457" s="427"/>
      <c r="K457" s="427">
        <v>68179</v>
      </c>
      <c r="L457" s="427">
        <v>114622</v>
      </c>
      <c r="M457" s="427">
        <v>180889</v>
      </c>
      <c r="N457" s="427">
        <v>32024</v>
      </c>
      <c r="O457" s="427"/>
      <c r="P457" s="427">
        <f t="shared" si="43"/>
        <v>18142</v>
      </c>
      <c r="Q457" s="427"/>
      <c r="R457" s="427">
        <v>1766</v>
      </c>
      <c r="S457" s="427">
        <v>16376</v>
      </c>
      <c r="U457" s="472"/>
      <c r="V457" s="472"/>
      <c r="W457" s="472"/>
      <c r="X457" s="472"/>
      <c r="Y457" s="472"/>
    </row>
    <row r="458" spans="1:25" s="428" customFormat="1" ht="9.1999999999999993" customHeight="1" x14ac:dyDescent="0.25">
      <c r="A458" s="433" t="s">
        <v>33</v>
      </c>
      <c r="B458" s="434">
        <f t="shared" si="41"/>
        <v>58081</v>
      </c>
      <c r="C458" s="434"/>
      <c r="D458" s="479">
        <v>29939</v>
      </c>
      <c r="E458" s="479">
        <v>13640</v>
      </c>
      <c r="F458" s="479">
        <v>5402</v>
      </c>
      <c r="G458" s="479">
        <v>9100</v>
      </c>
      <c r="H458" s="475"/>
      <c r="I458" s="434">
        <f t="shared" si="42"/>
        <v>343884</v>
      </c>
      <c r="J458" s="434"/>
      <c r="K458" s="434">
        <v>89843</v>
      </c>
      <c r="L458" s="434">
        <v>56167</v>
      </c>
      <c r="M458" s="434">
        <v>172593</v>
      </c>
      <c r="N458" s="434">
        <v>25281</v>
      </c>
      <c r="O458" s="434"/>
      <c r="P458" s="434">
        <f t="shared" si="43"/>
        <v>10545</v>
      </c>
      <c r="Q458" s="434"/>
      <c r="R458" s="434">
        <v>491</v>
      </c>
      <c r="S458" s="434">
        <v>10054</v>
      </c>
      <c r="U458" s="472"/>
      <c r="V458" s="472"/>
      <c r="W458" s="472"/>
      <c r="X458" s="472"/>
      <c r="Y458" s="472"/>
    </row>
    <row r="459" spans="1:25" s="428" customFormat="1" ht="9.1999999999999993" customHeight="1" x14ac:dyDescent="0.25">
      <c r="A459" s="431" t="s">
        <v>34</v>
      </c>
      <c r="B459" s="427">
        <f t="shared" si="41"/>
        <v>67438</v>
      </c>
      <c r="C459" s="427"/>
      <c r="D459" s="477">
        <v>21947</v>
      </c>
      <c r="E459" s="477">
        <v>24824</v>
      </c>
      <c r="F459" s="477">
        <v>8061</v>
      </c>
      <c r="G459" s="477">
        <v>12606</v>
      </c>
      <c r="I459" s="427">
        <f t="shared" si="42"/>
        <v>318484</v>
      </c>
      <c r="J459" s="427"/>
      <c r="K459" s="427">
        <v>42362</v>
      </c>
      <c r="L459" s="427">
        <v>98784</v>
      </c>
      <c r="M459" s="427">
        <v>159760</v>
      </c>
      <c r="N459" s="427">
        <v>17578</v>
      </c>
      <c r="O459" s="427"/>
      <c r="P459" s="427">
        <f t="shared" si="43"/>
        <v>10231</v>
      </c>
      <c r="Q459" s="427"/>
      <c r="R459" s="427">
        <v>741</v>
      </c>
      <c r="S459" s="427">
        <v>9490</v>
      </c>
      <c r="U459" s="472"/>
      <c r="V459" s="472"/>
      <c r="W459" s="472"/>
      <c r="X459" s="472"/>
      <c r="Y459" s="472"/>
    </row>
    <row r="460" spans="1:25" s="428" customFormat="1" ht="9.1999999999999993" customHeight="1" x14ac:dyDescent="0.25">
      <c r="A460" s="431" t="s">
        <v>35</v>
      </c>
      <c r="B460" s="427">
        <f t="shared" si="41"/>
        <v>99689</v>
      </c>
      <c r="C460" s="427"/>
      <c r="D460" s="477">
        <v>41869</v>
      </c>
      <c r="E460" s="477">
        <v>25299</v>
      </c>
      <c r="F460" s="477">
        <v>19389</v>
      </c>
      <c r="G460" s="477">
        <v>13132</v>
      </c>
      <c r="I460" s="427">
        <f t="shared" si="42"/>
        <v>494131</v>
      </c>
      <c r="J460" s="427"/>
      <c r="K460" s="427">
        <v>70890</v>
      </c>
      <c r="L460" s="427">
        <v>97473</v>
      </c>
      <c r="M460" s="427">
        <v>290212</v>
      </c>
      <c r="N460" s="427">
        <v>35556</v>
      </c>
      <c r="O460" s="427"/>
      <c r="P460" s="427">
        <f t="shared" si="43"/>
        <v>26305</v>
      </c>
      <c r="Q460" s="427"/>
      <c r="R460" s="427">
        <v>2748</v>
      </c>
      <c r="S460" s="427">
        <v>23557</v>
      </c>
      <c r="U460" s="472"/>
      <c r="V460" s="472"/>
      <c r="W460" s="472"/>
      <c r="X460" s="472"/>
      <c r="Y460" s="472"/>
    </row>
    <row r="461" spans="1:25" s="428" customFormat="1" ht="9.1999999999999993" customHeight="1" x14ac:dyDescent="0.25">
      <c r="A461" s="431" t="s">
        <v>36</v>
      </c>
      <c r="B461" s="427">
        <f t="shared" si="41"/>
        <v>211236</v>
      </c>
      <c r="C461" s="427"/>
      <c r="D461" s="477">
        <v>61724</v>
      </c>
      <c r="E461" s="477">
        <v>70119</v>
      </c>
      <c r="F461" s="477">
        <v>28550</v>
      </c>
      <c r="G461" s="477">
        <v>50843</v>
      </c>
      <c r="I461" s="427">
        <f t="shared" si="42"/>
        <v>1150500</v>
      </c>
      <c r="J461" s="427"/>
      <c r="K461" s="427">
        <v>189832</v>
      </c>
      <c r="L461" s="427">
        <v>323222</v>
      </c>
      <c r="M461" s="427">
        <v>500122</v>
      </c>
      <c r="N461" s="427">
        <v>137324</v>
      </c>
      <c r="O461" s="427"/>
      <c r="P461" s="427">
        <f t="shared" si="43"/>
        <v>40364</v>
      </c>
      <c r="Q461" s="427"/>
      <c r="R461" s="427">
        <v>4997</v>
      </c>
      <c r="S461" s="427">
        <v>35367</v>
      </c>
      <c r="U461" s="472"/>
      <c r="V461" s="472"/>
      <c r="W461" s="472"/>
      <c r="X461" s="472"/>
      <c r="Y461" s="472"/>
    </row>
    <row r="462" spans="1:25" s="428" customFormat="1" ht="9.1999999999999993" customHeight="1" x14ac:dyDescent="0.25">
      <c r="A462" s="433" t="s">
        <v>37</v>
      </c>
      <c r="B462" s="434">
        <f t="shared" si="41"/>
        <v>101360</v>
      </c>
      <c r="C462" s="434"/>
      <c r="D462" s="479">
        <v>49471</v>
      </c>
      <c r="E462" s="479">
        <v>34078</v>
      </c>
      <c r="F462" s="479">
        <v>7772</v>
      </c>
      <c r="G462" s="479">
        <v>10039</v>
      </c>
      <c r="H462" s="475"/>
      <c r="I462" s="434">
        <f t="shared" si="42"/>
        <v>421315</v>
      </c>
      <c r="J462" s="434"/>
      <c r="K462" s="434">
        <v>75672</v>
      </c>
      <c r="L462" s="434">
        <v>143992</v>
      </c>
      <c r="M462" s="434">
        <v>184742</v>
      </c>
      <c r="N462" s="434">
        <v>16909</v>
      </c>
      <c r="O462" s="434"/>
      <c r="P462" s="434">
        <f t="shared" si="43"/>
        <v>13050</v>
      </c>
      <c r="Q462" s="434"/>
      <c r="R462" s="434">
        <v>990</v>
      </c>
      <c r="S462" s="434">
        <v>12060</v>
      </c>
      <c r="U462" s="472"/>
      <c r="V462" s="472"/>
      <c r="W462" s="472"/>
      <c r="X462" s="472"/>
      <c r="Y462" s="472"/>
    </row>
    <row r="463" spans="1:25" s="428" customFormat="1" ht="9.1999999999999993" customHeight="1" x14ac:dyDescent="0.25">
      <c r="A463" s="431" t="s">
        <v>38</v>
      </c>
      <c r="B463" s="427">
        <f t="shared" si="41"/>
        <v>26937</v>
      </c>
      <c r="C463" s="427"/>
      <c r="D463" s="477">
        <v>9572</v>
      </c>
      <c r="E463" s="477">
        <v>7338</v>
      </c>
      <c r="F463" s="477">
        <v>4226</v>
      </c>
      <c r="G463" s="477">
        <v>5801</v>
      </c>
      <c r="I463" s="427">
        <f t="shared" si="42"/>
        <v>154719</v>
      </c>
      <c r="J463" s="427"/>
      <c r="K463" s="427">
        <v>22401</v>
      </c>
      <c r="L463" s="427">
        <v>28913</v>
      </c>
      <c r="M463" s="427">
        <v>92818</v>
      </c>
      <c r="N463" s="427">
        <v>10587</v>
      </c>
      <c r="O463" s="427"/>
      <c r="P463" s="427">
        <f t="shared" si="43"/>
        <v>6247</v>
      </c>
      <c r="Q463" s="427"/>
      <c r="R463" s="427">
        <v>423</v>
      </c>
      <c r="S463" s="427">
        <v>5824</v>
      </c>
      <c r="U463" s="472"/>
      <c r="V463" s="472"/>
      <c r="W463" s="472"/>
      <c r="X463" s="472"/>
      <c r="Y463" s="472"/>
    </row>
    <row r="464" spans="1:25" s="428" customFormat="1" ht="9.1999999999999993" customHeight="1" x14ac:dyDescent="0.25">
      <c r="A464" s="431" t="s">
        <v>39</v>
      </c>
      <c r="B464" s="427">
        <f t="shared" si="41"/>
        <v>25280</v>
      </c>
      <c r="C464" s="427"/>
      <c r="D464" s="477">
        <v>15022</v>
      </c>
      <c r="E464" s="477">
        <v>6003</v>
      </c>
      <c r="F464" s="477">
        <v>2542</v>
      </c>
      <c r="G464" s="477">
        <v>1713</v>
      </c>
      <c r="I464" s="427">
        <f t="shared" si="42"/>
        <v>119825</v>
      </c>
      <c r="J464" s="427"/>
      <c r="K464" s="427">
        <v>29411</v>
      </c>
      <c r="L464" s="427">
        <v>28968</v>
      </c>
      <c r="M464" s="427">
        <v>57882</v>
      </c>
      <c r="N464" s="427">
        <v>3564</v>
      </c>
      <c r="O464" s="427"/>
      <c r="P464" s="427">
        <f t="shared" si="43"/>
        <v>3580</v>
      </c>
      <c r="Q464" s="427"/>
      <c r="R464" s="427">
        <v>242</v>
      </c>
      <c r="S464" s="427">
        <v>3338</v>
      </c>
      <c r="U464" s="472"/>
      <c r="V464" s="472"/>
      <c r="W464" s="472"/>
      <c r="X464" s="472"/>
      <c r="Y464" s="472"/>
    </row>
    <row r="465" spans="1:25" s="428" customFormat="1" ht="9.1999999999999993" customHeight="1" x14ac:dyDescent="0.25">
      <c r="A465" s="431" t="s">
        <v>40</v>
      </c>
      <c r="B465" s="427">
        <f t="shared" si="41"/>
        <v>85804</v>
      </c>
      <c r="C465" s="427"/>
      <c r="D465" s="477">
        <v>26156</v>
      </c>
      <c r="E465" s="477">
        <v>39981</v>
      </c>
      <c r="F465" s="477">
        <v>14431</v>
      </c>
      <c r="G465" s="477">
        <v>5236</v>
      </c>
      <c r="I465" s="427">
        <f t="shared" si="42"/>
        <v>440833</v>
      </c>
      <c r="J465" s="427"/>
      <c r="K465" s="427">
        <v>45170</v>
      </c>
      <c r="L465" s="427">
        <v>155449</v>
      </c>
      <c r="M465" s="427">
        <v>228403</v>
      </c>
      <c r="N465" s="427">
        <v>11811</v>
      </c>
      <c r="O465" s="427"/>
      <c r="P465" s="427">
        <f t="shared" si="43"/>
        <v>13532</v>
      </c>
      <c r="Q465" s="427"/>
      <c r="R465" s="427">
        <v>2069</v>
      </c>
      <c r="S465" s="427">
        <v>11463</v>
      </c>
      <c r="U465" s="472"/>
      <c r="V465" s="472"/>
      <c r="W465" s="472"/>
      <c r="X465" s="472"/>
      <c r="Y465" s="472"/>
    </row>
    <row r="466" spans="1:25" s="428" customFormat="1" ht="9.1999999999999993" customHeight="1" x14ac:dyDescent="0.25">
      <c r="A466" s="433" t="s">
        <v>41</v>
      </c>
      <c r="B466" s="434">
        <f t="shared" si="41"/>
        <v>69962</v>
      </c>
      <c r="C466" s="434"/>
      <c r="D466" s="479">
        <v>30929</v>
      </c>
      <c r="E466" s="479">
        <v>24385</v>
      </c>
      <c r="F466" s="479">
        <v>8669</v>
      </c>
      <c r="G466" s="479">
        <v>5979</v>
      </c>
      <c r="H466" s="475"/>
      <c r="I466" s="434">
        <f t="shared" si="42"/>
        <v>332470</v>
      </c>
      <c r="J466" s="434"/>
      <c r="K466" s="434">
        <v>51327</v>
      </c>
      <c r="L466" s="434">
        <v>109382</v>
      </c>
      <c r="M466" s="434">
        <v>161674</v>
      </c>
      <c r="N466" s="434">
        <v>10087</v>
      </c>
      <c r="O466" s="434"/>
      <c r="P466" s="434">
        <f t="shared" si="43"/>
        <v>11887</v>
      </c>
      <c r="Q466" s="434"/>
      <c r="R466" s="434">
        <v>425</v>
      </c>
      <c r="S466" s="434">
        <v>11462</v>
      </c>
      <c r="U466" s="472"/>
      <c r="V466" s="472"/>
      <c r="W466" s="472"/>
      <c r="X466" s="472"/>
      <c r="Y466" s="472"/>
    </row>
    <row r="467" spans="1:25" s="428" customFormat="1" ht="9.1999999999999993" customHeight="1" x14ac:dyDescent="0.25">
      <c r="A467" s="431" t="s">
        <v>42</v>
      </c>
      <c r="B467" s="427">
        <f t="shared" si="41"/>
        <v>105251</v>
      </c>
      <c r="C467" s="427"/>
      <c r="D467" s="477">
        <v>44126</v>
      </c>
      <c r="E467" s="477">
        <v>36733</v>
      </c>
      <c r="F467" s="477">
        <v>12151</v>
      </c>
      <c r="G467" s="477">
        <v>12241</v>
      </c>
      <c r="I467" s="427">
        <f t="shared" si="42"/>
        <v>544284</v>
      </c>
      <c r="J467" s="427"/>
      <c r="K467" s="427">
        <v>83831</v>
      </c>
      <c r="L467" s="427">
        <v>188790</v>
      </c>
      <c r="M467" s="427">
        <v>245298</v>
      </c>
      <c r="N467" s="427">
        <v>26365</v>
      </c>
      <c r="O467" s="427"/>
      <c r="P467" s="427">
        <f t="shared" si="43"/>
        <v>21104</v>
      </c>
      <c r="Q467" s="427"/>
      <c r="R467" s="427">
        <v>1328</v>
      </c>
      <c r="S467" s="427">
        <v>19776</v>
      </c>
      <c r="U467" s="472"/>
      <c r="V467" s="472"/>
      <c r="W467" s="472"/>
      <c r="X467" s="472"/>
      <c r="Y467" s="472"/>
    </row>
    <row r="468" spans="1:25" s="428" customFormat="1" ht="9.1999999999999993" customHeight="1" x14ac:dyDescent="0.25">
      <c r="A468" s="431" t="s">
        <v>43</v>
      </c>
      <c r="B468" s="427">
        <f t="shared" si="41"/>
        <v>38354</v>
      </c>
      <c r="C468" s="427"/>
      <c r="D468" s="477">
        <v>14972</v>
      </c>
      <c r="E468" s="477">
        <v>14297</v>
      </c>
      <c r="F468" s="477">
        <v>5572</v>
      </c>
      <c r="G468" s="477">
        <v>3513</v>
      </c>
      <c r="I468" s="427">
        <f t="shared" si="42"/>
        <v>162097</v>
      </c>
      <c r="J468" s="427"/>
      <c r="K468" s="427">
        <v>20247</v>
      </c>
      <c r="L468" s="427">
        <v>60673</v>
      </c>
      <c r="M468" s="427">
        <v>75664</v>
      </c>
      <c r="N468" s="427">
        <v>5513</v>
      </c>
      <c r="O468" s="427"/>
      <c r="P468" s="427">
        <f t="shared" si="43"/>
        <v>7571</v>
      </c>
      <c r="Q468" s="427"/>
      <c r="R468" s="427">
        <v>1065</v>
      </c>
      <c r="S468" s="427">
        <v>6506</v>
      </c>
      <c r="U468" s="472"/>
      <c r="V468" s="472"/>
      <c r="W468" s="472"/>
      <c r="X468" s="472"/>
      <c r="Y468" s="472"/>
    </row>
    <row r="469" spans="1:25" s="428" customFormat="1" ht="9.1999999999999993" customHeight="1" x14ac:dyDescent="0.25">
      <c r="A469" s="431" t="s">
        <v>44</v>
      </c>
      <c r="B469" s="427">
        <f t="shared" si="41"/>
        <v>26527</v>
      </c>
      <c r="C469" s="427"/>
      <c r="D469" s="477">
        <v>12690</v>
      </c>
      <c r="E469" s="477">
        <v>6439</v>
      </c>
      <c r="F469" s="477">
        <v>5462</v>
      </c>
      <c r="G469" s="477">
        <v>1936</v>
      </c>
      <c r="I469" s="427">
        <f t="shared" si="42"/>
        <v>123218</v>
      </c>
      <c r="J469" s="427"/>
      <c r="K469" s="427">
        <v>22589</v>
      </c>
      <c r="L469" s="427">
        <v>33262</v>
      </c>
      <c r="M469" s="427">
        <v>64609</v>
      </c>
      <c r="N469" s="427">
        <v>2758</v>
      </c>
      <c r="O469" s="427"/>
      <c r="P469" s="427">
        <f t="shared" si="43"/>
        <v>5376</v>
      </c>
      <c r="Q469" s="427"/>
      <c r="R469" s="427">
        <v>651</v>
      </c>
      <c r="S469" s="427">
        <v>4725</v>
      </c>
      <c r="U469" s="472"/>
      <c r="V469" s="472"/>
      <c r="W469" s="472"/>
      <c r="X469" s="472"/>
      <c r="Y469" s="472"/>
    </row>
    <row r="470" spans="1:25" s="428" customFormat="1" ht="9.1999999999999993" customHeight="1" x14ac:dyDescent="0.25">
      <c r="A470" s="433" t="s">
        <v>45</v>
      </c>
      <c r="B470" s="434">
        <f t="shared" si="41"/>
        <v>69913</v>
      </c>
      <c r="C470" s="434"/>
      <c r="D470" s="479">
        <v>31280</v>
      </c>
      <c r="E470" s="479">
        <v>27884</v>
      </c>
      <c r="F470" s="479">
        <v>5422</v>
      </c>
      <c r="G470" s="479">
        <v>5327</v>
      </c>
      <c r="H470" s="475"/>
      <c r="I470" s="434">
        <f t="shared" si="42"/>
        <v>264027</v>
      </c>
      <c r="J470" s="434"/>
      <c r="K470" s="434">
        <v>48192</v>
      </c>
      <c r="L470" s="434">
        <v>102838</v>
      </c>
      <c r="M470" s="434">
        <v>104214</v>
      </c>
      <c r="N470" s="434">
        <v>8783</v>
      </c>
      <c r="O470" s="434"/>
      <c r="P470" s="434">
        <f t="shared" si="43"/>
        <v>7861</v>
      </c>
      <c r="Q470" s="434"/>
      <c r="R470" s="434">
        <v>722</v>
      </c>
      <c r="S470" s="434">
        <v>7139</v>
      </c>
      <c r="U470" s="472"/>
      <c r="V470" s="472"/>
      <c r="W470" s="472"/>
      <c r="X470" s="472"/>
      <c r="Y470" s="472"/>
    </row>
    <row r="471" spans="1:25" s="428" customFormat="1" ht="9.1999999999999993" customHeight="1" x14ac:dyDescent="0.25">
      <c r="A471" s="431" t="s">
        <v>46</v>
      </c>
      <c r="B471" s="427">
        <f t="shared" si="41"/>
        <v>79070</v>
      </c>
      <c r="C471" s="427"/>
      <c r="D471" s="477">
        <v>31215</v>
      </c>
      <c r="E471" s="477">
        <v>27276</v>
      </c>
      <c r="F471" s="477">
        <v>14029</v>
      </c>
      <c r="G471" s="477">
        <v>6550</v>
      </c>
      <c r="I471" s="427">
        <f t="shared" si="42"/>
        <v>310275</v>
      </c>
      <c r="J471" s="427"/>
      <c r="K471" s="427">
        <v>43249</v>
      </c>
      <c r="L471" s="427">
        <v>83674</v>
      </c>
      <c r="M471" s="427">
        <v>177022</v>
      </c>
      <c r="N471" s="427">
        <v>6330</v>
      </c>
      <c r="O471" s="427"/>
      <c r="P471" s="427">
        <f t="shared" si="43"/>
        <v>10508</v>
      </c>
      <c r="Q471" s="427"/>
      <c r="R471" s="427">
        <v>650</v>
      </c>
      <c r="S471" s="427">
        <v>9858</v>
      </c>
      <c r="U471" s="472"/>
      <c r="V471" s="472"/>
      <c r="W471" s="472"/>
      <c r="X471" s="472"/>
      <c r="Y471" s="472"/>
    </row>
    <row r="472" spans="1:25" s="428" customFormat="1" ht="9.1999999999999993" customHeight="1" x14ac:dyDescent="0.25">
      <c r="A472" s="431" t="s">
        <v>47</v>
      </c>
      <c r="B472" s="427">
        <f t="shared" si="41"/>
        <v>68219</v>
      </c>
      <c r="C472" s="427"/>
      <c r="D472" s="477">
        <v>24685</v>
      </c>
      <c r="E472" s="477">
        <v>28556</v>
      </c>
      <c r="F472" s="477">
        <v>8125</v>
      </c>
      <c r="G472" s="477">
        <v>6853</v>
      </c>
      <c r="I472" s="427">
        <f t="shared" si="42"/>
        <v>276611</v>
      </c>
      <c r="J472" s="427"/>
      <c r="K472" s="427">
        <v>47021</v>
      </c>
      <c r="L472" s="427">
        <v>84532</v>
      </c>
      <c r="M472" s="427">
        <v>134073</v>
      </c>
      <c r="N472" s="427">
        <v>10985</v>
      </c>
      <c r="O472" s="427"/>
      <c r="P472" s="427">
        <f t="shared" si="43"/>
        <v>12340</v>
      </c>
      <c r="Q472" s="427"/>
      <c r="R472" s="427">
        <v>889</v>
      </c>
      <c r="S472" s="427">
        <v>11451</v>
      </c>
      <c r="U472" s="472"/>
      <c r="V472" s="472"/>
      <c r="W472" s="472"/>
      <c r="X472" s="472"/>
      <c r="Y472" s="472"/>
    </row>
    <row r="473" spans="1:25" s="428" customFormat="1" ht="9.1999999999999993" customHeight="1" x14ac:dyDescent="0.25">
      <c r="A473" s="431" t="s">
        <v>48</v>
      </c>
      <c r="B473" s="427">
        <f t="shared" si="41"/>
        <v>34292</v>
      </c>
      <c r="C473" s="427"/>
      <c r="D473" s="477">
        <v>21781</v>
      </c>
      <c r="E473" s="477">
        <v>5451</v>
      </c>
      <c r="F473" s="477">
        <v>3765</v>
      </c>
      <c r="G473" s="477">
        <v>3295</v>
      </c>
      <c r="I473" s="427">
        <f t="shared" si="42"/>
        <v>248928</v>
      </c>
      <c r="J473" s="427"/>
      <c r="K473" s="427">
        <v>66222</v>
      </c>
      <c r="L473" s="427">
        <v>28467</v>
      </c>
      <c r="M473" s="427">
        <v>143169</v>
      </c>
      <c r="N473" s="427">
        <v>11070</v>
      </c>
      <c r="O473" s="427"/>
      <c r="P473" s="427">
        <f t="shared" si="43"/>
        <v>9695</v>
      </c>
      <c r="Q473" s="427"/>
      <c r="R473" s="427">
        <v>500</v>
      </c>
      <c r="S473" s="427">
        <v>9195</v>
      </c>
      <c r="U473" s="472"/>
      <c r="V473" s="472"/>
      <c r="W473" s="472"/>
      <c r="X473" s="472"/>
      <c r="Y473" s="472"/>
    </row>
    <row r="474" spans="1:25" s="428" customFormat="1" ht="9.1999999999999993" customHeight="1" x14ac:dyDescent="0.25">
      <c r="A474" s="433" t="s">
        <v>49</v>
      </c>
      <c r="B474" s="434">
        <f t="shared" si="41"/>
        <v>74116</v>
      </c>
      <c r="C474" s="434"/>
      <c r="D474" s="479">
        <v>38035</v>
      </c>
      <c r="E474" s="479">
        <v>18648</v>
      </c>
      <c r="F474" s="479">
        <v>8435</v>
      </c>
      <c r="G474" s="479">
        <v>8998</v>
      </c>
      <c r="H474" s="475"/>
      <c r="I474" s="434">
        <f t="shared" si="42"/>
        <v>295133</v>
      </c>
      <c r="J474" s="434"/>
      <c r="K474" s="434">
        <v>49876</v>
      </c>
      <c r="L474" s="434">
        <v>78568</v>
      </c>
      <c r="M474" s="434">
        <v>157601</v>
      </c>
      <c r="N474" s="434">
        <v>9088</v>
      </c>
      <c r="O474" s="434"/>
      <c r="P474" s="434">
        <f t="shared" si="43"/>
        <v>12083</v>
      </c>
      <c r="Q474" s="434"/>
      <c r="R474" s="434">
        <v>989</v>
      </c>
      <c r="S474" s="434">
        <v>11094</v>
      </c>
      <c r="U474" s="472"/>
      <c r="V474" s="472"/>
      <c r="W474" s="472"/>
      <c r="X474" s="472"/>
      <c r="Y474" s="472"/>
    </row>
    <row r="475" spans="1:25" s="428" customFormat="1" ht="9.1999999999999993" customHeight="1" x14ac:dyDescent="0.25">
      <c r="A475" s="431" t="s">
        <v>50</v>
      </c>
      <c r="B475" s="427">
        <f t="shared" si="41"/>
        <v>15484</v>
      </c>
      <c r="C475" s="427"/>
      <c r="D475" s="477">
        <v>4295</v>
      </c>
      <c r="E475" s="477">
        <v>6094</v>
      </c>
      <c r="F475" s="477">
        <v>2640</v>
      </c>
      <c r="G475" s="477">
        <v>2455</v>
      </c>
      <c r="I475" s="427">
        <f t="shared" si="42"/>
        <v>102620</v>
      </c>
      <c r="J475" s="427"/>
      <c r="K475" s="427">
        <v>12824</v>
      </c>
      <c r="L475" s="427">
        <v>27793</v>
      </c>
      <c r="M475" s="427">
        <v>55054</v>
      </c>
      <c r="N475" s="427">
        <v>6949</v>
      </c>
      <c r="O475" s="427"/>
      <c r="P475" s="427">
        <f t="shared" si="43"/>
        <v>4879</v>
      </c>
      <c r="Q475" s="427"/>
      <c r="R475" s="427">
        <v>201</v>
      </c>
      <c r="S475" s="427">
        <v>4678</v>
      </c>
      <c r="U475" s="472"/>
      <c r="V475" s="472"/>
      <c r="W475" s="472"/>
      <c r="X475" s="472"/>
      <c r="Y475" s="472"/>
    </row>
    <row r="476" spans="1:25" s="428" customFormat="1" ht="9.1999999999999993" customHeight="1" x14ac:dyDescent="0.25">
      <c r="A476" s="428" t="s">
        <v>51</v>
      </c>
      <c r="B476" s="427">
        <f t="shared" si="41"/>
        <v>155427</v>
      </c>
      <c r="C476" s="427"/>
      <c r="D476" s="477">
        <v>71977</v>
      </c>
      <c r="E476" s="477">
        <v>48904</v>
      </c>
      <c r="F476" s="477">
        <v>21618</v>
      </c>
      <c r="G476" s="477">
        <v>12928</v>
      </c>
      <c r="I476" s="427">
        <f t="shared" si="42"/>
        <v>852830</v>
      </c>
      <c r="J476" s="427"/>
      <c r="K476" s="427">
        <v>126444</v>
      </c>
      <c r="L476" s="427">
        <v>221753</v>
      </c>
      <c r="M476" s="427">
        <v>477064</v>
      </c>
      <c r="N476" s="427">
        <v>27569</v>
      </c>
      <c r="O476" s="427"/>
      <c r="P476" s="427">
        <f t="shared" si="43"/>
        <v>28267</v>
      </c>
      <c r="Q476" s="427"/>
      <c r="R476" s="427">
        <v>1848</v>
      </c>
      <c r="S476" s="427">
        <v>26419</v>
      </c>
      <c r="U476" s="472"/>
      <c r="V476" s="472"/>
      <c r="W476" s="472"/>
      <c r="X476" s="472"/>
      <c r="Y476" s="472"/>
    </row>
    <row r="477" spans="1:25" s="428" customFormat="1" ht="9.1999999999999993" customHeight="1" x14ac:dyDescent="0.25">
      <c r="A477" s="428" t="s">
        <v>52</v>
      </c>
      <c r="B477" s="427">
        <f t="shared" si="41"/>
        <v>38789</v>
      </c>
      <c r="C477" s="427"/>
      <c r="D477" s="477">
        <v>20014</v>
      </c>
      <c r="E477" s="477">
        <v>10560</v>
      </c>
      <c r="F477" s="477">
        <v>6241</v>
      </c>
      <c r="G477" s="477">
        <v>1974</v>
      </c>
      <c r="I477" s="427">
        <f t="shared" si="42"/>
        <v>192139</v>
      </c>
      <c r="J477" s="427"/>
      <c r="K477" s="427">
        <v>30676</v>
      </c>
      <c r="L477" s="427">
        <v>49208</v>
      </c>
      <c r="M477" s="427">
        <v>109430</v>
      </c>
      <c r="N477" s="427">
        <v>2825</v>
      </c>
      <c r="O477" s="427"/>
      <c r="P477" s="427">
        <f t="shared" si="43"/>
        <v>7706</v>
      </c>
      <c r="Q477" s="427"/>
      <c r="R477" s="427">
        <v>576</v>
      </c>
      <c r="S477" s="427">
        <v>7130</v>
      </c>
      <c r="U477" s="472"/>
      <c r="V477" s="472"/>
      <c r="W477" s="472"/>
      <c r="X477" s="472"/>
      <c r="Y477" s="472"/>
    </row>
    <row r="478" spans="1:25" s="428" customFormat="1" ht="8.25" customHeight="1" x14ac:dyDescent="0.25">
      <c r="A478" s="433" t="s">
        <v>53</v>
      </c>
      <c r="B478" s="434">
        <f t="shared" si="41"/>
        <v>50750</v>
      </c>
      <c r="C478" s="434"/>
      <c r="D478" s="479">
        <v>18352</v>
      </c>
      <c r="E478" s="479">
        <v>17183</v>
      </c>
      <c r="F478" s="479">
        <v>10537</v>
      </c>
      <c r="G478" s="479">
        <v>4678</v>
      </c>
      <c r="H478" s="475"/>
      <c r="I478" s="434">
        <f t="shared" si="42"/>
        <v>176936</v>
      </c>
      <c r="J478" s="434"/>
      <c r="K478" s="434">
        <v>29489</v>
      </c>
      <c r="L478" s="434">
        <v>67418</v>
      </c>
      <c r="M478" s="434">
        <v>71425</v>
      </c>
      <c r="N478" s="434">
        <v>8604</v>
      </c>
      <c r="O478" s="434"/>
      <c r="P478" s="434">
        <f t="shared" si="43"/>
        <v>4606</v>
      </c>
      <c r="Q478" s="434"/>
      <c r="R478" s="434">
        <v>382</v>
      </c>
      <c r="S478" s="434">
        <v>4224</v>
      </c>
      <c r="U478" s="472"/>
      <c r="V478" s="472"/>
      <c r="W478" s="472"/>
      <c r="X478" s="472"/>
      <c r="Y478" s="472"/>
    </row>
    <row r="479" spans="1:25" s="428" customFormat="1" ht="9" customHeight="1" x14ac:dyDescent="0.25">
      <c r="B479" s="427"/>
      <c r="C479" s="427"/>
      <c r="D479" s="477"/>
      <c r="E479" s="477"/>
      <c r="F479" s="477"/>
      <c r="G479" s="477"/>
      <c r="I479" s="427"/>
      <c r="J479" s="427"/>
      <c r="K479" s="427"/>
      <c r="L479" s="427"/>
      <c r="M479" s="427"/>
      <c r="N479" s="427"/>
      <c r="O479" s="427"/>
      <c r="P479" s="427"/>
      <c r="Q479" s="427"/>
      <c r="R479" s="427"/>
      <c r="S479" s="427"/>
      <c r="U479" s="472"/>
      <c r="V479" s="472"/>
      <c r="W479" s="472"/>
      <c r="X479" s="472"/>
      <c r="Y479" s="472"/>
    </row>
    <row r="480" spans="1:25" s="428" customFormat="1" ht="9" customHeight="1" x14ac:dyDescent="0.25">
      <c r="A480" s="441">
        <v>2008</v>
      </c>
      <c r="B480" s="476"/>
      <c r="C480" s="476"/>
      <c r="D480" s="476"/>
      <c r="E480" s="476"/>
      <c r="F480" s="476"/>
      <c r="G480" s="476"/>
      <c r="H480" s="476"/>
      <c r="I480" s="476"/>
      <c r="J480" s="430"/>
      <c r="K480" s="476"/>
      <c r="L480" s="476"/>
      <c r="M480" s="476"/>
      <c r="N480" s="476"/>
      <c r="O480" s="482"/>
      <c r="P480" s="476"/>
      <c r="Q480" s="430"/>
      <c r="R480" s="476"/>
      <c r="S480" s="476"/>
      <c r="U480" s="472"/>
      <c r="V480" s="472"/>
      <c r="W480" s="472"/>
      <c r="X480" s="472"/>
      <c r="Y480" s="472"/>
    </row>
    <row r="481" spans="1:25" s="428" customFormat="1" ht="9" customHeight="1" x14ac:dyDescent="0.25">
      <c r="A481" s="429" t="s">
        <v>216</v>
      </c>
      <c r="B481" s="476">
        <f>SUM(B483:B514)</f>
        <v>2188318</v>
      </c>
      <c r="C481" s="476"/>
      <c r="D481" s="476">
        <f>SUM(D483:D514)</f>
        <v>950140</v>
      </c>
      <c r="E481" s="476">
        <f>SUM(E483:E514)</f>
        <v>685244</v>
      </c>
      <c r="F481" s="476">
        <f>SUM(F483:F514)</f>
        <v>279510</v>
      </c>
      <c r="G481" s="476">
        <f>SUM(G483:G514)</f>
        <v>273424</v>
      </c>
      <c r="H481" s="476"/>
      <c r="I481" s="476">
        <f>SUM(I483:I514)</f>
        <v>11221551</v>
      </c>
      <c r="J481" s="430"/>
      <c r="K481" s="476">
        <f>SUM(K483:K514)</f>
        <v>1865642</v>
      </c>
      <c r="L481" s="476">
        <f>SUM(L483:L514)</f>
        <v>3064587</v>
      </c>
      <c r="M481" s="476">
        <f>SUM(M483:M514)</f>
        <v>5629110</v>
      </c>
      <c r="N481" s="476">
        <f>SUM(N483:N514)</f>
        <v>662212</v>
      </c>
      <c r="O481" s="482"/>
      <c r="P481" s="476">
        <f>SUM(P483:P514)</f>
        <v>237781</v>
      </c>
      <c r="Q481" s="430"/>
      <c r="R481" s="476">
        <f>SUM(R483:R514)</f>
        <v>35127</v>
      </c>
      <c r="S481" s="476">
        <f>SUM(S483:S514)</f>
        <v>202654</v>
      </c>
      <c r="U481" s="472"/>
      <c r="V481" s="472"/>
      <c r="W481" s="472"/>
      <c r="X481" s="472"/>
      <c r="Y481" s="472"/>
    </row>
    <row r="482" spans="1:25" s="428" customFormat="1" ht="3.95" customHeight="1" x14ac:dyDescent="0.25">
      <c r="A482" s="429"/>
      <c r="B482" s="476"/>
      <c r="C482" s="476"/>
      <c r="D482" s="476"/>
      <c r="E482" s="476"/>
      <c r="F482" s="476"/>
      <c r="G482" s="476"/>
      <c r="H482" s="476"/>
      <c r="I482" s="430"/>
      <c r="J482" s="430"/>
      <c r="K482" s="430"/>
      <c r="L482" s="430"/>
      <c r="M482" s="430"/>
      <c r="N482" s="430"/>
      <c r="O482" s="430"/>
      <c r="P482" s="430"/>
      <c r="Q482" s="430"/>
      <c r="R482" s="430"/>
      <c r="S482" s="430"/>
      <c r="U482" s="472"/>
      <c r="V482" s="472"/>
      <c r="W482" s="472"/>
      <c r="X482" s="472"/>
      <c r="Y482" s="472"/>
    </row>
    <row r="483" spans="1:25" s="428" customFormat="1" ht="9.1999999999999993" customHeight="1" x14ac:dyDescent="0.25">
      <c r="A483" s="431" t="s">
        <v>23</v>
      </c>
      <c r="B483" s="427">
        <f t="shared" ref="B483:B514" si="44">SUM(D483:G483)</f>
        <v>28571</v>
      </c>
      <c r="C483" s="427"/>
      <c r="D483" s="477">
        <v>14140</v>
      </c>
      <c r="E483" s="477">
        <v>7719</v>
      </c>
      <c r="F483" s="477">
        <v>3258</v>
      </c>
      <c r="G483" s="477">
        <v>3454</v>
      </c>
      <c r="I483" s="427">
        <f t="shared" ref="I483:I514" si="45">SUM(K483:O483)</f>
        <v>123293</v>
      </c>
      <c r="J483" s="427"/>
      <c r="K483" s="427">
        <v>23915</v>
      </c>
      <c r="L483" s="427">
        <v>33562</v>
      </c>
      <c r="M483" s="427">
        <v>54309</v>
      </c>
      <c r="N483" s="427">
        <v>11507</v>
      </c>
      <c r="O483" s="427"/>
      <c r="P483" s="427">
        <f t="shared" ref="P483:P514" si="46">SUM(R483:S483)</f>
        <v>2531</v>
      </c>
      <c r="Q483" s="427"/>
      <c r="R483" s="427">
        <v>614</v>
      </c>
      <c r="S483" s="427">
        <v>1917</v>
      </c>
      <c r="U483" s="472"/>
      <c r="V483" s="472"/>
      <c r="W483" s="472"/>
      <c r="X483" s="472"/>
      <c r="Y483" s="472"/>
    </row>
    <row r="484" spans="1:25" s="428" customFormat="1" ht="9.1999999999999993" customHeight="1" x14ac:dyDescent="0.25">
      <c r="A484" s="431" t="s">
        <v>24</v>
      </c>
      <c r="B484" s="427">
        <f t="shared" si="44"/>
        <v>71516</v>
      </c>
      <c r="C484" s="427"/>
      <c r="D484" s="477">
        <v>43502</v>
      </c>
      <c r="E484" s="477">
        <v>15111</v>
      </c>
      <c r="F484" s="477">
        <v>10130</v>
      </c>
      <c r="G484" s="477">
        <v>2773</v>
      </c>
      <c r="I484" s="427">
        <f t="shared" si="45"/>
        <v>324671</v>
      </c>
      <c r="J484" s="427"/>
      <c r="K484" s="427">
        <v>76686</v>
      </c>
      <c r="L484" s="427">
        <v>84471</v>
      </c>
      <c r="M484" s="427">
        <v>160141</v>
      </c>
      <c r="N484" s="427">
        <v>3373</v>
      </c>
      <c r="O484" s="427"/>
      <c r="P484" s="427">
        <f t="shared" si="46"/>
        <v>9901</v>
      </c>
      <c r="Q484" s="427"/>
      <c r="R484" s="427">
        <v>1703</v>
      </c>
      <c r="S484" s="427">
        <v>8198</v>
      </c>
      <c r="U484" s="472"/>
      <c r="V484" s="472"/>
      <c r="W484" s="472"/>
      <c r="X484" s="472"/>
      <c r="Y484" s="472"/>
    </row>
    <row r="485" spans="1:25" s="428" customFormat="1" ht="9.1999999999999993" customHeight="1" x14ac:dyDescent="0.25">
      <c r="A485" s="431" t="s">
        <v>25</v>
      </c>
      <c r="B485" s="427">
        <f t="shared" si="44"/>
        <v>11717</v>
      </c>
      <c r="C485" s="427"/>
      <c r="D485" s="477">
        <v>5264</v>
      </c>
      <c r="E485" s="477">
        <v>3536</v>
      </c>
      <c r="F485" s="477">
        <v>1960</v>
      </c>
      <c r="G485" s="477">
        <v>957</v>
      </c>
      <c r="I485" s="427">
        <f t="shared" si="45"/>
        <v>71027</v>
      </c>
      <c r="J485" s="427"/>
      <c r="K485" s="427">
        <v>9024</v>
      </c>
      <c r="L485" s="427">
        <v>15536</v>
      </c>
      <c r="M485" s="427">
        <v>45258</v>
      </c>
      <c r="N485" s="427">
        <v>1209</v>
      </c>
      <c r="O485" s="427"/>
      <c r="P485" s="427">
        <f t="shared" si="46"/>
        <v>1935</v>
      </c>
      <c r="Q485" s="427"/>
      <c r="R485" s="427">
        <v>308</v>
      </c>
      <c r="S485" s="427">
        <v>1627</v>
      </c>
      <c r="U485" s="472"/>
      <c r="V485" s="472"/>
      <c r="W485" s="472"/>
      <c r="X485" s="472"/>
      <c r="Y485" s="472"/>
    </row>
    <row r="486" spans="1:25" s="428" customFormat="1" ht="9.1999999999999993" customHeight="1" x14ac:dyDescent="0.25">
      <c r="A486" s="433" t="s">
        <v>26</v>
      </c>
      <c r="B486" s="434">
        <f t="shared" si="44"/>
        <v>18334</v>
      </c>
      <c r="C486" s="434"/>
      <c r="D486" s="479">
        <v>9220</v>
      </c>
      <c r="E486" s="479">
        <v>5293</v>
      </c>
      <c r="F486" s="479">
        <v>2077</v>
      </c>
      <c r="G486" s="479">
        <v>1744</v>
      </c>
      <c r="H486" s="475"/>
      <c r="I486" s="434">
        <f t="shared" si="45"/>
        <v>101232</v>
      </c>
      <c r="J486" s="434"/>
      <c r="K486" s="434">
        <v>19048</v>
      </c>
      <c r="L486" s="434">
        <v>20095</v>
      </c>
      <c r="M486" s="434">
        <v>57725</v>
      </c>
      <c r="N486" s="434">
        <v>4364</v>
      </c>
      <c r="O486" s="434"/>
      <c r="P486" s="434">
        <f t="shared" si="46"/>
        <v>1743</v>
      </c>
      <c r="Q486" s="434"/>
      <c r="R486" s="434">
        <v>257</v>
      </c>
      <c r="S486" s="434">
        <v>1486</v>
      </c>
      <c r="U486" s="472"/>
      <c r="V486" s="472"/>
      <c r="W486" s="472"/>
      <c r="X486" s="472"/>
      <c r="Y486" s="472"/>
    </row>
    <row r="487" spans="1:25" s="428" customFormat="1" ht="9.1999999999999993" customHeight="1" x14ac:dyDescent="0.25">
      <c r="A487" s="431" t="s">
        <v>27</v>
      </c>
      <c r="B487" s="427">
        <f t="shared" si="44"/>
        <v>75063</v>
      </c>
      <c r="C487" s="427"/>
      <c r="D487" s="477">
        <v>31561</v>
      </c>
      <c r="E487" s="477">
        <v>28253</v>
      </c>
      <c r="F487" s="477">
        <v>9839</v>
      </c>
      <c r="G487" s="477">
        <v>5410</v>
      </c>
      <c r="I487" s="427">
        <f t="shared" si="45"/>
        <v>339278</v>
      </c>
      <c r="J487" s="427"/>
      <c r="K487" s="427">
        <v>45010</v>
      </c>
      <c r="L487" s="427">
        <v>107465</v>
      </c>
      <c r="M487" s="427">
        <v>178967</v>
      </c>
      <c r="N487" s="427">
        <v>7836</v>
      </c>
      <c r="O487" s="427"/>
      <c r="P487" s="427">
        <f t="shared" si="46"/>
        <v>9045</v>
      </c>
      <c r="Q487" s="427"/>
      <c r="R487" s="427">
        <v>1167</v>
      </c>
      <c r="S487" s="427">
        <v>7878</v>
      </c>
      <c r="U487" s="472"/>
      <c r="V487" s="472"/>
      <c r="W487" s="472"/>
      <c r="X487" s="472"/>
      <c r="Y487" s="472"/>
    </row>
    <row r="488" spans="1:25" s="428" customFormat="1" ht="9.1999999999999993" customHeight="1" x14ac:dyDescent="0.25">
      <c r="A488" s="431" t="s">
        <v>28</v>
      </c>
      <c r="B488" s="427">
        <f t="shared" si="44"/>
        <v>16463</v>
      </c>
      <c r="C488" s="427"/>
      <c r="D488" s="477">
        <v>7380</v>
      </c>
      <c r="E488" s="477">
        <v>5135</v>
      </c>
      <c r="F488" s="477">
        <v>2314</v>
      </c>
      <c r="G488" s="477">
        <v>1634</v>
      </c>
      <c r="I488" s="427">
        <f t="shared" si="45"/>
        <v>82623</v>
      </c>
      <c r="J488" s="427"/>
      <c r="K488" s="427">
        <v>10481</v>
      </c>
      <c r="L488" s="427">
        <v>14911</v>
      </c>
      <c r="M488" s="427">
        <v>53082</v>
      </c>
      <c r="N488" s="427">
        <v>4149</v>
      </c>
      <c r="O488" s="427"/>
      <c r="P488" s="427">
        <f t="shared" si="46"/>
        <v>1586</v>
      </c>
      <c r="Q488" s="427"/>
      <c r="R488" s="427">
        <v>217</v>
      </c>
      <c r="S488" s="427">
        <v>1369</v>
      </c>
      <c r="U488" s="472"/>
      <c r="V488" s="472"/>
      <c r="W488" s="472"/>
      <c r="X488" s="472"/>
      <c r="Y488" s="472"/>
    </row>
    <row r="489" spans="1:25" s="428" customFormat="1" ht="9.1999999999999993" customHeight="1" x14ac:dyDescent="0.25">
      <c r="A489" s="431" t="s">
        <v>29</v>
      </c>
      <c r="B489" s="427">
        <f t="shared" si="44"/>
        <v>96184</v>
      </c>
      <c r="C489" s="427"/>
      <c r="D489" s="477">
        <v>56415</v>
      </c>
      <c r="E489" s="477">
        <v>23853</v>
      </c>
      <c r="F489" s="477">
        <v>9509</v>
      </c>
      <c r="G489" s="477">
        <v>6407</v>
      </c>
      <c r="I489" s="427">
        <f t="shared" si="45"/>
        <v>464731</v>
      </c>
      <c r="J489" s="427"/>
      <c r="K489" s="427">
        <v>101326</v>
      </c>
      <c r="L489" s="427">
        <v>123723</v>
      </c>
      <c r="M489" s="427">
        <v>224638</v>
      </c>
      <c r="N489" s="427">
        <v>15044</v>
      </c>
      <c r="O489" s="427"/>
      <c r="P489" s="427">
        <f t="shared" si="46"/>
        <v>9560</v>
      </c>
      <c r="Q489" s="427"/>
      <c r="R489" s="427">
        <v>495</v>
      </c>
      <c r="S489" s="427">
        <v>9065</v>
      </c>
      <c r="U489" s="472"/>
      <c r="V489" s="472"/>
      <c r="W489" s="472"/>
      <c r="X489" s="472"/>
      <c r="Y489" s="472"/>
    </row>
    <row r="490" spans="1:25" s="428" customFormat="1" ht="9.1999999999999993" customHeight="1" x14ac:dyDescent="0.25">
      <c r="A490" s="433" t="s">
        <v>30</v>
      </c>
      <c r="B490" s="434">
        <f t="shared" si="44"/>
        <v>78677</v>
      </c>
      <c r="C490" s="434"/>
      <c r="D490" s="479">
        <v>37745</v>
      </c>
      <c r="E490" s="479">
        <v>23324</v>
      </c>
      <c r="F490" s="479">
        <v>11769</v>
      </c>
      <c r="G490" s="479">
        <v>5839</v>
      </c>
      <c r="H490" s="475"/>
      <c r="I490" s="434">
        <f t="shared" si="45"/>
        <v>365485</v>
      </c>
      <c r="J490" s="434"/>
      <c r="K490" s="434">
        <v>57536</v>
      </c>
      <c r="L490" s="434">
        <v>108936</v>
      </c>
      <c r="M490" s="434">
        <v>190394</v>
      </c>
      <c r="N490" s="434">
        <v>8619</v>
      </c>
      <c r="O490" s="434"/>
      <c r="P490" s="434">
        <f t="shared" si="46"/>
        <v>10679</v>
      </c>
      <c r="Q490" s="434"/>
      <c r="R490" s="434">
        <v>1834</v>
      </c>
      <c r="S490" s="434">
        <v>8845</v>
      </c>
      <c r="U490" s="472"/>
      <c r="V490" s="472"/>
      <c r="W490" s="472"/>
      <c r="X490" s="472"/>
      <c r="Y490" s="472"/>
    </row>
    <row r="491" spans="1:25" s="428" customFormat="1" ht="9.1999999999999993" customHeight="1" x14ac:dyDescent="0.25">
      <c r="A491" s="431" t="s">
        <v>63</v>
      </c>
      <c r="B491" s="427">
        <f t="shared" si="44"/>
        <v>174933</v>
      </c>
      <c r="C491" s="427"/>
      <c r="D491" s="477">
        <v>46536</v>
      </c>
      <c r="E491" s="477">
        <v>57512</v>
      </c>
      <c r="F491" s="477">
        <v>26331</v>
      </c>
      <c r="G491" s="477">
        <v>44554</v>
      </c>
      <c r="I491" s="427">
        <f t="shared" si="45"/>
        <v>1009495</v>
      </c>
      <c r="J491" s="427"/>
      <c r="K491" s="427">
        <v>103588</v>
      </c>
      <c r="L491" s="427">
        <v>248022</v>
      </c>
      <c r="M491" s="427">
        <v>583003</v>
      </c>
      <c r="N491" s="427">
        <v>74882</v>
      </c>
      <c r="O491" s="427"/>
      <c r="P491" s="427">
        <f t="shared" si="46"/>
        <v>22802</v>
      </c>
      <c r="Q491" s="427"/>
      <c r="R491" s="427">
        <v>4899</v>
      </c>
      <c r="S491" s="427">
        <v>17903</v>
      </c>
      <c r="U491" s="472"/>
      <c r="V491" s="472"/>
      <c r="W491" s="472"/>
      <c r="X491" s="472"/>
      <c r="Y491" s="472"/>
    </row>
    <row r="492" spans="1:25" s="428" customFormat="1" ht="9.1999999999999993" customHeight="1" x14ac:dyDescent="0.25">
      <c r="A492" s="431" t="s">
        <v>31</v>
      </c>
      <c r="B492" s="427">
        <f t="shared" si="44"/>
        <v>34605</v>
      </c>
      <c r="C492" s="427"/>
      <c r="D492" s="477">
        <v>17424</v>
      </c>
      <c r="E492" s="477">
        <v>11271</v>
      </c>
      <c r="F492" s="477">
        <v>4378</v>
      </c>
      <c r="G492" s="477">
        <v>1532</v>
      </c>
      <c r="I492" s="427">
        <f t="shared" si="45"/>
        <v>178578</v>
      </c>
      <c r="J492" s="427"/>
      <c r="K492" s="427">
        <v>36136</v>
      </c>
      <c r="L492" s="427">
        <v>60320</v>
      </c>
      <c r="M492" s="427">
        <v>74883</v>
      </c>
      <c r="N492" s="427">
        <v>7239</v>
      </c>
      <c r="O492" s="427"/>
      <c r="P492" s="427">
        <f t="shared" si="46"/>
        <v>4353</v>
      </c>
      <c r="Q492" s="427"/>
      <c r="R492" s="427">
        <v>787</v>
      </c>
      <c r="S492" s="427">
        <v>3566</v>
      </c>
      <c r="U492" s="472"/>
      <c r="V492" s="472"/>
      <c r="W492" s="472"/>
      <c r="X492" s="472"/>
      <c r="Y492" s="472"/>
    </row>
    <row r="493" spans="1:25" s="428" customFormat="1" ht="9.1999999999999993" customHeight="1" x14ac:dyDescent="0.25">
      <c r="A493" s="431" t="s">
        <v>32</v>
      </c>
      <c r="B493" s="427">
        <f t="shared" si="44"/>
        <v>103094</v>
      </c>
      <c r="C493" s="427"/>
      <c r="D493" s="477">
        <v>40105</v>
      </c>
      <c r="E493" s="477">
        <v>31552</v>
      </c>
      <c r="F493" s="477">
        <v>12226</v>
      </c>
      <c r="G493" s="477">
        <v>19211</v>
      </c>
      <c r="I493" s="427">
        <f t="shared" si="45"/>
        <v>440907</v>
      </c>
      <c r="J493" s="427"/>
      <c r="K493" s="427">
        <v>82602</v>
      </c>
      <c r="L493" s="427">
        <v>124916</v>
      </c>
      <c r="M493" s="427">
        <v>193017</v>
      </c>
      <c r="N493" s="427">
        <v>40372</v>
      </c>
      <c r="O493" s="427"/>
      <c r="P493" s="427">
        <f t="shared" si="46"/>
        <v>8801</v>
      </c>
      <c r="Q493" s="427"/>
      <c r="R493" s="427">
        <v>1419</v>
      </c>
      <c r="S493" s="427">
        <v>7382</v>
      </c>
      <c r="U493" s="472"/>
      <c r="V493" s="472"/>
      <c r="W493" s="472"/>
      <c r="X493" s="472"/>
      <c r="Y493" s="472"/>
    </row>
    <row r="494" spans="1:25" s="428" customFormat="1" ht="9.1999999999999993" customHeight="1" x14ac:dyDescent="0.25">
      <c r="A494" s="433" t="s">
        <v>33</v>
      </c>
      <c r="B494" s="434">
        <f t="shared" si="44"/>
        <v>60848</v>
      </c>
      <c r="C494" s="434"/>
      <c r="D494" s="479">
        <v>32904</v>
      </c>
      <c r="E494" s="479">
        <v>12792</v>
      </c>
      <c r="F494" s="479">
        <v>5205</v>
      </c>
      <c r="G494" s="479">
        <v>9947</v>
      </c>
      <c r="H494" s="475"/>
      <c r="I494" s="434">
        <f t="shared" si="45"/>
        <v>368663</v>
      </c>
      <c r="J494" s="434"/>
      <c r="K494" s="434">
        <v>99379</v>
      </c>
      <c r="L494" s="434">
        <v>57099</v>
      </c>
      <c r="M494" s="434">
        <v>183248</v>
      </c>
      <c r="N494" s="434">
        <v>28937</v>
      </c>
      <c r="O494" s="434"/>
      <c r="P494" s="434">
        <f t="shared" si="46"/>
        <v>3685</v>
      </c>
      <c r="Q494" s="434"/>
      <c r="R494" s="434">
        <v>263</v>
      </c>
      <c r="S494" s="434">
        <v>3422</v>
      </c>
      <c r="U494" s="472"/>
      <c r="V494" s="472"/>
      <c r="W494" s="472"/>
      <c r="X494" s="472"/>
      <c r="Y494" s="472"/>
    </row>
    <row r="495" spans="1:25" s="428" customFormat="1" ht="9.1999999999999993" customHeight="1" x14ac:dyDescent="0.25">
      <c r="A495" s="431" t="s">
        <v>34</v>
      </c>
      <c r="B495" s="427">
        <f t="shared" si="44"/>
        <v>69300</v>
      </c>
      <c r="C495" s="427"/>
      <c r="D495" s="477">
        <v>23066</v>
      </c>
      <c r="E495" s="477">
        <v>24993</v>
      </c>
      <c r="F495" s="477">
        <v>8150</v>
      </c>
      <c r="G495" s="477">
        <v>13091</v>
      </c>
      <c r="I495" s="427">
        <f t="shared" si="45"/>
        <v>343670</v>
      </c>
      <c r="J495" s="427"/>
      <c r="K495" s="427">
        <v>46580</v>
      </c>
      <c r="L495" s="427">
        <v>103624</v>
      </c>
      <c r="M495" s="427">
        <v>166683</v>
      </c>
      <c r="N495" s="427">
        <v>26783</v>
      </c>
      <c r="O495" s="427"/>
      <c r="P495" s="427">
        <f t="shared" si="46"/>
        <v>5791</v>
      </c>
      <c r="Q495" s="427"/>
      <c r="R495" s="427">
        <v>646</v>
      </c>
      <c r="S495" s="427">
        <v>5145</v>
      </c>
      <c r="U495" s="472"/>
      <c r="V495" s="472"/>
      <c r="W495" s="472"/>
      <c r="X495" s="472"/>
      <c r="Y495" s="472"/>
    </row>
    <row r="496" spans="1:25" s="428" customFormat="1" ht="9.1999999999999993" customHeight="1" x14ac:dyDescent="0.25">
      <c r="A496" s="431" t="s">
        <v>35</v>
      </c>
      <c r="B496" s="427">
        <f t="shared" si="44"/>
        <v>97187</v>
      </c>
      <c r="C496" s="427"/>
      <c r="D496" s="477">
        <v>42430</v>
      </c>
      <c r="E496" s="477">
        <v>25197</v>
      </c>
      <c r="F496" s="477">
        <v>18635</v>
      </c>
      <c r="G496" s="477">
        <v>10925</v>
      </c>
      <c r="I496" s="427">
        <f t="shared" si="45"/>
        <v>505641</v>
      </c>
      <c r="J496" s="427"/>
      <c r="K496" s="427">
        <v>73284</v>
      </c>
      <c r="L496" s="427">
        <v>102759</v>
      </c>
      <c r="M496" s="427">
        <v>295564</v>
      </c>
      <c r="N496" s="427">
        <v>34034</v>
      </c>
      <c r="O496" s="427"/>
      <c r="P496" s="427">
        <f t="shared" si="46"/>
        <v>15968</v>
      </c>
      <c r="Q496" s="427"/>
      <c r="R496" s="427">
        <v>1813</v>
      </c>
      <c r="S496" s="427">
        <v>14155</v>
      </c>
      <c r="U496" s="472"/>
      <c r="V496" s="472"/>
      <c r="W496" s="472"/>
      <c r="X496" s="472"/>
      <c r="Y496" s="472"/>
    </row>
    <row r="497" spans="1:25" s="428" customFormat="1" ht="9.1999999999999993" customHeight="1" x14ac:dyDescent="0.25">
      <c r="A497" s="431" t="s">
        <v>36</v>
      </c>
      <c r="B497" s="427">
        <f t="shared" si="44"/>
        <v>205005</v>
      </c>
      <c r="C497" s="427"/>
      <c r="D497" s="477">
        <v>63667</v>
      </c>
      <c r="E497" s="477">
        <v>66047</v>
      </c>
      <c r="F497" s="477">
        <v>29787</v>
      </c>
      <c r="G497" s="477">
        <v>45504</v>
      </c>
      <c r="I497" s="427">
        <f t="shared" si="45"/>
        <v>1240997</v>
      </c>
      <c r="J497" s="427"/>
      <c r="K497" s="427">
        <v>203497</v>
      </c>
      <c r="L497" s="427">
        <v>331580</v>
      </c>
      <c r="M497" s="427">
        <v>525375</v>
      </c>
      <c r="N497" s="427">
        <v>180545</v>
      </c>
      <c r="O497" s="427"/>
      <c r="P497" s="427">
        <f t="shared" si="46"/>
        <v>24920</v>
      </c>
      <c r="Q497" s="427"/>
      <c r="R497" s="427">
        <v>4487</v>
      </c>
      <c r="S497" s="427">
        <v>20433</v>
      </c>
      <c r="U497" s="472"/>
      <c r="V497" s="472"/>
      <c r="W497" s="472"/>
      <c r="X497" s="472"/>
      <c r="Y497" s="472"/>
    </row>
    <row r="498" spans="1:25" s="428" customFormat="1" ht="9.1999999999999993" customHeight="1" x14ac:dyDescent="0.25">
      <c r="A498" s="433" t="s">
        <v>37</v>
      </c>
      <c r="B498" s="434">
        <f t="shared" si="44"/>
        <v>103805</v>
      </c>
      <c r="C498" s="434"/>
      <c r="D498" s="479">
        <v>52063</v>
      </c>
      <c r="E498" s="479">
        <v>33337</v>
      </c>
      <c r="F498" s="479">
        <v>7552</v>
      </c>
      <c r="G498" s="479">
        <v>10853</v>
      </c>
      <c r="H498" s="475"/>
      <c r="I498" s="434">
        <f t="shared" si="45"/>
        <v>439678</v>
      </c>
      <c r="J498" s="434"/>
      <c r="K498" s="434">
        <v>81277</v>
      </c>
      <c r="L498" s="434">
        <v>147063</v>
      </c>
      <c r="M498" s="434">
        <v>192056</v>
      </c>
      <c r="N498" s="434">
        <v>19282</v>
      </c>
      <c r="O498" s="434"/>
      <c r="P498" s="434">
        <f t="shared" si="46"/>
        <v>7157</v>
      </c>
      <c r="Q498" s="434"/>
      <c r="R498" s="434">
        <v>965</v>
      </c>
      <c r="S498" s="434">
        <v>6192</v>
      </c>
      <c r="U498" s="472"/>
      <c r="V498" s="472"/>
      <c r="W498" s="472"/>
      <c r="X498" s="472"/>
      <c r="Y498" s="472"/>
    </row>
    <row r="499" spans="1:25" s="428" customFormat="1" ht="9.1999999999999993" customHeight="1" x14ac:dyDescent="0.25">
      <c r="A499" s="431" t="s">
        <v>38</v>
      </c>
      <c r="B499" s="427">
        <f t="shared" si="44"/>
        <v>28805</v>
      </c>
      <c r="C499" s="427"/>
      <c r="D499" s="477">
        <v>10954</v>
      </c>
      <c r="E499" s="477">
        <v>7617</v>
      </c>
      <c r="F499" s="477">
        <v>3889</v>
      </c>
      <c r="G499" s="477">
        <v>6345</v>
      </c>
      <c r="I499" s="427">
        <f t="shared" si="45"/>
        <v>165218</v>
      </c>
      <c r="J499" s="427"/>
      <c r="K499" s="427">
        <v>26159</v>
      </c>
      <c r="L499" s="427">
        <v>29849</v>
      </c>
      <c r="M499" s="427">
        <v>94743</v>
      </c>
      <c r="N499" s="427">
        <v>14467</v>
      </c>
      <c r="O499" s="427"/>
      <c r="P499" s="427">
        <f t="shared" si="46"/>
        <v>3360</v>
      </c>
      <c r="Q499" s="427"/>
      <c r="R499" s="427">
        <v>421</v>
      </c>
      <c r="S499" s="427">
        <v>2939</v>
      </c>
      <c r="U499" s="472"/>
      <c r="V499" s="472"/>
      <c r="W499" s="472"/>
      <c r="X499" s="472"/>
      <c r="Y499" s="472"/>
    </row>
    <row r="500" spans="1:25" s="428" customFormat="1" ht="9.1999999999999993" customHeight="1" x14ac:dyDescent="0.25">
      <c r="A500" s="431" t="s">
        <v>39</v>
      </c>
      <c r="B500" s="427">
        <f t="shared" si="44"/>
        <v>25077</v>
      </c>
      <c r="C500" s="427"/>
      <c r="D500" s="477">
        <v>15252</v>
      </c>
      <c r="E500" s="477">
        <v>5604</v>
      </c>
      <c r="F500" s="477">
        <v>2446</v>
      </c>
      <c r="G500" s="477">
        <v>1775</v>
      </c>
      <c r="I500" s="427">
        <f t="shared" si="45"/>
        <v>124418</v>
      </c>
      <c r="J500" s="427"/>
      <c r="K500" s="427">
        <v>35185</v>
      </c>
      <c r="L500" s="427">
        <v>28494</v>
      </c>
      <c r="M500" s="427">
        <v>56577</v>
      </c>
      <c r="N500" s="427">
        <v>4162</v>
      </c>
      <c r="O500" s="427"/>
      <c r="P500" s="427">
        <f t="shared" si="46"/>
        <v>2156</v>
      </c>
      <c r="Q500" s="427"/>
      <c r="R500" s="427">
        <v>289</v>
      </c>
      <c r="S500" s="427">
        <v>1867</v>
      </c>
      <c r="U500" s="472"/>
      <c r="V500" s="472"/>
      <c r="W500" s="472"/>
      <c r="X500" s="472"/>
      <c r="Y500" s="472"/>
    </row>
    <row r="501" spans="1:25" s="428" customFormat="1" ht="9.1999999999999993" customHeight="1" x14ac:dyDescent="0.25">
      <c r="A501" s="431" t="s">
        <v>40</v>
      </c>
      <c r="B501" s="427">
        <f t="shared" si="44"/>
        <v>78812</v>
      </c>
      <c r="C501" s="427"/>
      <c r="D501" s="477">
        <v>26050</v>
      </c>
      <c r="E501" s="477">
        <v>36705</v>
      </c>
      <c r="F501" s="477">
        <v>11856</v>
      </c>
      <c r="G501" s="477">
        <v>4201</v>
      </c>
      <c r="I501" s="427">
        <f t="shared" si="45"/>
        <v>463971</v>
      </c>
      <c r="J501" s="427"/>
      <c r="K501" s="427">
        <v>50430</v>
      </c>
      <c r="L501" s="427">
        <v>163884</v>
      </c>
      <c r="M501" s="427">
        <v>236622</v>
      </c>
      <c r="N501" s="427">
        <v>13035</v>
      </c>
      <c r="O501" s="427"/>
      <c r="P501" s="427">
        <f t="shared" si="46"/>
        <v>10822</v>
      </c>
      <c r="Q501" s="427"/>
      <c r="R501" s="427">
        <v>2208</v>
      </c>
      <c r="S501" s="427">
        <v>8614</v>
      </c>
      <c r="U501" s="472"/>
      <c r="V501" s="472"/>
      <c r="W501" s="472"/>
      <c r="X501" s="472"/>
      <c r="Y501" s="472"/>
    </row>
    <row r="502" spans="1:25" s="428" customFormat="1" ht="9.1999999999999993" customHeight="1" x14ac:dyDescent="0.25">
      <c r="A502" s="433" t="s">
        <v>41</v>
      </c>
      <c r="B502" s="434">
        <f t="shared" si="44"/>
        <v>69096</v>
      </c>
      <c r="C502" s="434"/>
      <c r="D502" s="479">
        <v>32427</v>
      </c>
      <c r="E502" s="479">
        <v>22145</v>
      </c>
      <c r="F502" s="479">
        <v>8075</v>
      </c>
      <c r="G502" s="479">
        <v>6449</v>
      </c>
      <c r="H502" s="475"/>
      <c r="I502" s="434">
        <f t="shared" si="45"/>
        <v>359082</v>
      </c>
      <c r="J502" s="434"/>
      <c r="K502" s="434">
        <v>54078</v>
      </c>
      <c r="L502" s="434">
        <v>108706</v>
      </c>
      <c r="M502" s="434">
        <v>184394</v>
      </c>
      <c r="N502" s="434">
        <v>11904</v>
      </c>
      <c r="O502" s="434"/>
      <c r="P502" s="434">
        <f t="shared" si="46"/>
        <v>7163</v>
      </c>
      <c r="Q502" s="434"/>
      <c r="R502" s="434">
        <v>385</v>
      </c>
      <c r="S502" s="434">
        <v>6778</v>
      </c>
      <c r="U502" s="472"/>
      <c r="V502" s="472"/>
      <c r="W502" s="472"/>
      <c r="X502" s="472"/>
      <c r="Y502" s="472"/>
    </row>
    <row r="503" spans="1:25" s="428" customFormat="1" ht="9.1999999999999993" customHeight="1" x14ac:dyDescent="0.25">
      <c r="A503" s="431" t="s">
        <v>42</v>
      </c>
      <c r="B503" s="427">
        <f t="shared" si="44"/>
        <v>93291</v>
      </c>
      <c r="C503" s="427"/>
      <c r="D503" s="477">
        <v>36331</v>
      </c>
      <c r="E503" s="477">
        <v>35095</v>
      </c>
      <c r="F503" s="477">
        <v>10942</v>
      </c>
      <c r="G503" s="477">
        <v>10923</v>
      </c>
      <c r="I503" s="427">
        <f t="shared" si="45"/>
        <v>562112</v>
      </c>
      <c r="J503" s="427"/>
      <c r="K503" s="427">
        <v>83721</v>
      </c>
      <c r="L503" s="427">
        <v>191900</v>
      </c>
      <c r="M503" s="427">
        <v>258556</v>
      </c>
      <c r="N503" s="427">
        <v>27935</v>
      </c>
      <c r="O503" s="427"/>
      <c r="P503" s="427">
        <f t="shared" si="46"/>
        <v>10285</v>
      </c>
      <c r="Q503" s="427"/>
      <c r="R503" s="427">
        <v>1346</v>
      </c>
      <c r="S503" s="427">
        <v>8939</v>
      </c>
      <c r="U503" s="472"/>
      <c r="V503" s="472"/>
      <c r="W503" s="472"/>
      <c r="X503" s="472"/>
      <c r="Y503" s="472"/>
    </row>
    <row r="504" spans="1:25" s="428" customFormat="1" ht="9.1999999999999993" customHeight="1" x14ac:dyDescent="0.25">
      <c r="A504" s="431" t="s">
        <v>43</v>
      </c>
      <c r="B504" s="427">
        <f t="shared" si="44"/>
        <v>34416</v>
      </c>
      <c r="C504" s="427"/>
      <c r="D504" s="477">
        <v>14554</v>
      </c>
      <c r="E504" s="477">
        <v>12122</v>
      </c>
      <c r="F504" s="477">
        <v>4665</v>
      </c>
      <c r="G504" s="477">
        <v>3075</v>
      </c>
      <c r="I504" s="427">
        <f t="shared" si="45"/>
        <v>170870</v>
      </c>
      <c r="J504" s="427"/>
      <c r="K504" s="427">
        <v>21852</v>
      </c>
      <c r="L504" s="427">
        <v>63458</v>
      </c>
      <c r="M504" s="427">
        <v>79112</v>
      </c>
      <c r="N504" s="427">
        <v>6448</v>
      </c>
      <c r="O504" s="427"/>
      <c r="P504" s="427">
        <f t="shared" si="46"/>
        <v>4424</v>
      </c>
      <c r="Q504" s="427"/>
      <c r="R504" s="427">
        <v>1166</v>
      </c>
      <c r="S504" s="427">
        <v>3258</v>
      </c>
      <c r="U504" s="472"/>
      <c r="V504" s="472"/>
      <c r="W504" s="472"/>
      <c r="X504" s="472"/>
      <c r="Y504" s="472"/>
    </row>
    <row r="505" spans="1:25" s="428" customFormat="1" ht="9.1999999999999993" customHeight="1" x14ac:dyDescent="0.25">
      <c r="A505" s="431" t="s">
        <v>44</v>
      </c>
      <c r="B505" s="427">
        <f t="shared" si="44"/>
        <v>30912</v>
      </c>
      <c r="C505" s="427"/>
      <c r="D505" s="477">
        <v>14146</v>
      </c>
      <c r="E505" s="477">
        <v>8448</v>
      </c>
      <c r="F505" s="477">
        <v>6093</v>
      </c>
      <c r="G505" s="477">
        <v>2225</v>
      </c>
      <c r="I505" s="427">
        <f t="shared" si="45"/>
        <v>138701</v>
      </c>
      <c r="J505" s="427"/>
      <c r="K505" s="427">
        <v>25237</v>
      </c>
      <c r="L505" s="427">
        <v>31005</v>
      </c>
      <c r="M505" s="427">
        <v>78913</v>
      </c>
      <c r="N505" s="427">
        <v>3546</v>
      </c>
      <c r="O505" s="427"/>
      <c r="P505" s="427">
        <f t="shared" si="46"/>
        <v>4029</v>
      </c>
      <c r="Q505" s="427"/>
      <c r="R505" s="427">
        <v>707</v>
      </c>
      <c r="S505" s="427">
        <v>3322</v>
      </c>
      <c r="U505" s="472"/>
      <c r="V505" s="472"/>
      <c r="W505" s="472"/>
      <c r="X505" s="472"/>
      <c r="Y505" s="472"/>
    </row>
    <row r="506" spans="1:25" s="428" customFormat="1" ht="9.1999999999999993" customHeight="1" x14ac:dyDescent="0.25">
      <c r="A506" s="433" t="s">
        <v>45</v>
      </c>
      <c r="B506" s="434">
        <f t="shared" si="44"/>
        <v>74166</v>
      </c>
      <c r="C506" s="434"/>
      <c r="D506" s="479">
        <v>33413</v>
      </c>
      <c r="E506" s="479">
        <v>30199</v>
      </c>
      <c r="F506" s="479">
        <v>5445</v>
      </c>
      <c r="G506" s="479">
        <v>5109</v>
      </c>
      <c r="H506" s="475"/>
      <c r="I506" s="434">
        <f t="shared" si="45"/>
        <v>282228</v>
      </c>
      <c r="J506" s="434"/>
      <c r="K506" s="434">
        <v>53406</v>
      </c>
      <c r="L506" s="434">
        <v>109887</v>
      </c>
      <c r="M506" s="434">
        <v>110098</v>
      </c>
      <c r="N506" s="434">
        <v>8837</v>
      </c>
      <c r="O506" s="434"/>
      <c r="P506" s="434">
        <f t="shared" si="46"/>
        <v>5011</v>
      </c>
      <c r="Q506" s="434"/>
      <c r="R506" s="434">
        <v>760</v>
      </c>
      <c r="S506" s="434">
        <v>4251</v>
      </c>
      <c r="U506" s="472"/>
      <c r="V506" s="472"/>
      <c r="W506" s="472"/>
      <c r="X506" s="472"/>
      <c r="Y506" s="472"/>
    </row>
    <row r="507" spans="1:25" s="428" customFormat="1" ht="9.1999999999999993" customHeight="1" x14ac:dyDescent="0.25">
      <c r="A507" s="431" t="s">
        <v>46</v>
      </c>
      <c r="B507" s="427">
        <f t="shared" si="44"/>
        <v>71220</v>
      </c>
      <c r="C507" s="427"/>
      <c r="D507" s="477">
        <v>29351</v>
      </c>
      <c r="E507" s="477">
        <v>25872</v>
      </c>
      <c r="F507" s="477">
        <v>9519</v>
      </c>
      <c r="G507" s="477">
        <v>6478</v>
      </c>
      <c r="I507" s="427">
        <f t="shared" si="45"/>
        <v>329246</v>
      </c>
      <c r="J507" s="427"/>
      <c r="K507" s="427">
        <v>50187</v>
      </c>
      <c r="L507" s="427">
        <v>87283</v>
      </c>
      <c r="M507" s="427">
        <v>182955</v>
      </c>
      <c r="N507" s="427">
        <v>8821</v>
      </c>
      <c r="O507" s="427"/>
      <c r="P507" s="427">
        <f t="shared" si="46"/>
        <v>7196</v>
      </c>
      <c r="Q507" s="427"/>
      <c r="R507" s="427">
        <v>650</v>
      </c>
      <c r="S507" s="427">
        <v>6546</v>
      </c>
      <c r="U507" s="472"/>
      <c r="V507" s="472"/>
      <c r="W507" s="472"/>
      <c r="X507" s="472"/>
      <c r="Y507" s="472"/>
    </row>
    <row r="508" spans="1:25" s="428" customFormat="1" ht="9.1999999999999993" customHeight="1" x14ac:dyDescent="0.25">
      <c r="A508" s="431" t="s">
        <v>47</v>
      </c>
      <c r="B508" s="427">
        <f t="shared" si="44"/>
        <v>64896</v>
      </c>
      <c r="C508" s="427"/>
      <c r="D508" s="477">
        <v>28020</v>
      </c>
      <c r="E508" s="477">
        <v>21041</v>
      </c>
      <c r="F508" s="477">
        <v>8472</v>
      </c>
      <c r="G508" s="477">
        <v>7363</v>
      </c>
      <c r="I508" s="427">
        <f t="shared" si="45"/>
        <v>291478</v>
      </c>
      <c r="J508" s="427"/>
      <c r="K508" s="427">
        <v>52185</v>
      </c>
      <c r="L508" s="427">
        <v>88416</v>
      </c>
      <c r="M508" s="427">
        <v>138781</v>
      </c>
      <c r="N508" s="427">
        <v>12096</v>
      </c>
      <c r="O508" s="427"/>
      <c r="P508" s="427">
        <f t="shared" si="46"/>
        <v>6691</v>
      </c>
      <c r="Q508" s="427"/>
      <c r="R508" s="427">
        <v>878</v>
      </c>
      <c r="S508" s="427">
        <v>5813</v>
      </c>
      <c r="U508" s="472"/>
      <c r="V508" s="472"/>
      <c r="W508" s="472"/>
      <c r="X508" s="472"/>
      <c r="Y508" s="472"/>
    </row>
    <row r="509" spans="1:25" s="428" customFormat="1" ht="9.1999999999999993" customHeight="1" x14ac:dyDescent="0.25">
      <c r="A509" s="431" t="s">
        <v>48</v>
      </c>
      <c r="B509" s="427">
        <f t="shared" si="44"/>
        <v>37812</v>
      </c>
      <c r="C509" s="427"/>
      <c r="D509" s="477">
        <v>25599</v>
      </c>
      <c r="E509" s="477">
        <v>5293</v>
      </c>
      <c r="F509" s="477">
        <v>3341</v>
      </c>
      <c r="G509" s="477">
        <v>3579</v>
      </c>
      <c r="I509" s="427">
        <f t="shared" si="45"/>
        <v>255707</v>
      </c>
      <c r="J509" s="427"/>
      <c r="K509" s="427">
        <v>70526</v>
      </c>
      <c r="L509" s="427">
        <v>27589</v>
      </c>
      <c r="M509" s="427">
        <v>145959</v>
      </c>
      <c r="N509" s="427">
        <v>11633</v>
      </c>
      <c r="O509" s="427"/>
      <c r="P509" s="427">
        <f t="shared" si="46"/>
        <v>3106</v>
      </c>
      <c r="Q509" s="427"/>
      <c r="R509" s="427">
        <v>343</v>
      </c>
      <c r="S509" s="427">
        <v>2763</v>
      </c>
      <c r="U509" s="472"/>
      <c r="V509" s="472"/>
      <c r="W509" s="472"/>
      <c r="X509" s="472"/>
      <c r="Y509" s="472"/>
    </row>
    <row r="510" spans="1:25" s="428" customFormat="1" ht="9.1999999999999993" customHeight="1" x14ac:dyDescent="0.25">
      <c r="A510" s="433" t="s">
        <v>49</v>
      </c>
      <c r="B510" s="434">
        <f t="shared" si="44"/>
        <v>87093</v>
      </c>
      <c r="C510" s="434"/>
      <c r="D510" s="479">
        <v>49828</v>
      </c>
      <c r="E510" s="479">
        <v>17920</v>
      </c>
      <c r="F510" s="479">
        <v>9214</v>
      </c>
      <c r="G510" s="479">
        <v>10131</v>
      </c>
      <c r="H510" s="475"/>
      <c r="I510" s="434">
        <f t="shared" si="45"/>
        <v>312786</v>
      </c>
      <c r="J510" s="434"/>
      <c r="K510" s="434">
        <v>57690</v>
      </c>
      <c r="L510" s="434">
        <v>79177</v>
      </c>
      <c r="M510" s="434">
        <v>160920</v>
      </c>
      <c r="N510" s="434">
        <v>14999</v>
      </c>
      <c r="O510" s="434"/>
      <c r="P510" s="434">
        <f t="shared" si="46"/>
        <v>7850</v>
      </c>
      <c r="Q510" s="434"/>
      <c r="R510" s="434">
        <v>1387</v>
      </c>
      <c r="S510" s="434">
        <v>6463</v>
      </c>
      <c r="U510" s="472"/>
      <c r="V510" s="472"/>
      <c r="W510" s="472"/>
      <c r="X510" s="472"/>
      <c r="Y510" s="472"/>
    </row>
    <row r="511" spans="1:25" s="428" customFormat="1" ht="9.1999999999999993" customHeight="1" x14ac:dyDescent="0.25">
      <c r="A511" s="431" t="s">
        <v>50</v>
      </c>
      <c r="B511" s="427">
        <f t="shared" si="44"/>
        <v>14704</v>
      </c>
      <c r="C511" s="427"/>
      <c r="D511" s="477">
        <v>4792</v>
      </c>
      <c r="E511" s="477">
        <v>5288</v>
      </c>
      <c r="F511" s="477">
        <v>2570</v>
      </c>
      <c r="G511" s="477">
        <v>2054</v>
      </c>
      <c r="I511" s="427">
        <f t="shared" si="45"/>
        <v>101600</v>
      </c>
      <c r="J511" s="427"/>
      <c r="K511" s="427">
        <v>13948</v>
      </c>
      <c r="L511" s="427">
        <v>27610</v>
      </c>
      <c r="M511" s="427">
        <v>51477</v>
      </c>
      <c r="N511" s="427">
        <v>8565</v>
      </c>
      <c r="O511" s="427"/>
      <c r="P511" s="427">
        <f t="shared" si="46"/>
        <v>1718</v>
      </c>
      <c r="Q511" s="427"/>
      <c r="R511" s="427">
        <v>180</v>
      </c>
      <c r="S511" s="427">
        <v>1538</v>
      </c>
      <c r="U511" s="472"/>
      <c r="V511" s="472"/>
      <c r="W511" s="472"/>
      <c r="X511" s="472"/>
      <c r="Y511" s="472"/>
    </row>
    <row r="512" spans="1:25" s="428" customFormat="1" ht="9.1999999999999993" customHeight="1" x14ac:dyDescent="0.25">
      <c r="A512" s="428" t="s">
        <v>51</v>
      </c>
      <c r="B512" s="427">
        <f t="shared" si="44"/>
        <v>156531</v>
      </c>
      <c r="C512" s="427"/>
      <c r="D512" s="477">
        <v>70809</v>
      </c>
      <c r="E512" s="477">
        <v>50888</v>
      </c>
      <c r="F512" s="477">
        <v>20409</v>
      </c>
      <c r="G512" s="477">
        <v>14425</v>
      </c>
      <c r="I512" s="427">
        <f t="shared" si="45"/>
        <v>884841</v>
      </c>
      <c r="J512" s="427"/>
      <c r="K512" s="427">
        <v>136039</v>
      </c>
      <c r="L512" s="427">
        <v>225788</v>
      </c>
      <c r="M512" s="427">
        <v>488213</v>
      </c>
      <c r="N512" s="427">
        <v>34801</v>
      </c>
      <c r="O512" s="427"/>
      <c r="P512" s="427">
        <f t="shared" si="46"/>
        <v>15317</v>
      </c>
      <c r="Q512" s="427"/>
      <c r="R512" s="427">
        <v>1632</v>
      </c>
      <c r="S512" s="427">
        <v>13685</v>
      </c>
      <c r="U512" s="472"/>
      <c r="V512" s="472"/>
      <c r="W512" s="472"/>
      <c r="X512" s="472"/>
      <c r="Y512" s="472"/>
    </row>
    <row r="513" spans="1:25" s="428" customFormat="1" ht="9.1999999999999993" customHeight="1" x14ac:dyDescent="0.25">
      <c r="A513" s="428" t="s">
        <v>52</v>
      </c>
      <c r="B513" s="427">
        <f t="shared" si="44"/>
        <v>35449</v>
      </c>
      <c r="C513" s="427"/>
      <c r="D513" s="477">
        <v>18017</v>
      </c>
      <c r="E513" s="477">
        <v>9545</v>
      </c>
      <c r="F513" s="477">
        <v>6016</v>
      </c>
      <c r="G513" s="477">
        <v>1871</v>
      </c>
      <c r="I513" s="427">
        <f t="shared" si="45"/>
        <v>199012</v>
      </c>
      <c r="J513" s="427"/>
      <c r="K513" s="427">
        <v>34158</v>
      </c>
      <c r="L513" s="427">
        <v>50365</v>
      </c>
      <c r="M513" s="427">
        <v>110815</v>
      </c>
      <c r="N513" s="427">
        <v>3674</v>
      </c>
      <c r="O513" s="427"/>
      <c r="P513" s="427">
        <f t="shared" si="46"/>
        <v>5491</v>
      </c>
      <c r="Q513" s="427"/>
      <c r="R513" s="427">
        <v>572</v>
      </c>
      <c r="S513" s="427">
        <v>4919</v>
      </c>
      <c r="U513" s="472"/>
      <c r="V513" s="472"/>
      <c r="W513" s="472"/>
      <c r="X513" s="472"/>
      <c r="Y513" s="472"/>
    </row>
    <row r="514" spans="1:25" s="428" customFormat="1" ht="9.1999999999999993" customHeight="1" x14ac:dyDescent="0.25">
      <c r="A514" s="433" t="s">
        <v>53</v>
      </c>
      <c r="B514" s="434">
        <f t="shared" si="44"/>
        <v>40736</v>
      </c>
      <c r="C514" s="434"/>
      <c r="D514" s="479">
        <v>17175</v>
      </c>
      <c r="E514" s="479">
        <v>16537</v>
      </c>
      <c r="F514" s="479">
        <v>3438</v>
      </c>
      <c r="G514" s="479">
        <v>3586</v>
      </c>
      <c r="H514" s="475"/>
      <c r="I514" s="434">
        <f t="shared" si="45"/>
        <v>180312</v>
      </c>
      <c r="J514" s="434"/>
      <c r="K514" s="434">
        <v>31472</v>
      </c>
      <c r="L514" s="434">
        <v>67094</v>
      </c>
      <c r="M514" s="434">
        <v>72632</v>
      </c>
      <c r="N514" s="434">
        <v>9114</v>
      </c>
      <c r="O514" s="434"/>
      <c r="P514" s="434">
        <f t="shared" si="46"/>
        <v>2705</v>
      </c>
      <c r="Q514" s="434"/>
      <c r="R514" s="434">
        <v>329</v>
      </c>
      <c r="S514" s="434">
        <v>2376</v>
      </c>
      <c r="U514" s="472"/>
      <c r="V514" s="472"/>
      <c r="W514" s="472"/>
      <c r="X514" s="472"/>
      <c r="Y514" s="472"/>
    </row>
    <row r="515" spans="1:25" s="428" customFormat="1" ht="9" customHeight="1" x14ac:dyDescent="0.25">
      <c r="B515" s="427"/>
      <c r="C515" s="427"/>
      <c r="D515" s="477"/>
      <c r="E515" s="477"/>
      <c r="F515" s="477"/>
      <c r="G515" s="477"/>
      <c r="I515" s="427"/>
      <c r="J515" s="427"/>
      <c r="K515" s="427"/>
      <c r="L515" s="427"/>
      <c r="M515" s="427"/>
      <c r="N515" s="427"/>
      <c r="O515" s="427"/>
      <c r="P515" s="427"/>
      <c r="Q515" s="427"/>
      <c r="R515" s="427"/>
      <c r="S515" s="427"/>
      <c r="U515" s="472"/>
      <c r="V515" s="472"/>
      <c r="W515" s="472"/>
      <c r="X515" s="472"/>
      <c r="Y515" s="472"/>
    </row>
    <row r="516" spans="1:25" s="428" customFormat="1" ht="9" customHeight="1" x14ac:dyDescent="0.25">
      <c r="A516" s="441">
        <v>2009</v>
      </c>
      <c r="B516" s="476"/>
      <c r="C516" s="476"/>
      <c r="D516" s="476"/>
      <c r="E516" s="476"/>
      <c r="F516" s="476"/>
      <c r="G516" s="476"/>
      <c r="H516" s="476"/>
      <c r="I516" s="476"/>
      <c r="J516" s="430"/>
      <c r="K516" s="476"/>
      <c r="L516" s="476"/>
      <c r="M516" s="476"/>
      <c r="N516" s="476"/>
      <c r="O516" s="482"/>
      <c r="P516" s="476"/>
      <c r="Q516" s="430"/>
      <c r="R516" s="476"/>
      <c r="S516" s="476"/>
      <c r="U516" s="472"/>
      <c r="V516" s="472"/>
      <c r="W516" s="472"/>
      <c r="X516" s="472"/>
      <c r="Y516" s="472"/>
    </row>
    <row r="517" spans="1:25" s="428" customFormat="1" ht="9" customHeight="1" x14ac:dyDescent="0.25">
      <c r="A517" s="429" t="s">
        <v>342</v>
      </c>
      <c r="B517" s="476">
        <f>SUM(B519:B550)+5925</f>
        <v>2158235</v>
      </c>
      <c r="C517" s="476"/>
      <c r="D517" s="476">
        <f>SUM(D519:D550)+3278</f>
        <v>916040</v>
      </c>
      <c r="E517" s="476">
        <f>SUM(E519:E550)+951</f>
        <v>659480</v>
      </c>
      <c r="F517" s="476">
        <f>SUM(F519:F550)+747</f>
        <v>274816</v>
      </c>
      <c r="G517" s="476">
        <f>SUM(G519:G550)+949</f>
        <v>307899</v>
      </c>
      <c r="H517" s="476"/>
      <c r="I517" s="476">
        <f>SUM(I519:I550)+8941</f>
        <v>11226380</v>
      </c>
      <c r="J517" s="430"/>
      <c r="K517" s="476">
        <f>SUM(K519:K550)+7106</f>
        <v>1870544</v>
      </c>
      <c r="L517" s="476">
        <f>SUM(L519:L550)+509</f>
        <v>3044918</v>
      </c>
      <c r="M517" s="476">
        <f>SUM(M519:M550)+121-2</f>
        <v>5552322</v>
      </c>
      <c r="N517" s="476">
        <f>SUM(N519:N550)+1205+1</f>
        <v>758596</v>
      </c>
      <c r="O517" s="482"/>
      <c r="P517" s="476">
        <f>SUM(P519:P550)+272</f>
        <v>420659</v>
      </c>
      <c r="Q517" s="430"/>
      <c r="R517" s="476">
        <f>SUM(R519:R550)+164</f>
        <v>36037</v>
      </c>
      <c r="S517" s="476">
        <f>SUM(S519:S550)+108</f>
        <v>384622</v>
      </c>
      <c r="U517" s="472"/>
      <c r="V517" s="472"/>
      <c r="W517" s="472"/>
      <c r="X517" s="472"/>
      <c r="Y517" s="472"/>
    </row>
    <row r="518" spans="1:25" s="428" customFormat="1" ht="3.95" customHeight="1" x14ac:dyDescent="0.25">
      <c r="A518" s="429"/>
      <c r="B518" s="476"/>
      <c r="C518" s="476"/>
      <c r="D518" s="476"/>
      <c r="E518" s="476"/>
      <c r="F518" s="476"/>
      <c r="G518" s="476"/>
      <c r="H518" s="476"/>
      <c r="I518" s="430"/>
      <c r="J518" s="430"/>
      <c r="K518" s="430"/>
      <c r="L518" s="430"/>
      <c r="M518" s="430"/>
      <c r="N518" s="430"/>
      <c r="O518" s="430"/>
      <c r="P518" s="430"/>
      <c r="Q518" s="430"/>
      <c r="R518" s="430"/>
      <c r="S518" s="430"/>
      <c r="U518" s="472"/>
      <c r="V518" s="472"/>
      <c r="W518" s="472"/>
      <c r="X518" s="472"/>
      <c r="Y518" s="472"/>
    </row>
    <row r="519" spans="1:25" s="428" customFormat="1" ht="9.1999999999999993" customHeight="1" x14ac:dyDescent="0.25">
      <c r="A519" s="431" t="s">
        <v>23</v>
      </c>
      <c r="B519" s="427">
        <f t="shared" ref="B519:B550" si="47">SUM(D519:G519)</f>
        <v>25694</v>
      </c>
      <c r="C519" s="427"/>
      <c r="D519" s="477">
        <v>10921</v>
      </c>
      <c r="E519" s="477">
        <v>7559</v>
      </c>
      <c r="F519" s="477">
        <v>3414</v>
      </c>
      <c r="G519" s="477">
        <v>3800</v>
      </c>
      <c r="I519" s="427">
        <f t="shared" ref="I519:I548" si="48">SUM(K519:O519)</f>
        <v>121842</v>
      </c>
      <c r="J519" s="427"/>
      <c r="K519" s="427">
        <v>24827</v>
      </c>
      <c r="L519" s="427">
        <v>33333</v>
      </c>
      <c r="M519" s="427">
        <v>55128</v>
      </c>
      <c r="N519" s="427">
        <v>8554</v>
      </c>
      <c r="O519" s="427"/>
      <c r="P519" s="427">
        <f t="shared" ref="P519:P550" si="49">SUM(R519:S519)</f>
        <v>5452</v>
      </c>
      <c r="Q519" s="427"/>
      <c r="R519" s="427">
        <v>607</v>
      </c>
      <c r="S519" s="427">
        <v>4845</v>
      </c>
      <c r="U519" s="472"/>
      <c r="V519" s="472"/>
      <c r="W519" s="472"/>
      <c r="X519" s="472"/>
      <c r="Y519" s="472"/>
    </row>
    <row r="520" spans="1:25" s="428" customFormat="1" ht="9.1999999999999993" customHeight="1" x14ac:dyDescent="0.25">
      <c r="A520" s="431" t="s">
        <v>24</v>
      </c>
      <c r="B520" s="427">
        <f t="shared" si="47"/>
        <v>69388</v>
      </c>
      <c r="C520" s="427"/>
      <c r="D520" s="477">
        <v>40322</v>
      </c>
      <c r="E520" s="477">
        <v>14989</v>
      </c>
      <c r="F520" s="477">
        <v>9555</v>
      </c>
      <c r="G520" s="477">
        <v>4522</v>
      </c>
      <c r="I520" s="427">
        <f t="shared" si="48"/>
        <v>333314</v>
      </c>
      <c r="J520" s="427"/>
      <c r="K520" s="427">
        <v>80394</v>
      </c>
      <c r="L520" s="427">
        <v>82460</v>
      </c>
      <c r="M520" s="427">
        <v>165695</v>
      </c>
      <c r="N520" s="427">
        <v>4765</v>
      </c>
      <c r="O520" s="427"/>
      <c r="P520" s="427">
        <f t="shared" si="49"/>
        <v>13607</v>
      </c>
      <c r="Q520" s="427"/>
      <c r="R520" s="427">
        <v>1427</v>
      </c>
      <c r="S520" s="427">
        <v>12180</v>
      </c>
      <c r="U520" s="472"/>
      <c r="V520" s="472"/>
      <c r="W520" s="472"/>
      <c r="X520" s="472"/>
      <c r="Y520" s="472"/>
    </row>
    <row r="521" spans="1:25" s="428" customFormat="1" ht="9.1999999999999993" customHeight="1" x14ac:dyDescent="0.25">
      <c r="A521" s="431" t="s">
        <v>25</v>
      </c>
      <c r="B521" s="427">
        <f t="shared" si="47"/>
        <v>11573</v>
      </c>
      <c r="C521" s="427"/>
      <c r="D521" s="477">
        <v>4687</v>
      </c>
      <c r="E521" s="477">
        <v>3405</v>
      </c>
      <c r="F521" s="477">
        <v>1802</v>
      </c>
      <c r="G521" s="477">
        <v>1679</v>
      </c>
      <c r="I521" s="427">
        <f t="shared" si="48"/>
        <v>69704</v>
      </c>
      <c r="J521" s="427"/>
      <c r="K521" s="427">
        <v>8719</v>
      </c>
      <c r="L521" s="427">
        <v>15328</v>
      </c>
      <c r="M521" s="427">
        <v>43250</v>
      </c>
      <c r="N521" s="427">
        <v>2407</v>
      </c>
      <c r="O521" s="427"/>
      <c r="P521" s="427">
        <f t="shared" si="49"/>
        <v>2943</v>
      </c>
      <c r="Q521" s="427"/>
      <c r="R521" s="427">
        <v>250</v>
      </c>
      <c r="S521" s="427">
        <v>2693</v>
      </c>
      <c r="U521" s="472"/>
      <c r="V521" s="472"/>
      <c r="W521" s="472"/>
      <c r="X521" s="472"/>
      <c r="Y521" s="472"/>
    </row>
    <row r="522" spans="1:25" s="428" customFormat="1" ht="9.1999999999999993" customHeight="1" x14ac:dyDescent="0.25">
      <c r="A522" s="433" t="s">
        <v>26</v>
      </c>
      <c r="B522" s="434">
        <f t="shared" si="47"/>
        <v>17107</v>
      </c>
      <c r="C522" s="434"/>
      <c r="D522" s="479">
        <v>9231</v>
      </c>
      <c r="E522" s="479">
        <v>4180</v>
      </c>
      <c r="F522" s="479">
        <v>1858</v>
      </c>
      <c r="G522" s="479">
        <v>1838</v>
      </c>
      <c r="H522" s="475"/>
      <c r="I522" s="434">
        <f t="shared" si="48"/>
        <v>97694</v>
      </c>
      <c r="J522" s="434"/>
      <c r="K522" s="434">
        <v>17387</v>
      </c>
      <c r="L522" s="434">
        <v>19418</v>
      </c>
      <c r="M522" s="434">
        <v>55636</v>
      </c>
      <c r="N522" s="434">
        <v>5253</v>
      </c>
      <c r="O522" s="434"/>
      <c r="P522" s="434">
        <f t="shared" si="49"/>
        <v>3746</v>
      </c>
      <c r="Q522" s="434"/>
      <c r="R522" s="434">
        <v>318</v>
      </c>
      <c r="S522" s="434">
        <v>3428</v>
      </c>
      <c r="U522" s="472"/>
      <c r="V522" s="472"/>
      <c r="W522" s="472"/>
      <c r="X522" s="472"/>
      <c r="Y522" s="472"/>
    </row>
    <row r="523" spans="1:25" s="428" customFormat="1" ht="9.1999999999999993" customHeight="1" x14ac:dyDescent="0.25">
      <c r="A523" s="431" t="s">
        <v>27</v>
      </c>
      <c r="B523" s="427">
        <f t="shared" si="47"/>
        <v>71048</v>
      </c>
      <c r="C523" s="427"/>
      <c r="D523" s="477">
        <v>27641</v>
      </c>
      <c r="E523" s="477">
        <v>25719</v>
      </c>
      <c r="F523" s="477">
        <v>10171</v>
      </c>
      <c r="G523" s="477">
        <v>7517</v>
      </c>
      <c r="I523" s="427">
        <f t="shared" si="48"/>
        <v>343997</v>
      </c>
      <c r="J523" s="427"/>
      <c r="K523" s="427">
        <v>46893</v>
      </c>
      <c r="L523" s="427">
        <v>105550</v>
      </c>
      <c r="M523" s="427">
        <v>180935</v>
      </c>
      <c r="N523" s="427">
        <v>10619</v>
      </c>
      <c r="O523" s="427"/>
      <c r="P523" s="427">
        <f t="shared" si="49"/>
        <v>11900</v>
      </c>
      <c r="Q523" s="427"/>
      <c r="R523" s="427">
        <v>1280</v>
      </c>
      <c r="S523" s="427">
        <v>10620</v>
      </c>
      <c r="U523" s="472"/>
      <c r="V523" s="472"/>
      <c r="W523" s="472"/>
      <c r="X523" s="472"/>
      <c r="Y523" s="472"/>
    </row>
    <row r="524" spans="1:25" s="428" customFormat="1" ht="9.1999999999999993" customHeight="1" x14ac:dyDescent="0.25">
      <c r="A524" s="431" t="s">
        <v>28</v>
      </c>
      <c r="B524" s="427">
        <f t="shared" si="47"/>
        <v>15462</v>
      </c>
      <c r="C524" s="427"/>
      <c r="D524" s="477">
        <v>6370</v>
      </c>
      <c r="E524" s="477">
        <v>4850</v>
      </c>
      <c r="F524" s="477">
        <v>2226</v>
      </c>
      <c r="G524" s="477">
        <v>2016</v>
      </c>
      <c r="I524" s="427">
        <f t="shared" si="48"/>
        <v>81800</v>
      </c>
      <c r="J524" s="427"/>
      <c r="K524" s="427">
        <v>11247</v>
      </c>
      <c r="L524" s="427">
        <v>15009</v>
      </c>
      <c r="M524" s="427">
        <v>53149</v>
      </c>
      <c r="N524" s="427">
        <v>2395</v>
      </c>
      <c r="O524" s="427"/>
      <c r="P524" s="427">
        <f t="shared" si="49"/>
        <v>3378</v>
      </c>
      <c r="Q524" s="427"/>
      <c r="R524" s="427">
        <v>305</v>
      </c>
      <c r="S524" s="427">
        <v>3073</v>
      </c>
      <c r="U524" s="472"/>
      <c r="V524" s="472"/>
      <c r="W524" s="472"/>
      <c r="X524" s="472"/>
      <c r="Y524" s="472"/>
    </row>
    <row r="525" spans="1:25" s="428" customFormat="1" ht="9.1999999999999993" customHeight="1" x14ac:dyDescent="0.25">
      <c r="A525" s="431" t="s">
        <v>29</v>
      </c>
      <c r="B525" s="427">
        <f t="shared" si="47"/>
        <v>98068</v>
      </c>
      <c r="C525" s="427"/>
      <c r="D525" s="477">
        <v>60054</v>
      </c>
      <c r="E525" s="477">
        <v>23341</v>
      </c>
      <c r="F525" s="477">
        <v>8757</v>
      </c>
      <c r="G525" s="477">
        <v>5916</v>
      </c>
      <c r="I525" s="427">
        <f t="shared" si="48"/>
        <v>461199</v>
      </c>
      <c r="J525" s="427"/>
      <c r="K525" s="427">
        <v>81842</v>
      </c>
      <c r="L525" s="427">
        <v>121503</v>
      </c>
      <c r="M525" s="427">
        <v>219313</v>
      </c>
      <c r="N525" s="427">
        <v>38541</v>
      </c>
      <c r="O525" s="427"/>
      <c r="P525" s="427">
        <f t="shared" si="49"/>
        <v>13305</v>
      </c>
      <c r="Q525" s="427"/>
      <c r="R525" s="427">
        <v>263</v>
      </c>
      <c r="S525" s="427">
        <v>13042</v>
      </c>
      <c r="U525" s="472"/>
      <c r="V525" s="472"/>
      <c r="W525" s="472"/>
      <c r="X525" s="472"/>
      <c r="Y525" s="472"/>
    </row>
    <row r="526" spans="1:25" s="428" customFormat="1" ht="9.1999999999999993" customHeight="1" x14ac:dyDescent="0.25">
      <c r="A526" s="433" t="s">
        <v>30</v>
      </c>
      <c r="B526" s="434">
        <f t="shared" si="47"/>
        <v>70245</v>
      </c>
      <c r="C526" s="434"/>
      <c r="D526" s="479">
        <v>33207</v>
      </c>
      <c r="E526" s="479">
        <v>19141</v>
      </c>
      <c r="F526" s="479">
        <v>11068</v>
      </c>
      <c r="G526" s="479">
        <v>6829</v>
      </c>
      <c r="H526" s="475"/>
      <c r="I526" s="434">
        <f t="shared" si="48"/>
        <v>363148</v>
      </c>
      <c r="J526" s="434"/>
      <c r="K526" s="434">
        <v>56934</v>
      </c>
      <c r="L526" s="434">
        <v>102321</v>
      </c>
      <c r="M526" s="434">
        <v>193459</v>
      </c>
      <c r="N526" s="434">
        <v>10434</v>
      </c>
      <c r="O526" s="434"/>
      <c r="P526" s="434">
        <f t="shared" si="49"/>
        <v>15912</v>
      </c>
      <c r="Q526" s="434"/>
      <c r="R526" s="434">
        <v>2234</v>
      </c>
      <c r="S526" s="434">
        <v>13678</v>
      </c>
      <c r="U526" s="472"/>
      <c r="V526" s="472"/>
      <c r="W526" s="472"/>
      <c r="X526" s="472"/>
      <c r="Y526" s="472"/>
    </row>
    <row r="527" spans="1:25" s="428" customFormat="1" ht="9.1999999999999993" customHeight="1" x14ac:dyDescent="0.25">
      <c r="A527" s="431" t="s">
        <v>63</v>
      </c>
      <c r="B527" s="427">
        <f t="shared" si="47"/>
        <v>161429</v>
      </c>
      <c r="C527" s="427"/>
      <c r="D527" s="477">
        <v>39150</v>
      </c>
      <c r="E527" s="477">
        <v>53821</v>
      </c>
      <c r="F527" s="477">
        <v>23717</v>
      </c>
      <c r="G527" s="477">
        <v>44741</v>
      </c>
      <c r="I527" s="427">
        <f t="shared" si="48"/>
        <v>978655</v>
      </c>
      <c r="J527" s="427"/>
      <c r="K527" s="427">
        <v>102212</v>
      </c>
      <c r="L527" s="427">
        <v>236326</v>
      </c>
      <c r="M527" s="427">
        <v>558334</v>
      </c>
      <c r="N527" s="427">
        <v>81783</v>
      </c>
      <c r="O527" s="427"/>
      <c r="P527" s="427">
        <f t="shared" si="49"/>
        <v>37473</v>
      </c>
      <c r="Q527" s="427"/>
      <c r="R527" s="427">
        <v>4298</v>
      </c>
      <c r="S527" s="427">
        <v>33175</v>
      </c>
      <c r="U527" s="472"/>
      <c r="V527" s="472"/>
      <c r="W527" s="472"/>
      <c r="X527" s="472"/>
      <c r="Y527" s="472"/>
    </row>
    <row r="528" spans="1:25" s="428" customFormat="1" ht="9.1999999999999993" customHeight="1" x14ac:dyDescent="0.25">
      <c r="A528" s="431" t="s">
        <v>31</v>
      </c>
      <c r="B528" s="427">
        <f t="shared" si="47"/>
        <v>38664</v>
      </c>
      <c r="C528" s="427"/>
      <c r="D528" s="477">
        <v>20534</v>
      </c>
      <c r="E528" s="477">
        <v>11700</v>
      </c>
      <c r="F528" s="477">
        <v>4366</v>
      </c>
      <c r="G528" s="477">
        <v>2064</v>
      </c>
      <c r="I528" s="427">
        <f t="shared" si="48"/>
        <v>167936</v>
      </c>
      <c r="J528" s="427"/>
      <c r="K528" s="427">
        <v>29854</v>
      </c>
      <c r="L528" s="427">
        <v>57893</v>
      </c>
      <c r="M528" s="427">
        <v>73441</v>
      </c>
      <c r="N528" s="427">
        <v>6748</v>
      </c>
      <c r="O528" s="427"/>
      <c r="P528" s="427">
        <f t="shared" si="49"/>
        <v>6282</v>
      </c>
      <c r="Q528" s="427"/>
      <c r="R528" s="427">
        <v>910</v>
      </c>
      <c r="S528" s="427">
        <v>5372</v>
      </c>
      <c r="U528" s="472"/>
      <c r="V528" s="472"/>
      <c r="W528" s="472"/>
      <c r="X528" s="472"/>
      <c r="Y528" s="472"/>
    </row>
    <row r="529" spans="1:25" s="428" customFormat="1" ht="9.1999999999999993" customHeight="1" x14ac:dyDescent="0.25">
      <c r="A529" s="431" t="s">
        <v>32</v>
      </c>
      <c r="B529" s="427">
        <f t="shared" si="47"/>
        <v>117348</v>
      </c>
      <c r="C529" s="427"/>
      <c r="D529" s="477">
        <v>45341</v>
      </c>
      <c r="E529" s="477">
        <v>31037</v>
      </c>
      <c r="F529" s="477">
        <v>17259</v>
      </c>
      <c r="G529" s="477">
        <v>23711</v>
      </c>
      <c r="I529" s="427">
        <f t="shared" si="48"/>
        <v>481997</v>
      </c>
      <c r="J529" s="427"/>
      <c r="K529" s="427">
        <v>98823</v>
      </c>
      <c r="L529" s="427">
        <v>131938</v>
      </c>
      <c r="M529" s="427">
        <v>204144</v>
      </c>
      <c r="N529" s="427">
        <v>47092</v>
      </c>
      <c r="O529" s="427"/>
      <c r="P529" s="427">
        <f t="shared" si="49"/>
        <v>18945</v>
      </c>
      <c r="Q529" s="427"/>
      <c r="R529" s="427">
        <v>1572</v>
      </c>
      <c r="S529" s="427">
        <v>17373</v>
      </c>
      <c r="U529" s="472"/>
      <c r="V529" s="472"/>
      <c r="W529" s="472"/>
      <c r="X529" s="472"/>
      <c r="Y529" s="472"/>
    </row>
    <row r="530" spans="1:25" s="428" customFormat="1" ht="9.1999999999999993" customHeight="1" x14ac:dyDescent="0.25">
      <c r="A530" s="433" t="s">
        <v>33</v>
      </c>
      <c r="B530" s="434">
        <f t="shared" si="47"/>
        <v>68734</v>
      </c>
      <c r="C530" s="434"/>
      <c r="D530" s="479">
        <v>36510</v>
      </c>
      <c r="E530" s="479">
        <v>12862</v>
      </c>
      <c r="F530" s="479">
        <v>5428</v>
      </c>
      <c r="G530" s="479">
        <v>13934</v>
      </c>
      <c r="H530" s="475"/>
      <c r="I530" s="434">
        <f t="shared" si="48"/>
        <v>381213</v>
      </c>
      <c r="J530" s="434"/>
      <c r="K530" s="434">
        <v>111188</v>
      </c>
      <c r="L530" s="434">
        <v>57840</v>
      </c>
      <c r="M530" s="434">
        <v>180992</v>
      </c>
      <c r="N530" s="434">
        <v>31193</v>
      </c>
      <c r="O530" s="434"/>
      <c r="P530" s="434">
        <f t="shared" si="49"/>
        <v>10198</v>
      </c>
      <c r="Q530" s="434"/>
      <c r="R530" s="434">
        <v>372</v>
      </c>
      <c r="S530" s="434">
        <v>9826</v>
      </c>
      <c r="U530" s="472"/>
      <c r="V530" s="472"/>
      <c r="W530" s="472"/>
      <c r="X530" s="472"/>
      <c r="Y530" s="472"/>
    </row>
    <row r="531" spans="1:25" s="428" customFormat="1" ht="9.1999999999999993" customHeight="1" x14ac:dyDescent="0.25">
      <c r="A531" s="431" t="s">
        <v>34</v>
      </c>
      <c r="B531" s="427">
        <f t="shared" si="47"/>
        <v>71790</v>
      </c>
      <c r="C531" s="427"/>
      <c r="D531" s="477">
        <v>24570</v>
      </c>
      <c r="E531" s="477">
        <v>23139</v>
      </c>
      <c r="F531" s="477">
        <v>8093</v>
      </c>
      <c r="G531" s="477">
        <v>15988</v>
      </c>
      <c r="I531" s="427">
        <f t="shared" si="48"/>
        <v>343334</v>
      </c>
      <c r="J531" s="427"/>
      <c r="K531" s="427">
        <v>45023</v>
      </c>
      <c r="L531" s="427">
        <v>99118</v>
      </c>
      <c r="M531" s="427">
        <v>169420</v>
      </c>
      <c r="N531" s="427">
        <v>29773</v>
      </c>
      <c r="O531" s="427"/>
      <c r="P531" s="427">
        <f t="shared" si="49"/>
        <v>11877</v>
      </c>
      <c r="Q531" s="427"/>
      <c r="R531" s="427">
        <v>504</v>
      </c>
      <c r="S531" s="427">
        <v>11373</v>
      </c>
      <c r="U531" s="472"/>
      <c r="V531" s="472"/>
      <c r="W531" s="472"/>
      <c r="X531" s="472"/>
      <c r="Y531" s="472"/>
    </row>
    <row r="532" spans="1:25" s="428" customFormat="1" ht="9.1999999999999993" customHeight="1" x14ac:dyDescent="0.25">
      <c r="A532" s="431" t="s">
        <v>35</v>
      </c>
      <c r="B532" s="427">
        <f t="shared" si="47"/>
        <v>95674</v>
      </c>
      <c r="C532" s="427"/>
      <c r="D532" s="477">
        <v>39046</v>
      </c>
      <c r="E532" s="477">
        <v>25288</v>
      </c>
      <c r="F532" s="477">
        <v>18861</v>
      </c>
      <c r="G532" s="477">
        <v>12479</v>
      </c>
      <c r="I532" s="427">
        <f t="shared" si="48"/>
        <v>516697</v>
      </c>
      <c r="J532" s="427"/>
      <c r="K532" s="427">
        <v>77067</v>
      </c>
      <c r="L532" s="427">
        <v>104946</v>
      </c>
      <c r="M532" s="427">
        <v>301375</v>
      </c>
      <c r="N532" s="427">
        <v>33309</v>
      </c>
      <c r="O532" s="427"/>
      <c r="P532" s="427">
        <f t="shared" si="49"/>
        <v>27715</v>
      </c>
      <c r="Q532" s="427"/>
      <c r="R532" s="427">
        <v>2504</v>
      </c>
      <c r="S532" s="427">
        <v>25211</v>
      </c>
      <c r="U532" s="472"/>
      <c r="V532" s="472"/>
      <c r="W532" s="472"/>
      <c r="X532" s="472"/>
      <c r="Y532" s="472"/>
    </row>
    <row r="533" spans="1:25" s="428" customFormat="1" ht="9.1999999999999993" customHeight="1" x14ac:dyDescent="0.25">
      <c r="A533" s="431" t="s">
        <v>36</v>
      </c>
      <c r="B533" s="427">
        <f t="shared" si="47"/>
        <v>206306</v>
      </c>
      <c r="C533" s="427"/>
      <c r="D533" s="477">
        <v>63153</v>
      </c>
      <c r="E533" s="477">
        <v>66923</v>
      </c>
      <c r="F533" s="477">
        <v>28643</v>
      </c>
      <c r="G533" s="477">
        <v>47587</v>
      </c>
      <c r="I533" s="427">
        <f t="shared" si="48"/>
        <v>1201112</v>
      </c>
      <c r="J533" s="427"/>
      <c r="K533" s="427">
        <v>213786</v>
      </c>
      <c r="L533" s="427">
        <v>329466</v>
      </c>
      <c r="M533" s="427">
        <v>504122</v>
      </c>
      <c r="N533" s="427">
        <v>153738</v>
      </c>
      <c r="O533" s="427"/>
      <c r="P533" s="427">
        <f t="shared" si="49"/>
        <v>46043</v>
      </c>
      <c r="Q533" s="427"/>
      <c r="R533" s="427">
        <v>4712</v>
      </c>
      <c r="S533" s="427">
        <v>41331</v>
      </c>
      <c r="U533" s="472"/>
      <c r="V533" s="472"/>
      <c r="W533" s="472"/>
      <c r="X533" s="472"/>
      <c r="Y533" s="472"/>
    </row>
    <row r="534" spans="1:25" s="428" customFormat="1" ht="9.1999999999999993" customHeight="1" x14ac:dyDescent="0.25">
      <c r="A534" s="433" t="s">
        <v>37</v>
      </c>
      <c r="B534" s="434">
        <f t="shared" si="47"/>
        <v>97370</v>
      </c>
      <c r="C534" s="434"/>
      <c r="D534" s="479">
        <v>46408</v>
      </c>
      <c r="E534" s="479">
        <v>32032</v>
      </c>
      <c r="F534" s="479">
        <v>7201</v>
      </c>
      <c r="G534" s="479">
        <v>11729</v>
      </c>
      <c r="H534" s="475"/>
      <c r="I534" s="434">
        <f t="shared" si="48"/>
        <v>440954</v>
      </c>
      <c r="J534" s="434"/>
      <c r="K534" s="434">
        <v>74042</v>
      </c>
      <c r="L534" s="434">
        <v>145741</v>
      </c>
      <c r="M534" s="434">
        <v>187325</v>
      </c>
      <c r="N534" s="434">
        <v>33846</v>
      </c>
      <c r="O534" s="434"/>
      <c r="P534" s="434">
        <f t="shared" si="49"/>
        <v>13940</v>
      </c>
      <c r="Q534" s="434"/>
      <c r="R534" s="434">
        <v>891</v>
      </c>
      <c r="S534" s="434">
        <v>13049</v>
      </c>
      <c r="U534" s="472"/>
      <c r="V534" s="472"/>
      <c r="W534" s="472"/>
      <c r="X534" s="472"/>
      <c r="Y534" s="472"/>
    </row>
    <row r="535" spans="1:25" s="428" customFormat="1" ht="9.1999999999999993" customHeight="1" x14ac:dyDescent="0.25">
      <c r="A535" s="431" t="s">
        <v>38</v>
      </c>
      <c r="B535" s="427">
        <f t="shared" si="47"/>
        <v>33580</v>
      </c>
      <c r="C535" s="427"/>
      <c r="D535" s="477">
        <v>11489</v>
      </c>
      <c r="E535" s="477">
        <v>8191</v>
      </c>
      <c r="F535" s="477">
        <v>4089</v>
      </c>
      <c r="G535" s="477">
        <v>9811</v>
      </c>
      <c r="I535" s="427">
        <f t="shared" si="48"/>
        <v>173002</v>
      </c>
      <c r="J535" s="427"/>
      <c r="K535" s="427">
        <v>29632</v>
      </c>
      <c r="L535" s="427">
        <v>31797</v>
      </c>
      <c r="M535" s="427">
        <v>96568</v>
      </c>
      <c r="N535" s="427">
        <v>15005</v>
      </c>
      <c r="O535" s="427"/>
      <c r="P535" s="427">
        <f t="shared" si="49"/>
        <v>7018</v>
      </c>
      <c r="Q535" s="427"/>
      <c r="R535" s="427">
        <v>630</v>
      </c>
      <c r="S535" s="427">
        <v>6388</v>
      </c>
      <c r="U535" s="472"/>
      <c r="V535" s="472"/>
      <c r="W535" s="472"/>
      <c r="X535" s="472"/>
      <c r="Y535" s="472"/>
    </row>
    <row r="536" spans="1:25" s="428" customFormat="1" ht="9.1999999999999993" customHeight="1" x14ac:dyDescent="0.25">
      <c r="A536" s="431" t="s">
        <v>39</v>
      </c>
      <c r="B536" s="427">
        <f t="shared" si="47"/>
        <v>25218</v>
      </c>
      <c r="C536" s="427"/>
      <c r="D536" s="477">
        <v>14724</v>
      </c>
      <c r="E536" s="477">
        <v>5894</v>
      </c>
      <c r="F536" s="477">
        <v>2691</v>
      </c>
      <c r="G536" s="477">
        <v>1909</v>
      </c>
      <c r="I536" s="427">
        <f t="shared" si="48"/>
        <v>120340</v>
      </c>
      <c r="J536" s="427"/>
      <c r="K536" s="427">
        <v>31794</v>
      </c>
      <c r="L536" s="427">
        <v>27654</v>
      </c>
      <c r="M536" s="427">
        <v>56058</v>
      </c>
      <c r="N536" s="427">
        <v>4834</v>
      </c>
      <c r="O536" s="427"/>
      <c r="P536" s="427">
        <f t="shared" si="49"/>
        <v>4328</v>
      </c>
      <c r="Q536" s="427"/>
      <c r="R536" s="427">
        <v>251</v>
      </c>
      <c r="S536" s="427">
        <v>4077</v>
      </c>
      <c r="U536" s="472"/>
      <c r="V536" s="472"/>
      <c r="W536" s="472"/>
      <c r="X536" s="472"/>
      <c r="Y536" s="472"/>
    </row>
    <row r="537" spans="1:25" s="428" customFormat="1" ht="9.1999999999999993" customHeight="1" x14ac:dyDescent="0.25">
      <c r="A537" s="431" t="s">
        <v>40</v>
      </c>
      <c r="B537" s="427">
        <f t="shared" si="47"/>
        <v>74611</v>
      </c>
      <c r="C537" s="427"/>
      <c r="D537" s="477">
        <v>25440</v>
      </c>
      <c r="E537" s="477">
        <v>33952</v>
      </c>
      <c r="F537" s="477">
        <v>11020</v>
      </c>
      <c r="G537" s="477">
        <v>4199</v>
      </c>
      <c r="I537" s="427">
        <f t="shared" si="48"/>
        <v>488430</v>
      </c>
      <c r="J537" s="427"/>
      <c r="K537" s="427">
        <v>59968</v>
      </c>
      <c r="L537" s="427">
        <v>173898</v>
      </c>
      <c r="M537" s="427">
        <v>238962</v>
      </c>
      <c r="N537" s="427">
        <v>15602</v>
      </c>
      <c r="O537" s="427"/>
      <c r="P537" s="427">
        <f t="shared" si="49"/>
        <v>16916</v>
      </c>
      <c r="Q537" s="427"/>
      <c r="R537" s="427">
        <v>2105</v>
      </c>
      <c r="S537" s="427">
        <v>14811</v>
      </c>
      <c r="U537" s="472"/>
      <c r="V537" s="472"/>
      <c r="W537" s="472"/>
      <c r="X537" s="472"/>
      <c r="Y537" s="472"/>
    </row>
    <row r="538" spans="1:25" s="428" customFormat="1" ht="9.1999999999999993" customHeight="1" x14ac:dyDescent="0.25">
      <c r="A538" s="433" t="s">
        <v>41</v>
      </c>
      <c r="B538" s="434">
        <f t="shared" si="47"/>
        <v>71298</v>
      </c>
      <c r="C538" s="434"/>
      <c r="D538" s="479">
        <v>34335</v>
      </c>
      <c r="E538" s="479">
        <v>20975</v>
      </c>
      <c r="F538" s="479">
        <v>8215</v>
      </c>
      <c r="G538" s="479">
        <v>7773</v>
      </c>
      <c r="H538" s="475"/>
      <c r="I538" s="434">
        <f t="shared" si="48"/>
        <v>341726</v>
      </c>
      <c r="J538" s="434"/>
      <c r="K538" s="434">
        <v>46758</v>
      </c>
      <c r="L538" s="434">
        <v>106341</v>
      </c>
      <c r="M538" s="434">
        <v>165038</v>
      </c>
      <c r="N538" s="434">
        <v>23589</v>
      </c>
      <c r="O538" s="434"/>
      <c r="P538" s="434">
        <f t="shared" si="49"/>
        <v>12795</v>
      </c>
      <c r="Q538" s="434"/>
      <c r="R538" s="434">
        <v>351</v>
      </c>
      <c r="S538" s="434">
        <v>12444</v>
      </c>
      <c r="U538" s="472"/>
      <c r="V538" s="472"/>
      <c r="W538" s="472"/>
      <c r="X538" s="472"/>
      <c r="Y538" s="472"/>
    </row>
    <row r="539" spans="1:25" s="428" customFormat="1" ht="9.1999999999999993" customHeight="1" x14ac:dyDescent="0.25">
      <c r="A539" s="431" t="s">
        <v>42</v>
      </c>
      <c r="B539" s="427">
        <f t="shared" si="47"/>
        <v>97421</v>
      </c>
      <c r="C539" s="427"/>
      <c r="D539" s="477">
        <v>40206</v>
      </c>
      <c r="E539" s="477">
        <v>34677</v>
      </c>
      <c r="F539" s="477">
        <v>11210</v>
      </c>
      <c r="G539" s="477">
        <v>11328</v>
      </c>
      <c r="I539" s="427">
        <f t="shared" si="48"/>
        <v>575408</v>
      </c>
      <c r="J539" s="427"/>
      <c r="K539" s="427">
        <v>76987</v>
      </c>
      <c r="L539" s="427">
        <v>194533</v>
      </c>
      <c r="M539" s="427">
        <v>263128</v>
      </c>
      <c r="N539" s="427">
        <v>40760</v>
      </c>
      <c r="O539" s="427"/>
      <c r="P539" s="427">
        <f t="shared" si="49"/>
        <v>21259</v>
      </c>
      <c r="Q539" s="427"/>
      <c r="R539" s="427">
        <v>1446</v>
      </c>
      <c r="S539" s="427">
        <v>19813</v>
      </c>
      <c r="U539" s="472"/>
      <c r="V539" s="472"/>
      <c r="W539" s="472"/>
      <c r="X539" s="472"/>
      <c r="Y539" s="472"/>
    </row>
    <row r="540" spans="1:25" s="428" customFormat="1" ht="9.1999999999999993" customHeight="1" x14ac:dyDescent="0.25">
      <c r="A540" s="431" t="s">
        <v>43</v>
      </c>
      <c r="B540" s="427">
        <f t="shared" si="47"/>
        <v>37077</v>
      </c>
      <c r="C540" s="427"/>
      <c r="D540" s="477">
        <v>16332</v>
      </c>
      <c r="E540" s="477">
        <v>12062</v>
      </c>
      <c r="F540" s="477">
        <v>4621</v>
      </c>
      <c r="G540" s="477">
        <v>4062</v>
      </c>
      <c r="I540" s="427">
        <f t="shared" si="48"/>
        <v>169487</v>
      </c>
      <c r="J540" s="427"/>
      <c r="K540" s="427">
        <v>24869</v>
      </c>
      <c r="L540" s="427">
        <v>64028</v>
      </c>
      <c r="M540" s="427">
        <v>74201</v>
      </c>
      <c r="N540" s="427">
        <v>6389</v>
      </c>
      <c r="O540" s="427"/>
      <c r="P540" s="427">
        <f t="shared" si="49"/>
        <v>8104</v>
      </c>
      <c r="Q540" s="427"/>
      <c r="R540" s="427">
        <v>1150</v>
      </c>
      <c r="S540" s="427">
        <v>6954</v>
      </c>
      <c r="U540" s="472"/>
      <c r="V540" s="472"/>
      <c r="W540" s="472"/>
      <c r="X540" s="472"/>
      <c r="Y540" s="472"/>
    </row>
    <row r="541" spans="1:25" s="428" customFormat="1" ht="9.1999999999999993" customHeight="1" x14ac:dyDescent="0.25">
      <c r="A541" s="431" t="s">
        <v>44</v>
      </c>
      <c r="B541" s="427">
        <f t="shared" si="47"/>
        <v>30493</v>
      </c>
      <c r="C541" s="427"/>
      <c r="D541" s="477">
        <v>13802</v>
      </c>
      <c r="E541" s="477">
        <v>8024</v>
      </c>
      <c r="F541" s="477">
        <v>5872</v>
      </c>
      <c r="G541" s="477">
        <v>2795</v>
      </c>
      <c r="I541" s="427">
        <f t="shared" si="48"/>
        <v>146968</v>
      </c>
      <c r="J541" s="427"/>
      <c r="K541" s="427">
        <v>25123</v>
      </c>
      <c r="L541" s="427">
        <v>31543</v>
      </c>
      <c r="M541" s="427">
        <v>86223</v>
      </c>
      <c r="N541" s="427">
        <v>4079</v>
      </c>
      <c r="O541" s="427"/>
      <c r="P541" s="427">
        <f t="shared" si="49"/>
        <v>7163</v>
      </c>
      <c r="Q541" s="427"/>
      <c r="R541" s="427">
        <v>668</v>
      </c>
      <c r="S541" s="427">
        <v>6495</v>
      </c>
      <c r="U541" s="472"/>
      <c r="V541" s="472"/>
      <c r="W541" s="472"/>
      <c r="X541" s="472"/>
      <c r="Y541" s="472"/>
    </row>
    <row r="542" spans="1:25" s="428" customFormat="1" ht="9.1999999999999993" customHeight="1" x14ac:dyDescent="0.25">
      <c r="A542" s="433" t="s">
        <v>45</v>
      </c>
      <c r="B542" s="434">
        <f t="shared" si="47"/>
        <v>66397</v>
      </c>
      <c r="C542" s="434"/>
      <c r="D542" s="479">
        <v>31453</v>
      </c>
      <c r="E542" s="479">
        <v>25465</v>
      </c>
      <c r="F542" s="479">
        <v>5264</v>
      </c>
      <c r="G542" s="479">
        <v>4215</v>
      </c>
      <c r="H542" s="475"/>
      <c r="I542" s="434">
        <f t="shared" si="48"/>
        <v>292180</v>
      </c>
      <c r="J542" s="434"/>
      <c r="K542" s="434">
        <v>54058</v>
      </c>
      <c r="L542" s="434">
        <v>111892</v>
      </c>
      <c r="M542" s="434">
        <v>111565</v>
      </c>
      <c r="N542" s="434">
        <v>14665</v>
      </c>
      <c r="O542" s="434"/>
      <c r="P542" s="434">
        <f t="shared" si="49"/>
        <v>9110</v>
      </c>
      <c r="Q542" s="434"/>
      <c r="R542" s="434">
        <v>723</v>
      </c>
      <c r="S542" s="434">
        <v>8387</v>
      </c>
      <c r="U542" s="472"/>
      <c r="V542" s="472"/>
      <c r="W542" s="472"/>
      <c r="X542" s="472"/>
      <c r="Y542" s="472"/>
    </row>
    <row r="543" spans="1:25" s="428" customFormat="1" ht="9.1999999999999993" customHeight="1" x14ac:dyDescent="0.25">
      <c r="A543" s="431" t="s">
        <v>46</v>
      </c>
      <c r="B543" s="427">
        <f t="shared" si="47"/>
        <v>65595</v>
      </c>
      <c r="C543" s="427"/>
      <c r="D543" s="477">
        <v>29103</v>
      </c>
      <c r="E543" s="477">
        <v>21315</v>
      </c>
      <c r="F543" s="477">
        <v>7860</v>
      </c>
      <c r="G543" s="477">
        <v>7317</v>
      </c>
      <c r="I543" s="427">
        <f t="shared" si="48"/>
        <v>327521</v>
      </c>
      <c r="J543" s="427"/>
      <c r="K543" s="427">
        <v>51541</v>
      </c>
      <c r="L543" s="427">
        <v>84041</v>
      </c>
      <c r="M543" s="427">
        <v>179636</v>
      </c>
      <c r="N543" s="427">
        <v>12303</v>
      </c>
      <c r="O543" s="427"/>
      <c r="P543" s="427">
        <f t="shared" si="49"/>
        <v>10852</v>
      </c>
      <c r="Q543" s="427"/>
      <c r="R543" s="427">
        <v>720</v>
      </c>
      <c r="S543" s="427">
        <v>10132</v>
      </c>
      <c r="U543" s="472"/>
      <c r="V543" s="472"/>
      <c r="W543" s="472"/>
      <c r="X543" s="472"/>
      <c r="Y543" s="472"/>
    </row>
    <row r="544" spans="1:25" s="428" customFormat="1" ht="9.1999999999999993" customHeight="1" x14ac:dyDescent="0.25">
      <c r="A544" s="431" t="s">
        <v>47</v>
      </c>
      <c r="B544" s="427">
        <f t="shared" si="47"/>
        <v>59997</v>
      </c>
      <c r="C544" s="427"/>
      <c r="D544" s="477">
        <v>20824</v>
      </c>
      <c r="E544" s="477">
        <v>20856</v>
      </c>
      <c r="F544" s="477">
        <v>8551</v>
      </c>
      <c r="G544" s="477">
        <v>9766</v>
      </c>
      <c r="I544" s="427">
        <f t="shared" si="48"/>
        <v>296465</v>
      </c>
      <c r="J544" s="427"/>
      <c r="K544" s="427">
        <v>54726</v>
      </c>
      <c r="L544" s="427">
        <v>88980</v>
      </c>
      <c r="M544" s="427">
        <v>139140</v>
      </c>
      <c r="N544" s="427">
        <v>13619</v>
      </c>
      <c r="O544" s="427"/>
      <c r="P544" s="427">
        <f t="shared" si="49"/>
        <v>9998</v>
      </c>
      <c r="Q544" s="427"/>
      <c r="R544" s="427">
        <v>918</v>
      </c>
      <c r="S544" s="427">
        <v>9080</v>
      </c>
      <c r="U544" s="472"/>
      <c r="V544" s="472"/>
      <c r="W544" s="472"/>
      <c r="X544" s="472"/>
      <c r="Y544" s="472"/>
    </row>
    <row r="545" spans="1:25" s="428" customFormat="1" ht="9.1999999999999993" customHeight="1" x14ac:dyDescent="0.25">
      <c r="A545" s="431" t="s">
        <v>48</v>
      </c>
      <c r="B545" s="427">
        <f t="shared" si="47"/>
        <v>33992</v>
      </c>
      <c r="C545" s="427"/>
      <c r="D545" s="477">
        <v>21425</v>
      </c>
      <c r="E545" s="477">
        <v>4685</v>
      </c>
      <c r="F545" s="477">
        <v>3609</v>
      </c>
      <c r="G545" s="477">
        <v>4273</v>
      </c>
      <c r="I545" s="427">
        <f t="shared" si="48"/>
        <v>249164</v>
      </c>
      <c r="J545" s="427"/>
      <c r="K545" s="427">
        <v>74069</v>
      </c>
      <c r="L545" s="427">
        <v>25265</v>
      </c>
      <c r="M545" s="427">
        <v>136977</v>
      </c>
      <c r="N545" s="427">
        <v>12853</v>
      </c>
      <c r="O545" s="427"/>
      <c r="P545" s="427">
        <f t="shared" si="49"/>
        <v>9774</v>
      </c>
      <c r="Q545" s="427"/>
      <c r="R545" s="427">
        <v>464</v>
      </c>
      <c r="S545" s="427">
        <v>9310</v>
      </c>
      <c r="U545" s="472"/>
      <c r="V545" s="472"/>
      <c r="W545" s="472"/>
      <c r="X545" s="472"/>
      <c r="Y545" s="472"/>
    </row>
    <row r="546" spans="1:25" s="428" customFormat="1" ht="9.1999999999999993" customHeight="1" x14ac:dyDescent="0.25">
      <c r="A546" s="433" t="s">
        <v>49</v>
      </c>
      <c r="B546" s="434">
        <f t="shared" si="47"/>
        <v>75294</v>
      </c>
      <c r="C546" s="434"/>
      <c r="D546" s="479">
        <v>37662</v>
      </c>
      <c r="E546" s="479">
        <v>18192</v>
      </c>
      <c r="F546" s="479">
        <v>9304</v>
      </c>
      <c r="G546" s="479">
        <v>10136</v>
      </c>
      <c r="H546" s="475"/>
      <c r="I546" s="434">
        <f t="shared" si="48"/>
        <v>295627</v>
      </c>
      <c r="J546" s="434"/>
      <c r="K546" s="434">
        <v>54388</v>
      </c>
      <c r="L546" s="434">
        <v>75394</v>
      </c>
      <c r="M546" s="434">
        <v>150513</v>
      </c>
      <c r="N546" s="434">
        <v>15332</v>
      </c>
      <c r="O546" s="434"/>
      <c r="P546" s="434">
        <f t="shared" si="49"/>
        <v>14165</v>
      </c>
      <c r="Q546" s="434"/>
      <c r="R546" s="434">
        <v>1220</v>
      </c>
      <c r="S546" s="434">
        <v>12945</v>
      </c>
      <c r="U546" s="472"/>
      <c r="V546" s="472"/>
      <c r="W546" s="472"/>
      <c r="X546" s="472"/>
      <c r="Y546" s="472"/>
    </row>
    <row r="547" spans="1:25" s="428" customFormat="1" ht="9.1999999999999993" customHeight="1" x14ac:dyDescent="0.25">
      <c r="A547" s="431" t="s">
        <v>50</v>
      </c>
      <c r="B547" s="427">
        <f t="shared" si="47"/>
        <v>13074</v>
      </c>
      <c r="C547" s="427"/>
      <c r="D547" s="477">
        <v>3305</v>
      </c>
      <c r="E547" s="477">
        <v>4948</v>
      </c>
      <c r="F547" s="477">
        <v>2698</v>
      </c>
      <c r="G547" s="477">
        <v>2123</v>
      </c>
      <c r="I547" s="427">
        <f t="shared" si="48"/>
        <v>104080</v>
      </c>
      <c r="J547" s="427"/>
      <c r="K547" s="427">
        <v>14761</v>
      </c>
      <c r="L547" s="427">
        <v>28634</v>
      </c>
      <c r="M547" s="427">
        <v>51698</v>
      </c>
      <c r="N547" s="427">
        <v>8987</v>
      </c>
      <c r="O547" s="427"/>
      <c r="P547" s="427">
        <f t="shared" si="49"/>
        <v>5028</v>
      </c>
      <c r="Q547" s="427"/>
      <c r="R547" s="427">
        <v>206</v>
      </c>
      <c r="S547" s="427">
        <v>4822</v>
      </c>
      <c r="U547" s="472"/>
      <c r="V547" s="472"/>
      <c r="W547" s="472"/>
      <c r="X547" s="472"/>
      <c r="Y547" s="472"/>
    </row>
    <row r="548" spans="1:25" s="428" customFormat="1" ht="9.1999999999999993" customHeight="1" x14ac:dyDescent="0.25">
      <c r="A548" s="428" t="s">
        <v>51</v>
      </c>
      <c r="B548" s="427">
        <f t="shared" si="47"/>
        <v>153195</v>
      </c>
      <c r="C548" s="427"/>
      <c r="D548" s="477">
        <v>68154</v>
      </c>
      <c r="E548" s="477">
        <v>53832</v>
      </c>
      <c r="F548" s="477">
        <v>17192</v>
      </c>
      <c r="G548" s="477">
        <v>14017</v>
      </c>
      <c r="I548" s="427">
        <f t="shared" si="48"/>
        <v>865813</v>
      </c>
      <c r="J548" s="427"/>
      <c r="K548" s="427">
        <v>121748</v>
      </c>
      <c r="L548" s="427">
        <v>224662</v>
      </c>
      <c r="M548" s="427">
        <v>472134</v>
      </c>
      <c r="N548" s="427">
        <v>47269</v>
      </c>
      <c r="O548" s="427"/>
      <c r="P548" s="427">
        <f t="shared" si="49"/>
        <v>28050</v>
      </c>
      <c r="Q548" s="427"/>
      <c r="R548" s="427">
        <v>1631</v>
      </c>
      <c r="S548" s="427">
        <v>26419</v>
      </c>
      <c r="U548" s="472"/>
      <c r="V548" s="472"/>
      <c r="W548" s="472"/>
      <c r="X548" s="472"/>
      <c r="Y548" s="472"/>
    </row>
    <row r="549" spans="1:25" s="428" customFormat="1" ht="9.1999999999999993" customHeight="1" x14ac:dyDescent="0.25">
      <c r="A549" s="428" t="s">
        <v>52</v>
      </c>
      <c r="B549" s="427">
        <f t="shared" si="47"/>
        <v>36564</v>
      </c>
      <c r="C549" s="427"/>
      <c r="D549" s="477">
        <v>19270</v>
      </c>
      <c r="E549" s="477">
        <v>9221</v>
      </c>
      <c r="F549" s="477">
        <v>6113</v>
      </c>
      <c r="G549" s="477">
        <v>1960</v>
      </c>
      <c r="I549" s="427">
        <f>SUM(K549:O549)-1</f>
        <v>205003</v>
      </c>
      <c r="J549" s="427"/>
      <c r="K549" s="427">
        <v>32274</v>
      </c>
      <c r="L549" s="427">
        <v>50858</v>
      </c>
      <c r="M549" s="427">
        <v>112956</v>
      </c>
      <c r="N549" s="427">
        <v>8916</v>
      </c>
      <c r="O549" s="427"/>
      <c r="P549" s="427">
        <f t="shared" si="49"/>
        <v>7973</v>
      </c>
      <c r="Q549" s="427"/>
      <c r="R549" s="427">
        <v>584</v>
      </c>
      <c r="S549" s="427">
        <v>7389</v>
      </c>
      <c r="U549" s="472"/>
      <c r="V549" s="472"/>
      <c r="W549" s="472"/>
      <c r="X549" s="472"/>
      <c r="Y549" s="472"/>
    </row>
    <row r="550" spans="1:25" s="428" customFormat="1" ht="9.1999999999999993" customHeight="1" x14ac:dyDescent="0.25">
      <c r="A550" s="433" t="s">
        <v>53</v>
      </c>
      <c r="B550" s="434">
        <f t="shared" si="47"/>
        <v>42604</v>
      </c>
      <c r="C550" s="434"/>
      <c r="D550" s="479">
        <v>18093</v>
      </c>
      <c r="E550" s="479">
        <v>16254</v>
      </c>
      <c r="F550" s="479">
        <v>3341</v>
      </c>
      <c r="G550" s="479">
        <v>4916</v>
      </c>
      <c r="H550" s="475"/>
      <c r="I550" s="434">
        <f>SUM(K550:O550)</f>
        <v>181629</v>
      </c>
      <c r="J550" s="434"/>
      <c r="K550" s="434">
        <v>30504</v>
      </c>
      <c r="L550" s="434">
        <v>66699</v>
      </c>
      <c r="M550" s="434">
        <v>71688</v>
      </c>
      <c r="N550" s="434">
        <v>12738</v>
      </c>
      <c r="O550" s="434"/>
      <c r="P550" s="434">
        <f t="shared" si="49"/>
        <v>5138</v>
      </c>
      <c r="Q550" s="434"/>
      <c r="R550" s="434">
        <v>359</v>
      </c>
      <c r="S550" s="434">
        <v>4779</v>
      </c>
      <c r="U550" s="472"/>
      <c r="V550" s="472"/>
      <c r="W550" s="472"/>
      <c r="X550" s="472"/>
      <c r="Y550" s="472"/>
    </row>
    <row r="551" spans="1:25" s="428" customFormat="1" ht="9" customHeight="1" x14ac:dyDescent="0.25">
      <c r="B551" s="427"/>
      <c r="C551" s="427"/>
      <c r="D551" s="477"/>
      <c r="E551" s="477"/>
      <c r="F551" s="477"/>
      <c r="G551" s="477"/>
      <c r="I551" s="427"/>
      <c r="J551" s="427"/>
      <c r="K551" s="427"/>
      <c r="L551" s="427"/>
      <c r="M551" s="427"/>
      <c r="N551" s="427"/>
      <c r="O551" s="427"/>
      <c r="P551" s="427"/>
      <c r="Q551" s="427"/>
      <c r="R551" s="427"/>
      <c r="S551" s="427"/>
      <c r="U551" s="472"/>
      <c r="V551" s="472"/>
      <c r="W551" s="472"/>
      <c r="X551" s="472"/>
      <c r="Y551" s="472"/>
    </row>
    <row r="552" spans="1:25" s="428" customFormat="1" ht="9" customHeight="1" x14ac:dyDescent="0.25">
      <c r="A552" s="441">
        <v>2010</v>
      </c>
      <c r="B552" s="476"/>
      <c r="C552" s="476"/>
      <c r="D552" s="476"/>
      <c r="E552" s="476"/>
      <c r="F552" s="476"/>
      <c r="G552" s="476"/>
      <c r="H552" s="476"/>
      <c r="I552" s="476"/>
      <c r="J552" s="430"/>
      <c r="K552" s="476"/>
      <c r="L552" s="476"/>
      <c r="M552" s="476"/>
      <c r="N552" s="476"/>
      <c r="O552" s="482"/>
      <c r="P552" s="476"/>
      <c r="Q552" s="430"/>
      <c r="R552" s="476"/>
      <c r="S552" s="476"/>
      <c r="U552" s="472"/>
      <c r="V552" s="472"/>
      <c r="W552" s="472"/>
      <c r="X552" s="472"/>
      <c r="Y552" s="472"/>
    </row>
    <row r="553" spans="1:25" s="428" customFormat="1" ht="9" customHeight="1" x14ac:dyDescent="0.25">
      <c r="A553" s="429" t="s">
        <v>343</v>
      </c>
      <c r="B553" s="476">
        <v>2457057</v>
      </c>
      <c r="C553" s="476"/>
      <c r="D553" s="476">
        <f>SUM(D555:D586)+5279</f>
        <v>944467</v>
      </c>
      <c r="E553" s="476">
        <f>SUM(E555:E586)+1771</f>
        <v>657231</v>
      </c>
      <c r="F553" s="476">
        <v>429595</v>
      </c>
      <c r="G553" s="476">
        <f>SUM(G555:G586)+13909</f>
        <v>425764</v>
      </c>
      <c r="H553" s="476"/>
      <c r="I553" s="476">
        <f>SUM(I555:I586)+38160</f>
        <v>11278288</v>
      </c>
      <c r="J553" s="430"/>
      <c r="K553" s="476">
        <f>SUM(K555:K586)+12327</f>
        <v>1983322</v>
      </c>
      <c r="L553" s="476">
        <f>SUM(L555:L586)+1374</f>
        <v>3003998</v>
      </c>
      <c r="M553" s="476">
        <f>SUM(M555:M586)</f>
        <v>5576031</v>
      </c>
      <c r="N553" s="476">
        <f>SUM(N555:N586)+24459</f>
        <v>714937</v>
      </c>
      <c r="O553" s="482"/>
      <c r="P553" s="476">
        <f>SUM(P555:P586)+3866</f>
        <v>424218</v>
      </c>
      <c r="Q553" s="430"/>
      <c r="R553" s="476">
        <f>SUM(R555:R586)+2348</f>
        <v>39708</v>
      </c>
      <c r="S553" s="476">
        <f>SUM(S555:S586)+1518</f>
        <v>384510</v>
      </c>
      <c r="T553" s="477"/>
      <c r="U553" s="472"/>
      <c r="V553" s="472"/>
      <c r="W553" s="472"/>
      <c r="X553" s="472"/>
      <c r="Y553" s="472"/>
    </row>
    <row r="554" spans="1:25" s="428" customFormat="1" ht="3.95" customHeight="1" x14ac:dyDescent="0.25">
      <c r="A554" s="429"/>
      <c r="B554" s="476"/>
      <c r="C554" s="476"/>
      <c r="D554" s="476"/>
      <c r="E554" s="476"/>
      <c r="F554" s="476"/>
      <c r="G554" s="476"/>
      <c r="H554" s="476"/>
      <c r="I554" s="430"/>
      <c r="J554" s="430"/>
      <c r="K554" s="430"/>
      <c r="L554" s="430"/>
      <c r="M554" s="430"/>
      <c r="N554" s="430"/>
      <c r="O554" s="430"/>
      <c r="P554" s="430"/>
      <c r="Q554" s="430"/>
      <c r="R554" s="430"/>
      <c r="S554" s="430"/>
      <c r="U554" s="472"/>
      <c r="V554" s="472"/>
      <c r="W554" s="472"/>
      <c r="X554" s="472"/>
      <c r="Y554" s="472"/>
    </row>
    <row r="555" spans="1:25" s="428" customFormat="1" ht="9.1999999999999993" customHeight="1" x14ac:dyDescent="0.25">
      <c r="A555" s="431" t="s">
        <v>23</v>
      </c>
      <c r="B555" s="427">
        <f t="shared" ref="B555:B586" si="50">SUM(D555:G555)</f>
        <v>27294</v>
      </c>
      <c r="C555" s="427"/>
      <c r="D555" s="477">
        <v>12485</v>
      </c>
      <c r="E555" s="477">
        <v>7029</v>
      </c>
      <c r="F555" s="477">
        <v>3426</v>
      </c>
      <c r="G555" s="477">
        <v>4354</v>
      </c>
      <c r="I555" s="427">
        <f t="shared" ref="I555:I585" si="51">SUM(K555:O555)</f>
        <v>121775</v>
      </c>
      <c r="J555" s="427"/>
      <c r="K555" s="427">
        <v>25430</v>
      </c>
      <c r="L555" s="427">
        <v>32828</v>
      </c>
      <c r="M555" s="427">
        <v>54642</v>
      </c>
      <c r="N555" s="427">
        <v>8875</v>
      </c>
      <c r="O555" s="427"/>
      <c r="P555" s="427">
        <f t="shared" ref="P555:P586" si="52">SUM(R555:S555)</f>
        <v>5139</v>
      </c>
      <c r="Q555" s="427"/>
      <c r="R555" s="427">
        <v>566</v>
      </c>
      <c r="S555" s="427">
        <v>4573</v>
      </c>
      <c r="U555" s="472"/>
      <c r="V555" s="472"/>
      <c r="W555" s="472"/>
      <c r="X555" s="472"/>
      <c r="Y555" s="472"/>
    </row>
    <row r="556" spans="1:25" s="428" customFormat="1" ht="9.1999999999999993" customHeight="1" x14ac:dyDescent="0.25">
      <c r="A556" s="431" t="s">
        <v>24</v>
      </c>
      <c r="B556" s="427">
        <f t="shared" si="50"/>
        <v>69549</v>
      </c>
      <c r="C556" s="427"/>
      <c r="D556" s="477">
        <v>36466</v>
      </c>
      <c r="E556" s="477">
        <v>14731</v>
      </c>
      <c r="F556" s="477">
        <v>10719</v>
      </c>
      <c r="G556" s="477">
        <v>7633</v>
      </c>
      <c r="I556" s="427">
        <f t="shared" si="51"/>
        <v>333413</v>
      </c>
      <c r="J556" s="427"/>
      <c r="K556" s="427">
        <v>81682</v>
      </c>
      <c r="L556" s="427">
        <v>81314</v>
      </c>
      <c r="M556" s="427">
        <v>166553</v>
      </c>
      <c r="N556" s="427">
        <v>3864</v>
      </c>
      <c r="O556" s="427"/>
      <c r="P556" s="427">
        <f t="shared" si="52"/>
        <v>12327</v>
      </c>
      <c r="Q556" s="427"/>
      <c r="R556" s="427">
        <v>1297</v>
      </c>
      <c r="S556" s="427">
        <v>11030</v>
      </c>
      <c r="U556" s="472"/>
      <c r="V556" s="472"/>
      <c r="W556" s="472"/>
      <c r="X556" s="472"/>
      <c r="Y556" s="472"/>
    </row>
    <row r="557" spans="1:25" s="428" customFormat="1" ht="9.1999999999999993" customHeight="1" x14ac:dyDescent="0.25">
      <c r="A557" s="431" t="s">
        <v>25</v>
      </c>
      <c r="B557" s="427">
        <f t="shared" si="50"/>
        <v>12340</v>
      </c>
      <c r="C557" s="427"/>
      <c r="D557" s="477">
        <v>4460</v>
      </c>
      <c r="E557" s="477">
        <v>4138</v>
      </c>
      <c r="F557" s="477">
        <v>1997</v>
      </c>
      <c r="G557" s="477">
        <v>1745</v>
      </c>
      <c r="I557" s="427">
        <f t="shared" si="51"/>
        <v>74264</v>
      </c>
      <c r="J557" s="427"/>
      <c r="K557" s="427">
        <v>9598</v>
      </c>
      <c r="L557" s="427">
        <v>15338</v>
      </c>
      <c r="M557" s="427">
        <v>45973</v>
      </c>
      <c r="N557" s="427">
        <v>3355</v>
      </c>
      <c r="O557" s="427"/>
      <c r="P557" s="427">
        <f t="shared" si="52"/>
        <v>3085</v>
      </c>
      <c r="Q557" s="427"/>
      <c r="R557" s="427">
        <v>243</v>
      </c>
      <c r="S557" s="427">
        <v>2842</v>
      </c>
      <c r="U557" s="472"/>
      <c r="V557" s="472"/>
      <c r="W557" s="472"/>
      <c r="X557" s="472"/>
      <c r="Y557" s="472"/>
    </row>
    <row r="558" spans="1:25" s="428" customFormat="1" ht="9.1999999999999993" customHeight="1" x14ac:dyDescent="0.25">
      <c r="A558" s="433" t="s">
        <v>26</v>
      </c>
      <c r="B558" s="434">
        <f t="shared" si="50"/>
        <v>19107</v>
      </c>
      <c r="C558" s="434"/>
      <c r="D558" s="479">
        <v>9344</v>
      </c>
      <c r="E558" s="479">
        <v>4103</v>
      </c>
      <c r="F558" s="479">
        <v>4015</v>
      </c>
      <c r="G558" s="479">
        <v>1645</v>
      </c>
      <c r="H558" s="475"/>
      <c r="I558" s="434">
        <f t="shared" si="51"/>
        <v>98986</v>
      </c>
      <c r="J558" s="434"/>
      <c r="K558" s="434">
        <v>20132</v>
      </c>
      <c r="L558" s="434">
        <v>18613</v>
      </c>
      <c r="M558" s="434">
        <v>56647</v>
      </c>
      <c r="N558" s="434">
        <v>3594</v>
      </c>
      <c r="O558" s="434"/>
      <c r="P558" s="434">
        <f t="shared" si="52"/>
        <v>3814</v>
      </c>
      <c r="Q558" s="434"/>
      <c r="R558" s="434">
        <v>288</v>
      </c>
      <c r="S558" s="434">
        <v>3526</v>
      </c>
      <c r="U558" s="472">
        <v>5279</v>
      </c>
      <c r="V558" s="472">
        <v>12327</v>
      </c>
      <c r="W558" s="472"/>
      <c r="X558" s="472"/>
      <c r="Y558" s="472"/>
    </row>
    <row r="559" spans="1:25" s="428" customFormat="1" ht="9.1999999999999993" customHeight="1" x14ac:dyDescent="0.25">
      <c r="A559" s="431" t="s">
        <v>27</v>
      </c>
      <c r="B559" s="427">
        <f t="shared" si="50"/>
        <v>72987</v>
      </c>
      <c r="C559" s="427"/>
      <c r="D559" s="477">
        <v>27790</v>
      </c>
      <c r="E559" s="477">
        <v>23808</v>
      </c>
      <c r="F559" s="477">
        <v>11065</v>
      </c>
      <c r="G559" s="477">
        <v>10324</v>
      </c>
      <c r="I559" s="427">
        <f t="shared" si="51"/>
        <v>338762</v>
      </c>
      <c r="J559" s="427"/>
      <c r="K559" s="427">
        <v>46072</v>
      </c>
      <c r="L559" s="427">
        <v>104218</v>
      </c>
      <c r="M559" s="427">
        <v>178674</v>
      </c>
      <c r="N559" s="427">
        <v>9798</v>
      </c>
      <c r="O559" s="427"/>
      <c r="P559" s="427">
        <f t="shared" si="52"/>
        <v>11010</v>
      </c>
      <c r="Q559" s="427"/>
      <c r="R559" s="427">
        <v>1346</v>
      </c>
      <c r="S559" s="427">
        <v>9664</v>
      </c>
      <c r="U559" s="472">
        <v>1771</v>
      </c>
      <c r="V559" s="472">
        <v>1374</v>
      </c>
      <c r="W559" s="472"/>
      <c r="X559" s="472"/>
      <c r="Y559" s="472"/>
    </row>
    <row r="560" spans="1:25" s="428" customFormat="1" ht="9.1999999999999993" customHeight="1" x14ac:dyDescent="0.25">
      <c r="A560" s="431" t="s">
        <v>28</v>
      </c>
      <c r="B560" s="427">
        <f t="shared" si="50"/>
        <v>15998</v>
      </c>
      <c r="C560" s="427"/>
      <c r="D560" s="477">
        <v>6496</v>
      </c>
      <c r="E560" s="477">
        <v>4930</v>
      </c>
      <c r="F560" s="477">
        <v>2308</v>
      </c>
      <c r="G560" s="477">
        <v>2264</v>
      </c>
      <c r="I560" s="427">
        <f t="shared" si="51"/>
        <v>79030</v>
      </c>
      <c r="J560" s="427"/>
      <c r="K560" s="427">
        <v>10401</v>
      </c>
      <c r="L560" s="427">
        <v>13707</v>
      </c>
      <c r="M560" s="427">
        <v>52762</v>
      </c>
      <c r="N560" s="427">
        <v>2160</v>
      </c>
      <c r="O560" s="427"/>
      <c r="P560" s="427">
        <f t="shared" si="52"/>
        <v>3364</v>
      </c>
      <c r="Q560" s="427"/>
      <c r="R560" s="427">
        <v>213</v>
      </c>
      <c r="S560" s="427">
        <v>3151</v>
      </c>
      <c r="U560" s="472">
        <v>2140</v>
      </c>
      <c r="V560" s="472">
        <v>24459</v>
      </c>
      <c r="W560" s="472"/>
      <c r="X560" s="472"/>
      <c r="Y560" s="472"/>
    </row>
    <row r="561" spans="1:25" s="428" customFormat="1" ht="9.1999999999999993" customHeight="1" x14ac:dyDescent="0.25">
      <c r="A561" s="431" t="s">
        <v>29</v>
      </c>
      <c r="B561" s="427">
        <f t="shared" si="50"/>
        <v>133099</v>
      </c>
      <c r="C561" s="427"/>
      <c r="D561" s="477">
        <v>61350</v>
      </c>
      <c r="E561" s="477">
        <v>25193</v>
      </c>
      <c r="F561" s="477">
        <v>40063</v>
      </c>
      <c r="G561" s="477">
        <v>6493</v>
      </c>
      <c r="I561" s="427">
        <f t="shared" si="51"/>
        <v>453721</v>
      </c>
      <c r="J561" s="427"/>
      <c r="K561" s="427">
        <v>108386</v>
      </c>
      <c r="L561" s="427">
        <v>115523</v>
      </c>
      <c r="M561" s="427">
        <v>218555</v>
      </c>
      <c r="N561" s="427">
        <v>11257</v>
      </c>
      <c r="O561" s="427"/>
      <c r="P561" s="427">
        <f t="shared" si="52"/>
        <v>15925</v>
      </c>
      <c r="Q561" s="427"/>
      <c r="R561" s="427">
        <v>333</v>
      </c>
      <c r="S561" s="427">
        <v>15592</v>
      </c>
      <c r="U561" s="472">
        <v>13909</v>
      </c>
      <c r="V561" s="472"/>
      <c r="W561" s="472"/>
      <c r="X561" s="472"/>
      <c r="Y561" s="472"/>
    </row>
    <row r="562" spans="1:25" s="428" customFormat="1" ht="9.1999999999999993" customHeight="1" x14ac:dyDescent="0.25">
      <c r="A562" s="433" t="s">
        <v>30</v>
      </c>
      <c r="B562" s="434">
        <f t="shared" si="50"/>
        <v>79889</v>
      </c>
      <c r="C562" s="434"/>
      <c r="D562" s="479">
        <v>40289</v>
      </c>
      <c r="E562" s="479">
        <v>19402</v>
      </c>
      <c r="F562" s="479">
        <v>14829</v>
      </c>
      <c r="G562" s="479">
        <v>5369</v>
      </c>
      <c r="H562" s="475"/>
      <c r="I562" s="434">
        <f t="shared" si="51"/>
        <v>364487</v>
      </c>
      <c r="J562" s="434"/>
      <c r="K562" s="434">
        <v>59409</v>
      </c>
      <c r="L562" s="434">
        <v>101423</v>
      </c>
      <c r="M562" s="434">
        <v>194733</v>
      </c>
      <c r="N562" s="434">
        <v>8922</v>
      </c>
      <c r="O562" s="434"/>
      <c r="P562" s="434">
        <f t="shared" si="52"/>
        <v>14094</v>
      </c>
      <c r="Q562" s="434"/>
      <c r="R562" s="434">
        <v>2392</v>
      </c>
      <c r="S562" s="434">
        <v>11702</v>
      </c>
      <c r="U562" s="472">
        <f>SUM(U558:U561)</f>
        <v>23099</v>
      </c>
      <c r="V562" s="472">
        <f>SUM(V558:V561)</f>
        <v>38160</v>
      </c>
      <c r="W562" s="472"/>
      <c r="X562" s="472"/>
      <c r="Y562" s="472"/>
    </row>
    <row r="563" spans="1:25" s="428" customFormat="1" ht="9.1999999999999993" customHeight="1" x14ac:dyDescent="0.25">
      <c r="A563" s="431" t="s">
        <v>63</v>
      </c>
      <c r="B563" s="427">
        <f t="shared" si="50"/>
        <v>176746</v>
      </c>
      <c r="C563" s="427"/>
      <c r="D563" s="477">
        <v>40123</v>
      </c>
      <c r="E563" s="477">
        <v>55461</v>
      </c>
      <c r="F563" s="477">
        <v>23101</v>
      </c>
      <c r="G563" s="477">
        <v>58061</v>
      </c>
      <c r="I563" s="427">
        <f t="shared" si="51"/>
        <v>954292</v>
      </c>
      <c r="J563" s="427"/>
      <c r="K563" s="427">
        <v>81097</v>
      </c>
      <c r="L563" s="427">
        <v>214476</v>
      </c>
      <c r="M563" s="427">
        <v>566232</v>
      </c>
      <c r="N563" s="427">
        <v>92487</v>
      </c>
      <c r="O563" s="427"/>
      <c r="P563" s="427">
        <f t="shared" si="52"/>
        <v>33745</v>
      </c>
      <c r="Q563" s="427"/>
      <c r="R563" s="427">
        <v>4112</v>
      </c>
      <c r="S563" s="427">
        <v>29633</v>
      </c>
      <c r="U563" s="472"/>
      <c r="V563" s="472"/>
      <c r="W563" s="472"/>
      <c r="X563" s="472"/>
      <c r="Y563" s="472"/>
    </row>
    <row r="564" spans="1:25" s="428" customFormat="1" ht="9.1999999999999993" customHeight="1" x14ac:dyDescent="0.25">
      <c r="A564" s="431" t="s">
        <v>31</v>
      </c>
      <c r="B564" s="427">
        <f t="shared" si="50"/>
        <v>53239</v>
      </c>
      <c r="C564" s="427"/>
      <c r="D564" s="477">
        <v>27584</v>
      </c>
      <c r="E564" s="477">
        <v>13611</v>
      </c>
      <c r="F564" s="477">
        <v>10055</v>
      </c>
      <c r="G564" s="477">
        <v>1989</v>
      </c>
      <c r="I564" s="427">
        <f t="shared" si="51"/>
        <v>172011</v>
      </c>
      <c r="J564" s="427"/>
      <c r="K564" s="427">
        <v>36719</v>
      </c>
      <c r="L564" s="427">
        <v>56553</v>
      </c>
      <c r="M564" s="427">
        <v>74959</v>
      </c>
      <c r="N564" s="427">
        <v>3780</v>
      </c>
      <c r="O564" s="427"/>
      <c r="P564" s="427">
        <f t="shared" si="52"/>
        <v>6314</v>
      </c>
      <c r="Q564" s="427"/>
      <c r="R564" s="427">
        <v>800</v>
      </c>
      <c r="S564" s="427">
        <v>5514</v>
      </c>
      <c r="U564" s="472"/>
      <c r="V564" s="472"/>
      <c r="W564" s="472"/>
      <c r="X564" s="472"/>
      <c r="Y564" s="472"/>
    </row>
    <row r="565" spans="1:25" s="428" customFormat="1" ht="9.1999999999999993" customHeight="1" x14ac:dyDescent="0.25">
      <c r="A565" s="431" t="s">
        <v>32</v>
      </c>
      <c r="B565" s="427">
        <f t="shared" si="50"/>
        <v>133093</v>
      </c>
      <c r="C565" s="427"/>
      <c r="D565" s="477">
        <v>47151</v>
      </c>
      <c r="E565" s="477">
        <v>32721</v>
      </c>
      <c r="F565" s="477">
        <v>16126</v>
      </c>
      <c r="G565" s="477">
        <v>37095</v>
      </c>
      <c r="I565" s="427">
        <f t="shared" si="51"/>
        <v>536780</v>
      </c>
      <c r="J565" s="427"/>
      <c r="K565" s="427">
        <v>113533</v>
      </c>
      <c r="L565" s="427">
        <v>144274</v>
      </c>
      <c r="M565" s="427">
        <v>219960</v>
      </c>
      <c r="N565" s="427">
        <v>59013</v>
      </c>
      <c r="O565" s="427"/>
      <c r="P565" s="427">
        <f t="shared" si="52"/>
        <v>19522</v>
      </c>
      <c r="Q565" s="427"/>
      <c r="R565" s="427">
        <v>1673</v>
      </c>
      <c r="S565" s="427">
        <v>17849</v>
      </c>
      <c r="U565" s="472"/>
      <c r="V565" s="472"/>
      <c r="W565" s="472"/>
      <c r="X565" s="472"/>
      <c r="Y565" s="472"/>
    </row>
    <row r="566" spans="1:25" s="428" customFormat="1" ht="9.1999999999999993" customHeight="1" x14ac:dyDescent="0.25">
      <c r="A566" s="433" t="s">
        <v>33</v>
      </c>
      <c r="B566" s="434">
        <f t="shared" si="50"/>
        <v>85344</v>
      </c>
      <c r="C566" s="434"/>
      <c r="D566" s="479">
        <v>37567</v>
      </c>
      <c r="E566" s="479">
        <v>11857</v>
      </c>
      <c r="F566" s="479">
        <v>5645</v>
      </c>
      <c r="G566" s="479">
        <v>30275</v>
      </c>
      <c r="H566" s="475"/>
      <c r="I566" s="434">
        <f t="shared" si="51"/>
        <v>352304</v>
      </c>
      <c r="J566" s="434"/>
      <c r="K566" s="434">
        <v>110482</v>
      </c>
      <c r="L566" s="434">
        <v>50514</v>
      </c>
      <c r="M566" s="434">
        <v>161729</v>
      </c>
      <c r="N566" s="434">
        <v>29579</v>
      </c>
      <c r="O566" s="434"/>
      <c r="P566" s="434">
        <f t="shared" si="52"/>
        <v>10569</v>
      </c>
      <c r="Q566" s="434"/>
      <c r="R566" s="434">
        <v>329</v>
      </c>
      <c r="S566" s="434">
        <v>10240</v>
      </c>
      <c r="U566" s="472"/>
      <c r="V566" s="472"/>
      <c r="W566" s="472"/>
      <c r="X566" s="472"/>
      <c r="Y566" s="472"/>
    </row>
    <row r="567" spans="1:25" s="428" customFormat="1" ht="9.1999999999999993" customHeight="1" x14ac:dyDescent="0.25">
      <c r="A567" s="431" t="s">
        <v>34</v>
      </c>
      <c r="B567" s="427">
        <f t="shared" si="50"/>
        <v>79124</v>
      </c>
      <c r="C567" s="427"/>
      <c r="D567" s="477">
        <v>22597</v>
      </c>
      <c r="E567" s="477">
        <v>22907</v>
      </c>
      <c r="F567" s="477">
        <v>14676</v>
      </c>
      <c r="G567" s="477">
        <v>18944</v>
      </c>
      <c r="I567" s="427">
        <f t="shared" si="51"/>
        <v>345878</v>
      </c>
      <c r="J567" s="427"/>
      <c r="K567" s="427">
        <v>49010</v>
      </c>
      <c r="L567" s="427">
        <v>95353</v>
      </c>
      <c r="M567" s="427">
        <v>176942</v>
      </c>
      <c r="N567" s="427">
        <v>24573</v>
      </c>
      <c r="O567" s="427"/>
      <c r="P567" s="427">
        <f t="shared" si="52"/>
        <v>13070</v>
      </c>
      <c r="Q567" s="427"/>
      <c r="R567" s="427">
        <v>592</v>
      </c>
      <c r="S567" s="427">
        <v>12478</v>
      </c>
      <c r="U567" s="472"/>
      <c r="V567" s="472"/>
      <c r="W567" s="472"/>
      <c r="X567" s="472"/>
      <c r="Y567" s="472"/>
    </row>
    <row r="568" spans="1:25" s="428" customFormat="1" ht="9.1999999999999993" customHeight="1" x14ac:dyDescent="0.25">
      <c r="A568" s="431" t="s">
        <v>35</v>
      </c>
      <c r="B568" s="427">
        <f t="shared" si="50"/>
        <v>111089</v>
      </c>
      <c r="C568" s="427"/>
      <c r="D568" s="477">
        <v>46527</v>
      </c>
      <c r="E568" s="477">
        <v>27135</v>
      </c>
      <c r="F568" s="477">
        <v>21714</v>
      </c>
      <c r="G568" s="477">
        <v>15713</v>
      </c>
      <c r="I568" s="427">
        <f t="shared" si="51"/>
        <v>529092</v>
      </c>
      <c r="J568" s="427"/>
      <c r="K568" s="427">
        <v>80663</v>
      </c>
      <c r="L568" s="427">
        <v>107520</v>
      </c>
      <c r="M568" s="427">
        <v>309451</v>
      </c>
      <c r="N568" s="427">
        <v>31458</v>
      </c>
      <c r="O568" s="427"/>
      <c r="P568" s="427">
        <f t="shared" si="52"/>
        <v>31850</v>
      </c>
      <c r="Q568" s="427"/>
      <c r="R568" s="427">
        <v>3771</v>
      </c>
      <c r="S568" s="427">
        <v>28079</v>
      </c>
      <c r="U568" s="826" t="s">
        <v>344</v>
      </c>
      <c r="V568" s="827"/>
      <c r="W568" s="827"/>
      <c r="X568" s="472"/>
      <c r="Y568" s="472"/>
    </row>
    <row r="569" spans="1:25" s="428" customFormat="1" ht="9.1999999999999993" customHeight="1" x14ac:dyDescent="0.25">
      <c r="A569" s="431" t="s">
        <v>36</v>
      </c>
      <c r="B569" s="427">
        <f t="shared" si="50"/>
        <v>219423</v>
      </c>
      <c r="C569" s="427"/>
      <c r="D569" s="477">
        <v>71653</v>
      </c>
      <c r="E569" s="477">
        <v>65392</v>
      </c>
      <c r="F569" s="477">
        <v>27646</v>
      </c>
      <c r="G569" s="477">
        <v>54732</v>
      </c>
      <c r="I569" s="427">
        <f t="shared" si="51"/>
        <v>1228083</v>
      </c>
      <c r="J569" s="427"/>
      <c r="K569" s="427">
        <v>210758</v>
      </c>
      <c r="L569" s="427">
        <v>334881</v>
      </c>
      <c r="M569" s="427">
        <v>510635</v>
      </c>
      <c r="N569" s="427">
        <v>171809</v>
      </c>
      <c r="O569" s="427"/>
      <c r="P569" s="427">
        <f t="shared" si="52"/>
        <v>43006</v>
      </c>
      <c r="Q569" s="427"/>
      <c r="R569" s="427">
        <v>4417</v>
      </c>
      <c r="S569" s="427">
        <v>38589</v>
      </c>
      <c r="U569" s="827"/>
      <c r="V569" s="827"/>
      <c r="W569" s="827"/>
      <c r="X569" s="472"/>
      <c r="Y569" s="472"/>
    </row>
    <row r="570" spans="1:25" s="428" customFormat="1" ht="9.1999999999999993" customHeight="1" x14ac:dyDescent="0.25">
      <c r="A570" s="433" t="s">
        <v>37</v>
      </c>
      <c r="B570" s="434">
        <f t="shared" si="50"/>
        <v>114824</v>
      </c>
      <c r="C570" s="434"/>
      <c r="D570" s="479">
        <v>45824</v>
      </c>
      <c r="E570" s="479">
        <v>30573</v>
      </c>
      <c r="F570" s="479">
        <v>25164</v>
      </c>
      <c r="G570" s="479">
        <v>13263</v>
      </c>
      <c r="H570" s="475"/>
      <c r="I570" s="434">
        <f t="shared" si="51"/>
        <v>428222</v>
      </c>
      <c r="J570" s="434"/>
      <c r="K570" s="434">
        <v>76963</v>
      </c>
      <c r="L570" s="434">
        <v>143992</v>
      </c>
      <c r="M570" s="434">
        <v>188398</v>
      </c>
      <c r="N570" s="434">
        <v>18869</v>
      </c>
      <c r="O570" s="434"/>
      <c r="P570" s="434">
        <f t="shared" si="52"/>
        <v>16199</v>
      </c>
      <c r="Q570" s="434"/>
      <c r="R570" s="434">
        <v>1156</v>
      </c>
      <c r="S570" s="434">
        <v>15043</v>
      </c>
      <c r="U570" s="827"/>
      <c r="V570" s="827"/>
      <c r="W570" s="827"/>
      <c r="X570" s="472"/>
      <c r="Y570" s="472"/>
    </row>
    <row r="571" spans="1:25" s="428" customFormat="1" ht="9.1999999999999993" customHeight="1" x14ac:dyDescent="0.25">
      <c r="A571" s="431" t="s">
        <v>38</v>
      </c>
      <c r="B571" s="427">
        <f t="shared" si="50"/>
        <v>33730</v>
      </c>
      <c r="C571" s="427"/>
      <c r="D571" s="477">
        <v>12560</v>
      </c>
      <c r="E571" s="477">
        <v>8572</v>
      </c>
      <c r="F571" s="477">
        <v>4239</v>
      </c>
      <c r="G571" s="477">
        <v>8359</v>
      </c>
      <c r="I571" s="427">
        <f t="shared" si="51"/>
        <v>177348</v>
      </c>
      <c r="J571" s="427"/>
      <c r="K571" s="427">
        <v>31792</v>
      </c>
      <c r="L571" s="427">
        <v>32285</v>
      </c>
      <c r="M571" s="427">
        <v>97441</v>
      </c>
      <c r="N571" s="427">
        <v>15830</v>
      </c>
      <c r="O571" s="427"/>
      <c r="P571" s="427">
        <f t="shared" si="52"/>
        <v>6900</v>
      </c>
      <c r="Q571" s="427"/>
      <c r="R571" s="427">
        <v>390</v>
      </c>
      <c r="S571" s="427">
        <v>6510</v>
      </c>
      <c r="U571" s="827"/>
      <c r="V571" s="827"/>
      <c r="W571" s="827"/>
      <c r="X571" s="472"/>
      <c r="Y571" s="472"/>
    </row>
    <row r="572" spans="1:25" s="428" customFormat="1" ht="9.1999999999999993" customHeight="1" x14ac:dyDescent="0.25">
      <c r="A572" s="431" t="s">
        <v>39</v>
      </c>
      <c r="B572" s="427">
        <f t="shared" si="50"/>
        <v>27394</v>
      </c>
      <c r="C572" s="427"/>
      <c r="D572" s="477">
        <v>15302</v>
      </c>
      <c r="E572" s="477">
        <v>6391</v>
      </c>
      <c r="F572" s="477">
        <v>4315</v>
      </c>
      <c r="G572" s="477">
        <v>1386</v>
      </c>
      <c r="I572" s="427">
        <f t="shared" si="51"/>
        <v>121793</v>
      </c>
      <c r="J572" s="427"/>
      <c r="K572" s="427">
        <v>33890</v>
      </c>
      <c r="L572" s="427">
        <v>27758</v>
      </c>
      <c r="M572" s="427">
        <v>56611</v>
      </c>
      <c r="N572" s="427">
        <v>3534</v>
      </c>
      <c r="O572" s="427"/>
      <c r="P572" s="427">
        <f t="shared" si="52"/>
        <v>4261</v>
      </c>
      <c r="Q572" s="427"/>
      <c r="R572" s="427">
        <v>295</v>
      </c>
      <c r="S572" s="427">
        <v>3966</v>
      </c>
      <c r="U572" s="472"/>
      <c r="V572" s="472"/>
      <c r="W572" s="472"/>
      <c r="X572" s="472"/>
      <c r="Y572" s="472"/>
    </row>
    <row r="573" spans="1:25" s="428" customFormat="1" ht="9.1999999999999993" customHeight="1" x14ac:dyDescent="0.25">
      <c r="A573" s="431" t="s">
        <v>40</v>
      </c>
      <c r="B573" s="427">
        <f t="shared" si="50"/>
        <v>68404</v>
      </c>
      <c r="C573" s="427"/>
      <c r="D573" s="477">
        <v>22996</v>
      </c>
      <c r="E573" s="477">
        <v>30450</v>
      </c>
      <c r="F573" s="477">
        <v>11399</v>
      </c>
      <c r="G573" s="477">
        <v>3559</v>
      </c>
      <c r="I573" s="427">
        <f t="shared" si="51"/>
        <v>473865</v>
      </c>
      <c r="J573" s="427"/>
      <c r="K573" s="427">
        <v>55499</v>
      </c>
      <c r="L573" s="427">
        <v>165095</v>
      </c>
      <c r="M573" s="427">
        <v>236144</v>
      </c>
      <c r="N573" s="427">
        <v>17127</v>
      </c>
      <c r="O573" s="427"/>
      <c r="P573" s="427">
        <f t="shared" si="52"/>
        <v>15326</v>
      </c>
      <c r="Q573" s="427"/>
      <c r="R573" s="427">
        <v>2486</v>
      </c>
      <c r="S573" s="427">
        <v>12840</v>
      </c>
      <c r="U573" s="472"/>
      <c r="V573" s="472"/>
      <c r="W573" s="472"/>
      <c r="X573" s="472"/>
      <c r="Y573" s="472"/>
    </row>
    <row r="574" spans="1:25" s="428" customFormat="1" ht="9.1999999999999993" customHeight="1" x14ac:dyDescent="0.25">
      <c r="A574" s="433" t="s">
        <v>41</v>
      </c>
      <c r="B574" s="434">
        <f t="shared" si="50"/>
        <v>71336</v>
      </c>
      <c r="C574" s="434"/>
      <c r="D574" s="479">
        <v>36128</v>
      </c>
      <c r="E574" s="479">
        <v>20592</v>
      </c>
      <c r="F574" s="479">
        <v>8220</v>
      </c>
      <c r="G574" s="479">
        <v>6396</v>
      </c>
      <c r="H574" s="475"/>
      <c r="I574" s="434">
        <f t="shared" si="51"/>
        <v>343983</v>
      </c>
      <c r="J574" s="434"/>
      <c r="K574" s="434">
        <v>62458</v>
      </c>
      <c r="L574" s="434">
        <v>103214</v>
      </c>
      <c r="M574" s="434">
        <v>166337</v>
      </c>
      <c r="N574" s="434">
        <v>11974</v>
      </c>
      <c r="O574" s="434"/>
      <c r="P574" s="434">
        <f t="shared" si="52"/>
        <v>13713</v>
      </c>
      <c r="Q574" s="434"/>
      <c r="R574" s="434">
        <v>342</v>
      </c>
      <c r="S574" s="434">
        <v>13371</v>
      </c>
      <c r="U574" s="472"/>
      <c r="V574" s="472"/>
      <c r="W574" s="472"/>
      <c r="X574" s="472"/>
      <c r="Y574" s="472"/>
    </row>
    <row r="575" spans="1:25" s="428" customFormat="1" ht="9.1999999999999993" customHeight="1" x14ac:dyDescent="0.25">
      <c r="A575" s="431" t="s">
        <v>42</v>
      </c>
      <c r="B575" s="427">
        <f t="shared" si="50"/>
        <v>130583</v>
      </c>
      <c r="C575" s="427"/>
      <c r="D575" s="477">
        <v>37649</v>
      </c>
      <c r="E575" s="477">
        <v>35470</v>
      </c>
      <c r="F575" s="477">
        <v>26335</v>
      </c>
      <c r="G575" s="477">
        <v>31129</v>
      </c>
      <c r="I575" s="427">
        <f t="shared" si="51"/>
        <v>589417</v>
      </c>
      <c r="J575" s="427"/>
      <c r="K575" s="427">
        <v>91851</v>
      </c>
      <c r="L575" s="427">
        <v>197231</v>
      </c>
      <c r="M575" s="427">
        <v>269413</v>
      </c>
      <c r="N575" s="427">
        <v>30922</v>
      </c>
      <c r="O575" s="427"/>
      <c r="P575" s="427">
        <f t="shared" si="52"/>
        <v>20551</v>
      </c>
      <c r="Q575" s="427"/>
      <c r="R575" s="427">
        <v>1697</v>
      </c>
      <c r="S575" s="427">
        <v>18854</v>
      </c>
      <c r="U575" s="472"/>
      <c r="V575" s="472"/>
      <c r="W575" s="472"/>
      <c r="X575" s="472"/>
      <c r="Y575" s="472"/>
    </row>
    <row r="576" spans="1:25" s="428" customFormat="1" ht="9.1999999999999993" customHeight="1" x14ac:dyDescent="0.25">
      <c r="A576" s="431" t="s">
        <v>43</v>
      </c>
      <c r="B576" s="427">
        <f t="shared" si="50"/>
        <v>47426</v>
      </c>
      <c r="C576" s="427"/>
      <c r="D576" s="477">
        <v>18106</v>
      </c>
      <c r="E576" s="477">
        <v>11212</v>
      </c>
      <c r="F576" s="477">
        <v>6340</v>
      </c>
      <c r="G576" s="477">
        <v>11768</v>
      </c>
      <c r="I576" s="427">
        <f t="shared" si="51"/>
        <v>179550</v>
      </c>
      <c r="J576" s="427"/>
      <c r="K576" s="427">
        <v>28560</v>
      </c>
      <c r="L576" s="427">
        <v>65506</v>
      </c>
      <c r="M576" s="427">
        <v>77727</v>
      </c>
      <c r="N576" s="427">
        <v>7757</v>
      </c>
      <c r="O576" s="427"/>
      <c r="P576" s="427">
        <f t="shared" si="52"/>
        <v>7615</v>
      </c>
      <c r="Q576" s="427"/>
      <c r="R576" s="427">
        <v>1091</v>
      </c>
      <c r="S576" s="427">
        <v>6524</v>
      </c>
      <c r="U576" s="472"/>
      <c r="V576" s="472"/>
      <c r="W576" s="472"/>
      <c r="X576" s="472"/>
      <c r="Y576" s="472"/>
    </row>
    <row r="577" spans="1:25" s="428" customFormat="1" ht="9.1999999999999993" customHeight="1" x14ac:dyDescent="0.25">
      <c r="A577" s="431" t="s">
        <v>44</v>
      </c>
      <c r="B577" s="427">
        <f t="shared" si="50"/>
        <v>30464</v>
      </c>
      <c r="C577" s="427"/>
      <c r="D577" s="477">
        <v>11509</v>
      </c>
      <c r="E577" s="477">
        <v>10752</v>
      </c>
      <c r="F577" s="477">
        <v>5293</v>
      </c>
      <c r="G577" s="477">
        <v>2910</v>
      </c>
      <c r="I577" s="427">
        <f t="shared" si="51"/>
        <v>138579</v>
      </c>
      <c r="J577" s="427"/>
      <c r="K577" s="427">
        <v>24248</v>
      </c>
      <c r="L577" s="427">
        <v>34004</v>
      </c>
      <c r="M577" s="427">
        <v>75793</v>
      </c>
      <c r="N577" s="427">
        <v>4534</v>
      </c>
      <c r="O577" s="427"/>
      <c r="P577" s="427">
        <f t="shared" si="52"/>
        <v>6753</v>
      </c>
      <c r="Q577" s="427"/>
      <c r="R577" s="427">
        <v>546</v>
      </c>
      <c r="S577" s="427">
        <v>6207</v>
      </c>
      <c r="U577" s="472"/>
      <c r="V577" s="472"/>
      <c r="W577" s="472"/>
      <c r="X577" s="472"/>
      <c r="Y577" s="472"/>
    </row>
    <row r="578" spans="1:25" s="428" customFormat="1" ht="9.1999999999999993" customHeight="1" x14ac:dyDescent="0.25">
      <c r="A578" s="433" t="s">
        <v>45</v>
      </c>
      <c r="B578" s="434">
        <f t="shared" si="50"/>
        <v>78272</v>
      </c>
      <c r="C578" s="434"/>
      <c r="D578" s="479">
        <v>34173</v>
      </c>
      <c r="E578" s="479">
        <v>23535</v>
      </c>
      <c r="F578" s="479">
        <v>13834</v>
      </c>
      <c r="G578" s="479">
        <v>6730</v>
      </c>
      <c r="H578" s="475"/>
      <c r="I578" s="434">
        <f t="shared" si="51"/>
        <v>301570</v>
      </c>
      <c r="J578" s="434"/>
      <c r="K578" s="434">
        <v>64560</v>
      </c>
      <c r="L578" s="434">
        <v>113603</v>
      </c>
      <c r="M578" s="434">
        <v>114662</v>
      </c>
      <c r="N578" s="434">
        <v>8745</v>
      </c>
      <c r="O578" s="434"/>
      <c r="P578" s="434">
        <f t="shared" si="52"/>
        <v>9362</v>
      </c>
      <c r="Q578" s="434"/>
      <c r="R578" s="434">
        <v>677</v>
      </c>
      <c r="S578" s="434">
        <v>8685</v>
      </c>
      <c r="U578" s="472"/>
      <c r="V578" s="472"/>
      <c r="W578" s="472"/>
      <c r="X578" s="472"/>
      <c r="Y578" s="472"/>
    </row>
    <row r="579" spans="1:25" s="428" customFormat="1" ht="9.1999999999999993" customHeight="1" x14ac:dyDescent="0.25">
      <c r="A579" s="431" t="s">
        <v>46</v>
      </c>
      <c r="B579" s="427">
        <f t="shared" si="50"/>
        <v>72490</v>
      </c>
      <c r="C579" s="427"/>
      <c r="D579" s="477">
        <v>30775</v>
      </c>
      <c r="E579" s="477">
        <v>19728</v>
      </c>
      <c r="F579" s="477">
        <v>11806</v>
      </c>
      <c r="G579" s="477">
        <v>10181</v>
      </c>
      <c r="I579" s="427">
        <f t="shared" si="51"/>
        <v>323352</v>
      </c>
      <c r="J579" s="427"/>
      <c r="K579" s="427">
        <v>52679</v>
      </c>
      <c r="L579" s="427">
        <v>82253</v>
      </c>
      <c r="M579" s="427">
        <v>178229</v>
      </c>
      <c r="N579" s="427">
        <v>10191</v>
      </c>
      <c r="O579" s="427"/>
      <c r="P579" s="427">
        <f t="shared" si="52"/>
        <v>10066</v>
      </c>
      <c r="Q579" s="427"/>
      <c r="R579" s="427">
        <v>666</v>
      </c>
      <c r="S579" s="427">
        <v>9400</v>
      </c>
      <c r="U579" s="472"/>
      <c r="V579" s="472"/>
      <c r="W579" s="472"/>
      <c r="X579" s="472"/>
      <c r="Y579" s="472"/>
    </row>
    <row r="580" spans="1:25" s="428" customFormat="1" ht="9.1999999999999993" customHeight="1" x14ac:dyDescent="0.25">
      <c r="A580" s="431" t="s">
        <v>47</v>
      </c>
      <c r="B580" s="427">
        <f t="shared" si="50"/>
        <v>51980</v>
      </c>
      <c r="C580" s="427"/>
      <c r="D580" s="477">
        <v>17219</v>
      </c>
      <c r="E580" s="477">
        <v>15522</v>
      </c>
      <c r="F580" s="477">
        <v>8997</v>
      </c>
      <c r="G580" s="477">
        <v>10242</v>
      </c>
      <c r="I580" s="427">
        <f t="shared" si="51"/>
        <v>288035</v>
      </c>
      <c r="J580" s="427"/>
      <c r="K580" s="427">
        <v>52398</v>
      </c>
      <c r="L580" s="427">
        <v>86304</v>
      </c>
      <c r="M580" s="427">
        <v>134055</v>
      </c>
      <c r="N580" s="427">
        <v>15278</v>
      </c>
      <c r="O580" s="427"/>
      <c r="P580" s="427">
        <f t="shared" si="52"/>
        <v>10649</v>
      </c>
      <c r="Q580" s="427"/>
      <c r="R580" s="427">
        <v>1042</v>
      </c>
      <c r="S580" s="427">
        <v>9607</v>
      </c>
      <c r="U580" s="472"/>
      <c r="V580" s="472"/>
      <c r="W580" s="472"/>
      <c r="X580" s="472"/>
      <c r="Y580" s="472"/>
    </row>
    <row r="581" spans="1:25" s="428" customFormat="1" ht="9.1999999999999993" customHeight="1" x14ac:dyDescent="0.25">
      <c r="A581" s="431" t="s">
        <v>48</v>
      </c>
      <c r="B581" s="427">
        <f t="shared" si="50"/>
        <v>35184</v>
      </c>
      <c r="C581" s="427"/>
      <c r="D581" s="477">
        <v>21640</v>
      </c>
      <c r="E581" s="477">
        <v>4845</v>
      </c>
      <c r="F581" s="477">
        <v>4241</v>
      </c>
      <c r="G581" s="477">
        <v>4458</v>
      </c>
      <c r="I581" s="427">
        <f t="shared" si="51"/>
        <v>232720</v>
      </c>
      <c r="J581" s="427"/>
      <c r="K581" s="427">
        <v>67670</v>
      </c>
      <c r="L581" s="427">
        <v>24734</v>
      </c>
      <c r="M581" s="427">
        <v>130400</v>
      </c>
      <c r="N581" s="427">
        <v>9916</v>
      </c>
      <c r="O581" s="427"/>
      <c r="P581" s="427">
        <f t="shared" si="52"/>
        <v>11634</v>
      </c>
      <c r="Q581" s="427"/>
      <c r="R581" s="427">
        <v>298</v>
      </c>
      <c r="S581" s="427">
        <v>11336</v>
      </c>
      <c r="U581" s="472"/>
      <c r="V581" s="472"/>
      <c r="W581" s="472"/>
      <c r="X581" s="472"/>
      <c r="Y581" s="472"/>
    </row>
    <row r="582" spans="1:25" s="428" customFormat="1" ht="9.1999999999999993" customHeight="1" x14ac:dyDescent="0.25">
      <c r="A582" s="433" t="s">
        <v>49</v>
      </c>
      <c r="B582" s="434">
        <f t="shared" si="50"/>
        <v>82052</v>
      </c>
      <c r="C582" s="434"/>
      <c r="D582" s="479">
        <v>31496</v>
      </c>
      <c r="E582" s="479">
        <v>20323</v>
      </c>
      <c r="F582" s="479">
        <v>14306</v>
      </c>
      <c r="G582" s="479">
        <v>15927</v>
      </c>
      <c r="H582" s="475"/>
      <c r="I582" s="434">
        <f t="shared" si="51"/>
        <v>300620</v>
      </c>
      <c r="J582" s="434"/>
      <c r="K582" s="434">
        <v>56751</v>
      </c>
      <c r="L582" s="434">
        <v>74818</v>
      </c>
      <c r="M582" s="434">
        <v>154819</v>
      </c>
      <c r="N582" s="434">
        <v>14232</v>
      </c>
      <c r="O582" s="434"/>
      <c r="P582" s="434">
        <f t="shared" si="52"/>
        <v>13575</v>
      </c>
      <c r="Q582" s="434"/>
      <c r="R582" s="434">
        <v>1203</v>
      </c>
      <c r="S582" s="434">
        <v>12372</v>
      </c>
      <c r="U582" s="472"/>
      <c r="V582" s="472"/>
      <c r="W582" s="472"/>
      <c r="X582" s="472"/>
      <c r="Y582" s="472"/>
    </row>
    <row r="583" spans="1:25" s="428" customFormat="1" ht="9.1999999999999993" customHeight="1" x14ac:dyDescent="0.25">
      <c r="A583" s="431" t="s">
        <v>50</v>
      </c>
      <c r="B583" s="427">
        <f t="shared" si="50"/>
        <v>16599</v>
      </c>
      <c r="C583" s="427"/>
      <c r="D583" s="477">
        <v>6449</v>
      </c>
      <c r="E583" s="477">
        <v>5144</v>
      </c>
      <c r="F583" s="477">
        <v>2713</v>
      </c>
      <c r="G583" s="477">
        <v>2293</v>
      </c>
      <c r="I583" s="427">
        <f t="shared" si="51"/>
        <v>107262</v>
      </c>
      <c r="J583" s="427"/>
      <c r="K583" s="427">
        <v>15034</v>
      </c>
      <c r="L583" s="427">
        <v>30275</v>
      </c>
      <c r="M583" s="427">
        <v>52669</v>
      </c>
      <c r="N583" s="427">
        <v>9284</v>
      </c>
      <c r="O583" s="427"/>
      <c r="P583" s="427">
        <f t="shared" si="52"/>
        <v>5777</v>
      </c>
      <c r="Q583" s="427"/>
      <c r="R583" s="427">
        <v>611</v>
      </c>
      <c r="S583" s="427">
        <v>5166</v>
      </c>
      <c r="U583" s="472"/>
      <c r="V583" s="472"/>
      <c r="W583" s="472"/>
      <c r="X583" s="472"/>
      <c r="Y583" s="472"/>
    </row>
    <row r="584" spans="1:25" s="428" customFormat="1" ht="9.1999999999999993" customHeight="1" x14ac:dyDescent="0.25">
      <c r="A584" s="428" t="s">
        <v>51</v>
      </c>
      <c r="B584" s="427">
        <f t="shared" si="50"/>
        <v>176556</v>
      </c>
      <c r="C584" s="427"/>
      <c r="D584" s="477">
        <v>67066</v>
      </c>
      <c r="E584" s="477">
        <v>55917</v>
      </c>
      <c r="F584" s="477">
        <v>37757</v>
      </c>
      <c r="G584" s="477">
        <v>15816</v>
      </c>
      <c r="I584" s="427">
        <f t="shared" si="51"/>
        <v>856073</v>
      </c>
      <c r="J584" s="427"/>
      <c r="K584" s="427">
        <v>137970</v>
      </c>
      <c r="L584" s="427">
        <v>220601</v>
      </c>
      <c r="M584" s="427">
        <v>463609</v>
      </c>
      <c r="N584" s="427">
        <v>33893</v>
      </c>
      <c r="O584" s="427"/>
      <c r="P584" s="427">
        <f t="shared" si="52"/>
        <v>28549</v>
      </c>
      <c r="Q584" s="427"/>
      <c r="R584" s="427">
        <v>1603</v>
      </c>
      <c r="S584" s="427">
        <v>26946</v>
      </c>
      <c r="U584" s="472"/>
      <c r="V584" s="472"/>
      <c r="W584" s="472"/>
      <c r="X584" s="472"/>
      <c r="Y584" s="472"/>
    </row>
    <row r="585" spans="1:25" s="428" customFormat="1" ht="9.1999999999999993" customHeight="1" x14ac:dyDescent="0.25">
      <c r="A585" s="428" t="s">
        <v>52</v>
      </c>
      <c r="B585" s="427">
        <f t="shared" si="50"/>
        <v>42234</v>
      </c>
      <c r="C585" s="427"/>
      <c r="D585" s="477">
        <v>19719</v>
      </c>
      <c r="E585" s="477">
        <v>8511</v>
      </c>
      <c r="F585" s="477">
        <v>11860</v>
      </c>
      <c r="G585" s="477">
        <v>2144</v>
      </c>
      <c r="I585" s="427">
        <f t="shared" si="51"/>
        <v>216707</v>
      </c>
      <c r="J585" s="427"/>
      <c r="K585" s="427">
        <v>41611</v>
      </c>
      <c r="L585" s="427">
        <v>50276</v>
      </c>
      <c r="M585" s="427">
        <v>119528</v>
      </c>
      <c r="N585" s="427">
        <v>5292</v>
      </c>
      <c r="O585" s="427"/>
      <c r="P585" s="427">
        <f t="shared" si="52"/>
        <v>7291</v>
      </c>
      <c r="Q585" s="427"/>
      <c r="R585" s="427">
        <v>472</v>
      </c>
      <c r="S585" s="427">
        <v>6819</v>
      </c>
      <c r="U585" s="472"/>
      <c r="V585" s="472"/>
      <c r="W585" s="472"/>
      <c r="X585" s="472"/>
      <c r="Y585" s="472"/>
    </row>
    <row r="586" spans="1:25" s="428" customFormat="1" ht="9.1999999999999993" customHeight="1" x14ac:dyDescent="0.25">
      <c r="A586" s="433" t="s">
        <v>53</v>
      </c>
      <c r="B586" s="434">
        <f t="shared" si="50"/>
        <v>51658</v>
      </c>
      <c r="C586" s="434"/>
      <c r="D586" s="479">
        <v>18695</v>
      </c>
      <c r="E586" s="479">
        <v>15505</v>
      </c>
      <c r="F586" s="479">
        <v>8800</v>
      </c>
      <c r="G586" s="479">
        <v>8658</v>
      </c>
      <c r="H586" s="475"/>
      <c r="I586" s="434">
        <f>SUM(K586:O586)</f>
        <v>178154</v>
      </c>
      <c r="J586" s="434"/>
      <c r="K586" s="434">
        <v>33689</v>
      </c>
      <c r="L586" s="434">
        <v>64140</v>
      </c>
      <c r="M586" s="434">
        <v>71749</v>
      </c>
      <c r="N586" s="434">
        <v>8576</v>
      </c>
      <c r="O586" s="434"/>
      <c r="P586" s="434">
        <f t="shared" si="52"/>
        <v>5297</v>
      </c>
      <c r="Q586" s="434"/>
      <c r="R586" s="434">
        <v>413</v>
      </c>
      <c r="S586" s="434">
        <v>4884</v>
      </c>
      <c r="U586" s="472"/>
      <c r="V586" s="472"/>
      <c r="W586" s="472"/>
      <c r="X586" s="472"/>
      <c r="Y586" s="472"/>
    </row>
    <row r="587" spans="1:25" s="428" customFormat="1" ht="9.1999999999999993" customHeight="1" x14ac:dyDescent="0.25">
      <c r="A587" s="429"/>
      <c r="B587" s="476"/>
      <c r="C587" s="476"/>
      <c r="D587" s="476"/>
      <c r="E587" s="476"/>
      <c r="F587" s="476"/>
      <c r="G587" s="476"/>
      <c r="H587" s="476"/>
      <c r="I587" s="430"/>
      <c r="J587" s="430"/>
      <c r="K587" s="430"/>
      <c r="L587" s="430"/>
      <c r="M587" s="430"/>
      <c r="N587" s="430"/>
      <c r="O587" s="430"/>
      <c r="P587" s="430"/>
      <c r="Q587" s="430"/>
      <c r="R587" s="430"/>
      <c r="S587" s="430"/>
      <c r="U587" s="472"/>
      <c r="V587" s="472"/>
      <c r="W587" s="472"/>
      <c r="X587" s="472"/>
      <c r="Y587" s="472"/>
    </row>
    <row r="588" spans="1:25" s="428" customFormat="1" ht="9.1999999999999993" customHeight="1" x14ac:dyDescent="0.25">
      <c r="A588" s="441">
        <v>2011</v>
      </c>
      <c r="B588" s="476"/>
      <c r="C588" s="476"/>
      <c r="D588" s="476"/>
      <c r="E588" s="476"/>
      <c r="F588" s="476"/>
      <c r="G588" s="476"/>
      <c r="H588" s="476"/>
      <c r="I588" s="476"/>
      <c r="J588" s="430"/>
      <c r="K588" s="476"/>
      <c r="L588" s="476"/>
      <c r="M588" s="476"/>
      <c r="N588" s="476"/>
      <c r="O588" s="482"/>
      <c r="P588" s="476"/>
      <c r="Q588" s="430"/>
      <c r="R588" s="476"/>
      <c r="S588" s="476"/>
      <c r="U588" s="472"/>
      <c r="V588" s="472"/>
      <c r="W588" s="472"/>
      <c r="X588" s="472"/>
      <c r="Y588" s="472"/>
    </row>
    <row r="589" spans="1:25" s="428" customFormat="1" ht="9.1999999999999993" customHeight="1" x14ac:dyDescent="0.25">
      <c r="A589" s="429" t="s">
        <v>216</v>
      </c>
      <c r="B589" s="476">
        <f>SUM(B591:B622)</f>
        <v>2363014</v>
      </c>
      <c r="C589" s="476"/>
      <c r="D589" s="476">
        <f>SUM(D591:D622)</f>
        <v>1002817</v>
      </c>
      <c r="E589" s="476">
        <f>SUM(E591:E622)</f>
        <v>661685</v>
      </c>
      <c r="F589" s="476">
        <f>SUM(F591:F622)</f>
        <v>286897</v>
      </c>
      <c r="G589" s="476">
        <f>SUM(G591:G622)</f>
        <v>411615</v>
      </c>
      <c r="H589" s="476"/>
      <c r="I589" s="476">
        <f>SUM(I591:I622)</f>
        <v>11540588</v>
      </c>
      <c r="J589" s="476"/>
      <c r="K589" s="476">
        <f>SUM(K591:K622)</f>
        <v>2032955</v>
      </c>
      <c r="L589" s="476">
        <f>SUM(L591:L622)</f>
        <v>3034969</v>
      </c>
      <c r="M589" s="476">
        <f>SUM(M591:M622)</f>
        <v>5737200</v>
      </c>
      <c r="N589" s="476">
        <f>SUM(N591:N622)</f>
        <v>735464</v>
      </c>
      <c r="O589" s="482"/>
      <c r="P589" s="476">
        <f>SUM(P591:P622)</f>
        <v>434546</v>
      </c>
      <c r="Q589" s="476"/>
      <c r="R589" s="476">
        <f>SUM(R591:R622)</f>
        <v>38618</v>
      </c>
      <c r="S589" s="476">
        <f>SUM(S591:S622)</f>
        <v>395928</v>
      </c>
      <c r="T589" s="477"/>
      <c r="U589" s="472"/>
      <c r="V589" s="472"/>
      <c r="W589" s="472"/>
      <c r="X589" s="472"/>
      <c r="Y589" s="472"/>
    </row>
    <row r="590" spans="1:25" s="428" customFormat="1" ht="3.95" customHeight="1" x14ac:dyDescent="0.25">
      <c r="A590" s="429"/>
      <c r="B590" s="476"/>
      <c r="C590" s="476"/>
      <c r="D590" s="476"/>
      <c r="E590" s="476"/>
      <c r="F590" s="476"/>
      <c r="G590" s="476"/>
      <c r="H590" s="476"/>
      <c r="I590" s="430"/>
      <c r="J590" s="430"/>
      <c r="K590" s="430"/>
      <c r="L590" s="430"/>
      <c r="M590" s="430"/>
      <c r="N590" s="430"/>
      <c r="O590" s="430"/>
      <c r="P590" s="430"/>
      <c r="Q590" s="430"/>
      <c r="R590" s="430"/>
      <c r="S590" s="430"/>
      <c r="U590" s="472"/>
      <c r="V590" s="472"/>
      <c r="W590" s="472"/>
      <c r="X590" s="472"/>
      <c r="Y590" s="472"/>
    </row>
    <row r="591" spans="1:25" s="428" customFormat="1" ht="9.1999999999999993" customHeight="1" x14ac:dyDescent="0.25">
      <c r="A591" s="431" t="s">
        <v>23</v>
      </c>
      <c r="B591" s="427">
        <f t="shared" ref="B591:B622" si="53">SUM(D591:G591)</f>
        <v>28552</v>
      </c>
      <c r="C591" s="427"/>
      <c r="D591" s="477">
        <v>13394</v>
      </c>
      <c r="E591" s="477">
        <v>7250</v>
      </c>
      <c r="F591" s="477">
        <v>3457</v>
      </c>
      <c r="G591" s="477">
        <v>4451</v>
      </c>
      <c r="I591" s="427">
        <f t="shared" ref="I591:I621" si="54">SUM(K591:O591)</f>
        <v>124218</v>
      </c>
      <c r="J591" s="427"/>
      <c r="K591" s="427">
        <v>26011</v>
      </c>
      <c r="L591" s="427">
        <v>33142</v>
      </c>
      <c r="M591" s="427">
        <v>55848</v>
      </c>
      <c r="N591" s="427">
        <v>9217</v>
      </c>
      <c r="O591" s="427"/>
      <c r="P591" s="427">
        <f t="shared" ref="P591:P622" si="55">SUM(R591:S591)</f>
        <v>5800</v>
      </c>
      <c r="Q591" s="427"/>
      <c r="R591" s="427">
        <v>846</v>
      </c>
      <c r="S591" s="427">
        <v>4954</v>
      </c>
      <c r="U591" s="472"/>
      <c r="V591" s="472"/>
      <c r="W591" s="472"/>
      <c r="X591" s="472"/>
      <c r="Y591" s="472"/>
    </row>
    <row r="592" spans="1:25" s="428" customFormat="1" ht="9.1999999999999993" customHeight="1" x14ac:dyDescent="0.25">
      <c r="A592" s="431" t="s">
        <v>24</v>
      </c>
      <c r="B592" s="427">
        <f t="shared" si="53"/>
        <v>68891</v>
      </c>
      <c r="C592" s="427"/>
      <c r="D592" s="477">
        <v>40201</v>
      </c>
      <c r="E592" s="477">
        <v>15245</v>
      </c>
      <c r="F592" s="477">
        <v>9613</v>
      </c>
      <c r="G592" s="477">
        <v>3832</v>
      </c>
      <c r="I592" s="427">
        <f t="shared" si="54"/>
        <v>346677</v>
      </c>
      <c r="J592" s="427"/>
      <c r="K592" s="427">
        <v>81145</v>
      </c>
      <c r="L592" s="427">
        <v>82435</v>
      </c>
      <c r="M592" s="427">
        <v>177845</v>
      </c>
      <c r="N592" s="427">
        <v>5252</v>
      </c>
      <c r="O592" s="427"/>
      <c r="P592" s="427">
        <f t="shared" si="55"/>
        <v>13866</v>
      </c>
      <c r="Q592" s="427"/>
      <c r="R592" s="427">
        <v>1541</v>
      </c>
      <c r="S592" s="427">
        <v>12325</v>
      </c>
      <c r="U592" s="472"/>
      <c r="V592" s="472"/>
      <c r="W592" s="472"/>
      <c r="X592" s="472"/>
      <c r="Y592" s="472"/>
    </row>
    <row r="593" spans="1:25" s="428" customFormat="1" ht="9.1999999999999993" customHeight="1" x14ac:dyDescent="0.25">
      <c r="A593" s="431" t="s">
        <v>25</v>
      </c>
      <c r="B593" s="427">
        <f t="shared" si="53"/>
        <v>13204</v>
      </c>
      <c r="C593" s="427"/>
      <c r="D593" s="477">
        <v>4083</v>
      </c>
      <c r="E593" s="477">
        <v>4296</v>
      </c>
      <c r="F593" s="477">
        <v>2117</v>
      </c>
      <c r="G593" s="477">
        <v>2708</v>
      </c>
      <c r="I593" s="427">
        <f t="shared" si="54"/>
        <v>74793</v>
      </c>
      <c r="J593" s="427"/>
      <c r="K593" s="427">
        <v>9118</v>
      </c>
      <c r="L593" s="427">
        <v>15280</v>
      </c>
      <c r="M593" s="427">
        <v>47752</v>
      </c>
      <c r="N593" s="427">
        <v>2643</v>
      </c>
      <c r="O593" s="427"/>
      <c r="P593" s="427">
        <f t="shared" si="55"/>
        <v>3307</v>
      </c>
      <c r="Q593" s="427"/>
      <c r="R593" s="427">
        <v>250</v>
      </c>
      <c r="S593" s="427">
        <v>3057</v>
      </c>
      <c r="U593" s="472"/>
      <c r="V593" s="472"/>
      <c r="W593" s="472"/>
      <c r="X593" s="472"/>
      <c r="Y593" s="472"/>
    </row>
    <row r="594" spans="1:25" s="428" customFormat="1" ht="9.1999999999999993" customHeight="1" x14ac:dyDescent="0.25">
      <c r="A594" s="433" t="s">
        <v>26</v>
      </c>
      <c r="B594" s="434">
        <f t="shared" si="53"/>
        <v>15506</v>
      </c>
      <c r="C594" s="434"/>
      <c r="D594" s="479">
        <v>9293</v>
      </c>
      <c r="E594" s="479">
        <v>2938</v>
      </c>
      <c r="F594" s="479">
        <v>1947</v>
      </c>
      <c r="G594" s="479">
        <v>1328</v>
      </c>
      <c r="H594" s="475"/>
      <c r="I594" s="434">
        <f t="shared" si="54"/>
        <v>98188</v>
      </c>
      <c r="J594" s="434"/>
      <c r="K594" s="434">
        <v>19892</v>
      </c>
      <c r="L594" s="434">
        <v>18209</v>
      </c>
      <c r="M594" s="434">
        <v>55838</v>
      </c>
      <c r="N594" s="434">
        <v>4249</v>
      </c>
      <c r="O594" s="434"/>
      <c r="P594" s="434">
        <f t="shared" si="55"/>
        <v>3869</v>
      </c>
      <c r="Q594" s="434"/>
      <c r="R594" s="434">
        <v>240</v>
      </c>
      <c r="S594" s="434">
        <v>3629</v>
      </c>
      <c r="U594" s="472"/>
      <c r="V594" s="472"/>
      <c r="W594" s="472"/>
      <c r="X594" s="472"/>
      <c r="Y594" s="472"/>
    </row>
    <row r="595" spans="1:25" s="428" customFormat="1" ht="9.1999999999999993" customHeight="1" x14ac:dyDescent="0.25">
      <c r="A595" s="431" t="s">
        <v>27</v>
      </c>
      <c r="B595" s="427">
        <f t="shared" si="53"/>
        <v>78928</v>
      </c>
      <c r="C595" s="427"/>
      <c r="D595" s="477">
        <v>29336</v>
      </c>
      <c r="E595" s="477">
        <v>23065</v>
      </c>
      <c r="F595" s="477">
        <v>8450</v>
      </c>
      <c r="G595" s="477">
        <v>18077</v>
      </c>
      <c r="I595" s="427">
        <f t="shared" si="54"/>
        <v>340619</v>
      </c>
      <c r="J595" s="427"/>
      <c r="K595" s="427">
        <v>43269</v>
      </c>
      <c r="L595" s="427">
        <v>105338</v>
      </c>
      <c r="M595" s="427">
        <v>179368</v>
      </c>
      <c r="N595" s="427">
        <v>12644</v>
      </c>
      <c r="O595" s="427"/>
      <c r="P595" s="427">
        <f t="shared" si="55"/>
        <v>10742</v>
      </c>
      <c r="Q595" s="427"/>
      <c r="R595" s="427">
        <v>1259</v>
      </c>
      <c r="S595" s="427">
        <v>9483</v>
      </c>
      <c r="U595" s="472"/>
      <c r="V595" s="472"/>
      <c r="W595" s="472"/>
      <c r="X595" s="472"/>
      <c r="Y595" s="472"/>
    </row>
    <row r="596" spans="1:25" s="428" customFormat="1" ht="9.1999999999999993" customHeight="1" x14ac:dyDescent="0.25">
      <c r="A596" s="431" t="s">
        <v>28</v>
      </c>
      <c r="B596" s="427">
        <f t="shared" si="53"/>
        <v>14988</v>
      </c>
      <c r="C596" s="427"/>
      <c r="D596" s="477">
        <v>6170</v>
      </c>
      <c r="E596" s="477">
        <v>5036</v>
      </c>
      <c r="F596" s="477">
        <v>2587</v>
      </c>
      <c r="G596" s="477">
        <v>1195</v>
      </c>
      <c r="I596" s="427">
        <f t="shared" si="54"/>
        <v>70389</v>
      </c>
      <c r="J596" s="427"/>
      <c r="K596" s="427">
        <v>10467</v>
      </c>
      <c r="L596" s="427">
        <v>13503</v>
      </c>
      <c r="M596" s="427">
        <v>44478</v>
      </c>
      <c r="N596" s="427">
        <v>1941</v>
      </c>
      <c r="O596" s="427"/>
      <c r="P596" s="427">
        <f t="shared" si="55"/>
        <v>3444</v>
      </c>
      <c r="Q596" s="427"/>
      <c r="R596" s="427">
        <v>201</v>
      </c>
      <c r="S596" s="427">
        <v>3243</v>
      </c>
      <c r="U596" s="472"/>
      <c r="V596" s="472"/>
      <c r="W596" s="472"/>
      <c r="X596" s="472"/>
      <c r="Y596" s="472"/>
    </row>
    <row r="597" spans="1:25" s="428" customFormat="1" ht="9.1999999999999993" customHeight="1" x14ac:dyDescent="0.25">
      <c r="A597" s="431" t="s">
        <v>29</v>
      </c>
      <c r="B597" s="427">
        <f t="shared" si="53"/>
        <v>109967</v>
      </c>
      <c r="C597" s="427"/>
      <c r="D597" s="477">
        <v>67829</v>
      </c>
      <c r="E597" s="477">
        <v>23425</v>
      </c>
      <c r="F597" s="477">
        <v>10893</v>
      </c>
      <c r="G597" s="477">
        <v>7820</v>
      </c>
      <c r="I597" s="427">
        <f t="shared" si="54"/>
        <v>470920</v>
      </c>
      <c r="J597" s="427"/>
      <c r="K597" s="427">
        <v>114937</v>
      </c>
      <c r="L597" s="427">
        <v>119651</v>
      </c>
      <c r="M597" s="427">
        <v>224509</v>
      </c>
      <c r="N597" s="427">
        <v>11823</v>
      </c>
      <c r="O597" s="427"/>
      <c r="P597" s="427">
        <f t="shared" si="55"/>
        <v>16762</v>
      </c>
      <c r="Q597" s="427"/>
      <c r="R597" s="427">
        <v>351</v>
      </c>
      <c r="S597" s="427">
        <v>16411</v>
      </c>
      <c r="U597" s="472"/>
      <c r="V597" s="472"/>
      <c r="W597" s="472"/>
      <c r="X597" s="472"/>
      <c r="Y597" s="472"/>
    </row>
    <row r="598" spans="1:25" s="428" customFormat="1" ht="9.1999999999999993" customHeight="1" x14ac:dyDescent="0.25">
      <c r="A598" s="433" t="s">
        <v>30</v>
      </c>
      <c r="B598" s="434">
        <f t="shared" si="53"/>
        <v>86489</v>
      </c>
      <c r="C598" s="434"/>
      <c r="D598" s="479">
        <v>49386</v>
      </c>
      <c r="E598" s="479">
        <v>19028</v>
      </c>
      <c r="F598" s="479">
        <v>12359</v>
      </c>
      <c r="G598" s="479">
        <v>5716</v>
      </c>
      <c r="H598" s="475"/>
      <c r="I598" s="434">
        <f t="shared" si="54"/>
        <v>374790</v>
      </c>
      <c r="J598" s="434"/>
      <c r="K598" s="434">
        <v>62990</v>
      </c>
      <c r="L598" s="434">
        <v>102655</v>
      </c>
      <c r="M598" s="434">
        <v>199044</v>
      </c>
      <c r="N598" s="434">
        <v>10101</v>
      </c>
      <c r="O598" s="434"/>
      <c r="P598" s="434">
        <f t="shared" si="55"/>
        <v>14494</v>
      </c>
      <c r="Q598" s="434"/>
      <c r="R598" s="434">
        <v>2258</v>
      </c>
      <c r="S598" s="434">
        <v>12236</v>
      </c>
      <c r="U598" s="472"/>
      <c r="V598" s="472"/>
      <c r="W598" s="472"/>
      <c r="X598" s="472"/>
      <c r="Y598" s="472"/>
    </row>
    <row r="599" spans="1:25" s="428" customFormat="1" ht="9.1999999999999993" customHeight="1" x14ac:dyDescent="0.25">
      <c r="A599" s="431" t="s">
        <v>63</v>
      </c>
      <c r="B599" s="427">
        <f t="shared" si="53"/>
        <v>175452</v>
      </c>
      <c r="C599" s="427"/>
      <c r="D599" s="477">
        <v>48909</v>
      </c>
      <c r="E599" s="477">
        <v>53899</v>
      </c>
      <c r="F599" s="477">
        <v>22454</v>
      </c>
      <c r="G599" s="477">
        <v>50190</v>
      </c>
      <c r="I599" s="427">
        <f t="shared" si="54"/>
        <v>970775</v>
      </c>
      <c r="J599" s="427"/>
      <c r="K599" s="427">
        <v>83942</v>
      </c>
      <c r="L599" s="427">
        <v>209115</v>
      </c>
      <c r="M599" s="427">
        <v>582425</v>
      </c>
      <c r="N599" s="427">
        <v>95293</v>
      </c>
      <c r="O599" s="427"/>
      <c r="P599" s="427">
        <f t="shared" si="55"/>
        <v>33787</v>
      </c>
      <c r="Q599" s="427"/>
      <c r="R599" s="427">
        <v>3982</v>
      </c>
      <c r="S599" s="427">
        <v>29805</v>
      </c>
      <c r="U599" s="472"/>
      <c r="V599" s="472"/>
      <c r="W599" s="472"/>
      <c r="X599" s="472"/>
      <c r="Y599" s="472"/>
    </row>
    <row r="600" spans="1:25" s="428" customFormat="1" ht="9.1999999999999993" customHeight="1" x14ac:dyDescent="0.25">
      <c r="A600" s="431" t="s">
        <v>31</v>
      </c>
      <c r="B600" s="427">
        <f t="shared" si="53"/>
        <v>47253</v>
      </c>
      <c r="C600" s="427"/>
      <c r="D600" s="477">
        <v>26553</v>
      </c>
      <c r="E600" s="477">
        <v>13430</v>
      </c>
      <c r="F600" s="477">
        <v>5193</v>
      </c>
      <c r="G600" s="477">
        <v>2077</v>
      </c>
      <c r="I600" s="427">
        <f t="shared" si="54"/>
        <v>174573</v>
      </c>
      <c r="J600" s="427"/>
      <c r="K600" s="427">
        <v>36063</v>
      </c>
      <c r="L600" s="427">
        <v>56848</v>
      </c>
      <c r="M600" s="427">
        <v>77434</v>
      </c>
      <c r="N600" s="427">
        <v>4228</v>
      </c>
      <c r="O600" s="427"/>
      <c r="P600" s="427">
        <f t="shared" si="55"/>
        <v>6488</v>
      </c>
      <c r="Q600" s="427"/>
      <c r="R600" s="427">
        <v>1012</v>
      </c>
      <c r="S600" s="427">
        <v>5476</v>
      </c>
      <c r="U600" s="472"/>
      <c r="V600" s="472"/>
      <c r="W600" s="472"/>
      <c r="X600" s="472"/>
      <c r="Y600" s="472"/>
    </row>
    <row r="601" spans="1:25" s="428" customFormat="1" ht="9.1999999999999993" customHeight="1" x14ac:dyDescent="0.25">
      <c r="A601" s="431" t="s">
        <v>32</v>
      </c>
      <c r="B601" s="427">
        <f t="shared" si="53"/>
        <v>123002</v>
      </c>
      <c r="C601" s="427"/>
      <c r="D601" s="477">
        <v>49191</v>
      </c>
      <c r="E601" s="477">
        <v>32308</v>
      </c>
      <c r="F601" s="477">
        <v>15888</v>
      </c>
      <c r="G601" s="477">
        <v>25615</v>
      </c>
      <c r="I601" s="427">
        <f t="shared" si="54"/>
        <v>595287</v>
      </c>
      <c r="J601" s="427"/>
      <c r="K601" s="427">
        <v>133432</v>
      </c>
      <c r="L601" s="427">
        <v>156979</v>
      </c>
      <c r="M601" s="427">
        <v>237259</v>
      </c>
      <c r="N601" s="427">
        <v>67617</v>
      </c>
      <c r="O601" s="427"/>
      <c r="P601" s="427">
        <f t="shared" si="55"/>
        <v>19906</v>
      </c>
      <c r="Q601" s="427"/>
      <c r="R601" s="427">
        <v>1791</v>
      </c>
      <c r="S601" s="427">
        <v>18115</v>
      </c>
      <c r="U601" s="472"/>
      <c r="V601" s="472"/>
      <c r="W601" s="472"/>
      <c r="X601" s="472"/>
      <c r="Y601" s="472"/>
    </row>
    <row r="602" spans="1:25" s="428" customFormat="1" ht="9.1999999999999993" customHeight="1" x14ac:dyDescent="0.25">
      <c r="A602" s="433" t="s">
        <v>33</v>
      </c>
      <c r="B602" s="434">
        <f t="shared" si="53"/>
        <v>110561</v>
      </c>
      <c r="C602" s="434"/>
      <c r="D602" s="479">
        <v>40150</v>
      </c>
      <c r="E602" s="479">
        <v>12437</v>
      </c>
      <c r="F602" s="479">
        <v>5023</v>
      </c>
      <c r="G602" s="479">
        <v>52951</v>
      </c>
      <c r="H602" s="475"/>
      <c r="I602" s="434">
        <f t="shared" si="54"/>
        <v>376365</v>
      </c>
      <c r="J602" s="434"/>
      <c r="K602" s="434">
        <v>116117</v>
      </c>
      <c r="L602" s="434">
        <v>51269</v>
      </c>
      <c r="M602" s="434">
        <v>179291</v>
      </c>
      <c r="N602" s="434">
        <v>29688</v>
      </c>
      <c r="O602" s="434"/>
      <c r="P602" s="434">
        <f t="shared" si="55"/>
        <v>11068</v>
      </c>
      <c r="Q602" s="434"/>
      <c r="R602" s="434">
        <v>341</v>
      </c>
      <c r="S602" s="434">
        <v>10727</v>
      </c>
      <c r="U602" s="472"/>
      <c r="V602" s="472"/>
      <c r="W602" s="472"/>
      <c r="X602" s="472"/>
      <c r="Y602" s="472"/>
    </row>
    <row r="603" spans="1:25" s="428" customFormat="1" ht="9.1999999999999993" customHeight="1" x14ac:dyDescent="0.25">
      <c r="A603" s="431" t="s">
        <v>34</v>
      </c>
      <c r="B603" s="427">
        <f t="shared" si="53"/>
        <v>81241</v>
      </c>
      <c r="C603" s="427"/>
      <c r="D603" s="477">
        <v>21962</v>
      </c>
      <c r="E603" s="477">
        <v>25525</v>
      </c>
      <c r="F603" s="477">
        <v>8931</v>
      </c>
      <c r="G603" s="477">
        <v>24823</v>
      </c>
      <c r="I603" s="427">
        <f t="shared" si="54"/>
        <v>352331</v>
      </c>
      <c r="J603" s="427"/>
      <c r="K603" s="427">
        <v>47643</v>
      </c>
      <c r="L603" s="427">
        <v>96093</v>
      </c>
      <c r="M603" s="427">
        <v>182190</v>
      </c>
      <c r="N603" s="427">
        <v>26405</v>
      </c>
      <c r="O603" s="427"/>
      <c r="P603" s="427">
        <f t="shared" si="55"/>
        <v>12841</v>
      </c>
      <c r="Q603" s="427"/>
      <c r="R603" s="427">
        <v>650</v>
      </c>
      <c r="S603" s="427">
        <v>12191</v>
      </c>
      <c r="U603" s="472"/>
      <c r="V603" s="472"/>
      <c r="W603" s="472"/>
      <c r="X603" s="472"/>
      <c r="Y603" s="472"/>
    </row>
    <row r="604" spans="1:25" s="428" customFormat="1" ht="9.1999999999999993" customHeight="1" x14ac:dyDescent="0.25">
      <c r="A604" s="431" t="s">
        <v>35</v>
      </c>
      <c r="B604" s="427">
        <f t="shared" si="53"/>
        <v>110440</v>
      </c>
      <c r="C604" s="427"/>
      <c r="D604" s="477">
        <v>43877</v>
      </c>
      <c r="E604" s="477">
        <v>31177</v>
      </c>
      <c r="F604" s="477">
        <v>21943</v>
      </c>
      <c r="G604" s="477">
        <v>13443</v>
      </c>
      <c r="I604" s="427">
        <f t="shared" si="54"/>
        <v>555858</v>
      </c>
      <c r="J604" s="427"/>
      <c r="K604" s="427">
        <v>86007</v>
      </c>
      <c r="L604" s="427">
        <v>112093</v>
      </c>
      <c r="M604" s="427">
        <v>325103</v>
      </c>
      <c r="N604" s="427">
        <v>32655</v>
      </c>
      <c r="O604" s="427"/>
      <c r="P604" s="427">
        <f t="shared" si="55"/>
        <v>31956</v>
      </c>
      <c r="Q604" s="427"/>
      <c r="R604" s="427">
        <v>4277</v>
      </c>
      <c r="S604" s="427">
        <v>27679</v>
      </c>
      <c r="U604" s="472"/>
      <c r="V604" s="472"/>
      <c r="W604" s="472"/>
      <c r="X604" s="472"/>
      <c r="Y604" s="472"/>
    </row>
    <row r="605" spans="1:25" s="428" customFormat="1" ht="9.1999999999999993" customHeight="1" x14ac:dyDescent="0.25">
      <c r="A605" s="431" t="s">
        <v>36</v>
      </c>
      <c r="B605" s="427">
        <f t="shared" si="53"/>
        <v>237401</v>
      </c>
      <c r="C605" s="427"/>
      <c r="D605" s="477">
        <v>75073</v>
      </c>
      <c r="E605" s="477">
        <v>64541</v>
      </c>
      <c r="F605" s="477">
        <v>29537</v>
      </c>
      <c r="G605" s="477">
        <v>68250</v>
      </c>
      <c r="I605" s="427">
        <f t="shared" si="54"/>
        <v>1221513</v>
      </c>
      <c r="J605" s="427"/>
      <c r="K605" s="427">
        <v>218191</v>
      </c>
      <c r="L605" s="427">
        <v>316186</v>
      </c>
      <c r="M605" s="427">
        <v>501905</v>
      </c>
      <c r="N605" s="427">
        <v>185231</v>
      </c>
      <c r="O605" s="427"/>
      <c r="P605" s="427">
        <f t="shared" si="55"/>
        <v>45994</v>
      </c>
      <c r="Q605" s="427"/>
      <c r="R605" s="427">
        <v>4441</v>
      </c>
      <c r="S605" s="427">
        <v>41553</v>
      </c>
      <c r="U605" s="472"/>
      <c r="V605" s="472"/>
      <c r="W605" s="472"/>
      <c r="X605" s="472"/>
      <c r="Y605" s="472"/>
    </row>
    <row r="606" spans="1:25" s="428" customFormat="1" ht="9.1999999999999993" customHeight="1" x14ac:dyDescent="0.25">
      <c r="A606" s="433" t="s">
        <v>37</v>
      </c>
      <c r="B606" s="434">
        <f t="shared" si="53"/>
        <v>104573</v>
      </c>
      <c r="C606" s="434"/>
      <c r="D606" s="479">
        <v>51994</v>
      </c>
      <c r="E606" s="479">
        <v>30287</v>
      </c>
      <c r="F606" s="479">
        <v>8794</v>
      </c>
      <c r="G606" s="479">
        <v>13498</v>
      </c>
      <c r="H606" s="475"/>
      <c r="I606" s="434">
        <f t="shared" si="54"/>
        <v>435441</v>
      </c>
      <c r="J606" s="434"/>
      <c r="K606" s="434">
        <v>75899</v>
      </c>
      <c r="L606" s="434">
        <v>145527</v>
      </c>
      <c r="M606" s="434">
        <v>194849</v>
      </c>
      <c r="N606" s="434">
        <v>19166</v>
      </c>
      <c r="O606" s="434"/>
      <c r="P606" s="434">
        <f t="shared" si="55"/>
        <v>15550</v>
      </c>
      <c r="Q606" s="434"/>
      <c r="R606" s="434">
        <v>1034</v>
      </c>
      <c r="S606" s="434">
        <v>14516</v>
      </c>
      <c r="U606" s="472"/>
      <c r="V606" s="472"/>
      <c r="W606" s="472"/>
      <c r="X606" s="472"/>
      <c r="Y606" s="472"/>
    </row>
    <row r="607" spans="1:25" s="428" customFormat="1" ht="9.1999999999999993" customHeight="1" x14ac:dyDescent="0.25">
      <c r="A607" s="431" t="s">
        <v>38</v>
      </c>
      <c r="B607" s="427">
        <f t="shared" si="53"/>
        <v>33179</v>
      </c>
      <c r="C607" s="427"/>
      <c r="D607" s="477">
        <v>13084</v>
      </c>
      <c r="E607" s="477">
        <v>8313</v>
      </c>
      <c r="F607" s="477">
        <v>4110</v>
      </c>
      <c r="G607" s="477">
        <v>7672</v>
      </c>
      <c r="I607" s="427">
        <f t="shared" si="54"/>
        <v>188128</v>
      </c>
      <c r="J607" s="427"/>
      <c r="K607" s="427">
        <v>40907</v>
      </c>
      <c r="L607" s="427">
        <v>32290</v>
      </c>
      <c r="M607" s="427">
        <v>99778</v>
      </c>
      <c r="N607" s="427">
        <v>15153</v>
      </c>
      <c r="O607" s="427"/>
      <c r="P607" s="427">
        <f t="shared" si="55"/>
        <v>6910</v>
      </c>
      <c r="Q607" s="427"/>
      <c r="R607" s="427">
        <v>488</v>
      </c>
      <c r="S607" s="427">
        <v>6422</v>
      </c>
      <c r="U607" s="472"/>
      <c r="V607" s="472"/>
      <c r="W607" s="472"/>
      <c r="X607" s="472"/>
      <c r="Y607" s="472"/>
    </row>
    <row r="608" spans="1:25" s="428" customFormat="1" ht="9.1999999999999993" customHeight="1" x14ac:dyDescent="0.25">
      <c r="A608" s="431" t="s">
        <v>39</v>
      </c>
      <c r="B608" s="427">
        <f t="shared" si="53"/>
        <v>25018</v>
      </c>
      <c r="C608" s="427"/>
      <c r="D608" s="477">
        <v>14397</v>
      </c>
      <c r="E608" s="477">
        <v>7122</v>
      </c>
      <c r="F608" s="477">
        <v>2444</v>
      </c>
      <c r="G608" s="477">
        <v>1055</v>
      </c>
      <c r="I608" s="427">
        <f t="shared" si="54"/>
        <v>121520</v>
      </c>
      <c r="J608" s="427"/>
      <c r="K608" s="427">
        <v>30805</v>
      </c>
      <c r="L608" s="427">
        <v>28146</v>
      </c>
      <c r="M608" s="427">
        <v>59009</v>
      </c>
      <c r="N608" s="427">
        <v>3560</v>
      </c>
      <c r="O608" s="427"/>
      <c r="P608" s="427">
        <f t="shared" si="55"/>
        <v>4182</v>
      </c>
      <c r="Q608" s="427"/>
      <c r="R608" s="427">
        <v>282</v>
      </c>
      <c r="S608" s="427">
        <v>3900</v>
      </c>
      <c r="U608" s="472"/>
      <c r="V608" s="472"/>
      <c r="W608" s="472"/>
      <c r="X608" s="472"/>
      <c r="Y608" s="472"/>
    </row>
    <row r="609" spans="1:25" s="428" customFormat="1" ht="9.1999999999999993" customHeight="1" x14ac:dyDescent="0.25">
      <c r="A609" s="431" t="s">
        <v>40</v>
      </c>
      <c r="B609" s="427">
        <f t="shared" si="53"/>
        <v>72753</v>
      </c>
      <c r="C609" s="427"/>
      <c r="D609" s="477">
        <v>24722</v>
      </c>
      <c r="E609" s="477">
        <v>32515</v>
      </c>
      <c r="F609" s="477">
        <v>11917</v>
      </c>
      <c r="G609" s="477">
        <v>3599</v>
      </c>
      <c r="I609" s="427">
        <f t="shared" si="54"/>
        <v>483329</v>
      </c>
      <c r="J609" s="427"/>
      <c r="K609" s="427">
        <v>57136</v>
      </c>
      <c r="L609" s="427">
        <v>166762</v>
      </c>
      <c r="M609" s="427">
        <v>239135</v>
      </c>
      <c r="N609" s="427">
        <v>20296</v>
      </c>
      <c r="O609" s="427"/>
      <c r="P609" s="427">
        <f t="shared" si="55"/>
        <v>16025</v>
      </c>
      <c r="Q609" s="427"/>
      <c r="R609" s="427">
        <v>2140</v>
      </c>
      <c r="S609" s="427">
        <v>13885</v>
      </c>
      <c r="U609" s="472"/>
      <c r="V609" s="472"/>
      <c r="W609" s="472"/>
      <c r="X609" s="472"/>
      <c r="Y609" s="472"/>
    </row>
    <row r="610" spans="1:25" s="428" customFormat="1" ht="9.1999999999999993" customHeight="1" x14ac:dyDescent="0.25">
      <c r="A610" s="433" t="s">
        <v>41</v>
      </c>
      <c r="B610" s="434">
        <f t="shared" si="53"/>
        <v>74256</v>
      </c>
      <c r="C610" s="434"/>
      <c r="D610" s="479">
        <v>39618</v>
      </c>
      <c r="E610" s="479">
        <v>20657</v>
      </c>
      <c r="F610" s="479">
        <v>8272</v>
      </c>
      <c r="G610" s="479">
        <v>5709</v>
      </c>
      <c r="H610" s="475"/>
      <c r="I610" s="434">
        <f t="shared" si="54"/>
        <v>355699</v>
      </c>
      <c r="J610" s="434"/>
      <c r="K610" s="434">
        <v>65697</v>
      </c>
      <c r="L610" s="434">
        <v>106805</v>
      </c>
      <c r="M610" s="434">
        <v>170544</v>
      </c>
      <c r="N610" s="434">
        <v>12653</v>
      </c>
      <c r="O610" s="434"/>
      <c r="P610" s="434">
        <f t="shared" si="55"/>
        <v>14314</v>
      </c>
      <c r="Q610" s="434"/>
      <c r="R610" s="434">
        <v>376</v>
      </c>
      <c r="S610" s="434">
        <v>13938</v>
      </c>
      <c r="U610" s="472"/>
      <c r="V610" s="472"/>
      <c r="W610" s="472"/>
      <c r="X610" s="472"/>
      <c r="Y610" s="472"/>
    </row>
    <row r="611" spans="1:25" s="428" customFormat="1" ht="9.1999999999999993" customHeight="1" x14ac:dyDescent="0.25">
      <c r="A611" s="431" t="s">
        <v>42</v>
      </c>
      <c r="B611" s="427">
        <f t="shared" si="53"/>
        <v>101639</v>
      </c>
      <c r="C611" s="427"/>
      <c r="D611" s="477">
        <v>41241</v>
      </c>
      <c r="E611" s="477">
        <v>36679</v>
      </c>
      <c r="F611" s="477">
        <v>10876</v>
      </c>
      <c r="G611" s="477">
        <v>12843</v>
      </c>
      <c r="I611" s="427">
        <f t="shared" si="54"/>
        <v>622430</v>
      </c>
      <c r="J611" s="427"/>
      <c r="K611" s="427">
        <v>96464</v>
      </c>
      <c r="L611" s="427">
        <v>209076</v>
      </c>
      <c r="M611" s="427">
        <v>282600</v>
      </c>
      <c r="N611" s="427">
        <v>34290</v>
      </c>
      <c r="O611" s="427"/>
      <c r="P611" s="427">
        <f t="shared" si="55"/>
        <v>21267</v>
      </c>
      <c r="Q611" s="427"/>
      <c r="R611" s="427">
        <v>1300</v>
      </c>
      <c r="S611" s="427">
        <v>19967</v>
      </c>
      <c r="U611" s="472"/>
      <c r="V611" s="472"/>
      <c r="W611" s="472"/>
      <c r="X611" s="472"/>
      <c r="Y611" s="472"/>
    </row>
    <row r="612" spans="1:25" s="428" customFormat="1" ht="9.1999999999999993" customHeight="1" x14ac:dyDescent="0.25">
      <c r="A612" s="431" t="s">
        <v>43</v>
      </c>
      <c r="B612" s="427">
        <f t="shared" si="53"/>
        <v>40184</v>
      </c>
      <c r="C612" s="427"/>
      <c r="D612" s="477">
        <v>19034</v>
      </c>
      <c r="E612" s="477">
        <v>11640</v>
      </c>
      <c r="F612" s="477">
        <v>4650</v>
      </c>
      <c r="G612" s="477">
        <v>4860</v>
      </c>
      <c r="I612" s="427">
        <f t="shared" si="54"/>
        <v>184285</v>
      </c>
      <c r="J612" s="427"/>
      <c r="K612" s="427">
        <v>31382</v>
      </c>
      <c r="L612" s="427">
        <v>65534</v>
      </c>
      <c r="M612" s="427">
        <v>79063</v>
      </c>
      <c r="N612" s="427">
        <v>8306</v>
      </c>
      <c r="O612" s="427"/>
      <c r="P612" s="427">
        <f t="shared" si="55"/>
        <v>8230</v>
      </c>
      <c r="Q612" s="427"/>
      <c r="R612" s="427">
        <v>1072</v>
      </c>
      <c r="S612" s="427">
        <v>7158</v>
      </c>
      <c r="U612" s="472"/>
      <c r="V612" s="472"/>
      <c r="W612" s="472"/>
      <c r="X612" s="472"/>
      <c r="Y612" s="472"/>
    </row>
    <row r="613" spans="1:25" s="428" customFormat="1" ht="9.1999999999999993" customHeight="1" x14ac:dyDescent="0.25">
      <c r="A613" s="431" t="s">
        <v>44</v>
      </c>
      <c r="B613" s="427">
        <f t="shared" si="53"/>
        <v>33770</v>
      </c>
      <c r="C613" s="427"/>
      <c r="D613" s="477">
        <v>11489</v>
      </c>
      <c r="E613" s="477">
        <v>8829</v>
      </c>
      <c r="F613" s="477">
        <v>9488</v>
      </c>
      <c r="G613" s="477">
        <v>3964</v>
      </c>
      <c r="I613" s="427">
        <f t="shared" si="54"/>
        <v>176168</v>
      </c>
      <c r="J613" s="427"/>
      <c r="K613" s="427">
        <v>25081</v>
      </c>
      <c r="L613" s="427">
        <v>37202</v>
      </c>
      <c r="M613" s="427">
        <v>109342</v>
      </c>
      <c r="N613" s="427">
        <v>4543</v>
      </c>
      <c r="O613" s="427"/>
      <c r="P613" s="427">
        <f t="shared" si="55"/>
        <v>7220</v>
      </c>
      <c r="Q613" s="427"/>
      <c r="R613" s="427">
        <v>663</v>
      </c>
      <c r="S613" s="427">
        <v>6557</v>
      </c>
      <c r="U613" s="472"/>
      <c r="V613" s="472"/>
      <c r="W613" s="472"/>
      <c r="X613" s="472"/>
      <c r="Y613" s="472"/>
    </row>
    <row r="614" spans="1:25" s="428" customFormat="1" ht="9.1999999999999993" customHeight="1" x14ac:dyDescent="0.25">
      <c r="A614" s="433" t="s">
        <v>45</v>
      </c>
      <c r="B614" s="434">
        <f t="shared" si="53"/>
        <v>69968</v>
      </c>
      <c r="C614" s="434"/>
      <c r="D614" s="479">
        <v>34077</v>
      </c>
      <c r="E614" s="479">
        <v>21569</v>
      </c>
      <c r="F614" s="479">
        <v>5180</v>
      </c>
      <c r="G614" s="479">
        <v>9142</v>
      </c>
      <c r="H614" s="475"/>
      <c r="I614" s="434">
        <f t="shared" si="54"/>
        <v>311323</v>
      </c>
      <c r="J614" s="434"/>
      <c r="K614" s="434">
        <v>65300</v>
      </c>
      <c r="L614" s="434">
        <v>116799</v>
      </c>
      <c r="M614" s="434">
        <v>119638</v>
      </c>
      <c r="N614" s="434">
        <v>9586</v>
      </c>
      <c r="O614" s="434"/>
      <c r="P614" s="434">
        <f t="shared" si="55"/>
        <v>10590</v>
      </c>
      <c r="Q614" s="434"/>
      <c r="R614" s="434">
        <v>739</v>
      </c>
      <c r="S614" s="434">
        <v>9851</v>
      </c>
      <c r="U614" s="472"/>
      <c r="V614" s="472"/>
      <c r="W614" s="472"/>
      <c r="X614" s="472"/>
      <c r="Y614" s="472"/>
    </row>
    <row r="615" spans="1:25" s="428" customFormat="1" ht="9.1999999999999993" customHeight="1" x14ac:dyDescent="0.25">
      <c r="A615" s="431" t="s">
        <v>46</v>
      </c>
      <c r="B615" s="427">
        <f t="shared" si="53"/>
        <v>72873</v>
      </c>
      <c r="C615" s="427"/>
      <c r="D615" s="477">
        <v>33387</v>
      </c>
      <c r="E615" s="477">
        <v>20488</v>
      </c>
      <c r="F615" s="477">
        <v>7599</v>
      </c>
      <c r="G615" s="477">
        <v>11399</v>
      </c>
      <c r="I615" s="427">
        <f t="shared" si="54"/>
        <v>327208</v>
      </c>
      <c r="J615" s="427"/>
      <c r="K615" s="427">
        <v>53983</v>
      </c>
      <c r="L615" s="427">
        <v>83319</v>
      </c>
      <c r="M615" s="427">
        <v>179689</v>
      </c>
      <c r="N615" s="427">
        <v>10217</v>
      </c>
      <c r="O615" s="427"/>
      <c r="P615" s="427">
        <f t="shared" si="55"/>
        <v>10553</v>
      </c>
      <c r="Q615" s="427"/>
      <c r="R615" s="427">
        <v>684</v>
      </c>
      <c r="S615" s="427">
        <v>9869</v>
      </c>
      <c r="U615" s="472"/>
      <c r="V615" s="472"/>
      <c r="W615" s="472"/>
      <c r="X615" s="472"/>
      <c r="Y615" s="472"/>
    </row>
    <row r="616" spans="1:25" s="428" customFormat="1" ht="9.1999999999999993" customHeight="1" x14ac:dyDescent="0.25">
      <c r="A616" s="431" t="s">
        <v>47</v>
      </c>
      <c r="B616" s="427">
        <f t="shared" si="53"/>
        <v>56926</v>
      </c>
      <c r="C616" s="427"/>
      <c r="D616" s="477">
        <v>19273</v>
      </c>
      <c r="E616" s="477">
        <v>16664</v>
      </c>
      <c r="F616" s="477">
        <v>8994</v>
      </c>
      <c r="G616" s="477">
        <v>11995</v>
      </c>
      <c r="I616" s="427">
        <f t="shared" si="54"/>
        <v>292895</v>
      </c>
      <c r="J616" s="427"/>
      <c r="K616" s="427">
        <v>54707</v>
      </c>
      <c r="L616" s="427">
        <v>85549</v>
      </c>
      <c r="M616" s="427">
        <v>136969</v>
      </c>
      <c r="N616" s="427">
        <v>15670</v>
      </c>
      <c r="O616" s="427"/>
      <c r="P616" s="427">
        <f t="shared" si="55"/>
        <v>11087</v>
      </c>
      <c r="Q616" s="427"/>
      <c r="R616" s="427">
        <v>1048</v>
      </c>
      <c r="S616" s="427">
        <v>10039</v>
      </c>
      <c r="U616" s="472"/>
      <c r="V616" s="472"/>
      <c r="W616" s="472"/>
      <c r="X616" s="472"/>
      <c r="Y616" s="472"/>
    </row>
    <row r="617" spans="1:25" s="428" customFormat="1" ht="9.1999999999999993" customHeight="1" x14ac:dyDescent="0.25">
      <c r="A617" s="431" t="s">
        <v>48</v>
      </c>
      <c r="B617" s="427">
        <f t="shared" si="53"/>
        <v>37526</v>
      </c>
      <c r="C617" s="427"/>
      <c r="D617" s="477">
        <v>23401</v>
      </c>
      <c r="E617" s="477">
        <v>5287</v>
      </c>
      <c r="F617" s="477">
        <v>3941</v>
      </c>
      <c r="G617" s="477">
        <v>4897</v>
      </c>
      <c r="I617" s="427">
        <f t="shared" si="54"/>
        <v>236513</v>
      </c>
      <c r="J617" s="427"/>
      <c r="K617" s="427">
        <v>67527</v>
      </c>
      <c r="L617" s="427">
        <v>25912</v>
      </c>
      <c r="M617" s="427">
        <v>131928</v>
      </c>
      <c r="N617" s="427">
        <v>11146</v>
      </c>
      <c r="O617" s="427"/>
      <c r="P617" s="427">
        <f t="shared" si="55"/>
        <v>11456</v>
      </c>
      <c r="Q617" s="427"/>
      <c r="R617" s="427">
        <v>414</v>
      </c>
      <c r="S617" s="427">
        <v>11042</v>
      </c>
      <c r="U617" s="472"/>
      <c r="V617" s="472"/>
      <c r="W617" s="472"/>
      <c r="X617" s="472"/>
      <c r="Y617" s="472"/>
    </row>
    <row r="618" spans="1:25" s="428" customFormat="1" ht="9.1999999999999993" customHeight="1" x14ac:dyDescent="0.25">
      <c r="A618" s="433" t="s">
        <v>49</v>
      </c>
      <c r="B618" s="434">
        <f t="shared" si="53"/>
        <v>83659</v>
      </c>
      <c r="C618" s="434"/>
      <c r="D618" s="479">
        <v>34853</v>
      </c>
      <c r="E618" s="479">
        <v>22544</v>
      </c>
      <c r="F618" s="479">
        <v>9969</v>
      </c>
      <c r="G618" s="479">
        <v>16293</v>
      </c>
      <c r="H618" s="475"/>
      <c r="I618" s="434">
        <f t="shared" si="54"/>
        <v>303243</v>
      </c>
      <c r="J618" s="434"/>
      <c r="K618" s="434">
        <v>55006</v>
      </c>
      <c r="L618" s="434">
        <v>75518</v>
      </c>
      <c r="M618" s="434">
        <v>157970</v>
      </c>
      <c r="N618" s="434">
        <v>14749</v>
      </c>
      <c r="O618" s="434"/>
      <c r="P618" s="434">
        <f t="shared" si="55"/>
        <v>14090</v>
      </c>
      <c r="Q618" s="434"/>
      <c r="R618" s="434">
        <v>1545</v>
      </c>
      <c r="S618" s="434">
        <v>12545</v>
      </c>
      <c r="U618" s="472"/>
      <c r="V618" s="472"/>
      <c r="W618" s="472"/>
      <c r="X618" s="472"/>
      <c r="Y618" s="472"/>
    </row>
    <row r="619" spans="1:25" s="428" customFormat="1" ht="9.1999999999999993" customHeight="1" x14ac:dyDescent="0.25">
      <c r="A619" s="431" t="s">
        <v>50</v>
      </c>
      <c r="B619" s="427">
        <f t="shared" si="53"/>
        <v>17379</v>
      </c>
      <c r="C619" s="427"/>
      <c r="D619" s="477">
        <v>7094</v>
      </c>
      <c r="E619" s="477">
        <v>5925</v>
      </c>
      <c r="F619" s="477">
        <v>2764</v>
      </c>
      <c r="G619" s="477">
        <v>1596</v>
      </c>
      <c r="I619" s="427">
        <f t="shared" si="54"/>
        <v>108619</v>
      </c>
      <c r="J619" s="427"/>
      <c r="K619" s="427">
        <v>15431</v>
      </c>
      <c r="L619" s="427">
        <v>30708</v>
      </c>
      <c r="M619" s="427">
        <v>54347</v>
      </c>
      <c r="N619" s="427">
        <v>8133</v>
      </c>
      <c r="O619" s="427"/>
      <c r="P619" s="427">
        <f t="shared" si="55"/>
        <v>6186</v>
      </c>
      <c r="Q619" s="427"/>
      <c r="R619" s="427">
        <v>862</v>
      </c>
      <c r="S619" s="427">
        <v>5324</v>
      </c>
      <c r="U619" s="472"/>
      <c r="V619" s="472"/>
      <c r="W619" s="472"/>
      <c r="X619" s="472"/>
      <c r="Y619" s="472"/>
    </row>
    <row r="620" spans="1:25" s="428" customFormat="1" ht="9.1999999999999993" customHeight="1" x14ac:dyDescent="0.25">
      <c r="A620" s="428" t="s">
        <v>51</v>
      </c>
      <c r="B620" s="427">
        <f t="shared" si="53"/>
        <v>158646</v>
      </c>
      <c r="C620" s="427"/>
      <c r="D620" s="477">
        <v>70697</v>
      </c>
      <c r="E620" s="477">
        <v>55708</v>
      </c>
      <c r="F620" s="477">
        <v>18363</v>
      </c>
      <c r="G620" s="477">
        <v>13878</v>
      </c>
      <c r="I620" s="427">
        <f t="shared" si="54"/>
        <v>836833</v>
      </c>
      <c r="J620" s="427"/>
      <c r="K620" s="427">
        <v>130867</v>
      </c>
      <c r="L620" s="427">
        <v>219279</v>
      </c>
      <c r="M620" s="427">
        <v>453105</v>
      </c>
      <c r="N620" s="427">
        <v>33582</v>
      </c>
      <c r="O620" s="427"/>
      <c r="P620" s="427">
        <f t="shared" si="55"/>
        <v>29518</v>
      </c>
      <c r="Q620" s="427"/>
      <c r="R620" s="427">
        <v>1617</v>
      </c>
      <c r="S620" s="427">
        <v>27901</v>
      </c>
      <c r="U620" s="472"/>
      <c r="V620" s="472"/>
      <c r="W620" s="472"/>
      <c r="X620" s="472"/>
      <c r="Y620" s="472"/>
    </row>
    <row r="621" spans="1:25" s="428" customFormat="1" ht="9.1999999999999993" customHeight="1" x14ac:dyDescent="0.25">
      <c r="A621" s="428" t="s">
        <v>52</v>
      </c>
      <c r="B621" s="427">
        <f t="shared" si="53"/>
        <v>34968</v>
      </c>
      <c r="C621" s="427"/>
      <c r="D621" s="477">
        <v>19281</v>
      </c>
      <c r="E621" s="477">
        <v>7304</v>
      </c>
      <c r="F621" s="477">
        <v>5926</v>
      </c>
      <c r="G621" s="477">
        <v>2457</v>
      </c>
      <c r="I621" s="427">
        <f t="shared" si="54"/>
        <v>227348</v>
      </c>
      <c r="J621" s="427"/>
      <c r="K621" s="427">
        <v>43234</v>
      </c>
      <c r="L621" s="427">
        <v>52117</v>
      </c>
      <c r="M621" s="427">
        <v>125362</v>
      </c>
      <c r="N621" s="427">
        <v>6635</v>
      </c>
      <c r="O621" s="427"/>
      <c r="P621" s="427">
        <f t="shared" si="55"/>
        <v>7621</v>
      </c>
      <c r="Q621" s="427"/>
      <c r="R621" s="427">
        <v>533</v>
      </c>
      <c r="S621" s="427">
        <v>7088</v>
      </c>
      <c r="U621" s="472"/>
      <c r="V621" s="472"/>
      <c r="W621" s="472"/>
      <c r="X621" s="472"/>
      <c r="Y621" s="472"/>
    </row>
    <row r="622" spans="1:25" s="428" customFormat="1" ht="9.1999999999999993" customHeight="1" x14ac:dyDescent="0.25">
      <c r="A622" s="433" t="s">
        <v>53</v>
      </c>
      <c r="B622" s="434">
        <f t="shared" si="53"/>
        <v>43822</v>
      </c>
      <c r="C622" s="434"/>
      <c r="D622" s="479">
        <v>19768</v>
      </c>
      <c r="E622" s="479">
        <v>16554</v>
      </c>
      <c r="F622" s="479">
        <v>3218</v>
      </c>
      <c r="G622" s="479">
        <v>4282</v>
      </c>
      <c r="H622" s="475"/>
      <c r="I622" s="434">
        <f>SUM(K622:O622)</f>
        <v>182310</v>
      </c>
      <c r="J622" s="434"/>
      <c r="K622" s="434">
        <v>34305</v>
      </c>
      <c r="L622" s="434">
        <v>65630</v>
      </c>
      <c r="M622" s="434">
        <v>73583</v>
      </c>
      <c r="N622" s="434">
        <v>8792</v>
      </c>
      <c r="O622" s="434"/>
      <c r="P622" s="434">
        <f t="shared" si="55"/>
        <v>5423</v>
      </c>
      <c r="Q622" s="434"/>
      <c r="R622" s="434">
        <v>381</v>
      </c>
      <c r="S622" s="434">
        <v>5042</v>
      </c>
      <c r="U622" s="472"/>
      <c r="V622" s="472"/>
      <c r="W622" s="472"/>
      <c r="X622" s="472"/>
      <c r="Y622" s="472"/>
    </row>
    <row r="623" spans="1:25" s="428" customFormat="1" ht="9.1999999999999993" customHeight="1" x14ac:dyDescent="0.25">
      <c r="A623" s="436"/>
      <c r="B623" s="437"/>
      <c r="C623" s="437"/>
      <c r="D623" s="483"/>
      <c r="E623" s="483"/>
      <c r="F623" s="483"/>
      <c r="G623" s="483"/>
      <c r="H623" s="472"/>
      <c r="I623" s="437"/>
      <c r="J623" s="437"/>
      <c r="K623" s="437"/>
      <c r="L623" s="437"/>
      <c r="M623" s="437"/>
      <c r="N623" s="437"/>
      <c r="O623" s="437"/>
      <c r="P623" s="437"/>
      <c r="Q623" s="437"/>
      <c r="R623" s="437"/>
      <c r="S623" s="437"/>
      <c r="U623" s="472"/>
      <c r="V623" s="472"/>
      <c r="W623" s="472"/>
      <c r="X623" s="472"/>
      <c r="Y623" s="472"/>
    </row>
    <row r="624" spans="1:25" s="428" customFormat="1" ht="9" customHeight="1" x14ac:dyDescent="0.25">
      <c r="A624" s="441">
        <v>2012</v>
      </c>
      <c r="B624" s="476"/>
      <c r="C624" s="476"/>
      <c r="D624" s="476"/>
      <c r="E624" s="476"/>
      <c r="F624" s="476"/>
      <c r="G624" s="476"/>
      <c r="H624" s="476"/>
      <c r="I624" s="476"/>
      <c r="J624" s="430"/>
      <c r="K624" s="476"/>
      <c r="L624" s="476"/>
      <c r="M624" s="476"/>
      <c r="N624" s="476"/>
      <c r="O624" s="482"/>
      <c r="P624" s="476"/>
      <c r="Q624" s="430"/>
      <c r="R624" s="476"/>
      <c r="S624" s="476"/>
      <c r="U624" s="472"/>
      <c r="V624" s="472"/>
      <c r="W624" s="472"/>
      <c r="X624" s="472"/>
      <c r="Y624" s="472"/>
    </row>
    <row r="625" spans="1:25" s="428" customFormat="1" ht="9" customHeight="1" x14ac:dyDescent="0.25">
      <c r="A625" s="429" t="s">
        <v>216</v>
      </c>
      <c r="B625" s="476">
        <f>SUM(B627:B658)</f>
        <v>2366514</v>
      </c>
      <c r="C625" s="476"/>
      <c r="D625" s="476">
        <f>SUM(D627:D658)</f>
        <v>976788</v>
      </c>
      <c r="E625" s="476">
        <f>SUM(E627:E658)</f>
        <v>683236</v>
      </c>
      <c r="F625" s="476">
        <f>SUM(F627:F658)</f>
        <v>292969</v>
      </c>
      <c r="G625" s="476">
        <f>SUM(G627:G658)</f>
        <v>413521</v>
      </c>
      <c r="H625" s="476"/>
      <c r="I625" s="476">
        <f>SUM(I627:I658)</f>
        <v>10627405.800000001</v>
      </c>
      <c r="J625" s="476"/>
      <c r="K625" s="476">
        <f>SUM(K627:K658)</f>
        <v>1534280</v>
      </c>
      <c r="L625" s="476">
        <f>SUM(L627:L658)</f>
        <v>3993117.8</v>
      </c>
      <c r="M625" s="476">
        <f>SUM(M627:M658)</f>
        <v>4836248</v>
      </c>
      <c r="N625" s="476">
        <f>SUM(N627:N658)</f>
        <v>263760</v>
      </c>
      <c r="O625" s="482"/>
      <c r="P625" s="476">
        <f>SUM(P627:P658)</f>
        <v>265066</v>
      </c>
      <c r="Q625" s="476"/>
      <c r="R625" s="476">
        <f>SUM(R627:R658)</f>
        <v>35502</v>
      </c>
      <c r="S625" s="476">
        <f>SUM(S627:S658)</f>
        <v>229564</v>
      </c>
      <c r="T625" s="477"/>
      <c r="U625" s="472"/>
      <c r="V625" s="472"/>
      <c r="W625" s="472"/>
      <c r="X625" s="472"/>
      <c r="Y625" s="472"/>
    </row>
    <row r="626" spans="1:25" s="428" customFormat="1" ht="3.95" customHeight="1" x14ac:dyDescent="0.25">
      <c r="A626" s="429"/>
      <c r="B626" s="476"/>
      <c r="C626" s="476"/>
      <c r="D626" s="476"/>
      <c r="E626" s="476"/>
      <c r="F626" s="476"/>
      <c r="G626" s="476"/>
      <c r="H626" s="476"/>
      <c r="I626" s="430"/>
      <c r="J626" s="430"/>
      <c r="K626" s="430"/>
      <c r="L626" s="430"/>
      <c r="M626" s="430"/>
      <c r="N626" s="430"/>
      <c r="O626" s="430"/>
      <c r="P626" s="430"/>
      <c r="Q626" s="430"/>
      <c r="R626" s="430"/>
      <c r="S626" s="430"/>
      <c r="U626" s="472"/>
      <c r="V626" s="472"/>
      <c r="W626" s="472"/>
      <c r="X626" s="472"/>
      <c r="Y626" s="472"/>
    </row>
    <row r="627" spans="1:25" s="428" customFormat="1" ht="9.1999999999999993" customHeight="1" x14ac:dyDescent="0.25">
      <c r="A627" s="431" t="s">
        <v>23</v>
      </c>
      <c r="B627" s="427">
        <f t="shared" ref="B627:B658" si="56">SUM(D627:G627)</f>
        <v>26001</v>
      </c>
      <c r="C627" s="427"/>
      <c r="D627" s="477">
        <v>12123</v>
      </c>
      <c r="E627" s="477">
        <v>7341</v>
      </c>
      <c r="F627" s="477">
        <v>3157</v>
      </c>
      <c r="G627" s="477">
        <v>3380</v>
      </c>
      <c r="I627" s="427">
        <f t="shared" ref="I627:I657" si="57">SUM(K627:O627)</f>
        <v>106120</v>
      </c>
      <c r="J627" s="427"/>
      <c r="K627" s="427">
        <v>10053</v>
      </c>
      <c r="L627" s="427">
        <v>48977</v>
      </c>
      <c r="M627" s="427">
        <v>46861</v>
      </c>
      <c r="N627" s="427">
        <v>229</v>
      </c>
      <c r="O627" s="427"/>
      <c r="P627" s="427">
        <f t="shared" ref="P627:P658" si="58">SUM(R627:S627)</f>
        <v>3207</v>
      </c>
      <c r="Q627" s="427"/>
      <c r="R627" s="427">
        <v>816</v>
      </c>
      <c r="S627" s="427">
        <v>2391</v>
      </c>
      <c r="U627" s="472"/>
      <c r="V627" s="472"/>
      <c r="W627" s="472"/>
      <c r="X627" s="472"/>
      <c r="Y627" s="472"/>
    </row>
    <row r="628" spans="1:25" s="428" customFormat="1" ht="9.1999999999999993" customHeight="1" x14ac:dyDescent="0.25">
      <c r="A628" s="431" t="s">
        <v>24</v>
      </c>
      <c r="B628" s="427">
        <f t="shared" si="56"/>
        <v>80567</v>
      </c>
      <c r="C628" s="427"/>
      <c r="D628" s="477">
        <v>49717</v>
      </c>
      <c r="E628" s="477">
        <v>16236</v>
      </c>
      <c r="F628" s="477">
        <v>10099</v>
      </c>
      <c r="G628" s="477">
        <v>4515</v>
      </c>
      <c r="I628" s="427">
        <f t="shared" si="57"/>
        <v>333082</v>
      </c>
      <c r="J628" s="427"/>
      <c r="K628" s="427">
        <v>66070</v>
      </c>
      <c r="L628" s="427">
        <v>119779</v>
      </c>
      <c r="M628" s="427">
        <v>143141</v>
      </c>
      <c r="N628" s="427">
        <v>4092</v>
      </c>
      <c r="O628" s="427"/>
      <c r="P628" s="427">
        <f t="shared" si="58"/>
        <v>10414</v>
      </c>
      <c r="Q628" s="427"/>
      <c r="R628" s="427">
        <v>1227</v>
      </c>
      <c r="S628" s="427">
        <v>9187</v>
      </c>
      <c r="U628" s="472"/>
      <c r="V628" s="472"/>
      <c r="W628" s="472"/>
      <c r="X628" s="472"/>
      <c r="Y628" s="472"/>
    </row>
    <row r="629" spans="1:25" s="428" customFormat="1" ht="9.1999999999999993" customHeight="1" x14ac:dyDescent="0.25">
      <c r="A629" s="431" t="s">
        <v>25</v>
      </c>
      <c r="B629" s="427">
        <f t="shared" si="56"/>
        <v>13523</v>
      </c>
      <c r="C629" s="427"/>
      <c r="D629" s="477">
        <v>4123</v>
      </c>
      <c r="E629" s="477">
        <v>4616</v>
      </c>
      <c r="F629" s="477">
        <v>3451</v>
      </c>
      <c r="G629" s="477">
        <v>1333</v>
      </c>
      <c r="I629" s="427">
        <f t="shared" si="57"/>
        <v>71649</v>
      </c>
      <c r="J629" s="427"/>
      <c r="K629" s="427">
        <v>4845</v>
      </c>
      <c r="L629" s="427">
        <v>33546</v>
      </c>
      <c r="M629" s="427">
        <v>31556</v>
      </c>
      <c r="N629" s="427">
        <v>1702</v>
      </c>
      <c r="O629" s="427"/>
      <c r="P629" s="427">
        <f t="shared" si="58"/>
        <v>2139</v>
      </c>
      <c r="Q629" s="427"/>
      <c r="R629" s="427">
        <v>251</v>
      </c>
      <c r="S629" s="427">
        <v>1888</v>
      </c>
      <c r="U629" s="472"/>
      <c r="V629" s="472"/>
      <c r="W629" s="472"/>
      <c r="X629" s="472"/>
      <c r="Y629" s="472"/>
    </row>
    <row r="630" spans="1:25" s="428" customFormat="1" ht="9.1999999999999993" customHeight="1" x14ac:dyDescent="0.25">
      <c r="A630" s="433" t="s">
        <v>26</v>
      </c>
      <c r="B630" s="434">
        <f t="shared" si="56"/>
        <v>13781</v>
      </c>
      <c r="C630" s="434"/>
      <c r="D630" s="479">
        <v>7434</v>
      </c>
      <c r="E630" s="479">
        <v>3127</v>
      </c>
      <c r="F630" s="479">
        <v>1803</v>
      </c>
      <c r="G630" s="479">
        <v>1417</v>
      </c>
      <c r="H630" s="475"/>
      <c r="I630" s="434">
        <f t="shared" si="57"/>
        <v>87654</v>
      </c>
      <c r="J630" s="434"/>
      <c r="K630" s="434">
        <v>13723</v>
      </c>
      <c r="L630" s="434">
        <v>36310</v>
      </c>
      <c r="M630" s="434">
        <v>36289</v>
      </c>
      <c r="N630" s="434">
        <v>1332</v>
      </c>
      <c r="O630" s="434"/>
      <c r="P630" s="434">
        <f t="shared" si="58"/>
        <v>1808</v>
      </c>
      <c r="Q630" s="434"/>
      <c r="R630" s="434">
        <v>189</v>
      </c>
      <c r="S630" s="434">
        <v>1619</v>
      </c>
      <c r="U630" s="472">
        <v>5279</v>
      </c>
      <c r="V630" s="472">
        <v>12327</v>
      </c>
      <c r="W630" s="472"/>
      <c r="X630" s="472"/>
      <c r="Y630" s="472"/>
    </row>
    <row r="631" spans="1:25" s="428" customFormat="1" ht="9.1999999999999993" customHeight="1" x14ac:dyDescent="0.25">
      <c r="A631" s="431" t="s">
        <v>27</v>
      </c>
      <c r="B631" s="427">
        <f t="shared" si="56"/>
        <v>88520</v>
      </c>
      <c r="C631" s="427"/>
      <c r="D631" s="477">
        <v>31442</v>
      </c>
      <c r="E631" s="477">
        <v>26440</v>
      </c>
      <c r="F631" s="477">
        <v>8707</v>
      </c>
      <c r="G631" s="477">
        <v>21931</v>
      </c>
      <c r="I631" s="427">
        <f t="shared" si="57"/>
        <v>341889</v>
      </c>
      <c r="J631" s="427"/>
      <c r="K631" s="427">
        <v>35954</v>
      </c>
      <c r="L631" s="427">
        <v>129773</v>
      </c>
      <c r="M631" s="427">
        <v>171367</v>
      </c>
      <c r="N631" s="427">
        <v>4795</v>
      </c>
      <c r="O631" s="427"/>
      <c r="P631" s="427">
        <f t="shared" si="58"/>
        <v>9157</v>
      </c>
      <c r="Q631" s="427"/>
      <c r="R631" s="427">
        <v>1046</v>
      </c>
      <c r="S631" s="427">
        <v>8111</v>
      </c>
      <c r="U631" s="472">
        <v>1771</v>
      </c>
      <c r="V631" s="472">
        <v>1374</v>
      </c>
      <c r="W631" s="472"/>
      <c r="X631" s="472"/>
      <c r="Y631" s="472"/>
    </row>
    <row r="632" spans="1:25" s="428" customFormat="1" ht="9.1999999999999993" customHeight="1" x14ac:dyDescent="0.25">
      <c r="A632" s="431" t="s">
        <v>28</v>
      </c>
      <c r="B632" s="427">
        <f t="shared" si="56"/>
        <v>14440</v>
      </c>
      <c r="C632" s="427"/>
      <c r="D632" s="477">
        <v>6132</v>
      </c>
      <c r="E632" s="477">
        <v>5289</v>
      </c>
      <c r="F632" s="477">
        <v>2104</v>
      </c>
      <c r="G632" s="477">
        <v>915</v>
      </c>
      <c r="I632" s="427">
        <f t="shared" si="57"/>
        <v>67246</v>
      </c>
      <c r="J632" s="427"/>
      <c r="K632" s="427">
        <v>7681</v>
      </c>
      <c r="L632" s="427">
        <v>26048</v>
      </c>
      <c r="M632" s="427">
        <v>32651</v>
      </c>
      <c r="N632" s="427">
        <v>866</v>
      </c>
      <c r="O632" s="427"/>
      <c r="P632" s="427">
        <f t="shared" si="58"/>
        <v>1737</v>
      </c>
      <c r="Q632" s="427"/>
      <c r="R632" s="427">
        <v>278</v>
      </c>
      <c r="S632" s="427">
        <v>1459</v>
      </c>
      <c r="U632" s="472">
        <v>2140</v>
      </c>
      <c r="V632" s="472">
        <v>24459</v>
      </c>
      <c r="W632" s="472"/>
      <c r="X632" s="472"/>
      <c r="Y632" s="472"/>
    </row>
    <row r="633" spans="1:25" s="428" customFormat="1" ht="9.1999999999999993" customHeight="1" x14ac:dyDescent="0.25">
      <c r="A633" s="431" t="s">
        <v>29</v>
      </c>
      <c r="B633" s="427">
        <f t="shared" si="56"/>
        <v>103779</v>
      </c>
      <c r="C633" s="427"/>
      <c r="D633" s="477">
        <v>58749</v>
      </c>
      <c r="E633" s="477">
        <v>23700</v>
      </c>
      <c r="F633" s="477">
        <v>12915</v>
      </c>
      <c r="G633" s="477">
        <v>8415</v>
      </c>
      <c r="I633" s="427">
        <f t="shared" si="57"/>
        <v>422359</v>
      </c>
      <c r="J633" s="427"/>
      <c r="K633" s="427">
        <v>66856</v>
      </c>
      <c r="L633" s="427">
        <v>172527</v>
      </c>
      <c r="M633" s="427">
        <v>179767</v>
      </c>
      <c r="N633" s="427">
        <v>3209</v>
      </c>
      <c r="O633" s="427"/>
      <c r="P633" s="427">
        <f t="shared" si="58"/>
        <v>10981</v>
      </c>
      <c r="Q633" s="427"/>
      <c r="R633" s="427">
        <v>353</v>
      </c>
      <c r="S633" s="427">
        <v>10628</v>
      </c>
      <c r="U633" s="472">
        <v>13909</v>
      </c>
      <c r="V633" s="472"/>
      <c r="W633" s="472"/>
      <c r="X633" s="472"/>
      <c r="Y633" s="472"/>
    </row>
    <row r="634" spans="1:25" s="428" customFormat="1" ht="9.1999999999999993" customHeight="1" x14ac:dyDescent="0.25">
      <c r="A634" s="433" t="s">
        <v>30</v>
      </c>
      <c r="B634" s="434">
        <f t="shared" si="56"/>
        <v>77662</v>
      </c>
      <c r="C634" s="434"/>
      <c r="D634" s="479">
        <v>41888</v>
      </c>
      <c r="E634" s="479">
        <v>18399</v>
      </c>
      <c r="F634" s="479">
        <v>12143</v>
      </c>
      <c r="G634" s="479">
        <v>5232</v>
      </c>
      <c r="H634" s="475"/>
      <c r="I634" s="434">
        <f t="shared" si="57"/>
        <v>344063</v>
      </c>
      <c r="J634" s="434"/>
      <c r="K634" s="434">
        <v>41834</v>
      </c>
      <c r="L634" s="434">
        <v>130592</v>
      </c>
      <c r="M634" s="434">
        <v>167835</v>
      </c>
      <c r="N634" s="434">
        <v>3802</v>
      </c>
      <c r="O634" s="434"/>
      <c r="P634" s="434">
        <f t="shared" si="58"/>
        <v>11719</v>
      </c>
      <c r="Q634" s="434"/>
      <c r="R634" s="434">
        <v>1910</v>
      </c>
      <c r="S634" s="434">
        <v>9809</v>
      </c>
      <c r="U634" s="472">
        <f>SUM(U630:U633)</f>
        <v>23099</v>
      </c>
      <c r="V634" s="472">
        <f>SUM(V630:V633)</f>
        <v>38160</v>
      </c>
      <c r="W634" s="472"/>
      <c r="X634" s="472"/>
      <c r="Y634" s="472"/>
    </row>
    <row r="635" spans="1:25" s="428" customFormat="1" ht="9.1999999999999993" customHeight="1" x14ac:dyDescent="0.25">
      <c r="A635" s="431" t="s">
        <v>63</v>
      </c>
      <c r="B635" s="427">
        <f t="shared" si="56"/>
        <v>188601</v>
      </c>
      <c r="C635" s="427"/>
      <c r="D635" s="477">
        <v>53585</v>
      </c>
      <c r="E635" s="477">
        <v>52407</v>
      </c>
      <c r="F635" s="477">
        <v>22978</v>
      </c>
      <c r="G635" s="477">
        <v>59631</v>
      </c>
      <c r="I635" s="427">
        <f t="shared" si="57"/>
        <v>960828</v>
      </c>
      <c r="J635" s="427"/>
      <c r="K635" s="427">
        <v>90184</v>
      </c>
      <c r="L635" s="427">
        <v>210693</v>
      </c>
      <c r="M635" s="427">
        <v>576858</v>
      </c>
      <c r="N635" s="427">
        <v>83093</v>
      </c>
      <c r="O635" s="427"/>
      <c r="P635" s="427">
        <f t="shared" si="58"/>
        <v>23387</v>
      </c>
      <c r="Q635" s="427"/>
      <c r="R635" s="427">
        <v>3636</v>
      </c>
      <c r="S635" s="427">
        <v>19751</v>
      </c>
      <c r="U635" s="472"/>
      <c r="V635" s="472"/>
      <c r="W635" s="472"/>
      <c r="X635" s="472"/>
      <c r="Y635" s="472"/>
    </row>
    <row r="636" spans="1:25" s="428" customFormat="1" ht="9.1999999999999993" customHeight="1" x14ac:dyDescent="0.25">
      <c r="A636" s="431" t="s">
        <v>31</v>
      </c>
      <c r="B636" s="427">
        <f t="shared" si="56"/>
        <v>46878</v>
      </c>
      <c r="C636" s="427"/>
      <c r="D636" s="477">
        <v>25320</v>
      </c>
      <c r="E636" s="477">
        <v>14264</v>
      </c>
      <c r="F636" s="477">
        <v>5428</v>
      </c>
      <c r="G636" s="477">
        <v>1866</v>
      </c>
      <c r="I636" s="427">
        <f t="shared" si="57"/>
        <v>163575</v>
      </c>
      <c r="J636" s="427"/>
      <c r="K636" s="427">
        <v>25884</v>
      </c>
      <c r="L636" s="427">
        <v>60228</v>
      </c>
      <c r="M636" s="427">
        <v>76812</v>
      </c>
      <c r="N636" s="427">
        <v>651</v>
      </c>
      <c r="O636" s="427"/>
      <c r="P636" s="427">
        <f t="shared" si="58"/>
        <v>4714</v>
      </c>
      <c r="Q636" s="427"/>
      <c r="R636" s="427">
        <v>885</v>
      </c>
      <c r="S636" s="427">
        <v>3829</v>
      </c>
      <c r="U636" s="472"/>
      <c r="V636" s="472"/>
      <c r="W636" s="472"/>
      <c r="X636" s="472"/>
      <c r="Y636" s="472"/>
    </row>
    <row r="637" spans="1:25" s="428" customFormat="1" ht="9.1999999999999993" customHeight="1" x14ac:dyDescent="0.25">
      <c r="A637" s="431" t="s">
        <v>32</v>
      </c>
      <c r="B637" s="427">
        <f t="shared" si="56"/>
        <v>112367</v>
      </c>
      <c r="C637" s="427"/>
      <c r="D637" s="477">
        <v>45039</v>
      </c>
      <c r="E637" s="477">
        <v>29287</v>
      </c>
      <c r="F637" s="477">
        <v>13480</v>
      </c>
      <c r="G637" s="477">
        <v>24561</v>
      </c>
      <c r="I637" s="427">
        <f t="shared" si="57"/>
        <v>530269</v>
      </c>
      <c r="J637" s="427"/>
      <c r="K637" s="427">
        <v>99382</v>
      </c>
      <c r="L637" s="427">
        <v>205956</v>
      </c>
      <c r="M637" s="427">
        <v>205908</v>
      </c>
      <c r="N637" s="427">
        <v>19023</v>
      </c>
      <c r="O637" s="427"/>
      <c r="P637" s="427">
        <f t="shared" si="58"/>
        <v>9539</v>
      </c>
      <c r="Q637" s="427"/>
      <c r="R637" s="427">
        <v>2190</v>
      </c>
      <c r="S637" s="427">
        <v>7349</v>
      </c>
      <c r="U637" s="472"/>
      <c r="V637" s="472"/>
      <c r="W637" s="472"/>
      <c r="X637" s="472"/>
      <c r="Y637" s="472"/>
    </row>
    <row r="638" spans="1:25" s="428" customFormat="1" ht="9.1999999999999993" customHeight="1" x14ac:dyDescent="0.25">
      <c r="A638" s="433" t="s">
        <v>33</v>
      </c>
      <c r="B638" s="434">
        <f t="shared" si="56"/>
        <v>90635</v>
      </c>
      <c r="C638" s="434"/>
      <c r="D638" s="479">
        <v>41926</v>
      </c>
      <c r="E638" s="479">
        <v>12962</v>
      </c>
      <c r="F638" s="479">
        <v>5476</v>
      </c>
      <c r="G638" s="479">
        <v>30271</v>
      </c>
      <c r="H638" s="475"/>
      <c r="I638" s="434">
        <f t="shared" si="57"/>
        <v>298339</v>
      </c>
      <c r="J638" s="434"/>
      <c r="K638" s="434">
        <v>48824</v>
      </c>
      <c r="L638" s="434">
        <v>148076</v>
      </c>
      <c r="M638" s="434">
        <v>92712</v>
      </c>
      <c r="N638" s="434">
        <v>8727</v>
      </c>
      <c r="O638" s="434"/>
      <c r="P638" s="434">
        <f t="shared" si="58"/>
        <v>4625</v>
      </c>
      <c r="Q638" s="434"/>
      <c r="R638" s="434">
        <v>498</v>
      </c>
      <c r="S638" s="434">
        <v>4127</v>
      </c>
      <c r="U638" s="472"/>
      <c r="V638" s="472"/>
      <c r="W638" s="472"/>
      <c r="X638" s="472"/>
      <c r="Y638" s="472"/>
    </row>
    <row r="639" spans="1:25" s="428" customFormat="1" ht="9.1999999999999993" customHeight="1" x14ac:dyDescent="0.25">
      <c r="A639" s="431" t="s">
        <v>34</v>
      </c>
      <c r="B639" s="427">
        <f t="shared" si="56"/>
        <v>89104</v>
      </c>
      <c r="C639" s="427"/>
      <c r="D639" s="477">
        <v>21817</v>
      </c>
      <c r="E639" s="477">
        <v>25732</v>
      </c>
      <c r="F639" s="477">
        <v>9472</v>
      </c>
      <c r="G639" s="477">
        <v>32083</v>
      </c>
      <c r="I639" s="427">
        <f t="shared" si="57"/>
        <v>332819</v>
      </c>
      <c r="J639" s="427"/>
      <c r="K639" s="427">
        <v>42443</v>
      </c>
      <c r="L639" s="427">
        <v>163650</v>
      </c>
      <c r="M639" s="427">
        <v>118128</v>
      </c>
      <c r="N639" s="427">
        <v>8598</v>
      </c>
      <c r="O639" s="427"/>
      <c r="P639" s="427">
        <f t="shared" si="58"/>
        <v>6515</v>
      </c>
      <c r="Q639" s="427"/>
      <c r="R639" s="427">
        <v>607</v>
      </c>
      <c r="S639" s="427">
        <v>5908</v>
      </c>
      <c r="U639" s="472"/>
      <c r="V639" s="472"/>
      <c r="W639" s="472"/>
      <c r="X639" s="472"/>
      <c r="Y639" s="472"/>
    </row>
    <row r="640" spans="1:25" s="428" customFormat="1" ht="9.1999999999999993" customHeight="1" x14ac:dyDescent="0.25">
      <c r="A640" s="431" t="s">
        <v>35</v>
      </c>
      <c r="B640" s="427">
        <f t="shared" si="56"/>
        <v>107961</v>
      </c>
      <c r="C640" s="427"/>
      <c r="D640" s="477">
        <v>42527</v>
      </c>
      <c r="E640" s="477">
        <v>32886</v>
      </c>
      <c r="F640" s="477">
        <v>21348</v>
      </c>
      <c r="G640" s="477">
        <v>11200</v>
      </c>
      <c r="I640" s="427">
        <f t="shared" si="57"/>
        <v>514917</v>
      </c>
      <c r="J640" s="427"/>
      <c r="K640" s="427">
        <v>47578</v>
      </c>
      <c r="L640" s="427">
        <v>159423</v>
      </c>
      <c r="M640" s="427">
        <v>304142</v>
      </c>
      <c r="N640" s="427">
        <v>3774</v>
      </c>
      <c r="O640" s="427"/>
      <c r="P640" s="427">
        <f t="shared" si="58"/>
        <v>21704</v>
      </c>
      <c r="Q640" s="427"/>
      <c r="R640" s="427">
        <v>3612</v>
      </c>
      <c r="S640" s="427">
        <v>18092</v>
      </c>
      <c r="U640" s="826" t="s">
        <v>344</v>
      </c>
      <c r="V640" s="827"/>
      <c r="W640" s="827"/>
      <c r="X640" s="472"/>
      <c r="Y640" s="472"/>
    </row>
    <row r="641" spans="1:25" s="428" customFormat="1" ht="9.1999999999999993" customHeight="1" x14ac:dyDescent="0.25">
      <c r="A641" s="431" t="s">
        <v>36</v>
      </c>
      <c r="B641" s="427">
        <f t="shared" si="56"/>
        <v>240510</v>
      </c>
      <c r="C641" s="427"/>
      <c r="D641" s="477">
        <v>79368</v>
      </c>
      <c r="E641" s="477">
        <v>69947</v>
      </c>
      <c r="F641" s="477">
        <v>30842</v>
      </c>
      <c r="G641" s="477">
        <v>60353</v>
      </c>
      <c r="I641" s="427">
        <f t="shared" si="57"/>
        <v>1075495</v>
      </c>
      <c r="J641" s="427"/>
      <c r="K641" s="427">
        <v>157104</v>
      </c>
      <c r="L641" s="427">
        <v>336964</v>
      </c>
      <c r="M641" s="427">
        <v>562661</v>
      </c>
      <c r="N641" s="427">
        <v>18766</v>
      </c>
      <c r="O641" s="427"/>
      <c r="P641" s="427">
        <f t="shared" si="58"/>
        <v>26639</v>
      </c>
      <c r="Q641" s="427"/>
      <c r="R641" s="427">
        <v>3687</v>
      </c>
      <c r="S641" s="427">
        <v>22952</v>
      </c>
      <c r="U641" s="827"/>
      <c r="V641" s="827"/>
      <c r="W641" s="827"/>
      <c r="X641" s="472"/>
      <c r="Y641" s="472"/>
    </row>
    <row r="642" spans="1:25" s="428" customFormat="1" ht="9.1999999999999993" customHeight="1" x14ac:dyDescent="0.25">
      <c r="A642" s="433" t="s">
        <v>37</v>
      </c>
      <c r="B642" s="434">
        <f t="shared" si="56"/>
        <v>98034</v>
      </c>
      <c r="C642" s="434"/>
      <c r="D642" s="479">
        <v>45883</v>
      </c>
      <c r="E642" s="479">
        <v>31095</v>
      </c>
      <c r="F642" s="479">
        <v>8919</v>
      </c>
      <c r="G642" s="479">
        <v>12137</v>
      </c>
      <c r="H642" s="475"/>
      <c r="I642" s="434">
        <f t="shared" si="57"/>
        <v>418227</v>
      </c>
      <c r="J642" s="434"/>
      <c r="K642" s="434">
        <v>64311</v>
      </c>
      <c r="L642" s="434">
        <v>188423</v>
      </c>
      <c r="M642" s="434">
        <v>159577</v>
      </c>
      <c r="N642" s="434">
        <v>5916</v>
      </c>
      <c r="O642" s="434"/>
      <c r="P642" s="434">
        <f t="shared" si="58"/>
        <v>8951</v>
      </c>
      <c r="Q642" s="434"/>
      <c r="R642" s="434">
        <v>1101</v>
      </c>
      <c r="S642" s="434">
        <v>7850</v>
      </c>
      <c r="U642" s="827"/>
      <c r="V642" s="827"/>
      <c r="W642" s="827"/>
      <c r="X642" s="472"/>
      <c r="Y642" s="472"/>
    </row>
    <row r="643" spans="1:25" s="428" customFormat="1" ht="9.1999999999999993" customHeight="1" x14ac:dyDescent="0.25">
      <c r="A643" s="431" t="s">
        <v>38</v>
      </c>
      <c r="B643" s="427">
        <f t="shared" si="56"/>
        <v>34790</v>
      </c>
      <c r="C643" s="427"/>
      <c r="D643" s="477">
        <v>12945</v>
      </c>
      <c r="E643" s="477">
        <v>8694</v>
      </c>
      <c r="F643" s="477">
        <v>3617</v>
      </c>
      <c r="G643" s="477">
        <v>9534</v>
      </c>
      <c r="I643" s="427">
        <f t="shared" si="57"/>
        <v>162526.79999999999</v>
      </c>
      <c r="J643" s="427"/>
      <c r="K643" s="427">
        <v>24211</v>
      </c>
      <c r="L643" s="427">
        <v>53937.8</v>
      </c>
      <c r="M643" s="427">
        <v>75122</v>
      </c>
      <c r="N643" s="427">
        <v>9256</v>
      </c>
      <c r="O643" s="427"/>
      <c r="P643" s="427">
        <f t="shared" si="58"/>
        <v>3426</v>
      </c>
      <c r="Q643" s="427"/>
      <c r="R643" s="427">
        <v>423</v>
      </c>
      <c r="S643" s="427">
        <v>3003</v>
      </c>
      <c r="U643" s="827"/>
      <c r="V643" s="827"/>
      <c r="W643" s="827"/>
      <c r="X643" s="472"/>
      <c r="Y643" s="472"/>
    </row>
    <row r="644" spans="1:25" s="428" customFormat="1" ht="9.1999999999999993" customHeight="1" x14ac:dyDescent="0.25">
      <c r="A644" s="431" t="s">
        <v>39</v>
      </c>
      <c r="B644" s="427">
        <f t="shared" si="56"/>
        <v>26070</v>
      </c>
      <c r="C644" s="427"/>
      <c r="D644" s="477">
        <v>14590</v>
      </c>
      <c r="E644" s="477">
        <v>7997</v>
      </c>
      <c r="F644" s="477">
        <v>2519</v>
      </c>
      <c r="G644" s="477">
        <v>964</v>
      </c>
      <c r="I644" s="427">
        <f t="shared" si="57"/>
        <v>108731</v>
      </c>
      <c r="J644" s="427"/>
      <c r="K644" s="427">
        <v>19784</v>
      </c>
      <c r="L644" s="427">
        <v>37071</v>
      </c>
      <c r="M644" s="427">
        <v>50574</v>
      </c>
      <c r="N644" s="427">
        <v>1302</v>
      </c>
      <c r="O644" s="427"/>
      <c r="P644" s="427">
        <f t="shared" si="58"/>
        <v>2525</v>
      </c>
      <c r="Q644" s="427"/>
      <c r="R644" s="427">
        <v>218</v>
      </c>
      <c r="S644" s="427">
        <v>2307</v>
      </c>
      <c r="U644" s="472"/>
      <c r="V644" s="472"/>
      <c r="W644" s="472"/>
      <c r="X644" s="472"/>
      <c r="Y644" s="472"/>
    </row>
    <row r="645" spans="1:25" s="428" customFormat="1" ht="9.1999999999999993" customHeight="1" x14ac:dyDescent="0.25">
      <c r="A645" s="431" t="s">
        <v>40</v>
      </c>
      <c r="B645" s="427">
        <f t="shared" si="56"/>
        <v>73656</v>
      </c>
      <c r="C645" s="427"/>
      <c r="D645" s="477">
        <v>24381</v>
      </c>
      <c r="E645" s="477">
        <v>32372</v>
      </c>
      <c r="F645" s="477">
        <v>11525</v>
      </c>
      <c r="G645" s="477">
        <v>5378</v>
      </c>
      <c r="I645" s="427">
        <f t="shared" si="57"/>
        <v>457085</v>
      </c>
      <c r="J645" s="427"/>
      <c r="K645" s="427">
        <v>59066</v>
      </c>
      <c r="L645" s="427">
        <v>186931</v>
      </c>
      <c r="M645" s="427">
        <v>207101</v>
      </c>
      <c r="N645" s="427">
        <v>3987</v>
      </c>
      <c r="O645" s="427"/>
      <c r="P645" s="427">
        <f t="shared" si="58"/>
        <v>12188</v>
      </c>
      <c r="Q645" s="427"/>
      <c r="R645" s="427">
        <v>1944</v>
      </c>
      <c r="S645" s="427">
        <v>10244</v>
      </c>
      <c r="U645" s="472"/>
      <c r="V645" s="472"/>
      <c r="W645" s="472"/>
      <c r="X645" s="472"/>
      <c r="Y645" s="472"/>
    </row>
    <row r="646" spans="1:25" s="428" customFormat="1" ht="9.1999999999999993" customHeight="1" x14ac:dyDescent="0.25">
      <c r="A646" s="433" t="s">
        <v>41</v>
      </c>
      <c r="B646" s="434">
        <f t="shared" si="56"/>
        <v>72524</v>
      </c>
      <c r="C646" s="434"/>
      <c r="D646" s="479">
        <v>36652</v>
      </c>
      <c r="E646" s="479">
        <v>21922</v>
      </c>
      <c r="F646" s="479">
        <v>8269</v>
      </c>
      <c r="G646" s="479">
        <v>5681</v>
      </c>
      <c r="H646" s="475"/>
      <c r="I646" s="434">
        <f t="shared" si="57"/>
        <v>313982</v>
      </c>
      <c r="J646" s="434"/>
      <c r="K646" s="434">
        <v>41141</v>
      </c>
      <c r="L646" s="434">
        <v>128400</v>
      </c>
      <c r="M646" s="434">
        <v>140664</v>
      </c>
      <c r="N646" s="434">
        <v>3777</v>
      </c>
      <c r="O646" s="434"/>
      <c r="P646" s="434">
        <f t="shared" si="58"/>
        <v>8345</v>
      </c>
      <c r="Q646" s="434"/>
      <c r="R646" s="434">
        <v>482</v>
      </c>
      <c r="S646" s="434">
        <v>7863</v>
      </c>
      <c r="U646" s="472"/>
      <c r="V646" s="472"/>
      <c r="W646" s="472"/>
      <c r="X646" s="472"/>
      <c r="Y646" s="472"/>
    </row>
    <row r="647" spans="1:25" s="428" customFormat="1" ht="9.1999999999999993" customHeight="1" x14ac:dyDescent="0.25">
      <c r="A647" s="431" t="s">
        <v>42</v>
      </c>
      <c r="B647" s="427">
        <f t="shared" si="56"/>
        <v>98781</v>
      </c>
      <c r="C647" s="427"/>
      <c r="D647" s="477">
        <v>37563</v>
      </c>
      <c r="E647" s="477">
        <v>37021</v>
      </c>
      <c r="F647" s="477">
        <v>10621</v>
      </c>
      <c r="G647" s="477">
        <v>13576</v>
      </c>
      <c r="I647" s="427">
        <f t="shared" si="57"/>
        <v>582290</v>
      </c>
      <c r="J647" s="427"/>
      <c r="K647" s="427">
        <v>104200</v>
      </c>
      <c r="L647" s="427">
        <v>249974</v>
      </c>
      <c r="M647" s="427">
        <v>213675</v>
      </c>
      <c r="N647" s="427">
        <v>14441</v>
      </c>
      <c r="O647" s="427"/>
      <c r="P647" s="427">
        <f t="shared" si="58"/>
        <v>11092</v>
      </c>
      <c r="Q647" s="427"/>
      <c r="R647" s="427">
        <v>1479</v>
      </c>
      <c r="S647" s="427">
        <v>9613</v>
      </c>
      <c r="U647" s="472"/>
      <c r="V647" s="472"/>
      <c r="W647" s="472"/>
      <c r="X647" s="472"/>
      <c r="Y647" s="472"/>
    </row>
    <row r="648" spans="1:25" s="428" customFormat="1" ht="9.1999999999999993" customHeight="1" x14ac:dyDescent="0.25">
      <c r="A648" s="431" t="s">
        <v>43</v>
      </c>
      <c r="B648" s="427">
        <f t="shared" si="56"/>
        <v>38814</v>
      </c>
      <c r="C648" s="427"/>
      <c r="D648" s="477">
        <v>18000</v>
      </c>
      <c r="E648" s="477">
        <v>12029</v>
      </c>
      <c r="F648" s="477">
        <v>4611</v>
      </c>
      <c r="G648" s="477">
        <v>4174</v>
      </c>
      <c r="I648" s="427">
        <f t="shared" si="57"/>
        <v>175052</v>
      </c>
      <c r="J648" s="427"/>
      <c r="K648" s="427">
        <v>28627</v>
      </c>
      <c r="L648" s="427">
        <v>75357</v>
      </c>
      <c r="M648" s="427">
        <v>70028</v>
      </c>
      <c r="N648" s="427">
        <v>1040</v>
      </c>
      <c r="O648" s="427"/>
      <c r="P648" s="427">
        <f t="shared" si="58"/>
        <v>5515</v>
      </c>
      <c r="Q648" s="427"/>
      <c r="R648" s="427">
        <v>1115</v>
      </c>
      <c r="S648" s="427">
        <v>4400</v>
      </c>
      <c r="U648" s="472"/>
      <c r="V648" s="472"/>
      <c r="W648" s="472"/>
      <c r="X648" s="472"/>
      <c r="Y648" s="472"/>
    </row>
    <row r="649" spans="1:25" s="428" customFormat="1" ht="9.1999999999999993" customHeight="1" x14ac:dyDescent="0.25">
      <c r="A649" s="431" t="s">
        <v>44</v>
      </c>
      <c r="B649" s="427">
        <f t="shared" si="56"/>
        <v>34560</v>
      </c>
      <c r="C649" s="427"/>
      <c r="D649" s="477">
        <v>11731</v>
      </c>
      <c r="E649" s="477">
        <v>9178</v>
      </c>
      <c r="F649" s="477">
        <v>10145</v>
      </c>
      <c r="G649" s="477">
        <v>3506</v>
      </c>
      <c r="I649" s="427">
        <f t="shared" si="57"/>
        <v>130931</v>
      </c>
      <c r="J649" s="427"/>
      <c r="K649" s="427">
        <v>19202</v>
      </c>
      <c r="L649" s="427">
        <v>49533</v>
      </c>
      <c r="M649" s="427">
        <v>58816</v>
      </c>
      <c r="N649" s="427">
        <v>3380</v>
      </c>
      <c r="O649" s="427"/>
      <c r="P649" s="427">
        <f t="shared" si="58"/>
        <v>5539</v>
      </c>
      <c r="Q649" s="427"/>
      <c r="R649" s="427">
        <v>897</v>
      </c>
      <c r="S649" s="427">
        <v>4642</v>
      </c>
      <c r="U649" s="472"/>
      <c r="V649" s="472"/>
      <c r="W649" s="472"/>
      <c r="X649" s="472"/>
      <c r="Y649" s="472"/>
    </row>
    <row r="650" spans="1:25" s="428" customFormat="1" ht="9.1999999999999993" customHeight="1" x14ac:dyDescent="0.25">
      <c r="A650" s="433" t="s">
        <v>45</v>
      </c>
      <c r="B650" s="434">
        <f t="shared" si="56"/>
        <v>80032</v>
      </c>
      <c r="C650" s="434"/>
      <c r="D650" s="479">
        <v>35793</v>
      </c>
      <c r="E650" s="479">
        <v>21957</v>
      </c>
      <c r="F650" s="479">
        <v>5290</v>
      </c>
      <c r="G650" s="479">
        <v>16992</v>
      </c>
      <c r="H650" s="475"/>
      <c r="I650" s="434">
        <f t="shared" si="57"/>
        <v>279617</v>
      </c>
      <c r="J650" s="434"/>
      <c r="K650" s="434">
        <v>54657</v>
      </c>
      <c r="L650" s="434">
        <v>133606</v>
      </c>
      <c r="M650" s="434">
        <v>90566</v>
      </c>
      <c r="N650" s="434">
        <v>788</v>
      </c>
      <c r="O650" s="434"/>
      <c r="P650" s="434">
        <f t="shared" si="58"/>
        <v>5607</v>
      </c>
      <c r="Q650" s="434"/>
      <c r="R650" s="434">
        <v>787</v>
      </c>
      <c r="S650" s="434">
        <v>4820</v>
      </c>
      <c r="U650" s="472"/>
      <c r="V650" s="472"/>
      <c r="W650" s="472"/>
      <c r="X650" s="472"/>
      <c r="Y650" s="472"/>
    </row>
    <row r="651" spans="1:25" s="428" customFormat="1" ht="9.1999999999999993" customHeight="1" x14ac:dyDescent="0.25">
      <c r="A651" s="431" t="s">
        <v>46</v>
      </c>
      <c r="B651" s="427">
        <f t="shared" si="56"/>
        <v>80412</v>
      </c>
      <c r="C651" s="427"/>
      <c r="D651" s="477">
        <v>39534</v>
      </c>
      <c r="E651" s="477">
        <v>21602</v>
      </c>
      <c r="F651" s="477">
        <v>6938</v>
      </c>
      <c r="G651" s="477">
        <v>12338</v>
      </c>
      <c r="I651" s="427">
        <f t="shared" si="57"/>
        <v>313255</v>
      </c>
      <c r="J651" s="427"/>
      <c r="K651" s="427">
        <v>49690</v>
      </c>
      <c r="L651" s="427">
        <v>86811</v>
      </c>
      <c r="M651" s="427">
        <v>169235</v>
      </c>
      <c r="N651" s="427">
        <v>7519</v>
      </c>
      <c r="O651" s="427"/>
      <c r="P651" s="427">
        <f t="shared" si="58"/>
        <v>6053</v>
      </c>
      <c r="Q651" s="427"/>
      <c r="R651" s="427">
        <v>574</v>
      </c>
      <c r="S651" s="427">
        <v>5479</v>
      </c>
      <c r="U651" s="472"/>
      <c r="V651" s="472"/>
      <c r="W651" s="472"/>
      <c r="X651" s="472"/>
      <c r="Y651" s="472"/>
    </row>
    <row r="652" spans="1:25" s="428" customFormat="1" ht="9.1999999999999993" customHeight="1" x14ac:dyDescent="0.25">
      <c r="A652" s="431" t="s">
        <v>47</v>
      </c>
      <c r="B652" s="427">
        <f t="shared" si="56"/>
        <v>57124</v>
      </c>
      <c r="C652" s="427"/>
      <c r="D652" s="477">
        <v>20781</v>
      </c>
      <c r="E652" s="477">
        <v>17622</v>
      </c>
      <c r="F652" s="477">
        <v>8394</v>
      </c>
      <c r="G652" s="477">
        <v>10327</v>
      </c>
      <c r="I652" s="427">
        <f t="shared" si="57"/>
        <v>276814</v>
      </c>
      <c r="J652" s="427"/>
      <c r="K652" s="427">
        <v>46842</v>
      </c>
      <c r="L652" s="427">
        <v>103747</v>
      </c>
      <c r="M652" s="427">
        <v>115617</v>
      </c>
      <c r="N652" s="427">
        <v>10608</v>
      </c>
      <c r="O652" s="427"/>
      <c r="P652" s="427">
        <f t="shared" si="58"/>
        <v>7133</v>
      </c>
      <c r="Q652" s="427"/>
      <c r="R652" s="427">
        <v>1130</v>
      </c>
      <c r="S652" s="427">
        <v>6003</v>
      </c>
      <c r="U652" s="472"/>
      <c r="V652" s="472"/>
      <c r="W652" s="472"/>
      <c r="X652" s="472"/>
      <c r="Y652" s="472"/>
    </row>
    <row r="653" spans="1:25" s="428" customFormat="1" ht="9.1999999999999993" customHeight="1" x14ac:dyDescent="0.25">
      <c r="A653" s="431" t="s">
        <v>48</v>
      </c>
      <c r="B653" s="427">
        <f t="shared" si="56"/>
        <v>37797</v>
      </c>
      <c r="C653" s="427"/>
      <c r="D653" s="477">
        <v>21936</v>
      </c>
      <c r="E653" s="477">
        <v>7970</v>
      </c>
      <c r="F653" s="477">
        <v>4077</v>
      </c>
      <c r="G653" s="477">
        <v>3814</v>
      </c>
      <c r="I653" s="427">
        <f t="shared" si="57"/>
        <v>192039</v>
      </c>
      <c r="J653" s="427"/>
      <c r="K653" s="427">
        <v>31212</v>
      </c>
      <c r="L653" s="427">
        <v>93865</v>
      </c>
      <c r="M653" s="427">
        <v>62944</v>
      </c>
      <c r="N653" s="427">
        <v>4018</v>
      </c>
      <c r="O653" s="427"/>
      <c r="P653" s="427">
        <f t="shared" si="58"/>
        <v>5094</v>
      </c>
      <c r="Q653" s="427"/>
      <c r="R653" s="427">
        <v>327</v>
      </c>
      <c r="S653" s="427">
        <v>4767</v>
      </c>
      <c r="U653" s="472"/>
      <c r="V653" s="472"/>
      <c r="W653" s="472"/>
      <c r="X653" s="472"/>
      <c r="Y653" s="472"/>
    </row>
    <row r="654" spans="1:25" s="428" customFormat="1" ht="9.1999999999999993" customHeight="1" x14ac:dyDescent="0.25">
      <c r="A654" s="433" t="s">
        <v>49</v>
      </c>
      <c r="B654" s="434">
        <f t="shared" si="56"/>
        <v>81998</v>
      </c>
      <c r="C654" s="434"/>
      <c r="D654" s="479">
        <v>32946</v>
      </c>
      <c r="E654" s="479">
        <v>21954</v>
      </c>
      <c r="F654" s="479">
        <v>9323</v>
      </c>
      <c r="G654" s="479">
        <v>17775</v>
      </c>
      <c r="H654" s="475"/>
      <c r="I654" s="434">
        <f t="shared" si="57"/>
        <v>293079</v>
      </c>
      <c r="J654" s="434"/>
      <c r="K654" s="434">
        <v>47842</v>
      </c>
      <c r="L654" s="434">
        <v>85444</v>
      </c>
      <c r="M654" s="434">
        <v>146860</v>
      </c>
      <c r="N654" s="434">
        <v>12933</v>
      </c>
      <c r="O654" s="434"/>
      <c r="P654" s="434">
        <f t="shared" si="58"/>
        <v>8273</v>
      </c>
      <c r="Q654" s="434"/>
      <c r="R654" s="434">
        <v>1286</v>
      </c>
      <c r="S654" s="434">
        <v>6987</v>
      </c>
      <c r="U654" s="472"/>
      <c r="V654" s="472"/>
      <c r="W654" s="472"/>
      <c r="X654" s="472"/>
      <c r="Y654" s="472"/>
    </row>
    <row r="655" spans="1:25" s="428" customFormat="1" ht="9.1999999999999993" customHeight="1" x14ac:dyDescent="0.25">
      <c r="A655" s="431" t="s">
        <v>50</v>
      </c>
      <c r="B655" s="427">
        <f t="shared" si="56"/>
        <v>21808</v>
      </c>
      <c r="C655" s="427"/>
      <c r="D655" s="477">
        <v>7797</v>
      </c>
      <c r="E655" s="477">
        <v>5898</v>
      </c>
      <c r="F655" s="477">
        <v>6324</v>
      </c>
      <c r="G655" s="477">
        <v>1789</v>
      </c>
      <c r="I655" s="427">
        <f t="shared" si="57"/>
        <v>85062</v>
      </c>
      <c r="J655" s="427"/>
      <c r="K655" s="427">
        <v>13177</v>
      </c>
      <c r="L655" s="427">
        <v>34965</v>
      </c>
      <c r="M655" s="427">
        <v>36706</v>
      </c>
      <c r="N655" s="427">
        <v>214</v>
      </c>
      <c r="O655" s="427"/>
      <c r="P655" s="427">
        <f t="shared" si="58"/>
        <v>1725</v>
      </c>
      <c r="Q655" s="427"/>
      <c r="R655" s="427">
        <v>153</v>
      </c>
      <c r="S655" s="427">
        <v>1572</v>
      </c>
      <c r="U655" s="472"/>
      <c r="V655" s="472"/>
      <c r="W655" s="472"/>
      <c r="X655" s="472"/>
      <c r="Y655" s="472"/>
    </row>
    <row r="656" spans="1:25" s="428" customFormat="1" ht="9.1999999999999993" customHeight="1" x14ac:dyDescent="0.25">
      <c r="A656" s="428" t="s">
        <v>51</v>
      </c>
      <c r="B656" s="427">
        <f t="shared" si="56"/>
        <v>165798</v>
      </c>
      <c r="C656" s="427"/>
      <c r="D656" s="477">
        <v>65147</v>
      </c>
      <c r="E656" s="477">
        <v>58864</v>
      </c>
      <c r="F656" s="477">
        <v>19926</v>
      </c>
      <c r="G656" s="477">
        <v>21861</v>
      </c>
      <c r="I656" s="427">
        <f t="shared" si="57"/>
        <v>806526</v>
      </c>
      <c r="J656" s="427"/>
      <c r="K656" s="427">
        <v>112907</v>
      </c>
      <c r="L656" s="427">
        <v>337141</v>
      </c>
      <c r="M656" s="427">
        <v>340919</v>
      </c>
      <c r="N656" s="427">
        <v>15559</v>
      </c>
      <c r="O656" s="427"/>
      <c r="P656" s="427">
        <f t="shared" si="58"/>
        <v>16913</v>
      </c>
      <c r="Q656" s="427"/>
      <c r="R656" s="427">
        <v>1576</v>
      </c>
      <c r="S656" s="427">
        <v>15337</v>
      </c>
      <c r="U656" s="472"/>
      <c r="V656" s="472"/>
      <c r="W656" s="472"/>
      <c r="X656" s="472"/>
      <c r="Y656" s="472"/>
    </row>
    <row r="657" spans="1:25" s="428" customFormat="1" ht="9.1999999999999993" customHeight="1" x14ac:dyDescent="0.25">
      <c r="A657" s="428" t="s">
        <v>52</v>
      </c>
      <c r="B657" s="427">
        <f t="shared" si="56"/>
        <v>31585</v>
      </c>
      <c r="C657" s="427"/>
      <c r="D657" s="477">
        <v>14618</v>
      </c>
      <c r="E657" s="477">
        <v>8037</v>
      </c>
      <c r="F657" s="477">
        <v>5993</v>
      </c>
      <c r="G657" s="477">
        <v>2937</v>
      </c>
      <c r="I657" s="427">
        <f t="shared" si="57"/>
        <v>210413</v>
      </c>
      <c r="J657" s="427"/>
      <c r="K657" s="427">
        <v>26599</v>
      </c>
      <c r="L657" s="427">
        <v>85020</v>
      </c>
      <c r="M657" s="427">
        <v>94767</v>
      </c>
      <c r="N657" s="427">
        <v>4027</v>
      </c>
      <c r="O657" s="427"/>
      <c r="P657" s="427">
        <f t="shared" si="58"/>
        <v>5565</v>
      </c>
      <c r="Q657" s="427"/>
      <c r="R657" s="427">
        <v>469</v>
      </c>
      <c r="S657" s="427">
        <v>5096</v>
      </c>
      <c r="U657" s="472"/>
      <c r="V657" s="472"/>
      <c r="W657" s="472"/>
      <c r="X657" s="472"/>
      <c r="Y657" s="472"/>
    </row>
    <row r="658" spans="1:25" s="428" customFormat="1" ht="9.1999999999999993" customHeight="1" x14ac:dyDescent="0.25">
      <c r="A658" s="433" t="s">
        <v>53</v>
      </c>
      <c r="B658" s="434">
        <f t="shared" si="56"/>
        <v>38402</v>
      </c>
      <c r="C658" s="434"/>
      <c r="D658" s="479">
        <v>15301</v>
      </c>
      <c r="E658" s="479">
        <v>16391</v>
      </c>
      <c r="F658" s="479">
        <v>3075</v>
      </c>
      <c r="G658" s="479">
        <v>3635</v>
      </c>
      <c r="H658" s="475"/>
      <c r="I658" s="434">
        <f>SUM(K658:O658)</f>
        <v>171472</v>
      </c>
      <c r="J658" s="434"/>
      <c r="K658" s="434">
        <v>32397</v>
      </c>
      <c r="L658" s="434">
        <v>80350</v>
      </c>
      <c r="M658" s="434">
        <v>56389</v>
      </c>
      <c r="N658" s="434">
        <v>2336</v>
      </c>
      <c r="O658" s="434"/>
      <c r="P658" s="434">
        <f t="shared" si="58"/>
        <v>2837</v>
      </c>
      <c r="Q658" s="434"/>
      <c r="R658" s="434">
        <v>356</v>
      </c>
      <c r="S658" s="434">
        <v>2481</v>
      </c>
      <c r="U658" s="472"/>
      <c r="V658" s="472"/>
      <c r="W658" s="472"/>
      <c r="X658" s="472"/>
      <c r="Y658" s="472"/>
    </row>
    <row r="659" spans="1:25" s="428" customFormat="1" ht="9.1999999999999993" customHeight="1" x14ac:dyDescent="0.25">
      <c r="A659" s="436"/>
      <c r="B659" s="437"/>
      <c r="C659" s="437"/>
      <c r="D659" s="483"/>
      <c r="E659" s="483"/>
      <c r="F659" s="483"/>
      <c r="G659" s="483"/>
      <c r="H659" s="472"/>
      <c r="I659" s="437"/>
      <c r="J659" s="437"/>
      <c r="K659" s="437"/>
      <c r="L659" s="437"/>
      <c r="M659" s="437"/>
      <c r="N659" s="437"/>
      <c r="O659" s="437"/>
      <c r="P659" s="437"/>
      <c r="Q659" s="437"/>
      <c r="R659" s="437"/>
      <c r="S659" s="437"/>
      <c r="U659" s="472"/>
      <c r="V659" s="472"/>
      <c r="W659" s="472"/>
      <c r="X659" s="472"/>
      <c r="Y659" s="472"/>
    </row>
    <row r="660" spans="1:25" s="428" customFormat="1" ht="9" customHeight="1" x14ac:dyDescent="0.25">
      <c r="A660" s="441">
        <v>2013</v>
      </c>
      <c r="B660" s="476"/>
      <c r="C660" s="476"/>
      <c r="D660" s="476"/>
      <c r="E660" s="476"/>
      <c r="F660" s="476"/>
      <c r="G660" s="476"/>
      <c r="H660" s="476"/>
      <c r="I660" s="476"/>
      <c r="J660" s="430"/>
      <c r="K660" s="476"/>
      <c r="L660" s="476"/>
      <c r="M660" s="476"/>
      <c r="N660" s="476"/>
      <c r="O660" s="482"/>
      <c r="P660" s="476"/>
      <c r="Q660" s="430"/>
      <c r="R660" s="476"/>
      <c r="S660" s="476"/>
      <c r="U660" s="472"/>
      <c r="V660" s="472"/>
      <c r="W660" s="472"/>
      <c r="X660" s="472"/>
      <c r="Y660" s="472"/>
    </row>
    <row r="661" spans="1:25" s="428" customFormat="1" ht="9" customHeight="1" x14ac:dyDescent="0.25">
      <c r="A661" s="429" t="s">
        <v>216</v>
      </c>
      <c r="B661" s="476">
        <f>SUM(B663:B694)</f>
        <v>2339539</v>
      </c>
      <c r="C661" s="476"/>
      <c r="D661" s="476">
        <f>SUM(D663:D694)</f>
        <v>1025921</v>
      </c>
      <c r="E661" s="476">
        <f>SUM(E663:E694)</f>
        <v>660422</v>
      </c>
      <c r="F661" s="476">
        <f>SUM(F663:F694)</f>
        <v>288818</v>
      </c>
      <c r="G661" s="476">
        <f>SUM(G663:G694)</f>
        <v>364378</v>
      </c>
      <c r="H661" s="476"/>
      <c r="I661" s="476">
        <f>SUM(I663:I694)</f>
        <v>11587422.835999999</v>
      </c>
      <c r="J661" s="476"/>
      <c r="K661" s="476">
        <f>SUM(K663:K694)</f>
        <v>2192782.0559999999</v>
      </c>
      <c r="L661" s="476">
        <f>SUM(L663:L694)</f>
        <v>2785500.0300000003</v>
      </c>
      <c r="M661" s="476">
        <f>SUM(M663:M694)</f>
        <v>5676653.75</v>
      </c>
      <c r="N661" s="476">
        <f>SUM(N663:N694)</f>
        <v>932487</v>
      </c>
      <c r="O661" s="482"/>
      <c r="P661" s="476">
        <f>SUM(P663:P694)</f>
        <v>449270</v>
      </c>
      <c r="Q661" s="476"/>
      <c r="R661" s="476">
        <f>SUM(R663:R694)</f>
        <v>40883</v>
      </c>
      <c r="S661" s="476">
        <f>SUM(S663:S694)</f>
        <v>408387</v>
      </c>
      <c r="T661" s="477"/>
      <c r="U661" s="472"/>
      <c r="V661" s="472"/>
      <c r="W661" s="472"/>
      <c r="X661" s="472"/>
      <c r="Y661" s="472"/>
    </row>
    <row r="662" spans="1:25" s="428" customFormat="1" ht="2.25" customHeight="1" x14ac:dyDescent="0.25">
      <c r="A662" s="429"/>
      <c r="B662" s="476"/>
      <c r="C662" s="476"/>
      <c r="D662" s="476"/>
      <c r="E662" s="476"/>
      <c r="F662" s="476"/>
      <c r="G662" s="476"/>
      <c r="H662" s="476"/>
      <c r="I662" s="476"/>
      <c r="J662" s="476"/>
      <c r="K662" s="476"/>
      <c r="L662" s="476"/>
      <c r="M662" s="476"/>
      <c r="N662" s="476"/>
      <c r="O662" s="482"/>
      <c r="P662" s="476"/>
      <c r="Q662" s="476"/>
      <c r="R662" s="476"/>
      <c r="S662" s="476"/>
      <c r="T662" s="477"/>
      <c r="U662" s="472"/>
      <c r="V662" s="472"/>
      <c r="W662" s="472"/>
      <c r="X662" s="472"/>
      <c r="Y662" s="472"/>
    </row>
    <row r="663" spans="1:25" s="428" customFormat="1" ht="9.1999999999999993" customHeight="1" x14ac:dyDescent="0.25">
      <c r="A663" s="431" t="s">
        <v>23</v>
      </c>
      <c r="B663" s="427">
        <f t="shared" ref="B663:B694" si="59">SUM(D663:G663)</f>
        <v>24905</v>
      </c>
      <c r="C663" s="427"/>
      <c r="D663" s="477">
        <v>11345</v>
      </c>
      <c r="E663" s="477">
        <v>6799</v>
      </c>
      <c r="F663" s="477">
        <v>2875</v>
      </c>
      <c r="G663" s="477">
        <v>3886</v>
      </c>
      <c r="I663" s="427">
        <f>SUM(K663:O663)</f>
        <v>121698</v>
      </c>
      <c r="J663" s="427"/>
      <c r="K663" s="427">
        <v>28237</v>
      </c>
      <c r="L663" s="427">
        <v>30105</v>
      </c>
      <c r="M663" s="427">
        <v>54231</v>
      </c>
      <c r="N663" s="427">
        <v>9125</v>
      </c>
      <c r="O663" s="427"/>
      <c r="P663" s="427">
        <f t="shared" ref="P663:P694" si="60">SUM(R663:S663)</f>
        <v>5532</v>
      </c>
      <c r="Q663" s="427"/>
      <c r="R663" s="427">
        <v>754</v>
      </c>
      <c r="S663" s="427">
        <v>4778</v>
      </c>
      <c r="U663" s="472"/>
      <c r="V663" s="472"/>
      <c r="W663" s="472"/>
      <c r="X663" s="472"/>
      <c r="Y663" s="472"/>
    </row>
    <row r="664" spans="1:25" s="428" customFormat="1" ht="9.1999999999999993" customHeight="1" x14ac:dyDescent="0.25">
      <c r="A664" s="431" t="s">
        <v>24</v>
      </c>
      <c r="B664" s="427">
        <f t="shared" si="59"/>
        <v>79627</v>
      </c>
      <c r="C664" s="427"/>
      <c r="D664" s="477">
        <v>51471</v>
      </c>
      <c r="E664" s="477">
        <v>15600</v>
      </c>
      <c r="F664" s="477">
        <v>9419</v>
      </c>
      <c r="G664" s="477">
        <v>3137</v>
      </c>
      <c r="I664" s="427">
        <f t="shared" ref="I664:I693" si="61">SUM(K664:O664)</f>
        <v>339767</v>
      </c>
      <c r="J664" s="427"/>
      <c r="K664" s="427">
        <v>83360</v>
      </c>
      <c r="L664" s="427">
        <v>76299</v>
      </c>
      <c r="M664" s="427">
        <v>174001</v>
      </c>
      <c r="N664" s="427">
        <v>6107</v>
      </c>
      <c r="O664" s="427"/>
      <c r="P664" s="427">
        <f t="shared" si="60"/>
        <v>14288</v>
      </c>
      <c r="Q664" s="427"/>
      <c r="R664" s="427">
        <v>1285</v>
      </c>
      <c r="S664" s="427">
        <v>13003</v>
      </c>
      <c r="U664" s="472"/>
      <c r="V664" s="472"/>
      <c r="W664" s="472"/>
      <c r="X664" s="472"/>
      <c r="Y664" s="472"/>
    </row>
    <row r="665" spans="1:25" s="428" customFormat="1" ht="9.1999999999999993" customHeight="1" x14ac:dyDescent="0.25">
      <c r="A665" s="431" t="s">
        <v>25</v>
      </c>
      <c r="B665" s="427">
        <f t="shared" si="59"/>
        <v>12093</v>
      </c>
      <c r="C665" s="427"/>
      <c r="D665" s="477">
        <v>3812</v>
      </c>
      <c r="E665" s="477">
        <v>4741</v>
      </c>
      <c r="F665" s="477">
        <v>2260</v>
      </c>
      <c r="G665" s="477">
        <v>1280</v>
      </c>
      <c r="I665" s="427">
        <f t="shared" si="61"/>
        <v>80457</v>
      </c>
      <c r="J665" s="427"/>
      <c r="K665" s="427">
        <v>10640</v>
      </c>
      <c r="L665" s="427">
        <v>15380</v>
      </c>
      <c r="M665" s="427">
        <v>49098</v>
      </c>
      <c r="N665" s="427">
        <v>5339</v>
      </c>
      <c r="O665" s="427"/>
      <c r="P665" s="427">
        <f t="shared" si="60"/>
        <v>3373</v>
      </c>
      <c r="Q665" s="427"/>
      <c r="R665" s="427">
        <v>297</v>
      </c>
      <c r="S665" s="427">
        <v>3076</v>
      </c>
      <c r="U665" s="472"/>
      <c r="V665" s="472"/>
      <c r="W665" s="472"/>
      <c r="X665" s="472"/>
      <c r="Y665" s="472"/>
    </row>
    <row r="666" spans="1:25" s="428" customFormat="1" ht="9.1999999999999993" customHeight="1" x14ac:dyDescent="0.25">
      <c r="A666" s="433" t="s">
        <v>26</v>
      </c>
      <c r="B666" s="434">
        <f t="shared" si="59"/>
        <v>13409</v>
      </c>
      <c r="C666" s="434"/>
      <c r="D666" s="479">
        <v>7321</v>
      </c>
      <c r="E666" s="479">
        <v>3013</v>
      </c>
      <c r="F666" s="479">
        <v>1860</v>
      </c>
      <c r="G666" s="479">
        <v>1215</v>
      </c>
      <c r="H666" s="475"/>
      <c r="I666" s="434">
        <f t="shared" si="61"/>
        <v>81550</v>
      </c>
      <c r="J666" s="434"/>
      <c r="K666" s="434">
        <v>17789</v>
      </c>
      <c r="L666" s="434">
        <v>11801</v>
      </c>
      <c r="M666" s="434">
        <v>48548</v>
      </c>
      <c r="N666" s="434">
        <v>3412</v>
      </c>
      <c r="O666" s="434"/>
      <c r="P666" s="434">
        <f t="shared" si="60"/>
        <v>3936</v>
      </c>
      <c r="Q666" s="434"/>
      <c r="R666" s="434">
        <v>216</v>
      </c>
      <c r="S666" s="434">
        <v>3720</v>
      </c>
      <c r="U666" s="472">
        <v>5279</v>
      </c>
      <c r="V666" s="472">
        <v>12327</v>
      </c>
      <c r="W666" s="472"/>
      <c r="X666" s="472"/>
      <c r="Y666" s="472"/>
    </row>
    <row r="667" spans="1:25" s="428" customFormat="1" ht="9.1999999999999993" customHeight="1" x14ac:dyDescent="0.25">
      <c r="A667" s="431" t="s">
        <v>27</v>
      </c>
      <c r="B667" s="427">
        <f t="shared" si="59"/>
        <v>71998</v>
      </c>
      <c r="C667" s="427"/>
      <c r="D667" s="477">
        <v>28715</v>
      </c>
      <c r="E667" s="477">
        <v>25137</v>
      </c>
      <c r="F667" s="477">
        <v>8805</v>
      </c>
      <c r="G667" s="477">
        <v>9341</v>
      </c>
      <c r="I667" s="427">
        <f t="shared" si="61"/>
        <v>337451</v>
      </c>
      <c r="J667" s="427"/>
      <c r="K667" s="427">
        <v>50845</v>
      </c>
      <c r="L667" s="427">
        <v>98972</v>
      </c>
      <c r="M667" s="427">
        <v>173702</v>
      </c>
      <c r="N667" s="427">
        <v>13932</v>
      </c>
      <c r="O667" s="427"/>
      <c r="P667" s="427">
        <f t="shared" si="60"/>
        <v>10854</v>
      </c>
      <c r="Q667" s="427"/>
      <c r="R667" s="427">
        <v>1279</v>
      </c>
      <c r="S667" s="427">
        <v>9575</v>
      </c>
      <c r="U667" s="472">
        <v>1771</v>
      </c>
      <c r="V667" s="472">
        <v>1374</v>
      </c>
      <c r="W667" s="472"/>
      <c r="X667" s="472"/>
      <c r="Y667" s="472"/>
    </row>
    <row r="668" spans="1:25" s="428" customFormat="1" ht="9.1999999999999993" customHeight="1" x14ac:dyDescent="0.25">
      <c r="A668" s="431" t="s">
        <v>28</v>
      </c>
      <c r="B668" s="427">
        <f t="shared" si="59"/>
        <v>12344</v>
      </c>
      <c r="C668" s="427"/>
      <c r="D668" s="477">
        <v>5259</v>
      </c>
      <c r="E668" s="477">
        <v>4154</v>
      </c>
      <c r="F668" s="477">
        <v>1769</v>
      </c>
      <c r="G668" s="477">
        <v>1162</v>
      </c>
      <c r="I668" s="427">
        <f t="shared" si="61"/>
        <v>67338</v>
      </c>
      <c r="J668" s="427"/>
      <c r="K668" s="427">
        <v>10043</v>
      </c>
      <c r="L668" s="427">
        <v>12876</v>
      </c>
      <c r="M668" s="427">
        <v>42301</v>
      </c>
      <c r="N668" s="427">
        <v>2118</v>
      </c>
      <c r="O668" s="427"/>
      <c r="P668" s="427">
        <f t="shared" si="60"/>
        <v>3218</v>
      </c>
      <c r="Q668" s="427"/>
      <c r="R668" s="427">
        <v>200</v>
      </c>
      <c r="S668" s="427">
        <v>3018</v>
      </c>
      <c r="U668" s="472">
        <v>2140</v>
      </c>
      <c r="V668" s="472">
        <v>24459</v>
      </c>
      <c r="W668" s="472"/>
      <c r="X668" s="472"/>
      <c r="Y668" s="472"/>
    </row>
    <row r="669" spans="1:25" s="428" customFormat="1" ht="9.1999999999999993" customHeight="1" x14ac:dyDescent="0.25">
      <c r="A669" s="431" t="s">
        <v>29</v>
      </c>
      <c r="B669" s="427">
        <f t="shared" si="59"/>
        <v>118724</v>
      </c>
      <c r="C669" s="427"/>
      <c r="D669" s="477">
        <v>71797</v>
      </c>
      <c r="E669" s="477">
        <v>26954</v>
      </c>
      <c r="F669" s="477">
        <v>11697</v>
      </c>
      <c r="G669" s="477">
        <v>8276</v>
      </c>
      <c r="I669" s="427">
        <f t="shared" si="61"/>
        <v>359623</v>
      </c>
      <c r="J669" s="427"/>
      <c r="K669" s="427">
        <v>81692</v>
      </c>
      <c r="L669" s="427">
        <v>57472</v>
      </c>
      <c r="M669" s="427">
        <v>207802</v>
      </c>
      <c r="N669" s="427">
        <v>12657</v>
      </c>
      <c r="O669" s="427"/>
      <c r="P669" s="427">
        <f t="shared" si="60"/>
        <v>18917</v>
      </c>
      <c r="Q669" s="427"/>
      <c r="R669" s="427">
        <v>448</v>
      </c>
      <c r="S669" s="427">
        <v>18469</v>
      </c>
      <c r="U669" s="472">
        <v>13909</v>
      </c>
      <c r="V669" s="472"/>
      <c r="W669" s="472"/>
      <c r="X669" s="472"/>
      <c r="Y669" s="472"/>
    </row>
    <row r="670" spans="1:25" s="428" customFormat="1" ht="9.1999999999999993" customHeight="1" x14ac:dyDescent="0.25">
      <c r="A670" s="433" t="s">
        <v>30</v>
      </c>
      <c r="B670" s="434">
        <f t="shared" si="59"/>
        <v>78227</v>
      </c>
      <c r="C670" s="434"/>
      <c r="D670" s="479">
        <v>39502</v>
      </c>
      <c r="E670" s="479">
        <v>20451</v>
      </c>
      <c r="F670" s="479">
        <v>11727</v>
      </c>
      <c r="G670" s="479">
        <v>6547</v>
      </c>
      <c r="H670" s="475"/>
      <c r="I670" s="434">
        <f t="shared" si="61"/>
        <v>367870</v>
      </c>
      <c r="J670" s="434"/>
      <c r="K670" s="434">
        <v>70989</v>
      </c>
      <c r="L670" s="434">
        <v>95152</v>
      </c>
      <c r="M670" s="434">
        <v>189264</v>
      </c>
      <c r="N670" s="434">
        <v>12465</v>
      </c>
      <c r="O670" s="434"/>
      <c r="P670" s="434">
        <f t="shared" si="60"/>
        <v>14831</v>
      </c>
      <c r="Q670" s="434"/>
      <c r="R670" s="434">
        <v>2413</v>
      </c>
      <c r="S670" s="434">
        <v>12418</v>
      </c>
      <c r="U670" s="472">
        <f>SUM(U666:U669)</f>
        <v>23099</v>
      </c>
      <c r="V670" s="472">
        <f>SUM(V666:V669)</f>
        <v>38160</v>
      </c>
      <c r="W670" s="472"/>
      <c r="X670" s="472"/>
      <c r="Y670" s="472"/>
    </row>
    <row r="671" spans="1:25" s="428" customFormat="1" ht="9.1999999999999993" customHeight="1" x14ac:dyDescent="0.25">
      <c r="A671" s="431" t="s">
        <v>63</v>
      </c>
      <c r="B671" s="427">
        <f t="shared" si="59"/>
        <v>179930</v>
      </c>
      <c r="C671" s="427"/>
      <c r="D671" s="477">
        <v>58431</v>
      </c>
      <c r="E671" s="477">
        <v>49220</v>
      </c>
      <c r="F671" s="477">
        <v>22200</v>
      </c>
      <c r="G671" s="477">
        <v>50079</v>
      </c>
      <c r="I671" s="427">
        <f t="shared" si="61"/>
        <v>947188.83600000001</v>
      </c>
      <c r="J671" s="427"/>
      <c r="K671" s="427">
        <v>96476.056000000011</v>
      </c>
      <c r="L671" s="427">
        <v>198389.03</v>
      </c>
      <c r="M671" s="427">
        <v>545312.75</v>
      </c>
      <c r="N671" s="427">
        <v>107011</v>
      </c>
      <c r="O671" s="427"/>
      <c r="P671" s="427">
        <f t="shared" si="60"/>
        <v>35583</v>
      </c>
      <c r="Q671" s="427"/>
      <c r="R671" s="427">
        <v>4298</v>
      </c>
      <c r="S671" s="427">
        <v>31285</v>
      </c>
      <c r="U671" s="472"/>
      <c r="V671" s="472"/>
      <c r="W671" s="472"/>
      <c r="X671" s="472"/>
      <c r="Y671" s="472"/>
    </row>
    <row r="672" spans="1:25" s="428" customFormat="1" ht="9.1999999999999993" customHeight="1" x14ac:dyDescent="0.25">
      <c r="A672" s="431" t="s">
        <v>31</v>
      </c>
      <c r="B672" s="427">
        <f t="shared" si="59"/>
        <v>56811</v>
      </c>
      <c r="C672" s="427"/>
      <c r="D672" s="477">
        <v>26898</v>
      </c>
      <c r="E672" s="477">
        <v>13593</v>
      </c>
      <c r="F672" s="477">
        <v>8865</v>
      </c>
      <c r="G672" s="477">
        <v>7455</v>
      </c>
      <c r="I672" s="427">
        <f t="shared" si="61"/>
        <v>188627</v>
      </c>
      <c r="J672" s="427"/>
      <c r="K672" s="427">
        <v>46332</v>
      </c>
      <c r="L672" s="427">
        <v>54961</v>
      </c>
      <c r="M672" s="427">
        <v>81327</v>
      </c>
      <c r="N672" s="427">
        <v>6007</v>
      </c>
      <c r="O672" s="427"/>
      <c r="P672" s="427">
        <f t="shared" si="60"/>
        <v>6861</v>
      </c>
      <c r="Q672" s="427"/>
      <c r="R672" s="427">
        <v>816</v>
      </c>
      <c r="S672" s="427">
        <v>6045</v>
      </c>
      <c r="U672" s="472"/>
      <c r="V672" s="472"/>
      <c r="W672" s="472"/>
      <c r="X672" s="472"/>
      <c r="Y672" s="472"/>
    </row>
    <row r="673" spans="1:25" s="428" customFormat="1" ht="9.1999999999999993" customHeight="1" x14ac:dyDescent="0.25">
      <c r="A673" s="431" t="s">
        <v>32</v>
      </c>
      <c r="B673" s="427">
        <f t="shared" si="59"/>
        <v>90291</v>
      </c>
      <c r="C673" s="427"/>
      <c r="D673" s="477">
        <v>38763</v>
      </c>
      <c r="E673" s="477">
        <v>25963</v>
      </c>
      <c r="F673" s="477">
        <v>13223</v>
      </c>
      <c r="G673" s="477">
        <v>12342</v>
      </c>
      <c r="I673" s="427">
        <f t="shared" si="61"/>
        <v>665060</v>
      </c>
      <c r="J673" s="427"/>
      <c r="K673" s="427">
        <v>171261</v>
      </c>
      <c r="L673" s="427">
        <v>165581</v>
      </c>
      <c r="M673" s="427">
        <v>245704</v>
      </c>
      <c r="N673" s="427">
        <v>82514</v>
      </c>
      <c r="O673" s="427"/>
      <c r="P673" s="427">
        <f t="shared" si="60"/>
        <v>20614</v>
      </c>
      <c r="Q673" s="427"/>
      <c r="R673" s="427">
        <v>2326</v>
      </c>
      <c r="S673" s="427">
        <v>18288</v>
      </c>
      <c r="U673" s="472"/>
      <c r="V673" s="472"/>
      <c r="W673" s="472"/>
      <c r="X673" s="472"/>
      <c r="Y673" s="472"/>
    </row>
    <row r="674" spans="1:25" s="428" customFormat="1" ht="9.1999999999999993" customHeight="1" x14ac:dyDescent="0.25">
      <c r="A674" s="433" t="s">
        <v>33</v>
      </c>
      <c r="B674" s="434">
        <f t="shared" si="59"/>
        <v>97637</v>
      </c>
      <c r="C674" s="434"/>
      <c r="D674" s="479">
        <v>45948</v>
      </c>
      <c r="E674" s="479">
        <v>15571</v>
      </c>
      <c r="F674" s="479">
        <v>11969</v>
      </c>
      <c r="G674" s="479">
        <v>24149</v>
      </c>
      <c r="H674" s="475"/>
      <c r="I674" s="434">
        <f t="shared" si="61"/>
        <v>429122</v>
      </c>
      <c r="J674" s="434"/>
      <c r="K674" s="434">
        <v>141866</v>
      </c>
      <c r="L674" s="434">
        <v>58410</v>
      </c>
      <c r="M674" s="434">
        <v>190749</v>
      </c>
      <c r="N674" s="434">
        <v>38097</v>
      </c>
      <c r="O674" s="434"/>
      <c r="P674" s="434">
        <f t="shared" si="60"/>
        <v>12697</v>
      </c>
      <c r="Q674" s="434"/>
      <c r="R674" s="434">
        <v>777</v>
      </c>
      <c r="S674" s="434">
        <v>11920</v>
      </c>
      <c r="U674" s="472"/>
      <c r="V674" s="472"/>
      <c r="W674" s="472"/>
      <c r="X674" s="472"/>
      <c r="Y674" s="472"/>
    </row>
    <row r="675" spans="1:25" s="428" customFormat="1" ht="9.1999999999999993" customHeight="1" x14ac:dyDescent="0.25">
      <c r="A675" s="431" t="s">
        <v>34</v>
      </c>
      <c r="B675" s="427">
        <f t="shared" si="59"/>
        <v>77370</v>
      </c>
      <c r="C675" s="427"/>
      <c r="D675" s="477">
        <v>24823</v>
      </c>
      <c r="E675" s="477">
        <v>22520</v>
      </c>
      <c r="F675" s="477">
        <v>8559</v>
      </c>
      <c r="G675" s="477">
        <v>21468</v>
      </c>
      <c r="I675" s="427">
        <f t="shared" si="61"/>
        <v>322501</v>
      </c>
      <c r="J675" s="427"/>
      <c r="K675" s="427">
        <v>41299</v>
      </c>
      <c r="L675" s="427">
        <v>68742</v>
      </c>
      <c r="M675" s="427">
        <v>185652</v>
      </c>
      <c r="N675" s="427">
        <v>26808</v>
      </c>
      <c r="O675" s="427"/>
      <c r="P675" s="427">
        <f t="shared" si="60"/>
        <v>12466</v>
      </c>
      <c r="Q675" s="427"/>
      <c r="R675" s="427">
        <v>758</v>
      </c>
      <c r="S675" s="427">
        <v>11708</v>
      </c>
      <c r="U675" s="472"/>
      <c r="V675" s="472"/>
      <c r="W675" s="472"/>
      <c r="X675" s="472"/>
      <c r="Y675" s="472"/>
    </row>
    <row r="676" spans="1:25" s="428" customFormat="1" ht="9.1999999999999993" customHeight="1" x14ac:dyDescent="0.25">
      <c r="A676" s="431" t="s">
        <v>35</v>
      </c>
      <c r="B676" s="427">
        <f t="shared" si="59"/>
        <v>109362</v>
      </c>
      <c r="C676" s="427"/>
      <c r="D676" s="477">
        <v>44175</v>
      </c>
      <c r="E676" s="477">
        <v>33325</v>
      </c>
      <c r="F676" s="477">
        <v>19417</v>
      </c>
      <c r="G676" s="477">
        <v>12445</v>
      </c>
      <c r="I676" s="427">
        <f t="shared" si="61"/>
        <v>567270</v>
      </c>
      <c r="J676" s="427"/>
      <c r="K676" s="427">
        <v>98588</v>
      </c>
      <c r="L676" s="427">
        <v>110358</v>
      </c>
      <c r="M676" s="427">
        <v>322043</v>
      </c>
      <c r="N676" s="427">
        <v>36281</v>
      </c>
      <c r="O676" s="427"/>
      <c r="P676" s="427">
        <f t="shared" si="60"/>
        <v>31224</v>
      </c>
      <c r="Q676" s="427"/>
      <c r="R676" s="427">
        <v>3467</v>
      </c>
      <c r="S676" s="427">
        <v>27757</v>
      </c>
      <c r="U676" s="826" t="s">
        <v>344</v>
      </c>
      <c r="V676" s="827"/>
      <c r="W676" s="827"/>
      <c r="X676" s="472"/>
      <c r="Y676" s="472"/>
    </row>
    <row r="677" spans="1:25" s="428" customFormat="1" ht="9.1999999999999993" customHeight="1" x14ac:dyDescent="0.25">
      <c r="A677" s="431" t="s">
        <v>36</v>
      </c>
      <c r="B677" s="427">
        <f t="shared" si="59"/>
        <v>223838</v>
      </c>
      <c r="C677" s="427"/>
      <c r="D677" s="477">
        <v>76966</v>
      </c>
      <c r="E677" s="477">
        <v>65896</v>
      </c>
      <c r="F677" s="477">
        <v>28948</v>
      </c>
      <c r="G677" s="477">
        <v>52028</v>
      </c>
      <c r="I677" s="427">
        <f t="shared" si="61"/>
        <v>1342360</v>
      </c>
      <c r="J677" s="427"/>
      <c r="K677" s="427">
        <v>260711</v>
      </c>
      <c r="L677" s="427">
        <v>306727</v>
      </c>
      <c r="M677" s="427">
        <v>496358</v>
      </c>
      <c r="N677" s="427">
        <v>278564</v>
      </c>
      <c r="O677" s="427"/>
      <c r="P677" s="427">
        <f t="shared" si="60"/>
        <v>53839</v>
      </c>
      <c r="Q677" s="427"/>
      <c r="R677" s="427">
        <v>4510</v>
      </c>
      <c r="S677" s="427">
        <v>49329</v>
      </c>
      <c r="U677" s="827"/>
      <c r="V677" s="827"/>
      <c r="W677" s="827"/>
      <c r="X677" s="472"/>
      <c r="Y677" s="472"/>
    </row>
    <row r="678" spans="1:25" s="428" customFormat="1" ht="9.1999999999999993" customHeight="1" x14ac:dyDescent="0.25">
      <c r="A678" s="433" t="s">
        <v>37</v>
      </c>
      <c r="B678" s="434">
        <f t="shared" si="59"/>
        <v>102172</v>
      </c>
      <c r="C678" s="434"/>
      <c r="D678" s="479">
        <v>51415</v>
      </c>
      <c r="E678" s="479">
        <v>32166</v>
      </c>
      <c r="F678" s="479">
        <v>9260</v>
      </c>
      <c r="G678" s="479">
        <v>9331</v>
      </c>
      <c r="H678" s="475"/>
      <c r="I678" s="434">
        <f t="shared" si="61"/>
        <v>433916</v>
      </c>
      <c r="J678" s="434"/>
      <c r="K678" s="434">
        <v>75673</v>
      </c>
      <c r="L678" s="434">
        <v>128376</v>
      </c>
      <c r="M678" s="434">
        <v>208848</v>
      </c>
      <c r="N678" s="434">
        <v>21019</v>
      </c>
      <c r="O678" s="434"/>
      <c r="P678" s="434">
        <f t="shared" si="60"/>
        <v>16255</v>
      </c>
      <c r="Q678" s="434"/>
      <c r="R678" s="434">
        <v>1181</v>
      </c>
      <c r="S678" s="434">
        <v>15074</v>
      </c>
      <c r="U678" s="827"/>
      <c r="V678" s="827"/>
      <c r="W678" s="827"/>
      <c r="X678" s="472"/>
      <c r="Y678" s="472"/>
    </row>
    <row r="679" spans="1:25" s="428" customFormat="1" ht="9.1999999999999993" customHeight="1" x14ac:dyDescent="0.25">
      <c r="A679" s="431" t="s">
        <v>38</v>
      </c>
      <c r="B679" s="427">
        <f t="shared" si="59"/>
        <v>25481</v>
      </c>
      <c r="C679" s="427"/>
      <c r="D679" s="477">
        <v>11388</v>
      </c>
      <c r="E679" s="477">
        <v>5993</v>
      </c>
      <c r="F679" s="477">
        <v>3488</v>
      </c>
      <c r="G679" s="477">
        <v>4612</v>
      </c>
      <c r="I679" s="427">
        <f t="shared" si="61"/>
        <v>187504</v>
      </c>
      <c r="J679" s="427"/>
      <c r="K679" s="427">
        <v>37290</v>
      </c>
      <c r="L679" s="427">
        <v>31324</v>
      </c>
      <c r="M679" s="427">
        <v>98808</v>
      </c>
      <c r="N679" s="427">
        <v>20082</v>
      </c>
      <c r="O679" s="427"/>
      <c r="P679" s="427">
        <f t="shared" si="60"/>
        <v>6896</v>
      </c>
      <c r="Q679" s="427"/>
      <c r="R679" s="427">
        <v>460</v>
      </c>
      <c r="S679" s="427">
        <v>6436</v>
      </c>
      <c r="U679" s="827"/>
      <c r="V679" s="827"/>
      <c r="W679" s="827"/>
      <c r="X679" s="472"/>
      <c r="Y679" s="472"/>
    </row>
    <row r="680" spans="1:25" s="428" customFormat="1" ht="9.1999999999999993" customHeight="1" x14ac:dyDescent="0.25">
      <c r="A680" s="431" t="s">
        <v>39</v>
      </c>
      <c r="B680" s="427">
        <f t="shared" si="59"/>
        <v>28042</v>
      </c>
      <c r="C680" s="427"/>
      <c r="D680" s="477">
        <v>17174</v>
      </c>
      <c r="E680" s="477">
        <v>7329</v>
      </c>
      <c r="F680" s="477">
        <v>2722</v>
      </c>
      <c r="G680" s="477">
        <v>817</v>
      </c>
      <c r="I680" s="427">
        <f t="shared" si="61"/>
        <v>124686</v>
      </c>
      <c r="J680" s="427"/>
      <c r="K680" s="427">
        <v>32575</v>
      </c>
      <c r="L680" s="427">
        <v>28972</v>
      </c>
      <c r="M680" s="427">
        <v>58947</v>
      </c>
      <c r="N680" s="427">
        <v>4192</v>
      </c>
      <c r="O680" s="427"/>
      <c r="P680" s="427">
        <f t="shared" si="60"/>
        <v>4145</v>
      </c>
      <c r="Q680" s="427"/>
      <c r="R680" s="427">
        <v>296</v>
      </c>
      <c r="S680" s="427">
        <v>3849</v>
      </c>
      <c r="U680" s="472"/>
      <c r="V680" s="472"/>
      <c r="W680" s="472"/>
      <c r="X680" s="472"/>
      <c r="Y680" s="472"/>
    </row>
    <row r="681" spans="1:25" s="428" customFormat="1" ht="9.1999999999999993" customHeight="1" x14ac:dyDescent="0.25">
      <c r="A681" s="431" t="s">
        <v>40</v>
      </c>
      <c r="B681" s="427">
        <f t="shared" si="59"/>
        <v>74184</v>
      </c>
      <c r="C681" s="427"/>
      <c r="D681" s="477">
        <v>24856</v>
      </c>
      <c r="E681" s="477">
        <v>30882</v>
      </c>
      <c r="F681" s="477">
        <v>11370</v>
      </c>
      <c r="G681" s="477">
        <v>7076</v>
      </c>
      <c r="I681" s="427">
        <f t="shared" si="61"/>
        <v>488076</v>
      </c>
      <c r="J681" s="427"/>
      <c r="K681" s="427">
        <v>66308</v>
      </c>
      <c r="L681" s="427">
        <v>162648</v>
      </c>
      <c r="M681" s="427">
        <v>234823</v>
      </c>
      <c r="N681" s="427">
        <v>24297</v>
      </c>
      <c r="O681" s="427"/>
      <c r="P681" s="427">
        <f t="shared" si="60"/>
        <v>15440</v>
      </c>
      <c r="Q681" s="427"/>
      <c r="R681" s="427">
        <v>2476</v>
      </c>
      <c r="S681" s="427">
        <v>12964</v>
      </c>
      <c r="U681" s="472"/>
      <c r="V681" s="472"/>
      <c r="W681" s="472"/>
      <c r="X681" s="472"/>
      <c r="Y681" s="472"/>
    </row>
    <row r="682" spans="1:25" s="428" customFormat="1" ht="9.1999999999999993" customHeight="1" x14ac:dyDescent="0.25">
      <c r="A682" s="433" t="s">
        <v>41</v>
      </c>
      <c r="B682" s="434">
        <f t="shared" si="59"/>
        <v>70938</v>
      </c>
      <c r="C682" s="434"/>
      <c r="D682" s="479">
        <v>37148</v>
      </c>
      <c r="E682" s="479">
        <v>18917</v>
      </c>
      <c r="F682" s="479">
        <v>8838</v>
      </c>
      <c r="G682" s="479">
        <v>6035</v>
      </c>
      <c r="H682" s="475"/>
      <c r="I682" s="434">
        <f t="shared" si="61"/>
        <v>320063</v>
      </c>
      <c r="J682" s="434"/>
      <c r="K682" s="434">
        <v>60175</v>
      </c>
      <c r="L682" s="434">
        <v>80482</v>
      </c>
      <c r="M682" s="434">
        <v>162294</v>
      </c>
      <c r="N682" s="434">
        <v>17112</v>
      </c>
      <c r="O682" s="434"/>
      <c r="P682" s="434">
        <f t="shared" si="60"/>
        <v>14203</v>
      </c>
      <c r="Q682" s="434"/>
      <c r="R682" s="434">
        <v>421</v>
      </c>
      <c r="S682" s="434">
        <v>13782</v>
      </c>
      <c r="U682" s="472"/>
      <c r="V682" s="472"/>
      <c r="W682" s="472"/>
      <c r="X682" s="472"/>
      <c r="Y682" s="472"/>
    </row>
    <row r="683" spans="1:25" s="428" customFormat="1" ht="9.1999999999999993" customHeight="1" x14ac:dyDescent="0.25">
      <c r="A683" s="431" t="s">
        <v>42</v>
      </c>
      <c r="B683" s="427">
        <f t="shared" si="59"/>
        <v>118058</v>
      </c>
      <c r="C683" s="427"/>
      <c r="D683" s="477">
        <v>54424</v>
      </c>
      <c r="E683" s="477">
        <v>35695</v>
      </c>
      <c r="F683" s="477">
        <v>10701</v>
      </c>
      <c r="G683" s="477">
        <v>17238</v>
      </c>
      <c r="I683" s="427">
        <f t="shared" si="61"/>
        <v>630316</v>
      </c>
      <c r="J683" s="427"/>
      <c r="K683" s="427">
        <v>96539</v>
      </c>
      <c r="L683" s="427">
        <v>216787</v>
      </c>
      <c r="M683" s="427">
        <v>275633</v>
      </c>
      <c r="N683" s="427">
        <v>41357</v>
      </c>
      <c r="O683" s="427"/>
      <c r="P683" s="427">
        <f t="shared" si="60"/>
        <v>22580</v>
      </c>
      <c r="Q683" s="427"/>
      <c r="R683" s="427">
        <v>1665</v>
      </c>
      <c r="S683" s="427">
        <v>20915</v>
      </c>
      <c r="U683" s="472"/>
      <c r="V683" s="472"/>
      <c r="W683" s="472"/>
      <c r="X683" s="472"/>
      <c r="Y683" s="472"/>
    </row>
    <row r="684" spans="1:25" s="428" customFormat="1" ht="9.1999999999999993" customHeight="1" x14ac:dyDescent="0.25">
      <c r="A684" s="431" t="s">
        <v>43</v>
      </c>
      <c r="B684" s="427">
        <f t="shared" si="59"/>
        <v>36221</v>
      </c>
      <c r="C684" s="427"/>
      <c r="D684" s="477">
        <v>18694</v>
      </c>
      <c r="E684" s="477">
        <v>9512</v>
      </c>
      <c r="F684" s="477">
        <v>4175</v>
      </c>
      <c r="G684" s="477">
        <v>3840</v>
      </c>
      <c r="I684" s="427">
        <f t="shared" si="61"/>
        <v>186590</v>
      </c>
      <c r="J684" s="427"/>
      <c r="K684" s="427">
        <v>37000</v>
      </c>
      <c r="L684" s="427">
        <v>61204</v>
      </c>
      <c r="M684" s="427">
        <v>78069</v>
      </c>
      <c r="N684" s="427">
        <v>10317</v>
      </c>
      <c r="O684" s="427"/>
      <c r="P684" s="427">
        <f t="shared" si="60"/>
        <v>8143</v>
      </c>
      <c r="Q684" s="427"/>
      <c r="R684" s="427">
        <v>1072</v>
      </c>
      <c r="S684" s="427">
        <v>7071</v>
      </c>
      <c r="U684" s="472"/>
      <c r="V684" s="472"/>
      <c r="W684" s="472"/>
      <c r="X684" s="472"/>
      <c r="Y684" s="472"/>
    </row>
    <row r="685" spans="1:25" s="428" customFormat="1" ht="9.1999999999999993" customHeight="1" x14ac:dyDescent="0.25">
      <c r="A685" s="431" t="s">
        <v>44</v>
      </c>
      <c r="B685" s="427">
        <f t="shared" si="59"/>
        <v>35602</v>
      </c>
      <c r="C685" s="427"/>
      <c r="D685" s="477">
        <v>10187</v>
      </c>
      <c r="E685" s="477">
        <v>9832</v>
      </c>
      <c r="F685" s="477">
        <v>6842</v>
      </c>
      <c r="G685" s="477">
        <v>8741</v>
      </c>
      <c r="I685" s="427">
        <f t="shared" si="61"/>
        <v>190446</v>
      </c>
      <c r="J685" s="427"/>
      <c r="K685" s="427">
        <v>28048</v>
      </c>
      <c r="L685" s="427">
        <v>42659</v>
      </c>
      <c r="M685" s="427">
        <v>113200</v>
      </c>
      <c r="N685" s="427">
        <v>6539</v>
      </c>
      <c r="O685" s="427"/>
      <c r="P685" s="427">
        <f t="shared" si="60"/>
        <v>8382</v>
      </c>
      <c r="Q685" s="427"/>
      <c r="R685" s="427">
        <v>888</v>
      </c>
      <c r="S685" s="427">
        <v>7494</v>
      </c>
      <c r="U685" s="472"/>
      <c r="V685" s="472"/>
      <c r="W685" s="472"/>
      <c r="X685" s="472"/>
      <c r="Y685" s="472"/>
    </row>
    <row r="686" spans="1:25" s="428" customFormat="1" ht="9.1999999999999993" customHeight="1" x14ac:dyDescent="0.25">
      <c r="A686" s="433" t="s">
        <v>45</v>
      </c>
      <c r="B686" s="434">
        <f t="shared" si="59"/>
        <v>97022</v>
      </c>
      <c r="C686" s="434"/>
      <c r="D686" s="479">
        <v>42729</v>
      </c>
      <c r="E686" s="479">
        <v>22664</v>
      </c>
      <c r="F686" s="479">
        <v>5585</v>
      </c>
      <c r="G686" s="479">
        <v>26044</v>
      </c>
      <c r="H686" s="475"/>
      <c r="I686" s="434">
        <f t="shared" si="61"/>
        <v>287745</v>
      </c>
      <c r="J686" s="434"/>
      <c r="K686" s="434">
        <v>63525</v>
      </c>
      <c r="L686" s="434">
        <v>99246</v>
      </c>
      <c r="M686" s="434">
        <v>114674</v>
      </c>
      <c r="N686" s="434">
        <v>10300</v>
      </c>
      <c r="O686" s="434"/>
      <c r="P686" s="434">
        <f t="shared" si="60"/>
        <v>9748</v>
      </c>
      <c r="Q686" s="434"/>
      <c r="R686" s="434">
        <v>1043</v>
      </c>
      <c r="S686" s="434">
        <v>8705</v>
      </c>
      <c r="U686" s="472"/>
      <c r="V686" s="472"/>
      <c r="W686" s="472"/>
      <c r="X686" s="472"/>
      <c r="Y686" s="472"/>
    </row>
    <row r="687" spans="1:25" s="428" customFormat="1" ht="9.1999999999999993" customHeight="1" x14ac:dyDescent="0.25">
      <c r="A687" s="431" t="s">
        <v>46</v>
      </c>
      <c r="B687" s="427">
        <f t="shared" si="59"/>
        <v>73350</v>
      </c>
      <c r="C687" s="427"/>
      <c r="D687" s="477">
        <v>34434</v>
      </c>
      <c r="E687" s="477">
        <v>20691</v>
      </c>
      <c r="F687" s="477">
        <v>7064</v>
      </c>
      <c r="G687" s="477">
        <v>11161</v>
      </c>
      <c r="I687" s="427">
        <f t="shared" si="61"/>
        <v>329419</v>
      </c>
      <c r="J687" s="427"/>
      <c r="K687" s="427">
        <v>59763</v>
      </c>
      <c r="L687" s="427">
        <v>76589</v>
      </c>
      <c r="M687" s="427">
        <v>175697</v>
      </c>
      <c r="N687" s="427">
        <v>17370</v>
      </c>
      <c r="O687" s="427"/>
      <c r="P687" s="427">
        <f t="shared" si="60"/>
        <v>9681</v>
      </c>
      <c r="Q687" s="427"/>
      <c r="R687" s="427">
        <v>618</v>
      </c>
      <c r="S687" s="427">
        <v>9063</v>
      </c>
      <c r="U687" s="472"/>
      <c r="V687" s="472"/>
      <c r="W687" s="472"/>
      <c r="X687" s="472"/>
      <c r="Y687" s="472"/>
    </row>
    <row r="688" spans="1:25" s="428" customFormat="1" ht="9.1999999999999993" customHeight="1" x14ac:dyDescent="0.25">
      <c r="A688" s="431" t="s">
        <v>47</v>
      </c>
      <c r="B688" s="427">
        <f t="shared" si="59"/>
        <v>56570</v>
      </c>
      <c r="C688" s="427"/>
      <c r="D688" s="477">
        <v>21696</v>
      </c>
      <c r="E688" s="477">
        <v>16556</v>
      </c>
      <c r="F688" s="477">
        <v>8007</v>
      </c>
      <c r="G688" s="477">
        <v>10311</v>
      </c>
      <c r="I688" s="427">
        <f t="shared" si="61"/>
        <v>292569</v>
      </c>
      <c r="J688" s="427"/>
      <c r="K688" s="427">
        <v>62464</v>
      </c>
      <c r="L688" s="427">
        <v>81563</v>
      </c>
      <c r="M688" s="427">
        <v>129512</v>
      </c>
      <c r="N688" s="427">
        <v>19030</v>
      </c>
      <c r="O688" s="427"/>
      <c r="P688" s="427">
        <f t="shared" si="60"/>
        <v>10740</v>
      </c>
      <c r="Q688" s="427"/>
      <c r="R688" s="427">
        <v>1228</v>
      </c>
      <c r="S688" s="427">
        <v>9512</v>
      </c>
      <c r="U688" s="472"/>
      <c r="V688" s="472"/>
      <c r="W688" s="472"/>
      <c r="X688" s="472"/>
      <c r="Y688" s="472"/>
    </row>
    <row r="689" spans="1:25" s="428" customFormat="1" ht="9.1999999999999993" customHeight="1" x14ac:dyDescent="0.25">
      <c r="A689" s="431" t="s">
        <v>48</v>
      </c>
      <c r="B689" s="427">
        <f t="shared" si="59"/>
        <v>31114</v>
      </c>
      <c r="C689" s="427"/>
      <c r="D689" s="477">
        <v>17314</v>
      </c>
      <c r="E689" s="477">
        <v>6084</v>
      </c>
      <c r="F689" s="477">
        <v>3866</v>
      </c>
      <c r="G689" s="477">
        <v>3850</v>
      </c>
      <c r="I689" s="427">
        <f t="shared" si="61"/>
        <v>244329</v>
      </c>
      <c r="J689" s="427"/>
      <c r="K689" s="427">
        <v>73539</v>
      </c>
      <c r="L689" s="427">
        <v>24765</v>
      </c>
      <c r="M689" s="427">
        <v>132261</v>
      </c>
      <c r="N689" s="427">
        <v>13764</v>
      </c>
      <c r="O689" s="427"/>
      <c r="P689" s="427">
        <f t="shared" si="60"/>
        <v>11226</v>
      </c>
      <c r="Q689" s="427"/>
      <c r="R689" s="427">
        <v>773</v>
      </c>
      <c r="S689" s="427">
        <v>10453</v>
      </c>
      <c r="U689" s="472"/>
      <c r="V689" s="472"/>
      <c r="W689" s="472"/>
      <c r="X689" s="472"/>
      <c r="Y689" s="472"/>
    </row>
    <row r="690" spans="1:25" s="428" customFormat="1" ht="9.1999999999999993" customHeight="1" x14ac:dyDescent="0.25">
      <c r="A690" s="433" t="s">
        <v>49</v>
      </c>
      <c r="B690" s="434">
        <f t="shared" si="59"/>
        <v>87454</v>
      </c>
      <c r="C690" s="434"/>
      <c r="D690" s="479">
        <v>34955</v>
      </c>
      <c r="E690" s="479">
        <v>23443</v>
      </c>
      <c r="F690" s="479">
        <v>10629</v>
      </c>
      <c r="G690" s="479">
        <v>18427</v>
      </c>
      <c r="H690" s="475"/>
      <c r="I690" s="434">
        <f t="shared" si="61"/>
        <v>317842</v>
      </c>
      <c r="J690" s="434"/>
      <c r="K690" s="434">
        <v>59303</v>
      </c>
      <c r="L690" s="434">
        <v>76344</v>
      </c>
      <c r="M690" s="434">
        <v>156625</v>
      </c>
      <c r="N690" s="434">
        <v>25570</v>
      </c>
      <c r="O690" s="434"/>
      <c r="P690" s="434">
        <f t="shared" si="60"/>
        <v>12202</v>
      </c>
      <c r="Q690" s="434"/>
      <c r="R690" s="434">
        <v>1281</v>
      </c>
      <c r="S690" s="434">
        <v>10921</v>
      </c>
      <c r="U690" s="472"/>
      <c r="V690" s="472"/>
      <c r="W690" s="472"/>
      <c r="X690" s="472"/>
      <c r="Y690" s="472"/>
    </row>
    <row r="691" spans="1:25" s="428" customFormat="1" ht="9.1999999999999993" customHeight="1" x14ac:dyDescent="0.25">
      <c r="A691" s="431" t="s">
        <v>50</v>
      </c>
      <c r="B691" s="427">
        <f t="shared" si="59"/>
        <v>14898</v>
      </c>
      <c r="C691" s="427"/>
      <c r="D691" s="477">
        <v>5468</v>
      </c>
      <c r="E691" s="477">
        <v>5001</v>
      </c>
      <c r="F691" s="477">
        <v>3161</v>
      </c>
      <c r="G691" s="477">
        <v>1268</v>
      </c>
      <c r="I691" s="427">
        <f t="shared" si="61"/>
        <v>102238</v>
      </c>
      <c r="J691" s="427"/>
      <c r="K691" s="427">
        <v>16070</v>
      </c>
      <c r="L691" s="427">
        <v>26875</v>
      </c>
      <c r="M691" s="427">
        <v>54328</v>
      </c>
      <c r="N691" s="427">
        <v>4965</v>
      </c>
      <c r="O691" s="427"/>
      <c r="P691" s="427">
        <f t="shared" si="60"/>
        <v>6978</v>
      </c>
      <c r="Q691" s="427"/>
      <c r="R691" s="427">
        <v>426</v>
      </c>
      <c r="S691" s="427">
        <v>6552</v>
      </c>
      <c r="U691" s="472"/>
      <c r="V691" s="472"/>
      <c r="W691" s="472"/>
      <c r="X691" s="472"/>
      <c r="Y691" s="472"/>
    </row>
    <row r="692" spans="1:25" s="428" customFormat="1" ht="9.1999999999999993" customHeight="1" x14ac:dyDescent="0.25">
      <c r="A692" s="428" t="s">
        <v>51</v>
      </c>
      <c r="B692" s="427">
        <f t="shared" si="59"/>
        <v>164557</v>
      </c>
      <c r="C692" s="427"/>
      <c r="D692" s="477">
        <v>71931</v>
      </c>
      <c r="E692" s="477">
        <v>57621</v>
      </c>
      <c r="F692" s="477">
        <v>19366</v>
      </c>
      <c r="G692" s="477">
        <v>15639</v>
      </c>
      <c r="I692" s="427">
        <f t="shared" si="61"/>
        <v>836797</v>
      </c>
      <c r="J692" s="427"/>
      <c r="K692" s="427">
        <v>133047</v>
      </c>
      <c r="L692" s="427">
        <v>186298</v>
      </c>
      <c r="M692" s="427">
        <v>479658</v>
      </c>
      <c r="N692" s="427">
        <v>37794</v>
      </c>
      <c r="O692" s="427"/>
      <c r="P692" s="427">
        <f t="shared" si="60"/>
        <v>30620</v>
      </c>
      <c r="Q692" s="427"/>
      <c r="R692" s="427">
        <v>2351</v>
      </c>
      <c r="S692" s="427">
        <v>28269</v>
      </c>
      <c r="U692" s="472"/>
      <c r="V692" s="472"/>
      <c r="W692" s="472"/>
      <c r="X692" s="472"/>
      <c r="Y692" s="472"/>
    </row>
    <row r="693" spans="1:25" s="428" customFormat="1" ht="9.1999999999999993" customHeight="1" x14ac:dyDescent="0.25">
      <c r="A693" s="428" t="s">
        <v>52</v>
      </c>
      <c r="B693" s="427">
        <f t="shared" si="59"/>
        <v>35624</v>
      </c>
      <c r="C693" s="427"/>
      <c r="D693" s="477">
        <v>18019</v>
      </c>
      <c r="E693" s="477">
        <v>8839</v>
      </c>
      <c r="F693" s="477">
        <v>6986</v>
      </c>
      <c r="G693" s="477">
        <v>1780</v>
      </c>
      <c r="I693" s="427">
        <f t="shared" si="61"/>
        <v>220782</v>
      </c>
      <c r="J693" s="427"/>
      <c r="K693" s="427">
        <v>45400</v>
      </c>
      <c r="L693" s="427">
        <v>39495</v>
      </c>
      <c r="M693" s="427">
        <v>127722</v>
      </c>
      <c r="N693" s="427">
        <v>8165</v>
      </c>
      <c r="O693" s="427"/>
      <c r="P693" s="427">
        <f t="shared" si="60"/>
        <v>8431</v>
      </c>
      <c r="Q693" s="427"/>
      <c r="R693" s="427">
        <v>502</v>
      </c>
      <c r="S693" s="427">
        <v>7929</v>
      </c>
      <c r="U693" s="472"/>
      <c r="V693" s="472"/>
      <c r="W693" s="472"/>
      <c r="X693" s="472"/>
      <c r="Y693" s="472"/>
    </row>
    <row r="694" spans="1:25" s="428" customFormat="1" ht="9.1999999999999993" customHeight="1" x14ac:dyDescent="0.25">
      <c r="A694" s="433" t="s">
        <v>53</v>
      </c>
      <c r="B694" s="434">
        <f t="shared" si="59"/>
        <v>41686</v>
      </c>
      <c r="C694" s="434"/>
      <c r="D694" s="479">
        <v>18863</v>
      </c>
      <c r="E694" s="479">
        <v>16260</v>
      </c>
      <c r="F694" s="479">
        <v>3165</v>
      </c>
      <c r="G694" s="479">
        <v>3398</v>
      </c>
      <c r="H694" s="475"/>
      <c r="I694" s="434">
        <f>SUM(K694:O694)</f>
        <v>176222</v>
      </c>
      <c r="J694" s="434"/>
      <c r="K694" s="434">
        <v>35935</v>
      </c>
      <c r="L694" s="434">
        <v>60648</v>
      </c>
      <c r="M694" s="434">
        <v>69462</v>
      </c>
      <c r="N694" s="434">
        <v>10177</v>
      </c>
      <c r="O694" s="434"/>
      <c r="P694" s="434">
        <f t="shared" si="60"/>
        <v>5367</v>
      </c>
      <c r="Q694" s="434"/>
      <c r="R694" s="434">
        <v>358</v>
      </c>
      <c r="S694" s="434">
        <v>5009</v>
      </c>
      <c r="U694" s="472"/>
      <c r="V694" s="472"/>
      <c r="W694" s="472"/>
      <c r="X694" s="472"/>
      <c r="Y694" s="472"/>
    </row>
    <row r="695" spans="1:25" s="472" customFormat="1" ht="9.1999999999999993" customHeight="1" x14ac:dyDescent="0.25">
      <c r="A695" s="436"/>
      <c r="B695" s="437"/>
      <c r="C695" s="437"/>
      <c r="D695" s="483"/>
      <c r="E695" s="483"/>
      <c r="F695" s="483"/>
      <c r="G695" s="483"/>
      <c r="I695" s="437"/>
      <c r="J695" s="437"/>
      <c r="K695" s="437"/>
      <c r="L695" s="437"/>
      <c r="M695" s="437"/>
      <c r="N695" s="437"/>
      <c r="O695" s="437"/>
      <c r="P695" s="437"/>
      <c r="Q695" s="437"/>
      <c r="R695" s="437"/>
      <c r="S695" s="437"/>
    </row>
    <row r="696" spans="1:25" s="472" customFormat="1" ht="9.1999999999999993" customHeight="1" x14ac:dyDescent="0.25">
      <c r="A696" s="441" t="s">
        <v>195</v>
      </c>
      <c r="B696" s="437"/>
      <c r="C696" s="437"/>
      <c r="D696" s="483"/>
      <c r="E696" s="483"/>
      <c r="F696" s="483"/>
      <c r="G696" s="483"/>
      <c r="I696" s="437"/>
      <c r="J696" s="437"/>
      <c r="K696" s="437"/>
      <c r="L696" s="437"/>
      <c r="M696" s="437"/>
      <c r="N696" s="437"/>
      <c r="O696" s="437"/>
      <c r="P696" s="437"/>
      <c r="Q696" s="437"/>
      <c r="R696" s="437"/>
      <c r="S696" s="437"/>
    </row>
    <row r="697" spans="1:25" s="428" customFormat="1" ht="9" customHeight="1" x14ac:dyDescent="0.25">
      <c r="A697" s="429" t="s">
        <v>216</v>
      </c>
      <c r="B697" s="476">
        <f>SUM(B699:B730)</f>
        <v>2367311</v>
      </c>
      <c r="C697" s="476"/>
      <c r="D697" s="476">
        <f>SUM(D699:D730)</f>
        <v>1067855</v>
      </c>
      <c r="E697" s="476">
        <f>SUM(E699:E730)</f>
        <v>634444</v>
      </c>
      <c r="F697" s="476">
        <f>SUM(F699:F730)</f>
        <v>255388</v>
      </c>
      <c r="G697" s="476">
        <f>SUM(G699:G730)</f>
        <v>409624</v>
      </c>
      <c r="H697" s="476"/>
      <c r="I697" s="476">
        <f>SUM(I699:I730)</f>
        <v>11897785</v>
      </c>
      <c r="J697" s="476"/>
      <c r="K697" s="476">
        <f>SUM(K699:K730)</f>
        <v>2300415</v>
      </c>
      <c r="L697" s="476">
        <f>SUM(L699:L730)</f>
        <v>2836389</v>
      </c>
      <c r="M697" s="476">
        <f>SUM(M699:M730)</f>
        <v>5892249</v>
      </c>
      <c r="N697" s="476">
        <f>SUM(N699:N730)</f>
        <v>868732</v>
      </c>
      <c r="O697" s="482"/>
      <c r="P697" s="476">
        <f>SUM(P699:P730)+1457</f>
        <v>448703</v>
      </c>
      <c r="Q697" s="476"/>
      <c r="R697" s="476">
        <f>SUM(R699:R730)</f>
        <v>42612</v>
      </c>
      <c r="S697" s="476">
        <f>SUM(S699:S730)</f>
        <v>406091</v>
      </c>
      <c r="T697" s="477"/>
      <c r="U697" s="472">
        <v>448703</v>
      </c>
      <c r="V697" s="472"/>
      <c r="W697" s="472"/>
      <c r="X697" s="472"/>
      <c r="Y697" s="472"/>
    </row>
    <row r="698" spans="1:25" s="428" customFormat="1" ht="5.25" customHeight="1" x14ac:dyDescent="0.25">
      <c r="A698" s="429"/>
      <c r="B698" s="476"/>
      <c r="C698" s="476"/>
      <c r="D698" s="476"/>
      <c r="E698" s="476"/>
      <c r="F698" s="476"/>
      <c r="G698" s="476"/>
      <c r="H698" s="476"/>
      <c r="I698" s="476"/>
      <c r="J698" s="476"/>
      <c r="K698" s="476"/>
      <c r="L698" s="476"/>
      <c r="M698" s="476"/>
      <c r="N698" s="476"/>
      <c r="O698" s="482"/>
      <c r="P698" s="476"/>
      <c r="Q698" s="476"/>
      <c r="R698" s="476"/>
      <c r="S698" s="476"/>
      <c r="T698" s="477"/>
      <c r="U698" s="472"/>
      <c r="V698" s="472"/>
      <c r="W698" s="472"/>
      <c r="X698" s="472"/>
      <c r="Y698" s="472"/>
    </row>
    <row r="699" spans="1:25" s="428" customFormat="1" ht="9.1999999999999993" customHeight="1" x14ac:dyDescent="0.25">
      <c r="A699" s="431" t="s">
        <v>23</v>
      </c>
      <c r="B699" s="427">
        <f t="shared" ref="B699:B730" si="62">SUM(D699:G699)</f>
        <v>33907</v>
      </c>
      <c r="C699" s="427"/>
      <c r="D699" s="477">
        <v>13023</v>
      </c>
      <c r="E699" s="477">
        <v>8103</v>
      </c>
      <c r="F699" s="477">
        <v>3814</v>
      </c>
      <c r="G699" s="477">
        <v>8967</v>
      </c>
      <c r="I699" s="427">
        <f>SUM(K699:O699)</f>
        <v>142888</v>
      </c>
      <c r="J699" s="427"/>
      <c r="K699" s="427">
        <v>34821</v>
      </c>
      <c r="L699" s="427">
        <v>33590</v>
      </c>
      <c r="M699" s="427">
        <v>62064</v>
      </c>
      <c r="N699" s="427">
        <v>12413</v>
      </c>
      <c r="O699" s="427"/>
      <c r="P699" s="437">
        <f>SUM(R699:S699)-1457</f>
        <v>5654</v>
      </c>
      <c r="Q699" s="427"/>
      <c r="R699" s="427">
        <v>1556</v>
      </c>
      <c r="S699" s="427">
        <v>5555</v>
      </c>
      <c r="U699" s="472"/>
      <c r="V699" s="472"/>
      <c r="W699" s="472"/>
      <c r="X699" s="472"/>
      <c r="Y699" s="472"/>
    </row>
    <row r="700" spans="1:25" s="428" customFormat="1" ht="9.1999999999999993" customHeight="1" x14ac:dyDescent="0.25">
      <c r="A700" s="431" t="s">
        <v>24</v>
      </c>
      <c r="B700" s="427">
        <f t="shared" si="62"/>
        <v>83846</v>
      </c>
      <c r="C700" s="427"/>
      <c r="D700" s="477">
        <v>51890</v>
      </c>
      <c r="E700" s="477">
        <v>17881</v>
      </c>
      <c r="F700" s="477">
        <v>8573</v>
      </c>
      <c r="G700" s="477">
        <v>5502</v>
      </c>
      <c r="I700" s="427">
        <f t="shared" ref="I700:I729" si="63">SUM(K700:O700)</f>
        <v>359320</v>
      </c>
      <c r="J700" s="427"/>
      <c r="K700" s="427">
        <v>85978</v>
      </c>
      <c r="L700" s="427">
        <v>81047</v>
      </c>
      <c r="M700" s="427">
        <v>184049</v>
      </c>
      <c r="N700" s="427">
        <v>8246</v>
      </c>
      <c r="O700" s="427"/>
      <c r="P700" s="427">
        <f t="shared" ref="P700:P730" si="64">SUM(R700:S700)</f>
        <v>14542</v>
      </c>
      <c r="Q700" s="427"/>
      <c r="R700" s="427">
        <v>1632</v>
      </c>
      <c r="S700" s="427">
        <v>12910</v>
      </c>
      <c r="U700" s="472"/>
      <c r="V700" s="472"/>
      <c r="W700" s="472"/>
      <c r="X700" s="472"/>
      <c r="Y700" s="472"/>
    </row>
    <row r="701" spans="1:25" s="428" customFormat="1" ht="9.1999999999999993" customHeight="1" x14ac:dyDescent="0.25">
      <c r="A701" s="431" t="s">
        <v>25</v>
      </c>
      <c r="B701" s="427">
        <f t="shared" si="62"/>
        <v>15243</v>
      </c>
      <c r="C701" s="427"/>
      <c r="D701" s="477">
        <v>3302</v>
      </c>
      <c r="E701" s="477">
        <v>4629</v>
      </c>
      <c r="F701" s="477">
        <v>6241</v>
      </c>
      <c r="G701" s="477">
        <v>1071</v>
      </c>
      <c r="I701" s="427">
        <f t="shared" si="63"/>
        <v>78872</v>
      </c>
      <c r="J701" s="427"/>
      <c r="K701" s="427">
        <v>9798</v>
      </c>
      <c r="L701" s="427">
        <v>15624</v>
      </c>
      <c r="M701" s="427">
        <v>50523</v>
      </c>
      <c r="N701" s="427">
        <v>2927</v>
      </c>
      <c r="O701" s="427"/>
      <c r="P701" s="427">
        <f t="shared" si="64"/>
        <v>3295</v>
      </c>
      <c r="Q701" s="427"/>
      <c r="R701" s="427">
        <v>263</v>
      </c>
      <c r="S701" s="427">
        <v>3032</v>
      </c>
      <c r="U701" s="472"/>
      <c r="V701" s="472"/>
      <c r="W701" s="472"/>
      <c r="X701" s="472"/>
      <c r="Y701" s="472"/>
    </row>
    <row r="702" spans="1:25" s="428" customFormat="1" ht="9.1999999999999993" customHeight="1" x14ac:dyDescent="0.25">
      <c r="A702" s="433" t="s">
        <v>26</v>
      </c>
      <c r="B702" s="434">
        <f t="shared" si="62"/>
        <v>11351</v>
      </c>
      <c r="C702" s="434"/>
      <c r="D702" s="479">
        <v>5632</v>
      </c>
      <c r="E702" s="479">
        <v>2817</v>
      </c>
      <c r="F702" s="479">
        <v>1756</v>
      </c>
      <c r="G702" s="479">
        <v>1146</v>
      </c>
      <c r="H702" s="475"/>
      <c r="I702" s="434">
        <f t="shared" si="63"/>
        <v>81533</v>
      </c>
      <c r="J702" s="434"/>
      <c r="K702" s="434">
        <v>16573</v>
      </c>
      <c r="L702" s="434">
        <v>12154</v>
      </c>
      <c r="M702" s="434">
        <v>49040</v>
      </c>
      <c r="N702" s="434">
        <v>3766</v>
      </c>
      <c r="O702" s="434"/>
      <c r="P702" s="434">
        <f t="shared" si="64"/>
        <v>3825</v>
      </c>
      <c r="Q702" s="434"/>
      <c r="R702" s="434">
        <v>249</v>
      </c>
      <c r="S702" s="434">
        <v>3576</v>
      </c>
      <c r="U702" s="472"/>
      <c r="V702" s="472"/>
      <c r="W702" s="472"/>
      <c r="X702" s="472"/>
      <c r="Y702" s="472"/>
    </row>
    <row r="703" spans="1:25" s="428" customFormat="1" ht="9.1999999999999993" customHeight="1" x14ac:dyDescent="0.25">
      <c r="A703" s="431" t="s">
        <v>27</v>
      </c>
      <c r="B703" s="427">
        <f t="shared" si="62"/>
        <v>114560</v>
      </c>
      <c r="C703" s="427"/>
      <c r="D703" s="477">
        <v>71461</v>
      </c>
      <c r="E703" s="477">
        <v>26696</v>
      </c>
      <c r="F703" s="477">
        <v>7450</v>
      </c>
      <c r="G703" s="477">
        <v>8953</v>
      </c>
      <c r="I703" s="427">
        <f t="shared" si="63"/>
        <v>341698</v>
      </c>
      <c r="J703" s="427"/>
      <c r="K703" s="427">
        <v>46505</v>
      </c>
      <c r="L703" s="427">
        <v>103210</v>
      </c>
      <c r="M703" s="427">
        <v>181533</v>
      </c>
      <c r="N703" s="427">
        <v>10450</v>
      </c>
      <c r="O703" s="427"/>
      <c r="P703" s="427">
        <f t="shared" si="64"/>
        <v>11005</v>
      </c>
      <c r="Q703" s="427"/>
      <c r="R703" s="427">
        <v>1373</v>
      </c>
      <c r="S703" s="427">
        <v>9632</v>
      </c>
      <c r="U703" s="472"/>
      <c r="V703" s="472"/>
      <c r="W703" s="472"/>
      <c r="X703" s="472"/>
      <c r="Y703" s="472"/>
    </row>
    <row r="704" spans="1:25" s="428" customFormat="1" ht="9.1999999999999993" customHeight="1" x14ac:dyDescent="0.25">
      <c r="A704" s="431" t="s">
        <v>28</v>
      </c>
      <c r="B704" s="427">
        <f t="shared" si="62"/>
        <v>12156</v>
      </c>
      <c r="C704" s="427"/>
      <c r="D704" s="477">
        <v>5052</v>
      </c>
      <c r="E704" s="477">
        <v>3755</v>
      </c>
      <c r="F704" s="477">
        <v>1612</v>
      </c>
      <c r="G704" s="477">
        <v>1737</v>
      </c>
      <c r="I704" s="427">
        <f t="shared" si="63"/>
        <v>68480</v>
      </c>
      <c r="J704" s="427"/>
      <c r="K704" s="427">
        <v>10163</v>
      </c>
      <c r="L704" s="427">
        <v>13585</v>
      </c>
      <c r="M704" s="427">
        <v>42606</v>
      </c>
      <c r="N704" s="427">
        <v>2126</v>
      </c>
      <c r="O704" s="427"/>
      <c r="P704" s="427">
        <f t="shared" si="64"/>
        <v>3402</v>
      </c>
      <c r="Q704" s="427"/>
      <c r="R704" s="427">
        <v>228</v>
      </c>
      <c r="S704" s="427">
        <v>3174</v>
      </c>
      <c r="U704" s="472"/>
      <c r="V704" s="472"/>
      <c r="W704" s="472"/>
      <c r="X704" s="472"/>
      <c r="Y704" s="472"/>
    </row>
    <row r="705" spans="1:25" s="428" customFormat="1" ht="9.1999999999999993" customHeight="1" x14ac:dyDescent="0.25">
      <c r="A705" s="431" t="s">
        <v>29</v>
      </c>
      <c r="B705" s="427">
        <f t="shared" si="62"/>
        <v>125002</v>
      </c>
      <c r="C705" s="427"/>
      <c r="D705" s="477">
        <v>75613</v>
      </c>
      <c r="E705" s="477">
        <v>25004</v>
      </c>
      <c r="F705" s="477">
        <v>11293</v>
      </c>
      <c r="G705" s="477">
        <v>13092</v>
      </c>
      <c r="I705" s="427">
        <f t="shared" si="63"/>
        <v>376520</v>
      </c>
      <c r="J705" s="427"/>
      <c r="K705" s="427">
        <v>94407</v>
      </c>
      <c r="L705" s="427">
        <v>56309</v>
      </c>
      <c r="M705" s="427">
        <v>212313</v>
      </c>
      <c r="N705" s="427">
        <v>13491</v>
      </c>
      <c r="O705" s="427"/>
      <c r="P705" s="427">
        <f t="shared" si="64"/>
        <v>18576</v>
      </c>
      <c r="Q705" s="427"/>
      <c r="R705" s="427">
        <v>460</v>
      </c>
      <c r="S705" s="427">
        <v>18116</v>
      </c>
      <c r="U705" s="472"/>
      <c r="V705" s="472"/>
      <c r="W705" s="472"/>
      <c r="X705" s="472"/>
      <c r="Y705" s="472"/>
    </row>
    <row r="706" spans="1:25" s="428" customFormat="1" ht="9.1999999999999993" customHeight="1" x14ac:dyDescent="0.25">
      <c r="A706" s="433" t="s">
        <v>30</v>
      </c>
      <c r="B706" s="434">
        <f t="shared" si="62"/>
        <v>71170</v>
      </c>
      <c r="C706" s="434"/>
      <c r="D706" s="479">
        <v>39158</v>
      </c>
      <c r="E706" s="479">
        <v>17580</v>
      </c>
      <c r="F706" s="479">
        <v>9336</v>
      </c>
      <c r="G706" s="479">
        <v>5096</v>
      </c>
      <c r="H706" s="475"/>
      <c r="I706" s="434">
        <f t="shared" si="63"/>
        <v>335112</v>
      </c>
      <c r="J706" s="434"/>
      <c r="K706" s="434">
        <v>64482</v>
      </c>
      <c r="L706" s="434">
        <v>88453</v>
      </c>
      <c r="M706" s="434">
        <v>174013</v>
      </c>
      <c r="N706" s="434">
        <v>8164</v>
      </c>
      <c r="O706" s="434"/>
      <c r="P706" s="434">
        <f t="shared" si="64"/>
        <v>14098</v>
      </c>
      <c r="Q706" s="434"/>
      <c r="R706" s="434">
        <v>2193</v>
      </c>
      <c r="S706" s="434">
        <v>11905</v>
      </c>
      <c r="U706" s="472"/>
      <c r="V706" s="472"/>
      <c r="W706" s="472"/>
      <c r="X706" s="472"/>
      <c r="Y706" s="472"/>
    </row>
    <row r="707" spans="1:25" s="428" customFormat="1" ht="9.1999999999999993" customHeight="1" x14ac:dyDescent="0.25">
      <c r="A707" s="431" t="s">
        <v>63</v>
      </c>
      <c r="B707" s="427">
        <f t="shared" si="62"/>
        <v>166836</v>
      </c>
      <c r="C707" s="427"/>
      <c r="D707" s="477">
        <v>54282</v>
      </c>
      <c r="E707" s="477">
        <v>43076</v>
      </c>
      <c r="F707" s="477">
        <v>17513</v>
      </c>
      <c r="G707" s="477">
        <v>51965</v>
      </c>
      <c r="I707" s="427">
        <f t="shared" si="63"/>
        <v>977628</v>
      </c>
      <c r="J707" s="427"/>
      <c r="K707" s="427">
        <v>110181</v>
      </c>
      <c r="L707" s="427">
        <v>198322</v>
      </c>
      <c r="M707" s="427">
        <v>547953</v>
      </c>
      <c r="N707" s="427">
        <v>121172</v>
      </c>
      <c r="O707" s="427"/>
      <c r="P707" s="427">
        <f t="shared" si="64"/>
        <v>32673</v>
      </c>
      <c r="Q707" s="427"/>
      <c r="R707" s="427">
        <v>3469</v>
      </c>
      <c r="S707" s="427">
        <v>29204</v>
      </c>
      <c r="U707" s="472"/>
      <c r="V707" s="472"/>
      <c r="W707" s="472"/>
      <c r="X707" s="472"/>
      <c r="Y707" s="472"/>
    </row>
    <row r="708" spans="1:25" s="428" customFormat="1" ht="9.1999999999999993" customHeight="1" x14ac:dyDescent="0.25">
      <c r="A708" s="431" t="s">
        <v>31</v>
      </c>
      <c r="B708" s="427">
        <f t="shared" si="62"/>
        <v>47978</v>
      </c>
      <c r="C708" s="427"/>
      <c r="D708" s="477">
        <v>26340</v>
      </c>
      <c r="E708" s="477">
        <v>13371</v>
      </c>
      <c r="F708" s="477">
        <v>5415</v>
      </c>
      <c r="G708" s="477">
        <v>2852</v>
      </c>
      <c r="I708" s="427">
        <f t="shared" si="63"/>
        <v>203048</v>
      </c>
      <c r="J708" s="427"/>
      <c r="K708" s="427">
        <v>48383</v>
      </c>
      <c r="L708" s="427">
        <v>64699</v>
      </c>
      <c r="M708" s="427">
        <v>85183</v>
      </c>
      <c r="N708" s="427">
        <v>4783</v>
      </c>
      <c r="O708" s="427"/>
      <c r="P708" s="427">
        <f t="shared" si="64"/>
        <v>7086</v>
      </c>
      <c r="Q708" s="427"/>
      <c r="R708" s="427">
        <v>852</v>
      </c>
      <c r="S708" s="427">
        <v>6234</v>
      </c>
      <c r="U708" s="472"/>
      <c r="V708" s="472"/>
      <c r="W708" s="472"/>
      <c r="X708" s="472"/>
      <c r="Y708" s="472"/>
    </row>
    <row r="709" spans="1:25" s="428" customFormat="1" ht="9.1999999999999993" customHeight="1" x14ac:dyDescent="0.25">
      <c r="A709" s="431" t="s">
        <v>32</v>
      </c>
      <c r="B709" s="427">
        <f t="shared" si="62"/>
        <v>80190</v>
      </c>
      <c r="C709" s="427"/>
      <c r="D709" s="477">
        <v>33803</v>
      </c>
      <c r="E709" s="477">
        <v>24696</v>
      </c>
      <c r="F709" s="477">
        <v>10981</v>
      </c>
      <c r="G709" s="477">
        <v>10710</v>
      </c>
      <c r="I709" s="427">
        <f t="shared" si="63"/>
        <v>710892</v>
      </c>
      <c r="J709" s="427"/>
      <c r="K709" s="427">
        <v>188968</v>
      </c>
      <c r="L709" s="427">
        <v>173618</v>
      </c>
      <c r="M709" s="427">
        <v>256556</v>
      </c>
      <c r="N709" s="427">
        <v>91750</v>
      </c>
      <c r="O709" s="427"/>
      <c r="P709" s="427">
        <f t="shared" si="64"/>
        <v>20353</v>
      </c>
      <c r="Q709" s="427"/>
      <c r="R709" s="427">
        <v>2655</v>
      </c>
      <c r="S709" s="427">
        <v>17698</v>
      </c>
      <c r="U709" s="472"/>
      <c r="V709" s="472"/>
      <c r="W709" s="472"/>
      <c r="X709" s="472"/>
      <c r="Y709" s="472"/>
    </row>
    <row r="710" spans="1:25" s="428" customFormat="1" ht="9.1999999999999993" customHeight="1" x14ac:dyDescent="0.25">
      <c r="A710" s="433" t="s">
        <v>33</v>
      </c>
      <c r="B710" s="434">
        <f t="shared" si="62"/>
        <v>110992</v>
      </c>
      <c r="C710" s="434"/>
      <c r="D710" s="479">
        <v>46784</v>
      </c>
      <c r="E710" s="479">
        <v>13476</v>
      </c>
      <c r="F710" s="479">
        <v>5669</v>
      </c>
      <c r="G710" s="479">
        <v>45063</v>
      </c>
      <c r="H710" s="475"/>
      <c r="I710" s="434">
        <f t="shared" si="63"/>
        <v>436606</v>
      </c>
      <c r="J710" s="434"/>
      <c r="K710" s="434">
        <v>147455</v>
      </c>
      <c r="L710" s="434">
        <v>57190</v>
      </c>
      <c r="M710" s="434">
        <v>196754</v>
      </c>
      <c r="N710" s="434">
        <v>35207</v>
      </c>
      <c r="O710" s="434"/>
      <c r="P710" s="434">
        <f t="shared" si="64"/>
        <v>13749</v>
      </c>
      <c r="Q710" s="434"/>
      <c r="R710" s="434">
        <v>674</v>
      </c>
      <c r="S710" s="434">
        <v>13075</v>
      </c>
      <c r="U710" s="472"/>
      <c r="V710" s="472"/>
      <c r="W710" s="472"/>
      <c r="X710" s="472"/>
      <c r="Y710" s="472"/>
    </row>
    <row r="711" spans="1:25" s="428" customFormat="1" ht="9.1999999999999993" customHeight="1" x14ac:dyDescent="0.25">
      <c r="A711" s="431" t="s">
        <v>34</v>
      </c>
      <c r="B711" s="427">
        <f t="shared" si="62"/>
        <v>72552</v>
      </c>
      <c r="C711" s="427"/>
      <c r="D711" s="477">
        <v>24003</v>
      </c>
      <c r="E711" s="477">
        <v>20470</v>
      </c>
      <c r="F711" s="477">
        <v>8664</v>
      </c>
      <c r="G711" s="477">
        <v>19415</v>
      </c>
      <c r="I711" s="427">
        <f t="shared" si="63"/>
        <v>306946</v>
      </c>
      <c r="J711" s="427"/>
      <c r="K711" s="427">
        <v>40745</v>
      </c>
      <c r="L711" s="427">
        <v>68020</v>
      </c>
      <c r="M711" s="427">
        <v>172775</v>
      </c>
      <c r="N711" s="427">
        <v>25406</v>
      </c>
      <c r="O711" s="427"/>
      <c r="P711" s="427">
        <f t="shared" si="64"/>
        <v>12308</v>
      </c>
      <c r="Q711" s="427"/>
      <c r="R711" s="427">
        <v>678</v>
      </c>
      <c r="S711" s="427">
        <v>11630</v>
      </c>
      <c r="U711" s="472"/>
      <c r="V711" s="472"/>
      <c r="W711" s="472"/>
      <c r="X711" s="472"/>
      <c r="Y711" s="472"/>
    </row>
    <row r="712" spans="1:25" s="428" customFormat="1" ht="9.1999999999999993" customHeight="1" x14ac:dyDescent="0.25">
      <c r="A712" s="431" t="s">
        <v>35</v>
      </c>
      <c r="B712" s="427">
        <f t="shared" si="62"/>
        <v>114066</v>
      </c>
      <c r="C712" s="427"/>
      <c r="D712" s="477">
        <v>50010</v>
      </c>
      <c r="E712" s="477">
        <v>33041</v>
      </c>
      <c r="F712" s="477">
        <v>19308</v>
      </c>
      <c r="G712" s="477">
        <v>11707</v>
      </c>
      <c r="I712" s="427">
        <f t="shared" si="63"/>
        <v>585247</v>
      </c>
      <c r="J712" s="427"/>
      <c r="K712" s="427">
        <v>104915</v>
      </c>
      <c r="L712" s="427">
        <v>116214</v>
      </c>
      <c r="M712" s="427">
        <v>328838</v>
      </c>
      <c r="N712" s="427">
        <v>35280</v>
      </c>
      <c r="O712" s="427"/>
      <c r="P712" s="427">
        <f t="shared" si="64"/>
        <v>30759</v>
      </c>
      <c r="Q712" s="427"/>
      <c r="R712" s="427">
        <v>4032</v>
      </c>
      <c r="S712" s="427">
        <v>26727</v>
      </c>
      <c r="U712" s="826"/>
      <c r="V712" s="827"/>
      <c r="W712" s="827"/>
      <c r="X712" s="472"/>
      <c r="Y712" s="472"/>
    </row>
    <row r="713" spans="1:25" s="428" customFormat="1" ht="9.1999999999999993" customHeight="1" x14ac:dyDescent="0.25">
      <c r="A713" s="431" t="s">
        <v>36</v>
      </c>
      <c r="B713" s="427">
        <f t="shared" si="62"/>
        <v>217279</v>
      </c>
      <c r="C713" s="427"/>
      <c r="D713" s="477">
        <v>77713</v>
      </c>
      <c r="E713" s="477">
        <v>64894</v>
      </c>
      <c r="F713" s="477">
        <v>25392</v>
      </c>
      <c r="G713" s="477">
        <v>49280</v>
      </c>
      <c r="I713" s="427">
        <f t="shared" si="63"/>
        <v>1265282</v>
      </c>
      <c r="J713" s="427"/>
      <c r="K713" s="427">
        <v>275303</v>
      </c>
      <c r="L713" s="427">
        <v>295494</v>
      </c>
      <c r="M713" s="427">
        <v>496111</v>
      </c>
      <c r="N713" s="427">
        <v>198374</v>
      </c>
      <c r="O713" s="427"/>
      <c r="P713" s="427">
        <f t="shared" si="64"/>
        <v>53396</v>
      </c>
      <c r="Q713" s="427"/>
      <c r="R713" s="427">
        <v>3883</v>
      </c>
      <c r="S713" s="427">
        <v>49513</v>
      </c>
      <c r="U713" s="827"/>
      <c r="V713" s="827"/>
      <c r="W713" s="827"/>
      <c r="X713" s="472"/>
      <c r="Y713" s="472"/>
    </row>
    <row r="714" spans="1:25" s="428" customFormat="1" ht="9.1999999999999993" customHeight="1" x14ac:dyDescent="0.25">
      <c r="A714" s="433" t="s">
        <v>37</v>
      </c>
      <c r="B714" s="434">
        <f t="shared" si="62"/>
        <v>91899</v>
      </c>
      <c r="C714" s="434"/>
      <c r="D714" s="479">
        <v>47893</v>
      </c>
      <c r="E714" s="479">
        <v>28598</v>
      </c>
      <c r="F714" s="479">
        <v>8310</v>
      </c>
      <c r="G714" s="479">
        <v>7098</v>
      </c>
      <c r="H714" s="475"/>
      <c r="I714" s="434">
        <f t="shared" si="63"/>
        <v>443951</v>
      </c>
      <c r="J714" s="434"/>
      <c r="K714" s="434">
        <v>80173</v>
      </c>
      <c r="L714" s="434">
        <v>128850</v>
      </c>
      <c r="M714" s="434">
        <v>208630</v>
      </c>
      <c r="N714" s="434">
        <v>26298</v>
      </c>
      <c r="O714" s="434"/>
      <c r="P714" s="434">
        <f t="shared" si="64"/>
        <v>16547</v>
      </c>
      <c r="Q714" s="434"/>
      <c r="R714" s="434">
        <v>1232</v>
      </c>
      <c r="S714" s="434">
        <v>15315</v>
      </c>
      <c r="U714" s="827"/>
      <c r="V714" s="827"/>
      <c r="W714" s="827"/>
      <c r="X714" s="472"/>
      <c r="Y714" s="472"/>
    </row>
    <row r="715" spans="1:25" s="428" customFormat="1" ht="9.1999999999999993" customHeight="1" x14ac:dyDescent="0.25">
      <c r="A715" s="431" t="s">
        <v>38</v>
      </c>
      <c r="B715" s="427">
        <f t="shared" si="62"/>
        <v>28539</v>
      </c>
      <c r="C715" s="427"/>
      <c r="D715" s="477">
        <v>14423</v>
      </c>
      <c r="E715" s="477">
        <v>5662</v>
      </c>
      <c r="F715" s="477">
        <v>3078</v>
      </c>
      <c r="G715" s="477">
        <v>5376</v>
      </c>
      <c r="I715" s="427">
        <f t="shared" si="63"/>
        <v>185118</v>
      </c>
      <c r="J715" s="427"/>
      <c r="K715" s="427">
        <v>36967</v>
      </c>
      <c r="L715" s="427">
        <v>30453</v>
      </c>
      <c r="M715" s="427">
        <v>98263</v>
      </c>
      <c r="N715" s="427">
        <v>19435</v>
      </c>
      <c r="O715" s="427"/>
      <c r="P715" s="427">
        <f t="shared" si="64"/>
        <v>7210</v>
      </c>
      <c r="Q715" s="427"/>
      <c r="R715" s="427">
        <v>450</v>
      </c>
      <c r="S715" s="427">
        <v>6760</v>
      </c>
      <c r="U715" s="827"/>
      <c r="V715" s="827"/>
      <c r="W715" s="827"/>
      <c r="X715" s="472"/>
      <c r="Y715" s="472"/>
    </row>
    <row r="716" spans="1:25" s="428" customFormat="1" ht="9.1999999999999993" customHeight="1" x14ac:dyDescent="0.25">
      <c r="A716" s="431" t="s">
        <v>39</v>
      </c>
      <c r="B716" s="427">
        <f t="shared" si="62"/>
        <v>23901</v>
      </c>
      <c r="C716" s="427"/>
      <c r="D716" s="477">
        <v>12723</v>
      </c>
      <c r="E716" s="477">
        <v>7545</v>
      </c>
      <c r="F716" s="477">
        <v>2819</v>
      </c>
      <c r="G716" s="477">
        <v>814</v>
      </c>
      <c r="I716" s="427">
        <f t="shared" si="63"/>
        <v>129703</v>
      </c>
      <c r="J716" s="427"/>
      <c r="K716" s="427">
        <v>34582</v>
      </c>
      <c r="L716" s="427">
        <v>31099</v>
      </c>
      <c r="M716" s="427">
        <v>59873</v>
      </c>
      <c r="N716" s="427">
        <v>4149</v>
      </c>
      <c r="O716" s="427"/>
      <c r="P716" s="427">
        <f t="shared" si="64"/>
        <v>4162</v>
      </c>
      <c r="Q716" s="427"/>
      <c r="R716" s="427">
        <v>308</v>
      </c>
      <c r="S716" s="427">
        <v>3854</v>
      </c>
      <c r="U716" s="472"/>
      <c r="V716" s="472"/>
      <c r="W716" s="472"/>
      <c r="X716" s="472"/>
      <c r="Y716" s="472"/>
    </row>
    <row r="717" spans="1:25" s="428" customFormat="1" ht="9.1999999999999993" customHeight="1" x14ac:dyDescent="0.25">
      <c r="A717" s="431" t="s">
        <v>40</v>
      </c>
      <c r="B717" s="427">
        <f t="shared" si="62"/>
        <v>69717</v>
      </c>
      <c r="C717" s="427"/>
      <c r="D717" s="477">
        <v>23208</v>
      </c>
      <c r="E717" s="477">
        <v>29418</v>
      </c>
      <c r="F717" s="477">
        <v>9632</v>
      </c>
      <c r="G717" s="477">
        <v>7459</v>
      </c>
      <c r="I717" s="427">
        <f t="shared" si="63"/>
        <v>498040</v>
      </c>
      <c r="J717" s="427"/>
      <c r="K717" s="427">
        <v>69055</v>
      </c>
      <c r="L717" s="427">
        <v>164398</v>
      </c>
      <c r="M717" s="427">
        <v>239693</v>
      </c>
      <c r="N717" s="427">
        <v>24894</v>
      </c>
      <c r="O717" s="427"/>
      <c r="P717" s="427">
        <f t="shared" si="64"/>
        <v>16341</v>
      </c>
      <c r="Q717" s="427"/>
      <c r="R717" s="427">
        <v>3402</v>
      </c>
      <c r="S717" s="427">
        <v>12939</v>
      </c>
      <c r="U717" s="472"/>
      <c r="V717" s="472"/>
      <c r="W717" s="472"/>
      <c r="X717" s="472"/>
      <c r="Y717" s="472"/>
    </row>
    <row r="718" spans="1:25" s="428" customFormat="1" ht="9.1999999999999993" customHeight="1" x14ac:dyDescent="0.25">
      <c r="A718" s="433" t="s">
        <v>41</v>
      </c>
      <c r="B718" s="434">
        <f t="shared" si="62"/>
        <v>70433</v>
      </c>
      <c r="C718" s="434"/>
      <c r="D718" s="479">
        <v>37313</v>
      </c>
      <c r="E718" s="479">
        <v>18476</v>
      </c>
      <c r="F718" s="479">
        <v>7936</v>
      </c>
      <c r="G718" s="479">
        <v>6708</v>
      </c>
      <c r="H718" s="475"/>
      <c r="I718" s="434">
        <f t="shared" si="63"/>
        <v>328450</v>
      </c>
      <c r="J718" s="434"/>
      <c r="K718" s="434">
        <v>60248</v>
      </c>
      <c r="L718" s="434">
        <v>86602</v>
      </c>
      <c r="M718" s="434">
        <v>166060</v>
      </c>
      <c r="N718" s="434">
        <v>15540</v>
      </c>
      <c r="O718" s="434"/>
      <c r="P718" s="434">
        <f t="shared" si="64"/>
        <v>14542</v>
      </c>
      <c r="Q718" s="434"/>
      <c r="R718" s="434">
        <v>394</v>
      </c>
      <c r="S718" s="434">
        <v>14148</v>
      </c>
      <c r="U718" s="472"/>
      <c r="V718" s="472"/>
      <c r="W718" s="472"/>
      <c r="X718" s="472"/>
      <c r="Y718" s="472"/>
    </row>
    <row r="719" spans="1:25" s="428" customFormat="1" ht="9.1999999999999993" customHeight="1" x14ac:dyDescent="0.25">
      <c r="A719" s="431" t="s">
        <v>42</v>
      </c>
      <c r="B719" s="427">
        <f t="shared" si="62"/>
        <v>127359</v>
      </c>
      <c r="C719" s="427"/>
      <c r="D719" s="477">
        <v>56274</v>
      </c>
      <c r="E719" s="477">
        <v>35279</v>
      </c>
      <c r="F719" s="477">
        <v>9763</v>
      </c>
      <c r="G719" s="477">
        <v>26043</v>
      </c>
      <c r="I719" s="427">
        <f t="shared" si="63"/>
        <v>652210</v>
      </c>
      <c r="J719" s="427"/>
      <c r="K719" s="427">
        <v>112199</v>
      </c>
      <c r="L719" s="427">
        <v>221463</v>
      </c>
      <c r="M719" s="427">
        <v>278150</v>
      </c>
      <c r="N719" s="427">
        <v>40398</v>
      </c>
      <c r="O719" s="427"/>
      <c r="P719" s="427">
        <f t="shared" si="64"/>
        <v>22713</v>
      </c>
      <c r="Q719" s="427"/>
      <c r="R719" s="427">
        <v>1787</v>
      </c>
      <c r="S719" s="427">
        <v>20926</v>
      </c>
      <c r="U719" s="472"/>
      <c r="V719" s="472"/>
      <c r="W719" s="472"/>
      <c r="X719" s="472"/>
      <c r="Y719" s="472"/>
    </row>
    <row r="720" spans="1:25" s="428" customFormat="1" ht="9.1999999999999993" customHeight="1" x14ac:dyDescent="0.25">
      <c r="A720" s="431" t="s">
        <v>43</v>
      </c>
      <c r="B720" s="427">
        <f t="shared" si="62"/>
        <v>41945</v>
      </c>
      <c r="C720" s="427"/>
      <c r="D720" s="477">
        <v>20741</v>
      </c>
      <c r="E720" s="477">
        <v>10747</v>
      </c>
      <c r="F720" s="477">
        <v>3444</v>
      </c>
      <c r="G720" s="477">
        <v>7013</v>
      </c>
      <c r="I720" s="427">
        <f t="shared" si="63"/>
        <v>192958</v>
      </c>
      <c r="J720" s="427"/>
      <c r="K720" s="427">
        <v>39568</v>
      </c>
      <c r="L720" s="427">
        <v>61874</v>
      </c>
      <c r="M720" s="427">
        <v>81396</v>
      </c>
      <c r="N720" s="427">
        <v>10120</v>
      </c>
      <c r="O720" s="427"/>
      <c r="P720" s="427">
        <f t="shared" si="64"/>
        <v>8020</v>
      </c>
      <c r="Q720" s="427"/>
      <c r="R720" s="427">
        <v>1103</v>
      </c>
      <c r="S720" s="427">
        <v>6917</v>
      </c>
      <c r="U720" s="472"/>
      <c r="V720" s="472"/>
      <c r="W720" s="472"/>
      <c r="X720" s="472"/>
      <c r="Y720" s="472"/>
    </row>
    <row r="721" spans="1:25" s="428" customFormat="1" ht="9.1999999999999993" customHeight="1" x14ac:dyDescent="0.25">
      <c r="A721" s="431" t="s">
        <v>44</v>
      </c>
      <c r="B721" s="427">
        <f t="shared" si="62"/>
        <v>52330</v>
      </c>
      <c r="C721" s="427"/>
      <c r="D721" s="477">
        <v>9184</v>
      </c>
      <c r="E721" s="477">
        <v>9005</v>
      </c>
      <c r="F721" s="477">
        <v>5813</v>
      </c>
      <c r="G721" s="477">
        <v>28328</v>
      </c>
      <c r="I721" s="427">
        <f t="shared" si="63"/>
        <v>340086</v>
      </c>
      <c r="J721" s="427"/>
      <c r="K721" s="427">
        <v>28079</v>
      </c>
      <c r="L721" s="427">
        <v>41304</v>
      </c>
      <c r="M721" s="427">
        <v>264758</v>
      </c>
      <c r="N721" s="427">
        <v>5945</v>
      </c>
      <c r="O721" s="427"/>
      <c r="P721" s="427">
        <f t="shared" si="64"/>
        <v>8392</v>
      </c>
      <c r="Q721" s="427"/>
      <c r="R721" s="427">
        <v>729</v>
      </c>
      <c r="S721" s="427">
        <v>7663</v>
      </c>
      <c r="U721" s="472"/>
      <c r="V721" s="472"/>
      <c r="W721" s="472"/>
      <c r="X721" s="472"/>
      <c r="Y721" s="472"/>
    </row>
    <row r="722" spans="1:25" s="428" customFormat="1" ht="9.1999999999999993" customHeight="1" x14ac:dyDescent="0.25">
      <c r="A722" s="433" t="s">
        <v>45</v>
      </c>
      <c r="B722" s="434">
        <f t="shared" si="62"/>
        <v>90210</v>
      </c>
      <c r="C722" s="434"/>
      <c r="D722" s="479">
        <v>40529</v>
      </c>
      <c r="E722" s="479">
        <v>23083</v>
      </c>
      <c r="F722" s="479">
        <v>4955</v>
      </c>
      <c r="G722" s="479">
        <v>21643</v>
      </c>
      <c r="H722" s="475"/>
      <c r="I722" s="434">
        <f t="shared" si="63"/>
        <v>295623</v>
      </c>
      <c r="J722" s="434"/>
      <c r="K722" s="434">
        <v>67428</v>
      </c>
      <c r="L722" s="434">
        <v>100287</v>
      </c>
      <c r="M722" s="434">
        <v>117912</v>
      </c>
      <c r="N722" s="434">
        <v>9996</v>
      </c>
      <c r="O722" s="434"/>
      <c r="P722" s="434">
        <f t="shared" si="64"/>
        <v>9316</v>
      </c>
      <c r="Q722" s="434"/>
      <c r="R722" s="434">
        <v>909</v>
      </c>
      <c r="S722" s="434">
        <v>8407</v>
      </c>
      <c r="U722" s="472"/>
      <c r="V722" s="472"/>
      <c r="W722" s="472"/>
      <c r="X722" s="472"/>
      <c r="Y722" s="472"/>
    </row>
    <row r="723" spans="1:25" s="428" customFormat="1" ht="9.1999999999999993" customHeight="1" x14ac:dyDescent="0.25">
      <c r="A723" s="431" t="s">
        <v>46</v>
      </c>
      <c r="B723" s="427">
        <f t="shared" si="62"/>
        <v>78974</v>
      </c>
      <c r="C723" s="427"/>
      <c r="D723" s="477">
        <v>39467</v>
      </c>
      <c r="E723" s="477">
        <v>20473</v>
      </c>
      <c r="F723" s="477">
        <v>7347</v>
      </c>
      <c r="G723" s="477">
        <v>11687</v>
      </c>
      <c r="I723" s="427">
        <f t="shared" si="63"/>
        <v>351806</v>
      </c>
      <c r="J723" s="427"/>
      <c r="K723" s="427">
        <v>67214</v>
      </c>
      <c r="L723" s="427">
        <v>85090</v>
      </c>
      <c r="M723" s="427">
        <v>180265</v>
      </c>
      <c r="N723" s="427">
        <v>19237</v>
      </c>
      <c r="O723" s="427"/>
      <c r="P723" s="427">
        <f t="shared" si="64"/>
        <v>9205</v>
      </c>
      <c r="Q723" s="427"/>
      <c r="R723" s="427">
        <v>815</v>
      </c>
      <c r="S723" s="427">
        <v>8390</v>
      </c>
      <c r="U723" s="472"/>
      <c r="V723" s="472"/>
      <c r="W723" s="472"/>
      <c r="X723" s="472"/>
      <c r="Y723" s="472"/>
    </row>
    <row r="724" spans="1:25" s="428" customFormat="1" ht="9.1999999999999993" customHeight="1" x14ac:dyDescent="0.25">
      <c r="A724" s="431" t="s">
        <v>47</v>
      </c>
      <c r="B724" s="427">
        <f t="shared" si="62"/>
        <v>55226</v>
      </c>
      <c r="C724" s="427"/>
      <c r="D724" s="477">
        <v>18920</v>
      </c>
      <c r="E724" s="477">
        <v>16559</v>
      </c>
      <c r="F724" s="477">
        <v>7577</v>
      </c>
      <c r="G724" s="477">
        <v>12170</v>
      </c>
      <c r="I724" s="427">
        <f t="shared" si="63"/>
        <v>292394</v>
      </c>
      <c r="J724" s="427"/>
      <c r="K724" s="427">
        <v>61262</v>
      </c>
      <c r="L724" s="427">
        <v>81784</v>
      </c>
      <c r="M724" s="427">
        <v>129487</v>
      </c>
      <c r="N724" s="427">
        <v>19861</v>
      </c>
      <c r="O724" s="427"/>
      <c r="P724" s="427">
        <f t="shared" si="64"/>
        <v>11478</v>
      </c>
      <c r="Q724" s="427"/>
      <c r="R724" s="427">
        <v>1222</v>
      </c>
      <c r="S724" s="427">
        <v>10256</v>
      </c>
      <c r="U724" s="472"/>
      <c r="V724" s="472"/>
      <c r="W724" s="472"/>
      <c r="X724" s="472"/>
      <c r="Y724" s="472"/>
    </row>
    <row r="725" spans="1:25" s="428" customFormat="1" ht="9.1999999999999993" customHeight="1" x14ac:dyDescent="0.25">
      <c r="A725" s="431" t="s">
        <v>48</v>
      </c>
      <c r="B725" s="427">
        <f t="shared" si="62"/>
        <v>28763</v>
      </c>
      <c r="C725" s="427"/>
      <c r="D725" s="477">
        <v>15396</v>
      </c>
      <c r="E725" s="477">
        <v>4804</v>
      </c>
      <c r="F725" s="477">
        <v>3412</v>
      </c>
      <c r="G725" s="477">
        <v>5151</v>
      </c>
      <c r="I725" s="427">
        <f t="shared" si="63"/>
        <v>232036</v>
      </c>
      <c r="J725" s="427"/>
      <c r="K725" s="427">
        <v>69586</v>
      </c>
      <c r="L725" s="427">
        <v>22317</v>
      </c>
      <c r="M725" s="427">
        <v>128055</v>
      </c>
      <c r="N725" s="427">
        <v>12078</v>
      </c>
      <c r="O725" s="427"/>
      <c r="P725" s="427">
        <f t="shared" si="64"/>
        <v>10582</v>
      </c>
      <c r="Q725" s="427"/>
      <c r="R725" s="427">
        <v>718</v>
      </c>
      <c r="S725" s="427">
        <v>9864</v>
      </c>
      <c r="U725" s="472"/>
      <c r="V725" s="472"/>
      <c r="W725" s="472"/>
      <c r="X725" s="472"/>
      <c r="Y725" s="472"/>
    </row>
    <row r="726" spans="1:25" s="428" customFormat="1" ht="9.1999999999999993" customHeight="1" x14ac:dyDescent="0.25">
      <c r="A726" s="433" t="s">
        <v>49</v>
      </c>
      <c r="B726" s="434">
        <f t="shared" si="62"/>
        <v>76404</v>
      </c>
      <c r="C726" s="434"/>
      <c r="D726" s="479">
        <v>34557</v>
      </c>
      <c r="E726" s="479">
        <v>20187</v>
      </c>
      <c r="F726" s="479">
        <v>8541</v>
      </c>
      <c r="G726" s="479">
        <v>13119</v>
      </c>
      <c r="H726" s="475"/>
      <c r="I726" s="434">
        <f t="shared" si="63"/>
        <v>332192</v>
      </c>
      <c r="J726" s="434"/>
      <c r="K726" s="434">
        <v>65314</v>
      </c>
      <c r="L726" s="434">
        <v>82154</v>
      </c>
      <c r="M726" s="434">
        <v>157803</v>
      </c>
      <c r="N726" s="434">
        <v>26921</v>
      </c>
      <c r="O726" s="434"/>
      <c r="P726" s="434">
        <f t="shared" si="64"/>
        <v>12015</v>
      </c>
      <c r="Q726" s="434"/>
      <c r="R726" s="434">
        <v>1273</v>
      </c>
      <c r="S726" s="434">
        <v>10742</v>
      </c>
      <c r="U726" s="472"/>
      <c r="V726" s="472"/>
      <c r="W726" s="472"/>
      <c r="X726" s="472"/>
      <c r="Y726" s="472"/>
    </row>
    <row r="727" spans="1:25" s="428" customFormat="1" ht="9.1999999999999993" customHeight="1" x14ac:dyDescent="0.25">
      <c r="A727" s="431" t="s">
        <v>50</v>
      </c>
      <c r="B727" s="427">
        <f t="shared" si="62"/>
        <v>15599</v>
      </c>
      <c r="C727" s="427"/>
      <c r="D727" s="477">
        <v>5139</v>
      </c>
      <c r="E727" s="477">
        <v>5172</v>
      </c>
      <c r="F727" s="477">
        <v>3324</v>
      </c>
      <c r="G727" s="477">
        <v>1964</v>
      </c>
      <c r="I727" s="427">
        <f t="shared" si="63"/>
        <v>117791</v>
      </c>
      <c r="J727" s="427"/>
      <c r="K727" s="427">
        <v>19800</v>
      </c>
      <c r="L727" s="427">
        <v>31505</v>
      </c>
      <c r="M727" s="427">
        <v>60504</v>
      </c>
      <c r="N727" s="427">
        <v>5982</v>
      </c>
      <c r="O727" s="427"/>
      <c r="P727" s="427">
        <f t="shared" si="64"/>
        <v>6369</v>
      </c>
      <c r="Q727" s="427"/>
      <c r="R727" s="427">
        <v>364</v>
      </c>
      <c r="S727" s="427">
        <v>6005</v>
      </c>
      <c r="U727" s="472"/>
      <c r="V727" s="472"/>
      <c r="W727" s="472"/>
      <c r="X727" s="472"/>
      <c r="Y727" s="472"/>
    </row>
    <row r="728" spans="1:25" s="428" customFormat="1" ht="9.1999999999999993" customHeight="1" x14ac:dyDescent="0.25">
      <c r="A728" s="428" t="s">
        <v>51</v>
      </c>
      <c r="B728" s="427">
        <f t="shared" si="62"/>
        <v>166475</v>
      </c>
      <c r="C728" s="427"/>
      <c r="D728" s="477">
        <v>79802</v>
      </c>
      <c r="E728" s="477">
        <v>55550</v>
      </c>
      <c r="F728" s="477">
        <v>17182</v>
      </c>
      <c r="G728" s="477">
        <v>13941</v>
      </c>
      <c r="I728" s="427">
        <f t="shared" si="63"/>
        <v>829724</v>
      </c>
      <c r="J728" s="427"/>
      <c r="K728" s="427">
        <v>128539</v>
      </c>
      <c r="L728" s="427">
        <v>186086</v>
      </c>
      <c r="M728" s="427">
        <v>478741</v>
      </c>
      <c r="N728" s="427">
        <v>36358</v>
      </c>
      <c r="O728" s="427"/>
      <c r="P728" s="427">
        <f t="shared" si="64"/>
        <v>31620</v>
      </c>
      <c r="Q728" s="427"/>
      <c r="R728" s="427">
        <v>2348</v>
      </c>
      <c r="S728" s="427">
        <v>29272</v>
      </c>
      <c r="U728" s="472"/>
      <c r="V728" s="472"/>
      <c r="W728" s="472"/>
      <c r="X728" s="472"/>
      <c r="Y728" s="472"/>
    </row>
    <row r="729" spans="1:25" s="428" customFormat="1" ht="9.1999999999999993" customHeight="1" x14ac:dyDescent="0.25">
      <c r="A729" s="428" t="s">
        <v>52</v>
      </c>
      <c r="B729" s="427">
        <f t="shared" si="62"/>
        <v>34390</v>
      </c>
      <c r="C729" s="427"/>
      <c r="D729" s="477">
        <v>17678</v>
      </c>
      <c r="E729" s="477">
        <v>8433</v>
      </c>
      <c r="F729" s="477">
        <v>6480</v>
      </c>
      <c r="G729" s="477">
        <v>1799</v>
      </c>
      <c r="I729" s="427">
        <f t="shared" si="63"/>
        <v>223066</v>
      </c>
      <c r="J729" s="427"/>
      <c r="K729" s="427">
        <v>44292</v>
      </c>
      <c r="L729" s="427">
        <v>40351</v>
      </c>
      <c r="M729" s="427">
        <v>130330</v>
      </c>
      <c r="N729" s="427">
        <v>8093</v>
      </c>
      <c r="O729" s="427"/>
      <c r="P729" s="427">
        <f t="shared" si="64"/>
        <v>8766</v>
      </c>
      <c r="Q729" s="427"/>
      <c r="R729" s="427">
        <v>779</v>
      </c>
      <c r="S729" s="427">
        <v>7987</v>
      </c>
      <c r="U729" s="472"/>
      <c r="V729" s="472"/>
      <c r="W729" s="472"/>
      <c r="X729" s="472"/>
      <c r="Y729" s="472"/>
    </row>
    <row r="730" spans="1:25" s="428" customFormat="1" ht="9.1999999999999993" customHeight="1" x14ac:dyDescent="0.25">
      <c r="A730" s="433" t="s">
        <v>53</v>
      </c>
      <c r="B730" s="434">
        <f t="shared" si="62"/>
        <v>38019</v>
      </c>
      <c r="C730" s="434"/>
      <c r="D730" s="479">
        <v>16542</v>
      </c>
      <c r="E730" s="479">
        <v>15964</v>
      </c>
      <c r="F730" s="479">
        <v>2758</v>
      </c>
      <c r="G730" s="479">
        <v>2755</v>
      </c>
      <c r="H730" s="475"/>
      <c r="I730" s="434">
        <f>SUM(K730:O730)</f>
        <v>182565</v>
      </c>
      <c r="J730" s="434"/>
      <c r="K730" s="434">
        <v>37432</v>
      </c>
      <c r="L730" s="434">
        <v>63243</v>
      </c>
      <c r="M730" s="434">
        <v>72018</v>
      </c>
      <c r="N730" s="434">
        <v>9872</v>
      </c>
      <c r="O730" s="434"/>
      <c r="P730" s="434">
        <f t="shared" si="64"/>
        <v>5247</v>
      </c>
      <c r="Q730" s="434"/>
      <c r="R730" s="434">
        <v>582</v>
      </c>
      <c r="S730" s="434">
        <v>4665</v>
      </c>
      <c r="U730" s="472"/>
      <c r="V730" s="472"/>
      <c r="W730" s="472"/>
      <c r="X730" s="472"/>
      <c r="Y730" s="472"/>
    </row>
    <row r="731" spans="1:25" s="472" customFormat="1" ht="9.1999999999999993" customHeight="1" x14ac:dyDescent="0.25">
      <c r="A731" s="436"/>
      <c r="B731" s="437"/>
      <c r="C731" s="437"/>
      <c r="D731" s="483"/>
      <c r="E731" s="483"/>
      <c r="F731" s="483"/>
      <c r="G731" s="483"/>
      <c r="I731" s="437"/>
      <c r="J731" s="437"/>
      <c r="K731" s="437"/>
      <c r="L731" s="437"/>
      <c r="M731" s="437"/>
      <c r="N731" s="437"/>
      <c r="O731" s="437"/>
      <c r="P731" s="437"/>
      <c r="Q731" s="437"/>
      <c r="R731" s="437"/>
      <c r="S731" s="437"/>
    </row>
    <row r="732" spans="1:25" s="472" customFormat="1" ht="9.1999999999999993" customHeight="1" x14ac:dyDescent="0.25">
      <c r="A732" s="441">
        <v>2015</v>
      </c>
      <c r="B732" s="437"/>
      <c r="C732" s="437"/>
      <c r="D732" s="483"/>
      <c r="E732" s="483"/>
      <c r="F732" s="483"/>
      <c r="G732" s="483"/>
      <c r="I732" s="437"/>
      <c r="J732" s="437"/>
      <c r="K732" s="437"/>
      <c r="L732" s="437"/>
      <c r="M732" s="437"/>
      <c r="N732" s="437"/>
      <c r="O732" s="437"/>
      <c r="P732" s="437"/>
      <c r="Q732" s="437"/>
      <c r="R732" s="437"/>
      <c r="S732" s="437"/>
    </row>
    <row r="733" spans="1:25" s="428" customFormat="1" ht="9" customHeight="1" x14ac:dyDescent="0.25">
      <c r="A733" s="429" t="s">
        <v>216</v>
      </c>
      <c r="B733" s="476">
        <f>SUM(B735:B766)</f>
        <v>2256899</v>
      </c>
      <c r="C733" s="476"/>
      <c r="D733" s="476">
        <f>SUM(D735:D766)</f>
        <v>962826</v>
      </c>
      <c r="E733" s="476">
        <f>SUM(E735:E766)</f>
        <v>601127</v>
      </c>
      <c r="F733" s="476">
        <f>SUM(F735:F766)</f>
        <v>266956</v>
      </c>
      <c r="G733" s="476">
        <f>SUM(G735:G766)</f>
        <v>425990</v>
      </c>
      <c r="H733" s="476"/>
      <c r="I733" s="476">
        <f>SUM(I735:I766)</f>
        <v>12129233</v>
      </c>
      <c r="J733" s="476"/>
      <c r="K733" s="476">
        <f>SUM(K735:K766)</f>
        <v>2501634</v>
      </c>
      <c r="L733" s="476">
        <f>SUM(L735:L766)</f>
        <v>2846263</v>
      </c>
      <c r="M733" s="476">
        <f>SUM(M735:M766)</f>
        <v>5753265</v>
      </c>
      <c r="N733" s="476">
        <f>SUM(N735:N766)</f>
        <v>1028071</v>
      </c>
      <c r="O733" s="482"/>
      <c r="P733" s="476">
        <f>SUM(P735:P766)</f>
        <v>223883</v>
      </c>
      <c r="Q733" s="476"/>
      <c r="R733" s="476">
        <f>SUM(R735:R766)</f>
        <v>37972</v>
      </c>
      <c r="S733" s="476">
        <f>SUM(S735:S766)</f>
        <v>185911</v>
      </c>
      <c r="T733" s="477"/>
      <c r="U733" s="472"/>
      <c r="V733" s="472"/>
      <c r="W733" s="472"/>
      <c r="X733" s="472"/>
      <c r="Y733" s="472"/>
    </row>
    <row r="734" spans="1:25" s="428" customFormat="1" ht="5.25" customHeight="1" x14ac:dyDescent="0.25">
      <c r="A734" s="429"/>
      <c r="B734" s="476"/>
      <c r="C734" s="476"/>
      <c r="D734" s="476"/>
      <c r="E734" s="476"/>
      <c r="F734" s="476"/>
      <c r="G734" s="476"/>
      <c r="H734" s="476"/>
      <c r="I734" s="476"/>
      <c r="J734" s="476"/>
      <c r="K734" s="476"/>
      <c r="L734" s="476"/>
      <c r="M734" s="476"/>
      <c r="N734" s="476"/>
      <c r="O734" s="482"/>
      <c r="P734" s="476"/>
      <c r="Q734" s="476"/>
      <c r="R734" s="476"/>
      <c r="S734" s="476"/>
      <c r="T734" s="477"/>
      <c r="U734" s="472"/>
      <c r="V734" s="472"/>
      <c r="W734" s="472"/>
      <c r="X734" s="472"/>
      <c r="Y734" s="472"/>
    </row>
    <row r="735" spans="1:25" s="428" customFormat="1" ht="9.1999999999999993" customHeight="1" x14ac:dyDescent="0.25">
      <c r="A735" s="431" t="s">
        <v>23</v>
      </c>
      <c r="B735" s="427">
        <f t="shared" ref="B735:B766" si="65">SUM(D735:G735)</f>
        <v>31901</v>
      </c>
      <c r="C735" s="427"/>
      <c r="D735" s="477">
        <v>14043</v>
      </c>
      <c r="E735" s="477">
        <v>8868</v>
      </c>
      <c r="F735" s="477">
        <v>3911</v>
      </c>
      <c r="G735" s="477">
        <v>5079</v>
      </c>
      <c r="I735" s="427">
        <f>SUM(K735:O735)</f>
        <v>138194</v>
      </c>
      <c r="J735" s="427"/>
      <c r="K735" s="427">
        <v>33755</v>
      </c>
      <c r="L735" s="427">
        <v>33650</v>
      </c>
      <c r="M735" s="427">
        <v>58592</v>
      </c>
      <c r="N735" s="427">
        <v>12197</v>
      </c>
      <c r="O735" s="427"/>
      <c r="P735" s="437">
        <f>SUM(R735:S735)</f>
        <v>2825</v>
      </c>
      <c r="Q735" s="427"/>
      <c r="R735" s="427">
        <v>866</v>
      </c>
      <c r="S735" s="427">
        <v>1959</v>
      </c>
      <c r="U735" s="472"/>
      <c r="V735" s="472"/>
      <c r="W735" s="472"/>
      <c r="X735" s="472"/>
      <c r="Y735" s="472"/>
    </row>
    <row r="736" spans="1:25" s="428" customFormat="1" ht="9.1999999999999993" customHeight="1" x14ac:dyDescent="0.25">
      <c r="A736" s="431" t="s">
        <v>24</v>
      </c>
      <c r="B736" s="427">
        <f t="shared" si="65"/>
        <v>84110</v>
      </c>
      <c r="C736" s="427"/>
      <c r="D736" s="477">
        <v>48712</v>
      </c>
      <c r="E736" s="477">
        <v>17480</v>
      </c>
      <c r="F736" s="477">
        <v>9438</v>
      </c>
      <c r="G736" s="477">
        <v>8480</v>
      </c>
      <c r="I736" s="427">
        <f t="shared" ref="I736:I765" si="66">SUM(K736:O736)</f>
        <v>386933</v>
      </c>
      <c r="J736" s="427"/>
      <c r="K736" s="427">
        <v>93864</v>
      </c>
      <c r="L736" s="427">
        <v>85167</v>
      </c>
      <c r="M736" s="427">
        <v>194758</v>
      </c>
      <c r="N736" s="427">
        <v>13144</v>
      </c>
      <c r="O736" s="427"/>
      <c r="P736" s="427">
        <f t="shared" ref="P736:P766" si="67">SUM(R736:S736)</f>
        <v>9098</v>
      </c>
      <c r="Q736" s="427"/>
      <c r="R736" s="427">
        <v>1528</v>
      </c>
      <c r="S736" s="427">
        <v>7570</v>
      </c>
      <c r="U736" s="472"/>
      <c r="V736" s="472"/>
      <c r="W736" s="472"/>
      <c r="X736" s="472"/>
      <c r="Y736" s="472"/>
    </row>
    <row r="737" spans="1:25" s="428" customFormat="1" ht="9.1999999999999993" customHeight="1" x14ac:dyDescent="0.25">
      <c r="A737" s="431" t="s">
        <v>25</v>
      </c>
      <c r="B737" s="427">
        <f t="shared" si="65"/>
        <v>9674</v>
      </c>
      <c r="C737" s="427"/>
      <c r="D737" s="477">
        <v>2985</v>
      </c>
      <c r="E737" s="477">
        <v>3920</v>
      </c>
      <c r="F737" s="477">
        <v>2084</v>
      </c>
      <c r="G737" s="477">
        <v>685</v>
      </c>
      <c r="I737" s="427">
        <f t="shared" si="66"/>
        <v>81080</v>
      </c>
      <c r="J737" s="427"/>
      <c r="K737" s="427">
        <v>10171</v>
      </c>
      <c r="L737" s="427">
        <v>16123</v>
      </c>
      <c r="M737" s="427">
        <v>52023</v>
      </c>
      <c r="N737" s="427">
        <v>2763</v>
      </c>
      <c r="O737" s="427"/>
      <c r="P737" s="427">
        <f t="shared" si="67"/>
        <v>1971</v>
      </c>
      <c r="Q737" s="427"/>
      <c r="R737" s="427">
        <v>284</v>
      </c>
      <c r="S737" s="427">
        <v>1687</v>
      </c>
      <c r="U737" s="472"/>
      <c r="V737" s="472"/>
      <c r="W737" s="472"/>
      <c r="X737" s="472"/>
      <c r="Y737" s="472"/>
    </row>
    <row r="738" spans="1:25" s="428" customFormat="1" ht="9.1999999999999993" customHeight="1" x14ac:dyDescent="0.25">
      <c r="A738" s="433" t="s">
        <v>26</v>
      </c>
      <c r="B738" s="434">
        <f t="shared" si="65"/>
        <v>11652</v>
      </c>
      <c r="C738" s="434"/>
      <c r="D738" s="479">
        <v>5333</v>
      </c>
      <c r="E738" s="479">
        <v>3007</v>
      </c>
      <c r="F738" s="479">
        <v>1756</v>
      </c>
      <c r="G738" s="479">
        <v>1556</v>
      </c>
      <c r="H738" s="475"/>
      <c r="I738" s="434">
        <f t="shared" si="66"/>
        <v>86279</v>
      </c>
      <c r="J738" s="434"/>
      <c r="K738" s="434">
        <v>20078</v>
      </c>
      <c r="L738" s="434">
        <v>12183</v>
      </c>
      <c r="M738" s="434">
        <v>50094</v>
      </c>
      <c r="N738" s="434">
        <v>3924</v>
      </c>
      <c r="O738" s="434"/>
      <c r="P738" s="434">
        <f t="shared" si="67"/>
        <v>1653</v>
      </c>
      <c r="Q738" s="434"/>
      <c r="R738" s="434">
        <v>201</v>
      </c>
      <c r="S738" s="434">
        <v>1452</v>
      </c>
      <c r="U738" s="472"/>
      <c r="V738" s="472"/>
      <c r="W738" s="472"/>
      <c r="X738" s="472"/>
      <c r="Y738" s="472"/>
    </row>
    <row r="739" spans="1:25" s="428" customFormat="1" ht="9.1999999999999993" customHeight="1" x14ac:dyDescent="0.25">
      <c r="A739" s="431" t="s">
        <v>27</v>
      </c>
      <c r="B739" s="427">
        <f t="shared" si="65"/>
        <v>79789</v>
      </c>
      <c r="C739" s="427"/>
      <c r="D739" s="477">
        <v>33108</v>
      </c>
      <c r="E739" s="477">
        <v>24745</v>
      </c>
      <c r="F739" s="477">
        <v>9099</v>
      </c>
      <c r="G739" s="477">
        <v>12837</v>
      </c>
      <c r="I739" s="427">
        <f t="shared" si="66"/>
        <v>368383</v>
      </c>
      <c r="J739" s="427"/>
      <c r="K739" s="427">
        <v>55645</v>
      </c>
      <c r="L739" s="427">
        <v>107122</v>
      </c>
      <c r="M739" s="427">
        <v>189114</v>
      </c>
      <c r="N739" s="427">
        <v>16502</v>
      </c>
      <c r="O739" s="427"/>
      <c r="P739" s="427">
        <f t="shared" si="67"/>
        <v>8273</v>
      </c>
      <c r="Q739" s="427"/>
      <c r="R739" s="427">
        <v>1176</v>
      </c>
      <c r="S739" s="427">
        <v>7097</v>
      </c>
      <c r="U739" s="472"/>
      <c r="V739" s="472"/>
      <c r="W739" s="472"/>
      <c r="X739" s="472"/>
      <c r="Y739" s="472"/>
    </row>
    <row r="740" spans="1:25" s="428" customFormat="1" ht="9.1999999999999993" customHeight="1" x14ac:dyDescent="0.25">
      <c r="A740" s="431" t="s">
        <v>28</v>
      </c>
      <c r="B740" s="427">
        <f t="shared" si="65"/>
        <v>10940</v>
      </c>
      <c r="C740" s="427"/>
      <c r="D740" s="477">
        <v>4995</v>
      </c>
      <c r="E740" s="477">
        <v>3145</v>
      </c>
      <c r="F740" s="477">
        <v>1609</v>
      </c>
      <c r="G740" s="477">
        <v>1191</v>
      </c>
      <c r="I740" s="427">
        <f t="shared" si="66"/>
        <v>70429</v>
      </c>
      <c r="J740" s="427"/>
      <c r="K740" s="427">
        <v>11526</v>
      </c>
      <c r="L740" s="427">
        <v>14207</v>
      </c>
      <c r="M740" s="427">
        <v>42510</v>
      </c>
      <c r="N740" s="427">
        <v>2186</v>
      </c>
      <c r="O740" s="427"/>
      <c r="P740" s="427">
        <f t="shared" si="67"/>
        <v>1426</v>
      </c>
      <c r="Q740" s="427"/>
      <c r="R740" s="427">
        <v>182</v>
      </c>
      <c r="S740" s="427">
        <v>1244</v>
      </c>
      <c r="U740" s="472"/>
      <c r="V740" s="472"/>
      <c r="W740" s="472"/>
      <c r="X740" s="472"/>
      <c r="Y740" s="472"/>
    </row>
    <row r="741" spans="1:25" s="428" customFormat="1" ht="9.1999999999999993" customHeight="1" x14ac:dyDescent="0.25">
      <c r="A741" s="431" t="s">
        <v>29</v>
      </c>
      <c r="B741" s="427">
        <f t="shared" si="65"/>
        <v>112239</v>
      </c>
      <c r="C741" s="427"/>
      <c r="D741" s="477">
        <v>67041</v>
      </c>
      <c r="E741" s="477">
        <v>22868</v>
      </c>
      <c r="F741" s="477">
        <v>11225</v>
      </c>
      <c r="G741" s="477">
        <v>11105</v>
      </c>
      <c r="I741" s="427">
        <f t="shared" si="66"/>
        <v>403650</v>
      </c>
      <c r="J741" s="427"/>
      <c r="K741" s="427">
        <v>112099</v>
      </c>
      <c r="L741" s="427">
        <v>55263</v>
      </c>
      <c r="M741" s="427">
        <v>217545</v>
      </c>
      <c r="N741" s="427">
        <v>18743</v>
      </c>
      <c r="O741" s="427"/>
      <c r="P741" s="427">
        <f t="shared" si="67"/>
        <v>8593</v>
      </c>
      <c r="Q741" s="427"/>
      <c r="R741" s="427">
        <v>313</v>
      </c>
      <c r="S741" s="427">
        <v>8280</v>
      </c>
      <c r="U741" s="472"/>
      <c r="V741" s="472"/>
      <c r="W741" s="472"/>
      <c r="X741" s="472"/>
      <c r="Y741" s="472"/>
    </row>
    <row r="742" spans="1:25" s="428" customFormat="1" ht="9.1999999999999993" customHeight="1" x14ac:dyDescent="0.25">
      <c r="A742" s="433" t="s">
        <v>30</v>
      </c>
      <c r="B742" s="434">
        <f t="shared" si="65"/>
        <v>69580</v>
      </c>
      <c r="C742" s="434"/>
      <c r="D742" s="479">
        <v>36557</v>
      </c>
      <c r="E742" s="479">
        <v>16344</v>
      </c>
      <c r="F742" s="479">
        <v>11543</v>
      </c>
      <c r="G742" s="479">
        <v>5136</v>
      </c>
      <c r="H742" s="475"/>
      <c r="I742" s="434">
        <f t="shared" si="66"/>
        <v>334866</v>
      </c>
      <c r="J742" s="434"/>
      <c r="K742" s="434">
        <v>65092</v>
      </c>
      <c r="L742" s="434">
        <v>87573</v>
      </c>
      <c r="M742" s="434">
        <v>173093</v>
      </c>
      <c r="N742" s="434">
        <v>9108</v>
      </c>
      <c r="O742" s="434"/>
      <c r="P742" s="434">
        <f t="shared" si="67"/>
        <v>9507</v>
      </c>
      <c r="Q742" s="434"/>
      <c r="R742" s="434">
        <v>1709</v>
      </c>
      <c r="S742" s="434">
        <v>7798</v>
      </c>
      <c r="U742" s="472"/>
      <c r="V742" s="472"/>
      <c r="W742" s="472"/>
      <c r="X742" s="472"/>
      <c r="Y742" s="472"/>
    </row>
    <row r="743" spans="1:25" s="428" customFormat="1" ht="9.1999999999999993" customHeight="1" x14ac:dyDescent="0.25">
      <c r="A743" s="431" t="s">
        <v>63</v>
      </c>
      <c r="B743" s="427">
        <f t="shared" si="65"/>
        <v>183866</v>
      </c>
      <c r="C743" s="427"/>
      <c r="D743" s="477">
        <v>60866</v>
      </c>
      <c r="E743" s="477">
        <v>41653</v>
      </c>
      <c r="F743" s="477">
        <v>18725</v>
      </c>
      <c r="G743" s="477">
        <v>62622</v>
      </c>
      <c r="I743" s="427">
        <f t="shared" si="66"/>
        <v>1031232</v>
      </c>
      <c r="J743" s="427"/>
      <c r="K743" s="427">
        <v>140829</v>
      </c>
      <c r="L743" s="427">
        <v>198817</v>
      </c>
      <c r="M743" s="427">
        <v>548791</v>
      </c>
      <c r="N743" s="427">
        <v>142795</v>
      </c>
      <c r="O743" s="427"/>
      <c r="P743" s="427">
        <f t="shared" si="67"/>
        <v>17772</v>
      </c>
      <c r="Q743" s="427"/>
      <c r="R743" s="427">
        <v>3370</v>
      </c>
      <c r="S743" s="427">
        <v>14402</v>
      </c>
      <c r="U743" s="472"/>
      <c r="V743" s="472"/>
      <c r="W743" s="472"/>
      <c r="X743" s="472"/>
      <c r="Y743" s="472"/>
    </row>
    <row r="744" spans="1:25" s="428" customFormat="1" ht="9.1999999999999993" customHeight="1" x14ac:dyDescent="0.25">
      <c r="A744" s="431" t="s">
        <v>31</v>
      </c>
      <c r="B744" s="427">
        <f t="shared" si="65"/>
        <v>51629</v>
      </c>
      <c r="C744" s="427"/>
      <c r="D744" s="477">
        <v>27439</v>
      </c>
      <c r="E744" s="477">
        <v>12504</v>
      </c>
      <c r="F744" s="477">
        <v>5857</v>
      </c>
      <c r="G744" s="477">
        <v>5829</v>
      </c>
      <c r="I744" s="427">
        <f t="shared" si="66"/>
        <v>207732</v>
      </c>
      <c r="J744" s="427"/>
      <c r="K744" s="427">
        <v>50473</v>
      </c>
      <c r="L744" s="427">
        <v>60965</v>
      </c>
      <c r="M744" s="427">
        <v>88615</v>
      </c>
      <c r="N744" s="427">
        <v>7679</v>
      </c>
      <c r="O744" s="427"/>
      <c r="P744" s="427">
        <f t="shared" si="67"/>
        <v>4271</v>
      </c>
      <c r="Q744" s="427"/>
      <c r="R744" s="427">
        <v>831</v>
      </c>
      <c r="S744" s="427">
        <v>3440</v>
      </c>
      <c r="U744" s="472"/>
      <c r="V744" s="472"/>
      <c r="W744" s="472"/>
      <c r="X744" s="472"/>
      <c r="Y744" s="472"/>
    </row>
    <row r="745" spans="1:25" s="428" customFormat="1" ht="9.1999999999999993" customHeight="1" x14ac:dyDescent="0.25">
      <c r="A745" s="431" t="s">
        <v>32</v>
      </c>
      <c r="B745" s="427">
        <f t="shared" si="65"/>
        <v>84873</v>
      </c>
      <c r="C745" s="427"/>
      <c r="D745" s="477">
        <v>35231</v>
      </c>
      <c r="E745" s="477">
        <v>24076</v>
      </c>
      <c r="F745" s="477">
        <v>11441</v>
      </c>
      <c r="G745" s="477">
        <v>14125</v>
      </c>
      <c r="I745" s="427">
        <f t="shared" si="66"/>
        <v>806531</v>
      </c>
      <c r="J745" s="427"/>
      <c r="K745" s="427">
        <v>212226</v>
      </c>
      <c r="L745" s="427">
        <v>185611</v>
      </c>
      <c r="M745" s="427">
        <v>285278</v>
      </c>
      <c r="N745" s="427">
        <v>123416</v>
      </c>
      <c r="O745" s="427"/>
      <c r="P745" s="427">
        <f t="shared" si="67"/>
        <v>9283</v>
      </c>
      <c r="Q745" s="427"/>
      <c r="R745" s="427">
        <v>2875</v>
      </c>
      <c r="S745" s="427">
        <v>6408</v>
      </c>
      <c r="U745" s="472"/>
      <c r="V745" s="472"/>
      <c r="W745" s="472"/>
      <c r="X745" s="472"/>
      <c r="Y745" s="472"/>
    </row>
    <row r="746" spans="1:25" s="428" customFormat="1" ht="9.1999999999999993" customHeight="1" x14ac:dyDescent="0.25">
      <c r="A746" s="433" t="s">
        <v>33</v>
      </c>
      <c r="B746" s="434">
        <f t="shared" si="65"/>
        <v>88961</v>
      </c>
      <c r="C746" s="434"/>
      <c r="D746" s="479">
        <v>44308</v>
      </c>
      <c r="E746" s="479">
        <v>12072</v>
      </c>
      <c r="F746" s="479">
        <v>6971</v>
      </c>
      <c r="G746" s="479">
        <v>25610</v>
      </c>
      <c r="H746" s="475"/>
      <c r="I746" s="434">
        <f t="shared" si="66"/>
        <v>471810</v>
      </c>
      <c r="J746" s="434"/>
      <c r="K746" s="434">
        <v>161074</v>
      </c>
      <c r="L746" s="434">
        <v>57326</v>
      </c>
      <c r="M746" s="434">
        <v>203129</v>
      </c>
      <c r="N746" s="434">
        <v>50281</v>
      </c>
      <c r="O746" s="434"/>
      <c r="P746" s="434">
        <f t="shared" si="67"/>
        <v>4275</v>
      </c>
      <c r="Q746" s="434"/>
      <c r="R746" s="434">
        <v>431</v>
      </c>
      <c r="S746" s="434">
        <v>3844</v>
      </c>
      <c r="U746" s="472"/>
      <c r="V746" s="472"/>
      <c r="W746" s="472"/>
      <c r="X746" s="472"/>
      <c r="Y746" s="472"/>
    </row>
    <row r="747" spans="1:25" s="428" customFormat="1" ht="9.1999999999999993" customHeight="1" x14ac:dyDescent="0.25">
      <c r="A747" s="431" t="s">
        <v>34</v>
      </c>
      <c r="B747" s="427">
        <f t="shared" si="65"/>
        <v>67468</v>
      </c>
      <c r="C747" s="427"/>
      <c r="D747" s="477">
        <v>22723</v>
      </c>
      <c r="E747" s="477">
        <v>19351</v>
      </c>
      <c r="F747" s="477">
        <v>7347</v>
      </c>
      <c r="G747" s="477">
        <v>18047</v>
      </c>
      <c r="I747" s="427">
        <f t="shared" si="66"/>
        <v>338406</v>
      </c>
      <c r="J747" s="427"/>
      <c r="K747" s="427">
        <v>48254</v>
      </c>
      <c r="L747" s="427">
        <v>75652</v>
      </c>
      <c r="M747" s="427">
        <v>179144</v>
      </c>
      <c r="N747" s="427">
        <v>35356</v>
      </c>
      <c r="O747" s="427"/>
      <c r="P747" s="427">
        <f t="shared" si="67"/>
        <v>5083</v>
      </c>
      <c r="Q747" s="427"/>
      <c r="R747" s="427">
        <v>577</v>
      </c>
      <c r="S747" s="427">
        <v>4506</v>
      </c>
      <c r="U747" s="472"/>
      <c r="V747" s="472"/>
      <c r="W747" s="472"/>
      <c r="X747" s="472"/>
      <c r="Y747" s="472"/>
    </row>
    <row r="748" spans="1:25" s="428" customFormat="1" ht="9.1999999999999993" customHeight="1" x14ac:dyDescent="0.25">
      <c r="A748" s="431" t="s">
        <v>35</v>
      </c>
      <c r="B748" s="427">
        <f t="shared" si="65"/>
        <v>114543</v>
      </c>
      <c r="C748" s="427"/>
      <c r="D748" s="477">
        <v>50445</v>
      </c>
      <c r="E748" s="477">
        <v>30400</v>
      </c>
      <c r="F748" s="477">
        <v>21517</v>
      </c>
      <c r="G748" s="477">
        <v>12181</v>
      </c>
      <c r="I748" s="427">
        <f t="shared" si="66"/>
        <v>610377</v>
      </c>
      <c r="J748" s="427"/>
      <c r="K748" s="427">
        <v>123456</v>
      </c>
      <c r="L748" s="427">
        <v>116944</v>
      </c>
      <c r="M748" s="427">
        <v>334793</v>
      </c>
      <c r="N748" s="427">
        <v>35184</v>
      </c>
      <c r="O748" s="427"/>
      <c r="P748" s="427">
        <f t="shared" si="67"/>
        <v>17426</v>
      </c>
      <c r="Q748" s="427"/>
      <c r="R748" s="427">
        <v>3556</v>
      </c>
      <c r="S748" s="427">
        <v>13870</v>
      </c>
      <c r="U748" s="826"/>
      <c r="V748" s="827"/>
      <c r="W748" s="827"/>
      <c r="X748" s="472"/>
      <c r="Y748" s="472"/>
    </row>
    <row r="749" spans="1:25" s="428" customFormat="1" ht="9.1999999999999993" customHeight="1" x14ac:dyDescent="0.25">
      <c r="A749" s="431" t="s">
        <v>36</v>
      </c>
      <c r="B749" s="427">
        <f t="shared" si="65"/>
        <v>248836</v>
      </c>
      <c r="C749" s="427"/>
      <c r="D749" s="477">
        <v>83414</v>
      </c>
      <c r="E749" s="477">
        <v>64932</v>
      </c>
      <c r="F749" s="477">
        <v>28224</v>
      </c>
      <c r="G749" s="477">
        <v>72266</v>
      </c>
      <c r="I749" s="427">
        <f t="shared" si="66"/>
        <v>1327222</v>
      </c>
      <c r="J749" s="427"/>
      <c r="K749" s="427">
        <v>298705</v>
      </c>
      <c r="L749" s="427">
        <v>301893</v>
      </c>
      <c r="M749" s="427">
        <v>508794</v>
      </c>
      <c r="N749" s="427">
        <v>217830</v>
      </c>
      <c r="O749" s="427"/>
      <c r="P749" s="427">
        <f t="shared" si="67"/>
        <v>23629</v>
      </c>
      <c r="Q749" s="427"/>
      <c r="R749" s="427">
        <v>3933</v>
      </c>
      <c r="S749" s="427">
        <v>19696</v>
      </c>
      <c r="U749" s="827"/>
      <c r="V749" s="827"/>
      <c r="W749" s="827"/>
      <c r="X749" s="472"/>
      <c r="Y749" s="472"/>
    </row>
    <row r="750" spans="1:25" s="428" customFormat="1" ht="9.1999999999999993" customHeight="1" x14ac:dyDescent="0.25">
      <c r="A750" s="433" t="s">
        <v>37</v>
      </c>
      <c r="B750" s="434">
        <f t="shared" si="65"/>
        <v>93074</v>
      </c>
      <c r="C750" s="434"/>
      <c r="D750" s="479">
        <v>46739</v>
      </c>
      <c r="E750" s="479">
        <v>28033</v>
      </c>
      <c r="F750" s="479">
        <v>9510</v>
      </c>
      <c r="G750" s="479">
        <v>8792</v>
      </c>
      <c r="H750" s="475"/>
      <c r="I750" s="434">
        <f t="shared" si="66"/>
        <v>443802</v>
      </c>
      <c r="J750" s="434"/>
      <c r="K750" s="434">
        <v>82648</v>
      </c>
      <c r="L750" s="434">
        <v>127219</v>
      </c>
      <c r="M750" s="434">
        <v>213454</v>
      </c>
      <c r="N750" s="434">
        <v>20481</v>
      </c>
      <c r="O750" s="434"/>
      <c r="P750" s="434">
        <f t="shared" si="67"/>
        <v>8061</v>
      </c>
      <c r="Q750" s="434"/>
      <c r="R750" s="434">
        <v>1152</v>
      </c>
      <c r="S750" s="434">
        <v>6909</v>
      </c>
      <c r="U750" s="827"/>
      <c r="V750" s="827"/>
      <c r="W750" s="827"/>
      <c r="X750" s="472"/>
      <c r="Y750" s="472"/>
    </row>
    <row r="751" spans="1:25" s="428" customFormat="1" ht="9.1999999999999993" customHeight="1" x14ac:dyDescent="0.25">
      <c r="A751" s="431" t="s">
        <v>38</v>
      </c>
      <c r="B751" s="427">
        <f t="shared" si="65"/>
        <v>28325</v>
      </c>
      <c r="C751" s="427"/>
      <c r="D751" s="477">
        <v>12026</v>
      </c>
      <c r="E751" s="477">
        <v>5561</v>
      </c>
      <c r="F751" s="477">
        <v>3508</v>
      </c>
      <c r="G751" s="477">
        <v>7230</v>
      </c>
      <c r="I751" s="427">
        <f t="shared" si="66"/>
        <v>186530</v>
      </c>
      <c r="J751" s="427"/>
      <c r="K751" s="427">
        <v>37899</v>
      </c>
      <c r="L751" s="427">
        <v>30424</v>
      </c>
      <c r="M751" s="427">
        <v>98827</v>
      </c>
      <c r="N751" s="427">
        <v>19380</v>
      </c>
      <c r="O751" s="427"/>
      <c r="P751" s="427">
        <f t="shared" si="67"/>
        <v>3175</v>
      </c>
      <c r="Q751" s="427"/>
      <c r="R751" s="427">
        <v>498</v>
      </c>
      <c r="S751" s="427">
        <v>2677</v>
      </c>
      <c r="U751" s="827"/>
      <c r="V751" s="827"/>
      <c r="W751" s="827"/>
      <c r="X751" s="472"/>
      <c r="Y751" s="472"/>
    </row>
    <row r="752" spans="1:25" s="428" customFormat="1" ht="9.1999999999999993" customHeight="1" x14ac:dyDescent="0.25">
      <c r="A752" s="431" t="s">
        <v>39</v>
      </c>
      <c r="B752" s="427">
        <f t="shared" si="65"/>
        <v>21748</v>
      </c>
      <c r="C752" s="427"/>
      <c r="D752" s="477">
        <v>10672</v>
      </c>
      <c r="E752" s="477">
        <v>6832</v>
      </c>
      <c r="F752" s="477">
        <v>3049</v>
      </c>
      <c r="G752" s="477">
        <v>1195</v>
      </c>
      <c r="I752" s="427">
        <f t="shared" si="66"/>
        <v>133318</v>
      </c>
      <c r="J752" s="427"/>
      <c r="K752" s="427">
        <v>35857</v>
      </c>
      <c r="L752" s="427">
        <v>32353</v>
      </c>
      <c r="M752" s="427">
        <v>60924</v>
      </c>
      <c r="N752" s="427">
        <v>4184</v>
      </c>
      <c r="O752" s="427"/>
      <c r="P752" s="427">
        <f t="shared" si="67"/>
        <v>2584</v>
      </c>
      <c r="Q752" s="427"/>
      <c r="R752" s="427">
        <v>290</v>
      </c>
      <c r="S752" s="427">
        <v>2294</v>
      </c>
      <c r="U752" s="472"/>
      <c r="V752" s="472"/>
      <c r="W752" s="472"/>
      <c r="X752" s="472"/>
      <c r="Y752" s="472"/>
    </row>
    <row r="753" spans="1:25" s="428" customFormat="1" ht="9.1999999999999993" customHeight="1" x14ac:dyDescent="0.25">
      <c r="A753" s="431" t="s">
        <v>40</v>
      </c>
      <c r="B753" s="427">
        <f t="shared" si="65"/>
        <v>65804</v>
      </c>
      <c r="C753" s="427"/>
      <c r="D753" s="477">
        <v>22786</v>
      </c>
      <c r="E753" s="477">
        <v>27443</v>
      </c>
      <c r="F753" s="477">
        <v>10164</v>
      </c>
      <c r="G753" s="477">
        <v>5411</v>
      </c>
      <c r="I753" s="427">
        <f t="shared" si="66"/>
        <v>499093</v>
      </c>
      <c r="J753" s="427"/>
      <c r="K753" s="427">
        <v>72241</v>
      </c>
      <c r="L753" s="427">
        <v>162700</v>
      </c>
      <c r="M753" s="427">
        <v>238435</v>
      </c>
      <c r="N753" s="427">
        <v>25717</v>
      </c>
      <c r="O753" s="427"/>
      <c r="P753" s="427">
        <f t="shared" si="67"/>
        <v>11042</v>
      </c>
      <c r="Q753" s="427"/>
      <c r="R753" s="427">
        <v>3264</v>
      </c>
      <c r="S753" s="427">
        <v>7778</v>
      </c>
      <c r="U753" s="472"/>
      <c r="V753" s="472"/>
      <c r="W753" s="472"/>
      <c r="X753" s="472"/>
      <c r="Y753" s="472"/>
    </row>
    <row r="754" spans="1:25" s="428" customFormat="1" ht="9.1999999999999993" customHeight="1" x14ac:dyDescent="0.25">
      <c r="A754" s="433" t="s">
        <v>41</v>
      </c>
      <c r="B754" s="434">
        <f t="shared" si="65"/>
        <v>65890</v>
      </c>
      <c r="C754" s="434"/>
      <c r="D754" s="479">
        <v>33132</v>
      </c>
      <c r="E754" s="479">
        <v>18322</v>
      </c>
      <c r="F754" s="479">
        <v>8371</v>
      </c>
      <c r="G754" s="479">
        <v>6065</v>
      </c>
      <c r="H754" s="475"/>
      <c r="I754" s="434">
        <f t="shared" si="66"/>
        <v>343145</v>
      </c>
      <c r="J754" s="434"/>
      <c r="K754" s="434">
        <v>66117</v>
      </c>
      <c r="L754" s="434">
        <v>91084</v>
      </c>
      <c r="M754" s="434">
        <v>169684</v>
      </c>
      <c r="N754" s="434">
        <v>16260</v>
      </c>
      <c r="O754" s="434"/>
      <c r="P754" s="434">
        <f t="shared" si="67"/>
        <v>7536</v>
      </c>
      <c r="Q754" s="434"/>
      <c r="R754" s="434">
        <v>608</v>
      </c>
      <c r="S754" s="434">
        <v>6928</v>
      </c>
      <c r="U754" s="472"/>
      <c r="V754" s="472"/>
      <c r="W754" s="472"/>
      <c r="X754" s="472"/>
      <c r="Y754" s="472"/>
    </row>
    <row r="755" spans="1:25" s="428" customFormat="1" ht="9.1999999999999993" customHeight="1" x14ac:dyDescent="0.25">
      <c r="A755" s="431" t="s">
        <v>42</v>
      </c>
      <c r="B755" s="427">
        <f t="shared" si="65"/>
        <v>116448</v>
      </c>
      <c r="C755" s="427"/>
      <c r="D755" s="477">
        <v>44630</v>
      </c>
      <c r="E755" s="477">
        <v>35718</v>
      </c>
      <c r="F755" s="477">
        <v>9490</v>
      </c>
      <c r="G755" s="477">
        <v>26610</v>
      </c>
      <c r="I755" s="427">
        <f t="shared" si="66"/>
        <v>690309</v>
      </c>
      <c r="J755" s="427"/>
      <c r="K755" s="427">
        <v>120583</v>
      </c>
      <c r="L755" s="427">
        <v>222453</v>
      </c>
      <c r="M755" s="427">
        <v>293436</v>
      </c>
      <c r="N755" s="427">
        <v>53837</v>
      </c>
      <c r="O755" s="427"/>
      <c r="P755" s="427">
        <f t="shared" si="67"/>
        <v>9055</v>
      </c>
      <c r="Q755" s="427"/>
      <c r="R755" s="427">
        <v>1394</v>
      </c>
      <c r="S755" s="427">
        <v>7661</v>
      </c>
      <c r="U755" s="472"/>
      <c r="V755" s="472"/>
      <c r="W755" s="472"/>
      <c r="X755" s="472"/>
      <c r="Y755" s="472"/>
    </row>
    <row r="756" spans="1:25" s="428" customFormat="1" ht="9.1999999999999993" customHeight="1" x14ac:dyDescent="0.25">
      <c r="A756" s="431" t="s">
        <v>43</v>
      </c>
      <c r="B756" s="427">
        <f t="shared" si="65"/>
        <v>43061</v>
      </c>
      <c r="C756" s="427"/>
      <c r="D756" s="477">
        <v>20485</v>
      </c>
      <c r="E756" s="477">
        <v>10062</v>
      </c>
      <c r="F756" s="477">
        <v>4251</v>
      </c>
      <c r="G756" s="477">
        <v>8263</v>
      </c>
      <c r="I756" s="427">
        <f t="shared" si="66"/>
        <v>200746</v>
      </c>
      <c r="J756" s="427"/>
      <c r="K756" s="427">
        <v>40912</v>
      </c>
      <c r="L756" s="427">
        <v>61957</v>
      </c>
      <c r="M756" s="427">
        <v>85821</v>
      </c>
      <c r="N756" s="427">
        <v>12056</v>
      </c>
      <c r="O756" s="427"/>
      <c r="P756" s="427">
        <f t="shared" si="67"/>
        <v>3729</v>
      </c>
      <c r="Q756" s="427"/>
      <c r="R756" s="427">
        <v>1050</v>
      </c>
      <c r="S756" s="427">
        <v>2679</v>
      </c>
      <c r="U756" s="472"/>
      <c r="V756" s="472"/>
      <c r="W756" s="472"/>
      <c r="X756" s="472"/>
      <c r="Y756" s="472"/>
    </row>
    <row r="757" spans="1:25" s="428" customFormat="1" ht="9.1999999999999993" customHeight="1" x14ac:dyDescent="0.25">
      <c r="A757" s="431" t="s">
        <v>44</v>
      </c>
      <c r="B757" s="427">
        <f t="shared" si="65"/>
        <v>50237</v>
      </c>
      <c r="C757" s="427"/>
      <c r="D757" s="477">
        <v>10771</v>
      </c>
      <c r="E757" s="477">
        <v>9349</v>
      </c>
      <c r="F757" s="477">
        <v>6526</v>
      </c>
      <c r="G757" s="477">
        <v>23591</v>
      </c>
      <c r="I757" s="427">
        <f t="shared" si="66"/>
        <v>205535</v>
      </c>
      <c r="J757" s="427"/>
      <c r="K757" s="427">
        <v>30055</v>
      </c>
      <c r="L757" s="427">
        <v>44459</v>
      </c>
      <c r="M757" s="427">
        <v>106659</v>
      </c>
      <c r="N757" s="427">
        <v>24362</v>
      </c>
      <c r="O757" s="427"/>
      <c r="P757" s="427">
        <f t="shared" si="67"/>
        <v>4846</v>
      </c>
      <c r="Q757" s="427"/>
      <c r="R757" s="427">
        <v>724</v>
      </c>
      <c r="S757" s="427">
        <v>4122</v>
      </c>
      <c r="U757" s="472"/>
      <c r="V757" s="472"/>
      <c r="W757" s="472"/>
      <c r="X757" s="472"/>
      <c r="Y757" s="472"/>
    </row>
    <row r="758" spans="1:25" s="428" customFormat="1" ht="9.1999999999999993" customHeight="1" x14ac:dyDescent="0.25">
      <c r="A758" s="433" t="s">
        <v>45</v>
      </c>
      <c r="B758" s="434">
        <f t="shared" si="65"/>
        <v>76265</v>
      </c>
      <c r="C758" s="434"/>
      <c r="D758" s="479">
        <v>33840</v>
      </c>
      <c r="E758" s="479">
        <v>18950</v>
      </c>
      <c r="F758" s="479">
        <v>5314</v>
      </c>
      <c r="G758" s="479">
        <v>18161</v>
      </c>
      <c r="H758" s="475"/>
      <c r="I758" s="434">
        <f t="shared" si="66"/>
        <v>312268</v>
      </c>
      <c r="J758" s="434"/>
      <c r="K758" s="434">
        <v>74984</v>
      </c>
      <c r="L758" s="434">
        <v>97544</v>
      </c>
      <c r="M758" s="434">
        <v>118859</v>
      </c>
      <c r="N758" s="434">
        <v>20881</v>
      </c>
      <c r="O758" s="434"/>
      <c r="P758" s="434">
        <f t="shared" si="67"/>
        <v>5182</v>
      </c>
      <c r="Q758" s="434"/>
      <c r="R758" s="434">
        <v>764</v>
      </c>
      <c r="S758" s="434">
        <v>4418</v>
      </c>
      <c r="U758" s="472"/>
      <c r="V758" s="472"/>
      <c r="W758" s="472"/>
      <c r="X758" s="472"/>
      <c r="Y758" s="472"/>
    </row>
    <row r="759" spans="1:25" s="428" customFormat="1" ht="9.1999999999999993" customHeight="1" x14ac:dyDescent="0.25">
      <c r="A759" s="431" t="s">
        <v>46</v>
      </c>
      <c r="B759" s="427">
        <f t="shared" si="65"/>
        <v>71469</v>
      </c>
      <c r="C759" s="427"/>
      <c r="D759" s="477">
        <v>31745</v>
      </c>
      <c r="E759" s="477">
        <v>19661</v>
      </c>
      <c r="F759" s="477">
        <v>8312</v>
      </c>
      <c r="G759" s="477">
        <v>11751</v>
      </c>
      <c r="I759" s="427">
        <f t="shared" si="66"/>
        <v>349998</v>
      </c>
      <c r="J759" s="427"/>
      <c r="K759" s="427">
        <v>73407</v>
      </c>
      <c r="L759" s="427">
        <v>78133</v>
      </c>
      <c r="M759" s="427">
        <v>179152</v>
      </c>
      <c r="N759" s="427">
        <v>19306</v>
      </c>
      <c r="O759" s="427"/>
      <c r="P759" s="427">
        <f t="shared" si="67"/>
        <v>5740</v>
      </c>
      <c r="Q759" s="427"/>
      <c r="R759" s="427">
        <v>814</v>
      </c>
      <c r="S759" s="427">
        <v>4926</v>
      </c>
      <c r="U759" s="472"/>
      <c r="V759" s="472"/>
      <c r="W759" s="472"/>
      <c r="X759" s="472"/>
      <c r="Y759" s="472"/>
    </row>
    <row r="760" spans="1:25" s="428" customFormat="1" ht="9.1999999999999993" customHeight="1" x14ac:dyDescent="0.25">
      <c r="A760" s="431" t="s">
        <v>47</v>
      </c>
      <c r="B760" s="427">
        <f t="shared" si="65"/>
        <v>49258</v>
      </c>
      <c r="C760" s="427"/>
      <c r="D760" s="477">
        <v>17251</v>
      </c>
      <c r="E760" s="477">
        <v>14664</v>
      </c>
      <c r="F760" s="477">
        <v>7439</v>
      </c>
      <c r="G760" s="477">
        <v>9904</v>
      </c>
      <c r="I760" s="427">
        <f t="shared" si="66"/>
        <v>255608</v>
      </c>
      <c r="J760" s="427"/>
      <c r="K760" s="427">
        <v>45612</v>
      </c>
      <c r="L760" s="427">
        <v>74419</v>
      </c>
      <c r="M760" s="427">
        <v>120177</v>
      </c>
      <c r="N760" s="427">
        <v>15400</v>
      </c>
      <c r="O760" s="427"/>
      <c r="P760" s="427">
        <f t="shared" si="67"/>
        <v>5866</v>
      </c>
      <c r="Q760" s="427"/>
      <c r="R760" s="427">
        <v>775</v>
      </c>
      <c r="S760" s="427">
        <v>5091</v>
      </c>
      <c r="U760" s="472"/>
      <c r="V760" s="472"/>
      <c r="W760" s="472"/>
      <c r="X760" s="472"/>
      <c r="Y760" s="472"/>
    </row>
    <row r="761" spans="1:25" s="428" customFormat="1" ht="9.1999999999999993" customHeight="1" x14ac:dyDescent="0.25">
      <c r="A761" s="431" t="s">
        <v>48</v>
      </c>
      <c r="B761" s="427">
        <f t="shared" si="65"/>
        <v>32098</v>
      </c>
      <c r="C761" s="427"/>
      <c r="D761" s="477">
        <v>15253</v>
      </c>
      <c r="E761" s="477">
        <v>4509</v>
      </c>
      <c r="F761" s="477">
        <v>3541</v>
      </c>
      <c r="G761" s="477">
        <v>8795</v>
      </c>
      <c r="I761" s="427">
        <f t="shared" si="66"/>
        <v>255249</v>
      </c>
      <c r="J761" s="427"/>
      <c r="K761" s="427">
        <v>82193</v>
      </c>
      <c r="L761" s="427">
        <v>23964</v>
      </c>
      <c r="M761" s="427">
        <v>133944</v>
      </c>
      <c r="N761" s="427">
        <v>15148</v>
      </c>
      <c r="O761" s="427"/>
      <c r="P761" s="427">
        <f t="shared" si="67"/>
        <v>3431</v>
      </c>
      <c r="Q761" s="427"/>
      <c r="R761" s="427">
        <v>643</v>
      </c>
      <c r="S761" s="427">
        <v>2788</v>
      </c>
      <c r="U761" s="472"/>
      <c r="V761" s="472"/>
      <c r="W761" s="472"/>
      <c r="X761" s="472"/>
      <c r="Y761" s="472"/>
    </row>
    <row r="762" spans="1:25" s="428" customFormat="1" ht="9.1999999999999993" customHeight="1" x14ac:dyDescent="0.25">
      <c r="A762" s="433" t="s">
        <v>49</v>
      </c>
      <c r="B762" s="434">
        <f t="shared" si="65"/>
        <v>80015</v>
      </c>
      <c r="C762" s="434"/>
      <c r="D762" s="479">
        <v>37750</v>
      </c>
      <c r="E762" s="479">
        <v>20818</v>
      </c>
      <c r="F762" s="479">
        <v>8422</v>
      </c>
      <c r="G762" s="479">
        <v>13025</v>
      </c>
      <c r="H762" s="475"/>
      <c r="I762" s="434">
        <f t="shared" si="66"/>
        <v>372157</v>
      </c>
      <c r="J762" s="434"/>
      <c r="K762" s="434">
        <v>83095</v>
      </c>
      <c r="L762" s="434">
        <v>91297</v>
      </c>
      <c r="M762" s="434">
        <v>162054</v>
      </c>
      <c r="N762" s="434">
        <v>35711</v>
      </c>
      <c r="O762" s="434"/>
      <c r="P762" s="434">
        <f t="shared" si="67"/>
        <v>6055</v>
      </c>
      <c r="Q762" s="434"/>
      <c r="R762" s="434">
        <v>1192</v>
      </c>
      <c r="S762" s="434">
        <v>4863</v>
      </c>
      <c r="U762" s="472"/>
      <c r="V762" s="472"/>
      <c r="W762" s="472"/>
      <c r="X762" s="472"/>
      <c r="Y762" s="472"/>
    </row>
    <row r="763" spans="1:25" s="428" customFormat="1" ht="9.1999999999999993" customHeight="1" x14ac:dyDescent="0.25">
      <c r="A763" s="431" t="s">
        <v>50</v>
      </c>
      <c r="B763" s="427">
        <f t="shared" si="65"/>
        <v>19045</v>
      </c>
      <c r="C763" s="427"/>
      <c r="D763" s="477">
        <v>6727</v>
      </c>
      <c r="E763" s="477">
        <v>6435</v>
      </c>
      <c r="F763" s="477">
        <v>3669</v>
      </c>
      <c r="G763" s="477">
        <v>2214</v>
      </c>
      <c r="I763" s="427">
        <f t="shared" si="66"/>
        <v>129831</v>
      </c>
      <c r="J763" s="427"/>
      <c r="K763" s="427">
        <v>24408</v>
      </c>
      <c r="L763" s="427">
        <v>32790</v>
      </c>
      <c r="M763" s="427">
        <v>64635</v>
      </c>
      <c r="N763" s="427">
        <v>7998</v>
      </c>
      <c r="O763" s="427"/>
      <c r="P763" s="427">
        <f t="shared" si="67"/>
        <v>1502</v>
      </c>
      <c r="Q763" s="427"/>
      <c r="R763" s="427">
        <v>149</v>
      </c>
      <c r="S763" s="427">
        <v>1353</v>
      </c>
      <c r="U763" s="472"/>
      <c r="V763" s="472"/>
      <c r="W763" s="472"/>
      <c r="X763" s="472"/>
      <c r="Y763" s="472"/>
    </row>
    <row r="764" spans="1:25" s="428" customFormat="1" ht="9.1999999999999993" customHeight="1" x14ac:dyDescent="0.25">
      <c r="A764" s="428" t="s">
        <v>51</v>
      </c>
      <c r="B764" s="427">
        <f t="shared" si="65"/>
        <v>126677</v>
      </c>
      <c r="C764" s="427"/>
      <c r="D764" s="477">
        <v>52131</v>
      </c>
      <c r="E764" s="477">
        <v>46019</v>
      </c>
      <c r="F764" s="477">
        <v>14585</v>
      </c>
      <c r="G764" s="477">
        <v>13942</v>
      </c>
      <c r="I764" s="427">
        <f t="shared" si="66"/>
        <v>691043</v>
      </c>
      <c r="J764" s="427"/>
      <c r="K764" s="427">
        <v>112520</v>
      </c>
      <c r="L764" s="427">
        <v>165290</v>
      </c>
      <c r="M764" s="427">
        <v>383868</v>
      </c>
      <c r="N764" s="427">
        <v>29365</v>
      </c>
      <c r="O764" s="427"/>
      <c r="P764" s="427">
        <f t="shared" si="67"/>
        <v>13220</v>
      </c>
      <c r="Q764" s="427"/>
      <c r="R764" s="427">
        <v>1763</v>
      </c>
      <c r="S764" s="427">
        <v>11457</v>
      </c>
      <c r="U764" s="472"/>
      <c r="V764" s="472"/>
      <c r="W764" s="472"/>
      <c r="X764" s="472"/>
      <c r="Y764" s="472"/>
    </row>
    <row r="765" spans="1:25" s="428" customFormat="1" ht="9.1999999999999993" customHeight="1" x14ac:dyDescent="0.25">
      <c r="A765" s="428" t="s">
        <v>52</v>
      </c>
      <c r="B765" s="427">
        <f t="shared" si="65"/>
        <v>31428</v>
      </c>
      <c r="C765" s="427"/>
      <c r="D765" s="477">
        <v>14256</v>
      </c>
      <c r="E765" s="477">
        <v>8621</v>
      </c>
      <c r="F765" s="477">
        <v>7122</v>
      </c>
      <c r="G765" s="477">
        <v>1429</v>
      </c>
      <c r="I765" s="427">
        <f t="shared" si="66"/>
        <v>217204</v>
      </c>
      <c r="J765" s="427"/>
      <c r="K765" s="427">
        <v>43511</v>
      </c>
      <c r="L765" s="427">
        <v>40455</v>
      </c>
      <c r="M765" s="427">
        <v>126320</v>
      </c>
      <c r="N765" s="427">
        <v>6918</v>
      </c>
      <c r="O765" s="427"/>
      <c r="P765" s="427">
        <f t="shared" si="67"/>
        <v>5174</v>
      </c>
      <c r="Q765" s="427"/>
      <c r="R765" s="427">
        <v>691</v>
      </c>
      <c r="S765" s="427">
        <v>4483</v>
      </c>
      <c r="U765" s="472"/>
      <c r="V765" s="472"/>
      <c r="W765" s="472"/>
      <c r="X765" s="472"/>
      <c r="Y765" s="472"/>
    </row>
    <row r="766" spans="1:25" s="428" customFormat="1" ht="9.1999999999999993" customHeight="1" x14ac:dyDescent="0.25">
      <c r="A766" s="433" t="s">
        <v>53</v>
      </c>
      <c r="B766" s="434">
        <f t="shared" si="65"/>
        <v>35996</v>
      </c>
      <c r="C766" s="434"/>
      <c r="D766" s="479">
        <v>15432</v>
      </c>
      <c r="E766" s="479">
        <v>14765</v>
      </c>
      <c r="F766" s="479">
        <v>2936</v>
      </c>
      <c r="G766" s="479">
        <v>2863</v>
      </c>
      <c r="H766" s="475"/>
      <c r="I766" s="434">
        <f>SUM(K766:O766)</f>
        <v>180273</v>
      </c>
      <c r="J766" s="434"/>
      <c r="K766" s="434">
        <v>38345</v>
      </c>
      <c r="L766" s="434">
        <v>61226</v>
      </c>
      <c r="M766" s="434">
        <v>70743</v>
      </c>
      <c r="N766" s="434">
        <v>9959</v>
      </c>
      <c r="O766" s="434"/>
      <c r="P766" s="434">
        <f t="shared" si="67"/>
        <v>2600</v>
      </c>
      <c r="Q766" s="434"/>
      <c r="R766" s="434">
        <v>369</v>
      </c>
      <c r="S766" s="434">
        <v>2231</v>
      </c>
      <c r="U766" s="472"/>
      <c r="V766" s="472"/>
      <c r="W766" s="472"/>
      <c r="X766" s="472"/>
      <c r="Y766" s="472"/>
    </row>
    <row r="767" spans="1:25" s="472" customFormat="1" ht="9.1999999999999993" customHeight="1" x14ac:dyDescent="0.25">
      <c r="A767" s="436"/>
      <c r="B767" s="437"/>
      <c r="C767" s="437"/>
      <c r="D767" s="483"/>
      <c r="E767" s="483"/>
      <c r="F767" s="483"/>
      <c r="G767" s="483"/>
      <c r="I767" s="437"/>
      <c r="J767" s="437"/>
      <c r="K767" s="437"/>
      <c r="L767" s="437"/>
      <c r="M767" s="437"/>
      <c r="N767" s="437"/>
      <c r="O767" s="437"/>
      <c r="P767" s="437"/>
      <c r="Q767" s="437"/>
      <c r="R767" s="437"/>
      <c r="S767" s="437"/>
    </row>
    <row r="768" spans="1:25" s="472" customFormat="1" ht="9.1999999999999993" customHeight="1" x14ac:dyDescent="0.25">
      <c r="A768" s="441">
        <v>2016</v>
      </c>
      <c r="B768" s="437"/>
      <c r="C768" s="437"/>
      <c r="D768" s="483"/>
      <c r="E768" s="483"/>
      <c r="F768" s="483"/>
      <c r="G768" s="483"/>
      <c r="I768" s="437"/>
      <c r="J768" s="437"/>
      <c r="K768" s="437"/>
      <c r="L768" s="437"/>
      <c r="M768" s="437"/>
      <c r="N768" s="437"/>
      <c r="O768" s="437"/>
      <c r="P768" s="437"/>
      <c r="Q768" s="437"/>
      <c r="R768" s="437"/>
      <c r="S768" s="437"/>
    </row>
    <row r="769" spans="1:25" s="428" customFormat="1" ht="9" customHeight="1" x14ac:dyDescent="0.25">
      <c r="A769" s="429" t="s">
        <v>216</v>
      </c>
      <c r="B769" s="476">
        <f>SUM(B771:B802)</f>
        <v>2152426</v>
      </c>
      <c r="C769" s="476"/>
      <c r="D769" s="476">
        <f>SUM(D771:D802)</f>
        <v>919994</v>
      </c>
      <c r="E769" s="476">
        <f>SUM(E771:E802)</f>
        <v>567509</v>
      </c>
      <c r="F769" s="476">
        <f>SUM(F771:F802)</f>
        <v>261787</v>
      </c>
      <c r="G769" s="476">
        <f>SUM(G771:G802)</f>
        <v>403136</v>
      </c>
      <c r="H769" s="476"/>
      <c r="I769" s="476">
        <f>SUM(I771:I802)</f>
        <v>10692759</v>
      </c>
      <c r="J769" s="476"/>
      <c r="K769" s="476">
        <f>SUM(K771:K802)</f>
        <v>2227475</v>
      </c>
      <c r="L769" s="476">
        <f>SUM(L771:L802)</f>
        <v>2665088</v>
      </c>
      <c r="M769" s="476">
        <f>SUM(M771:M802)</f>
        <v>5127602</v>
      </c>
      <c r="N769" s="476">
        <f>SUM(N771:N802)</f>
        <v>672594</v>
      </c>
      <c r="O769" s="482"/>
      <c r="P769" s="476">
        <f>SUM(P771:P802)</f>
        <v>416780</v>
      </c>
      <c r="Q769" s="476"/>
      <c r="R769" s="476">
        <f>SUM(R771:R802)</f>
        <v>39454</v>
      </c>
      <c r="S769" s="476">
        <f>SUM(S771:S802)</f>
        <v>377326</v>
      </c>
      <c r="T769" s="477"/>
      <c r="U769" s="472"/>
      <c r="V769" s="472"/>
      <c r="W769" s="472"/>
      <c r="X769" s="472"/>
      <c r="Y769" s="472"/>
    </row>
    <row r="770" spans="1:25" s="428" customFormat="1" ht="5.25" customHeight="1" x14ac:dyDescent="0.25">
      <c r="A770" s="429"/>
      <c r="B770" s="476"/>
      <c r="C770" s="476"/>
      <c r="D770" s="476"/>
      <c r="E770" s="476"/>
      <c r="F770" s="476"/>
      <c r="G770" s="476"/>
      <c r="H770" s="476"/>
      <c r="I770" s="476"/>
      <c r="J770" s="476"/>
      <c r="K770" s="476"/>
      <c r="L770" s="476"/>
      <c r="M770" s="476"/>
      <c r="N770" s="476"/>
      <c r="O770" s="482"/>
      <c r="P770" s="476"/>
      <c r="Q770" s="476"/>
      <c r="R770" s="476"/>
      <c r="S770" s="476"/>
      <c r="T770" s="477"/>
      <c r="U770" s="472"/>
      <c r="V770" s="472"/>
      <c r="W770" s="472"/>
      <c r="X770" s="472"/>
      <c r="Y770" s="472"/>
    </row>
    <row r="771" spans="1:25" s="428" customFormat="1" ht="9.1999999999999993" customHeight="1" x14ac:dyDescent="0.25">
      <c r="A771" s="431" t="s">
        <v>23</v>
      </c>
      <c r="B771" s="427">
        <f t="shared" ref="B771:B802" si="68">SUM(D771:G771)</f>
        <v>27164</v>
      </c>
      <c r="C771" s="427"/>
      <c r="D771" s="477">
        <v>12244</v>
      </c>
      <c r="E771" s="477">
        <v>7671</v>
      </c>
      <c r="F771" s="477">
        <v>3508</v>
      </c>
      <c r="G771" s="477">
        <v>3741</v>
      </c>
      <c r="I771" s="427">
        <f>SUM(K771:O771)</f>
        <v>125668</v>
      </c>
      <c r="J771" s="427"/>
      <c r="K771" s="427">
        <v>28503</v>
      </c>
      <c r="L771" s="427">
        <v>31533</v>
      </c>
      <c r="M771" s="427">
        <v>51924</v>
      </c>
      <c r="N771" s="427">
        <v>13708</v>
      </c>
      <c r="O771" s="427"/>
      <c r="P771" s="437">
        <f>SUM(R771:S771)</f>
        <v>5473</v>
      </c>
      <c r="Q771" s="427"/>
      <c r="R771" s="427">
        <v>926</v>
      </c>
      <c r="S771" s="427">
        <v>4547</v>
      </c>
      <c r="U771" s="472"/>
      <c r="V771" s="472"/>
      <c r="W771" s="472"/>
      <c r="X771" s="472"/>
      <c r="Y771" s="472"/>
    </row>
    <row r="772" spans="1:25" s="428" customFormat="1" ht="9.1999999999999993" customHeight="1" x14ac:dyDescent="0.25">
      <c r="A772" s="431" t="s">
        <v>24</v>
      </c>
      <c r="B772" s="427">
        <f t="shared" si="68"/>
        <v>82375</v>
      </c>
      <c r="C772" s="427"/>
      <c r="D772" s="477">
        <v>47449</v>
      </c>
      <c r="E772" s="477">
        <v>17964</v>
      </c>
      <c r="F772" s="477">
        <v>9382</v>
      </c>
      <c r="G772" s="477">
        <v>7580</v>
      </c>
      <c r="I772" s="427">
        <f t="shared" ref="I772:I801" si="69">SUM(K772:O772)</f>
        <v>373770</v>
      </c>
      <c r="J772" s="427"/>
      <c r="K772" s="427">
        <v>87180</v>
      </c>
      <c r="L772" s="427">
        <v>84512</v>
      </c>
      <c r="M772" s="427">
        <v>191116</v>
      </c>
      <c r="N772" s="427">
        <v>10962</v>
      </c>
      <c r="O772" s="427"/>
      <c r="P772" s="427">
        <f t="shared" ref="P772:P802" si="70">SUM(R772:S772)</f>
        <v>13252</v>
      </c>
      <c r="Q772" s="427"/>
      <c r="R772" s="427">
        <v>1585</v>
      </c>
      <c r="S772" s="427">
        <v>11667</v>
      </c>
      <c r="U772" s="472"/>
      <c r="V772" s="472"/>
      <c r="W772" s="472"/>
      <c r="X772" s="472"/>
      <c r="Y772" s="472"/>
    </row>
    <row r="773" spans="1:25" s="428" customFormat="1" ht="9.1999999999999993" customHeight="1" x14ac:dyDescent="0.25">
      <c r="A773" s="431" t="s">
        <v>25</v>
      </c>
      <c r="B773" s="427">
        <f t="shared" si="68"/>
        <v>10006</v>
      </c>
      <c r="C773" s="427"/>
      <c r="D773" s="477">
        <v>3257</v>
      </c>
      <c r="E773" s="477">
        <v>3859</v>
      </c>
      <c r="F773" s="477">
        <v>2089</v>
      </c>
      <c r="G773" s="477">
        <v>801</v>
      </c>
      <c r="I773" s="427">
        <f t="shared" si="69"/>
        <v>73089</v>
      </c>
      <c r="J773" s="427"/>
      <c r="K773" s="427">
        <v>9195</v>
      </c>
      <c r="L773" s="427">
        <v>15824</v>
      </c>
      <c r="M773" s="427">
        <v>46462</v>
      </c>
      <c r="N773" s="427">
        <v>1608</v>
      </c>
      <c r="O773" s="427"/>
      <c r="P773" s="427">
        <f t="shared" si="70"/>
        <v>3194</v>
      </c>
      <c r="Q773" s="427"/>
      <c r="R773" s="427">
        <v>289</v>
      </c>
      <c r="S773" s="427">
        <v>2905</v>
      </c>
      <c r="U773" s="472"/>
      <c r="V773" s="472"/>
      <c r="W773" s="472"/>
      <c r="X773" s="472"/>
      <c r="Y773" s="472"/>
    </row>
    <row r="774" spans="1:25" s="428" customFormat="1" ht="9.1999999999999993" customHeight="1" x14ac:dyDescent="0.25">
      <c r="A774" s="433" t="s">
        <v>26</v>
      </c>
      <c r="B774" s="434">
        <f t="shared" si="68"/>
        <v>11894</v>
      </c>
      <c r="C774" s="434"/>
      <c r="D774" s="479">
        <v>6901</v>
      </c>
      <c r="E774" s="479">
        <v>2717</v>
      </c>
      <c r="F774" s="479">
        <v>1613</v>
      </c>
      <c r="G774" s="479">
        <v>663</v>
      </c>
      <c r="H774" s="475"/>
      <c r="I774" s="434">
        <f t="shared" si="69"/>
        <v>72030</v>
      </c>
      <c r="J774" s="434"/>
      <c r="K774" s="434">
        <v>13004</v>
      </c>
      <c r="L774" s="434">
        <v>11935</v>
      </c>
      <c r="M774" s="434">
        <v>45708</v>
      </c>
      <c r="N774" s="434">
        <v>1383</v>
      </c>
      <c r="O774" s="434"/>
      <c r="P774" s="434">
        <f t="shared" si="70"/>
        <v>3823</v>
      </c>
      <c r="Q774" s="434"/>
      <c r="R774" s="434">
        <v>363</v>
      </c>
      <c r="S774" s="434">
        <v>3460</v>
      </c>
      <c r="U774" s="472"/>
      <c r="V774" s="472"/>
      <c r="W774" s="472"/>
      <c r="X774" s="472"/>
      <c r="Y774" s="472"/>
    </row>
    <row r="775" spans="1:25" s="428" customFormat="1" ht="9.1999999999999993" customHeight="1" x14ac:dyDescent="0.25">
      <c r="A775" s="431" t="s">
        <v>27</v>
      </c>
      <c r="B775" s="427">
        <f t="shared" si="68"/>
        <v>65273</v>
      </c>
      <c r="C775" s="427"/>
      <c r="D775" s="477">
        <v>26355</v>
      </c>
      <c r="E775" s="477">
        <v>22805</v>
      </c>
      <c r="F775" s="477">
        <v>8992</v>
      </c>
      <c r="G775" s="477">
        <v>7121</v>
      </c>
      <c r="I775" s="427">
        <f t="shared" si="69"/>
        <v>309236</v>
      </c>
      <c r="J775" s="427"/>
      <c r="K775" s="427">
        <v>41643</v>
      </c>
      <c r="L775" s="427">
        <v>98120</v>
      </c>
      <c r="M775" s="427">
        <v>166090</v>
      </c>
      <c r="N775" s="427">
        <v>3383</v>
      </c>
      <c r="O775" s="427"/>
      <c r="P775" s="427">
        <f t="shared" si="70"/>
        <v>10614</v>
      </c>
      <c r="Q775" s="427"/>
      <c r="R775" s="427">
        <v>1048</v>
      </c>
      <c r="S775" s="427">
        <v>9566</v>
      </c>
      <c r="U775" s="472"/>
      <c r="V775" s="472"/>
      <c r="W775" s="472"/>
      <c r="X775" s="472"/>
      <c r="Y775" s="472"/>
    </row>
    <row r="776" spans="1:25" s="428" customFormat="1" ht="9.1999999999999993" customHeight="1" x14ac:dyDescent="0.25">
      <c r="A776" s="431" t="s">
        <v>28</v>
      </c>
      <c r="B776" s="427">
        <f t="shared" si="68"/>
        <v>10848</v>
      </c>
      <c r="C776" s="427"/>
      <c r="D776" s="477">
        <v>5291</v>
      </c>
      <c r="E776" s="477">
        <v>2415</v>
      </c>
      <c r="F776" s="477">
        <v>1829</v>
      </c>
      <c r="G776" s="477">
        <v>1313</v>
      </c>
      <c r="I776" s="427">
        <f t="shared" si="69"/>
        <v>62165</v>
      </c>
      <c r="J776" s="427"/>
      <c r="K776" s="427">
        <v>10674</v>
      </c>
      <c r="L776" s="427">
        <v>14074</v>
      </c>
      <c r="M776" s="427">
        <v>36578</v>
      </c>
      <c r="N776" s="427">
        <v>839</v>
      </c>
      <c r="O776" s="427"/>
      <c r="P776" s="427">
        <f t="shared" si="70"/>
        <v>3314</v>
      </c>
      <c r="Q776" s="427"/>
      <c r="R776" s="427">
        <v>215</v>
      </c>
      <c r="S776" s="427">
        <v>3099</v>
      </c>
      <c r="U776" s="472"/>
      <c r="V776" s="472"/>
      <c r="W776" s="472"/>
      <c r="X776" s="472"/>
      <c r="Y776" s="472"/>
    </row>
    <row r="777" spans="1:25" s="428" customFormat="1" ht="9.1999999999999993" customHeight="1" x14ac:dyDescent="0.25">
      <c r="A777" s="431" t="s">
        <v>29</v>
      </c>
      <c r="B777" s="427">
        <f t="shared" si="68"/>
        <v>101227</v>
      </c>
      <c r="C777" s="427"/>
      <c r="D777" s="477">
        <v>57955</v>
      </c>
      <c r="E777" s="477">
        <v>21081</v>
      </c>
      <c r="F777" s="477">
        <v>11674</v>
      </c>
      <c r="G777" s="477">
        <v>10517</v>
      </c>
      <c r="I777" s="427">
        <f t="shared" si="69"/>
        <v>345922</v>
      </c>
      <c r="J777" s="427"/>
      <c r="K777" s="427">
        <v>97137</v>
      </c>
      <c r="L777" s="427">
        <v>48866</v>
      </c>
      <c r="M777" s="427">
        <v>190975</v>
      </c>
      <c r="N777" s="427">
        <v>8944</v>
      </c>
      <c r="O777" s="427"/>
      <c r="P777" s="427">
        <f t="shared" si="70"/>
        <v>17700</v>
      </c>
      <c r="Q777" s="427"/>
      <c r="R777" s="427">
        <v>427</v>
      </c>
      <c r="S777" s="427">
        <v>17273</v>
      </c>
      <c r="U777" s="472"/>
      <c r="V777" s="472"/>
      <c r="W777" s="472"/>
      <c r="X777" s="472"/>
      <c r="Y777" s="472"/>
    </row>
    <row r="778" spans="1:25" s="428" customFormat="1" ht="9.1999999999999993" customHeight="1" x14ac:dyDescent="0.25">
      <c r="A778" s="433" t="s">
        <v>30</v>
      </c>
      <c r="B778" s="434">
        <f t="shared" si="68"/>
        <v>69506</v>
      </c>
      <c r="C778" s="434"/>
      <c r="D778" s="479">
        <v>36676</v>
      </c>
      <c r="E778" s="479">
        <v>15243</v>
      </c>
      <c r="F778" s="479">
        <v>12269</v>
      </c>
      <c r="G778" s="479">
        <v>5318</v>
      </c>
      <c r="H778" s="475"/>
      <c r="I778" s="434">
        <f t="shared" si="69"/>
        <v>310017</v>
      </c>
      <c r="J778" s="434"/>
      <c r="K778" s="434">
        <v>58710</v>
      </c>
      <c r="L778" s="434">
        <v>86333</v>
      </c>
      <c r="M778" s="434">
        <v>159875</v>
      </c>
      <c r="N778" s="434">
        <v>5099</v>
      </c>
      <c r="O778" s="434"/>
      <c r="P778" s="434">
        <f t="shared" si="70"/>
        <v>14058</v>
      </c>
      <c r="Q778" s="434"/>
      <c r="R778" s="434">
        <v>2008</v>
      </c>
      <c r="S778" s="434">
        <v>12050</v>
      </c>
      <c r="U778" s="472"/>
      <c r="V778" s="472"/>
      <c r="W778" s="472"/>
      <c r="X778" s="472"/>
      <c r="Y778" s="472"/>
    </row>
    <row r="779" spans="1:25" s="428" customFormat="1" ht="9.1999999999999993" customHeight="1" x14ac:dyDescent="0.25">
      <c r="A779" s="431" t="s">
        <v>63</v>
      </c>
      <c r="B779" s="427">
        <f t="shared" si="68"/>
        <v>165166</v>
      </c>
      <c r="C779" s="427"/>
      <c r="D779" s="477">
        <v>59343</v>
      </c>
      <c r="E779" s="477">
        <v>38061</v>
      </c>
      <c r="F779" s="477">
        <v>16320</v>
      </c>
      <c r="G779" s="477">
        <v>51442</v>
      </c>
      <c r="I779" s="427">
        <f t="shared" si="69"/>
        <v>643090</v>
      </c>
      <c r="J779" s="427"/>
      <c r="K779" s="427">
        <v>82165</v>
      </c>
      <c r="L779" s="427">
        <v>157198</v>
      </c>
      <c r="M779" s="427">
        <v>380679</v>
      </c>
      <c r="N779" s="427">
        <v>23048</v>
      </c>
      <c r="O779" s="427"/>
      <c r="P779" s="427">
        <f t="shared" si="70"/>
        <v>28856</v>
      </c>
      <c r="Q779" s="427"/>
      <c r="R779" s="427">
        <v>2850</v>
      </c>
      <c r="S779" s="427">
        <v>26006</v>
      </c>
      <c r="U779" s="472"/>
      <c r="V779" s="472"/>
      <c r="W779" s="472"/>
      <c r="X779" s="472"/>
      <c r="Y779" s="472"/>
    </row>
    <row r="780" spans="1:25" s="428" customFormat="1" ht="9.1999999999999993" customHeight="1" x14ac:dyDescent="0.25">
      <c r="A780" s="431" t="s">
        <v>31</v>
      </c>
      <c r="B780" s="427">
        <f t="shared" si="68"/>
        <v>43661</v>
      </c>
      <c r="C780" s="427"/>
      <c r="D780" s="477">
        <v>25808</v>
      </c>
      <c r="E780" s="477">
        <v>10241</v>
      </c>
      <c r="F780" s="477">
        <v>5026</v>
      </c>
      <c r="G780" s="477">
        <v>2586</v>
      </c>
      <c r="I780" s="427">
        <f t="shared" si="69"/>
        <v>179063</v>
      </c>
      <c r="J780" s="427"/>
      <c r="K780" s="427">
        <v>48601</v>
      </c>
      <c r="L780" s="427">
        <v>56681</v>
      </c>
      <c r="M780" s="427">
        <v>67996</v>
      </c>
      <c r="N780" s="427">
        <v>5785</v>
      </c>
      <c r="O780" s="427"/>
      <c r="P780" s="427">
        <f t="shared" si="70"/>
        <v>6293</v>
      </c>
      <c r="Q780" s="427"/>
      <c r="R780" s="427">
        <v>762</v>
      </c>
      <c r="S780" s="427">
        <v>5531</v>
      </c>
      <c r="U780" s="472"/>
      <c r="V780" s="472"/>
      <c r="W780" s="472"/>
      <c r="X780" s="472"/>
      <c r="Y780" s="472"/>
    </row>
    <row r="781" spans="1:25" s="428" customFormat="1" ht="9.1999999999999993" customHeight="1" x14ac:dyDescent="0.25">
      <c r="A781" s="431" t="s">
        <v>32</v>
      </c>
      <c r="B781" s="427">
        <f t="shared" si="68"/>
        <v>78832</v>
      </c>
      <c r="C781" s="427"/>
      <c r="D781" s="477">
        <v>32995</v>
      </c>
      <c r="E781" s="477">
        <v>23234</v>
      </c>
      <c r="F781" s="477">
        <v>10865</v>
      </c>
      <c r="G781" s="477">
        <v>11738</v>
      </c>
      <c r="I781" s="427">
        <f t="shared" si="69"/>
        <v>684952</v>
      </c>
      <c r="J781" s="427"/>
      <c r="K781" s="427">
        <v>189833</v>
      </c>
      <c r="L781" s="427">
        <v>172180</v>
      </c>
      <c r="M781" s="427">
        <v>247663</v>
      </c>
      <c r="N781" s="427">
        <v>75276</v>
      </c>
      <c r="O781" s="427"/>
      <c r="P781" s="427">
        <f t="shared" si="70"/>
        <v>20343</v>
      </c>
      <c r="Q781" s="427"/>
      <c r="R781" s="427">
        <v>2661</v>
      </c>
      <c r="S781" s="427">
        <v>17682</v>
      </c>
      <c r="U781" s="472"/>
      <c r="V781" s="472"/>
      <c r="W781" s="472"/>
      <c r="X781" s="472"/>
      <c r="Y781" s="472"/>
    </row>
    <row r="782" spans="1:25" s="428" customFormat="1" ht="9.1999999999999993" customHeight="1" x14ac:dyDescent="0.25">
      <c r="A782" s="433" t="s">
        <v>33</v>
      </c>
      <c r="B782" s="434">
        <f t="shared" si="68"/>
        <v>78507</v>
      </c>
      <c r="C782" s="434"/>
      <c r="D782" s="479">
        <v>37734</v>
      </c>
      <c r="E782" s="479">
        <v>12371</v>
      </c>
      <c r="F782" s="479">
        <v>7524</v>
      </c>
      <c r="G782" s="479">
        <v>20878</v>
      </c>
      <c r="H782" s="475"/>
      <c r="I782" s="434">
        <f t="shared" si="69"/>
        <v>424995</v>
      </c>
      <c r="J782" s="434"/>
      <c r="K782" s="434">
        <v>148237</v>
      </c>
      <c r="L782" s="434">
        <v>54347</v>
      </c>
      <c r="M782" s="434">
        <v>190651</v>
      </c>
      <c r="N782" s="434">
        <v>31760</v>
      </c>
      <c r="O782" s="434"/>
      <c r="P782" s="434">
        <f t="shared" si="70"/>
        <v>12880</v>
      </c>
      <c r="Q782" s="434"/>
      <c r="R782" s="434">
        <v>588</v>
      </c>
      <c r="S782" s="434">
        <v>12292</v>
      </c>
      <c r="U782" s="472"/>
      <c r="V782" s="472"/>
      <c r="W782" s="472"/>
      <c r="X782" s="472"/>
      <c r="Y782" s="472"/>
    </row>
    <row r="783" spans="1:25" s="428" customFormat="1" ht="9.1999999999999993" customHeight="1" x14ac:dyDescent="0.25">
      <c r="A783" s="431" t="s">
        <v>34</v>
      </c>
      <c r="B783" s="427">
        <f t="shared" si="68"/>
        <v>72159</v>
      </c>
      <c r="C783" s="427"/>
      <c r="D783" s="477">
        <v>25172</v>
      </c>
      <c r="E783" s="477">
        <v>19408</v>
      </c>
      <c r="F783" s="477">
        <v>8044</v>
      </c>
      <c r="G783" s="477">
        <v>19535</v>
      </c>
      <c r="I783" s="427">
        <f t="shared" si="69"/>
        <v>343966</v>
      </c>
      <c r="J783" s="427"/>
      <c r="K783" s="427">
        <v>44273</v>
      </c>
      <c r="L783" s="427">
        <v>65260</v>
      </c>
      <c r="M783" s="427">
        <v>148202</v>
      </c>
      <c r="N783" s="427">
        <v>86231</v>
      </c>
      <c r="O783" s="427"/>
      <c r="P783" s="427">
        <f t="shared" si="70"/>
        <v>11218</v>
      </c>
      <c r="Q783" s="427"/>
      <c r="R783" s="427">
        <v>714</v>
      </c>
      <c r="S783" s="427">
        <v>10504</v>
      </c>
      <c r="U783" s="472"/>
      <c r="V783" s="472"/>
      <c r="W783" s="472"/>
      <c r="X783" s="472"/>
      <c r="Y783" s="472"/>
    </row>
    <row r="784" spans="1:25" s="428" customFormat="1" ht="9.1999999999999993" customHeight="1" x14ac:dyDescent="0.25">
      <c r="A784" s="431" t="s">
        <v>35</v>
      </c>
      <c r="B784" s="427">
        <f t="shared" si="68"/>
        <v>104778</v>
      </c>
      <c r="C784" s="427"/>
      <c r="D784" s="477">
        <v>42698</v>
      </c>
      <c r="E784" s="477">
        <v>27568</v>
      </c>
      <c r="F784" s="477">
        <v>20084</v>
      </c>
      <c r="G784" s="477">
        <v>14428</v>
      </c>
      <c r="I784" s="427">
        <f t="shared" si="69"/>
        <v>557974</v>
      </c>
      <c r="J784" s="427"/>
      <c r="K784" s="427">
        <v>115414</v>
      </c>
      <c r="L784" s="427">
        <v>112242</v>
      </c>
      <c r="M784" s="427">
        <v>304727</v>
      </c>
      <c r="N784" s="427">
        <v>25591</v>
      </c>
      <c r="O784" s="427"/>
      <c r="P784" s="427">
        <f t="shared" si="70"/>
        <v>26799</v>
      </c>
      <c r="Q784" s="427"/>
      <c r="R784" s="427">
        <v>2413</v>
      </c>
      <c r="S784" s="427">
        <v>24386</v>
      </c>
      <c r="U784" s="826"/>
      <c r="V784" s="827"/>
      <c r="W784" s="827"/>
      <c r="X784" s="472"/>
      <c r="Y784" s="472"/>
    </row>
    <row r="785" spans="1:25" s="428" customFormat="1" ht="9.1999999999999993" customHeight="1" x14ac:dyDescent="0.25">
      <c r="A785" s="431" t="s">
        <v>36</v>
      </c>
      <c r="B785" s="427">
        <f t="shared" si="68"/>
        <v>220643</v>
      </c>
      <c r="C785" s="427"/>
      <c r="D785" s="477">
        <v>75900</v>
      </c>
      <c r="E785" s="477">
        <v>64137</v>
      </c>
      <c r="F785" s="477">
        <v>27965</v>
      </c>
      <c r="G785" s="477">
        <v>52641</v>
      </c>
      <c r="I785" s="427">
        <f t="shared" si="69"/>
        <v>1325116</v>
      </c>
      <c r="J785" s="427"/>
      <c r="K785" s="427">
        <v>310291</v>
      </c>
      <c r="L785" s="427">
        <v>306872</v>
      </c>
      <c r="M785" s="427">
        <v>502914</v>
      </c>
      <c r="N785" s="427">
        <v>205039</v>
      </c>
      <c r="O785" s="427"/>
      <c r="P785" s="427">
        <f t="shared" si="70"/>
        <v>51592</v>
      </c>
      <c r="Q785" s="427"/>
      <c r="R785" s="427">
        <v>6455</v>
      </c>
      <c r="S785" s="427">
        <v>45137</v>
      </c>
      <c r="U785" s="827"/>
      <c r="V785" s="827"/>
      <c r="W785" s="827"/>
      <c r="X785" s="472"/>
      <c r="Y785" s="472"/>
    </row>
    <row r="786" spans="1:25" s="428" customFormat="1" ht="9.1999999999999993" customHeight="1" x14ac:dyDescent="0.25">
      <c r="A786" s="433" t="s">
        <v>37</v>
      </c>
      <c r="B786" s="434">
        <f t="shared" si="68"/>
        <v>89080</v>
      </c>
      <c r="C786" s="434"/>
      <c r="D786" s="479">
        <v>43661</v>
      </c>
      <c r="E786" s="479">
        <v>26554</v>
      </c>
      <c r="F786" s="479">
        <v>10095</v>
      </c>
      <c r="G786" s="479">
        <v>8770</v>
      </c>
      <c r="H786" s="475"/>
      <c r="I786" s="434">
        <f t="shared" si="69"/>
        <v>389297</v>
      </c>
      <c r="J786" s="434"/>
      <c r="K786" s="434">
        <v>71167</v>
      </c>
      <c r="L786" s="434">
        <v>117861</v>
      </c>
      <c r="M786" s="434">
        <v>183649</v>
      </c>
      <c r="N786" s="434">
        <v>16620</v>
      </c>
      <c r="O786" s="434"/>
      <c r="P786" s="434">
        <f t="shared" si="70"/>
        <v>16231</v>
      </c>
      <c r="Q786" s="434"/>
      <c r="R786" s="434">
        <v>1331</v>
      </c>
      <c r="S786" s="434">
        <v>14900</v>
      </c>
      <c r="U786" s="827"/>
      <c r="V786" s="827"/>
      <c r="W786" s="827"/>
      <c r="X786" s="472"/>
      <c r="Y786" s="472"/>
    </row>
    <row r="787" spans="1:25" s="428" customFormat="1" ht="9.1999999999999993" customHeight="1" x14ac:dyDescent="0.25">
      <c r="A787" s="431" t="s">
        <v>38</v>
      </c>
      <c r="B787" s="427">
        <f t="shared" si="68"/>
        <v>33558</v>
      </c>
      <c r="C787" s="427"/>
      <c r="D787" s="477">
        <v>12463</v>
      </c>
      <c r="E787" s="477">
        <v>5188</v>
      </c>
      <c r="F787" s="477">
        <v>3399</v>
      </c>
      <c r="G787" s="477">
        <v>12508</v>
      </c>
      <c r="I787" s="427">
        <f t="shared" si="69"/>
        <v>152165</v>
      </c>
      <c r="J787" s="427"/>
      <c r="K787" s="427">
        <v>33783</v>
      </c>
      <c r="L787" s="427">
        <v>25606</v>
      </c>
      <c r="M787" s="427">
        <v>82604</v>
      </c>
      <c r="N787" s="427">
        <v>10172</v>
      </c>
      <c r="O787" s="427"/>
      <c r="P787" s="427">
        <f t="shared" si="70"/>
        <v>7696</v>
      </c>
      <c r="Q787" s="427"/>
      <c r="R787" s="427">
        <v>641</v>
      </c>
      <c r="S787" s="427">
        <v>7055</v>
      </c>
      <c r="U787" s="827"/>
      <c r="V787" s="827"/>
      <c r="W787" s="827"/>
      <c r="X787" s="472"/>
      <c r="Y787" s="472"/>
    </row>
    <row r="788" spans="1:25" s="428" customFormat="1" ht="9.1999999999999993" customHeight="1" x14ac:dyDescent="0.25">
      <c r="A788" s="431" t="s">
        <v>39</v>
      </c>
      <c r="B788" s="427">
        <f t="shared" si="68"/>
        <v>19537</v>
      </c>
      <c r="C788" s="427"/>
      <c r="D788" s="477">
        <v>9815</v>
      </c>
      <c r="E788" s="477">
        <v>5649</v>
      </c>
      <c r="F788" s="477">
        <v>2711</v>
      </c>
      <c r="G788" s="477">
        <v>1362</v>
      </c>
      <c r="I788" s="427">
        <f t="shared" si="69"/>
        <v>123752</v>
      </c>
      <c r="J788" s="427"/>
      <c r="K788" s="427">
        <v>33391</v>
      </c>
      <c r="L788" s="427">
        <v>34070</v>
      </c>
      <c r="M788" s="427">
        <v>54387</v>
      </c>
      <c r="N788" s="427">
        <v>1904</v>
      </c>
      <c r="O788" s="427"/>
      <c r="P788" s="427">
        <f t="shared" si="70"/>
        <v>3748</v>
      </c>
      <c r="Q788" s="427"/>
      <c r="R788" s="427">
        <v>324</v>
      </c>
      <c r="S788" s="427">
        <v>3424</v>
      </c>
      <c r="U788" s="472"/>
      <c r="V788" s="472"/>
      <c r="W788" s="472"/>
      <c r="X788" s="472"/>
      <c r="Y788" s="472"/>
    </row>
    <row r="789" spans="1:25" s="428" customFormat="1" ht="9.1999999999999993" customHeight="1" x14ac:dyDescent="0.25">
      <c r="A789" s="431" t="s">
        <v>40</v>
      </c>
      <c r="B789" s="427">
        <f t="shared" si="68"/>
        <v>60499</v>
      </c>
      <c r="C789" s="427"/>
      <c r="D789" s="477">
        <v>19884</v>
      </c>
      <c r="E789" s="477">
        <v>25028</v>
      </c>
      <c r="F789" s="477">
        <v>9232</v>
      </c>
      <c r="G789" s="477">
        <v>6355</v>
      </c>
      <c r="I789" s="427">
        <f t="shared" si="69"/>
        <v>458242</v>
      </c>
      <c r="J789" s="427"/>
      <c r="K789" s="427">
        <v>63844</v>
      </c>
      <c r="L789" s="427">
        <v>155789</v>
      </c>
      <c r="M789" s="427">
        <v>216345</v>
      </c>
      <c r="N789" s="427">
        <v>22264</v>
      </c>
      <c r="O789" s="427"/>
      <c r="P789" s="427">
        <f t="shared" si="70"/>
        <v>13289</v>
      </c>
      <c r="Q789" s="427"/>
      <c r="R789" s="427">
        <v>2174</v>
      </c>
      <c r="S789" s="427">
        <v>11115</v>
      </c>
      <c r="U789" s="472"/>
      <c r="V789" s="472"/>
      <c r="W789" s="472"/>
      <c r="X789" s="472"/>
      <c r="Y789" s="472"/>
    </row>
    <row r="790" spans="1:25" s="428" customFormat="1" ht="9.1999999999999993" customHeight="1" x14ac:dyDescent="0.25">
      <c r="A790" s="433" t="s">
        <v>41</v>
      </c>
      <c r="B790" s="434">
        <f t="shared" si="68"/>
        <v>62595</v>
      </c>
      <c r="C790" s="434"/>
      <c r="D790" s="479">
        <v>32292</v>
      </c>
      <c r="E790" s="479">
        <v>16590</v>
      </c>
      <c r="F790" s="479">
        <v>7887</v>
      </c>
      <c r="G790" s="479">
        <v>5826</v>
      </c>
      <c r="H790" s="475"/>
      <c r="I790" s="434">
        <f t="shared" si="69"/>
        <v>293485</v>
      </c>
      <c r="J790" s="434"/>
      <c r="K790" s="434">
        <v>52950</v>
      </c>
      <c r="L790" s="434">
        <v>88674</v>
      </c>
      <c r="M790" s="434">
        <v>144692</v>
      </c>
      <c r="N790" s="434">
        <v>7169</v>
      </c>
      <c r="O790" s="434"/>
      <c r="P790" s="434">
        <f t="shared" si="70"/>
        <v>13839</v>
      </c>
      <c r="Q790" s="434"/>
      <c r="R790" s="434">
        <v>312</v>
      </c>
      <c r="S790" s="434">
        <v>13527</v>
      </c>
      <c r="U790" s="472"/>
      <c r="V790" s="472"/>
      <c r="W790" s="472"/>
      <c r="X790" s="472"/>
      <c r="Y790" s="472"/>
    </row>
    <row r="791" spans="1:25" s="428" customFormat="1" ht="9.1999999999999993" customHeight="1" x14ac:dyDescent="0.25">
      <c r="A791" s="431" t="s">
        <v>42</v>
      </c>
      <c r="B791" s="427">
        <f t="shared" si="68"/>
        <v>103162</v>
      </c>
      <c r="C791" s="427"/>
      <c r="D791" s="477">
        <v>41898</v>
      </c>
      <c r="E791" s="477">
        <v>33437</v>
      </c>
      <c r="F791" s="477">
        <v>10247</v>
      </c>
      <c r="G791" s="477">
        <v>17580</v>
      </c>
      <c r="I791" s="427">
        <f t="shared" si="69"/>
        <v>571857</v>
      </c>
      <c r="J791" s="427"/>
      <c r="K791" s="427">
        <v>110015</v>
      </c>
      <c r="L791" s="427">
        <v>172862</v>
      </c>
      <c r="M791" s="427">
        <v>263952</v>
      </c>
      <c r="N791" s="427">
        <v>25028</v>
      </c>
      <c r="O791" s="427"/>
      <c r="P791" s="427">
        <f t="shared" si="70"/>
        <v>22024</v>
      </c>
      <c r="Q791" s="427"/>
      <c r="R791" s="427">
        <v>1548</v>
      </c>
      <c r="S791" s="427">
        <v>20476</v>
      </c>
      <c r="U791" s="472"/>
      <c r="V791" s="472"/>
      <c r="W791" s="472"/>
      <c r="X791" s="472"/>
      <c r="Y791" s="472"/>
    </row>
    <row r="792" spans="1:25" s="428" customFormat="1" ht="9.1999999999999993" customHeight="1" x14ac:dyDescent="0.25">
      <c r="A792" s="431" t="s">
        <v>43</v>
      </c>
      <c r="B792" s="427">
        <f t="shared" si="68"/>
        <v>39494</v>
      </c>
      <c r="C792" s="427"/>
      <c r="D792" s="477">
        <v>19470</v>
      </c>
      <c r="E792" s="477">
        <v>9408</v>
      </c>
      <c r="F792" s="477">
        <v>3748</v>
      </c>
      <c r="G792" s="477">
        <v>6868</v>
      </c>
      <c r="I792" s="427">
        <f t="shared" si="69"/>
        <v>193752</v>
      </c>
      <c r="J792" s="427"/>
      <c r="K792" s="427">
        <v>39736</v>
      </c>
      <c r="L792" s="427">
        <v>60007</v>
      </c>
      <c r="M792" s="427">
        <v>86829</v>
      </c>
      <c r="N792" s="427">
        <v>7180</v>
      </c>
      <c r="O792" s="427"/>
      <c r="P792" s="427">
        <f t="shared" si="70"/>
        <v>8074</v>
      </c>
      <c r="Q792" s="427"/>
      <c r="R792" s="427">
        <v>1169</v>
      </c>
      <c r="S792" s="427">
        <v>6905</v>
      </c>
      <c r="U792" s="472"/>
      <c r="V792" s="472"/>
      <c r="W792" s="472"/>
      <c r="X792" s="472"/>
      <c r="Y792" s="472"/>
    </row>
    <row r="793" spans="1:25" s="428" customFormat="1" ht="9.1999999999999993" customHeight="1" x14ac:dyDescent="0.25">
      <c r="A793" s="431" t="s">
        <v>44</v>
      </c>
      <c r="B793" s="427">
        <f t="shared" si="68"/>
        <v>82237</v>
      </c>
      <c r="C793" s="427"/>
      <c r="D793" s="477">
        <v>15854</v>
      </c>
      <c r="E793" s="477">
        <v>8559</v>
      </c>
      <c r="F793" s="477">
        <v>6570</v>
      </c>
      <c r="G793" s="477">
        <v>51254</v>
      </c>
      <c r="I793" s="427">
        <f t="shared" si="69"/>
        <v>177569</v>
      </c>
      <c r="J793" s="427"/>
      <c r="K793" s="427">
        <v>29125</v>
      </c>
      <c r="L793" s="427">
        <v>43033</v>
      </c>
      <c r="M793" s="427">
        <v>102928</v>
      </c>
      <c r="N793" s="427">
        <v>2483</v>
      </c>
      <c r="O793" s="427"/>
      <c r="P793" s="427">
        <f t="shared" si="70"/>
        <v>7766</v>
      </c>
      <c r="Q793" s="427"/>
      <c r="R793" s="427">
        <v>656</v>
      </c>
      <c r="S793" s="427">
        <v>7110</v>
      </c>
      <c r="U793" s="472"/>
      <c r="V793" s="472"/>
      <c r="W793" s="472"/>
      <c r="X793" s="472"/>
      <c r="Y793" s="472"/>
    </row>
    <row r="794" spans="1:25" s="428" customFormat="1" ht="9.1999999999999993" customHeight="1" x14ac:dyDescent="0.25">
      <c r="A794" s="433" t="s">
        <v>45</v>
      </c>
      <c r="B794" s="434">
        <f t="shared" si="68"/>
        <v>72721</v>
      </c>
      <c r="C794" s="434"/>
      <c r="D794" s="479">
        <v>33543</v>
      </c>
      <c r="E794" s="479">
        <v>16879</v>
      </c>
      <c r="F794" s="479">
        <v>5257</v>
      </c>
      <c r="G794" s="479">
        <v>17042</v>
      </c>
      <c r="H794" s="475"/>
      <c r="I794" s="434">
        <f t="shared" si="69"/>
        <v>280042</v>
      </c>
      <c r="J794" s="434"/>
      <c r="K794" s="434">
        <v>72638</v>
      </c>
      <c r="L794" s="434">
        <v>92294</v>
      </c>
      <c r="M794" s="434">
        <v>107040</v>
      </c>
      <c r="N794" s="434">
        <v>8070</v>
      </c>
      <c r="O794" s="434"/>
      <c r="P794" s="434">
        <f t="shared" si="70"/>
        <v>8586</v>
      </c>
      <c r="Q794" s="434"/>
      <c r="R794" s="434">
        <v>784</v>
      </c>
      <c r="S794" s="434">
        <v>7802</v>
      </c>
      <c r="U794" s="472"/>
      <c r="V794" s="472"/>
      <c r="W794" s="472"/>
      <c r="X794" s="472"/>
      <c r="Y794" s="472"/>
    </row>
    <row r="795" spans="1:25" s="428" customFormat="1" ht="9.1999999999999993" customHeight="1" x14ac:dyDescent="0.25">
      <c r="A795" s="431" t="s">
        <v>46</v>
      </c>
      <c r="B795" s="427">
        <f t="shared" si="68"/>
        <v>70984</v>
      </c>
      <c r="C795" s="427"/>
      <c r="D795" s="477">
        <v>31238</v>
      </c>
      <c r="E795" s="477">
        <v>21815</v>
      </c>
      <c r="F795" s="477">
        <v>7806</v>
      </c>
      <c r="G795" s="477">
        <v>10125</v>
      </c>
      <c r="I795" s="427">
        <f t="shared" si="69"/>
        <v>289968</v>
      </c>
      <c r="J795" s="427"/>
      <c r="K795" s="427">
        <v>61177</v>
      </c>
      <c r="L795" s="427">
        <v>72062</v>
      </c>
      <c r="M795" s="427">
        <v>148423</v>
      </c>
      <c r="N795" s="427">
        <v>8306</v>
      </c>
      <c r="O795" s="427"/>
      <c r="P795" s="427">
        <f t="shared" si="70"/>
        <v>9344</v>
      </c>
      <c r="Q795" s="427"/>
      <c r="R795" s="427">
        <v>822</v>
      </c>
      <c r="S795" s="427">
        <v>8522</v>
      </c>
      <c r="U795" s="472"/>
      <c r="V795" s="472"/>
      <c r="W795" s="472"/>
      <c r="X795" s="472"/>
      <c r="Y795" s="472"/>
    </row>
    <row r="796" spans="1:25" s="428" customFormat="1" ht="9.1999999999999993" customHeight="1" x14ac:dyDescent="0.25">
      <c r="A796" s="431" t="s">
        <v>47</v>
      </c>
      <c r="B796" s="427">
        <f t="shared" si="68"/>
        <v>46468</v>
      </c>
      <c r="C796" s="427"/>
      <c r="D796" s="477">
        <v>19492</v>
      </c>
      <c r="E796" s="477">
        <v>14232</v>
      </c>
      <c r="F796" s="477">
        <v>6931</v>
      </c>
      <c r="G796" s="477">
        <v>5813</v>
      </c>
      <c r="I796" s="427">
        <f t="shared" si="69"/>
        <v>236910</v>
      </c>
      <c r="J796" s="427"/>
      <c r="K796" s="427">
        <v>37947</v>
      </c>
      <c r="L796" s="427">
        <v>77774</v>
      </c>
      <c r="M796" s="427">
        <v>110893</v>
      </c>
      <c r="N796" s="427">
        <v>10296</v>
      </c>
      <c r="O796" s="427"/>
      <c r="P796" s="427">
        <f t="shared" si="70"/>
        <v>9451</v>
      </c>
      <c r="Q796" s="427"/>
      <c r="R796" s="427">
        <v>755</v>
      </c>
      <c r="S796" s="427">
        <v>8696</v>
      </c>
      <c r="U796" s="472"/>
      <c r="V796" s="472"/>
      <c r="W796" s="472"/>
      <c r="X796" s="472"/>
      <c r="Y796" s="472"/>
    </row>
    <row r="797" spans="1:25" s="428" customFormat="1" ht="9.1999999999999993" customHeight="1" x14ac:dyDescent="0.25">
      <c r="A797" s="431" t="s">
        <v>48</v>
      </c>
      <c r="B797" s="427">
        <f t="shared" si="68"/>
        <v>26533</v>
      </c>
      <c r="C797" s="427"/>
      <c r="D797" s="477">
        <v>14670</v>
      </c>
      <c r="E797" s="477">
        <v>4115</v>
      </c>
      <c r="F797" s="477">
        <v>3493</v>
      </c>
      <c r="G797" s="477">
        <v>4255</v>
      </c>
      <c r="I797" s="427">
        <f t="shared" si="69"/>
        <v>200949</v>
      </c>
      <c r="J797" s="427"/>
      <c r="K797" s="427">
        <v>61830</v>
      </c>
      <c r="L797" s="427">
        <v>20585</v>
      </c>
      <c r="M797" s="427">
        <v>109964</v>
      </c>
      <c r="N797" s="427">
        <v>8570</v>
      </c>
      <c r="O797" s="427"/>
      <c r="P797" s="427">
        <f t="shared" si="70"/>
        <v>10311</v>
      </c>
      <c r="Q797" s="427"/>
      <c r="R797" s="427">
        <v>612</v>
      </c>
      <c r="S797" s="427">
        <v>9699</v>
      </c>
      <c r="U797" s="472"/>
      <c r="V797" s="472"/>
      <c r="W797" s="472"/>
      <c r="X797" s="472"/>
      <c r="Y797" s="472"/>
    </row>
    <row r="798" spans="1:25" s="428" customFormat="1" ht="9.1999999999999993" customHeight="1" x14ac:dyDescent="0.25">
      <c r="A798" s="433" t="s">
        <v>49</v>
      </c>
      <c r="B798" s="434">
        <f t="shared" si="68"/>
        <v>73044</v>
      </c>
      <c r="C798" s="434"/>
      <c r="D798" s="479">
        <v>32978</v>
      </c>
      <c r="E798" s="479">
        <v>18054</v>
      </c>
      <c r="F798" s="479">
        <v>8255</v>
      </c>
      <c r="G798" s="479">
        <v>13757</v>
      </c>
      <c r="H798" s="475"/>
      <c r="I798" s="434">
        <f t="shared" si="69"/>
        <v>311387</v>
      </c>
      <c r="J798" s="434"/>
      <c r="K798" s="434">
        <v>67726</v>
      </c>
      <c r="L798" s="434">
        <v>88432</v>
      </c>
      <c r="M798" s="434">
        <v>137059</v>
      </c>
      <c r="N798" s="434">
        <v>18170</v>
      </c>
      <c r="O798" s="434"/>
      <c r="P798" s="434">
        <f t="shared" si="70"/>
        <v>10874</v>
      </c>
      <c r="Q798" s="434"/>
      <c r="R798" s="434">
        <v>1149</v>
      </c>
      <c r="S798" s="434">
        <v>9725</v>
      </c>
      <c r="U798" s="472"/>
      <c r="V798" s="472"/>
      <c r="W798" s="472"/>
      <c r="X798" s="472"/>
      <c r="Y798" s="472"/>
    </row>
    <row r="799" spans="1:25" s="428" customFormat="1" ht="9.1999999999999993" customHeight="1" x14ac:dyDescent="0.25">
      <c r="A799" s="431" t="s">
        <v>50</v>
      </c>
      <c r="B799" s="427">
        <f t="shared" si="68"/>
        <v>19814</v>
      </c>
      <c r="C799" s="427"/>
      <c r="D799" s="477">
        <v>6896</v>
      </c>
      <c r="E799" s="477">
        <v>6189</v>
      </c>
      <c r="F799" s="477">
        <v>2944</v>
      </c>
      <c r="G799" s="477">
        <v>3785</v>
      </c>
      <c r="I799" s="427">
        <f t="shared" si="69"/>
        <v>118783</v>
      </c>
      <c r="J799" s="427"/>
      <c r="K799" s="427">
        <v>22239</v>
      </c>
      <c r="L799" s="427">
        <v>30174</v>
      </c>
      <c r="M799" s="427">
        <v>60645</v>
      </c>
      <c r="N799" s="427">
        <v>5725</v>
      </c>
      <c r="O799" s="427"/>
      <c r="P799" s="427">
        <f t="shared" si="70"/>
        <v>5432</v>
      </c>
      <c r="Q799" s="427"/>
      <c r="R799" s="427">
        <v>237</v>
      </c>
      <c r="S799" s="427">
        <v>5195</v>
      </c>
      <c r="U799" s="472"/>
      <c r="V799" s="472"/>
      <c r="W799" s="472"/>
      <c r="X799" s="472"/>
      <c r="Y799" s="472"/>
    </row>
    <row r="800" spans="1:25" s="428" customFormat="1" ht="9.1999999999999993" customHeight="1" x14ac:dyDescent="0.25">
      <c r="A800" s="428" t="s">
        <v>51</v>
      </c>
      <c r="B800" s="427">
        <f t="shared" si="68"/>
        <v>141765</v>
      </c>
      <c r="C800" s="427"/>
      <c r="D800" s="477">
        <v>57676</v>
      </c>
      <c r="E800" s="477">
        <v>46341</v>
      </c>
      <c r="F800" s="477">
        <v>16318</v>
      </c>
      <c r="G800" s="477">
        <v>21430</v>
      </c>
      <c r="I800" s="427">
        <f t="shared" si="69"/>
        <v>720333</v>
      </c>
      <c r="J800" s="427"/>
      <c r="K800" s="427">
        <v>119259</v>
      </c>
      <c r="L800" s="427">
        <v>177459</v>
      </c>
      <c r="M800" s="427">
        <v>412616</v>
      </c>
      <c r="N800" s="427">
        <v>10999</v>
      </c>
      <c r="O800" s="427"/>
      <c r="P800" s="427">
        <f t="shared" si="70"/>
        <v>27086</v>
      </c>
      <c r="Q800" s="427"/>
      <c r="R800" s="427">
        <v>2681</v>
      </c>
      <c r="S800" s="427">
        <v>24405</v>
      </c>
      <c r="U800" s="472"/>
      <c r="V800" s="472"/>
      <c r="W800" s="472"/>
      <c r="X800" s="472"/>
      <c r="Y800" s="472"/>
    </row>
    <row r="801" spans="1:25" s="428" customFormat="1" ht="9.1999999999999993" customHeight="1" x14ac:dyDescent="0.25">
      <c r="A801" s="428" t="s">
        <v>52</v>
      </c>
      <c r="B801" s="427">
        <f t="shared" si="68"/>
        <v>31218</v>
      </c>
      <c r="C801" s="427"/>
      <c r="D801" s="477">
        <v>13863</v>
      </c>
      <c r="E801" s="477">
        <v>6945</v>
      </c>
      <c r="F801" s="477">
        <v>6846</v>
      </c>
      <c r="G801" s="477">
        <v>3564</v>
      </c>
      <c r="I801" s="427">
        <f t="shared" si="69"/>
        <v>180034</v>
      </c>
      <c r="J801" s="427"/>
      <c r="K801" s="427">
        <v>32173</v>
      </c>
      <c r="L801" s="427">
        <v>34574</v>
      </c>
      <c r="M801" s="427">
        <v>109787</v>
      </c>
      <c r="N801" s="427">
        <v>3500</v>
      </c>
      <c r="O801" s="427"/>
      <c r="P801" s="427">
        <f t="shared" si="70"/>
        <v>7796</v>
      </c>
      <c r="Q801" s="427"/>
      <c r="R801" s="427">
        <v>552</v>
      </c>
      <c r="S801" s="427">
        <v>7244</v>
      </c>
      <c r="U801" s="472"/>
      <c r="V801" s="472"/>
      <c r="W801" s="472"/>
      <c r="X801" s="472"/>
      <c r="Y801" s="472"/>
    </row>
    <row r="802" spans="1:25" s="428" customFormat="1" ht="9.1999999999999993" customHeight="1" x14ac:dyDescent="0.25">
      <c r="A802" s="433" t="s">
        <v>53</v>
      </c>
      <c r="B802" s="434">
        <f t="shared" si="68"/>
        <v>37678</v>
      </c>
      <c r="C802" s="434"/>
      <c r="D802" s="479">
        <v>18523</v>
      </c>
      <c r="E802" s="479">
        <v>13751</v>
      </c>
      <c r="F802" s="479">
        <v>2864</v>
      </c>
      <c r="G802" s="479">
        <v>2540</v>
      </c>
      <c r="H802" s="475"/>
      <c r="I802" s="434">
        <f>SUM(K802:O802)</f>
        <v>163181</v>
      </c>
      <c r="J802" s="434"/>
      <c r="K802" s="434">
        <v>33615</v>
      </c>
      <c r="L802" s="434">
        <v>57855</v>
      </c>
      <c r="M802" s="434">
        <v>64229</v>
      </c>
      <c r="N802" s="434">
        <v>7482</v>
      </c>
      <c r="O802" s="434"/>
      <c r="P802" s="434">
        <f t="shared" si="70"/>
        <v>5824</v>
      </c>
      <c r="Q802" s="434"/>
      <c r="R802" s="434">
        <v>403</v>
      </c>
      <c r="S802" s="434">
        <v>5421</v>
      </c>
      <c r="U802" s="472"/>
      <c r="V802" s="472"/>
      <c r="W802" s="472"/>
      <c r="X802" s="472"/>
      <c r="Y802" s="472"/>
    </row>
    <row r="803" spans="1:25" ht="3" customHeight="1" x14ac:dyDescent="0.25">
      <c r="A803" s="460"/>
      <c r="B803" s="460"/>
      <c r="C803" s="460"/>
      <c r="D803" s="484"/>
      <c r="E803" s="484"/>
      <c r="F803" s="484"/>
      <c r="G803" s="484"/>
      <c r="H803" s="460"/>
      <c r="I803" s="460"/>
      <c r="J803" s="460"/>
      <c r="K803" s="460"/>
      <c r="L803" s="460"/>
      <c r="M803" s="460"/>
      <c r="N803" s="460"/>
      <c r="O803" s="460"/>
      <c r="P803" s="460"/>
      <c r="Q803" s="460"/>
      <c r="R803" s="460"/>
      <c r="S803" s="460"/>
    </row>
    <row r="804" spans="1:25" ht="3" customHeight="1" x14ac:dyDescent="0.25"/>
    <row r="805" spans="1:25" s="223" customFormat="1" ht="9" customHeight="1" x14ac:dyDescent="0.25">
      <c r="A805" s="247" t="s">
        <v>514</v>
      </c>
    </row>
    <row r="806" spans="1:25" s="223" customFormat="1" ht="9" customHeight="1" x14ac:dyDescent="0.25">
      <c r="A806" s="247" t="s">
        <v>515</v>
      </c>
    </row>
    <row r="807" spans="1:25" s="223" customFormat="1" ht="9" customHeight="1" x14ac:dyDescent="0.25">
      <c r="A807" s="247" t="s">
        <v>516</v>
      </c>
    </row>
    <row r="808" spans="1:25" s="223" customFormat="1" ht="9" customHeight="1" x14ac:dyDescent="0.25">
      <c r="A808" s="247" t="s">
        <v>518</v>
      </c>
    </row>
    <row r="809" spans="1:25" s="423" customFormat="1" ht="9.6" customHeight="1" x14ac:dyDescent="0.15">
      <c r="A809" s="451" t="s">
        <v>345</v>
      </c>
      <c r="U809" s="464"/>
      <c r="V809" s="464"/>
      <c r="W809" s="464"/>
      <c r="X809" s="464"/>
      <c r="Y809" s="464"/>
    </row>
    <row r="810" spans="1:25" s="423" customFormat="1" ht="9.6" customHeight="1" x14ac:dyDescent="0.15">
      <c r="A810" s="451" t="s">
        <v>346</v>
      </c>
      <c r="U810" s="464"/>
      <c r="V810" s="464"/>
      <c r="W810" s="464"/>
      <c r="X810" s="464"/>
      <c r="Y810" s="464"/>
    </row>
    <row r="811" spans="1:25" s="423" customFormat="1" ht="9.6" customHeight="1" x14ac:dyDescent="0.15">
      <c r="A811" s="451" t="s">
        <v>347</v>
      </c>
      <c r="U811" s="464"/>
      <c r="V811" s="464"/>
      <c r="W811" s="464"/>
      <c r="X811" s="464"/>
      <c r="Y811" s="464"/>
    </row>
    <row r="812" spans="1:25" s="423" customFormat="1" ht="9.6" customHeight="1" x14ac:dyDescent="0.15">
      <c r="A812" s="451" t="s">
        <v>348</v>
      </c>
      <c r="U812" s="464"/>
      <c r="V812" s="464"/>
      <c r="W812" s="464"/>
      <c r="X812" s="464"/>
      <c r="Y812" s="464"/>
    </row>
    <row r="813" spans="1:25" s="423" customFormat="1" ht="9.6" customHeight="1" x14ac:dyDescent="0.15">
      <c r="A813" s="451" t="s">
        <v>349</v>
      </c>
      <c r="U813" s="464"/>
      <c r="V813" s="464"/>
      <c r="W813" s="464"/>
      <c r="X813" s="464"/>
      <c r="Y813" s="464"/>
    </row>
    <row r="814" spans="1:25" s="423" customFormat="1" ht="9.6" customHeight="1" x14ac:dyDescent="0.15">
      <c r="A814" s="451" t="s">
        <v>350</v>
      </c>
      <c r="U814" s="464"/>
      <c r="V814" s="464"/>
      <c r="W814" s="464"/>
      <c r="X814" s="464"/>
      <c r="Y814" s="464"/>
    </row>
    <row r="815" spans="1:25" s="423" customFormat="1" ht="9.6" customHeight="1" x14ac:dyDescent="0.15">
      <c r="A815" s="451" t="s">
        <v>351</v>
      </c>
      <c r="U815" s="464"/>
      <c r="V815" s="464"/>
      <c r="W815" s="464"/>
      <c r="X815" s="464"/>
      <c r="Y815" s="464"/>
    </row>
    <row r="816" spans="1:25" s="423" customFormat="1" ht="9.6" customHeight="1" x14ac:dyDescent="0.15">
      <c r="A816" s="451" t="s">
        <v>352</v>
      </c>
      <c r="U816" s="464"/>
      <c r="V816" s="464"/>
      <c r="W816" s="464"/>
      <c r="X816" s="464"/>
      <c r="Y816" s="464"/>
    </row>
    <row r="817" spans="1:25" s="423" customFormat="1" ht="9.6" customHeight="1" x14ac:dyDescent="0.15">
      <c r="A817" s="485" t="s">
        <v>353</v>
      </c>
      <c r="U817" s="464"/>
      <c r="V817" s="464"/>
      <c r="W817" s="464"/>
      <c r="X817" s="464"/>
      <c r="Y817" s="464"/>
    </row>
    <row r="818" spans="1:25" s="423" customFormat="1" ht="9.6" customHeight="1" x14ac:dyDescent="0.15">
      <c r="A818" s="485" t="s">
        <v>354</v>
      </c>
      <c r="U818" s="464"/>
      <c r="V818" s="464"/>
      <c r="W818" s="464"/>
      <c r="X818" s="464"/>
      <c r="Y818" s="464"/>
    </row>
    <row r="819" spans="1:25" s="423" customFormat="1" ht="9.6" customHeight="1" x14ac:dyDescent="0.25">
      <c r="A819" s="423" t="s">
        <v>355</v>
      </c>
      <c r="U819" s="464"/>
      <c r="V819" s="464"/>
      <c r="W819" s="464"/>
      <c r="X819" s="464"/>
      <c r="Y819" s="464"/>
    </row>
    <row r="820" spans="1:25" s="423" customFormat="1" ht="9.6" customHeight="1" x14ac:dyDescent="0.25">
      <c r="A820" s="423" t="s">
        <v>356</v>
      </c>
      <c r="U820" s="464"/>
      <c r="V820" s="464"/>
      <c r="W820" s="464"/>
      <c r="X820" s="464"/>
      <c r="Y820" s="464"/>
    </row>
    <row r="821" spans="1:25" ht="9.6" customHeight="1" x14ac:dyDescent="0.25">
      <c r="A821" s="225" t="s">
        <v>307</v>
      </c>
      <c r="B821" s="454"/>
      <c r="C821" s="454"/>
      <c r="D821" s="454"/>
      <c r="E821" s="454"/>
      <c r="F821" s="454"/>
      <c r="G821" s="454"/>
      <c r="H821" s="454"/>
      <c r="I821" s="454"/>
      <c r="J821" s="454"/>
      <c r="K821" s="454"/>
      <c r="L821" s="454"/>
    </row>
    <row r="822" spans="1:25" ht="9.6" customHeight="1" x14ac:dyDescent="0.25">
      <c r="A822" s="225" t="s">
        <v>308</v>
      </c>
      <c r="B822" s="454"/>
      <c r="C822" s="454"/>
      <c r="D822" s="454"/>
      <c r="E822" s="454"/>
      <c r="F822" s="454"/>
      <c r="G822" s="454"/>
      <c r="H822" s="454"/>
      <c r="I822" s="454"/>
      <c r="J822" s="454"/>
      <c r="K822" s="454"/>
      <c r="L822" s="454"/>
    </row>
  </sheetData>
  <sheetProtection sheet="1" objects="1" scenarios="1"/>
  <mergeCells count="15">
    <mergeCell ref="U784:W787"/>
    <mergeCell ref="R1:S1"/>
    <mergeCell ref="P6:S7"/>
    <mergeCell ref="A7:A8"/>
    <mergeCell ref="D8:D9"/>
    <mergeCell ref="F8:F9"/>
    <mergeCell ref="K8:K9"/>
    <mergeCell ref="M8:M9"/>
    <mergeCell ref="R8:R9"/>
    <mergeCell ref="S8:S9"/>
    <mergeCell ref="U568:W571"/>
    <mergeCell ref="U640:W643"/>
    <mergeCell ref="U676:W679"/>
    <mergeCell ref="U712:W715"/>
    <mergeCell ref="U748:W751"/>
  </mergeCells>
  <hyperlinks>
    <hyperlink ref="R1" location="Índice!A1" display="Índice!A1"/>
    <hyperlink ref="R1:S1" location="Índice!A1" tooltip="Ir a Índice" display="Índice!A1"/>
  </hyperlinks>
  <printOptions horizontalCentered="1" verticalCentered="1" gridLinesSet="0"/>
  <pageMargins left="0.17" right="0.17" top="0.39370078740157483" bottom="0.39370078740157483" header="0.39370078740157483" footer="0.39370078740157483"/>
  <pageSetup orientation="portrait" r:id="rId1"/>
  <headerFooter>
    <oddHeader>&amp;L&amp;"Arial,Normal"&amp;10&amp;K000080INEGI. Anuario estadístico y geográfico por entidad federativa 2019.</oddHeader>
  </headerFooter>
  <rowBreaks count="11" manualBreakCount="11">
    <brk id="83" max="18" man="1"/>
    <brk id="155" max="18" man="1"/>
    <brk id="227" max="18" man="1"/>
    <brk id="299" max="18" man="1"/>
    <brk id="371" max="18" man="1"/>
    <brk id="443" max="18" man="1"/>
    <brk id="515" max="18" man="1"/>
    <brk id="587" max="18" man="1"/>
    <brk id="659" max="16383" man="1"/>
    <brk id="731" max="18" man="1"/>
    <brk id="767" max="18" man="1"/>
  </row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781"/>
  <sheetViews>
    <sheetView showGridLines="0" showRowColHeaders="0" zoomScale="130" zoomScaleNormal="130" workbookViewId="0">
      <pane xSplit="1" ySplit="11" topLeftCell="B12" activePane="bottomRight" state="frozen"/>
      <selection activeCell="B5" sqref="B5"/>
      <selection pane="topRight" activeCell="B5" sqref="B5"/>
      <selection pane="bottomLeft" activeCell="B5" sqref="B5"/>
      <selection pane="bottomRight"/>
    </sheetView>
  </sheetViews>
  <sheetFormatPr baseColWidth="10" defaultColWidth="0" defaultRowHeight="11.25" customHeight="1" zeroHeight="1" x14ac:dyDescent="0.25"/>
  <cols>
    <col min="1" max="1" width="18.42578125" style="420" customWidth="1"/>
    <col min="2" max="2" width="9.140625" style="420" customWidth="1"/>
    <col min="3" max="3" width="8" style="420" customWidth="1"/>
    <col min="4" max="5" width="8.7109375" style="420" customWidth="1"/>
    <col min="6" max="6" width="8.140625" style="420" customWidth="1"/>
    <col min="7" max="7" width="8.42578125" style="420" customWidth="1"/>
    <col min="8" max="8" width="8" style="420" customWidth="1"/>
    <col min="9" max="9" width="7.140625" style="420" customWidth="1"/>
    <col min="10" max="10" width="8.42578125" style="420" customWidth="1"/>
    <col min="11" max="11" width="0.85546875" style="420" customWidth="1"/>
    <col min="12" max="16384" width="11.42578125" style="420" hidden="1"/>
  </cols>
  <sheetData>
    <row r="1" spans="1:13" s="416" customFormat="1" ht="12" customHeight="1" x14ac:dyDescent="0.2">
      <c r="A1" s="414" t="s">
        <v>357</v>
      </c>
      <c r="B1" s="415"/>
      <c r="C1" s="415"/>
      <c r="D1" s="415"/>
      <c r="E1" s="415"/>
      <c r="F1" s="415"/>
      <c r="G1" s="415"/>
      <c r="H1" s="415"/>
      <c r="I1" s="823" t="s">
        <v>358</v>
      </c>
      <c r="J1" s="823"/>
    </row>
    <row r="2" spans="1:13" s="416" customFormat="1" ht="12" customHeight="1" x14ac:dyDescent="0.2">
      <c r="A2" s="414" t="s">
        <v>359</v>
      </c>
      <c r="B2" s="415"/>
      <c r="C2" s="415"/>
      <c r="D2" s="415"/>
      <c r="E2" s="415"/>
      <c r="F2" s="415"/>
      <c r="G2" s="415"/>
      <c r="H2" s="415"/>
      <c r="J2" s="417"/>
    </row>
    <row r="3" spans="1:13" s="416" customFormat="1" ht="12" customHeight="1" x14ac:dyDescent="0.25">
      <c r="A3" s="418" t="s">
        <v>360</v>
      </c>
      <c r="B3" s="415"/>
      <c r="C3" s="415"/>
      <c r="D3" s="415"/>
      <c r="E3" s="415"/>
      <c r="F3" s="415"/>
      <c r="G3" s="415"/>
      <c r="H3" s="415"/>
    </row>
    <row r="4" spans="1:13" ht="3" customHeight="1" x14ac:dyDescent="0.25">
      <c r="A4" s="419"/>
      <c r="B4" s="419"/>
      <c r="C4" s="419"/>
      <c r="D4" s="419"/>
      <c r="E4" s="419"/>
      <c r="F4" s="419"/>
      <c r="G4" s="419"/>
      <c r="H4" s="419"/>
      <c r="I4" s="419"/>
      <c r="J4" s="419"/>
    </row>
    <row r="5" spans="1:13" ht="3" customHeight="1" x14ac:dyDescent="0.25">
      <c r="A5" s="421"/>
      <c r="B5" s="421"/>
      <c r="C5" s="421"/>
      <c r="D5" s="421"/>
      <c r="E5" s="421"/>
      <c r="F5" s="421"/>
      <c r="G5" s="421"/>
      <c r="H5" s="421"/>
    </row>
    <row r="6" spans="1:13" s="423" customFormat="1" ht="9" customHeight="1" x14ac:dyDescent="0.25">
      <c r="A6" s="798" t="s">
        <v>4</v>
      </c>
      <c r="B6" s="763" t="s">
        <v>13</v>
      </c>
      <c r="C6" s="824" t="s">
        <v>361</v>
      </c>
      <c r="D6" s="824" t="s">
        <v>362</v>
      </c>
      <c r="E6" s="824" t="s">
        <v>363</v>
      </c>
      <c r="F6" s="824" t="s">
        <v>364</v>
      </c>
      <c r="G6" s="824" t="s">
        <v>365</v>
      </c>
      <c r="H6" s="824" t="s">
        <v>366</v>
      </c>
      <c r="I6" s="824" t="s">
        <v>367</v>
      </c>
      <c r="J6" s="824" t="s">
        <v>368</v>
      </c>
      <c r="K6" s="789"/>
      <c r="L6" s="789"/>
      <c r="M6" s="486"/>
    </row>
    <row r="7" spans="1:13" s="423" customFormat="1" ht="9.6" customHeight="1" x14ac:dyDescent="0.25">
      <c r="A7" s="831"/>
      <c r="B7" s="763"/>
      <c r="C7" s="825"/>
      <c r="D7" s="825"/>
      <c r="E7" s="824"/>
      <c r="F7" s="825"/>
      <c r="G7" s="825"/>
      <c r="H7" s="825"/>
      <c r="I7" s="825"/>
      <c r="J7" s="825"/>
      <c r="K7" s="789"/>
      <c r="L7" s="789"/>
      <c r="M7" s="486"/>
    </row>
    <row r="8" spans="1:13" s="423" customFormat="1" ht="9.6" customHeight="1" x14ac:dyDescent="0.25">
      <c r="A8" s="831"/>
      <c r="B8" s="763"/>
      <c r="C8" s="763" t="s">
        <v>369</v>
      </c>
      <c r="D8" s="763"/>
      <c r="E8" s="824"/>
      <c r="F8" s="825"/>
      <c r="G8" s="422" t="s">
        <v>370</v>
      </c>
      <c r="H8" s="487"/>
      <c r="I8" s="763"/>
      <c r="J8" s="763"/>
      <c r="K8" s="789"/>
      <c r="L8" s="789"/>
      <c r="M8" s="486"/>
    </row>
    <row r="9" spans="1:13" s="423" customFormat="1" ht="9.6" customHeight="1" x14ac:dyDescent="0.25">
      <c r="A9" s="831"/>
      <c r="B9" s="763"/>
      <c r="C9" s="763"/>
      <c r="D9" s="763"/>
      <c r="E9" s="824"/>
      <c r="F9" s="763"/>
      <c r="G9" s="763"/>
      <c r="H9" s="487"/>
      <c r="I9" s="763"/>
      <c r="J9" s="763"/>
      <c r="K9" s="789"/>
      <c r="L9" s="789"/>
      <c r="M9" s="486"/>
    </row>
    <row r="10" spans="1:13" s="423" customFormat="1" ht="8.25" customHeight="1" x14ac:dyDescent="0.25">
      <c r="A10" s="831"/>
      <c r="B10" s="763"/>
      <c r="C10" s="763"/>
      <c r="D10" s="763"/>
      <c r="E10" s="824"/>
      <c r="F10" s="763"/>
      <c r="G10" s="763"/>
      <c r="H10" s="487"/>
      <c r="I10" s="763"/>
      <c r="J10" s="763"/>
      <c r="K10" s="789"/>
      <c r="L10" s="789"/>
      <c r="M10" s="486"/>
    </row>
    <row r="11" spans="1:13" ht="3" customHeight="1" x14ac:dyDescent="0.2">
      <c r="A11" s="419"/>
      <c r="B11" s="425"/>
      <c r="C11" s="425"/>
      <c r="D11" s="425"/>
      <c r="E11" s="425"/>
      <c r="F11" s="425"/>
      <c r="G11" s="425"/>
      <c r="H11" s="425"/>
      <c r="I11" s="425"/>
      <c r="J11" s="419"/>
    </row>
    <row r="12" spans="1:13" ht="3" customHeight="1" x14ac:dyDescent="0.25">
      <c r="A12" s="421"/>
      <c r="B12" s="421"/>
      <c r="C12" s="421"/>
      <c r="D12" s="421"/>
      <c r="E12" s="421"/>
      <c r="F12" s="421"/>
      <c r="G12" s="421"/>
      <c r="H12" s="421"/>
    </row>
    <row r="13" spans="1:13" s="428" customFormat="1" ht="9" customHeight="1" x14ac:dyDescent="0.25">
      <c r="A13" s="470">
        <v>1995</v>
      </c>
      <c r="B13" s="471"/>
      <c r="C13" s="471"/>
      <c r="D13" s="471"/>
      <c r="E13" s="471"/>
      <c r="F13" s="471"/>
      <c r="G13" s="471"/>
      <c r="H13" s="471"/>
    </row>
    <row r="14" spans="1:13" s="473" customFormat="1" ht="9" customHeight="1" x14ac:dyDescent="0.25">
      <c r="A14" s="429" t="s">
        <v>21</v>
      </c>
      <c r="B14" s="442">
        <f t="shared" ref="B14:J14" si="0">SUM(B16:B47)</f>
        <v>78780659</v>
      </c>
      <c r="C14" s="442">
        <f t="shared" si="0"/>
        <v>34461655</v>
      </c>
      <c r="D14" s="442">
        <f t="shared" si="0"/>
        <v>12159993</v>
      </c>
      <c r="E14" s="442">
        <f t="shared" si="0"/>
        <v>5057715</v>
      </c>
      <c r="F14" s="442">
        <f t="shared" si="0"/>
        <v>17314312</v>
      </c>
      <c r="G14" s="442">
        <f t="shared" si="0"/>
        <v>7646178</v>
      </c>
      <c r="H14" s="442">
        <f t="shared" si="0"/>
        <v>362185</v>
      </c>
      <c r="I14" s="442">
        <f t="shared" si="0"/>
        <v>1137320</v>
      </c>
      <c r="J14" s="442">
        <f t="shared" si="0"/>
        <v>641301</v>
      </c>
    </row>
    <row r="15" spans="1:13" s="473" customFormat="1" ht="3.95" customHeight="1" x14ac:dyDescent="0.25">
      <c r="B15" s="442"/>
      <c r="C15" s="442"/>
      <c r="D15" s="442"/>
      <c r="E15" s="442"/>
      <c r="F15" s="442"/>
      <c r="G15" s="442"/>
      <c r="H15" s="442"/>
      <c r="I15" s="442"/>
      <c r="J15" s="442"/>
    </row>
    <row r="16" spans="1:13" s="428" customFormat="1" ht="9" customHeight="1" x14ac:dyDescent="0.25">
      <c r="A16" s="428" t="s">
        <v>23</v>
      </c>
      <c r="B16" s="432">
        <f t="shared" ref="B16:B47" si="1">SUM(C16:J16)</f>
        <v>703665</v>
      </c>
      <c r="C16" s="432">
        <v>347338</v>
      </c>
      <c r="D16" s="432">
        <v>117861</v>
      </c>
      <c r="E16" s="432">
        <v>41126</v>
      </c>
      <c r="F16" s="432">
        <v>120414</v>
      </c>
      <c r="G16" s="432">
        <v>57369</v>
      </c>
      <c r="H16" s="432">
        <v>882</v>
      </c>
      <c r="I16" s="432">
        <v>13873</v>
      </c>
      <c r="J16" s="432">
        <v>4802</v>
      </c>
    </row>
    <row r="17" spans="1:10" s="428" customFormat="1" ht="9" customHeight="1" x14ac:dyDescent="0.25">
      <c r="A17" s="428" t="s">
        <v>24</v>
      </c>
      <c r="B17" s="432">
        <f t="shared" si="1"/>
        <v>1635137</v>
      </c>
      <c r="C17" s="432">
        <v>751547</v>
      </c>
      <c r="D17" s="432">
        <v>243393</v>
      </c>
      <c r="E17" s="432">
        <v>102441</v>
      </c>
      <c r="F17" s="432">
        <v>353112</v>
      </c>
      <c r="G17" s="432">
        <v>151687</v>
      </c>
      <c r="H17" s="432">
        <v>991</v>
      </c>
      <c r="I17" s="432">
        <v>26165</v>
      </c>
      <c r="J17" s="432">
        <v>5801</v>
      </c>
    </row>
    <row r="18" spans="1:10" s="428" customFormat="1" ht="9" customHeight="1" x14ac:dyDescent="0.25">
      <c r="A18" s="428" t="s">
        <v>25</v>
      </c>
      <c r="B18" s="432">
        <f t="shared" si="1"/>
        <v>307961</v>
      </c>
      <c r="C18" s="432">
        <v>135828</v>
      </c>
      <c r="D18" s="432">
        <v>50578</v>
      </c>
      <c r="E18" s="432">
        <v>16573</v>
      </c>
      <c r="F18" s="432">
        <v>63492</v>
      </c>
      <c r="G18" s="432">
        <v>27071</v>
      </c>
      <c r="H18" s="432">
        <v>596</v>
      </c>
      <c r="I18" s="432">
        <v>11082</v>
      </c>
      <c r="J18" s="432">
        <v>2741</v>
      </c>
    </row>
    <row r="19" spans="1:10" s="428" customFormat="1" ht="9" customHeight="1" x14ac:dyDescent="0.25">
      <c r="A19" s="475" t="s">
        <v>26</v>
      </c>
      <c r="B19" s="435">
        <f t="shared" si="1"/>
        <v>614655</v>
      </c>
      <c r="C19" s="435">
        <v>253879</v>
      </c>
      <c r="D19" s="435">
        <v>82075</v>
      </c>
      <c r="E19" s="435">
        <v>46643</v>
      </c>
      <c r="F19" s="435">
        <v>135449</v>
      </c>
      <c r="G19" s="435">
        <v>64006</v>
      </c>
      <c r="H19" s="435">
        <v>837</v>
      </c>
      <c r="I19" s="435">
        <v>23346</v>
      </c>
      <c r="J19" s="435">
        <v>8420</v>
      </c>
    </row>
    <row r="20" spans="1:10" s="428" customFormat="1" ht="9" customHeight="1" x14ac:dyDescent="0.25">
      <c r="A20" s="428" t="s">
        <v>27</v>
      </c>
      <c r="B20" s="432">
        <f t="shared" si="1"/>
        <v>1920182</v>
      </c>
      <c r="C20" s="432">
        <v>886292</v>
      </c>
      <c r="D20" s="432">
        <v>264813</v>
      </c>
      <c r="E20" s="432">
        <v>111636</v>
      </c>
      <c r="F20" s="432">
        <v>464359</v>
      </c>
      <c r="G20" s="432">
        <v>138355</v>
      </c>
      <c r="H20" s="432">
        <v>11204</v>
      </c>
      <c r="I20" s="432">
        <v>35829</v>
      </c>
      <c r="J20" s="432">
        <v>7694</v>
      </c>
    </row>
    <row r="21" spans="1:10" s="428" customFormat="1" ht="9" customHeight="1" x14ac:dyDescent="0.25">
      <c r="A21" s="428" t="s">
        <v>28</v>
      </c>
      <c r="B21" s="432">
        <f t="shared" si="1"/>
        <v>434034</v>
      </c>
      <c r="C21" s="432">
        <v>166075</v>
      </c>
      <c r="D21" s="432">
        <v>63708</v>
      </c>
      <c r="E21" s="432">
        <v>21170</v>
      </c>
      <c r="F21" s="432">
        <v>128060</v>
      </c>
      <c r="G21" s="432">
        <v>31341</v>
      </c>
      <c r="H21" s="432">
        <v>460</v>
      </c>
      <c r="I21" s="432">
        <v>12213</v>
      </c>
      <c r="J21" s="432">
        <v>11007</v>
      </c>
    </row>
    <row r="22" spans="1:10" s="428" customFormat="1" ht="9" customHeight="1" x14ac:dyDescent="0.25">
      <c r="A22" s="428" t="s">
        <v>29</v>
      </c>
      <c r="B22" s="432">
        <f t="shared" si="1"/>
        <v>3793031</v>
      </c>
      <c r="C22" s="432">
        <v>1493706</v>
      </c>
      <c r="D22" s="432">
        <v>505557</v>
      </c>
      <c r="E22" s="432">
        <v>243800</v>
      </c>
      <c r="F22" s="432">
        <v>963207</v>
      </c>
      <c r="G22" s="432">
        <v>547568</v>
      </c>
      <c r="H22" s="432">
        <v>5670</v>
      </c>
      <c r="I22" s="432">
        <v>17567</v>
      </c>
      <c r="J22" s="432">
        <v>15956</v>
      </c>
    </row>
    <row r="23" spans="1:10" s="428" customFormat="1" ht="9" customHeight="1" x14ac:dyDescent="0.25">
      <c r="A23" s="475" t="s">
        <v>30</v>
      </c>
      <c r="B23" s="435">
        <f t="shared" si="1"/>
        <v>2402176</v>
      </c>
      <c r="C23" s="435">
        <v>985558</v>
      </c>
      <c r="D23" s="435">
        <v>337060</v>
      </c>
      <c r="E23" s="435">
        <v>153209</v>
      </c>
      <c r="F23" s="435">
        <v>680991</v>
      </c>
      <c r="G23" s="435">
        <v>197222</v>
      </c>
      <c r="H23" s="435">
        <v>3401</v>
      </c>
      <c r="I23" s="435">
        <v>33284</v>
      </c>
      <c r="J23" s="435">
        <v>11451</v>
      </c>
    </row>
    <row r="24" spans="1:10" s="428" customFormat="1" ht="9" customHeight="1" x14ac:dyDescent="0.25">
      <c r="A24" s="428" t="s">
        <v>63</v>
      </c>
      <c r="B24" s="432">
        <f t="shared" si="1"/>
        <v>6858299</v>
      </c>
      <c r="C24" s="432">
        <v>3154547</v>
      </c>
      <c r="D24" s="432">
        <v>977826</v>
      </c>
      <c r="E24" s="432">
        <v>425797</v>
      </c>
      <c r="F24" s="432">
        <v>1248353</v>
      </c>
      <c r="G24" s="432">
        <v>612358</v>
      </c>
      <c r="H24" s="432">
        <v>76627</v>
      </c>
      <c r="I24" s="432">
        <v>257657</v>
      </c>
      <c r="J24" s="432">
        <v>105134</v>
      </c>
    </row>
    <row r="25" spans="1:10" s="428" customFormat="1" ht="9" customHeight="1" x14ac:dyDescent="0.25">
      <c r="A25" s="428" t="s">
        <v>31</v>
      </c>
      <c r="B25" s="432">
        <f t="shared" si="1"/>
        <v>1230250</v>
      </c>
      <c r="C25" s="432">
        <v>515373</v>
      </c>
      <c r="D25" s="432">
        <v>206594</v>
      </c>
      <c r="E25" s="432">
        <v>86737</v>
      </c>
      <c r="F25" s="432">
        <v>276737</v>
      </c>
      <c r="G25" s="432">
        <v>109104</v>
      </c>
      <c r="H25" s="432">
        <v>13309</v>
      </c>
      <c r="I25" s="432">
        <v>11725</v>
      </c>
      <c r="J25" s="432">
        <v>10671</v>
      </c>
    </row>
    <row r="26" spans="1:10" s="428" customFormat="1" ht="9" customHeight="1" x14ac:dyDescent="0.25">
      <c r="A26" s="428" t="s">
        <v>32</v>
      </c>
      <c r="B26" s="432">
        <f t="shared" si="1"/>
        <v>4846627</v>
      </c>
      <c r="C26" s="432">
        <v>2336739</v>
      </c>
      <c r="D26" s="432">
        <v>740272</v>
      </c>
      <c r="E26" s="432">
        <v>274970</v>
      </c>
      <c r="F26" s="432">
        <v>979663</v>
      </c>
      <c r="G26" s="432">
        <v>453130</v>
      </c>
      <c r="H26" s="432">
        <v>8493</v>
      </c>
      <c r="I26" s="432">
        <v>38763</v>
      </c>
      <c r="J26" s="432">
        <v>14597</v>
      </c>
    </row>
    <row r="27" spans="1:10" s="428" customFormat="1" ht="9" customHeight="1" x14ac:dyDescent="0.25">
      <c r="A27" s="475" t="s">
        <v>33</v>
      </c>
      <c r="B27" s="435">
        <f t="shared" si="1"/>
        <v>3515335</v>
      </c>
      <c r="C27" s="435">
        <v>1458088</v>
      </c>
      <c r="D27" s="435">
        <v>519762</v>
      </c>
      <c r="E27" s="435">
        <v>256964</v>
      </c>
      <c r="F27" s="435">
        <v>810123</v>
      </c>
      <c r="G27" s="435">
        <v>381351</v>
      </c>
      <c r="H27" s="435">
        <v>2965</v>
      </c>
      <c r="I27" s="435">
        <v>52227</v>
      </c>
      <c r="J27" s="435">
        <v>33855</v>
      </c>
    </row>
    <row r="28" spans="1:10" s="428" customFormat="1" ht="9" customHeight="1" x14ac:dyDescent="0.25">
      <c r="A28" s="428" t="s">
        <v>34</v>
      </c>
      <c r="B28" s="432">
        <f t="shared" si="1"/>
        <v>1885556</v>
      </c>
      <c r="C28" s="432">
        <v>803537</v>
      </c>
      <c r="D28" s="432">
        <v>279366</v>
      </c>
      <c r="E28" s="432">
        <v>126775</v>
      </c>
      <c r="F28" s="432">
        <v>448831</v>
      </c>
      <c r="G28" s="432">
        <v>177507</v>
      </c>
      <c r="H28" s="432">
        <v>10767</v>
      </c>
      <c r="I28" s="432">
        <v>20354</v>
      </c>
      <c r="J28" s="432">
        <v>18419</v>
      </c>
    </row>
    <row r="29" spans="1:10" s="428" customFormat="1" ht="9" customHeight="1" x14ac:dyDescent="0.25">
      <c r="A29" s="428" t="s">
        <v>35</v>
      </c>
      <c r="B29" s="432">
        <f t="shared" si="1"/>
        <v>4284441</v>
      </c>
      <c r="C29" s="432">
        <v>1893886</v>
      </c>
      <c r="D29" s="432">
        <v>748078</v>
      </c>
      <c r="E29" s="432">
        <v>287012</v>
      </c>
      <c r="F29" s="432">
        <v>870348</v>
      </c>
      <c r="G29" s="432">
        <v>409001</v>
      </c>
      <c r="H29" s="432">
        <v>9455</v>
      </c>
      <c r="I29" s="432">
        <v>37926</v>
      </c>
      <c r="J29" s="432">
        <v>28735</v>
      </c>
    </row>
    <row r="30" spans="1:10" s="428" customFormat="1" ht="9" customHeight="1" x14ac:dyDescent="0.25">
      <c r="A30" s="428" t="s">
        <v>36</v>
      </c>
      <c r="B30" s="432">
        <f t="shared" si="1"/>
        <v>8569389</v>
      </c>
      <c r="C30" s="432">
        <v>3757236</v>
      </c>
      <c r="D30" s="432">
        <v>1581254</v>
      </c>
      <c r="E30" s="432">
        <v>632722</v>
      </c>
      <c r="F30" s="432">
        <v>1568391</v>
      </c>
      <c r="G30" s="432">
        <v>852861</v>
      </c>
      <c r="H30" s="432">
        <v>86004</v>
      </c>
      <c r="I30" s="432">
        <v>54799</v>
      </c>
      <c r="J30" s="432">
        <v>36122</v>
      </c>
    </row>
    <row r="31" spans="1:10" s="428" customFormat="1" ht="9" customHeight="1" x14ac:dyDescent="0.25">
      <c r="A31" s="475" t="s">
        <v>37</v>
      </c>
      <c r="B31" s="435">
        <f t="shared" si="1"/>
        <v>3846164</v>
      </c>
      <c r="C31" s="435">
        <v>1782509</v>
      </c>
      <c r="D31" s="435">
        <v>589226</v>
      </c>
      <c r="E31" s="435">
        <v>223604</v>
      </c>
      <c r="F31" s="435">
        <v>806887</v>
      </c>
      <c r="G31" s="435">
        <v>381364</v>
      </c>
      <c r="H31" s="435">
        <v>10698</v>
      </c>
      <c r="I31" s="435">
        <v>29405</v>
      </c>
      <c r="J31" s="435">
        <v>22471</v>
      </c>
    </row>
    <row r="32" spans="1:10" s="428" customFormat="1" ht="9" customHeight="1" x14ac:dyDescent="0.25">
      <c r="A32" s="428" t="s">
        <v>38</v>
      </c>
      <c r="B32" s="432">
        <f t="shared" si="1"/>
        <v>1133781</v>
      </c>
      <c r="C32" s="432">
        <v>466060</v>
      </c>
      <c r="D32" s="432">
        <v>175688</v>
      </c>
      <c r="E32" s="432">
        <v>72073</v>
      </c>
      <c r="F32" s="432">
        <v>266247</v>
      </c>
      <c r="G32" s="432">
        <v>106035</v>
      </c>
      <c r="H32" s="432">
        <v>5027</v>
      </c>
      <c r="I32" s="432">
        <v>16806</v>
      </c>
      <c r="J32" s="432">
        <v>25845</v>
      </c>
    </row>
    <row r="33" spans="1:10" s="428" customFormat="1" ht="9" customHeight="1" x14ac:dyDescent="0.25">
      <c r="A33" s="428" t="s">
        <v>39</v>
      </c>
      <c r="B33" s="432">
        <f t="shared" si="1"/>
        <v>869890</v>
      </c>
      <c r="C33" s="432">
        <v>432055</v>
      </c>
      <c r="D33" s="432">
        <v>135045</v>
      </c>
      <c r="E33" s="432">
        <v>41853</v>
      </c>
      <c r="F33" s="432">
        <v>167378</v>
      </c>
      <c r="G33" s="432">
        <v>75411</v>
      </c>
      <c r="H33" s="432">
        <v>2598</v>
      </c>
      <c r="I33" s="432">
        <v>8271</v>
      </c>
      <c r="J33" s="432">
        <v>7279</v>
      </c>
    </row>
    <row r="34" spans="1:10" s="428" customFormat="1" ht="9" customHeight="1" x14ac:dyDescent="0.25">
      <c r="A34" s="428" t="s">
        <v>40</v>
      </c>
      <c r="B34" s="432">
        <f t="shared" si="1"/>
        <v>2527452</v>
      </c>
      <c r="C34" s="432">
        <v>1074672</v>
      </c>
      <c r="D34" s="432">
        <v>398054</v>
      </c>
      <c r="E34" s="432">
        <v>150970</v>
      </c>
      <c r="F34" s="432">
        <v>629454</v>
      </c>
      <c r="G34" s="432">
        <v>222429</v>
      </c>
      <c r="H34" s="432">
        <v>4678</v>
      </c>
      <c r="I34" s="432">
        <v>30095</v>
      </c>
      <c r="J34" s="432">
        <v>17100</v>
      </c>
    </row>
    <row r="35" spans="1:10" s="428" customFormat="1" ht="9" customHeight="1" x14ac:dyDescent="0.25">
      <c r="A35" s="475" t="s">
        <v>41</v>
      </c>
      <c r="B35" s="435">
        <f t="shared" si="1"/>
        <v>2908983</v>
      </c>
      <c r="C35" s="435">
        <v>1272214</v>
      </c>
      <c r="D35" s="435">
        <v>449780</v>
      </c>
      <c r="E35" s="435">
        <v>195118</v>
      </c>
      <c r="F35" s="435">
        <v>655070</v>
      </c>
      <c r="G35" s="435">
        <v>293520</v>
      </c>
      <c r="H35" s="435">
        <v>3371</v>
      </c>
      <c r="I35" s="435">
        <v>24208</v>
      </c>
      <c r="J35" s="435">
        <v>15702</v>
      </c>
    </row>
    <row r="36" spans="1:10" s="428" customFormat="1" ht="9" customHeight="1" x14ac:dyDescent="0.25">
      <c r="A36" s="428" t="s">
        <v>42</v>
      </c>
      <c r="B36" s="432">
        <f t="shared" si="1"/>
        <v>4140535</v>
      </c>
      <c r="C36" s="432">
        <v>1805544</v>
      </c>
      <c r="D36" s="432">
        <v>636432</v>
      </c>
      <c r="E36" s="432">
        <v>275203</v>
      </c>
      <c r="F36" s="432">
        <v>782380</v>
      </c>
      <c r="G36" s="432">
        <v>440850</v>
      </c>
      <c r="H36" s="432">
        <v>43591</v>
      </c>
      <c r="I36" s="432">
        <v>121603</v>
      </c>
      <c r="J36" s="432">
        <v>34932</v>
      </c>
    </row>
    <row r="37" spans="1:10" s="428" customFormat="1" ht="9" customHeight="1" x14ac:dyDescent="0.25">
      <c r="A37" s="428" t="s">
        <v>43</v>
      </c>
      <c r="B37" s="432">
        <f t="shared" si="1"/>
        <v>1070901</v>
      </c>
      <c r="C37" s="432">
        <v>498746</v>
      </c>
      <c r="D37" s="432">
        <v>193932</v>
      </c>
      <c r="E37" s="432">
        <v>76703</v>
      </c>
      <c r="F37" s="432">
        <v>180642</v>
      </c>
      <c r="G37" s="432">
        <v>89935</v>
      </c>
      <c r="H37" s="432">
        <v>5551</v>
      </c>
      <c r="I37" s="432">
        <v>15858</v>
      </c>
      <c r="J37" s="432">
        <v>9534</v>
      </c>
    </row>
    <row r="38" spans="1:10" s="428" customFormat="1" ht="9" customHeight="1" x14ac:dyDescent="0.25">
      <c r="A38" s="428" t="s">
        <v>44</v>
      </c>
      <c r="B38" s="432">
        <f t="shared" si="1"/>
        <v>604158</v>
      </c>
      <c r="C38" s="432">
        <v>254462</v>
      </c>
      <c r="D38" s="432">
        <v>94737</v>
      </c>
      <c r="E38" s="432">
        <v>40471</v>
      </c>
      <c r="F38" s="432">
        <v>113550</v>
      </c>
      <c r="G38" s="432">
        <v>85210</v>
      </c>
      <c r="H38" s="432">
        <v>1414</v>
      </c>
      <c r="I38" s="432">
        <v>10077</v>
      </c>
      <c r="J38" s="432">
        <v>4237</v>
      </c>
    </row>
    <row r="39" spans="1:10" s="428" customFormat="1" ht="9" customHeight="1" x14ac:dyDescent="0.25">
      <c r="A39" s="475" t="s">
        <v>45</v>
      </c>
      <c r="B39" s="435">
        <f t="shared" si="1"/>
        <v>1866261</v>
      </c>
      <c r="C39" s="435">
        <v>810233</v>
      </c>
      <c r="D39" s="435">
        <v>266527</v>
      </c>
      <c r="E39" s="435">
        <v>135675</v>
      </c>
      <c r="F39" s="435">
        <v>438832</v>
      </c>
      <c r="G39" s="435">
        <v>160028</v>
      </c>
      <c r="H39" s="435">
        <v>7048</v>
      </c>
      <c r="I39" s="435">
        <v>24821</v>
      </c>
      <c r="J39" s="435">
        <v>23097</v>
      </c>
    </row>
    <row r="40" spans="1:10" s="428" customFormat="1" ht="9" customHeight="1" x14ac:dyDescent="0.25">
      <c r="A40" s="428" t="s">
        <v>46</v>
      </c>
      <c r="B40" s="432">
        <f t="shared" si="1"/>
        <v>2234782</v>
      </c>
      <c r="C40" s="432">
        <v>869562</v>
      </c>
      <c r="D40" s="432">
        <v>331020</v>
      </c>
      <c r="E40" s="432">
        <v>165543</v>
      </c>
      <c r="F40" s="432">
        <v>651871</v>
      </c>
      <c r="G40" s="432">
        <v>171662</v>
      </c>
      <c r="H40" s="432">
        <v>2283</v>
      </c>
      <c r="I40" s="432">
        <v>21206</v>
      </c>
      <c r="J40" s="432">
        <v>21635</v>
      </c>
    </row>
    <row r="41" spans="1:10" s="428" customFormat="1" ht="9" customHeight="1" x14ac:dyDescent="0.25">
      <c r="A41" s="428" t="s">
        <v>47</v>
      </c>
      <c r="B41" s="432">
        <f t="shared" si="1"/>
        <v>2018651</v>
      </c>
      <c r="C41" s="432">
        <v>982710</v>
      </c>
      <c r="D41" s="432">
        <v>285672</v>
      </c>
      <c r="E41" s="432">
        <v>89094</v>
      </c>
      <c r="F41" s="432">
        <v>417687</v>
      </c>
      <c r="G41" s="432">
        <v>184932</v>
      </c>
      <c r="H41" s="432">
        <v>4818</v>
      </c>
      <c r="I41" s="432">
        <v>27557</v>
      </c>
      <c r="J41" s="432">
        <v>26181</v>
      </c>
    </row>
    <row r="42" spans="1:10" s="428" customFormat="1" ht="9" customHeight="1" x14ac:dyDescent="0.25">
      <c r="A42" s="428" t="s">
        <v>48</v>
      </c>
      <c r="B42" s="432">
        <f t="shared" si="1"/>
        <v>1707374</v>
      </c>
      <c r="C42" s="432">
        <v>725315</v>
      </c>
      <c r="D42" s="432">
        <v>272332</v>
      </c>
      <c r="E42" s="432">
        <v>98293</v>
      </c>
      <c r="F42" s="432">
        <v>407008</v>
      </c>
      <c r="G42" s="432">
        <v>166111</v>
      </c>
      <c r="H42" s="432">
        <v>2214</v>
      </c>
      <c r="I42" s="432">
        <v>18867</v>
      </c>
      <c r="J42" s="432">
        <v>17234</v>
      </c>
    </row>
    <row r="43" spans="1:10" s="428" customFormat="1" ht="9" customHeight="1" x14ac:dyDescent="0.25">
      <c r="A43" s="475" t="s">
        <v>49</v>
      </c>
      <c r="B43" s="435">
        <f t="shared" si="1"/>
        <v>1904115</v>
      </c>
      <c r="C43" s="435">
        <v>788596</v>
      </c>
      <c r="D43" s="435">
        <v>303237</v>
      </c>
      <c r="E43" s="435">
        <v>108051</v>
      </c>
      <c r="F43" s="435">
        <v>479605</v>
      </c>
      <c r="G43" s="435">
        <v>166388</v>
      </c>
      <c r="H43" s="435">
        <v>3641</v>
      </c>
      <c r="I43" s="435">
        <v>30266</v>
      </c>
      <c r="J43" s="435">
        <v>24331</v>
      </c>
    </row>
    <row r="44" spans="1:10" s="428" customFormat="1" ht="9" customHeight="1" x14ac:dyDescent="0.25">
      <c r="A44" s="428" t="s">
        <v>50</v>
      </c>
      <c r="B44" s="432">
        <f t="shared" si="1"/>
        <v>896574</v>
      </c>
      <c r="C44" s="432">
        <v>378935</v>
      </c>
      <c r="D44" s="432">
        <v>145609</v>
      </c>
      <c r="E44" s="432">
        <v>50293</v>
      </c>
      <c r="F44" s="432">
        <v>212824</v>
      </c>
      <c r="G44" s="432">
        <v>85920</v>
      </c>
      <c r="H44" s="432">
        <v>8809</v>
      </c>
      <c r="I44" s="432">
        <v>12792</v>
      </c>
      <c r="J44" s="432">
        <v>1392</v>
      </c>
    </row>
    <row r="45" spans="1:10" s="428" customFormat="1" ht="9" customHeight="1" x14ac:dyDescent="0.25">
      <c r="A45" s="428" t="s">
        <v>51</v>
      </c>
      <c r="B45" s="432">
        <f t="shared" si="1"/>
        <v>5464134</v>
      </c>
      <c r="C45" s="432">
        <v>2244832</v>
      </c>
      <c r="D45" s="432">
        <v>759481</v>
      </c>
      <c r="E45" s="432">
        <v>348663</v>
      </c>
      <c r="F45" s="432">
        <v>1445593</v>
      </c>
      <c r="G45" s="432">
        <v>568295</v>
      </c>
      <c r="H45" s="432">
        <v>12711</v>
      </c>
      <c r="I45" s="432">
        <v>44453</v>
      </c>
      <c r="J45" s="432">
        <v>40106</v>
      </c>
    </row>
    <row r="46" spans="1:10" s="428" customFormat="1" ht="9" customHeight="1" x14ac:dyDescent="0.25">
      <c r="A46" s="428" t="s">
        <v>52</v>
      </c>
      <c r="B46" s="432">
        <f t="shared" si="1"/>
        <v>1331304</v>
      </c>
      <c r="C46" s="432">
        <v>606804</v>
      </c>
      <c r="D46" s="432">
        <v>211325</v>
      </c>
      <c r="E46" s="432">
        <v>65965</v>
      </c>
      <c r="F46" s="432">
        <v>263430</v>
      </c>
      <c r="G46" s="432">
        <v>126207</v>
      </c>
      <c r="H46" s="432">
        <v>10781</v>
      </c>
      <c r="I46" s="432">
        <v>25422</v>
      </c>
      <c r="J46" s="432">
        <v>21370</v>
      </c>
    </row>
    <row r="47" spans="1:10" s="428" customFormat="1" ht="9" customHeight="1" x14ac:dyDescent="0.25">
      <c r="A47" s="475" t="s">
        <v>53</v>
      </c>
      <c r="B47" s="435">
        <f t="shared" si="1"/>
        <v>1254862</v>
      </c>
      <c r="C47" s="435">
        <v>528777</v>
      </c>
      <c r="D47" s="435">
        <v>193699</v>
      </c>
      <c r="E47" s="435">
        <v>92568</v>
      </c>
      <c r="F47" s="435">
        <v>284324</v>
      </c>
      <c r="G47" s="435">
        <v>111950</v>
      </c>
      <c r="H47" s="435">
        <v>1291</v>
      </c>
      <c r="I47" s="435">
        <v>28803</v>
      </c>
      <c r="J47" s="435">
        <v>13450</v>
      </c>
    </row>
    <row r="48" spans="1:10" s="428" customFormat="1" ht="9" customHeight="1" x14ac:dyDescent="0.25">
      <c r="A48" s="436"/>
      <c r="B48" s="488"/>
      <c r="C48" s="488"/>
      <c r="D48" s="488"/>
      <c r="E48" s="488"/>
      <c r="F48" s="488"/>
      <c r="G48" s="488"/>
      <c r="H48" s="488"/>
      <c r="I48" s="488"/>
      <c r="J48" s="488"/>
    </row>
    <row r="49" spans="1:10" s="428" customFormat="1" ht="9" customHeight="1" x14ac:dyDescent="0.25">
      <c r="A49" s="470">
        <v>1996</v>
      </c>
      <c r="B49" s="471"/>
      <c r="C49" s="471"/>
      <c r="D49" s="471"/>
      <c r="E49" s="471"/>
      <c r="F49" s="471"/>
      <c r="G49" s="471"/>
      <c r="H49" s="471"/>
      <c r="I49" s="427"/>
      <c r="J49" s="427"/>
    </row>
    <row r="50" spans="1:10" s="473" customFormat="1" ht="9" customHeight="1" x14ac:dyDescent="0.25">
      <c r="A50" s="478" t="s">
        <v>263</v>
      </c>
      <c r="B50" s="442">
        <f t="shared" ref="B50:J50" si="2">SUM(B52:B83)</f>
        <v>78142826</v>
      </c>
      <c r="C50" s="442">
        <f t="shared" si="2"/>
        <v>31558895</v>
      </c>
      <c r="D50" s="442">
        <f t="shared" si="2"/>
        <v>11067969</v>
      </c>
      <c r="E50" s="442">
        <f t="shared" si="2"/>
        <v>3225002</v>
      </c>
      <c r="F50" s="442">
        <f t="shared" si="2"/>
        <v>16467019</v>
      </c>
      <c r="G50" s="442">
        <f t="shared" si="2"/>
        <v>9147895</v>
      </c>
      <c r="H50" s="442">
        <f t="shared" si="2"/>
        <v>922937</v>
      </c>
      <c r="I50" s="442">
        <f t="shared" si="2"/>
        <v>235465</v>
      </c>
      <c r="J50" s="442">
        <f t="shared" si="2"/>
        <v>5504391</v>
      </c>
    </row>
    <row r="51" spans="1:10" s="473" customFormat="1" ht="3.95" customHeight="1" x14ac:dyDescent="0.25">
      <c r="A51" s="429"/>
      <c r="B51" s="442"/>
      <c r="C51" s="442"/>
      <c r="D51" s="442"/>
      <c r="E51" s="442"/>
      <c r="F51" s="442"/>
      <c r="G51" s="442"/>
      <c r="H51" s="442"/>
      <c r="I51" s="442"/>
      <c r="J51" s="442"/>
    </row>
    <row r="52" spans="1:10" s="428" customFormat="1" ht="9" customHeight="1" x14ac:dyDescent="0.25">
      <c r="A52" s="428" t="s">
        <v>23</v>
      </c>
      <c r="B52" s="432">
        <f t="shared" ref="B52:B72" si="3">SUM(C52:J52)</f>
        <v>749696</v>
      </c>
      <c r="C52" s="432">
        <v>342131</v>
      </c>
      <c r="D52" s="432">
        <v>111473</v>
      </c>
      <c r="E52" s="432">
        <v>28967</v>
      </c>
      <c r="F52" s="432">
        <v>115551</v>
      </c>
      <c r="G52" s="432">
        <v>58091</v>
      </c>
      <c r="H52" s="432">
        <v>333</v>
      </c>
      <c r="I52" s="432">
        <v>632</v>
      </c>
      <c r="J52" s="432">
        <v>92518</v>
      </c>
    </row>
    <row r="53" spans="1:10" s="428" customFormat="1" ht="9" customHeight="1" x14ac:dyDescent="0.25">
      <c r="A53" s="428" t="s">
        <v>24</v>
      </c>
      <c r="B53" s="432">
        <f t="shared" si="3"/>
        <v>1801912</v>
      </c>
      <c r="C53" s="432">
        <v>735379</v>
      </c>
      <c r="D53" s="432">
        <v>250150</v>
      </c>
      <c r="E53" s="432">
        <v>68924</v>
      </c>
      <c r="F53" s="432">
        <v>330225</v>
      </c>
      <c r="G53" s="432">
        <v>136305</v>
      </c>
      <c r="H53" s="432">
        <v>12154</v>
      </c>
      <c r="I53" s="432">
        <v>1028</v>
      </c>
      <c r="J53" s="432">
        <v>267747</v>
      </c>
    </row>
    <row r="54" spans="1:10" s="428" customFormat="1" ht="9" customHeight="1" x14ac:dyDescent="0.25">
      <c r="A54" s="428" t="s">
        <v>25</v>
      </c>
      <c r="B54" s="432">
        <f t="shared" si="3"/>
        <v>311585</v>
      </c>
      <c r="C54" s="432">
        <v>126738</v>
      </c>
      <c r="D54" s="432">
        <v>47150</v>
      </c>
      <c r="E54" s="432">
        <v>11517</v>
      </c>
      <c r="F54" s="432">
        <v>70508</v>
      </c>
      <c r="G54" s="432">
        <v>24459</v>
      </c>
      <c r="H54" s="432">
        <v>3341</v>
      </c>
      <c r="I54" s="432">
        <v>349</v>
      </c>
      <c r="J54" s="432">
        <v>27523</v>
      </c>
    </row>
    <row r="55" spans="1:10" s="428" customFormat="1" ht="9" customHeight="1" x14ac:dyDescent="0.25">
      <c r="A55" s="475" t="s">
        <v>26</v>
      </c>
      <c r="B55" s="435">
        <f t="shared" si="3"/>
        <v>575507</v>
      </c>
      <c r="C55" s="435">
        <v>222946</v>
      </c>
      <c r="D55" s="435">
        <v>78980</v>
      </c>
      <c r="E55" s="435">
        <v>25008</v>
      </c>
      <c r="F55" s="435">
        <v>113785</v>
      </c>
      <c r="G55" s="435">
        <v>81692</v>
      </c>
      <c r="H55" s="435">
        <v>3379</v>
      </c>
      <c r="I55" s="435">
        <v>5503</v>
      </c>
      <c r="J55" s="435">
        <v>44214</v>
      </c>
    </row>
    <row r="56" spans="1:10" s="428" customFormat="1" ht="9" customHeight="1" x14ac:dyDescent="0.25">
      <c r="A56" s="428" t="s">
        <v>27</v>
      </c>
      <c r="B56" s="432">
        <f t="shared" si="3"/>
        <v>2084818</v>
      </c>
      <c r="C56" s="432">
        <v>754791</v>
      </c>
      <c r="D56" s="432">
        <v>252735</v>
      </c>
      <c r="E56" s="432">
        <v>71194</v>
      </c>
      <c r="F56" s="432">
        <v>456175</v>
      </c>
      <c r="G56" s="432">
        <v>250349</v>
      </c>
      <c r="H56" s="432">
        <v>123647</v>
      </c>
      <c r="I56" s="432">
        <v>4432</v>
      </c>
      <c r="J56" s="432">
        <v>171495</v>
      </c>
    </row>
    <row r="57" spans="1:10" s="428" customFormat="1" ht="9" customHeight="1" x14ac:dyDescent="0.25">
      <c r="A57" s="428" t="s">
        <v>28</v>
      </c>
      <c r="B57" s="432">
        <f t="shared" si="3"/>
        <v>494990</v>
      </c>
      <c r="C57" s="432">
        <v>165154</v>
      </c>
      <c r="D57" s="432">
        <v>55428</v>
      </c>
      <c r="E57" s="432">
        <v>14002</v>
      </c>
      <c r="F57" s="432">
        <v>147306</v>
      </c>
      <c r="G57" s="432">
        <v>50169</v>
      </c>
      <c r="H57" s="432">
        <v>3412</v>
      </c>
      <c r="I57" s="432">
        <v>739</v>
      </c>
      <c r="J57" s="432">
        <v>58780</v>
      </c>
    </row>
    <row r="58" spans="1:10" s="428" customFormat="1" ht="9" customHeight="1" x14ac:dyDescent="0.25">
      <c r="A58" s="428" t="s">
        <v>29</v>
      </c>
      <c r="B58" s="432">
        <f t="shared" si="3"/>
        <v>3564022</v>
      </c>
      <c r="C58" s="432">
        <v>1495870</v>
      </c>
      <c r="D58" s="432">
        <v>499545</v>
      </c>
      <c r="E58" s="432">
        <v>177291</v>
      </c>
      <c r="F58" s="432">
        <v>817179</v>
      </c>
      <c r="G58" s="432">
        <v>468295</v>
      </c>
      <c r="H58" s="432">
        <v>7359</v>
      </c>
      <c r="I58" s="432">
        <v>4135</v>
      </c>
      <c r="J58" s="432">
        <v>94348</v>
      </c>
    </row>
    <row r="59" spans="1:10" s="428" customFormat="1" ht="9" customHeight="1" x14ac:dyDescent="0.25">
      <c r="A59" s="475" t="s">
        <v>30</v>
      </c>
      <c r="B59" s="435">
        <f t="shared" si="3"/>
        <v>2585648</v>
      </c>
      <c r="C59" s="435">
        <v>964141</v>
      </c>
      <c r="D59" s="435">
        <v>315849</v>
      </c>
      <c r="E59" s="435">
        <v>102563</v>
      </c>
      <c r="F59" s="435">
        <v>554323</v>
      </c>
      <c r="G59" s="435">
        <v>243264</v>
      </c>
      <c r="H59" s="435">
        <v>90854</v>
      </c>
      <c r="I59" s="435">
        <v>2438</v>
      </c>
      <c r="J59" s="435">
        <v>312216</v>
      </c>
    </row>
    <row r="60" spans="1:10" s="428" customFormat="1" ht="9" customHeight="1" x14ac:dyDescent="0.25">
      <c r="A60" s="428" t="s">
        <v>63</v>
      </c>
      <c r="B60" s="432">
        <f t="shared" si="3"/>
        <v>6946438</v>
      </c>
      <c r="C60" s="432">
        <v>2597427</v>
      </c>
      <c r="D60" s="432">
        <v>891447</v>
      </c>
      <c r="E60" s="432">
        <v>290214</v>
      </c>
      <c r="F60" s="432">
        <v>1332338</v>
      </c>
      <c r="G60" s="432">
        <v>681501</v>
      </c>
      <c r="H60" s="432">
        <v>405597</v>
      </c>
      <c r="I60" s="432">
        <v>63496</v>
      </c>
      <c r="J60" s="432">
        <v>684418</v>
      </c>
    </row>
    <row r="61" spans="1:10" s="428" customFormat="1" ht="9" customHeight="1" x14ac:dyDescent="0.25">
      <c r="A61" s="428" t="s">
        <v>31</v>
      </c>
      <c r="B61" s="432">
        <f t="shared" si="3"/>
        <v>1264329</v>
      </c>
      <c r="C61" s="432">
        <v>498626</v>
      </c>
      <c r="D61" s="432">
        <v>189654</v>
      </c>
      <c r="E61" s="432">
        <v>52072</v>
      </c>
      <c r="F61" s="432">
        <v>284450</v>
      </c>
      <c r="G61" s="432">
        <v>115550</v>
      </c>
      <c r="H61" s="432">
        <v>6475</v>
      </c>
      <c r="I61" s="432">
        <v>4189</v>
      </c>
      <c r="J61" s="432">
        <v>113313</v>
      </c>
    </row>
    <row r="62" spans="1:10" s="428" customFormat="1" ht="9" customHeight="1" x14ac:dyDescent="0.25">
      <c r="A62" s="428" t="s">
        <v>32</v>
      </c>
      <c r="B62" s="432">
        <f t="shared" si="3"/>
        <v>3889840</v>
      </c>
      <c r="C62" s="432">
        <v>1610640</v>
      </c>
      <c r="D62" s="432">
        <v>575472</v>
      </c>
      <c r="E62" s="432">
        <v>170372</v>
      </c>
      <c r="F62" s="432">
        <v>771542</v>
      </c>
      <c r="G62" s="432">
        <v>500208</v>
      </c>
      <c r="H62" s="432">
        <v>36087</v>
      </c>
      <c r="I62" s="432">
        <v>7027</v>
      </c>
      <c r="J62" s="432">
        <v>218492</v>
      </c>
    </row>
    <row r="63" spans="1:10" s="428" customFormat="1" ht="9" customHeight="1" x14ac:dyDescent="0.25">
      <c r="A63" s="475" t="s">
        <v>33</v>
      </c>
      <c r="B63" s="435">
        <f t="shared" si="3"/>
        <v>2756350</v>
      </c>
      <c r="C63" s="435">
        <v>1230231</v>
      </c>
      <c r="D63" s="435">
        <v>411014</v>
      </c>
      <c r="E63" s="435">
        <v>124059</v>
      </c>
      <c r="F63" s="435">
        <v>537625</v>
      </c>
      <c r="G63" s="435">
        <v>325474</v>
      </c>
      <c r="H63" s="435">
        <v>14413</v>
      </c>
      <c r="I63" s="435">
        <v>11118</v>
      </c>
      <c r="J63" s="435">
        <v>102416</v>
      </c>
    </row>
    <row r="64" spans="1:10" s="428" customFormat="1" ht="9" customHeight="1" x14ac:dyDescent="0.25">
      <c r="A64" s="428" t="s">
        <v>34</v>
      </c>
      <c r="B64" s="432">
        <f t="shared" si="3"/>
        <v>1936795</v>
      </c>
      <c r="C64" s="432">
        <v>822935</v>
      </c>
      <c r="D64" s="432">
        <v>264538</v>
      </c>
      <c r="E64" s="432">
        <v>80005</v>
      </c>
      <c r="F64" s="432">
        <v>439759</v>
      </c>
      <c r="G64" s="432">
        <v>232564</v>
      </c>
      <c r="H64" s="432">
        <v>38096</v>
      </c>
      <c r="I64" s="432">
        <v>3859</v>
      </c>
      <c r="J64" s="432">
        <v>55039</v>
      </c>
    </row>
    <row r="65" spans="1:10" s="428" customFormat="1" ht="9" customHeight="1" x14ac:dyDescent="0.25">
      <c r="A65" s="428" t="s">
        <v>35</v>
      </c>
      <c r="B65" s="432">
        <f t="shared" si="3"/>
        <v>4642343</v>
      </c>
      <c r="C65" s="432">
        <v>1832071</v>
      </c>
      <c r="D65" s="432">
        <v>690936</v>
      </c>
      <c r="E65" s="432">
        <v>179333</v>
      </c>
      <c r="F65" s="432">
        <v>966306</v>
      </c>
      <c r="G65" s="432">
        <v>593935</v>
      </c>
      <c r="H65" s="432">
        <v>5332</v>
      </c>
      <c r="I65" s="432">
        <v>5291</v>
      </c>
      <c r="J65" s="432">
        <v>369139</v>
      </c>
    </row>
    <row r="66" spans="1:10" s="428" customFormat="1" ht="9" customHeight="1" x14ac:dyDescent="0.25">
      <c r="A66" s="428" t="s">
        <v>36</v>
      </c>
      <c r="B66" s="432">
        <f t="shared" si="3"/>
        <v>8725825</v>
      </c>
      <c r="C66" s="432">
        <v>3738571</v>
      </c>
      <c r="D66" s="432">
        <v>1427114</v>
      </c>
      <c r="E66" s="432">
        <v>401468</v>
      </c>
      <c r="F66" s="432">
        <v>1708990</v>
      </c>
      <c r="G66" s="432">
        <v>916441</v>
      </c>
      <c r="H66" s="432">
        <v>35041</v>
      </c>
      <c r="I66" s="432">
        <v>18253</v>
      </c>
      <c r="J66" s="432">
        <v>479947</v>
      </c>
    </row>
    <row r="67" spans="1:10" s="428" customFormat="1" ht="9" customHeight="1" x14ac:dyDescent="0.25">
      <c r="A67" s="475" t="s">
        <v>37</v>
      </c>
      <c r="B67" s="435">
        <f t="shared" si="3"/>
        <v>3239870</v>
      </c>
      <c r="C67" s="435">
        <v>1355426</v>
      </c>
      <c r="D67" s="435">
        <v>491187</v>
      </c>
      <c r="E67" s="435">
        <v>139217</v>
      </c>
      <c r="F67" s="435">
        <v>706192</v>
      </c>
      <c r="G67" s="435">
        <v>377956</v>
      </c>
      <c r="H67" s="435">
        <v>8610</v>
      </c>
      <c r="I67" s="435">
        <v>10045</v>
      </c>
      <c r="J67" s="435">
        <v>151237</v>
      </c>
    </row>
    <row r="68" spans="1:10" s="428" customFormat="1" ht="9" customHeight="1" x14ac:dyDescent="0.25">
      <c r="A68" s="428" t="s">
        <v>38</v>
      </c>
      <c r="B68" s="432">
        <f t="shared" si="3"/>
        <v>1158266</v>
      </c>
      <c r="C68" s="432">
        <v>462165</v>
      </c>
      <c r="D68" s="432">
        <v>163359</v>
      </c>
      <c r="E68" s="432">
        <v>45213</v>
      </c>
      <c r="F68" s="432">
        <v>251473</v>
      </c>
      <c r="G68" s="432">
        <v>105854</v>
      </c>
      <c r="H68" s="432">
        <v>9308</v>
      </c>
      <c r="I68" s="432">
        <v>1717</v>
      </c>
      <c r="J68" s="432">
        <v>119177</v>
      </c>
    </row>
    <row r="69" spans="1:10" s="428" customFormat="1" ht="9" customHeight="1" x14ac:dyDescent="0.25">
      <c r="A69" s="428" t="s">
        <v>39</v>
      </c>
      <c r="B69" s="432">
        <f t="shared" si="3"/>
        <v>734627</v>
      </c>
      <c r="C69" s="432">
        <v>323074</v>
      </c>
      <c r="D69" s="432">
        <v>111489</v>
      </c>
      <c r="E69" s="432">
        <v>25347</v>
      </c>
      <c r="F69" s="432">
        <v>153352</v>
      </c>
      <c r="G69" s="432">
        <v>53668</v>
      </c>
      <c r="H69" s="432">
        <v>1227</v>
      </c>
      <c r="I69" s="432">
        <v>436</v>
      </c>
      <c r="J69" s="432">
        <v>66034</v>
      </c>
    </row>
    <row r="70" spans="1:10" s="428" customFormat="1" ht="9" customHeight="1" x14ac:dyDescent="0.25">
      <c r="A70" s="428" t="s">
        <v>40</v>
      </c>
      <c r="B70" s="432">
        <f t="shared" si="3"/>
        <v>2806556</v>
      </c>
      <c r="C70" s="432">
        <v>1032254</v>
      </c>
      <c r="D70" s="432">
        <v>328425</v>
      </c>
      <c r="E70" s="432">
        <v>86147</v>
      </c>
      <c r="F70" s="432">
        <v>588044</v>
      </c>
      <c r="G70" s="432">
        <v>442988</v>
      </c>
      <c r="H70" s="432">
        <v>13315</v>
      </c>
      <c r="I70" s="432">
        <v>10493</v>
      </c>
      <c r="J70" s="432">
        <v>304890</v>
      </c>
    </row>
    <row r="71" spans="1:10" s="428" customFormat="1" ht="9" customHeight="1" x14ac:dyDescent="0.25">
      <c r="A71" s="475" t="s">
        <v>41</v>
      </c>
      <c r="B71" s="435">
        <f t="shared" si="3"/>
        <v>2987772</v>
      </c>
      <c r="C71" s="435">
        <v>1253287</v>
      </c>
      <c r="D71" s="435">
        <v>437519</v>
      </c>
      <c r="E71" s="435">
        <v>140642</v>
      </c>
      <c r="F71" s="435">
        <v>634572</v>
      </c>
      <c r="G71" s="435">
        <v>403488</v>
      </c>
      <c r="H71" s="435">
        <v>19123</v>
      </c>
      <c r="I71" s="435">
        <v>4286</v>
      </c>
      <c r="J71" s="435">
        <v>94855</v>
      </c>
    </row>
    <row r="72" spans="1:10" s="428" customFormat="1" ht="9" customHeight="1" x14ac:dyDescent="0.25">
      <c r="A72" s="428" t="s">
        <v>42</v>
      </c>
      <c r="B72" s="432">
        <f t="shared" si="3"/>
        <v>4265887</v>
      </c>
      <c r="C72" s="432">
        <v>1825121</v>
      </c>
      <c r="D72" s="432">
        <v>616685</v>
      </c>
      <c r="E72" s="432">
        <v>180843</v>
      </c>
      <c r="F72" s="432">
        <v>760384</v>
      </c>
      <c r="G72" s="432">
        <v>646654</v>
      </c>
      <c r="H72" s="432">
        <v>15928</v>
      </c>
      <c r="I72" s="432">
        <v>26071</v>
      </c>
      <c r="J72" s="432">
        <v>194201</v>
      </c>
    </row>
    <row r="73" spans="1:10" s="428" customFormat="1" ht="9" customHeight="1" x14ac:dyDescent="0.25">
      <c r="A73" s="428" t="s">
        <v>43</v>
      </c>
      <c r="B73" s="432">
        <f>SUM(C73:J73)+378</f>
        <v>1218739</v>
      </c>
      <c r="C73" s="432">
        <v>467529</v>
      </c>
      <c r="D73" s="432">
        <v>182166</v>
      </c>
      <c r="E73" s="432">
        <v>42431</v>
      </c>
      <c r="F73" s="432">
        <v>221986</v>
      </c>
      <c r="G73" s="432">
        <v>206052</v>
      </c>
      <c r="H73" s="432">
        <v>1481</v>
      </c>
      <c r="I73" s="432">
        <v>3179</v>
      </c>
      <c r="J73" s="432">
        <v>93537</v>
      </c>
    </row>
    <row r="74" spans="1:10" s="428" customFormat="1" ht="9" customHeight="1" x14ac:dyDescent="0.25">
      <c r="A74" s="428" t="s">
        <v>44</v>
      </c>
      <c r="B74" s="432">
        <f>SUM(C74:J74)</f>
        <v>614591</v>
      </c>
      <c r="C74" s="432">
        <v>255721</v>
      </c>
      <c r="D74" s="432">
        <v>88763</v>
      </c>
      <c r="E74" s="432">
        <v>23108</v>
      </c>
      <c r="F74" s="432">
        <v>126728</v>
      </c>
      <c r="G74" s="432">
        <v>81986</v>
      </c>
      <c r="H74" s="432">
        <v>190</v>
      </c>
      <c r="I74" s="432">
        <v>864</v>
      </c>
      <c r="J74" s="432">
        <v>37231</v>
      </c>
    </row>
    <row r="75" spans="1:10" s="428" customFormat="1" ht="9" customHeight="1" x14ac:dyDescent="0.25">
      <c r="A75" s="475" t="s">
        <v>45</v>
      </c>
      <c r="B75" s="435">
        <f>SUM(C75:J75)</f>
        <v>1927636</v>
      </c>
      <c r="C75" s="435">
        <v>793033</v>
      </c>
      <c r="D75" s="435">
        <v>271654</v>
      </c>
      <c r="E75" s="435">
        <v>96632</v>
      </c>
      <c r="F75" s="435">
        <v>361454</v>
      </c>
      <c r="G75" s="435">
        <v>259172</v>
      </c>
      <c r="H75" s="435">
        <v>7031</v>
      </c>
      <c r="I75" s="435">
        <v>11663</v>
      </c>
      <c r="J75" s="435">
        <v>126997</v>
      </c>
    </row>
    <row r="76" spans="1:10" s="428" customFormat="1" ht="9" customHeight="1" x14ac:dyDescent="0.25">
      <c r="A76" s="428" t="s">
        <v>46</v>
      </c>
      <c r="B76" s="432">
        <f>SUM(C76:J76)+6384</f>
        <v>2470934</v>
      </c>
      <c r="C76" s="432">
        <v>823153</v>
      </c>
      <c r="D76" s="432">
        <v>299380</v>
      </c>
      <c r="E76" s="432">
        <v>75581</v>
      </c>
      <c r="F76" s="432">
        <v>663740</v>
      </c>
      <c r="G76" s="432">
        <v>359921</v>
      </c>
      <c r="H76" s="432">
        <v>2269</v>
      </c>
      <c r="I76" s="432">
        <v>4969</v>
      </c>
      <c r="J76" s="432">
        <v>235537</v>
      </c>
    </row>
    <row r="77" spans="1:10" s="428" customFormat="1" ht="9" customHeight="1" x14ac:dyDescent="0.25">
      <c r="A77" s="428" t="s">
        <v>47</v>
      </c>
      <c r="B77" s="432">
        <f>SUM(C77:J77)</f>
        <v>1778300</v>
      </c>
      <c r="C77" s="432">
        <v>704738</v>
      </c>
      <c r="D77" s="432">
        <v>246327</v>
      </c>
      <c r="E77" s="432">
        <v>65289</v>
      </c>
      <c r="F77" s="432">
        <v>341678</v>
      </c>
      <c r="G77" s="432">
        <v>243852</v>
      </c>
      <c r="H77" s="432">
        <v>6074</v>
      </c>
      <c r="I77" s="432">
        <v>1668</v>
      </c>
      <c r="J77" s="432">
        <v>168674</v>
      </c>
    </row>
    <row r="78" spans="1:10" s="428" customFormat="1" ht="9" customHeight="1" x14ac:dyDescent="0.25">
      <c r="A78" s="428" t="s">
        <v>48</v>
      </c>
      <c r="B78" s="432">
        <f>SUM(C78:J78)+2879</f>
        <v>1630044</v>
      </c>
      <c r="C78" s="432">
        <v>740360</v>
      </c>
      <c r="D78" s="432">
        <v>264662</v>
      </c>
      <c r="E78" s="432">
        <v>68207</v>
      </c>
      <c r="F78" s="432">
        <v>347290</v>
      </c>
      <c r="G78" s="432">
        <v>147274</v>
      </c>
      <c r="H78" s="432">
        <v>2877</v>
      </c>
      <c r="I78" s="432">
        <v>1693</v>
      </c>
      <c r="J78" s="432">
        <v>54802</v>
      </c>
    </row>
    <row r="79" spans="1:10" s="428" customFormat="1" ht="9" customHeight="1" x14ac:dyDescent="0.25">
      <c r="A79" s="475" t="s">
        <v>49</v>
      </c>
      <c r="B79" s="435">
        <f>SUM(C79:J79)</f>
        <v>2112092</v>
      </c>
      <c r="C79" s="435">
        <v>786548</v>
      </c>
      <c r="D79" s="435">
        <v>304147</v>
      </c>
      <c r="E79" s="435">
        <v>83597</v>
      </c>
      <c r="F79" s="435">
        <v>516533</v>
      </c>
      <c r="G79" s="435">
        <v>197918</v>
      </c>
      <c r="H79" s="435">
        <v>3652</v>
      </c>
      <c r="I79" s="435">
        <v>5014</v>
      </c>
      <c r="J79" s="435">
        <v>214683</v>
      </c>
    </row>
    <row r="80" spans="1:10" s="428" customFormat="1" ht="9" customHeight="1" x14ac:dyDescent="0.25">
      <c r="A80" s="428" t="s">
        <v>50</v>
      </c>
      <c r="B80" s="432">
        <f>SUM(C80:J80)</f>
        <v>791681</v>
      </c>
      <c r="C80" s="432">
        <v>326678</v>
      </c>
      <c r="D80" s="432">
        <v>121995</v>
      </c>
      <c r="E80" s="432">
        <v>28563</v>
      </c>
      <c r="F80" s="432">
        <v>177558</v>
      </c>
      <c r="G80" s="432">
        <v>93177</v>
      </c>
      <c r="H80" s="432">
        <v>14018</v>
      </c>
      <c r="I80" s="432">
        <v>1107</v>
      </c>
      <c r="J80" s="432">
        <v>28585</v>
      </c>
    </row>
    <row r="81" spans="1:10" s="428" customFormat="1" ht="9" customHeight="1" x14ac:dyDescent="0.25">
      <c r="A81" s="428" t="s">
        <v>51</v>
      </c>
      <c r="B81" s="432">
        <f>SUM(C81:J81)</f>
        <v>5551844</v>
      </c>
      <c r="C81" s="432">
        <v>2231374</v>
      </c>
      <c r="D81" s="432">
        <v>718813</v>
      </c>
      <c r="E81" s="432">
        <v>226199</v>
      </c>
      <c r="F81" s="432">
        <v>1376174</v>
      </c>
      <c r="G81" s="432">
        <v>592319</v>
      </c>
      <c r="H81" s="432">
        <v>25042</v>
      </c>
      <c r="I81" s="432">
        <v>2802</v>
      </c>
      <c r="J81" s="432">
        <v>379121</v>
      </c>
    </row>
    <row r="82" spans="1:10" s="428" customFormat="1" ht="9" customHeight="1" x14ac:dyDescent="0.25">
      <c r="A82" s="428" t="s">
        <v>52</v>
      </c>
      <c r="B82" s="432">
        <f>SUM(C82:J82)+3612</f>
        <v>1362999</v>
      </c>
      <c r="C82" s="432">
        <v>550834</v>
      </c>
      <c r="D82" s="432">
        <v>187992</v>
      </c>
      <c r="E82" s="432">
        <v>46236</v>
      </c>
      <c r="F82" s="432">
        <v>325617</v>
      </c>
      <c r="G82" s="432">
        <v>165000</v>
      </c>
      <c r="H82" s="432">
        <v>5592</v>
      </c>
      <c r="I82" s="432">
        <v>4521</v>
      </c>
      <c r="J82" s="432">
        <v>73595</v>
      </c>
    </row>
    <row r="83" spans="1:10" s="428" customFormat="1" ht="9" customHeight="1" x14ac:dyDescent="0.25">
      <c r="A83" s="475" t="s">
        <v>53</v>
      </c>
      <c r="B83" s="435">
        <f>SUM(C83:J83)</f>
        <v>1160890</v>
      </c>
      <c r="C83" s="435">
        <v>489949</v>
      </c>
      <c r="D83" s="435">
        <v>171921</v>
      </c>
      <c r="E83" s="435">
        <v>54761</v>
      </c>
      <c r="F83" s="435">
        <v>268182</v>
      </c>
      <c r="G83" s="435">
        <v>92319</v>
      </c>
      <c r="H83" s="435">
        <v>1680</v>
      </c>
      <c r="I83" s="435">
        <v>12448</v>
      </c>
      <c r="J83" s="435">
        <v>69630</v>
      </c>
    </row>
    <row r="84" spans="1:10" s="428" customFormat="1" ht="9" customHeight="1" x14ac:dyDescent="0.25">
      <c r="B84" s="432"/>
      <c r="C84" s="432"/>
      <c r="D84" s="432"/>
      <c r="E84" s="432"/>
      <c r="F84" s="432"/>
      <c r="G84" s="432"/>
      <c r="H84" s="432"/>
      <c r="I84" s="432"/>
      <c r="J84" s="432"/>
    </row>
    <row r="85" spans="1:10" s="428" customFormat="1" ht="9" customHeight="1" x14ac:dyDescent="0.25">
      <c r="A85" s="470">
        <v>1997</v>
      </c>
      <c r="B85" s="427"/>
      <c r="C85" s="427"/>
      <c r="D85" s="427"/>
      <c r="E85" s="427"/>
      <c r="F85" s="427"/>
      <c r="G85" s="427"/>
      <c r="H85" s="427"/>
      <c r="I85" s="427"/>
      <c r="J85" s="427"/>
    </row>
    <row r="86" spans="1:10" s="428" customFormat="1" ht="9" customHeight="1" x14ac:dyDescent="0.25">
      <c r="A86" s="478" t="s">
        <v>263</v>
      </c>
      <c r="B86" s="442">
        <f>SUM(B88:B119)+263277</f>
        <v>74908030</v>
      </c>
      <c r="C86" s="442">
        <f>SUM(C88:C119)+191028</f>
        <v>31681776</v>
      </c>
      <c r="D86" s="442">
        <f>SUM(D88:D119)+27531</f>
        <v>8317760</v>
      </c>
      <c r="E86" s="442">
        <f>SUM(E88:E119)+7575</f>
        <v>3494944</v>
      </c>
      <c r="F86" s="442">
        <f>SUM(F88:F119)+20280</f>
        <v>16673989</v>
      </c>
      <c r="G86" s="442">
        <f>SUM(G88:G119)+16830</f>
        <v>5079878</v>
      </c>
      <c r="H86" s="442">
        <f>SUM(H88:H119)</f>
        <v>237754</v>
      </c>
      <c r="I86" s="442">
        <f>SUM(I88:I119)</f>
        <v>304034</v>
      </c>
      <c r="J86" s="442">
        <f>SUM(J88:J119)+33</f>
        <v>9117895</v>
      </c>
    </row>
    <row r="87" spans="1:10" s="428" customFormat="1" ht="3.95" customHeight="1" x14ac:dyDescent="0.25">
      <c r="A87" s="429"/>
      <c r="B87" s="442"/>
      <c r="C87" s="442"/>
      <c r="D87" s="442"/>
      <c r="E87" s="442"/>
      <c r="F87" s="442"/>
      <c r="G87" s="442"/>
      <c r="H87" s="442"/>
      <c r="I87" s="430"/>
      <c r="J87" s="430"/>
    </row>
    <row r="88" spans="1:10" s="428" customFormat="1" ht="9" customHeight="1" x14ac:dyDescent="0.25">
      <c r="A88" s="428" t="s">
        <v>23</v>
      </c>
      <c r="B88" s="432">
        <f t="shared" ref="B88:B119" si="4">SUM(C88:J88)</f>
        <v>677123</v>
      </c>
      <c r="C88" s="432">
        <v>315671</v>
      </c>
      <c r="D88" s="432">
        <v>67670</v>
      </c>
      <c r="E88" s="432">
        <v>30889</v>
      </c>
      <c r="F88" s="432">
        <v>128964</v>
      </c>
      <c r="G88" s="432">
        <v>27294</v>
      </c>
      <c r="H88" s="432">
        <v>958</v>
      </c>
      <c r="I88" s="432">
        <v>586</v>
      </c>
      <c r="J88" s="432">
        <v>105091</v>
      </c>
    </row>
    <row r="89" spans="1:10" s="428" customFormat="1" ht="9" customHeight="1" x14ac:dyDescent="0.25">
      <c r="A89" s="428" t="s">
        <v>24</v>
      </c>
      <c r="B89" s="432">
        <f t="shared" si="4"/>
        <v>1827485</v>
      </c>
      <c r="C89" s="432">
        <v>776795</v>
      </c>
      <c r="D89" s="432">
        <v>181396</v>
      </c>
      <c r="E89" s="432">
        <v>77150</v>
      </c>
      <c r="F89" s="432">
        <v>358452</v>
      </c>
      <c r="G89" s="432">
        <v>95258</v>
      </c>
      <c r="H89" s="432">
        <v>712</v>
      </c>
      <c r="I89" s="432">
        <v>2688</v>
      </c>
      <c r="J89" s="432">
        <v>335034</v>
      </c>
    </row>
    <row r="90" spans="1:10" s="428" customFormat="1" ht="9" customHeight="1" x14ac:dyDescent="0.25">
      <c r="A90" s="428" t="s">
        <v>25</v>
      </c>
      <c r="B90" s="432">
        <f t="shared" si="4"/>
        <v>323674</v>
      </c>
      <c r="C90" s="432">
        <v>139506</v>
      </c>
      <c r="D90" s="432">
        <v>25496</v>
      </c>
      <c r="E90" s="432">
        <v>13767</v>
      </c>
      <c r="F90" s="432">
        <v>67378</v>
      </c>
      <c r="G90" s="432">
        <v>14469</v>
      </c>
      <c r="H90" s="432">
        <v>337</v>
      </c>
      <c r="I90" s="432">
        <v>760</v>
      </c>
      <c r="J90" s="432">
        <v>61961</v>
      </c>
    </row>
    <row r="91" spans="1:10" s="428" customFormat="1" ht="9" customHeight="1" x14ac:dyDescent="0.25">
      <c r="A91" s="475" t="s">
        <v>26</v>
      </c>
      <c r="B91" s="435">
        <f t="shared" si="4"/>
        <v>576280</v>
      </c>
      <c r="C91" s="435">
        <v>249076</v>
      </c>
      <c r="D91" s="435">
        <v>59516</v>
      </c>
      <c r="E91" s="435">
        <v>31448</v>
      </c>
      <c r="F91" s="435">
        <v>129242</v>
      </c>
      <c r="G91" s="435">
        <v>34183</v>
      </c>
      <c r="H91" s="435">
        <v>691</v>
      </c>
      <c r="I91" s="435">
        <v>3654</v>
      </c>
      <c r="J91" s="435">
        <v>68470</v>
      </c>
    </row>
    <row r="92" spans="1:10" s="428" customFormat="1" ht="9" customHeight="1" x14ac:dyDescent="0.25">
      <c r="A92" s="428" t="s">
        <v>27</v>
      </c>
      <c r="B92" s="432">
        <f t="shared" si="4"/>
        <v>1907454</v>
      </c>
      <c r="C92" s="432">
        <v>800679</v>
      </c>
      <c r="D92" s="432">
        <v>112184</v>
      </c>
      <c r="E92" s="432">
        <v>84991</v>
      </c>
      <c r="F92" s="432">
        <v>464059</v>
      </c>
      <c r="G92" s="432">
        <v>102454</v>
      </c>
      <c r="H92" s="432">
        <v>5520</v>
      </c>
      <c r="I92" s="432">
        <v>11712</v>
      </c>
      <c r="J92" s="432">
        <v>325855</v>
      </c>
    </row>
    <row r="93" spans="1:10" s="428" customFormat="1" ht="9" customHeight="1" x14ac:dyDescent="0.25">
      <c r="A93" s="428" t="s">
        <v>28</v>
      </c>
      <c r="B93" s="432">
        <f t="shared" si="4"/>
        <v>461333</v>
      </c>
      <c r="C93" s="432">
        <v>166391</v>
      </c>
      <c r="D93" s="432">
        <v>40747</v>
      </c>
      <c r="E93" s="432">
        <v>16322</v>
      </c>
      <c r="F93" s="432">
        <v>132753</v>
      </c>
      <c r="G93" s="432">
        <v>21672</v>
      </c>
      <c r="H93" s="432">
        <v>580</v>
      </c>
      <c r="I93" s="432">
        <v>1962</v>
      </c>
      <c r="J93" s="432">
        <v>80906</v>
      </c>
    </row>
    <row r="94" spans="1:10" s="428" customFormat="1" ht="9" customHeight="1" x14ac:dyDescent="0.25">
      <c r="A94" s="428" t="s">
        <v>29</v>
      </c>
      <c r="B94" s="432">
        <f t="shared" si="4"/>
        <v>3553883</v>
      </c>
      <c r="C94" s="432">
        <v>1400822</v>
      </c>
      <c r="D94" s="432">
        <v>497471</v>
      </c>
      <c r="E94" s="432">
        <v>199110</v>
      </c>
      <c r="F94" s="432">
        <v>854091</v>
      </c>
      <c r="G94" s="432">
        <v>342386</v>
      </c>
      <c r="H94" s="432">
        <v>5045</v>
      </c>
      <c r="I94" s="432">
        <v>4032</v>
      </c>
      <c r="J94" s="432">
        <v>250926</v>
      </c>
    </row>
    <row r="95" spans="1:10" s="428" customFormat="1" ht="9" customHeight="1" x14ac:dyDescent="0.25">
      <c r="A95" s="475" t="s">
        <v>30</v>
      </c>
      <c r="B95" s="435">
        <f t="shared" si="4"/>
        <v>2466638</v>
      </c>
      <c r="C95" s="435">
        <v>1027501</v>
      </c>
      <c r="D95" s="435">
        <v>203238</v>
      </c>
      <c r="E95" s="435">
        <v>106932</v>
      </c>
      <c r="F95" s="435">
        <v>547160</v>
      </c>
      <c r="G95" s="435">
        <v>146735</v>
      </c>
      <c r="H95" s="435">
        <v>2266</v>
      </c>
      <c r="I95" s="435">
        <v>4165</v>
      </c>
      <c r="J95" s="435">
        <v>428641</v>
      </c>
    </row>
    <row r="96" spans="1:10" s="428" customFormat="1" ht="9" customHeight="1" x14ac:dyDescent="0.25">
      <c r="A96" s="428" t="s">
        <v>63</v>
      </c>
      <c r="B96" s="432">
        <f t="shared" si="4"/>
        <v>6782731</v>
      </c>
      <c r="C96" s="432">
        <v>2941640</v>
      </c>
      <c r="D96" s="432">
        <v>687287</v>
      </c>
      <c r="E96" s="432">
        <v>348016</v>
      </c>
      <c r="F96" s="432">
        <v>1247137</v>
      </c>
      <c r="G96" s="432">
        <v>429850</v>
      </c>
      <c r="H96" s="432">
        <v>57055</v>
      </c>
      <c r="I96" s="432">
        <v>74699</v>
      </c>
      <c r="J96" s="432">
        <v>997047</v>
      </c>
    </row>
    <row r="97" spans="1:10" s="428" customFormat="1" ht="9" customHeight="1" x14ac:dyDescent="0.25">
      <c r="A97" s="428" t="s">
        <v>31</v>
      </c>
      <c r="B97" s="432">
        <f t="shared" si="4"/>
        <v>1204138</v>
      </c>
      <c r="C97" s="432">
        <v>497992</v>
      </c>
      <c r="D97" s="432">
        <v>126164</v>
      </c>
      <c r="E97" s="432">
        <v>65102</v>
      </c>
      <c r="F97" s="432">
        <v>284181</v>
      </c>
      <c r="G97" s="432">
        <v>76519</v>
      </c>
      <c r="H97" s="432">
        <v>6582</v>
      </c>
      <c r="I97" s="432">
        <v>1806</v>
      </c>
      <c r="J97" s="432">
        <v>145792</v>
      </c>
    </row>
    <row r="98" spans="1:10" s="428" customFormat="1" ht="9" customHeight="1" x14ac:dyDescent="0.25">
      <c r="A98" s="428" t="s">
        <v>32</v>
      </c>
      <c r="B98" s="432">
        <f t="shared" si="4"/>
        <v>3543871</v>
      </c>
      <c r="C98" s="432">
        <v>1540690</v>
      </c>
      <c r="D98" s="432">
        <v>429347</v>
      </c>
      <c r="E98" s="432">
        <v>146805</v>
      </c>
      <c r="F98" s="432">
        <v>794996</v>
      </c>
      <c r="G98" s="432">
        <v>239945</v>
      </c>
      <c r="H98" s="432">
        <v>5514</v>
      </c>
      <c r="I98" s="432">
        <v>19365</v>
      </c>
      <c r="J98" s="432">
        <v>367209</v>
      </c>
    </row>
    <row r="99" spans="1:10" s="428" customFormat="1" ht="9" customHeight="1" x14ac:dyDescent="0.25">
      <c r="A99" s="475" t="s">
        <v>33</v>
      </c>
      <c r="B99" s="435">
        <f t="shared" si="4"/>
        <v>2763547</v>
      </c>
      <c r="C99" s="435">
        <v>1210520</v>
      </c>
      <c r="D99" s="435">
        <v>352112</v>
      </c>
      <c r="E99" s="435">
        <v>119039</v>
      </c>
      <c r="F99" s="435">
        <v>626717</v>
      </c>
      <c r="G99" s="435">
        <v>237051</v>
      </c>
      <c r="H99" s="435">
        <v>1515</v>
      </c>
      <c r="I99" s="435">
        <v>22175</v>
      </c>
      <c r="J99" s="435">
        <v>194418</v>
      </c>
    </row>
    <row r="100" spans="1:10" s="428" customFormat="1" ht="9" customHeight="1" x14ac:dyDescent="0.25">
      <c r="A100" s="428" t="s">
        <v>34</v>
      </c>
      <c r="B100" s="432">
        <f t="shared" si="4"/>
        <v>1836276</v>
      </c>
      <c r="C100" s="432">
        <v>770167</v>
      </c>
      <c r="D100" s="432">
        <v>192799</v>
      </c>
      <c r="E100" s="432">
        <v>81226</v>
      </c>
      <c r="F100" s="432">
        <v>447531</v>
      </c>
      <c r="G100" s="432">
        <v>101616</v>
      </c>
      <c r="H100" s="432">
        <v>8324</v>
      </c>
      <c r="I100" s="432">
        <v>2641</v>
      </c>
      <c r="J100" s="432">
        <v>231972</v>
      </c>
    </row>
    <row r="101" spans="1:10" s="428" customFormat="1" ht="9" customHeight="1" x14ac:dyDescent="0.25">
      <c r="A101" s="428" t="s">
        <v>35</v>
      </c>
      <c r="B101" s="432">
        <f t="shared" si="4"/>
        <v>4459520</v>
      </c>
      <c r="C101" s="432">
        <v>1873437</v>
      </c>
      <c r="D101" s="432">
        <v>511437</v>
      </c>
      <c r="E101" s="432">
        <v>198178</v>
      </c>
      <c r="F101" s="432">
        <v>986067</v>
      </c>
      <c r="G101" s="432">
        <v>268513</v>
      </c>
      <c r="H101" s="432">
        <v>9608</v>
      </c>
      <c r="I101" s="432">
        <v>9243</v>
      </c>
      <c r="J101" s="432">
        <v>603037</v>
      </c>
    </row>
    <row r="102" spans="1:10" s="428" customFormat="1" ht="9" customHeight="1" x14ac:dyDescent="0.25">
      <c r="A102" s="428" t="s">
        <v>36</v>
      </c>
      <c r="B102" s="432">
        <f t="shared" si="4"/>
        <v>8122903</v>
      </c>
      <c r="C102" s="432">
        <v>3591828</v>
      </c>
      <c r="D102" s="432">
        <v>1009271</v>
      </c>
      <c r="E102" s="432">
        <v>416174</v>
      </c>
      <c r="F102" s="432">
        <v>1625838</v>
      </c>
      <c r="G102" s="432">
        <v>595433</v>
      </c>
      <c r="H102" s="432">
        <v>45494</v>
      </c>
      <c r="I102" s="432">
        <v>9098</v>
      </c>
      <c r="J102" s="432">
        <v>829767</v>
      </c>
    </row>
    <row r="103" spans="1:10" s="428" customFormat="1" ht="9" customHeight="1" x14ac:dyDescent="0.25">
      <c r="A103" s="475" t="s">
        <v>37</v>
      </c>
      <c r="B103" s="435">
        <f t="shared" si="4"/>
        <v>3164054</v>
      </c>
      <c r="C103" s="435">
        <v>1330273</v>
      </c>
      <c r="D103" s="435">
        <v>411670</v>
      </c>
      <c r="E103" s="435">
        <v>141269</v>
      </c>
      <c r="F103" s="435">
        <v>677278</v>
      </c>
      <c r="G103" s="435">
        <v>247618</v>
      </c>
      <c r="H103" s="435">
        <v>4467</v>
      </c>
      <c r="I103" s="435">
        <v>12736</v>
      </c>
      <c r="J103" s="435">
        <v>338743</v>
      </c>
    </row>
    <row r="104" spans="1:10" s="428" customFormat="1" ht="9" customHeight="1" x14ac:dyDescent="0.25">
      <c r="A104" s="428" t="s">
        <v>38</v>
      </c>
      <c r="B104" s="432">
        <f t="shared" si="4"/>
        <v>1094422</v>
      </c>
      <c r="C104" s="432">
        <v>481508</v>
      </c>
      <c r="D104" s="432">
        <v>129872</v>
      </c>
      <c r="E104" s="432">
        <v>48347</v>
      </c>
      <c r="F104" s="432">
        <v>226127</v>
      </c>
      <c r="G104" s="432">
        <v>72634</v>
      </c>
      <c r="H104" s="432">
        <v>3525</v>
      </c>
      <c r="I104" s="432">
        <v>3227</v>
      </c>
      <c r="J104" s="432">
        <v>129182</v>
      </c>
    </row>
    <row r="105" spans="1:10" s="428" customFormat="1" ht="9" customHeight="1" x14ac:dyDescent="0.25">
      <c r="A105" s="428" t="s">
        <v>39</v>
      </c>
      <c r="B105" s="432">
        <f t="shared" si="4"/>
        <v>820046</v>
      </c>
      <c r="C105" s="432">
        <v>341199</v>
      </c>
      <c r="D105" s="432">
        <v>104373</v>
      </c>
      <c r="E105" s="432">
        <v>27174</v>
      </c>
      <c r="F105" s="432">
        <v>175346</v>
      </c>
      <c r="G105" s="432">
        <v>54210</v>
      </c>
      <c r="H105" s="432">
        <v>1300</v>
      </c>
      <c r="I105" s="432">
        <v>336</v>
      </c>
      <c r="J105" s="432">
        <v>116108</v>
      </c>
    </row>
    <row r="106" spans="1:10" s="428" customFormat="1" ht="9" customHeight="1" x14ac:dyDescent="0.25">
      <c r="A106" s="428" t="s">
        <v>40</v>
      </c>
      <c r="B106" s="432">
        <f t="shared" si="4"/>
        <v>2631663</v>
      </c>
      <c r="C106" s="432">
        <v>1050379</v>
      </c>
      <c r="D106" s="432">
        <v>204286</v>
      </c>
      <c r="E106" s="432">
        <v>109343</v>
      </c>
      <c r="F106" s="432">
        <v>612888</v>
      </c>
      <c r="G106" s="432">
        <v>163381</v>
      </c>
      <c r="H106" s="432">
        <v>4823</v>
      </c>
      <c r="I106" s="432">
        <v>13129</v>
      </c>
      <c r="J106" s="432">
        <v>473434</v>
      </c>
    </row>
    <row r="107" spans="1:10" s="428" customFormat="1" ht="9" customHeight="1" x14ac:dyDescent="0.25">
      <c r="A107" s="475" t="s">
        <v>41</v>
      </c>
      <c r="B107" s="435">
        <f t="shared" si="4"/>
        <v>2813787</v>
      </c>
      <c r="C107" s="435">
        <v>1182608</v>
      </c>
      <c r="D107" s="435">
        <v>363693</v>
      </c>
      <c r="E107" s="435">
        <v>169499</v>
      </c>
      <c r="F107" s="435">
        <v>596296</v>
      </c>
      <c r="G107" s="435">
        <v>219548</v>
      </c>
      <c r="H107" s="435">
        <v>2760</v>
      </c>
      <c r="I107" s="435">
        <v>19100</v>
      </c>
      <c r="J107" s="435">
        <v>260283</v>
      </c>
    </row>
    <row r="108" spans="1:10" s="428" customFormat="1" ht="9" customHeight="1" x14ac:dyDescent="0.25">
      <c r="A108" s="428" t="s">
        <v>42</v>
      </c>
      <c r="B108" s="432">
        <f t="shared" si="4"/>
        <v>4201885</v>
      </c>
      <c r="C108" s="432">
        <v>1757088</v>
      </c>
      <c r="D108" s="432">
        <v>464238</v>
      </c>
      <c r="E108" s="432">
        <v>170674</v>
      </c>
      <c r="F108" s="432">
        <v>1050670</v>
      </c>
      <c r="G108" s="432">
        <v>344212</v>
      </c>
      <c r="H108" s="432">
        <v>20902</v>
      </c>
      <c r="I108" s="432">
        <v>19838</v>
      </c>
      <c r="J108" s="432">
        <v>374263</v>
      </c>
    </row>
    <row r="109" spans="1:10" s="428" customFormat="1" ht="9" customHeight="1" x14ac:dyDescent="0.25">
      <c r="A109" s="428" t="s">
        <v>43</v>
      </c>
      <c r="B109" s="432">
        <f t="shared" si="4"/>
        <v>1103998</v>
      </c>
      <c r="C109" s="432">
        <v>466082</v>
      </c>
      <c r="D109" s="432">
        <v>132040</v>
      </c>
      <c r="E109" s="432">
        <v>45251</v>
      </c>
      <c r="F109" s="432">
        <v>227017</v>
      </c>
      <c r="G109" s="432">
        <v>62574</v>
      </c>
      <c r="H109" s="432">
        <v>3135</v>
      </c>
      <c r="I109" s="432">
        <v>3664</v>
      </c>
      <c r="J109" s="432">
        <v>164235</v>
      </c>
    </row>
    <row r="110" spans="1:10" s="428" customFormat="1" ht="9" customHeight="1" x14ac:dyDescent="0.25">
      <c r="A110" s="428" t="s">
        <v>44</v>
      </c>
      <c r="B110" s="432">
        <f t="shared" si="4"/>
        <v>606199</v>
      </c>
      <c r="C110" s="432">
        <v>264667</v>
      </c>
      <c r="D110" s="432">
        <v>50436</v>
      </c>
      <c r="E110" s="432">
        <v>26451</v>
      </c>
      <c r="F110" s="432">
        <v>122006</v>
      </c>
      <c r="G110" s="432">
        <v>43053</v>
      </c>
      <c r="H110" s="432">
        <v>911</v>
      </c>
      <c r="I110" s="432">
        <v>609</v>
      </c>
      <c r="J110" s="432">
        <v>98066</v>
      </c>
    </row>
    <row r="111" spans="1:10" s="428" customFormat="1" ht="9" customHeight="1" x14ac:dyDescent="0.25">
      <c r="A111" s="475" t="s">
        <v>45</v>
      </c>
      <c r="B111" s="435">
        <f t="shared" si="4"/>
        <v>1736781</v>
      </c>
      <c r="C111" s="435">
        <v>781916</v>
      </c>
      <c r="D111" s="435">
        <v>191153</v>
      </c>
      <c r="E111" s="435">
        <v>91999</v>
      </c>
      <c r="F111" s="435">
        <v>339273</v>
      </c>
      <c r="G111" s="435">
        <v>107798</v>
      </c>
      <c r="H111" s="435">
        <v>5792</v>
      </c>
      <c r="I111" s="435">
        <v>9955</v>
      </c>
      <c r="J111" s="435">
        <v>208895</v>
      </c>
    </row>
    <row r="112" spans="1:10" s="428" customFormat="1" ht="9" customHeight="1" x14ac:dyDescent="0.25">
      <c r="A112" s="428" t="s">
        <v>46</v>
      </c>
      <c r="B112" s="432">
        <f t="shared" si="4"/>
        <v>2122700</v>
      </c>
      <c r="C112" s="432">
        <v>824004</v>
      </c>
      <c r="D112" s="432">
        <v>184575</v>
      </c>
      <c r="E112" s="432">
        <v>91993</v>
      </c>
      <c r="F112" s="432">
        <v>629290</v>
      </c>
      <c r="G112" s="432">
        <v>99257</v>
      </c>
      <c r="H112" s="432">
        <v>3546</v>
      </c>
      <c r="I112" s="432">
        <v>13525</v>
      </c>
      <c r="J112" s="432">
        <v>276510</v>
      </c>
    </row>
    <row r="113" spans="1:10" s="428" customFormat="1" ht="9" customHeight="1" x14ac:dyDescent="0.25">
      <c r="A113" s="428" t="s">
        <v>47</v>
      </c>
      <c r="B113" s="432">
        <f t="shared" si="4"/>
        <v>1731033</v>
      </c>
      <c r="C113" s="432">
        <v>704235</v>
      </c>
      <c r="D113" s="432">
        <v>205786</v>
      </c>
      <c r="E113" s="432">
        <v>71006</v>
      </c>
      <c r="F113" s="432">
        <v>388571</v>
      </c>
      <c r="G113" s="432">
        <v>99032</v>
      </c>
      <c r="H113" s="432">
        <v>4586</v>
      </c>
      <c r="I113" s="432">
        <v>994</v>
      </c>
      <c r="J113" s="432">
        <v>256823</v>
      </c>
    </row>
    <row r="114" spans="1:10" s="428" customFormat="1" ht="9" customHeight="1" x14ac:dyDescent="0.25">
      <c r="A114" s="428" t="s">
        <v>48</v>
      </c>
      <c r="B114" s="432">
        <f t="shared" si="4"/>
        <v>1471485</v>
      </c>
      <c r="C114" s="432">
        <v>642831</v>
      </c>
      <c r="D114" s="432">
        <v>214689</v>
      </c>
      <c r="E114" s="432">
        <v>69046</v>
      </c>
      <c r="F114" s="432">
        <v>332294</v>
      </c>
      <c r="G114" s="432">
        <v>109483</v>
      </c>
      <c r="H114" s="432">
        <v>2453</v>
      </c>
      <c r="I114" s="432">
        <v>5281</v>
      </c>
      <c r="J114" s="432">
        <v>95408</v>
      </c>
    </row>
    <row r="115" spans="1:10" s="428" customFormat="1" ht="9" customHeight="1" x14ac:dyDescent="0.25">
      <c r="A115" s="475" t="s">
        <v>49</v>
      </c>
      <c r="B115" s="435">
        <f t="shared" si="4"/>
        <v>2130898</v>
      </c>
      <c r="C115" s="435">
        <v>836616</v>
      </c>
      <c r="D115" s="435">
        <v>200876</v>
      </c>
      <c r="E115" s="435">
        <v>91419</v>
      </c>
      <c r="F115" s="435">
        <v>510314</v>
      </c>
      <c r="G115" s="435">
        <v>127772</v>
      </c>
      <c r="H115" s="435">
        <v>4355</v>
      </c>
      <c r="I115" s="435">
        <v>4180</v>
      </c>
      <c r="J115" s="435">
        <v>355366</v>
      </c>
    </row>
    <row r="116" spans="1:10" s="428" customFormat="1" ht="9" customHeight="1" x14ac:dyDescent="0.25">
      <c r="A116" s="428" t="s">
        <v>50</v>
      </c>
      <c r="B116" s="432">
        <f t="shared" si="4"/>
        <v>775786</v>
      </c>
      <c r="C116" s="432">
        <v>345105</v>
      </c>
      <c r="D116" s="432">
        <v>86215</v>
      </c>
      <c r="E116" s="432">
        <v>29978</v>
      </c>
      <c r="F116" s="432">
        <v>177009</v>
      </c>
      <c r="G116" s="432">
        <v>41585</v>
      </c>
      <c r="H116" s="432">
        <v>2211</v>
      </c>
      <c r="I116" s="432">
        <v>904</v>
      </c>
      <c r="J116" s="432">
        <v>92779</v>
      </c>
    </row>
    <row r="117" spans="1:10" s="428" customFormat="1" ht="9" customHeight="1" x14ac:dyDescent="0.25">
      <c r="A117" s="428" t="s">
        <v>51</v>
      </c>
      <c r="B117" s="432">
        <f t="shared" si="4"/>
        <v>5086089</v>
      </c>
      <c r="C117" s="432">
        <v>2088678</v>
      </c>
      <c r="D117" s="432">
        <v>525423</v>
      </c>
      <c r="E117" s="432">
        <v>244852</v>
      </c>
      <c r="F117" s="432">
        <v>1263170</v>
      </c>
      <c r="G117" s="432">
        <v>362063</v>
      </c>
      <c r="H117" s="432">
        <v>10397</v>
      </c>
      <c r="I117" s="432">
        <v>11641</v>
      </c>
      <c r="J117" s="432">
        <v>579865</v>
      </c>
    </row>
    <row r="118" spans="1:10" s="428" customFormat="1" ht="9" customHeight="1" x14ac:dyDescent="0.25">
      <c r="A118" s="428" t="s">
        <v>52</v>
      </c>
      <c r="B118" s="432">
        <f t="shared" si="4"/>
        <v>1553436</v>
      </c>
      <c r="C118" s="432">
        <v>617270</v>
      </c>
      <c r="D118" s="432">
        <v>182745</v>
      </c>
      <c r="E118" s="432">
        <v>65058</v>
      </c>
      <c r="F118" s="432">
        <v>399628</v>
      </c>
      <c r="G118" s="432">
        <v>104048</v>
      </c>
      <c r="H118" s="432">
        <v>11478</v>
      </c>
      <c r="I118" s="432">
        <v>4504</v>
      </c>
      <c r="J118" s="432">
        <v>168705</v>
      </c>
    </row>
    <row r="119" spans="1:10" s="428" customFormat="1" ht="9" customHeight="1" x14ac:dyDescent="0.25">
      <c r="A119" s="475" t="s">
        <v>53</v>
      </c>
      <c r="B119" s="435">
        <f t="shared" si="4"/>
        <v>1093635</v>
      </c>
      <c r="C119" s="435">
        <v>473574</v>
      </c>
      <c r="D119" s="435">
        <v>142024</v>
      </c>
      <c r="E119" s="435">
        <v>58861</v>
      </c>
      <c r="F119" s="435">
        <v>231966</v>
      </c>
      <c r="G119" s="435">
        <v>71402</v>
      </c>
      <c r="H119" s="435">
        <v>912</v>
      </c>
      <c r="I119" s="435">
        <v>11825</v>
      </c>
      <c r="J119" s="435">
        <v>103071</v>
      </c>
    </row>
    <row r="120" spans="1:10" s="428" customFormat="1" ht="9" customHeight="1" x14ac:dyDescent="0.25">
      <c r="B120" s="432"/>
      <c r="C120" s="432"/>
      <c r="D120" s="432"/>
      <c r="E120" s="432"/>
      <c r="F120" s="432"/>
      <c r="G120" s="432"/>
      <c r="H120" s="432"/>
      <c r="I120" s="432"/>
      <c r="J120" s="432"/>
    </row>
    <row r="121" spans="1:10" s="428" customFormat="1" ht="9" customHeight="1" x14ac:dyDescent="0.25">
      <c r="A121" s="470">
        <v>1998</v>
      </c>
      <c r="B121" s="430"/>
      <c r="C121" s="471"/>
      <c r="D121" s="471"/>
      <c r="E121" s="471"/>
      <c r="F121" s="471"/>
      <c r="G121" s="471"/>
      <c r="H121" s="471"/>
      <c r="I121" s="427"/>
      <c r="J121" s="427"/>
    </row>
    <row r="122" spans="1:10" s="473" customFormat="1" ht="9" customHeight="1" x14ac:dyDescent="0.25">
      <c r="A122" s="478" t="s">
        <v>263</v>
      </c>
      <c r="B122" s="430">
        <f>SUM(B124:B155)+535524</f>
        <v>88178367</v>
      </c>
      <c r="C122" s="430">
        <f>SUM(C124:C155)+39555</f>
        <v>31554473</v>
      </c>
      <c r="D122" s="430">
        <f>SUM(D124:D155)+8536</f>
        <v>8226245</v>
      </c>
      <c r="E122" s="430">
        <f>SUM(E124:E155)+1879</f>
        <v>2930167</v>
      </c>
      <c r="F122" s="430">
        <f>SUM(F124:F155)+11998</f>
        <v>17596621</v>
      </c>
      <c r="G122" s="430">
        <f>SUM(G124:G155)+27131</f>
        <v>12382669</v>
      </c>
      <c r="H122" s="430">
        <f>SUM(H124:H155)</f>
        <v>231426</v>
      </c>
      <c r="I122" s="430">
        <f>SUM(I124:I155)</f>
        <v>278666</v>
      </c>
      <c r="J122" s="430">
        <f>SUM(J124:J155)</f>
        <v>14531675</v>
      </c>
    </row>
    <row r="123" spans="1:10" s="473" customFormat="1" ht="3.95" customHeight="1" x14ac:dyDescent="0.25">
      <c r="A123" s="429"/>
      <c r="B123" s="430"/>
      <c r="C123" s="430"/>
      <c r="D123" s="430"/>
      <c r="E123" s="430"/>
      <c r="F123" s="430"/>
      <c r="G123" s="430"/>
      <c r="H123" s="430"/>
      <c r="I123" s="430"/>
      <c r="J123" s="430"/>
    </row>
    <row r="124" spans="1:10" s="428" customFormat="1" ht="9" customHeight="1" x14ac:dyDescent="0.25">
      <c r="A124" s="428" t="s">
        <v>23</v>
      </c>
      <c r="B124" s="432">
        <f t="shared" ref="B124:B155" si="5">SUM(C124:J124)</f>
        <v>742104</v>
      </c>
      <c r="C124" s="432">
        <v>302900</v>
      </c>
      <c r="D124" s="432">
        <v>55484</v>
      </c>
      <c r="E124" s="432">
        <v>27248</v>
      </c>
      <c r="F124" s="432">
        <v>88520</v>
      </c>
      <c r="G124" s="432">
        <v>113184</v>
      </c>
      <c r="H124" s="432">
        <v>941</v>
      </c>
      <c r="I124" s="432">
        <v>983</v>
      </c>
      <c r="J124" s="432">
        <v>152844</v>
      </c>
    </row>
    <row r="125" spans="1:10" s="428" customFormat="1" ht="9" customHeight="1" x14ac:dyDescent="0.25">
      <c r="A125" s="428" t="s">
        <v>24</v>
      </c>
      <c r="B125" s="432">
        <f t="shared" si="5"/>
        <v>2242903</v>
      </c>
      <c r="C125" s="432">
        <v>769244</v>
      </c>
      <c r="D125" s="432">
        <v>169942</v>
      </c>
      <c r="E125" s="432">
        <v>75239</v>
      </c>
      <c r="F125" s="432">
        <v>392847</v>
      </c>
      <c r="G125" s="432">
        <v>275635</v>
      </c>
      <c r="H125" s="432">
        <v>947</v>
      </c>
      <c r="I125" s="432">
        <v>2037</v>
      </c>
      <c r="J125" s="432">
        <v>557012</v>
      </c>
    </row>
    <row r="126" spans="1:10" s="428" customFormat="1" ht="9" customHeight="1" x14ac:dyDescent="0.25">
      <c r="A126" s="428" t="s">
        <v>25</v>
      </c>
      <c r="B126" s="432">
        <f t="shared" si="5"/>
        <v>381832</v>
      </c>
      <c r="C126" s="432">
        <v>150604</v>
      </c>
      <c r="D126" s="432">
        <v>28260</v>
      </c>
      <c r="E126" s="432">
        <v>12253</v>
      </c>
      <c r="F126" s="432">
        <v>62253</v>
      </c>
      <c r="G126" s="432">
        <v>52865</v>
      </c>
      <c r="H126" s="432">
        <v>504</v>
      </c>
      <c r="I126" s="432">
        <v>891</v>
      </c>
      <c r="J126" s="432">
        <v>74202</v>
      </c>
    </row>
    <row r="127" spans="1:10" s="428" customFormat="1" ht="9" customHeight="1" x14ac:dyDescent="0.25">
      <c r="A127" s="475" t="s">
        <v>26</v>
      </c>
      <c r="B127" s="435">
        <f t="shared" si="5"/>
        <v>704042</v>
      </c>
      <c r="C127" s="435">
        <v>232316</v>
      </c>
      <c r="D127" s="435">
        <v>61694</v>
      </c>
      <c r="E127" s="435">
        <v>20677</v>
      </c>
      <c r="F127" s="435">
        <v>143988</v>
      </c>
      <c r="G127" s="435">
        <v>80798</v>
      </c>
      <c r="H127" s="435">
        <v>848</v>
      </c>
      <c r="I127" s="435">
        <v>3668</v>
      </c>
      <c r="J127" s="435">
        <v>160053</v>
      </c>
    </row>
    <row r="128" spans="1:10" s="428" customFormat="1" ht="9" customHeight="1" x14ac:dyDescent="0.25">
      <c r="A128" s="428" t="s">
        <v>27</v>
      </c>
      <c r="B128" s="432">
        <f t="shared" si="5"/>
        <v>2253146</v>
      </c>
      <c r="C128" s="432">
        <v>786191</v>
      </c>
      <c r="D128" s="432">
        <v>142297</v>
      </c>
      <c r="E128" s="432">
        <v>68394</v>
      </c>
      <c r="F128" s="432">
        <v>485358</v>
      </c>
      <c r="G128" s="432">
        <v>279661</v>
      </c>
      <c r="H128" s="432">
        <v>6031</v>
      </c>
      <c r="I128" s="432">
        <v>8213</v>
      </c>
      <c r="J128" s="432">
        <v>477001</v>
      </c>
    </row>
    <row r="129" spans="1:10" s="428" customFormat="1" ht="9" customHeight="1" x14ac:dyDescent="0.25">
      <c r="A129" s="428" t="s">
        <v>28</v>
      </c>
      <c r="B129" s="432">
        <f t="shared" si="5"/>
        <v>565651</v>
      </c>
      <c r="C129" s="432">
        <v>183664</v>
      </c>
      <c r="D129" s="432">
        <v>35241</v>
      </c>
      <c r="E129" s="432">
        <v>14151</v>
      </c>
      <c r="F129" s="432">
        <v>152858</v>
      </c>
      <c r="G129" s="432">
        <v>67229</v>
      </c>
      <c r="H129" s="432">
        <v>374</v>
      </c>
      <c r="I129" s="432">
        <v>739</v>
      </c>
      <c r="J129" s="432">
        <v>111395</v>
      </c>
    </row>
    <row r="130" spans="1:10" s="428" customFormat="1" ht="9" customHeight="1" x14ac:dyDescent="0.25">
      <c r="A130" s="428" t="s">
        <v>29</v>
      </c>
      <c r="B130" s="432">
        <f t="shared" si="5"/>
        <v>3873138</v>
      </c>
      <c r="C130" s="432">
        <v>1382801</v>
      </c>
      <c r="D130" s="432">
        <v>434813</v>
      </c>
      <c r="E130" s="432">
        <v>160231</v>
      </c>
      <c r="F130" s="432">
        <v>935971</v>
      </c>
      <c r="G130" s="432">
        <v>681052</v>
      </c>
      <c r="H130" s="432">
        <v>4467</v>
      </c>
      <c r="I130" s="432">
        <v>3760</v>
      </c>
      <c r="J130" s="432">
        <v>270043</v>
      </c>
    </row>
    <row r="131" spans="1:10" s="428" customFormat="1" ht="9" customHeight="1" x14ac:dyDescent="0.25">
      <c r="A131" s="475" t="s">
        <v>30</v>
      </c>
      <c r="B131" s="435">
        <f t="shared" si="5"/>
        <v>2930991</v>
      </c>
      <c r="C131" s="435">
        <v>1009919</v>
      </c>
      <c r="D131" s="435">
        <v>190021</v>
      </c>
      <c r="E131" s="435">
        <v>89876</v>
      </c>
      <c r="F131" s="435">
        <v>467385</v>
      </c>
      <c r="G131" s="435">
        <v>388984</v>
      </c>
      <c r="H131" s="435">
        <v>2342</v>
      </c>
      <c r="I131" s="435">
        <v>7236</v>
      </c>
      <c r="J131" s="435">
        <v>775228</v>
      </c>
    </row>
    <row r="132" spans="1:10" s="428" customFormat="1" ht="9" customHeight="1" x14ac:dyDescent="0.25">
      <c r="A132" s="428" t="s">
        <v>63</v>
      </c>
      <c r="B132" s="432">
        <f t="shared" si="5"/>
        <v>7158322</v>
      </c>
      <c r="C132" s="432">
        <v>2775655</v>
      </c>
      <c r="D132" s="432">
        <v>629542</v>
      </c>
      <c r="E132" s="432">
        <v>287258</v>
      </c>
      <c r="F132" s="432">
        <v>1213476</v>
      </c>
      <c r="G132" s="432">
        <v>767357</v>
      </c>
      <c r="H132" s="432">
        <v>53635</v>
      </c>
      <c r="I132" s="432">
        <v>72386</v>
      </c>
      <c r="J132" s="432">
        <v>1359013</v>
      </c>
    </row>
    <row r="133" spans="1:10" s="428" customFormat="1" ht="9" customHeight="1" x14ac:dyDescent="0.25">
      <c r="A133" s="428" t="s">
        <v>31</v>
      </c>
      <c r="B133" s="432">
        <f t="shared" si="5"/>
        <v>1374802</v>
      </c>
      <c r="C133" s="432">
        <v>498118</v>
      </c>
      <c r="D133" s="432">
        <v>147400</v>
      </c>
      <c r="E133" s="432">
        <v>49702</v>
      </c>
      <c r="F133" s="432">
        <v>267348</v>
      </c>
      <c r="G133" s="432">
        <v>217442</v>
      </c>
      <c r="H133" s="432">
        <v>5058</v>
      </c>
      <c r="I133" s="432">
        <v>1338</v>
      </c>
      <c r="J133" s="432">
        <v>188396</v>
      </c>
    </row>
    <row r="134" spans="1:10" s="428" customFormat="1" ht="9" customHeight="1" x14ac:dyDescent="0.25">
      <c r="A134" s="428" t="s">
        <v>32</v>
      </c>
      <c r="B134" s="432">
        <f t="shared" si="5"/>
        <v>4035812</v>
      </c>
      <c r="C134" s="432">
        <v>1417691</v>
      </c>
      <c r="D134" s="432">
        <v>432341</v>
      </c>
      <c r="E134" s="432">
        <v>154819</v>
      </c>
      <c r="F134" s="432">
        <v>762739</v>
      </c>
      <c r="G134" s="432">
        <v>527498</v>
      </c>
      <c r="H134" s="432">
        <v>6118</v>
      </c>
      <c r="I134" s="432">
        <v>5882</v>
      </c>
      <c r="J134" s="432">
        <v>728724</v>
      </c>
    </row>
    <row r="135" spans="1:10" s="428" customFormat="1" ht="9" customHeight="1" x14ac:dyDescent="0.25">
      <c r="A135" s="475" t="s">
        <v>33</v>
      </c>
      <c r="B135" s="435">
        <f t="shared" si="5"/>
        <v>3359001</v>
      </c>
      <c r="C135" s="435">
        <v>1169680</v>
      </c>
      <c r="D135" s="435">
        <v>365178</v>
      </c>
      <c r="E135" s="435">
        <v>100579</v>
      </c>
      <c r="F135" s="435">
        <v>768955</v>
      </c>
      <c r="G135" s="435">
        <v>519802</v>
      </c>
      <c r="H135" s="435">
        <v>1999</v>
      </c>
      <c r="I135" s="435">
        <v>38823</v>
      </c>
      <c r="J135" s="435">
        <v>393985</v>
      </c>
    </row>
    <row r="136" spans="1:10" s="428" customFormat="1" ht="9" customHeight="1" x14ac:dyDescent="0.25">
      <c r="A136" s="428" t="s">
        <v>34</v>
      </c>
      <c r="B136" s="432">
        <f t="shared" si="5"/>
        <v>2155004</v>
      </c>
      <c r="C136" s="432">
        <v>707260</v>
      </c>
      <c r="D136" s="432">
        <v>204297</v>
      </c>
      <c r="E136" s="432">
        <v>67012</v>
      </c>
      <c r="F136" s="432">
        <v>655491</v>
      </c>
      <c r="G136" s="432">
        <v>327785</v>
      </c>
      <c r="H136" s="432">
        <v>9227</v>
      </c>
      <c r="I136" s="432">
        <v>1887</v>
      </c>
      <c r="J136" s="432">
        <v>182045</v>
      </c>
    </row>
    <row r="137" spans="1:10" s="428" customFormat="1" ht="9" customHeight="1" x14ac:dyDescent="0.25">
      <c r="A137" s="428" t="s">
        <v>35</v>
      </c>
      <c r="B137" s="432">
        <f t="shared" si="5"/>
        <v>5498395</v>
      </c>
      <c r="C137" s="432">
        <v>1858848</v>
      </c>
      <c r="D137" s="432">
        <v>530157</v>
      </c>
      <c r="E137" s="432">
        <v>170319</v>
      </c>
      <c r="F137" s="432">
        <v>904067</v>
      </c>
      <c r="G137" s="432">
        <v>755764</v>
      </c>
      <c r="H137" s="432">
        <v>9011</v>
      </c>
      <c r="I137" s="432">
        <v>6611</v>
      </c>
      <c r="J137" s="432">
        <v>1263618</v>
      </c>
    </row>
    <row r="138" spans="1:10" s="428" customFormat="1" ht="9" customHeight="1" x14ac:dyDescent="0.25">
      <c r="A138" s="428" t="s">
        <v>36</v>
      </c>
      <c r="B138" s="432">
        <f t="shared" si="5"/>
        <v>9977170</v>
      </c>
      <c r="C138" s="432">
        <v>4022466</v>
      </c>
      <c r="D138" s="432">
        <v>1096264</v>
      </c>
      <c r="E138" s="432">
        <v>359312</v>
      </c>
      <c r="F138" s="432">
        <v>1619046</v>
      </c>
      <c r="G138" s="432">
        <v>1455511</v>
      </c>
      <c r="H138" s="432">
        <v>41569</v>
      </c>
      <c r="I138" s="432">
        <v>3955</v>
      </c>
      <c r="J138" s="432">
        <v>1379047</v>
      </c>
    </row>
    <row r="139" spans="1:10" s="428" customFormat="1" ht="9" customHeight="1" x14ac:dyDescent="0.25">
      <c r="A139" s="475" t="s">
        <v>37</v>
      </c>
      <c r="B139" s="435">
        <f t="shared" si="5"/>
        <v>3647752</v>
      </c>
      <c r="C139" s="435">
        <v>1326276</v>
      </c>
      <c r="D139" s="435">
        <v>414019</v>
      </c>
      <c r="E139" s="435">
        <v>126053</v>
      </c>
      <c r="F139" s="435">
        <v>691455</v>
      </c>
      <c r="G139" s="435">
        <v>592680</v>
      </c>
      <c r="H139" s="435">
        <v>6786</v>
      </c>
      <c r="I139" s="435">
        <v>11610</v>
      </c>
      <c r="J139" s="435">
        <v>478873</v>
      </c>
    </row>
    <row r="140" spans="1:10" s="428" customFormat="1" ht="9" customHeight="1" x14ac:dyDescent="0.25">
      <c r="A140" s="428" t="s">
        <v>38</v>
      </c>
      <c r="B140" s="432">
        <f t="shared" si="5"/>
        <v>1268199</v>
      </c>
      <c r="C140" s="432">
        <v>463745</v>
      </c>
      <c r="D140" s="432">
        <v>118024</v>
      </c>
      <c r="E140" s="432">
        <v>42435</v>
      </c>
      <c r="F140" s="432">
        <v>222715</v>
      </c>
      <c r="G140" s="432">
        <v>187452</v>
      </c>
      <c r="H140" s="432">
        <v>2994</v>
      </c>
      <c r="I140" s="432">
        <v>1378</v>
      </c>
      <c r="J140" s="432">
        <v>229456</v>
      </c>
    </row>
    <row r="141" spans="1:10" s="428" customFormat="1" ht="9" customHeight="1" x14ac:dyDescent="0.25">
      <c r="A141" s="428" t="s">
        <v>39</v>
      </c>
      <c r="B141" s="432">
        <f t="shared" si="5"/>
        <v>1009265</v>
      </c>
      <c r="C141" s="432">
        <v>373926</v>
      </c>
      <c r="D141" s="432">
        <v>92086</v>
      </c>
      <c r="E141" s="432">
        <v>24647</v>
      </c>
      <c r="F141" s="432">
        <v>175645</v>
      </c>
      <c r="G141" s="432">
        <v>150212</v>
      </c>
      <c r="H141" s="432">
        <v>1856</v>
      </c>
      <c r="I141" s="432">
        <v>888</v>
      </c>
      <c r="J141" s="432">
        <v>190005</v>
      </c>
    </row>
    <row r="142" spans="1:10" s="428" customFormat="1" ht="9" customHeight="1" x14ac:dyDescent="0.25">
      <c r="A142" s="428" t="s">
        <v>40</v>
      </c>
      <c r="B142" s="432">
        <f t="shared" si="5"/>
        <v>3664249</v>
      </c>
      <c r="C142" s="432">
        <v>1134399</v>
      </c>
      <c r="D142" s="432">
        <v>200984</v>
      </c>
      <c r="E142" s="432">
        <v>92660</v>
      </c>
      <c r="F142" s="432">
        <v>669695</v>
      </c>
      <c r="G142" s="432">
        <v>408854</v>
      </c>
      <c r="H142" s="432">
        <v>5667</v>
      </c>
      <c r="I142" s="432">
        <v>16246</v>
      </c>
      <c r="J142" s="432">
        <v>1135744</v>
      </c>
    </row>
    <row r="143" spans="1:10" s="428" customFormat="1" ht="9" customHeight="1" x14ac:dyDescent="0.25">
      <c r="A143" s="475" t="s">
        <v>41</v>
      </c>
      <c r="B143" s="435">
        <f t="shared" si="5"/>
        <v>3299145</v>
      </c>
      <c r="C143" s="435">
        <v>1145928</v>
      </c>
      <c r="D143" s="435">
        <v>348180</v>
      </c>
      <c r="E143" s="435">
        <v>123329</v>
      </c>
      <c r="F143" s="435">
        <v>802244</v>
      </c>
      <c r="G143" s="435">
        <v>559199</v>
      </c>
      <c r="H143" s="435">
        <v>4415</v>
      </c>
      <c r="I143" s="435">
        <v>7929</v>
      </c>
      <c r="J143" s="435">
        <v>307921</v>
      </c>
    </row>
    <row r="144" spans="1:10" s="428" customFormat="1" ht="9" customHeight="1" x14ac:dyDescent="0.25">
      <c r="A144" s="428" t="s">
        <v>42</v>
      </c>
      <c r="B144" s="432">
        <f t="shared" si="5"/>
        <v>4443204</v>
      </c>
      <c r="C144" s="432">
        <v>1772327</v>
      </c>
      <c r="D144" s="432">
        <v>470687</v>
      </c>
      <c r="E144" s="432">
        <v>155821</v>
      </c>
      <c r="F144" s="432">
        <v>821032</v>
      </c>
      <c r="G144" s="432">
        <v>777885</v>
      </c>
      <c r="H144" s="432">
        <v>22018</v>
      </c>
      <c r="I144" s="432">
        <v>30543</v>
      </c>
      <c r="J144" s="432">
        <v>392891</v>
      </c>
    </row>
    <row r="145" spans="1:10" s="428" customFormat="1" ht="9" customHeight="1" x14ac:dyDescent="0.25">
      <c r="A145" s="428" t="s">
        <v>43</v>
      </c>
      <c r="B145" s="432">
        <f t="shared" si="5"/>
        <v>1259269</v>
      </c>
      <c r="C145" s="432">
        <v>464769</v>
      </c>
      <c r="D145" s="432">
        <v>112667</v>
      </c>
      <c r="E145" s="432">
        <v>40349</v>
      </c>
      <c r="F145" s="432">
        <v>244789</v>
      </c>
      <c r="G145" s="432">
        <v>186241</v>
      </c>
      <c r="H145" s="432">
        <v>3486</v>
      </c>
      <c r="I145" s="432">
        <v>713</v>
      </c>
      <c r="J145" s="432">
        <v>206255</v>
      </c>
    </row>
    <row r="146" spans="1:10" s="428" customFormat="1" ht="9" customHeight="1" x14ac:dyDescent="0.25">
      <c r="A146" s="428" t="s">
        <v>44</v>
      </c>
      <c r="B146" s="432">
        <f t="shared" si="5"/>
        <v>767203</v>
      </c>
      <c r="C146" s="432">
        <v>266791</v>
      </c>
      <c r="D146" s="432">
        <v>58306</v>
      </c>
      <c r="E146" s="432">
        <v>22050</v>
      </c>
      <c r="F146" s="432">
        <v>173519</v>
      </c>
      <c r="G146" s="432">
        <v>96871</v>
      </c>
      <c r="H146" s="432">
        <v>1170</v>
      </c>
      <c r="I146" s="432">
        <v>1074</v>
      </c>
      <c r="J146" s="432">
        <v>147422</v>
      </c>
    </row>
    <row r="147" spans="1:10" s="428" customFormat="1" ht="9" customHeight="1" x14ac:dyDescent="0.25">
      <c r="A147" s="475" t="s">
        <v>45</v>
      </c>
      <c r="B147" s="435">
        <f t="shared" si="5"/>
        <v>2086656</v>
      </c>
      <c r="C147" s="435">
        <v>786703</v>
      </c>
      <c r="D147" s="435">
        <v>200242</v>
      </c>
      <c r="E147" s="435">
        <v>78079</v>
      </c>
      <c r="F147" s="435">
        <v>313221</v>
      </c>
      <c r="G147" s="435">
        <v>344419</v>
      </c>
      <c r="H147" s="435">
        <v>5909</v>
      </c>
      <c r="I147" s="435">
        <v>7978</v>
      </c>
      <c r="J147" s="435">
        <v>350105</v>
      </c>
    </row>
    <row r="148" spans="1:10" s="428" customFormat="1" ht="9" customHeight="1" x14ac:dyDescent="0.25">
      <c r="A148" s="428" t="s">
        <v>46</v>
      </c>
      <c r="B148" s="432">
        <f t="shared" si="5"/>
        <v>2346592</v>
      </c>
      <c r="C148" s="432">
        <v>826030</v>
      </c>
      <c r="D148" s="432">
        <v>199494</v>
      </c>
      <c r="E148" s="432">
        <v>72897</v>
      </c>
      <c r="F148" s="432">
        <v>656589</v>
      </c>
      <c r="G148" s="432">
        <v>132824</v>
      </c>
      <c r="H148" s="432">
        <v>3576</v>
      </c>
      <c r="I148" s="432">
        <v>15606</v>
      </c>
      <c r="J148" s="432">
        <v>439576</v>
      </c>
    </row>
    <row r="149" spans="1:10" s="428" customFormat="1" ht="9" customHeight="1" x14ac:dyDescent="0.25">
      <c r="A149" s="428" t="s">
        <v>47</v>
      </c>
      <c r="B149" s="432">
        <f t="shared" si="5"/>
        <v>2219087</v>
      </c>
      <c r="C149" s="432">
        <v>689953</v>
      </c>
      <c r="D149" s="432">
        <v>183851</v>
      </c>
      <c r="E149" s="432">
        <v>60995</v>
      </c>
      <c r="F149" s="432">
        <v>423356</v>
      </c>
      <c r="G149" s="432">
        <v>271194</v>
      </c>
      <c r="H149" s="432">
        <v>4187</v>
      </c>
      <c r="I149" s="432">
        <v>715</v>
      </c>
      <c r="J149" s="432">
        <v>584836</v>
      </c>
    </row>
    <row r="150" spans="1:10" s="428" customFormat="1" ht="9" customHeight="1" x14ac:dyDescent="0.25">
      <c r="A150" s="428" t="s">
        <v>48</v>
      </c>
      <c r="B150" s="432">
        <f t="shared" si="5"/>
        <v>2052096</v>
      </c>
      <c r="C150" s="432">
        <v>640638</v>
      </c>
      <c r="D150" s="432">
        <v>220199</v>
      </c>
      <c r="E150" s="432">
        <v>53281</v>
      </c>
      <c r="F150" s="432">
        <v>689491</v>
      </c>
      <c r="G150" s="432">
        <v>256634</v>
      </c>
      <c r="H150" s="432">
        <v>1791</v>
      </c>
      <c r="I150" s="432">
        <v>3397</v>
      </c>
      <c r="J150" s="432">
        <v>186665</v>
      </c>
    </row>
    <row r="151" spans="1:10" s="428" customFormat="1" ht="9" customHeight="1" x14ac:dyDescent="0.25">
      <c r="A151" s="475" t="s">
        <v>49</v>
      </c>
      <c r="B151" s="435">
        <f t="shared" si="5"/>
        <v>2651008</v>
      </c>
      <c r="C151" s="435">
        <v>847265</v>
      </c>
      <c r="D151" s="435">
        <v>193096</v>
      </c>
      <c r="E151" s="435">
        <v>79518</v>
      </c>
      <c r="F151" s="435">
        <v>528490</v>
      </c>
      <c r="G151" s="435">
        <v>331594</v>
      </c>
      <c r="H151" s="435">
        <v>4146</v>
      </c>
      <c r="I151" s="435">
        <v>3744</v>
      </c>
      <c r="J151" s="435">
        <v>663155</v>
      </c>
    </row>
    <row r="152" spans="1:10" s="428" customFormat="1" ht="9" customHeight="1" x14ac:dyDescent="0.25">
      <c r="A152" s="428" t="s">
        <v>50</v>
      </c>
      <c r="B152" s="432">
        <f t="shared" si="5"/>
        <v>865616</v>
      </c>
      <c r="C152" s="432">
        <v>335961</v>
      </c>
      <c r="D152" s="432">
        <v>81106</v>
      </c>
      <c r="E152" s="432">
        <v>26274</v>
      </c>
      <c r="F152" s="432">
        <v>163299</v>
      </c>
      <c r="G152" s="432">
        <v>136616</v>
      </c>
      <c r="H152" s="432">
        <v>2130</v>
      </c>
      <c r="I152" s="432">
        <v>786</v>
      </c>
      <c r="J152" s="432">
        <v>119444</v>
      </c>
    </row>
    <row r="153" spans="1:10" s="428" customFormat="1" ht="9" customHeight="1" x14ac:dyDescent="0.25">
      <c r="A153" s="428" t="s">
        <v>51</v>
      </c>
      <c r="B153" s="432">
        <f t="shared" si="5"/>
        <v>6036337</v>
      </c>
      <c r="C153" s="432">
        <v>2181908</v>
      </c>
      <c r="D153" s="432">
        <v>511444</v>
      </c>
      <c r="E153" s="432">
        <v>187396</v>
      </c>
      <c r="F153" s="432">
        <v>1513804</v>
      </c>
      <c r="G153" s="432">
        <v>953161</v>
      </c>
      <c r="H153" s="432">
        <v>9650</v>
      </c>
      <c r="I153" s="432">
        <v>7293</v>
      </c>
      <c r="J153" s="432">
        <v>671681</v>
      </c>
    </row>
    <row r="154" spans="1:10" s="428" customFormat="1" ht="9" customHeight="1" x14ac:dyDescent="0.25">
      <c r="A154" s="428" t="s">
        <v>52</v>
      </c>
      <c r="B154" s="432">
        <f t="shared" si="5"/>
        <v>1592369</v>
      </c>
      <c r="C154" s="432">
        <v>556857</v>
      </c>
      <c r="D154" s="432">
        <v>155498</v>
      </c>
      <c r="E154" s="432">
        <v>46747</v>
      </c>
      <c r="F154" s="432">
        <v>324111</v>
      </c>
      <c r="G154" s="432">
        <v>275324</v>
      </c>
      <c r="H154" s="432">
        <v>7912</v>
      </c>
      <c r="I154" s="432">
        <v>1537</v>
      </c>
      <c r="J154" s="432">
        <v>224383</v>
      </c>
    </row>
    <row r="155" spans="1:10" s="428" customFormat="1" ht="9" customHeight="1" x14ac:dyDescent="0.25">
      <c r="A155" s="475" t="s">
        <v>53</v>
      </c>
      <c r="B155" s="435">
        <f t="shared" si="5"/>
        <v>1182483</v>
      </c>
      <c r="C155" s="435">
        <v>434085</v>
      </c>
      <c r="D155" s="435">
        <v>134895</v>
      </c>
      <c r="E155" s="435">
        <v>38687</v>
      </c>
      <c r="F155" s="435">
        <v>250866</v>
      </c>
      <c r="G155" s="435">
        <v>183811</v>
      </c>
      <c r="H155" s="435">
        <v>662</v>
      </c>
      <c r="I155" s="435">
        <v>8820</v>
      </c>
      <c r="J155" s="435">
        <v>130657</v>
      </c>
    </row>
    <row r="156" spans="1:10" s="428" customFormat="1" ht="9" customHeight="1" x14ac:dyDescent="0.25">
      <c r="B156" s="432"/>
      <c r="C156" s="432"/>
      <c r="D156" s="432"/>
      <c r="E156" s="432"/>
      <c r="F156" s="432"/>
      <c r="G156" s="432"/>
      <c r="H156" s="432"/>
      <c r="I156" s="432"/>
      <c r="J156" s="432"/>
    </row>
    <row r="157" spans="1:10" s="428" customFormat="1" ht="9" customHeight="1" x14ac:dyDescent="0.25">
      <c r="A157" s="470">
        <v>1999</v>
      </c>
      <c r="B157" s="430"/>
      <c r="C157" s="471"/>
      <c r="D157" s="471"/>
      <c r="E157" s="471"/>
      <c r="F157" s="471"/>
      <c r="G157" s="471"/>
      <c r="H157" s="471"/>
      <c r="I157" s="427"/>
      <c r="J157" s="427"/>
    </row>
    <row r="158" spans="1:10" s="473" customFormat="1" ht="9" customHeight="1" x14ac:dyDescent="0.25">
      <c r="A158" s="478" t="s">
        <v>263</v>
      </c>
      <c r="B158" s="430">
        <f>SUM(B160:B191)+523784</f>
        <v>82584997</v>
      </c>
      <c r="C158" s="430">
        <f>SUM(C160:C191)+237900</f>
        <v>32047861</v>
      </c>
      <c r="D158" s="430">
        <f>SUM(D160:D191)+82510</f>
        <v>11254884</v>
      </c>
      <c r="E158" s="430">
        <f>SUM(E160:E191)+16343</f>
        <v>2835518</v>
      </c>
      <c r="F158" s="430">
        <f>SUM(F160:F191)+126038</f>
        <v>22581348</v>
      </c>
      <c r="G158" s="430">
        <f>SUM(G160:G191)+60993</f>
        <v>6084381</v>
      </c>
      <c r="H158" s="430">
        <f>SUM(H160:H191)</f>
        <v>240724</v>
      </c>
      <c r="I158" s="430">
        <f>SUM(I160:I191)</f>
        <v>418260</v>
      </c>
      <c r="J158" s="430">
        <f>SUM(J160:J191)</f>
        <v>7122021</v>
      </c>
    </row>
    <row r="159" spans="1:10" s="473" customFormat="1" ht="3.95" customHeight="1" x14ac:dyDescent="0.25">
      <c r="B159" s="430"/>
      <c r="C159" s="430"/>
      <c r="D159" s="430"/>
      <c r="E159" s="430"/>
      <c r="F159" s="430"/>
      <c r="G159" s="430"/>
      <c r="H159" s="430"/>
      <c r="I159" s="430"/>
      <c r="J159" s="430"/>
    </row>
    <row r="160" spans="1:10" s="428" customFormat="1" ht="9" customHeight="1" x14ac:dyDescent="0.25">
      <c r="A160" s="428" t="s">
        <v>23</v>
      </c>
      <c r="B160" s="432">
        <f t="shared" ref="B160:B191" si="6">SUM(C160:J160)</f>
        <v>681099</v>
      </c>
      <c r="C160" s="432">
        <v>302478</v>
      </c>
      <c r="D160" s="432">
        <v>105102</v>
      </c>
      <c r="E160" s="432">
        <v>26672</v>
      </c>
      <c r="F160" s="432">
        <v>110252</v>
      </c>
      <c r="G160" s="432">
        <v>54464</v>
      </c>
      <c r="H160" s="432">
        <v>1222</v>
      </c>
      <c r="I160" s="432">
        <v>0</v>
      </c>
      <c r="J160" s="432">
        <v>80909</v>
      </c>
    </row>
    <row r="161" spans="1:10" s="428" customFormat="1" ht="9" customHeight="1" x14ac:dyDescent="0.25">
      <c r="A161" s="428" t="s">
        <v>24</v>
      </c>
      <c r="B161" s="432">
        <f t="shared" si="6"/>
        <v>1891797</v>
      </c>
      <c r="C161" s="432">
        <v>790242</v>
      </c>
      <c r="D161" s="432">
        <v>290591</v>
      </c>
      <c r="E161" s="432">
        <v>70156</v>
      </c>
      <c r="F161" s="432">
        <v>362298</v>
      </c>
      <c r="G161" s="432">
        <v>132050</v>
      </c>
      <c r="H161" s="432">
        <v>464</v>
      </c>
      <c r="I161" s="432">
        <v>1284</v>
      </c>
      <c r="J161" s="432">
        <v>244712</v>
      </c>
    </row>
    <row r="162" spans="1:10" s="428" customFormat="1" ht="9" customHeight="1" x14ac:dyDescent="0.25">
      <c r="A162" s="428" t="s">
        <v>25</v>
      </c>
      <c r="B162" s="432">
        <f t="shared" si="6"/>
        <v>342149</v>
      </c>
      <c r="C162" s="432">
        <v>151673</v>
      </c>
      <c r="D162" s="432">
        <v>55048</v>
      </c>
      <c r="E162" s="432">
        <v>11146</v>
      </c>
      <c r="F162" s="432">
        <v>75745</v>
      </c>
      <c r="G162" s="432">
        <v>25348</v>
      </c>
      <c r="H162" s="432">
        <v>414</v>
      </c>
      <c r="I162" s="432">
        <v>1770</v>
      </c>
      <c r="J162" s="432">
        <v>21005</v>
      </c>
    </row>
    <row r="163" spans="1:10" s="428" customFormat="1" ht="9" customHeight="1" x14ac:dyDescent="0.25">
      <c r="A163" s="475" t="s">
        <v>26</v>
      </c>
      <c r="B163" s="435">
        <f t="shared" si="6"/>
        <v>687674</v>
      </c>
      <c r="C163" s="435">
        <v>244218</v>
      </c>
      <c r="D163" s="435">
        <v>84840</v>
      </c>
      <c r="E163" s="435">
        <v>19509</v>
      </c>
      <c r="F163" s="435">
        <v>211192</v>
      </c>
      <c r="G163" s="435">
        <v>47275</v>
      </c>
      <c r="H163" s="435">
        <v>1275</v>
      </c>
      <c r="I163" s="435">
        <v>6400</v>
      </c>
      <c r="J163" s="435">
        <v>72965</v>
      </c>
    </row>
    <row r="164" spans="1:10" s="428" customFormat="1" ht="9" customHeight="1" x14ac:dyDescent="0.25">
      <c r="A164" s="428" t="s">
        <v>27</v>
      </c>
      <c r="B164" s="432">
        <f t="shared" si="6"/>
        <v>2061682</v>
      </c>
      <c r="C164" s="432">
        <v>867421</v>
      </c>
      <c r="D164" s="432">
        <v>277106</v>
      </c>
      <c r="E164" s="432">
        <v>66989</v>
      </c>
      <c r="F164" s="432">
        <v>553448</v>
      </c>
      <c r="G164" s="432">
        <v>131579</v>
      </c>
      <c r="H164" s="432">
        <v>5863</v>
      </c>
      <c r="I164" s="432">
        <v>11474</v>
      </c>
      <c r="J164" s="432">
        <v>147802</v>
      </c>
    </row>
    <row r="165" spans="1:10" s="428" customFormat="1" ht="9" customHeight="1" x14ac:dyDescent="0.25">
      <c r="A165" s="428" t="s">
        <v>28</v>
      </c>
      <c r="B165" s="432">
        <f t="shared" si="6"/>
        <v>493451</v>
      </c>
      <c r="C165" s="432">
        <v>165767</v>
      </c>
      <c r="D165" s="432">
        <v>62044</v>
      </c>
      <c r="E165" s="432">
        <v>13672</v>
      </c>
      <c r="F165" s="432">
        <v>141215</v>
      </c>
      <c r="G165" s="432">
        <v>35223</v>
      </c>
      <c r="H165" s="432">
        <v>593</v>
      </c>
      <c r="I165" s="432">
        <v>2919</v>
      </c>
      <c r="J165" s="432">
        <v>72018</v>
      </c>
    </row>
    <row r="166" spans="1:10" s="428" customFormat="1" ht="9" customHeight="1" x14ac:dyDescent="0.25">
      <c r="A166" s="428" t="s">
        <v>29</v>
      </c>
      <c r="B166" s="432">
        <f t="shared" si="6"/>
        <v>3799474</v>
      </c>
      <c r="C166" s="432">
        <v>1368061</v>
      </c>
      <c r="D166" s="432">
        <v>473617</v>
      </c>
      <c r="E166" s="432">
        <v>128792</v>
      </c>
      <c r="F166" s="432">
        <v>1383311</v>
      </c>
      <c r="G166" s="432">
        <v>325392</v>
      </c>
      <c r="H166" s="432">
        <v>2170</v>
      </c>
      <c r="I166" s="432">
        <v>8882</v>
      </c>
      <c r="J166" s="432">
        <v>109249</v>
      </c>
    </row>
    <row r="167" spans="1:10" s="428" customFormat="1" ht="9" customHeight="1" x14ac:dyDescent="0.25">
      <c r="A167" s="475" t="s">
        <v>30</v>
      </c>
      <c r="B167" s="435">
        <f t="shared" si="6"/>
        <v>2657769</v>
      </c>
      <c r="C167" s="435">
        <v>1001705</v>
      </c>
      <c r="D167" s="435">
        <v>386336</v>
      </c>
      <c r="E167" s="435">
        <v>97454</v>
      </c>
      <c r="F167" s="435">
        <v>646520</v>
      </c>
      <c r="G167" s="435">
        <v>191882</v>
      </c>
      <c r="H167" s="435">
        <v>2532</v>
      </c>
      <c r="I167" s="435">
        <v>27198</v>
      </c>
      <c r="J167" s="435">
        <v>304142</v>
      </c>
    </row>
    <row r="168" spans="1:10" s="428" customFormat="1" ht="9" customHeight="1" x14ac:dyDescent="0.25">
      <c r="A168" s="428" t="s">
        <v>63</v>
      </c>
      <c r="B168" s="432">
        <f t="shared" si="6"/>
        <v>6453529</v>
      </c>
      <c r="C168" s="432">
        <v>2649767</v>
      </c>
      <c r="D168" s="432">
        <v>820610</v>
      </c>
      <c r="E168" s="432">
        <v>262161</v>
      </c>
      <c r="F168" s="432">
        <v>1370222</v>
      </c>
      <c r="G168" s="432">
        <v>475839</v>
      </c>
      <c r="H168" s="432">
        <v>57931</v>
      </c>
      <c r="I168" s="432">
        <v>82483</v>
      </c>
      <c r="J168" s="432">
        <v>734516</v>
      </c>
    </row>
    <row r="169" spans="1:10" s="428" customFormat="1" ht="9" customHeight="1" x14ac:dyDescent="0.25">
      <c r="A169" s="428" t="s">
        <v>31</v>
      </c>
      <c r="B169" s="432">
        <f t="shared" si="6"/>
        <v>1268029</v>
      </c>
      <c r="C169" s="432">
        <v>481359</v>
      </c>
      <c r="D169" s="432">
        <v>194250</v>
      </c>
      <c r="E169" s="432">
        <v>48998</v>
      </c>
      <c r="F169" s="432">
        <v>335176</v>
      </c>
      <c r="G169" s="432">
        <v>106267</v>
      </c>
      <c r="H169" s="432">
        <v>4149</v>
      </c>
      <c r="I169" s="432">
        <v>173</v>
      </c>
      <c r="J169" s="432">
        <v>97657</v>
      </c>
    </row>
    <row r="170" spans="1:10" s="428" customFormat="1" ht="9" customHeight="1" x14ac:dyDescent="0.25">
      <c r="A170" s="428" t="s">
        <v>32</v>
      </c>
      <c r="B170" s="432">
        <f t="shared" si="6"/>
        <v>3883596</v>
      </c>
      <c r="C170" s="432">
        <v>1596177</v>
      </c>
      <c r="D170" s="432">
        <v>598584</v>
      </c>
      <c r="E170" s="432">
        <v>142915</v>
      </c>
      <c r="F170" s="432">
        <v>847326</v>
      </c>
      <c r="G170" s="432">
        <v>316037</v>
      </c>
      <c r="H170" s="432">
        <v>6423</v>
      </c>
      <c r="I170" s="432">
        <v>31274</v>
      </c>
      <c r="J170" s="432">
        <v>344860</v>
      </c>
    </row>
    <row r="171" spans="1:10" s="428" customFormat="1" ht="9" customHeight="1" x14ac:dyDescent="0.25">
      <c r="A171" s="475" t="s">
        <v>33</v>
      </c>
      <c r="B171" s="435">
        <f t="shared" si="6"/>
        <v>2866589</v>
      </c>
      <c r="C171" s="435">
        <v>1143647</v>
      </c>
      <c r="D171" s="435">
        <v>429155</v>
      </c>
      <c r="E171" s="435">
        <v>92218</v>
      </c>
      <c r="F171" s="435">
        <v>858633</v>
      </c>
      <c r="G171" s="435">
        <v>221186</v>
      </c>
      <c r="H171" s="435">
        <v>2582</v>
      </c>
      <c r="I171" s="435">
        <v>22905</v>
      </c>
      <c r="J171" s="435">
        <v>96263</v>
      </c>
    </row>
    <row r="172" spans="1:10" s="428" customFormat="1" ht="9" customHeight="1" x14ac:dyDescent="0.25">
      <c r="A172" s="428" t="s">
        <v>34</v>
      </c>
      <c r="B172" s="432">
        <f t="shared" si="6"/>
        <v>1967617</v>
      </c>
      <c r="C172" s="432">
        <v>722166</v>
      </c>
      <c r="D172" s="432">
        <v>254286</v>
      </c>
      <c r="E172" s="432">
        <v>61982</v>
      </c>
      <c r="F172" s="432">
        <v>681273</v>
      </c>
      <c r="G172" s="432">
        <v>132186</v>
      </c>
      <c r="H172" s="432">
        <v>9596</v>
      </c>
      <c r="I172" s="432">
        <v>5405</v>
      </c>
      <c r="J172" s="432">
        <v>100723</v>
      </c>
    </row>
    <row r="173" spans="1:10" s="428" customFormat="1" ht="9" customHeight="1" x14ac:dyDescent="0.25">
      <c r="A173" s="428" t="s">
        <v>35</v>
      </c>
      <c r="B173" s="432">
        <f t="shared" si="6"/>
        <v>4941317</v>
      </c>
      <c r="C173" s="432">
        <v>1889239</v>
      </c>
      <c r="D173" s="432">
        <v>727829</v>
      </c>
      <c r="E173" s="432">
        <v>171860</v>
      </c>
      <c r="F173" s="432">
        <v>1012567</v>
      </c>
      <c r="G173" s="432">
        <v>399247</v>
      </c>
      <c r="H173" s="432">
        <v>10207</v>
      </c>
      <c r="I173" s="432">
        <v>37741</v>
      </c>
      <c r="J173" s="432">
        <v>692627</v>
      </c>
    </row>
    <row r="174" spans="1:10" s="428" customFormat="1" ht="9" customHeight="1" x14ac:dyDescent="0.25">
      <c r="A174" s="428" t="s">
        <v>36</v>
      </c>
      <c r="B174" s="432">
        <f t="shared" si="6"/>
        <v>9674555</v>
      </c>
      <c r="C174" s="432">
        <v>4403245</v>
      </c>
      <c r="D174" s="432">
        <v>1421833</v>
      </c>
      <c r="E174" s="432">
        <v>353676</v>
      </c>
      <c r="F174" s="432">
        <v>2051911</v>
      </c>
      <c r="G174" s="432">
        <v>769506</v>
      </c>
      <c r="H174" s="432">
        <v>49606</v>
      </c>
      <c r="I174" s="432">
        <v>17421</v>
      </c>
      <c r="J174" s="432">
        <v>607357</v>
      </c>
    </row>
    <row r="175" spans="1:10" s="428" customFormat="1" ht="9" customHeight="1" x14ac:dyDescent="0.25">
      <c r="A175" s="475" t="s">
        <v>37</v>
      </c>
      <c r="B175" s="435">
        <f t="shared" si="6"/>
        <v>3471202</v>
      </c>
      <c r="C175" s="435">
        <v>1294816</v>
      </c>
      <c r="D175" s="435">
        <v>504084</v>
      </c>
      <c r="E175" s="435">
        <v>124241</v>
      </c>
      <c r="F175" s="435">
        <v>1043974</v>
      </c>
      <c r="G175" s="435">
        <v>266897</v>
      </c>
      <c r="H175" s="435">
        <v>6257</v>
      </c>
      <c r="I175" s="435">
        <v>11161</v>
      </c>
      <c r="J175" s="435">
        <v>219772</v>
      </c>
    </row>
    <row r="176" spans="1:10" s="428" customFormat="1" ht="9" customHeight="1" x14ac:dyDescent="0.25">
      <c r="A176" s="428" t="s">
        <v>38</v>
      </c>
      <c r="B176" s="432">
        <f t="shared" si="6"/>
        <v>1168758</v>
      </c>
      <c r="C176" s="432">
        <v>467937</v>
      </c>
      <c r="D176" s="432">
        <v>167183</v>
      </c>
      <c r="E176" s="432">
        <v>42473</v>
      </c>
      <c r="F176" s="432">
        <v>270830</v>
      </c>
      <c r="G176" s="432">
        <v>81007</v>
      </c>
      <c r="H176" s="432">
        <v>3817</v>
      </c>
      <c r="I176" s="432">
        <v>1095</v>
      </c>
      <c r="J176" s="432">
        <v>134416</v>
      </c>
    </row>
    <row r="177" spans="1:10" s="428" customFormat="1" ht="9" customHeight="1" x14ac:dyDescent="0.25">
      <c r="A177" s="428" t="s">
        <v>39</v>
      </c>
      <c r="B177" s="432">
        <f t="shared" si="6"/>
        <v>783622</v>
      </c>
      <c r="C177" s="432">
        <v>289092</v>
      </c>
      <c r="D177" s="432">
        <v>112132</v>
      </c>
      <c r="E177" s="432">
        <v>24245</v>
      </c>
      <c r="F177" s="432">
        <v>232686</v>
      </c>
      <c r="G177" s="432">
        <v>49148</v>
      </c>
      <c r="H177" s="432">
        <v>1398</v>
      </c>
      <c r="I177" s="432">
        <v>915</v>
      </c>
      <c r="J177" s="432">
        <v>74006</v>
      </c>
    </row>
    <row r="178" spans="1:10" s="428" customFormat="1" ht="9" customHeight="1" x14ac:dyDescent="0.25">
      <c r="A178" s="428" t="s">
        <v>40</v>
      </c>
      <c r="B178" s="432">
        <f t="shared" si="6"/>
        <v>3181824</v>
      </c>
      <c r="C178" s="432">
        <v>1141346</v>
      </c>
      <c r="D178" s="432">
        <v>387435</v>
      </c>
      <c r="E178" s="432">
        <v>93833</v>
      </c>
      <c r="F178" s="432">
        <v>828957</v>
      </c>
      <c r="G178" s="432">
        <v>183090</v>
      </c>
      <c r="H178" s="432">
        <v>5491</v>
      </c>
      <c r="I178" s="432">
        <v>14934</v>
      </c>
      <c r="J178" s="432">
        <v>526738</v>
      </c>
    </row>
    <row r="179" spans="1:10" s="428" customFormat="1" ht="9" customHeight="1" x14ac:dyDescent="0.25">
      <c r="A179" s="475" t="s">
        <v>41</v>
      </c>
      <c r="B179" s="435">
        <f t="shared" si="6"/>
        <v>3103369</v>
      </c>
      <c r="C179" s="435">
        <v>1082593</v>
      </c>
      <c r="D179" s="435">
        <v>408703</v>
      </c>
      <c r="E179" s="435">
        <v>118101</v>
      </c>
      <c r="F179" s="435">
        <v>1088292</v>
      </c>
      <c r="G179" s="435">
        <v>243350</v>
      </c>
      <c r="H179" s="435">
        <v>1629</v>
      </c>
      <c r="I179" s="435">
        <v>6861</v>
      </c>
      <c r="J179" s="435">
        <v>153840</v>
      </c>
    </row>
    <row r="180" spans="1:10" s="428" customFormat="1" ht="9" customHeight="1" x14ac:dyDescent="0.25">
      <c r="A180" s="428" t="s">
        <v>42</v>
      </c>
      <c r="B180" s="432">
        <f t="shared" si="6"/>
        <v>4575486</v>
      </c>
      <c r="C180" s="432">
        <v>1837370</v>
      </c>
      <c r="D180" s="432">
        <v>595828</v>
      </c>
      <c r="E180" s="432">
        <v>158417</v>
      </c>
      <c r="F180" s="432">
        <v>1381775</v>
      </c>
      <c r="G180" s="432">
        <v>362472</v>
      </c>
      <c r="H180" s="432">
        <v>23824</v>
      </c>
      <c r="I180" s="432">
        <v>23470</v>
      </c>
      <c r="J180" s="432">
        <v>192330</v>
      </c>
    </row>
    <row r="181" spans="1:10" s="428" customFormat="1" ht="9" customHeight="1" x14ac:dyDescent="0.25">
      <c r="A181" s="428" t="s">
        <v>43</v>
      </c>
      <c r="B181" s="432">
        <f t="shared" si="6"/>
        <v>1153052</v>
      </c>
      <c r="C181" s="432">
        <v>463308</v>
      </c>
      <c r="D181" s="432">
        <v>170256</v>
      </c>
      <c r="E181" s="432">
        <v>39787</v>
      </c>
      <c r="F181" s="432">
        <v>265506</v>
      </c>
      <c r="G181" s="432">
        <v>79885</v>
      </c>
      <c r="H181" s="432">
        <v>3476</v>
      </c>
      <c r="I181" s="432">
        <v>3834</v>
      </c>
      <c r="J181" s="432">
        <v>127000</v>
      </c>
    </row>
    <row r="182" spans="1:10" s="428" customFormat="1" ht="9" customHeight="1" x14ac:dyDescent="0.25">
      <c r="A182" s="428" t="s">
        <v>44</v>
      </c>
      <c r="B182" s="432">
        <f t="shared" si="6"/>
        <v>718953</v>
      </c>
      <c r="C182" s="432">
        <v>274139</v>
      </c>
      <c r="D182" s="432">
        <v>100013</v>
      </c>
      <c r="E182" s="432">
        <v>26032</v>
      </c>
      <c r="F182" s="432">
        <v>179214</v>
      </c>
      <c r="G182" s="432">
        <v>62933</v>
      </c>
      <c r="H182" s="432">
        <v>1154</v>
      </c>
      <c r="I182" s="432">
        <v>1241</v>
      </c>
      <c r="J182" s="432">
        <v>74227</v>
      </c>
    </row>
    <row r="183" spans="1:10" s="428" customFormat="1" ht="9" customHeight="1" x14ac:dyDescent="0.25">
      <c r="A183" s="475" t="s">
        <v>45</v>
      </c>
      <c r="B183" s="435">
        <f t="shared" si="6"/>
        <v>2209895</v>
      </c>
      <c r="C183" s="435">
        <v>792044</v>
      </c>
      <c r="D183" s="435">
        <v>258826</v>
      </c>
      <c r="E183" s="435">
        <v>74938</v>
      </c>
      <c r="F183" s="435">
        <v>682333</v>
      </c>
      <c r="G183" s="435">
        <v>141104</v>
      </c>
      <c r="H183" s="435">
        <v>5518</v>
      </c>
      <c r="I183" s="435">
        <v>8574</v>
      </c>
      <c r="J183" s="435">
        <v>246558</v>
      </c>
    </row>
    <row r="184" spans="1:10" s="428" customFormat="1" ht="9" customHeight="1" x14ac:dyDescent="0.25">
      <c r="A184" s="428" t="s">
        <v>46</v>
      </c>
      <c r="B184" s="432">
        <f t="shared" si="6"/>
        <v>2460272</v>
      </c>
      <c r="C184" s="432">
        <v>812917</v>
      </c>
      <c r="D184" s="432">
        <v>310944</v>
      </c>
      <c r="E184" s="432">
        <v>73924</v>
      </c>
      <c r="F184" s="432">
        <v>784386</v>
      </c>
      <c r="G184" s="432">
        <v>145095</v>
      </c>
      <c r="H184" s="432">
        <v>3540</v>
      </c>
      <c r="I184" s="432">
        <v>12364</v>
      </c>
      <c r="J184" s="432">
        <v>317102</v>
      </c>
    </row>
    <row r="185" spans="1:10" s="428" customFormat="1" ht="9" customHeight="1" x14ac:dyDescent="0.25">
      <c r="A185" s="428" t="s">
        <v>47</v>
      </c>
      <c r="B185" s="432">
        <f t="shared" si="6"/>
        <v>1834303</v>
      </c>
      <c r="C185" s="432">
        <v>696835</v>
      </c>
      <c r="D185" s="432">
        <v>260868</v>
      </c>
      <c r="E185" s="432">
        <v>58457</v>
      </c>
      <c r="F185" s="432">
        <v>423703</v>
      </c>
      <c r="G185" s="432">
        <v>124203</v>
      </c>
      <c r="H185" s="432">
        <v>3519</v>
      </c>
      <c r="I185" s="432">
        <v>2206</v>
      </c>
      <c r="J185" s="432">
        <v>264512</v>
      </c>
    </row>
    <row r="186" spans="1:10" s="428" customFormat="1" ht="9" customHeight="1" x14ac:dyDescent="0.25">
      <c r="A186" s="428" t="s">
        <v>48</v>
      </c>
      <c r="B186" s="432">
        <f t="shared" si="6"/>
        <v>1792404</v>
      </c>
      <c r="C186" s="432">
        <v>646935</v>
      </c>
      <c r="D186" s="432">
        <v>232899</v>
      </c>
      <c r="E186" s="432">
        <v>48701</v>
      </c>
      <c r="F186" s="432">
        <v>658724</v>
      </c>
      <c r="G186" s="432">
        <v>110638</v>
      </c>
      <c r="H186" s="432">
        <v>1102</v>
      </c>
      <c r="I186" s="432">
        <v>4909</v>
      </c>
      <c r="J186" s="432">
        <v>88496</v>
      </c>
    </row>
    <row r="187" spans="1:10" s="428" customFormat="1" ht="9" customHeight="1" x14ac:dyDescent="0.25">
      <c r="A187" s="475" t="s">
        <v>49</v>
      </c>
      <c r="B187" s="435">
        <f t="shared" si="6"/>
        <v>2303199</v>
      </c>
      <c r="C187" s="435">
        <v>811761</v>
      </c>
      <c r="D187" s="435">
        <v>307070</v>
      </c>
      <c r="E187" s="435">
        <v>76922</v>
      </c>
      <c r="F187" s="435">
        <v>632143</v>
      </c>
      <c r="G187" s="435">
        <v>156741</v>
      </c>
      <c r="H187" s="435">
        <v>3142</v>
      </c>
      <c r="I187" s="435">
        <v>10324</v>
      </c>
      <c r="J187" s="435">
        <v>305096</v>
      </c>
    </row>
    <row r="188" spans="1:10" s="428" customFormat="1" ht="9" customHeight="1" x14ac:dyDescent="0.25">
      <c r="A188" s="428" t="s">
        <v>50</v>
      </c>
      <c r="B188" s="432">
        <f t="shared" si="6"/>
        <v>782400</v>
      </c>
      <c r="C188" s="432">
        <v>345710</v>
      </c>
      <c r="D188" s="432">
        <v>115989</v>
      </c>
      <c r="E188" s="432">
        <v>26637</v>
      </c>
      <c r="F188" s="432">
        <v>179826</v>
      </c>
      <c r="G188" s="432">
        <v>57405</v>
      </c>
      <c r="H188" s="432">
        <v>2697</v>
      </c>
      <c r="I188" s="432">
        <v>5620</v>
      </c>
      <c r="J188" s="432">
        <v>48516</v>
      </c>
    </row>
    <row r="189" spans="1:10" s="428" customFormat="1" ht="9" customHeight="1" x14ac:dyDescent="0.25">
      <c r="A189" s="428" t="s">
        <v>51</v>
      </c>
      <c r="B189" s="432">
        <f t="shared" si="6"/>
        <v>6315548</v>
      </c>
      <c r="C189" s="432">
        <v>2129114</v>
      </c>
      <c r="D189" s="432">
        <v>701752</v>
      </c>
      <c r="E189" s="432">
        <v>181444</v>
      </c>
      <c r="F189" s="432">
        <v>2367315</v>
      </c>
      <c r="G189" s="432">
        <v>416479</v>
      </c>
      <c r="H189" s="432">
        <v>8556</v>
      </c>
      <c r="I189" s="432">
        <v>42445</v>
      </c>
      <c r="J189" s="432">
        <v>468443</v>
      </c>
    </row>
    <row r="190" spans="1:10" s="428" customFormat="1" ht="9" customHeight="1" x14ac:dyDescent="0.25">
      <c r="A190" s="428" t="s">
        <v>52</v>
      </c>
      <c r="B190" s="432">
        <f t="shared" si="6"/>
        <v>1459945</v>
      </c>
      <c r="C190" s="432">
        <v>526933</v>
      </c>
      <c r="D190" s="432">
        <v>199157</v>
      </c>
      <c r="E190" s="432">
        <v>45006</v>
      </c>
      <c r="F190" s="432">
        <v>475387</v>
      </c>
      <c r="G190" s="432">
        <v>105189</v>
      </c>
      <c r="H190" s="432">
        <v>6918</v>
      </c>
      <c r="I190" s="432">
        <v>5120</v>
      </c>
      <c r="J190" s="432">
        <v>96235</v>
      </c>
    </row>
    <row r="191" spans="1:10" s="428" customFormat="1" ht="9" customHeight="1" x14ac:dyDescent="0.25">
      <c r="A191" s="475" t="s">
        <v>53</v>
      </c>
      <c r="B191" s="435">
        <f t="shared" si="6"/>
        <v>1076654</v>
      </c>
      <c r="C191" s="435">
        <v>419946</v>
      </c>
      <c r="D191" s="435">
        <v>158004</v>
      </c>
      <c r="E191" s="435">
        <v>37817</v>
      </c>
      <c r="F191" s="435">
        <v>319170</v>
      </c>
      <c r="G191" s="435">
        <v>74271</v>
      </c>
      <c r="H191" s="435">
        <v>3659</v>
      </c>
      <c r="I191" s="435">
        <v>5858</v>
      </c>
      <c r="J191" s="435">
        <v>57929</v>
      </c>
    </row>
    <row r="192" spans="1:10" s="428" customFormat="1" ht="9" customHeight="1" x14ac:dyDescent="0.25">
      <c r="A192" s="470"/>
      <c r="B192" s="430"/>
      <c r="C192" s="471"/>
      <c r="D192" s="471"/>
      <c r="E192" s="471"/>
      <c r="F192" s="471"/>
      <c r="G192" s="471"/>
      <c r="H192" s="471"/>
      <c r="I192" s="427"/>
      <c r="J192" s="427"/>
    </row>
    <row r="193" spans="1:12" s="428" customFormat="1" ht="9" customHeight="1" x14ac:dyDescent="0.15">
      <c r="A193" s="489">
        <v>2000</v>
      </c>
      <c r="B193" s="430"/>
      <c r="C193" s="430"/>
      <c r="D193" s="430"/>
      <c r="E193" s="430"/>
      <c r="F193" s="430"/>
      <c r="G193" s="430"/>
      <c r="H193" s="430"/>
      <c r="I193" s="430"/>
      <c r="J193" s="430"/>
      <c r="K193" s="427"/>
    </row>
    <row r="194" spans="1:12" s="473" customFormat="1" ht="9" customHeight="1" x14ac:dyDescent="0.15">
      <c r="A194" s="490" t="s">
        <v>263</v>
      </c>
      <c r="B194" s="430">
        <f>SUM(B196:B227)+4971207</f>
        <v>90554941</v>
      </c>
      <c r="C194" s="430">
        <f>SUM(C196:C227)+2678463</f>
        <v>34838516</v>
      </c>
      <c r="D194" s="430">
        <f>SUM(D196:D227)+408087</f>
        <v>12376961</v>
      </c>
      <c r="E194" s="430">
        <f>SUM(E196:E227)+153598</f>
        <v>3160182</v>
      </c>
      <c r="F194" s="430">
        <f>SUM(F196:F227)+1249114</f>
        <v>21315856</v>
      </c>
      <c r="G194" s="430">
        <f>SUM(G196:G227)+474443</f>
        <v>10113799</v>
      </c>
      <c r="H194" s="430">
        <f>SUM(H196:H227)+54540</f>
        <v>291471</v>
      </c>
      <c r="I194" s="430">
        <f>SUM(I196:I227)+39632</f>
        <v>519503</v>
      </c>
      <c r="J194" s="430">
        <f>SUM(J196:J227)</f>
        <v>8025323</v>
      </c>
      <c r="K194" s="430"/>
    </row>
    <row r="195" spans="1:12" s="473" customFormat="1" ht="3.95" customHeight="1" x14ac:dyDescent="0.25">
      <c r="B195" s="430"/>
      <c r="C195" s="430"/>
      <c r="D195" s="430"/>
      <c r="E195" s="430"/>
      <c r="F195" s="430"/>
      <c r="G195" s="430"/>
      <c r="H195" s="430"/>
      <c r="I195" s="430"/>
      <c r="J195" s="430"/>
    </row>
    <row r="196" spans="1:12" s="428" customFormat="1" ht="9" customHeight="1" x14ac:dyDescent="0.25">
      <c r="A196" s="428" t="s">
        <v>23</v>
      </c>
      <c r="B196" s="432">
        <f t="shared" ref="B196:B227" si="7">SUM(C196:J196)</f>
        <v>772109</v>
      </c>
      <c r="C196" s="432">
        <v>316427</v>
      </c>
      <c r="D196" s="432">
        <v>114421</v>
      </c>
      <c r="E196" s="432">
        <v>27086</v>
      </c>
      <c r="F196" s="432">
        <v>100626</v>
      </c>
      <c r="G196" s="432">
        <v>101277</v>
      </c>
      <c r="H196" s="432">
        <v>1260</v>
      </c>
      <c r="I196" s="432">
        <v>69</v>
      </c>
      <c r="J196" s="432">
        <v>110943</v>
      </c>
      <c r="K196" s="427"/>
      <c r="L196" s="427"/>
    </row>
    <row r="197" spans="1:12" s="428" customFormat="1" ht="9" customHeight="1" x14ac:dyDescent="0.25">
      <c r="A197" s="428" t="s">
        <v>24</v>
      </c>
      <c r="B197" s="432">
        <f t="shared" si="7"/>
        <v>1953102</v>
      </c>
      <c r="C197" s="432">
        <v>831098</v>
      </c>
      <c r="D197" s="432">
        <v>306134</v>
      </c>
      <c r="E197" s="432">
        <v>72796</v>
      </c>
      <c r="F197" s="432">
        <v>367440</v>
      </c>
      <c r="G197" s="432">
        <v>172669</v>
      </c>
      <c r="H197" s="432">
        <v>440</v>
      </c>
      <c r="I197" s="432">
        <v>1817</v>
      </c>
      <c r="J197" s="432">
        <v>200708</v>
      </c>
      <c r="K197" s="427"/>
      <c r="L197" s="427"/>
    </row>
    <row r="198" spans="1:12" s="428" customFormat="1" ht="9" customHeight="1" x14ac:dyDescent="0.25">
      <c r="A198" s="428" t="s">
        <v>25</v>
      </c>
      <c r="B198" s="432">
        <f t="shared" si="7"/>
        <v>366192</v>
      </c>
      <c r="C198" s="432">
        <v>145520</v>
      </c>
      <c r="D198" s="432">
        <v>58271</v>
      </c>
      <c r="E198" s="432">
        <v>12204</v>
      </c>
      <c r="F198" s="432">
        <v>71301</v>
      </c>
      <c r="G198" s="432">
        <v>57006</v>
      </c>
      <c r="H198" s="432">
        <v>383</v>
      </c>
      <c r="I198" s="432">
        <v>945</v>
      </c>
      <c r="J198" s="432">
        <v>20562</v>
      </c>
      <c r="K198" s="427"/>
      <c r="L198" s="427"/>
    </row>
    <row r="199" spans="1:12" s="428" customFormat="1" ht="9" customHeight="1" x14ac:dyDescent="0.25">
      <c r="A199" s="475" t="s">
        <v>26</v>
      </c>
      <c r="B199" s="435">
        <f t="shared" si="7"/>
        <v>718865</v>
      </c>
      <c r="C199" s="435">
        <v>233613</v>
      </c>
      <c r="D199" s="435">
        <v>94946</v>
      </c>
      <c r="E199" s="435">
        <v>21185</v>
      </c>
      <c r="F199" s="435">
        <v>181032</v>
      </c>
      <c r="G199" s="435">
        <v>77838</v>
      </c>
      <c r="H199" s="435">
        <v>1448</v>
      </c>
      <c r="I199" s="435">
        <v>7436</v>
      </c>
      <c r="J199" s="435">
        <v>101367</v>
      </c>
      <c r="K199" s="427"/>
      <c r="L199" s="427"/>
    </row>
    <row r="200" spans="1:12" s="428" customFormat="1" ht="9" customHeight="1" x14ac:dyDescent="0.25">
      <c r="A200" s="428" t="s">
        <v>27</v>
      </c>
      <c r="B200" s="432">
        <f t="shared" si="7"/>
        <v>2212374</v>
      </c>
      <c r="C200" s="432">
        <v>835076</v>
      </c>
      <c r="D200" s="432">
        <v>272890</v>
      </c>
      <c r="E200" s="432">
        <v>69384</v>
      </c>
      <c r="F200" s="432">
        <v>512545</v>
      </c>
      <c r="G200" s="432">
        <v>259657</v>
      </c>
      <c r="H200" s="432">
        <v>5124</v>
      </c>
      <c r="I200" s="432">
        <v>31427</v>
      </c>
      <c r="J200" s="432">
        <v>226271</v>
      </c>
      <c r="K200" s="427"/>
      <c r="L200" s="427"/>
    </row>
    <row r="201" spans="1:12" s="428" customFormat="1" ht="9" customHeight="1" x14ac:dyDescent="0.25">
      <c r="A201" s="428" t="s">
        <v>28</v>
      </c>
      <c r="B201" s="432">
        <f t="shared" si="7"/>
        <v>507228</v>
      </c>
      <c r="C201" s="432">
        <v>153202</v>
      </c>
      <c r="D201" s="432">
        <v>70779</v>
      </c>
      <c r="E201" s="432">
        <v>13836</v>
      </c>
      <c r="F201" s="432">
        <v>134205</v>
      </c>
      <c r="G201" s="432">
        <v>46946</v>
      </c>
      <c r="H201" s="432">
        <v>450</v>
      </c>
      <c r="I201" s="432">
        <v>2098</v>
      </c>
      <c r="J201" s="432">
        <v>85712</v>
      </c>
      <c r="K201" s="427"/>
      <c r="L201" s="427"/>
    </row>
    <row r="202" spans="1:12" s="428" customFormat="1" ht="9" customHeight="1" x14ac:dyDescent="0.25">
      <c r="A202" s="428" t="s">
        <v>29</v>
      </c>
      <c r="B202" s="432">
        <f t="shared" si="7"/>
        <v>3758454</v>
      </c>
      <c r="C202" s="432">
        <v>1363048</v>
      </c>
      <c r="D202" s="432">
        <v>519095</v>
      </c>
      <c r="E202" s="432">
        <v>166386</v>
      </c>
      <c r="F202" s="432">
        <v>1115734</v>
      </c>
      <c r="G202" s="432">
        <v>429044</v>
      </c>
      <c r="H202" s="432">
        <v>2429</v>
      </c>
      <c r="I202" s="432">
        <v>11788</v>
      </c>
      <c r="J202" s="432">
        <v>150930</v>
      </c>
      <c r="K202" s="427"/>
      <c r="L202" s="427"/>
    </row>
    <row r="203" spans="1:12" s="428" customFormat="1" ht="9" customHeight="1" x14ac:dyDescent="0.25">
      <c r="A203" s="475" t="s">
        <v>30</v>
      </c>
      <c r="B203" s="435">
        <f t="shared" si="7"/>
        <v>2733021</v>
      </c>
      <c r="C203" s="435">
        <v>1023585</v>
      </c>
      <c r="D203" s="435">
        <v>361175</v>
      </c>
      <c r="E203" s="435">
        <v>95448</v>
      </c>
      <c r="F203" s="435">
        <v>527436</v>
      </c>
      <c r="G203" s="435">
        <v>299985</v>
      </c>
      <c r="H203" s="435">
        <v>8004</v>
      </c>
      <c r="I203" s="435">
        <v>64723</v>
      </c>
      <c r="J203" s="435">
        <v>352665</v>
      </c>
      <c r="K203" s="427"/>
      <c r="L203" s="427"/>
    </row>
    <row r="204" spans="1:12" s="428" customFormat="1" ht="9" customHeight="1" x14ac:dyDescent="0.25">
      <c r="A204" s="428" t="s">
        <v>63</v>
      </c>
      <c r="B204" s="432">
        <f t="shared" si="7"/>
        <v>4873238</v>
      </c>
      <c r="C204" s="432">
        <v>2252641</v>
      </c>
      <c r="D204" s="432">
        <v>651897</v>
      </c>
      <c r="E204" s="432">
        <v>174645</v>
      </c>
      <c r="F204" s="432">
        <v>970655</v>
      </c>
      <c r="G204" s="432">
        <v>540776</v>
      </c>
      <c r="H204" s="432">
        <v>28152</v>
      </c>
      <c r="I204" s="432">
        <v>11439</v>
      </c>
      <c r="J204" s="432">
        <v>243033</v>
      </c>
      <c r="K204" s="427"/>
      <c r="L204" s="427"/>
    </row>
    <row r="205" spans="1:12" s="428" customFormat="1" ht="9" customHeight="1" x14ac:dyDescent="0.25">
      <c r="A205" s="428" t="s">
        <v>31</v>
      </c>
      <c r="B205" s="432">
        <f t="shared" si="7"/>
        <v>3217292</v>
      </c>
      <c r="C205" s="432">
        <v>748826</v>
      </c>
      <c r="D205" s="432">
        <v>452487</v>
      </c>
      <c r="E205" s="432">
        <v>128602</v>
      </c>
      <c r="F205" s="432">
        <v>832365</v>
      </c>
      <c r="G205" s="432">
        <v>271997</v>
      </c>
      <c r="H205" s="432">
        <v>21901</v>
      </c>
      <c r="I205" s="432">
        <v>7887</v>
      </c>
      <c r="J205" s="432">
        <v>753227</v>
      </c>
      <c r="K205" s="427"/>
      <c r="L205" s="427"/>
    </row>
    <row r="206" spans="1:12" s="428" customFormat="1" ht="9" customHeight="1" x14ac:dyDescent="0.25">
      <c r="A206" s="428" t="s">
        <v>32</v>
      </c>
      <c r="B206" s="432">
        <f t="shared" si="7"/>
        <v>4410588</v>
      </c>
      <c r="C206" s="432">
        <v>1686903</v>
      </c>
      <c r="D206" s="432">
        <v>695678</v>
      </c>
      <c r="E206" s="432">
        <v>158872</v>
      </c>
      <c r="F206" s="432">
        <v>962153</v>
      </c>
      <c r="G206" s="432">
        <v>448397</v>
      </c>
      <c r="H206" s="432">
        <v>5636</v>
      </c>
      <c r="I206" s="432">
        <v>36373</v>
      </c>
      <c r="J206" s="432">
        <v>416576</v>
      </c>
      <c r="K206" s="427"/>
      <c r="L206" s="427"/>
    </row>
    <row r="207" spans="1:12" s="428" customFormat="1" ht="9" customHeight="1" x14ac:dyDescent="0.25">
      <c r="A207" s="475" t="s">
        <v>33</v>
      </c>
      <c r="B207" s="435">
        <f t="shared" si="7"/>
        <v>3041498</v>
      </c>
      <c r="C207" s="435">
        <v>1159748</v>
      </c>
      <c r="D207" s="435">
        <v>408248</v>
      </c>
      <c r="E207" s="435">
        <v>93461</v>
      </c>
      <c r="F207" s="435">
        <v>841586</v>
      </c>
      <c r="G207" s="435">
        <v>387140</v>
      </c>
      <c r="H207" s="435">
        <v>2254</v>
      </c>
      <c r="I207" s="435">
        <v>34483</v>
      </c>
      <c r="J207" s="435">
        <v>114578</v>
      </c>
      <c r="K207" s="427"/>
      <c r="L207" s="427"/>
    </row>
    <row r="208" spans="1:12" s="428" customFormat="1" ht="9" customHeight="1" x14ac:dyDescent="0.25">
      <c r="A208" s="428" t="s">
        <v>34</v>
      </c>
      <c r="B208" s="438">
        <f t="shared" si="7"/>
        <v>1838043</v>
      </c>
      <c r="C208" s="432">
        <v>714545</v>
      </c>
      <c r="D208" s="432">
        <v>277852</v>
      </c>
      <c r="E208" s="432">
        <v>69530</v>
      </c>
      <c r="F208" s="432">
        <v>516730</v>
      </c>
      <c r="G208" s="432">
        <v>155620</v>
      </c>
      <c r="H208" s="432">
        <v>8188</v>
      </c>
      <c r="I208" s="432">
        <v>4027</v>
      </c>
      <c r="J208" s="432">
        <v>91551</v>
      </c>
      <c r="K208" s="427"/>
      <c r="L208" s="427"/>
    </row>
    <row r="209" spans="1:12" s="428" customFormat="1" ht="9" customHeight="1" x14ac:dyDescent="0.25">
      <c r="A209" s="428" t="s">
        <v>35</v>
      </c>
      <c r="B209" s="432">
        <f t="shared" si="7"/>
        <v>5443490</v>
      </c>
      <c r="C209" s="432">
        <v>2007870</v>
      </c>
      <c r="D209" s="432">
        <v>842803</v>
      </c>
      <c r="E209" s="432">
        <v>179971</v>
      </c>
      <c r="F209" s="432">
        <v>1042406</v>
      </c>
      <c r="G209" s="432">
        <v>716568</v>
      </c>
      <c r="H209" s="432">
        <v>13777</v>
      </c>
      <c r="I209" s="432">
        <v>60139</v>
      </c>
      <c r="J209" s="432">
        <v>579956</v>
      </c>
      <c r="K209" s="427"/>
      <c r="L209" s="427"/>
    </row>
    <row r="210" spans="1:12" s="428" customFormat="1" ht="9" customHeight="1" x14ac:dyDescent="0.25">
      <c r="A210" s="428" t="s">
        <v>36</v>
      </c>
      <c r="B210" s="432">
        <f t="shared" si="7"/>
        <v>10670965</v>
      </c>
      <c r="C210" s="432">
        <v>4468838</v>
      </c>
      <c r="D210" s="432">
        <v>1569053</v>
      </c>
      <c r="E210" s="432">
        <v>379291</v>
      </c>
      <c r="F210" s="432">
        <v>2292525</v>
      </c>
      <c r="G210" s="432">
        <v>1080988</v>
      </c>
      <c r="H210" s="432">
        <v>59971</v>
      </c>
      <c r="I210" s="432">
        <v>18394</v>
      </c>
      <c r="J210" s="432">
        <v>801905</v>
      </c>
      <c r="K210" s="427"/>
      <c r="L210" s="427"/>
    </row>
    <row r="211" spans="1:12" s="428" customFormat="1" ht="9" customHeight="1" x14ac:dyDescent="0.25">
      <c r="A211" s="475" t="s">
        <v>37</v>
      </c>
      <c r="B211" s="435">
        <f t="shared" si="7"/>
        <v>3532699</v>
      </c>
      <c r="C211" s="435">
        <v>1332483</v>
      </c>
      <c r="D211" s="435">
        <v>517834</v>
      </c>
      <c r="E211" s="435">
        <v>142064</v>
      </c>
      <c r="F211" s="435">
        <v>890829</v>
      </c>
      <c r="G211" s="435">
        <v>409954</v>
      </c>
      <c r="H211" s="435">
        <v>4720</v>
      </c>
      <c r="I211" s="435">
        <v>7510</v>
      </c>
      <c r="J211" s="435">
        <v>227305</v>
      </c>
      <c r="K211" s="427"/>
      <c r="L211" s="427"/>
    </row>
    <row r="212" spans="1:12" s="428" customFormat="1" ht="9" customHeight="1" x14ac:dyDescent="0.25">
      <c r="A212" s="428" t="s">
        <v>38</v>
      </c>
      <c r="B212" s="432">
        <f t="shared" si="7"/>
        <v>1271750</v>
      </c>
      <c r="C212" s="432">
        <v>480862</v>
      </c>
      <c r="D212" s="432">
        <v>173521</v>
      </c>
      <c r="E212" s="432">
        <v>42491</v>
      </c>
      <c r="F212" s="432">
        <v>281272</v>
      </c>
      <c r="G212" s="432">
        <v>139876</v>
      </c>
      <c r="H212" s="432">
        <v>3972</v>
      </c>
      <c r="I212" s="432">
        <v>4728</v>
      </c>
      <c r="J212" s="432">
        <v>145028</v>
      </c>
      <c r="K212" s="427"/>
      <c r="L212" s="427"/>
    </row>
    <row r="213" spans="1:12" s="428" customFormat="1" ht="9" customHeight="1" x14ac:dyDescent="0.25">
      <c r="A213" s="428" t="s">
        <v>39</v>
      </c>
      <c r="B213" s="432">
        <f t="shared" si="7"/>
        <v>830861</v>
      </c>
      <c r="C213" s="432">
        <v>279850</v>
      </c>
      <c r="D213" s="432">
        <v>114249</v>
      </c>
      <c r="E213" s="432">
        <v>25100</v>
      </c>
      <c r="F213" s="432">
        <v>238585</v>
      </c>
      <c r="G213" s="432">
        <v>80959</v>
      </c>
      <c r="H213" s="432">
        <v>1768</v>
      </c>
      <c r="I213" s="432">
        <v>678</v>
      </c>
      <c r="J213" s="432">
        <v>89672</v>
      </c>
      <c r="K213" s="427"/>
      <c r="L213" s="427"/>
    </row>
    <row r="214" spans="1:12" s="428" customFormat="1" ht="9" customHeight="1" x14ac:dyDescent="0.25">
      <c r="A214" s="428" t="s">
        <v>40</v>
      </c>
      <c r="B214" s="432">
        <f t="shared" si="7"/>
        <v>3444001</v>
      </c>
      <c r="C214" s="432">
        <v>1165817</v>
      </c>
      <c r="D214" s="432">
        <v>406932</v>
      </c>
      <c r="E214" s="432">
        <v>99251</v>
      </c>
      <c r="F214" s="432">
        <v>745642</v>
      </c>
      <c r="G214" s="432">
        <v>352451</v>
      </c>
      <c r="H214" s="432">
        <v>4826</v>
      </c>
      <c r="I214" s="432">
        <v>14649</v>
      </c>
      <c r="J214" s="432">
        <v>654433</v>
      </c>
      <c r="K214" s="427"/>
      <c r="L214" s="427"/>
    </row>
    <row r="215" spans="1:12" s="428" customFormat="1" ht="9" customHeight="1" x14ac:dyDescent="0.25">
      <c r="A215" s="475" t="s">
        <v>41</v>
      </c>
      <c r="B215" s="435">
        <f t="shared" si="7"/>
        <v>3193601</v>
      </c>
      <c r="C215" s="435">
        <v>1107760</v>
      </c>
      <c r="D215" s="435">
        <v>416411</v>
      </c>
      <c r="E215" s="435">
        <v>119570</v>
      </c>
      <c r="F215" s="435">
        <v>876794</v>
      </c>
      <c r="G215" s="435">
        <v>443947</v>
      </c>
      <c r="H215" s="435">
        <v>2207</v>
      </c>
      <c r="I215" s="435">
        <v>10865</v>
      </c>
      <c r="J215" s="435">
        <v>216047</v>
      </c>
      <c r="K215" s="427"/>
      <c r="L215" s="427"/>
    </row>
    <row r="216" spans="1:12" s="428" customFormat="1" ht="9" customHeight="1" x14ac:dyDescent="0.25">
      <c r="A216" s="428" t="s">
        <v>42</v>
      </c>
      <c r="B216" s="432">
        <f t="shared" si="7"/>
        <v>4424563</v>
      </c>
      <c r="C216" s="432">
        <v>1822395</v>
      </c>
      <c r="D216" s="432">
        <v>641124</v>
      </c>
      <c r="E216" s="432">
        <v>162873</v>
      </c>
      <c r="F216" s="432">
        <v>984998</v>
      </c>
      <c r="G216" s="432">
        <v>555849</v>
      </c>
      <c r="H216" s="432">
        <v>21918</v>
      </c>
      <c r="I216" s="432">
        <v>14610</v>
      </c>
      <c r="J216" s="432">
        <v>220796</v>
      </c>
      <c r="K216" s="427"/>
      <c r="L216" s="427"/>
    </row>
    <row r="217" spans="1:12" s="428" customFormat="1" ht="9" customHeight="1" x14ac:dyDescent="0.25">
      <c r="A217" s="428" t="s">
        <v>43</v>
      </c>
      <c r="B217" s="432">
        <f t="shared" si="7"/>
        <v>1184498</v>
      </c>
      <c r="C217" s="432">
        <v>463656</v>
      </c>
      <c r="D217" s="432">
        <v>178593</v>
      </c>
      <c r="E217" s="432">
        <v>40973</v>
      </c>
      <c r="F217" s="432">
        <v>228924</v>
      </c>
      <c r="G217" s="432">
        <v>152546</v>
      </c>
      <c r="H217" s="432">
        <v>3041</v>
      </c>
      <c r="I217" s="432">
        <v>2142</v>
      </c>
      <c r="J217" s="432">
        <v>114623</v>
      </c>
      <c r="K217" s="427"/>
      <c r="L217" s="427"/>
    </row>
    <row r="218" spans="1:12" s="428" customFormat="1" ht="9" customHeight="1" x14ac:dyDescent="0.25">
      <c r="A218" s="428" t="s">
        <v>44</v>
      </c>
      <c r="B218" s="432">
        <f t="shared" si="7"/>
        <v>962116</v>
      </c>
      <c r="C218" s="432">
        <v>395351</v>
      </c>
      <c r="D218" s="432">
        <v>121544</v>
      </c>
      <c r="E218" s="432">
        <v>24591</v>
      </c>
      <c r="F218" s="432">
        <v>195063</v>
      </c>
      <c r="G218" s="432">
        <v>130087</v>
      </c>
      <c r="H218" s="432">
        <v>1109</v>
      </c>
      <c r="I218" s="432">
        <v>568</v>
      </c>
      <c r="J218" s="432">
        <v>93803</v>
      </c>
      <c r="K218" s="427"/>
      <c r="L218" s="427"/>
    </row>
    <row r="219" spans="1:12" s="428" customFormat="1" ht="9" customHeight="1" x14ac:dyDescent="0.25">
      <c r="A219" s="475" t="s">
        <v>45</v>
      </c>
      <c r="B219" s="435">
        <f t="shared" si="7"/>
        <v>2080023</v>
      </c>
      <c r="C219" s="435">
        <v>782773</v>
      </c>
      <c r="D219" s="435">
        <v>276425</v>
      </c>
      <c r="E219" s="435">
        <v>77384</v>
      </c>
      <c r="F219" s="435">
        <v>444346</v>
      </c>
      <c r="G219" s="435">
        <v>245600</v>
      </c>
      <c r="H219" s="435">
        <v>5191</v>
      </c>
      <c r="I219" s="435">
        <v>1569</v>
      </c>
      <c r="J219" s="435">
        <v>246735</v>
      </c>
      <c r="K219" s="427"/>
      <c r="L219" s="427"/>
    </row>
    <row r="220" spans="1:12" s="428" customFormat="1" ht="9" customHeight="1" x14ac:dyDescent="0.25">
      <c r="A220" s="428" t="s">
        <v>46</v>
      </c>
      <c r="B220" s="432">
        <f t="shared" si="7"/>
        <v>2657987</v>
      </c>
      <c r="C220" s="432">
        <v>808397</v>
      </c>
      <c r="D220" s="432">
        <v>319259</v>
      </c>
      <c r="E220" s="432">
        <v>81325</v>
      </c>
      <c r="F220" s="432">
        <v>713377</v>
      </c>
      <c r="G220" s="432">
        <v>403761</v>
      </c>
      <c r="H220" s="432">
        <v>3903</v>
      </c>
      <c r="I220" s="432">
        <v>10700</v>
      </c>
      <c r="J220" s="432">
        <v>317265</v>
      </c>
      <c r="K220" s="427"/>
      <c r="L220" s="427"/>
    </row>
    <row r="221" spans="1:12" s="428" customFormat="1" ht="9" customHeight="1" x14ac:dyDescent="0.25">
      <c r="A221" s="428" t="s">
        <v>47</v>
      </c>
      <c r="B221" s="432">
        <f t="shared" si="7"/>
        <v>1895347</v>
      </c>
      <c r="C221" s="432">
        <v>714253</v>
      </c>
      <c r="D221" s="432">
        <v>264446</v>
      </c>
      <c r="E221" s="432">
        <v>60978</v>
      </c>
      <c r="F221" s="432">
        <v>377261</v>
      </c>
      <c r="G221" s="432">
        <v>304986</v>
      </c>
      <c r="H221" s="432">
        <v>3017</v>
      </c>
      <c r="I221" s="432">
        <v>3356</v>
      </c>
      <c r="J221" s="432">
        <v>167050</v>
      </c>
      <c r="K221" s="427"/>
      <c r="L221" s="427"/>
    </row>
    <row r="222" spans="1:12" s="428" customFormat="1" ht="9" customHeight="1" x14ac:dyDescent="0.25">
      <c r="A222" s="428" t="s">
        <v>48</v>
      </c>
      <c r="B222" s="432">
        <f t="shared" si="7"/>
        <v>1648848</v>
      </c>
      <c r="C222" s="432">
        <v>640492</v>
      </c>
      <c r="D222" s="432">
        <v>265746</v>
      </c>
      <c r="E222" s="432">
        <v>52323</v>
      </c>
      <c r="F222" s="432">
        <v>435525</v>
      </c>
      <c r="G222" s="432">
        <v>179230</v>
      </c>
      <c r="H222" s="432">
        <v>1040</v>
      </c>
      <c r="I222" s="432">
        <v>2315</v>
      </c>
      <c r="J222" s="432">
        <v>72177</v>
      </c>
      <c r="K222" s="427"/>
      <c r="L222" s="427"/>
    </row>
    <row r="223" spans="1:12" s="428" customFormat="1" ht="9" customHeight="1" x14ac:dyDescent="0.25">
      <c r="A223" s="475" t="s">
        <v>49</v>
      </c>
      <c r="B223" s="435">
        <f t="shared" si="7"/>
        <v>2547344</v>
      </c>
      <c r="C223" s="435">
        <v>808041</v>
      </c>
      <c r="D223" s="435">
        <v>332880</v>
      </c>
      <c r="E223" s="435">
        <v>88662</v>
      </c>
      <c r="F223" s="435">
        <v>622043</v>
      </c>
      <c r="G223" s="435">
        <v>271919</v>
      </c>
      <c r="H223" s="435">
        <v>2223</v>
      </c>
      <c r="I223" s="435">
        <v>8024</v>
      </c>
      <c r="J223" s="435">
        <v>413552</v>
      </c>
      <c r="K223" s="427"/>
      <c r="L223" s="427"/>
    </row>
    <row r="224" spans="1:12" s="428" customFormat="1" ht="9" customHeight="1" x14ac:dyDescent="0.25">
      <c r="A224" s="428" t="s">
        <v>50</v>
      </c>
      <c r="B224" s="432">
        <f t="shared" si="7"/>
        <v>893548</v>
      </c>
      <c r="C224" s="432">
        <v>337803</v>
      </c>
      <c r="D224" s="432">
        <v>120378</v>
      </c>
      <c r="E224" s="432">
        <v>26754</v>
      </c>
      <c r="F224" s="432">
        <v>180104</v>
      </c>
      <c r="G224" s="432">
        <v>132064</v>
      </c>
      <c r="H224" s="432">
        <v>3628</v>
      </c>
      <c r="I224" s="432">
        <v>10790</v>
      </c>
      <c r="J224" s="432">
        <v>82027</v>
      </c>
      <c r="K224" s="427"/>
      <c r="L224" s="427"/>
    </row>
    <row r="225" spans="1:12" s="428" customFormat="1" ht="9" customHeight="1" x14ac:dyDescent="0.25">
      <c r="A225" s="428" t="s">
        <v>51</v>
      </c>
      <c r="B225" s="432">
        <f t="shared" si="7"/>
        <v>5997008</v>
      </c>
      <c r="C225" s="432">
        <v>2151936</v>
      </c>
      <c r="D225" s="432">
        <v>768356</v>
      </c>
      <c r="E225" s="432">
        <v>210101</v>
      </c>
      <c r="F225" s="432">
        <v>1764750</v>
      </c>
      <c r="G225" s="432">
        <v>533049</v>
      </c>
      <c r="H225" s="432">
        <v>8736</v>
      </c>
      <c r="I225" s="432">
        <v>80922</v>
      </c>
      <c r="J225" s="432">
        <v>479158</v>
      </c>
      <c r="K225" s="427"/>
      <c r="L225" s="427"/>
    </row>
    <row r="226" spans="1:12" s="428" customFormat="1" ht="9" customHeight="1" x14ac:dyDescent="0.25">
      <c r="A226" s="428" t="s">
        <v>52</v>
      </c>
      <c r="B226" s="432">
        <f t="shared" si="7"/>
        <v>1335600</v>
      </c>
      <c r="C226" s="432">
        <v>496648</v>
      </c>
      <c r="D226" s="432">
        <v>185200</v>
      </c>
      <c r="E226" s="432">
        <v>46254</v>
      </c>
      <c r="F226" s="432">
        <v>304787</v>
      </c>
      <c r="G226" s="432">
        <v>137966</v>
      </c>
      <c r="H226" s="432">
        <v>5728</v>
      </c>
      <c r="I226" s="432">
        <v>7152</v>
      </c>
      <c r="J226" s="432">
        <v>151865</v>
      </c>
      <c r="K226" s="427"/>
      <c r="L226" s="427"/>
    </row>
    <row r="227" spans="1:12" s="428" customFormat="1" ht="9" customHeight="1" x14ac:dyDescent="0.25">
      <c r="A227" s="475" t="s">
        <v>53</v>
      </c>
      <c r="B227" s="435">
        <f t="shared" si="7"/>
        <v>1167481</v>
      </c>
      <c r="C227" s="435">
        <v>430596</v>
      </c>
      <c r="D227" s="435">
        <v>170247</v>
      </c>
      <c r="E227" s="435">
        <v>43193</v>
      </c>
      <c r="F227" s="435">
        <v>313703</v>
      </c>
      <c r="G227" s="435">
        <v>119204</v>
      </c>
      <c r="H227" s="435">
        <v>487</v>
      </c>
      <c r="I227" s="435">
        <v>6248</v>
      </c>
      <c r="J227" s="435">
        <v>83803</v>
      </c>
      <c r="K227" s="427"/>
      <c r="L227" s="427"/>
    </row>
    <row r="228" spans="1:12" s="428" customFormat="1" ht="9" customHeight="1" x14ac:dyDescent="0.25">
      <c r="B228" s="430"/>
      <c r="C228" s="471"/>
      <c r="D228" s="471"/>
      <c r="E228" s="471"/>
      <c r="F228" s="471"/>
      <c r="G228" s="471"/>
      <c r="H228" s="471"/>
      <c r="I228" s="427"/>
      <c r="J228" s="427"/>
    </row>
    <row r="229" spans="1:12" s="428" customFormat="1" ht="9" customHeight="1" x14ac:dyDescent="0.25">
      <c r="A229" s="470">
        <v>2001</v>
      </c>
      <c r="B229" s="430"/>
      <c r="C229" s="471"/>
      <c r="D229" s="471"/>
      <c r="E229" s="471"/>
      <c r="F229" s="471"/>
      <c r="G229" s="471"/>
      <c r="H229" s="471"/>
      <c r="I229" s="427"/>
      <c r="J229" s="427"/>
    </row>
    <row r="230" spans="1:12" s="473" customFormat="1" ht="9" customHeight="1" x14ac:dyDescent="0.15">
      <c r="A230" s="490" t="s">
        <v>263</v>
      </c>
      <c r="B230" s="491">
        <f>SUM(B232:B263)+1081274</f>
        <v>99714532</v>
      </c>
      <c r="C230" s="491">
        <f>SUM(C232:C263)+234795</f>
        <v>38391090</v>
      </c>
      <c r="D230" s="491">
        <f>SUM(D232:D263)+40686</f>
        <v>12024526</v>
      </c>
      <c r="E230" s="491">
        <f>SUM(E232:E263)+10473</f>
        <v>3058842</v>
      </c>
      <c r="F230" s="491">
        <f>SUM(F232:F263)+105162</f>
        <v>21167712</v>
      </c>
      <c r="G230" s="491">
        <f>SUM(G232:G263)+86458</f>
        <v>11826766</v>
      </c>
      <c r="H230" s="491">
        <f>SUM(H232:H263)</f>
        <v>208666</v>
      </c>
      <c r="I230" s="491">
        <f>SUM(I232:I263)</f>
        <v>257599</v>
      </c>
      <c r="J230" s="491">
        <f>SUM(J232:J263)</f>
        <v>12175603</v>
      </c>
    </row>
    <row r="231" spans="1:12" s="473" customFormat="1" ht="3.95" customHeight="1" x14ac:dyDescent="0.25">
      <c r="B231" s="491"/>
      <c r="C231" s="491"/>
      <c r="D231" s="491"/>
      <c r="E231" s="491"/>
      <c r="F231" s="491"/>
      <c r="G231" s="491"/>
      <c r="H231" s="491"/>
      <c r="I231" s="491"/>
      <c r="J231" s="491"/>
    </row>
    <row r="232" spans="1:12" s="428" customFormat="1" ht="9" customHeight="1" x14ac:dyDescent="0.25">
      <c r="A232" s="428" t="s">
        <v>23</v>
      </c>
      <c r="B232" s="492">
        <f t="shared" ref="B232:B263" si="8">SUM(C232:J232)</f>
        <v>952777</v>
      </c>
      <c r="C232" s="492">
        <v>436846</v>
      </c>
      <c r="D232" s="492">
        <v>103990</v>
      </c>
      <c r="E232" s="492">
        <v>29059</v>
      </c>
      <c r="F232" s="492">
        <v>129898</v>
      </c>
      <c r="G232" s="492">
        <v>93495</v>
      </c>
      <c r="H232" s="492">
        <v>917</v>
      </c>
      <c r="I232" s="492">
        <v>319</v>
      </c>
      <c r="J232" s="492">
        <v>158253</v>
      </c>
      <c r="K232" s="428">
        <v>158253</v>
      </c>
    </row>
    <row r="233" spans="1:12" s="428" customFormat="1" ht="9" customHeight="1" x14ac:dyDescent="0.25">
      <c r="A233" s="428" t="s">
        <v>24</v>
      </c>
      <c r="B233" s="492">
        <f t="shared" si="8"/>
        <v>2615265</v>
      </c>
      <c r="C233" s="492">
        <v>1126443</v>
      </c>
      <c r="D233" s="492">
        <v>310004</v>
      </c>
      <c r="E233" s="492">
        <v>80127</v>
      </c>
      <c r="F233" s="492">
        <v>474086</v>
      </c>
      <c r="G233" s="492">
        <v>267646</v>
      </c>
      <c r="H233" s="492">
        <v>399</v>
      </c>
      <c r="I233" s="492">
        <v>2575</v>
      </c>
      <c r="J233" s="492">
        <v>353985</v>
      </c>
      <c r="K233" s="428">
        <v>353985</v>
      </c>
    </row>
    <row r="234" spans="1:12" s="428" customFormat="1" ht="9" customHeight="1" x14ac:dyDescent="0.25">
      <c r="A234" s="428" t="s">
        <v>25</v>
      </c>
      <c r="B234" s="492">
        <f t="shared" si="8"/>
        <v>427795</v>
      </c>
      <c r="C234" s="492">
        <v>183772</v>
      </c>
      <c r="D234" s="492">
        <v>56039</v>
      </c>
      <c r="E234" s="492">
        <v>12599</v>
      </c>
      <c r="F234" s="492">
        <v>71928</v>
      </c>
      <c r="G234" s="492">
        <v>47538</v>
      </c>
      <c r="H234" s="492">
        <v>339</v>
      </c>
      <c r="I234" s="492">
        <v>3761</v>
      </c>
      <c r="J234" s="492">
        <v>51819</v>
      </c>
      <c r="K234" s="428">
        <v>51819</v>
      </c>
    </row>
    <row r="235" spans="1:12" s="428" customFormat="1" ht="9" customHeight="1" x14ac:dyDescent="0.25">
      <c r="A235" s="475" t="s">
        <v>26</v>
      </c>
      <c r="B235" s="493">
        <f>SUM(C235:J235)+28</f>
        <v>794017</v>
      </c>
      <c r="C235" s="493">
        <v>270671</v>
      </c>
      <c r="D235" s="493">
        <v>88921</v>
      </c>
      <c r="E235" s="493">
        <v>19383</v>
      </c>
      <c r="F235" s="493">
        <v>192526</v>
      </c>
      <c r="G235" s="493">
        <v>102363</v>
      </c>
      <c r="H235" s="493">
        <v>1190</v>
      </c>
      <c r="I235" s="493">
        <v>2304</v>
      </c>
      <c r="J235" s="493">
        <v>116631</v>
      </c>
      <c r="K235" s="428">
        <v>116631</v>
      </c>
    </row>
    <row r="236" spans="1:12" s="428" customFormat="1" ht="9" customHeight="1" x14ac:dyDescent="0.25">
      <c r="A236" s="428" t="s">
        <v>27</v>
      </c>
      <c r="B236" s="492">
        <f t="shared" si="8"/>
        <v>2581925</v>
      </c>
      <c r="C236" s="492">
        <v>1014953</v>
      </c>
      <c r="D236" s="492">
        <v>285415</v>
      </c>
      <c r="E236" s="492">
        <v>66088</v>
      </c>
      <c r="F236" s="492">
        <v>482503</v>
      </c>
      <c r="G236" s="492">
        <v>310104</v>
      </c>
      <c r="H236" s="492">
        <v>5140</v>
      </c>
      <c r="I236" s="492">
        <v>10757</v>
      </c>
      <c r="J236" s="492">
        <v>406965</v>
      </c>
      <c r="K236" s="428">
        <v>406965</v>
      </c>
    </row>
    <row r="237" spans="1:12" s="428" customFormat="1" ht="9" customHeight="1" x14ac:dyDescent="0.25">
      <c r="A237" s="428" t="s">
        <v>28</v>
      </c>
      <c r="B237" s="492">
        <f t="shared" si="8"/>
        <v>595807</v>
      </c>
      <c r="C237" s="492">
        <v>213000</v>
      </c>
      <c r="D237" s="492">
        <v>63586</v>
      </c>
      <c r="E237" s="492">
        <v>12244</v>
      </c>
      <c r="F237" s="492">
        <v>135229</v>
      </c>
      <c r="G237" s="492">
        <v>87114</v>
      </c>
      <c r="H237" s="492">
        <v>338</v>
      </c>
      <c r="I237" s="492">
        <v>1489</v>
      </c>
      <c r="J237" s="492">
        <v>82807</v>
      </c>
      <c r="K237" s="428">
        <v>82807</v>
      </c>
    </row>
    <row r="238" spans="1:12" s="428" customFormat="1" ht="9" customHeight="1" x14ac:dyDescent="0.25">
      <c r="A238" s="428" t="s">
        <v>29</v>
      </c>
      <c r="B238" s="492">
        <f t="shared" si="8"/>
        <v>3918298</v>
      </c>
      <c r="C238" s="492">
        <v>1505363</v>
      </c>
      <c r="D238" s="492">
        <v>536075</v>
      </c>
      <c r="E238" s="492">
        <v>179975</v>
      </c>
      <c r="F238" s="492">
        <v>984717</v>
      </c>
      <c r="G238" s="492">
        <v>496871</v>
      </c>
      <c r="H238" s="492">
        <v>2283</v>
      </c>
      <c r="I238" s="492">
        <v>4181</v>
      </c>
      <c r="J238" s="492">
        <v>208833</v>
      </c>
      <c r="K238" s="428">
        <v>208833</v>
      </c>
    </row>
    <row r="239" spans="1:12" s="428" customFormat="1" ht="9" customHeight="1" x14ac:dyDescent="0.25">
      <c r="A239" s="475" t="s">
        <v>30</v>
      </c>
      <c r="B239" s="493">
        <f t="shared" si="8"/>
        <v>3450269</v>
      </c>
      <c r="C239" s="493">
        <v>1354033</v>
      </c>
      <c r="D239" s="493">
        <v>376436</v>
      </c>
      <c r="E239" s="493">
        <v>104108</v>
      </c>
      <c r="F239" s="493">
        <v>645517</v>
      </c>
      <c r="G239" s="493">
        <v>335088</v>
      </c>
      <c r="H239" s="493">
        <v>2413</v>
      </c>
      <c r="I239" s="493">
        <v>54944</v>
      </c>
      <c r="J239" s="493">
        <v>577730</v>
      </c>
      <c r="K239" s="428">
        <v>577730</v>
      </c>
    </row>
    <row r="240" spans="1:12" s="428" customFormat="1" ht="9" customHeight="1" x14ac:dyDescent="0.25">
      <c r="A240" s="428" t="s">
        <v>63</v>
      </c>
      <c r="B240" s="492">
        <f t="shared" si="8"/>
        <v>5224356</v>
      </c>
      <c r="C240" s="492">
        <v>2332267</v>
      </c>
      <c r="D240" s="492">
        <v>624825</v>
      </c>
      <c r="E240" s="492">
        <v>170380</v>
      </c>
      <c r="F240" s="492">
        <v>980073</v>
      </c>
      <c r="G240" s="492">
        <v>680823</v>
      </c>
      <c r="H240" s="492">
        <v>24535</v>
      </c>
      <c r="I240" s="492">
        <v>15901</v>
      </c>
      <c r="J240" s="492">
        <v>395552</v>
      </c>
      <c r="K240" s="428">
        <v>395552</v>
      </c>
    </row>
    <row r="241" spans="1:11" s="428" customFormat="1" ht="9" customHeight="1" x14ac:dyDescent="0.25">
      <c r="A241" s="428" t="s">
        <v>31</v>
      </c>
      <c r="B241" s="492">
        <f t="shared" si="8"/>
        <v>4021855</v>
      </c>
      <c r="C241" s="492">
        <v>1198202</v>
      </c>
      <c r="D241" s="492">
        <v>426653</v>
      </c>
      <c r="E241" s="492">
        <v>128154</v>
      </c>
      <c r="F241" s="492">
        <v>860012</v>
      </c>
      <c r="G241" s="492">
        <v>360988</v>
      </c>
      <c r="H241" s="492">
        <v>21353</v>
      </c>
      <c r="I241" s="492">
        <v>1125</v>
      </c>
      <c r="J241" s="492">
        <v>1025368</v>
      </c>
      <c r="K241" s="428">
        <v>1025368</v>
      </c>
    </row>
    <row r="242" spans="1:11" s="428" customFormat="1" ht="9" customHeight="1" x14ac:dyDescent="0.25">
      <c r="A242" s="428" t="s">
        <v>32</v>
      </c>
      <c r="B242" s="492">
        <f t="shared" si="8"/>
        <v>5026953</v>
      </c>
      <c r="C242" s="492">
        <v>2074766</v>
      </c>
      <c r="D242" s="492">
        <v>681296</v>
      </c>
      <c r="E242" s="492">
        <v>148198</v>
      </c>
      <c r="F242" s="492">
        <v>1037024</v>
      </c>
      <c r="G242" s="492">
        <v>511092</v>
      </c>
      <c r="H242" s="492">
        <v>6239</v>
      </c>
      <c r="I242" s="492">
        <v>20302</v>
      </c>
      <c r="J242" s="492">
        <v>548036</v>
      </c>
      <c r="K242" s="428">
        <v>548036</v>
      </c>
    </row>
    <row r="243" spans="1:11" s="428" customFormat="1" ht="9" customHeight="1" x14ac:dyDescent="0.25">
      <c r="A243" s="475" t="s">
        <v>33</v>
      </c>
      <c r="B243" s="493">
        <f t="shared" si="8"/>
        <v>3550697</v>
      </c>
      <c r="C243" s="493">
        <v>1315962</v>
      </c>
      <c r="D243" s="493">
        <v>417877</v>
      </c>
      <c r="E243" s="493">
        <v>88278</v>
      </c>
      <c r="F243" s="493">
        <v>976886</v>
      </c>
      <c r="G243" s="493">
        <v>432517</v>
      </c>
      <c r="H243" s="493">
        <v>2563</v>
      </c>
      <c r="I243" s="493">
        <v>15491</v>
      </c>
      <c r="J243" s="493">
        <v>301123</v>
      </c>
      <c r="K243" s="428">
        <v>301123</v>
      </c>
    </row>
    <row r="244" spans="1:11" s="428" customFormat="1" ht="9" customHeight="1" x14ac:dyDescent="0.25">
      <c r="A244" s="428" t="s">
        <v>34</v>
      </c>
      <c r="B244" s="492">
        <f t="shared" si="8"/>
        <v>2172734</v>
      </c>
      <c r="C244" s="492">
        <v>762480</v>
      </c>
      <c r="D244" s="492">
        <v>266736</v>
      </c>
      <c r="E244" s="492">
        <v>73517</v>
      </c>
      <c r="F244" s="492">
        <v>509552</v>
      </c>
      <c r="G244" s="492">
        <v>253933</v>
      </c>
      <c r="H244" s="492">
        <v>9911</v>
      </c>
      <c r="I244" s="492">
        <v>294</v>
      </c>
      <c r="J244" s="492">
        <v>296311</v>
      </c>
      <c r="K244" s="428">
        <v>296311</v>
      </c>
    </row>
    <row r="245" spans="1:11" s="428" customFormat="1" ht="9" customHeight="1" x14ac:dyDescent="0.25">
      <c r="A245" s="428" t="s">
        <v>35</v>
      </c>
      <c r="B245" s="492">
        <f t="shared" si="8"/>
        <v>6039640</v>
      </c>
      <c r="C245" s="492">
        <v>2402000</v>
      </c>
      <c r="D245" s="492">
        <v>810073</v>
      </c>
      <c r="E245" s="492">
        <v>167185</v>
      </c>
      <c r="F245" s="492">
        <v>1067416</v>
      </c>
      <c r="G245" s="492">
        <v>725083</v>
      </c>
      <c r="H245" s="492">
        <v>12493</v>
      </c>
      <c r="I245" s="492">
        <v>38847</v>
      </c>
      <c r="J245" s="492">
        <v>816543</v>
      </c>
      <c r="K245" s="428">
        <v>816543</v>
      </c>
    </row>
    <row r="246" spans="1:11" s="428" customFormat="1" ht="9" customHeight="1" x14ac:dyDescent="0.25">
      <c r="A246" s="428" t="s">
        <v>36</v>
      </c>
      <c r="B246" s="492">
        <f t="shared" si="8"/>
        <v>12868878</v>
      </c>
      <c r="C246" s="492">
        <v>5309933</v>
      </c>
      <c r="D246" s="492">
        <v>1582105</v>
      </c>
      <c r="E246" s="492">
        <v>369316</v>
      </c>
      <c r="F246" s="492">
        <v>2541854</v>
      </c>
      <c r="G246" s="492">
        <v>1802441</v>
      </c>
      <c r="H246" s="492">
        <v>42438</v>
      </c>
      <c r="I246" s="492">
        <v>2499</v>
      </c>
      <c r="J246" s="492">
        <v>1218292</v>
      </c>
      <c r="K246" s="428">
        <v>1218292</v>
      </c>
    </row>
    <row r="247" spans="1:11" s="428" customFormat="1" ht="9" customHeight="1" x14ac:dyDescent="0.25">
      <c r="A247" s="475" t="s">
        <v>37</v>
      </c>
      <c r="B247" s="493">
        <f t="shared" si="8"/>
        <v>3955372</v>
      </c>
      <c r="C247" s="493">
        <v>1507244</v>
      </c>
      <c r="D247" s="493">
        <v>515572</v>
      </c>
      <c r="E247" s="493">
        <v>158198</v>
      </c>
      <c r="F247" s="493">
        <v>921327</v>
      </c>
      <c r="G247" s="493">
        <v>502951</v>
      </c>
      <c r="H247" s="493">
        <v>4599</v>
      </c>
      <c r="I247" s="493">
        <v>790</v>
      </c>
      <c r="J247" s="493">
        <v>344691</v>
      </c>
      <c r="K247" s="428">
        <v>344691</v>
      </c>
    </row>
    <row r="248" spans="1:11" s="428" customFormat="1" ht="9" customHeight="1" x14ac:dyDescent="0.25">
      <c r="A248" s="428" t="s">
        <v>38</v>
      </c>
      <c r="B248" s="492">
        <f t="shared" si="8"/>
        <v>1563682</v>
      </c>
      <c r="C248" s="492">
        <v>612388</v>
      </c>
      <c r="D248" s="492">
        <v>185797</v>
      </c>
      <c r="E248" s="492">
        <v>41281</v>
      </c>
      <c r="F248" s="492">
        <v>305835</v>
      </c>
      <c r="G248" s="492">
        <v>217588</v>
      </c>
      <c r="H248" s="492">
        <v>3084</v>
      </c>
      <c r="I248" s="492">
        <v>2078</v>
      </c>
      <c r="J248" s="492">
        <v>195631</v>
      </c>
      <c r="K248" s="428">
        <v>195631</v>
      </c>
    </row>
    <row r="249" spans="1:11" s="428" customFormat="1" ht="9" customHeight="1" x14ac:dyDescent="0.25">
      <c r="A249" s="428" t="s">
        <v>39</v>
      </c>
      <c r="B249" s="492">
        <f t="shared" si="8"/>
        <v>924472</v>
      </c>
      <c r="C249" s="492">
        <v>328248</v>
      </c>
      <c r="D249" s="492">
        <v>106831</v>
      </c>
      <c r="E249" s="492">
        <v>23484</v>
      </c>
      <c r="F249" s="492">
        <v>258645</v>
      </c>
      <c r="G249" s="492">
        <v>107078</v>
      </c>
      <c r="H249" s="492">
        <v>1539</v>
      </c>
      <c r="I249" s="492">
        <v>1994</v>
      </c>
      <c r="J249" s="492">
        <v>96653</v>
      </c>
      <c r="K249" s="428">
        <v>96653</v>
      </c>
    </row>
    <row r="250" spans="1:11" s="428" customFormat="1" ht="9" customHeight="1" x14ac:dyDescent="0.25">
      <c r="A250" s="428" t="s">
        <v>40</v>
      </c>
      <c r="B250" s="492">
        <f t="shared" si="8"/>
        <v>3979595</v>
      </c>
      <c r="C250" s="492">
        <v>1425415</v>
      </c>
      <c r="D250" s="492">
        <v>403495</v>
      </c>
      <c r="E250" s="492">
        <v>99482</v>
      </c>
      <c r="F250" s="492">
        <v>802060</v>
      </c>
      <c r="G250" s="492">
        <v>397475</v>
      </c>
      <c r="H250" s="492">
        <v>5465</v>
      </c>
      <c r="I250" s="492">
        <v>5751</v>
      </c>
      <c r="J250" s="492">
        <v>840452</v>
      </c>
      <c r="K250" s="428">
        <v>840452</v>
      </c>
    </row>
    <row r="251" spans="1:11" s="428" customFormat="1" ht="9" customHeight="1" x14ac:dyDescent="0.25">
      <c r="A251" s="475" t="s">
        <v>41</v>
      </c>
      <c r="B251" s="493">
        <f t="shared" si="8"/>
        <v>3331074</v>
      </c>
      <c r="C251" s="493">
        <v>1162760</v>
      </c>
      <c r="D251" s="493">
        <v>411304</v>
      </c>
      <c r="E251" s="493">
        <v>126703</v>
      </c>
      <c r="F251" s="493">
        <v>859248</v>
      </c>
      <c r="G251" s="493">
        <v>440849</v>
      </c>
      <c r="H251" s="493">
        <v>1524</v>
      </c>
      <c r="I251" s="493">
        <v>3252</v>
      </c>
      <c r="J251" s="493">
        <v>325434</v>
      </c>
      <c r="K251" s="428">
        <v>325434</v>
      </c>
    </row>
    <row r="252" spans="1:11" s="428" customFormat="1" ht="9" customHeight="1" x14ac:dyDescent="0.25">
      <c r="A252" s="428" t="s">
        <v>42</v>
      </c>
      <c r="B252" s="492">
        <f t="shared" si="8"/>
        <v>4840825</v>
      </c>
      <c r="C252" s="492">
        <v>2030320</v>
      </c>
      <c r="D252" s="492">
        <v>684941</v>
      </c>
      <c r="E252" s="492">
        <v>195246</v>
      </c>
      <c r="F252" s="492">
        <v>937361</v>
      </c>
      <c r="G252" s="492">
        <v>591695</v>
      </c>
      <c r="H252" s="492">
        <v>17799</v>
      </c>
      <c r="I252" s="492">
        <v>3928</v>
      </c>
      <c r="J252" s="492">
        <v>379535</v>
      </c>
      <c r="K252" s="428">
        <v>379535</v>
      </c>
    </row>
    <row r="253" spans="1:11" s="428" customFormat="1" ht="9" customHeight="1" x14ac:dyDescent="0.25">
      <c r="A253" s="428" t="s">
        <v>43</v>
      </c>
      <c r="B253" s="492">
        <f t="shared" si="8"/>
        <v>1376343</v>
      </c>
      <c r="C253" s="492">
        <v>594426</v>
      </c>
      <c r="D253" s="492">
        <v>175190</v>
      </c>
      <c r="E253" s="492">
        <v>40532</v>
      </c>
      <c r="F253" s="492">
        <v>239901</v>
      </c>
      <c r="G253" s="492">
        <v>162999</v>
      </c>
      <c r="H253" s="492">
        <v>3037</v>
      </c>
      <c r="I253" s="492">
        <v>139</v>
      </c>
      <c r="J253" s="492">
        <v>160119</v>
      </c>
      <c r="K253" s="428">
        <v>160119</v>
      </c>
    </row>
    <row r="254" spans="1:11" s="428" customFormat="1" ht="9" customHeight="1" x14ac:dyDescent="0.25">
      <c r="A254" s="428" t="s">
        <v>44</v>
      </c>
      <c r="B254" s="492">
        <f t="shared" si="8"/>
        <v>1006258</v>
      </c>
      <c r="C254" s="492">
        <v>418117</v>
      </c>
      <c r="D254" s="492">
        <v>115671</v>
      </c>
      <c r="E254" s="492">
        <v>24353</v>
      </c>
      <c r="F254" s="492">
        <v>185804</v>
      </c>
      <c r="G254" s="492">
        <v>134476</v>
      </c>
      <c r="H254" s="492">
        <v>981</v>
      </c>
      <c r="I254" s="492">
        <v>289</v>
      </c>
      <c r="J254" s="492">
        <v>126567</v>
      </c>
      <c r="K254" s="428">
        <v>126567</v>
      </c>
    </row>
    <row r="255" spans="1:11" s="428" customFormat="1" ht="9" customHeight="1" x14ac:dyDescent="0.25">
      <c r="A255" s="475" t="s">
        <v>45</v>
      </c>
      <c r="B255" s="493">
        <f t="shared" si="8"/>
        <v>2514920</v>
      </c>
      <c r="C255" s="493">
        <v>920999</v>
      </c>
      <c r="D255" s="493">
        <v>299840</v>
      </c>
      <c r="E255" s="493">
        <v>85542</v>
      </c>
      <c r="F255" s="493">
        <v>520812</v>
      </c>
      <c r="G255" s="493">
        <v>304251</v>
      </c>
      <c r="H255" s="493">
        <v>6394</v>
      </c>
      <c r="I255" s="493">
        <v>334</v>
      </c>
      <c r="J255" s="493">
        <v>376748</v>
      </c>
      <c r="K255" s="428">
        <v>376748</v>
      </c>
    </row>
    <row r="256" spans="1:11" s="428" customFormat="1" ht="9" customHeight="1" x14ac:dyDescent="0.25">
      <c r="A256" s="428" t="s">
        <v>46</v>
      </c>
      <c r="B256" s="492">
        <f t="shared" si="8"/>
        <v>2716997</v>
      </c>
      <c r="C256" s="492">
        <v>976390</v>
      </c>
      <c r="D256" s="492">
        <v>322644</v>
      </c>
      <c r="E256" s="492">
        <v>72699</v>
      </c>
      <c r="F256" s="492">
        <v>680061</v>
      </c>
      <c r="G256" s="492">
        <v>338573</v>
      </c>
      <c r="H256" s="492">
        <v>3921</v>
      </c>
      <c r="I256" s="492">
        <v>22337</v>
      </c>
      <c r="J256" s="492">
        <v>300372</v>
      </c>
      <c r="K256" s="428">
        <v>300372</v>
      </c>
    </row>
    <row r="257" spans="1:11" s="428" customFormat="1" ht="9" customHeight="1" x14ac:dyDescent="0.25">
      <c r="A257" s="428" t="s">
        <v>47</v>
      </c>
      <c r="B257" s="492">
        <f t="shared" si="8"/>
        <v>2223864</v>
      </c>
      <c r="C257" s="492">
        <v>881272</v>
      </c>
      <c r="D257" s="492">
        <v>282409</v>
      </c>
      <c r="E257" s="492">
        <v>61755</v>
      </c>
      <c r="F257" s="492">
        <v>447083</v>
      </c>
      <c r="G257" s="492">
        <v>285127</v>
      </c>
      <c r="H257" s="492">
        <v>3161</v>
      </c>
      <c r="I257" s="492">
        <v>97</v>
      </c>
      <c r="J257" s="492">
        <v>262960</v>
      </c>
      <c r="K257" s="428">
        <v>262960</v>
      </c>
    </row>
    <row r="258" spans="1:11" s="428" customFormat="1" ht="9" customHeight="1" x14ac:dyDescent="0.25">
      <c r="A258" s="428" t="s">
        <v>48</v>
      </c>
      <c r="B258" s="492">
        <f t="shared" si="8"/>
        <v>2015503</v>
      </c>
      <c r="C258" s="492">
        <v>751692</v>
      </c>
      <c r="D258" s="492">
        <v>265868</v>
      </c>
      <c r="E258" s="492">
        <v>51933</v>
      </c>
      <c r="F258" s="492">
        <v>434413</v>
      </c>
      <c r="G258" s="492">
        <v>229328</v>
      </c>
      <c r="H258" s="492">
        <v>2305</v>
      </c>
      <c r="I258" s="492">
        <v>1335</v>
      </c>
      <c r="J258" s="492">
        <v>278629</v>
      </c>
      <c r="K258" s="428">
        <v>278629</v>
      </c>
    </row>
    <row r="259" spans="1:11" s="428" customFormat="1" ht="9" customHeight="1" x14ac:dyDescent="0.25">
      <c r="A259" s="475" t="s">
        <v>49</v>
      </c>
      <c r="B259" s="493">
        <f t="shared" si="8"/>
        <v>2922314</v>
      </c>
      <c r="C259" s="493">
        <v>1057907</v>
      </c>
      <c r="D259" s="493">
        <v>342310</v>
      </c>
      <c r="E259" s="493">
        <v>87145</v>
      </c>
      <c r="F259" s="493">
        <v>685261</v>
      </c>
      <c r="G259" s="493">
        <v>297919</v>
      </c>
      <c r="H259" s="493">
        <v>6090</v>
      </c>
      <c r="I259" s="493">
        <v>2576</v>
      </c>
      <c r="J259" s="493">
        <v>443106</v>
      </c>
      <c r="K259" s="428">
        <v>443106</v>
      </c>
    </row>
    <row r="260" spans="1:11" s="428" customFormat="1" ht="9" customHeight="1" x14ac:dyDescent="0.25">
      <c r="A260" s="428" t="s">
        <v>50</v>
      </c>
      <c r="B260" s="492">
        <f t="shared" si="8"/>
        <v>1085273</v>
      </c>
      <c r="C260" s="492">
        <v>423550</v>
      </c>
      <c r="D260" s="492">
        <v>126411</v>
      </c>
      <c r="E260" s="492">
        <v>27839</v>
      </c>
      <c r="F260" s="492">
        <v>203902</v>
      </c>
      <c r="G260" s="492">
        <v>156043</v>
      </c>
      <c r="H260" s="492">
        <v>2126</v>
      </c>
      <c r="I260" s="492">
        <v>1006</v>
      </c>
      <c r="J260" s="492">
        <v>144396</v>
      </c>
      <c r="K260" s="428">
        <v>144396</v>
      </c>
    </row>
    <row r="261" spans="1:11" s="428" customFormat="1" ht="9" customHeight="1" x14ac:dyDescent="0.25">
      <c r="A261" s="428" t="s">
        <v>51</v>
      </c>
      <c r="B261" s="492">
        <f t="shared" si="8"/>
        <v>7094595</v>
      </c>
      <c r="C261" s="492">
        <v>2509917</v>
      </c>
      <c r="D261" s="492">
        <v>778224</v>
      </c>
      <c r="E261" s="492">
        <v>220054</v>
      </c>
      <c r="F261" s="492">
        <v>1855129</v>
      </c>
      <c r="G261" s="492">
        <v>713963</v>
      </c>
      <c r="H261" s="492">
        <v>8414</v>
      </c>
      <c r="I261" s="492">
        <v>31871</v>
      </c>
      <c r="J261" s="492">
        <v>977023</v>
      </c>
      <c r="K261" s="428">
        <v>977023</v>
      </c>
    </row>
    <row r="262" spans="1:11" s="428" customFormat="1" ht="9" customHeight="1" x14ac:dyDescent="0.25">
      <c r="A262" s="428" t="s">
        <v>52</v>
      </c>
      <c r="B262" s="492">
        <f t="shared" si="8"/>
        <v>1558900</v>
      </c>
      <c r="C262" s="492">
        <v>586526</v>
      </c>
      <c r="D262" s="492">
        <v>171843</v>
      </c>
      <c r="E262" s="492">
        <v>44393</v>
      </c>
      <c r="F262" s="492">
        <v>327564</v>
      </c>
      <c r="G262" s="492">
        <v>212384</v>
      </c>
      <c r="H262" s="492">
        <v>5267</v>
      </c>
      <c r="I262" s="492">
        <v>2583</v>
      </c>
      <c r="J262" s="492">
        <v>208340</v>
      </c>
      <c r="K262" s="428">
        <v>208340</v>
      </c>
    </row>
    <row r="263" spans="1:11" s="428" customFormat="1" ht="9" customHeight="1" x14ac:dyDescent="0.25">
      <c r="A263" s="475" t="s">
        <v>53</v>
      </c>
      <c r="B263" s="493">
        <f t="shared" si="8"/>
        <v>1282005</v>
      </c>
      <c r="C263" s="493">
        <v>468433</v>
      </c>
      <c r="D263" s="493">
        <v>165459</v>
      </c>
      <c r="E263" s="493">
        <v>39119</v>
      </c>
      <c r="F263" s="493">
        <v>308923</v>
      </c>
      <c r="G263" s="493">
        <v>140513</v>
      </c>
      <c r="H263" s="493">
        <v>409</v>
      </c>
      <c r="I263" s="493">
        <v>2450</v>
      </c>
      <c r="J263" s="493">
        <v>156699</v>
      </c>
      <c r="K263" s="428">
        <v>156699</v>
      </c>
    </row>
    <row r="264" spans="1:11" s="428" customFormat="1" ht="9" customHeight="1" x14ac:dyDescent="0.25">
      <c r="B264" s="430"/>
      <c r="C264" s="471"/>
      <c r="D264" s="471"/>
      <c r="E264" s="471"/>
      <c r="F264" s="471"/>
      <c r="G264" s="471"/>
      <c r="H264" s="471"/>
      <c r="I264" s="427"/>
      <c r="J264" s="427"/>
    </row>
    <row r="265" spans="1:11" s="428" customFormat="1" ht="9" customHeight="1" x14ac:dyDescent="0.25">
      <c r="A265" s="470">
        <v>2002</v>
      </c>
      <c r="B265" s="430"/>
      <c r="C265" s="471"/>
      <c r="D265" s="471"/>
      <c r="E265" s="471"/>
      <c r="F265" s="471"/>
      <c r="G265" s="471"/>
      <c r="H265" s="471"/>
      <c r="I265" s="427"/>
      <c r="J265" s="427"/>
    </row>
    <row r="266" spans="1:11" s="473" customFormat="1" ht="9" customHeight="1" x14ac:dyDescent="0.15">
      <c r="A266" s="490" t="s">
        <v>263</v>
      </c>
      <c r="B266" s="491">
        <f>SUM(B268:B299)+56311</f>
        <v>96364366</v>
      </c>
      <c r="C266" s="491">
        <f>SUM(C268:C299)+85611</f>
        <v>37469279</v>
      </c>
      <c r="D266" s="491">
        <f>SUM(D268:D299)+9585</f>
        <v>12043481</v>
      </c>
      <c r="E266" s="491">
        <f>SUM(E268:E299)+887</f>
        <v>2890285</v>
      </c>
      <c r="F266" s="491">
        <f>SUM(F268:F299)+58172</f>
        <v>18854168</v>
      </c>
      <c r="G266" s="491">
        <f>SUM(G268:G299)-97914</f>
        <v>16083313</v>
      </c>
      <c r="H266" s="491">
        <f>SUM(H268:H299)-10</f>
        <v>158384</v>
      </c>
      <c r="I266" s="491">
        <f>SUM(I268:I299)</f>
        <v>49849</v>
      </c>
      <c r="J266" s="491">
        <f>SUM(J268:J299)-20</f>
        <v>8815607</v>
      </c>
    </row>
    <row r="267" spans="1:11" s="473" customFormat="1" ht="3.95" customHeight="1" x14ac:dyDescent="0.25">
      <c r="B267" s="491"/>
      <c r="C267" s="491"/>
      <c r="D267" s="491"/>
      <c r="E267" s="491"/>
      <c r="F267" s="491"/>
      <c r="G267" s="491"/>
      <c r="H267" s="491"/>
      <c r="I267" s="491"/>
      <c r="J267" s="491"/>
    </row>
    <row r="268" spans="1:11" s="428" customFormat="1" ht="9" customHeight="1" x14ac:dyDescent="0.25">
      <c r="A268" s="428" t="s">
        <v>23</v>
      </c>
      <c r="B268" s="492">
        <f t="shared" ref="B268:B299" si="9">SUM(C268:J268)</f>
        <v>862888</v>
      </c>
      <c r="C268" s="492">
        <v>441655</v>
      </c>
      <c r="D268" s="492">
        <v>122700</v>
      </c>
      <c r="E268" s="492">
        <v>29284</v>
      </c>
      <c r="F268" s="492">
        <v>92101</v>
      </c>
      <c r="G268" s="492">
        <v>119866</v>
      </c>
      <c r="H268" s="492">
        <v>559</v>
      </c>
      <c r="I268" s="492">
        <v>0</v>
      </c>
      <c r="J268" s="492">
        <v>56723</v>
      </c>
    </row>
    <row r="269" spans="1:11" s="428" customFormat="1" ht="9" customHeight="1" x14ac:dyDescent="0.25">
      <c r="A269" s="428" t="s">
        <v>24</v>
      </c>
      <c r="B269" s="492">
        <f t="shared" si="9"/>
        <v>2446611</v>
      </c>
      <c r="C269" s="492">
        <v>1079346</v>
      </c>
      <c r="D269" s="492">
        <v>297918</v>
      </c>
      <c r="E269" s="492">
        <v>71555</v>
      </c>
      <c r="F269" s="492">
        <v>375385</v>
      </c>
      <c r="G269" s="492">
        <v>373573</v>
      </c>
      <c r="H269" s="492">
        <v>1642</v>
      </c>
      <c r="I269" s="492">
        <v>150</v>
      </c>
      <c r="J269" s="492">
        <v>247042</v>
      </c>
    </row>
    <row r="270" spans="1:11" s="428" customFormat="1" ht="9" customHeight="1" x14ac:dyDescent="0.25">
      <c r="A270" s="428" t="s">
        <v>25</v>
      </c>
      <c r="B270" s="492">
        <f t="shared" si="9"/>
        <v>434746</v>
      </c>
      <c r="C270" s="492">
        <v>179778</v>
      </c>
      <c r="D270" s="492">
        <v>62576</v>
      </c>
      <c r="E270" s="492">
        <v>13631</v>
      </c>
      <c r="F270" s="492">
        <v>58286</v>
      </c>
      <c r="G270" s="492">
        <v>78000</v>
      </c>
      <c r="H270" s="492">
        <v>119</v>
      </c>
      <c r="I270" s="492">
        <v>0</v>
      </c>
      <c r="J270" s="492">
        <v>42356</v>
      </c>
    </row>
    <row r="271" spans="1:11" s="428" customFormat="1" ht="9" customHeight="1" x14ac:dyDescent="0.25">
      <c r="A271" s="475" t="s">
        <v>26</v>
      </c>
      <c r="B271" s="493">
        <f t="shared" si="9"/>
        <v>735151</v>
      </c>
      <c r="C271" s="493">
        <v>266296</v>
      </c>
      <c r="D271" s="493">
        <v>89425</v>
      </c>
      <c r="E271" s="493">
        <v>17464</v>
      </c>
      <c r="F271" s="493">
        <v>162996</v>
      </c>
      <c r="G271" s="493">
        <v>120204</v>
      </c>
      <c r="H271" s="493">
        <v>396</v>
      </c>
      <c r="I271" s="493">
        <v>41</v>
      </c>
      <c r="J271" s="493">
        <v>78329</v>
      </c>
    </row>
    <row r="272" spans="1:11" s="428" customFormat="1" ht="9" customHeight="1" x14ac:dyDescent="0.25">
      <c r="A272" s="428" t="s">
        <v>27</v>
      </c>
      <c r="B272" s="492">
        <f t="shared" si="9"/>
        <v>2498484</v>
      </c>
      <c r="C272" s="492">
        <v>992201</v>
      </c>
      <c r="D272" s="492">
        <v>306173</v>
      </c>
      <c r="E272" s="492">
        <v>60436</v>
      </c>
      <c r="F272" s="492">
        <v>468664</v>
      </c>
      <c r="G272" s="492">
        <v>413951</v>
      </c>
      <c r="H272" s="492">
        <v>5580</v>
      </c>
      <c r="I272" s="492">
        <v>149</v>
      </c>
      <c r="J272" s="492">
        <v>251330</v>
      </c>
    </row>
    <row r="273" spans="1:10" s="428" customFormat="1" ht="9" customHeight="1" x14ac:dyDescent="0.25">
      <c r="A273" s="428" t="s">
        <v>28</v>
      </c>
      <c r="B273" s="492">
        <f t="shared" si="9"/>
        <v>566288</v>
      </c>
      <c r="C273" s="492">
        <v>198358</v>
      </c>
      <c r="D273" s="492">
        <v>68454</v>
      </c>
      <c r="E273" s="492">
        <v>12132</v>
      </c>
      <c r="F273" s="492">
        <v>104400</v>
      </c>
      <c r="G273" s="492">
        <v>111345</v>
      </c>
      <c r="H273" s="492">
        <v>60</v>
      </c>
      <c r="I273" s="492">
        <v>9</v>
      </c>
      <c r="J273" s="492">
        <v>71530</v>
      </c>
    </row>
    <row r="274" spans="1:10" s="428" customFormat="1" ht="9" customHeight="1" x14ac:dyDescent="0.25">
      <c r="A274" s="428" t="s">
        <v>29</v>
      </c>
      <c r="B274" s="492">
        <f t="shared" si="9"/>
        <v>4898975</v>
      </c>
      <c r="C274" s="492">
        <v>1648672</v>
      </c>
      <c r="D274" s="492">
        <v>545533</v>
      </c>
      <c r="E274" s="492">
        <v>162414</v>
      </c>
      <c r="F274" s="492">
        <v>1510824</v>
      </c>
      <c r="G274" s="492">
        <v>739584</v>
      </c>
      <c r="H274" s="492">
        <v>2631</v>
      </c>
      <c r="I274" s="492">
        <v>542</v>
      </c>
      <c r="J274" s="492">
        <v>288775</v>
      </c>
    </row>
    <row r="275" spans="1:10" s="428" customFormat="1" ht="9" customHeight="1" x14ac:dyDescent="0.25">
      <c r="A275" s="475" t="s">
        <v>30</v>
      </c>
      <c r="B275" s="493">
        <f t="shared" si="9"/>
        <v>3083145</v>
      </c>
      <c r="C275" s="493">
        <v>1256073</v>
      </c>
      <c r="D275" s="493">
        <v>380604</v>
      </c>
      <c r="E275" s="493">
        <v>90714</v>
      </c>
      <c r="F275" s="493">
        <v>493127</v>
      </c>
      <c r="G275" s="493">
        <v>529596</v>
      </c>
      <c r="H275" s="493">
        <v>1907</v>
      </c>
      <c r="I275" s="493">
        <v>3990</v>
      </c>
      <c r="J275" s="493">
        <v>327134</v>
      </c>
    </row>
    <row r="276" spans="1:10" s="428" customFormat="1" ht="9" customHeight="1" x14ac:dyDescent="0.25">
      <c r="A276" s="428" t="s">
        <v>63</v>
      </c>
      <c r="B276" s="492">
        <f t="shared" si="9"/>
        <v>6876068</v>
      </c>
      <c r="C276" s="492">
        <v>2730241</v>
      </c>
      <c r="D276" s="492">
        <v>859411</v>
      </c>
      <c r="E276" s="492">
        <v>243374</v>
      </c>
      <c r="F276" s="492">
        <v>1196800</v>
      </c>
      <c r="G276" s="492">
        <v>1007443</v>
      </c>
      <c r="H276" s="492">
        <v>26460</v>
      </c>
      <c r="I276" s="492">
        <v>26791</v>
      </c>
      <c r="J276" s="492">
        <v>785548</v>
      </c>
    </row>
    <row r="277" spans="1:10" s="428" customFormat="1" ht="9" customHeight="1" x14ac:dyDescent="0.25">
      <c r="A277" s="428" t="s">
        <v>31</v>
      </c>
      <c r="B277" s="492">
        <f t="shared" si="9"/>
        <v>1739450</v>
      </c>
      <c r="C277" s="492">
        <v>622294</v>
      </c>
      <c r="D277" s="492">
        <v>212392</v>
      </c>
      <c r="E277" s="492">
        <v>50443</v>
      </c>
      <c r="F277" s="492">
        <v>338955</v>
      </c>
      <c r="G277" s="492">
        <v>338054</v>
      </c>
      <c r="H277" s="492">
        <v>2503</v>
      </c>
      <c r="I277" s="492">
        <v>11</v>
      </c>
      <c r="J277" s="492">
        <v>174798</v>
      </c>
    </row>
    <row r="278" spans="1:10" s="428" customFormat="1" ht="9" customHeight="1" x14ac:dyDescent="0.25">
      <c r="A278" s="428" t="s">
        <v>32</v>
      </c>
      <c r="B278" s="492">
        <f t="shared" si="9"/>
        <v>4772787</v>
      </c>
      <c r="C278" s="492">
        <v>2039351</v>
      </c>
      <c r="D278" s="492">
        <v>647451</v>
      </c>
      <c r="E278" s="492">
        <v>144875</v>
      </c>
      <c r="F278" s="492">
        <v>808721</v>
      </c>
      <c r="G278" s="492">
        <v>720610</v>
      </c>
      <c r="H278" s="492">
        <v>2688</v>
      </c>
      <c r="I278" s="492">
        <v>114</v>
      </c>
      <c r="J278" s="492">
        <v>408977</v>
      </c>
    </row>
    <row r="279" spans="1:10" s="428" customFormat="1" ht="9" customHeight="1" x14ac:dyDescent="0.25">
      <c r="A279" s="475" t="s">
        <v>33</v>
      </c>
      <c r="B279" s="493">
        <f t="shared" si="9"/>
        <v>3795659</v>
      </c>
      <c r="C279" s="493">
        <v>1318485</v>
      </c>
      <c r="D279" s="493">
        <v>446831</v>
      </c>
      <c r="E279" s="493">
        <v>93347</v>
      </c>
      <c r="F279" s="493">
        <v>904768</v>
      </c>
      <c r="G279" s="493">
        <v>742378</v>
      </c>
      <c r="H279" s="493">
        <v>11285</v>
      </c>
      <c r="I279" s="493">
        <v>105</v>
      </c>
      <c r="J279" s="493">
        <v>278460</v>
      </c>
    </row>
    <row r="280" spans="1:10" s="428" customFormat="1" ht="9" customHeight="1" x14ac:dyDescent="0.25">
      <c r="A280" s="428" t="s">
        <v>34</v>
      </c>
      <c r="B280" s="492">
        <f t="shared" si="9"/>
        <v>2114327</v>
      </c>
      <c r="C280" s="492">
        <v>761607</v>
      </c>
      <c r="D280" s="492">
        <v>266043</v>
      </c>
      <c r="E280" s="492">
        <v>67090</v>
      </c>
      <c r="F280" s="492">
        <v>555706</v>
      </c>
      <c r="G280" s="492">
        <v>295883</v>
      </c>
      <c r="H280" s="492">
        <v>7429</v>
      </c>
      <c r="I280" s="492">
        <v>26</v>
      </c>
      <c r="J280" s="492">
        <v>160543</v>
      </c>
    </row>
    <row r="281" spans="1:10" s="428" customFormat="1" ht="9" customHeight="1" x14ac:dyDescent="0.25">
      <c r="A281" s="428" t="s">
        <v>35</v>
      </c>
      <c r="B281" s="492">
        <f t="shared" si="9"/>
        <v>5660010</v>
      </c>
      <c r="C281" s="492">
        <v>2327313</v>
      </c>
      <c r="D281" s="492">
        <v>792411</v>
      </c>
      <c r="E281" s="492">
        <v>171214</v>
      </c>
      <c r="F281" s="492">
        <v>936863</v>
      </c>
      <c r="G281" s="492">
        <v>901009</v>
      </c>
      <c r="H281" s="492">
        <v>6143</v>
      </c>
      <c r="I281" s="492">
        <v>269</v>
      </c>
      <c r="J281" s="492">
        <v>524788</v>
      </c>
    </row>
    <row r="282" spans="1:10" s="428" customFormat="1" ht="9" customHeight="1" x14ac:dyDescent="0.25">
      <c r="A282" s="428" t="s">
        <v>36</v>
      </c>
      <c r="B282" s="492">
        <f t="shared" si="9"/>
        <v>12133787</v>
      </c>
      <c r="C282" s="492">
        <v>5212483</v>
      </c>
      <c r="D282" s="492">
        <v>1537167</v>
      </c>
      <c r="E282" s="492">
        <v>353819</v>
      </c>
      <c r="F282" s="492">
        <v>2060648</v>
      </c>
      <c r="G282" s="492">
        <v>1903532</v>
      </c>
      <c r="H282" s="492">
        <v>25175</v>
      </c>
      <c r="I282" s="492">
        <v>33</v>
      </c>
      <c r="J282" s="492">
        <v>1040930</v>
      </c>
    </row>
    <row r="283" spans="1:10" s="428" customFormat="1" ht="9" customHeight="1" x14ac:dyDescent="0.25">
      <c r="A283" s="475" t="s">
        <v>37</v>
      </c>
      <c r="B283" s="493">
        <f t="shared" si="9"/>
        <v>4310217</v>
      </c>
      <c r="C283" s="493">
        <v>1540313</v>
      </c>
      <c r="D283" s="493">
        <v>510965</v>
      </c>
      <c r="E283" s="493">
        <v>140012</v>
      </c>
      <c r="F283" s="493">
        <v>945032</v>
      </c>
      <c r="G283" s="493">
        <v>844905</v>
      </c>
      <c r="H283" s="493">
        <v>4187</v>
      </c>
      <c r="I283" s="493">
        <v>16</v>
      </c>
      <c r="J283" s="493">
        <v>324787</v>
      </c>
    </row>
    <row r="284" spans="1:10" s="428" customFormat="1" ht="9" customHeight="1" x14ac:dyDescent="0.25">
      <c r="A284" s="428" t="s">
        <v>38</v>
      </c>
      <c r="B284" s="492">
        <f t="shared" si="9"/>
        <v>1306968</v>
      </c>
      <c r="C284" s="492">
        <v>527455</v>
      </c>
      <c r="D284" s="492">
        <v>177373</v>
      </c>
      <c r="E284" s="492">
        <v>39222</v>
      </c>
      <c r="F284" s="492">
        <v>250756</v>
      </c>
      <c r="G284" s="492">
        <v>217601</v>
      </c>
      <c r="H284" s="492">
        <v>2109</v>
      </c>
      <c r="I284" s="492">
        <v>0</v>
      </c>
      <c r="J284" s="492">
        <v>92452</v>
      </c>
    </row>
    <row r="285" spans="1:10" s="428" customFormat="1" ht="9" customHeight="1" x14ac:dyDescent="0.25">
      <c r="A285" s="428" t="s">
        <v>39</v>
      </c>
      <c r="B285" s="492">
        <f t="shared" si="9"/>
        <v>933265</v>
      </c>
      <c r="C285" s="492">
        <v>325771</v>
      </c>
      <c r="D285" s="492">
        <v>106761</v>
      </c>
      <c r="E285" s="492">
        <v>22216</v>
      </c>
      <c r="F285" s="492">
        <v>223943</v>
      </c>
      <c r="G285" s="492">
        <v>138561</v>
      </c>
      <c r="H285" s="492">
        <v>2217</v>
      </c>
      <c r="I285" s="492">
        <v>0</v>
      </c>
      <c r="J285" s="492">
        <v>113796</v>
      </c>
    </row>
    <row r="286" spans="1:10" s="428" customFormat="1" ht="9" customHeight="1" x14ac:dyDescent="0.25">
      <c r="A286" s="428" t="s">
        <v>40</v>
      </c>
      <c r="B286" s="492">
        <f t="shared" si="9"/>
        <v>3675929</v>
      </c>
      <c r="C286" s="492">
        <v>1490503</v>
      </c>
      <c r="D286" s="492">
        <v>437950</v>
      </c>
      <c r="E286" s="492">
        <v>93856</v>
      </c>
      <c r="F286" s="492">
        <v>662563</v>
      </c>
      <c r="G286" s="492">
        <v>621404</v>
      </c>
      <c r="H286" s="492">
        <v>2340</v>
      </c>
      <c r="I286" s="492">
        <v>98</v>
      </c>
      <c r="J286" s="492">
        <v>367215</v>
      </c>
    </row>
    <row r="287" spans="1:10" s="428" customFormat="1" ht="9" customHeight="1" x14ac:dyDescent="0.25">
      <c r="A287" s="475" t="s">
        <v>41</v>
      </c>
      <c r="B287" s="493">
        <f t="shared" si="9"/>
        <v>3614913</v>
      </c>
      <c r="C287" s="493">
        <v>1135663</v>
      </c>
      <c r="D287" s="493">
        <v>406971</v>
      </c>
      <c r="E287" s="493">
        <v>125268</v>
      </c>
      <c r="F287" s="493">
        <v>893432</v>
      </c>
      <c r="G287" s="493">
        <v>688283</v>
      </c>
      <c r="H287" s="493">
        <v>1911</v>
      </c>
      <c r="I287" s="493">
        <v>16</v>
      </c>
      <c r="J287" s="493">
        <v>363369</v>
      </c>
    </row>
    <row r="288" spans="1:10" s="428" customFormat="1" ht="9" customHeight="1" x14ac:dyDescent="0.25">
      <c r="A288" s="428" t="s">
        <v>42</v>
      </c>
      <c r="B288" s="492">
        <f t="shared" si="9"/>
        <v>5273629</v>
      </c>
      <c r="C288" s="492">
        <v>2040329</v>
      </c>
      <c r="D288" s="492">
        <v>692646</v>
      </c>
      <c r="E288" s="492">
        <v>171666</v>
      </c>
      <c r="F288" s="492">
        <v>924976</v>
      </c>
      <c r="G288" s="492">
        <v>990045</v>
      </c>
      <c r="H288" s="492">
        <v>12732</v>
      </c>
      <c r="I288" s="492">
        <v>16234</v>
      </c>
      <c r="J288" s="492">
        <v>425001</v>
      </c>
    </row>
    <row r="289" spans="1:10" s="428" customFormat="1" ht="9" customHeight="1" x14ac:dyDescent="0.25">
      <c r="A289" s="428" t="s">
        <v>43</v>
      </c>
      <c r="B289" s="492">
        <f t="shared" si="9"/>
        <v>1455783</v>
      </c>
      <c r="C289" s="492">
        <v>588831</v>
      </c>
      <c r="D289" s="492">
        <v>182051</v>
      </c>
      <c r="E289" s="492">
        <v>40430</v>
      </c>
      <c r="F289" s="492">
        <v>221791</v>
      </c>
      <c r="G289" s="492">
        <v>251241</v>
      </c>
      <c r="H289" s="492">
        <v>1739</v>
      </c>
      <c r="I289" s="492">
        <v>4</v>
      </c>
      <c r="J289" s="492">
        <v>169696</v>
      </c>
    </row>
    <row r="290" spans="1:10" s="428" customFormat="1" ht="9" customHeight="1" x14ac:dyDescent="0.25">
      <c r="A290" s="428" t="s">
        <v>44</v>
      </c>
      <c r="B290" s="492">
        <f t="shared" si="9"/>
        <v>901536</v>
      </c>
      <c r="C290" s="492">
        <v>352480</v>
      </c>
      <c r="D290" s="492">
        <v>119274</v>
      </c>
      <c r="E290" s="492">
        <v>24771</v>
      </c>
      <c r="F290" s="492">
        <v>145571</v>
      </c>
      <c r="G290" s="492">
        <v>171227</v>
      </c>
      <c r="H290" s="492">
        <v>517</v>
      </c>
      <c r="I290" s="492">
        <v>3</v>
      </c>
      <c r="J290" s="492">
        <v>87693</v>
      </c>
    </row>
    <row r="291" spans="1:10" s="428" customFormat="1" ht="9" customHeight="1" x14ac:dyDescent="0.25">
      <c r="A291" s="475" t="s">
        <v>45</v>
      </c>
      <c r="B291" s="493">
        <f t="shared" si="9"/>
        <v>2348576</v>
      </c>
      <c r="C291" s="493">
        <v>892616</v>
      </c>
      <c r="D291" s="493">
        <v>298054</v>
      </c>
      <c r="E291" s="493">
        <v>66401</v>
      </c>
      <c r="F291" s="493">
        <v>455581</v>
      </c>
      <c r="G291" s="493">
        <v>407773</v>
      </c>
      <c r="H291" s="493">
        <v>5134</v>
      </c>
      <c r="I291" s="493">
        <v>246</v>
      </c>
      <c r="J291" s="493">
        <v>222771</v>
      </c>
    </row>
    <row r="292" spans="1:10" s="428" customFormat="1" ht="9" customHeight="1" x14ac:dyDescent="0.25">
      <c r="A292" s="428" t="s">
        <v>46</v>
      </c>
      <c r="B292" s="492">
        <f t="shared" si="9"/>
        <v>2548916</v>
      </c>
      <c r="C292" s="492">
        <v>958300</v>
      </c>
      <c r="D292" s="492">
        <v>332076</v>
      </c>
      <c r="E292" s="492">
        <v>70187</v>
      </c>
      <c r="F292" s="492">
        <v>500933</v>
      </c>
      <c r="G292" s="492">
        <v>452997</v>
      </c>
      <c r="H292" s="492">
        <v>3482</v>
      </c>
      <c r="I292" s="492">
        <v>30</v>
      </c>
      <c r="J292" s="492">
        <v>230911</v>
      </c>
    </row>
    <row r="293" spans="1:10" s="428" customFormat="1" ht="9" customHeight="1" x14ac:dyDescent="0.25">
      <c r="A293" s="428" t="s">
        <v>47</v>
      </c>
      <c r="B293" s="492">
        <f t="shared" si="9"/>
        <v>2108519</v>
      </c>
      <c r="C293" s="492">
        <v>854510</v>
      </c>
      <c r="D293" s="492">
        <v>275680</v>
      </c>
      <c r="E293" s="492">
        <v>56961</v>
      </c>
      <c r="F293" s="492">
        <v>343315</v>
      </c>
      <c r="G293" s="492">
        <v>390143</v>
      </c>
      <c r="H293" s="492">
        <v>4462</v>
      </c>
      <c r="I293" s="492">
        <v>9</v>
      </c>
      <c r="J293" s="492">
        <v>183439</v>
      </c>
    </row>
    <row r="294" spans="1:10" s="428" customFormat="1" ht="9" customHeight="1" x14ac:dyDescent="0.25">
      <c r="A294" s="428" t="s">
        <v>48</v>
      </c>
      <c r="B294" s="492">
        <f t="shared" si="9"/>
        <v>1862352</v>
      </c>
      <c r="C294" s="492">
        <v>738489</v>
      </c>
      <c r="D294" s="492">
        <v>258585</v>
      </c>
      <c r="E294" s="492">
        <v>52679</v>
      </c>
      <c r="F294" s="492">
        <v>395343</v>
      </c>
      <c r="G294" s="492">
        <v>285748</v>
      </c>
      <c r="H294" s="492">
        <v>931</v>
      </c>
      <c r="I294" s="492">
        <v>87</v>
      </c>
      <c r="J294" s="492">
        <v>130490</v>
      </c>
    </row>
    <row r="295" spans="1:10" s="428" customFormat="1" ht="9" customHeight="1" x14ac:dyDescent="0.25">
      <c r="A295" s="475" t="s">
        <v>49</v>
      </c>
      <c r="B295" s="493">
        <f t="shared" si="9"/>
        <v>2821034</v>
      </c>
      <c r="C295" s="493">
        <v>1032642</v>
      </c>
      <c r="D295" s="493">
        <v>352712</v>
      </c>
      <c r="E295" s="493">
        <v>84678</v>
      </c>
      <c r="F295" s="493">
        <v>567037</v>
      </c>
      <c r="G295" s="493">
        <v>490292</v>
      </c>
      <c r="H295" s="493">
        <v>4230</v>
      </c>
      <c r="I295" s="493">
        <v>763</v>
      </c>
      <c r="J295" s="493">
        <v>288680</v>
      </c>
    </row>
    <row r="296" spans="1:10" s="428" customFormat="1" ht="9" customHeight="1" x14ac:dyDescent="0.25">
      <c r="A296" s="428" t="s">
        <v>50</v>
      </c>
      <c r="B296" s="492">
        <f t="shared" si="9"/>
        <v>1008999</v>
      </c>
      <c r="C296" s="492">
        <v>413216</v>
      </c>
      <c r="D296" s="492">
        <v>126118</v>
      </c>
      <c r="E296" s="492">
        <v>27838</v>
      </c>
      <c r="F296" s="492">
        <v>148282</v>
      </c>
      <c r="G296" s="492">
        <v>202233</v>
      </c>
      <c r="H296" s="492">
        <v>1765</v>
      </c>
      <c r="I296" s="492">
        <v>59</v>
      </c>
      <c r="J296" s="492">
        <v>89488</v>
      </c>
    </row>
    <row r="297" spans="1:10" s="428" customFormat="1" ht="9" customHeight="1" x14ac:dyDescent="0.25">
      <c r="A297" s="428" t="s">
        <v>51</v>
      </c>
      <c r="B297" s="492">
        <f t="shared" si="9"/>
        <v>6701847</v>
      </c>
      <c r="C297" s="492">
        <v>2366670</v>
      </c>
      <c r="D297" s="492">
        <v>768272</v>
      </c>
      <c r="E297" s="492">
        <v>216959</v>
      </c>
      <c r="F297" s="492">
        <v>1471867</v>
      </c>
      <c r="G297" s="492">
        <v>1134905</v>
      </c>
      <c r="H297" s="492">
        <v>7013</v>
      </c>
      <c r="I297" s="492">
        <v>6</v>
      </c>
      <c r="J297" s="492">
        <v>736155</v>
      </c>
    </row>
    <row r="298" spans="1:10" s="428" customFormat="1" ht="9" customHeight="1" x14ac:dyDescent="0.25">
      <c r="A298" s="428" t="s">
        <v>52</v>
      </c>
      <c r="B298" s="492">
        <f t="shared" si="9"/>
        <v>1514203</v>
      </c>
      <c r="C298" s="492">
        <v>587519</v>
      </c>
      <c r="D298" s="492">
        <v>187261</v>
      </c>
      <c r="E298" s="492">
        <v>40688</v>
      </c>
      <c r="F298" s="492">
        <v>286147</v>
      </c>
      <c r="G298" s="492">
        <v>277389</v>
      </c>
      <c r="H298" s="492">
        <v>3025</v>
      </c>
      <c r="I298" s="492">
        <v>46</v>
      </c>
      <c r="J298" s="492">
        <v>132128</v>
      </c>
    </row>
    <row r="299" spans="1:10" s="428" customFormat="1" ht="9" customHeight="1" x14ac:dyDescent="0.25">
      <c r="A299" s="475" t="s">
        <v>53</v>
      </c>
      <c r="B299" s="493">
        <f t="shared" si="9"/>
        <v>1302993</v>
      </c>
      <c r="C299" s="493">
        <v>464208</v>
      </c>
      <c r="D299" s="493">
        <v>166058</v>
      </c>
      <c r="E299" s="493">
        <v>33774</v>
      </c>
      <c r="F299" s="493">
        <v>291183</v>
      </c>
      <c r="G299" s="493">
        <v>221452</v>
      </c>
      <c r="H299" s="493">
        <v>6023</v>
      </c>
      <c r="I299" s="493">
        <v>2</v>
      </c>
      <c r="J299" s="493">
        <v>120293</v>
      </c>
    </row>
    <row r="300" spans="1:10" s="428" customFormat="1" ht="9" customHeight="1" x14ac:dyDescent="0.25">
      <c r="B300" s="430"/>
      <c r="C300" s="471"/>
      <c r="D300" s="471"/>
      <c r="E300" s="471"/>
      <c r="F300" s="471"/>
      <c r="G300" s="471"/>
      <c r="H300" s="471"/>
      <c r="I300" s="427"/>
      <c r="J300" s="427"/>
    </row>
    <row r="301" spans="1:10" s="428" customFormat="1" ht="9" customHeight="1" x14ac:dyDescent="0.25">
      <c r="A301" s="470">
        <v>2003</v>
      </c>
      <c r="B301" s="430"/>
      <c r="C301" s="471"/>
      <c r="D301" s="471"/>
      <c r="E301" s="471"/>
      <c r="F301" s="471"/>
      <c r="G301" s="471"/>
      <c r="H301" s="471"/>
      <c r="I301" s="427"/>
      <c r="J301" s="427"/>
    </row>
    <row r="302" spans="1:10" s="473" customFormat="1" ht="9" customHeight="1" x14ac:dyDescent="0.15">
      <c r="A302" s="490" t="s">
        <v>263</v>
      </c>
      <c r="B302" s="491">
        <f>SUM(B304:B335)-1</f>
        <v>97344434</v>
      </c>
      <c r="C302" s="491">
        <f>SUM(C304:C335)</f>
        <v>34909675</v>
      </c>
      <c r="D302" s="491">
        <f>SUM(D304:D335)-1</f>
        <v>12618315</v>
      </c>
      <c r="E302" s="491">
        <f>SUM(E304:E335)</f>
        <v>3504393</v>
      </c>
      <c r="F302" s="491">
        <f>SUM(F304:F335)+1</f>
        <v>21678117</v>
      </c>
      <c r="G302" s="491">
        <f>SUM(G304:G335)</f>
        <v>11221828</v>
      </c>
      <c r="H302" s="491">
        <f>SUM(H304:H335)+1</f>
        <v>295099</v>
      </c>
      <c r="I302" s="491">
        <f>SUM(I304:I335)</f>
        <v>42155</v>
      </c>
      <c r="J302" s="491">
        <f>SUM(J304:J335)+1</f>
        <v>13074852</v>
      </c>
    </row>
    <row r="303" spans="1:10" s="473" customFormat="1" ht="3.95" customHeight="1" x14ac:dyDescent="0.25">
      <c r="B303" s="491"/>
      <c r="C303" s="491"/>
      <c r="D303" s="491"/>
      <c r="E303" s="491"/>
      <c r="F303" s="491"/>
      <c r="G303" s="491"/>
      <c r="H303" s="491"/>
      <c r="I303" s="491"/>
      <c r="J303" s="491"/>
    </row>
    <row r="304" spans="1:10" s="428" customFormat="1" ht="9" customHeight="1" x14ac:dyDescent="0.25">
      <c r="A304" s="428" t="s">
        <v>23</v>
      </c>
      <c r="B304" s="492">
        <f>SUM(C304:J304)</f>
        <v>865363</v>
      </c>
      <c r="C304" s="492">
        <v>414960</v>
      </c>
      <c r="D304" s="492">
        <v>125807</v>
      </c>
      <c r="E304" s="492">
        <v>27789</v>
      </c>
      <c r="F304" s="492">
        <v>114988</v>
      </c>
      <c r="G304" s="492">
        <v>93740</v>
      </c>
      <c r="H304" s="492">
        <v>1334</v>
      </c>
      <c r="I304" s="492">
        <v>0</v>
      </c>
      <c r="J304" s="492">
        <v>86745</v>
      </c>
    </row>
    <row r="305" spans="1:10" s="428" customFormat="1" ht="9" customHeight="1" x14ac:dyDescent="0.25">
      <c r="A305" s="428" t="s">
        <v>24</v>
      </c>
      <c r="B305" s="492">
        <f>SUM(C305:J305)</f>
        <v>2448988</v>
      </c>
      <c r="C305" s="492">
        <v>1016946</v>
      </c>
      <c r="D305" s="492">
        <v>326787</v>
      </c>
      <c r="E305" s="492">
        <v>188334</v>
      </c>
      <c r="F305" s="492">
        <v>467320</v>
      </c>
      <c r="G305" s="492">
        <v>247482</v>
      </c>
      <c r="H305" s="492">
        <v>1887</v>
      </c>
      <c r="I305" s="492">
        <v>459</v>
      </c>
      <c r="J305" s="492">
        <v>199773</v>
      </c>
    </row>
    <row r="306" spans="1:10" s="428" customFormat="1" ht="9" customHeight="1" x14ac:dyDescent="0.25">
      <c r="A306" s="428" t="s">
        <v>25</v>
      </c>
      <c r="B306" s="492">
        <f>SUM(C306:J306)</f>
        <v>434894</v>
      </c>
      <c r="C306" s="492">
        <v>164570</v>
      </c>
      <c r="D306" s="492">
        <v>68566</v>
      </c>
      <c r="E306" s="492">
        <v>22737</v>
      </c>
      <c r="F306" s="492">
        <v>82214</v>
      </c>
      <c r="G306" s="492">
        <v>49154</v>
      </c>
      <c r="H306" s="492">
        <v>147</v>
      </c>
      <c r="I306" s="492">
        <v>30</v>
      </c>
      <c r="J306" s="492">
        <v>47476</v>
      </c>
    </row>
    <row r="307" spans="1:10" s="428" customFormat="1" ht="9" customHeight="1" x14ac:dyDescent="0.25">
      <c r="A307" s="475" t="s">
        <v>26</v>
      </c>
      <c r="B307" s="493">
        <f>SUM(C307:J307)-1</f>
        <v>773521</v>
      </c>
      <c r="C307" s="493">
        <v>239154</v>
      </c>
      <c r="D307" s="493">
        <v>88061</v>
      </c>
      <c r="E307" s="493">
        <v>18872</v>
      </c>
      <c r="F307" s="493">
        <v>176203</v>
      </c>
      <c r="G307" s="493">
        <v>106060</v>
      </c>
      <c r="H307" s="493">
        <v>1862</v>
      </c>
      <c r="I307" s="493">
        <v>188</v>
      </c>
      <c r="J307" s="493">
        <v>143122</v>
      </c>
    </row>
    <row r="308" spans="1:10" s="428" customFormat="1" ht="9" customHeight="1" x14ac:dyDescent="0.25">
      <c r="A308" s="428" t="s">
        <v>27</v>
      </c>
      <c r="B308" s="492">
        <f>SUM(C308:J308)</f>
        <v>2327558</v>
      </c>
      <c r="C308" s="492">
        <v>802376</v>
      </c>
      <c r="D308" s="492">
        <v>306347</v>
      </c>
      <c r="E308" s="492">
        <v>53818</v>
      </c>
      <c r="F308" s="492">
        <v>510128</v>
      </c>
      <c r="G308" s="492">
        <v>293311</v>
      </c>
      <c r="H308" s="492">
        <v>5124</v>
      </c>
      <c r="I308" s="492">
        <v>748</v>
      </c>
      <c r="J308" s="492">
        <v>355706</v>
      </c>
    </row>
    <row r="309" spans="1:10" s="428" customFormat="1" ht="9" customHeight="1" x14ac:dyDescent="0.25">
      <c r="A309" s="428" t="s">
        <v>28</v>
      </c>
      <c r="B309" s="492">
        <f>SUM(C309:J309)</f>
        <v>541156</v>
      </c>
      <c r="C309" s="492">
        <v>182439</v>
      </c>
      <c r="D309" s="492">
        <v>61293</v>
      </c>
      <c r="E309" s="492">
        <v>13671</v>
      </c>
      <c r="F309" s="492">
        <v>136973</v>
      </c>
      <c r="G309" s="492">
        <v>78318</v>
      </c>
      <c r="H309" s="492">
        <v>429</v>
      </c>
      <c r="I309" s="492">
        <v>3</v>
      </c>
      <c r="J309" s="492">
        <v>68030</v>
      </c>
    </row>
    <row r="310" spans="1:10" s="428" customFormat="1" ht="9" customHeight="1" x14ac:dyDescent="0.25">
      <c r="A310" s="428" t="s">
        <v>29</v>
      </c>
      <c r="B310" s="492">
        <f>SUM(C310:J310)+1</f>
        <v>4381868</v>
      </c>
      <c r="C310" s="492">
        <v>1439144</v>
      </c>
      <c r="D310" s="492">
        <v>558211</v>
      </c>
      <c r="E310" s="492">
        <v>216204</v>
      </c>
      <c r="F310" s="492">
        <v>1078306</v>
      </c>
      <c r="G310" s="492">
        <v>457002</v>
      </c>
      <c r="H310" s="492">
        <v>9107</v>
      </c>
      <c r="I310" s="492">
        <v>37</v>
      </c>
      <c r="J310" s="492">
        <v>623856</v>
      </c>
    </row>
    <row r="311" spans="1:10" s="428" customFormat="1" ht="9" customHeight="1" x14ac:dyDescent="0.25">
      <c r="A311" s="475" t="s">
        <v>30</v>
      </c>
      <c r="B311" s="493">
        <f>SUM(C311:J311)+1</f>
        <v>3315415</v>
      </c>
      <c r="C311" s="493">
        <v>1204860</v>
      </c>
      <c r="D311" s="493">
        <v>382024</v>
      </c>
      <c r="E311" s="493">
        <v>94688</v>
      </c>
      <c r="F311" s="493">
        <v>966386</v>
      </c>
      <c r="G311" s="493">
        <v>262600</v>
      </c>
      <c r="H311" s="493">
        <v>7260</v>
      </c>
      <c r="I311" s="493">
        <v>22</v>
      </c>
      <c r="J311" s="493">
        <v>397574</v>
      </c>
    </row>
    <row r="312" spans="1:10" s="428" customFormat="1" ht="9" customHeight="1" x14ac:dyDescent="0.25">
      <c r="A312" s="428" t="s">
        <v>63</v>
      </c>
      <c r="B312" s="492">
        <f>SUM(C312:J312)</f>
        <v>7735115</v>
      </c>
      <c r="C312" s="492">
        <v>2585783</v>
      </c>
      <c r="D312" s="492">
        <v>872944</v>
      </c>
      <c r="E312" s="492">
        <v>349553</v>
      </c>
      <c r="F312" s="492">
        <v>1526052</v>
      </c>
      <c r="G312" s="492">
        <v>748128</v>
      </c>
      <c r="H312" s="492">
        <v>47423</v>
      </c>
      <c r="I312" s="492">
        <v>5311</v>
      </c>
      <c r="J312" s="492">
        <v>1599921</v>
      </c>
    </row>
    <row r="313" spans="1:10" s="428" customFormat="1" ht="9" customHeight="1" x14ac:dyDescent="0.25">
      <c r="A313" s="428" t="s">
        <v>31</v>
      </c>
      <c r="B313" s="492">
        <f>SUM(C313:J313)</f>
        <v>1765392</v>
      </c>
      <c r="C313" s="492">
        <v>588048</v>
      </c>
      <c r="D313" s="492">
        <v>223860</v>
      </c>
      <c r="E313" s="492">
        <v>122757</v>
      </c>
      <c r="F313" s="492">
        <v>384734</v>
      </c>
      <c r="G313" s="492">
        <v>193172</v>
      </c>
      <c r="H313" s="492">
        <v>5311</v>
      </c>
      <c r="I313" s="492">
        <v>55</v>
      </c>
      <c r="J313" s="492">
        <v>247455</v>
      </c>
    </row>
    <row r="314" spans="1:10" s="428" customFormat="1" ht="9" customHeight="1" x14ac:dyDescent="0.25">
      <c r="A314" s="428" t="s">
        <v>32</v>
      </c>
      <c r="B314" s="492">
        <f>SUM(C314:J314)+1</f>
        <v>4749902</v>
      </c>
      <c r="C314" s="492">
        <v>1917066</v>
      </c>
      <c r="D314" s="492">
        <v>702976</v>
      </c>
      <c r="E314" s="492">
        <v>127366</v>
      </c>
      <c r="F314" s="492">
        <v>956102</v>
      </c>
      <c r="G314" s="492">
        <v>486043</v>
      </c>
      <c r="H314" s="492">
        <v>5648</v>
      </c>
      <c r="I314" s="492">
        <v>52</v>
      </c>
      <c r="J314" s="492">
        <v>554648</v>
      </c>
    </row>
    <row r="315" spans="1:10" s="428" customFormat="1" ht="9" customHeight="1" x14ac:dyDescent="0.25">
      <c r="A315" s="475" t="s">
        <v>33</v>
      </c>
      <c r="B315" s="493">
        <f>SUM(C315:J315)</f>
        <v>3892041</v>
      </c>
      <c r="C315" s="493">
        <v>1287840</v>
      </c>
      <c r="D315" s="493">
        <v>460008</v>
      </c>
      <c r="E315" s="493">
        <v>79042</v>
      </c>
      <c r="F315" s="493">
        <v>1117405</v>
      </c>
      <c r="G315" s="493">
        <v>679364</v>
      </c>
      <c r="H315" s="493">
        <v>2474</v>
      </c>
      <c r="I315" s="493">
        <v>47</v>
      </c>
      <c r="J315" s="493">
        <v>265861</v>
      </c>
    </row>
    <row r="316" spans="1:10" s="428" customFormat="1" ht="9" customHeight="1" x14ac:dyDescent="0.25">
      <c r="A316" s="428" t="s">
        <v>34</v>
      </c>
      <c r="B316" s="492">
        <f>SUM(C316:J316)</f>
        <v>2142631</v>
      </c>
      <c r="C316" s="492">
        <v>733976</v>
      </c>
      <c r="D316" s="492">
        <v>269557</v>
      </c>
      <c r="E316" s="492">
        <v>88055</v>
      </c>
      <c r="F316" s="492">
        <v>545498</v>
      </c>
      <c r="G316" s="492">
        <v>280823</v>
      </c>
      <c r="H316" s="492">
        <v>14160</v>
      </c>
      <c r="I316" s="492">
        <v>55</v>
      </c>
      <c r="J316" s="492">
        <v>210507</v>
      </c>
    </row>
    <row r="317" spans="1:10" s="428" customFormat="1" ht="9" customHeight="1" x14ac:dyDescent="0.25">
      <c r="A317" s="428" t="s">
        <v>35</v>
      </c>
      <c r="B317" s="492">
        <f>SUM(C317:J317)+1</f>
        <v>5468206</v>
      </c>
      <c r="C317" s="492">
        <v>2001339</v>
      </c>
      <c r="D317" s="492">
        <v>832857</v>
      </c>
      <c r="E317" s="492">
        <v>164473</v>
      </c>
      <c r="F317" s="492">
        <v>1173248</v>
      </c>
      <c r="G317" s="492">
        <v>667884</v>
      </c>
      <c r="H317" s="492">
        <v>8766</v>
      </c>
      <c r="I317" s="492">
        <v>165</v>
      </c>
      <c r="J317" s="492">
        <v>619473</v>
      </c>
    </row>
    <row r="318" spans="1:10" s="428" customFormat="1" ht="9" customHeight="1" x14ac:dyDescent="0.25">
      <c r="A318" s="428" t="s">
        <v>36</v>
      </c>
      <c r="B318" s="492">
        <f>SUM(C318:J318)</f>
        <v>13558531</v>
      </c>
      <c r="C318" s="492">
        <v>4976280</v>
      </c>
      <c r="D318" s="492">
        <v>1851281</v>
      </c>
      <c r="E318" s="492">
        <v>313975</v>
      </c>
      <c r="F318" s="492">
        <v>2590753</v>
      </c>
      <c r="G318" s="492">
        <v>1671492</v>
      </c>
      <c r="H318" s="492">
        <v>43254</v>
      </c>
      <c r="I318" s="492">
        <v>176</v>
      </c>
      <c r="J318" s="492">
        <v>2111320</v>
      </c>
    </row>
    <row r="319" spans="1:10" s="428" customFormat="1" ht="9" customHeight="1" x14ac:dyDescent="0.25">
      <c r="A319" s="475" t="s">
        <v>37</v>
      </c>
      <c r="B319" s="493">
        <f>SUM(C319:J319)</f>
        <v>3700813</v>
      </c>
      <c r="C319" s="493">
        <v>1419004</v>
      </c>
      <c r="D319" s="493">
        <v>509264</v>
      </c>
      <c r="E319" s="493">
        <v>125666</v>
      </c>
      <c r="F319" s="493">
        <v>857895</v>
      </c>
      <c r="G319" s="493">
        <v>293917</v>
      </c>
      <c r="H319" s="493">
        <v>7038</v>
      </c>
      <c r="I319" s="493">
        <v>46</v>
      </c>
      <c r="J319" s="493">
        <v>487983</v>
      </c>
    </row>
    <row r="320" spans="1:10" s="428" customFormat="1" ht="9" customHeight="1" x14ac:dyDescent="0.25">
      <c r="A320" s="428" t="s">
        <v>38</v>
      </c>
      <c r="B320" s="492">
        <f>SUM(C320:J320)</f>
        <v>1550283</v>
      </c>
      <c r="C320" s="492">
        <v>569424</v>
      </c>
      <c r="D320" s="492">
        <v>191591</v>
      </c>
      <c r="E320" s="492">
        <v>53560</v>
      </c>
      <c r="F320" s="492">
        <v>318406</v>
      </c>
      <c r="G320" s="492">
        <v>202409</v>
      </c>
      <c r="H320" s="492">
        <v>2713</v>
      </c>
      <c r="I320" s="492">
        <v>6</v>
      </c>
      <c r="J320" s="492">
        <v>212174</v>
      </c>
    </row>
    <row r="321" spans="1:10" s="428" customFormat="1" ht="9" customHeight="1" x14ac:dyDescent="0.25">
      <c r="A321" s="428" t="s">
        <v>39</v>
      </c>
      <c r="B321" s="492">
        <f>SUM(C321:J321)</f>
        <v>878534</v>
      </c>
      <c r="C321" s="492">
        <v>303659</v>
      </c>
      <c r="D321" s="492">
        <v>107639</v>
      </c>
      <c r="E321" s="492">
        <v>33342</v>
      </c>
      <c r="F321" s="492">
        <v>233753</v>
      </c>
      <c r="G321" s="492">
        <v>105863</v>
      </c>
      <c r="H321" s="492">
        <v>1981</v>
      </c>
      <c r="I321" s="492">
        <v>12</v>
      </c>
      <c r="J321" s="492">
        <v>92285</v>
      </c>
    </row>
    <row r="322" spans="1:10" s="428" customFormat="1" ht="9" customHeight="1" x14ac:dyDescent="0.25">
      <c r="A322" s="428" t="s">
        <v>40</v>
      </c>
      <c r="B322" s="492">
        <f>SUM(C322:J322)</f>
        <v>3445179</v>
      </c>
      <c r="C322" s="492">
        <v>1307994</v>
      </c>
      <c r="D322" s="492">
        <v>456099</v>
      </c>
      <c r="E322" s="492">
        <v>60205</v>
      </c>
      <c r="F322" s="492">
        <v>806142</v>
      </c>
      <c r="G322" s="492">
        <v>378302</v>
      </c>
      <c r="H322" s="492">
        <v>4532</v>
      </c>
      <c r="I322" s="492">
        <v>176</v>
      </c>
      <c r="J322" s="492">
        <v>431729</v>
      </c>
    </row>
    <row r="323" spans="1:10" s="428" customFormat="1" ht="9" customHeight="1" x14ac:dyDescent="0.25">
      <c r="A323" s="475" t="s">
        <v>41</v>
      </c>
      <c r="B323" s="493">
        <f>SUM(C323:J323)+1</f>
        <v>3479328</v>
      </c>
      <c r="C323" s="493">
        <v>1132188</v>
      </c>
      <c r="D323" s="493">
        <v>408259</v>
      </c>
      <c r="E323" s="493">
        <v>146522</v>
      </c>
      <c r="F323" s="493">
        <v>850057</v>
      </c>
      <c r="G323" s="493">
        <v>454932</v>
      </c>
      <c r="H323" s="493">
        <v>15364</v>
      </c>
      <c r="I323" s="493">
        <v>67</v>
      </c>
      <c r="J323" s="493">
        <v>471938</v>
      </c>
    </row>
    <row r="324" spans="1:10" s="428" customFormat="1" ht="9" customHeight="1" x14ac:dyDescent="0.25">
      <c r="A324" s="428" t="s">
        <v>42</v>
      </c>
      <c r="B324" s="492">
        <f>SUM(C324:J324)</f>
        <v>5138742</v>
      </c>
      <c r="C324" s="492">
        <v>1950671</v>
      </c>
      <c r="D324" s="492">
        <v>717336</v>
      </c>
      <c r="E324" s="492">
        <v>199799</v>
      </c>
      <c r="F324" s="492">
        <v>1075318</v>
      </c>
      <c r="G324" s="492">
        <v>597414</v>
      </c>
      <c r="H324" s="492">
        <v>34470</v>
      </c>
      <c r="I324" s="492">
        <v>31049</v>
      </c>
      <c r="J324" s="492">
        <v>532685</v>
      </c>
    </row>
    <row r="325" spans="1:10" s="428" customFormat="1" ht="9" customHeight="1" x14ac:dyDescent="0.25">
      <c r="A325" s="428" t="s">
        <v>43</v>
      </c>
      <c r="B325" s="492">
        <f>SUM(C325:J325)</f>
        <v>1413017</v>
      </c>
      <c r="C325" s="492">
        <v>556968</v>
      </c>
      <c r="D325" s="492">
        <v>187562</v>
      </c>
      <c r="E325" s="492">
        <v>44334</v>
      </c>
      <c r="F325" s="492">
        <v>266587</v>
      </c>
      <c r="G325" s="492">
        <v>144241</v>
      </c>
      <c r="H325" s="492">
        <v>3281</v>
      </c>
      <c r="I325" s="492">
        <v>0</v>
      </c>
      <c r="J325" s="492">
        <v>210044</v>
      </c>
    </row>
    <row r="326" spans="1:10" s="428" customFormat="1" ht="9" customHeight="1" x14ac:dyDescent="0.25">
      <c r="A326" s="428" t="s">
        <v>44</v>
      </c>
      <c r="B326" s="492">
        <f>SUM(C326:J326)</f>
        <v>951717</v>
      </c>
      <c r="C326" s="492">
        <v>344573</v>
      </c>
      <c r="D326" s="492">
        <v>125585</v>
      </c>
      <c r="E326" s="492">
        <v>36073</v>
      </c>
      <c r="F326" s="492">
        <v>209692</v>
      </c>
      <c r="G326" s="492">
        <v>135653</v>
      </c>
      <c r="H326" s="492">
        <v>1154</v>
      </c>
      <c r="I326" s="492">
        <v>29</v>
      </c>
      <c r="J326" s="492">
        <v>98958</v>
      </c>
    </row>
    <row r="327" spans="1:10" s="428" customFormat="1" ht="9" customHeight="1" x14ac:dyDescent="0.25">
      <c r="A327" s="475" t="s">
        <v>45</v>
      </c>
      <c r="B327" s="493">
        <f>SUM(C327:J327)-1</f>
        <v>2402626</v>
      </c>
      <c r="C327" s="493">
        <v>826654</v>
      </c>
      <c r="D327" s="493">
        <v>291878</v>
      </c>
      <c r="E327" s="493">
        <v>73921</v>
      </c>
      <c r="F327" s="493">
        <v>579225</v>
      </c>
      <c r="G327" s="493">
        <v>285616</v>
      </c>
      <c r="H327" s="493">
        <v>10236</v>
      </c>
      <c r="I327" s="493">
        <v>652</v>
      </c>
      <c r="J327" s="493">
        <v>334445</v>
      </c>
    </row>
    <row r="328" spans="1:10" s="428" customFormat="1" ht="9" customHeight="1" x14ac:dyDescent="0.25">
      <c r="A328" s="428" t="s">
        <v>46</v>
      </c>
      <c r="B328" s="492">
        <f>SUM(C328:J328)</f>
        <v>2636615</v>
      </c>
      <c r="C328" s="492">
        <v>885287</v>
      </c>
      <c r="D328" s="492">
        <v>335458</v>
      </c>
      <c r="E328" s="492">
        <v>74290</v>
      </c>
      <c r="F328" s="492">
        <v>652307</v>
      </c>
      <c r="G328" s="492">
        <v>348401</v>
      </c>
      <c r="H328" s="492">
        <v>4713</v>
      </c>
      <c r="I328" s="492">
        <v>31</v>
      </c>
      <c r="J328" s="492">
        <v>336128</v>
      </c>
    </row>
    <row r="329" spans="1:10" s="428" customFormat="1" ht="9" customHeight="1" x14ac:dyDescent="0.25">
      <c r="A329" s="428" t="s">
        <v>47</v>
      </c>
      <c r="B329" s="492">
        <f>SUM(C329:J329)</f>
        <v>2030234</v>
      </c>
      <c r="C329" s="492">
        <v>765546</v>
      </c>
      <c r="D329" s="492">
        <v>280599</v>
      </c>
      <c r="E329" s="492">
        <v>98177</v>
      </c>
      <c r="F329" s="492">
        <v>404449</v>
      </c>
      <c r="G329" s="492">
        <v>206018</v>
      </c>
      <c r="H329" s="492">
        <v>8564</v>
      </c>
      <c r="I329" s="492">
        <v>779</v>
      </c>
      <c r="J329" s="492">
        <v>266102</v>
      </c>
    </row>
    <row r="330" spans="1:10" s="428" customFormat="1" ht="9" customHeight="1" x14ac:dyDescent="0.25">
      <c r="A330" s="428" t="s">
        <v>48</v>
      </c>
      <c r="B330" s="492">
        <f>SUM(C330:J330)-1</f>
        <v>1946930</v>
      </c>
      <c r="C330" s="492">
        <v>715444</v>
      </c>
      <c r="D330" s="492">
        <v>263886</v>
      </c>
      <c r="E330" s="492">
        <v>52474</v>
      </c>
      <c r="F330" s="492">
        <v>432086</v>
      </c>
      <c r="G330" s="492">
        <v>288599</v>
      </c>
      <c r="H330" s="492">
        <v>1900</v>
      </c>
      <c r="I330" s="492">
        <v>211</v>
      </c>
      <c r="J330" s="492">
        <v>192331</v>
      </c>
    </row>
    <row r="331" spans="1:10" s="428" customFormat="1" ht="9" customHeight="1" x14ac:dyDescent="0.25">
      <c r="A331" s="475" t="s">
        <v>49</v>
      </c>
      <c r="B331" s="493">
        <f>SUM(C331:J331)+1</f>
        <v>2835878</v>
      </c>
      <c r="C331" s="493">
        <v>988748</v>
      </c>
      <c r="D331" s="493">
        <v>347252</v>
      </c>
      <c r="E331" s="493">
        <v>59760</v>
      </c>
      <c r="F331" s="493">
        <v>725179</v>
      </c>
      <c r="G331" s="493">
        <v>298198</v>
      </c>
      <c r="H331" s="493">
        <v>5113</v>
      </c>
      <c r="I331" s="493">
        <v>1125</v>
      </c>
      <c r="J331" s="493">
        <v>410502</v>
      </c>
    </row>
    <row r="332" spans="1:10" s="428" customFormat="1" ht="9" customHeight="1" x14ac:dyDescent="0.25">
      <c r="A332" s="428" t="s">
        <v>50</v>
      </c>
      <c r="B332" s="492">
        <f>SUM(C332:J332)</f>
        <v>978510</v>
      </c>
      <c r="C332" s="492">
        <v>388971</v>
      </c>
      <c r="D332" s="492">
        <v>132083</v>
      </c>
      <c r="E332" s="492">
        <v>61493</v>
      </c>
      <c r="F332" s="492">
        <v>163964</v>
      </c>
      <c r="G332" s="492">
        <v>98215</v>
      </c>
      <c r="H332" s="492">
        <v>2385</v>
      </c>
      <c r="I332" s="492">
        <v>99</v>
      </c>
      <c r="J332" s="492">
        <v>131300</v>
      </c>
    </row>
    <row r="333" spans="1:10" s="428" customFormat="1" ht="9" customHeight="1" x14ac:dyDescent="0.25">
      <c r="A333" s="428" t="s">
        <v>51</v>
      </c>
      <c r="B333" s="492">
        <f>SUM(C333:J333)</f>
        <v>6710535</v>
      </c>
      <c r="C333" s="492">
        <v>2208625</v>
      </c>
      <c r="D333" s="492">
        <v>779437</v>
      </c>
      <c r="E333" s="492">
        <v>402958</v>
      </c>
      <c r="F333" s="492">
        <v>1683573</v>
      </c>
      <c r="G333" s="492">
        <v>752512</v>
      </c>
      <c r="H333" s="492">
        <v>18691</v>
      </c>
      <c r="I333" s="492">
        <v>0</v>
      </c>
      <c r="J333" s="492">
        <v>864739</v>
      </c>
    </row>
    <row r="334" spans="1:10" s="428" customFormat="1" ht="9" customHeight="1" x14ac:dyDescent="0.25">
      <c r="A334" s="428" t="s">
        <v>52</v>
      </c>
      <c r="B334" s="492">
        <f>SUM(C334:J334)</f>
        <v>1541011</v>
      </c>
      <c r="C334" s="492">
        <v>551137</v>
      </c>
      <c r="D334" s="492">
        <v>188777</v>
      </c>
      <c r="E334" s="492">
        <v>65285</v>
      </c>
      <c r="F334" s="492">
        <v>327988</v>
      </c>
      <c r="G334" s="492">
        <v>155405</v>
      </c>
      <c r="H334" s="492">
        <v>10982</v>
      </c>
      <c r="I334" s="492">
        <v>120</v>
      </c>
      <c r="J334" s="492">
        <v>241317</v>
      </c>
    </row>
    <row r="335" spans="1:10" s="428" customFormat="1" ht="9" customHeight="1" x14ac:dyDescent="0.25">
      <c r="A335" s="475" t="s">
        <v>53</v>
      </c>
      <c r="B335" s="493">
        <f>SUM(C335:J335)</f>
        <v>1303902</v>
      </c>
      <c r="C335" s="493">
        <v>440001</v>
      </c>
      <c r="D335" s="493">
        <v>165032</v>
      </c>
      <c r="E335" s="493">
        <v>35200</v>
      </c>
      <c r="F335" s="493">
        <v>265185</v>
      </c>
      <c r="G335" s="493">
        <v>161560</v>
      </c>
      <c r="H335" s="493">
        <v>7795</v>
      </c>
      <c r="I335" s="493">
        <v>405</v>
      </c>
      <c r="J335" s="493">
        <v>228724</v>
      </c>
    </row>
    <row r="336" spans="1:10" s="428" customFormat="1" ht="9" customHeight="1" x14ac:dyDescent="0.25">
      <c r="B336" s="430"/>
      <c r="C336" s="471"/>
      <c r="D336" s="471"/>
      <c r="E336" s="471"/>
      <c r="F336" s="471"/>
      <c r="G336" s="471"/>
      <c r="H336" s="471"/>
      <c r="I336" s="427"/>
      <c r="J336" s="427"/>
    </row>
    <row r="337" spans="1:11" s="428" customFormat="1" ht="9" customHeight="1" x14ac:dyDescent="0.25">
      <c r="A337" s="470">
        <v>2004</v>
      </c>
      <c r="B337" s="430"/>
      <c r="C337" s="471"/>
      <c r="D337" s="471"/>
      <c r="E337" s="471"/>
      <c r="F337" s="471"/>
      <c r="G337" s="491"/>
      <c r="H337" s="471"/>
      <c r="I337" s="427"/>
      <c r="J337" s="427"/>
    </row>
    <row r="338" spans="1:11" s="473" customFormat="1" ht="9" customHeight="1" x14ac:dyDescent="0.15">
      <c r="A338" s="490" t="s">
        <v>263</v>
      </c>
      <c r="B338" s="491">
        <f>SUM(B340:B371)+2010554</f>
        <v>93530955</v>
      </c>
      <c r="C338" s="491">
        <f>SUM(C340:C371)</f>
        <v>27402260</v>
      </c>
      <c r="D338" s="491">
        <f>SUM(D340:D371)+10</f>
        <v>11265291</v>
      </c>
      <c r="E338" s="491">
        <f t="shared" ref="E338:J338" si="10">SUM(E340:E371)</f>
        <v>2102854</v>
      </c>
      <c r="F338" s="491">
        <f t="shared" si="10"/>
        <v>20080353</v>
      </c>
      <c r="G338" s="491">
        <f t="shared" si="10"/>
        <v>17154031</v>
      </c>
      <c r="H338" s="491">
        <f t="shared" si="10"/>
        <v>156840</v>
      </c>
      <c r="I338" s="491">
        <f t="shared" si="10"/>
        <v>27685</v>
      </c>
      <c r="J338" s="491">
        <f t="shared" si="10"/>
        <v>15341641</v>
      </c>
    </row>
    <row r="339" spans="1:11" s="473" customFormat="1" ht="3.95" customHeight="1" x14ac:dyDescent="0.25">
      <c r="B339" s="491"/>
      <c r="C339" s="491"/>
      <c r="D339" s="491"/>
      <c r="E339" s="491"/>
      <c r="F339" s="491"/>
      <c r="G339" s="491"/>
      <c r="H339" s="491"/>
      <c r="I339" s="491"/>
      <c r="J339" s="491"/>
    </row>
    <row r="340" spans="1:11" s="428" customFormat="1" ht="9" customHeight="1" x14ac:dyDescent="0.25">
      <c r="A340" s="428" t="s">
        <v>23</v>
      </c>
      <c r="B340" s="492">
        <f t="shared" ref="B340:B347" si="11">SUM(C340:J340)</f>
        <v>795235</v>
      </c>
      <c r="C340" s="492">
        <v>276503</v>
      </c>
      <c r="D340" s="492">
        <v>68065</v>
      </c>
      <c r="E340" s="492">
        <v>15842</v>
      </c>
      <c r="F340" s="492">
        <v>117302</v>
      </c>
      <c r="G340" s="492">
        <v>161982</v>
      </c>
      <c r="H340" s="492">
        <v>593</v>
      </c>
      <c r="I340" s="492">
        <v>2</v>
      </c>
      <c r="J340" s="492">
        <v>154946</v>
      </c>
    </row>
    <row r="341" spans="1:11" s="428" customFormat="1" ht="9" customHeight="1" x14ac:dyDescent="0.25">
      <c r="A341" s="428" t="s">
        <v>24</v>
      </c>
      <c r="B341" s="492">
        <f t="shared" si="11"/>
        <v>1970478</v>
      </c>
      <c r="C341" s="492">
        <v>711862</v>
      </c>
      <c r="D341" s="492">
        <v>254717</v>
      </c>
      <c r="E341" s="492">
        <v>37853</v>
      </c>
      <c r="F341" s="492">
        <v>408089</v>
      </c>
      <c r="G341" s="492">
        <v>303390</v>
      </c>
      <c r="H341" s="492">
        <v>1323</v>
      </c>
      <c r="I341" s="492">
        <v>482</v>
      </c>
      <c r="J341" s="492">
        <v>252762</v>
      </c>
    </row>
    <row r="342" spans="1:11" s="428" customFormat="1" ht="9" customHeight="1" x14ac:dyDescent="0.25">
      <c r="A342" s="428" t="s">
        <v>25</v>
      </c>
      <c r="B342" s="492">
        <f t="shared" si="11"/>
        <v>427571</v>
      </c>
      <c r="C342" s="492">
        <v>127096</v>
      </c>
      <c r="D342" s="492">
        <v>55267</v>
      </c>
      <c r="E342" s="492">
        <v>9199</v>
      </c>
      <c r="F342" s="492">
        <v>89449</v>
      </c>
      <c r="G342" s="492">
        <v>74257</v>
      </c>
      <c r="H342" s="492">
        <v>173</v>
      </c>
      <c r="I342" s="492">
        <v>122</v>
      </c>
      <c r="J342" s="492">
        <v>72008</v>
      </c>
    </row>
    <row r="343" spans="1:11" s="428" customFormat="1" ht="9" customHeight="1" x14ac:dyDescent="0.25">
      <c r="A343" s="475" t="s">
        <v>26</v>
      </c>
      <c r="B343" s="493">
        <f t="shared" si="11"/>
        <v>744720</v>
      </c>
      <c r="C343" s="493">
        <v>190715</v>
      </c>
      <c r="D343" s="493">
        <v>81640</v>
      </c>
      <c r="E343" s="493">
        <v>14784</v>
      </c>
      <c r="F343" s="493">
        <v>161008</v>
      </c>
      <c r="G343" s="493">
        <v>141659</v>
      </c>
      <c r="H343" s="493">
        <v>475</v>
      </c>
      <c r="I343" s="493">
        <v>110</v>
      </c>
      <c r="J343" s="493">
        <v>154329</v>
      </c>
    </row>
    <row r="344" spans="1:11" s="428" customFormat="1" ht="9" customHeight="1" x14ac:dyDescent="0.25">
      <c r="A344" s="428" t="s">
        <v>27</v>
      </c>
      <c r="B344" s="492">
        <f t="shared" si="11"/>
        <v>2407206</v>
      </c>
      <c r="C344" s="492">
        <v>723959</v>
      </c>
      <c r="D344" s="492">
        <v>325622</v>
      </c>
      <c r="E344" s="492">
        <v>57816</v>
      </c>
      <c r="F344" s="492">
        <v>480364</v>
      </c>
      <c r="G344" s="492">
        <v>374470</v>
      </c>
      <c r="H344" s="492">
        <v>2088</v>
      </c>
      <c r="I344" s="492">
        <v>377</v>
      </c>
      <c r="J344" s="492">
        <v>442510</v>
      </c>
    </row>
    <row r="345" spans="1:11" s="428" customFormat="1" ht="9" customHeight="1" x14ac:dyDescent="0.25">
      <c r="A345" s="428" t="s">
        <v>28</v>
      </c>
      <c r="B345" s="492">
        <f t="shared" si="11"/>
        <v>505864</v>
      </c>
      <c r="C345" s="492">
        <v>136588</v>
      </c>
      <c r="D345" s="492">
        <v>57786</v>
      </c>
      <c r="E345" s="492">
        <v>10021</v>
      </c>
      <c r="F345" s="492">
        <v>135178</v>
      </c>
      <c r="G345" s="492">
        <v>91845</v>
      </c>
      <c r="H345" s="492">
        <v>122</v>
      </c>
      <c r="I345" s="492">
        <v>23</v>
      </c>
      <c r="J345" s="492">
        <v>74301</v>
      </c>
    </row>
    <row r="346" spans="1:11" s="428" customFormat="1" ht="9" customHeight="1" x14ac:dyDescent="0.25">
      <c r="A346" s="428" t="s">
        <v>29</v>
      </c>
      <c r="B346" s="492">
        <f t="shared" si="11"/>
        <v>4271696</v>
      </c>
      <c r="C346" s="492">
        <v>1201241</v>
      </c>
      <c r="D346" s="492">
        <v>575733</v>
      </c>
      <c r="E346" s="492">
        <v>139328</v>
      </c>
      <c r="F346" s="492">
        <v>1017243</v>
      </c>
      <c r="G346" s="492">
        <v>571302</v>
      </c>
      <c r="H346" s="492">
        <v>9232</v>
      </c>
      <c r="I346" s="492">
        <v>32</v>
      </c>
      <c r="J346" s="492">
        <v>757585</v>
      </c>
    </row>
    <row r="347" spans="1:11" s="428" customFormat="1" ht="9" customHeight="1" x14ac:dyDescent="0.25">
      <c r="A347" s="475" t="s">
        <v>30</v>
      </c>
      <c r="B347" s="493">
        <f t="shared" si="11"/>
        <v>2804180</v>
      </c>
      <c r="C347" s="493">
        <v>895990</v>
      </c>
      <c r="D347" s="493">
        <v>364066</v>
      </c>
      <c r="E347" s="493">
        <v>72467</v>
      </c>
      <c r="F347" s="493">
        <v>570749</v>
      </c>
      <c r="G347" s="493">
        <v>454595</v>
      </c>
      <c r="H347" s="493">
        <v>1901</v>
      </c>
      <c r="I347" s="493">
        <v>101</v>
      </c>
      <c r="J347" s="493">
        <v>444311</v>
      </c>
    </row>
    <row r="348" spans="1:11" s="428" customFormat="1" ht="9" customHeight="1" x14ac:dyDescent="0.25">
      <c r="A348" s="428" t="s">
        <v>583</v>
      </c>
      <c r="B348" s="492">
        <v>5309139</v>
      </c>
      <c r="C348" s="492">
        <v>1954183</v>
      </c>
      <c r="D348" s="492">
        <v>788657</v>
      </c>
      <c r="E348" s="492">
        <v>154887</v>
      </c>
      <c r="F348" s="492">
        <v>1397668</v>
      </c>
      <c r="G348" s="492">
        <v>1781850</v>
      </c>
      <c r="H348" s="492">
        <v>31592</v>
      </c>
      <c r="I348" s="492">
        <v>11145</v>
      </c>
      <c r="J348" s="492">
        <v>1199701</v>
      </c>
      <c r="K348" s="492"/>
    </row>
    <row r="349" spans="1:11" s="428" customFormat="1" ht="9" customHeight="1" x14ac:dyDescent="0.25">
      <c r="A349" s="428" t="s">
        <v>31</v>
      </c>
      <c r="B349" s="492">
        <f t="shared" ref="B349:B371" si="12">SUM(C349:J349)</f>
        <v>1504395</v>
      </c>
      <c r="C349" s="492">
        <v>425047</v>
      </c>
      <c r="D349" s="492">
        <v>201272</v>
      </c>
      <c r="E349" s="492">
        <v>27823</v>
      </c>
      <c r="F349" s="492">
        <v>317600</v>
      </c>
      <c r="G349" s="492">
        <v>271688</v>
      </c>
      <c r="H349" s="492">
        <v>1701</v>
      </c>
      <c r="I349" s="492">
        <v>10</v>
      </c>
      <c r="J349" s="492">
        <v>259254</v>
      </c>
    </row>
    <row r="350" spans="1:11" s="428" customFormat="1" ht="9" customHeight="1" x14ac:dyDescent="0.25">
      <c r="A350" s="428" t="s">
        <v>32</v>
      </c>
      <c r="B350" s="492">
        <f t="shared" si="12"/>
        <v>4363973</v>
      </c>
      <c r="C350" s="492">
        <v>1476383</v>
      </c>
      <c r="D350" s="492">
        <v>614306</v>
      </c>
      <c r="E350" s="492">
        <v>99934</v>
      </c>
      <c r="F350" s="492">
        <v>816339</v>
      </c>
      <c r="G350" s="492">
        <v>733177</v>
      </c>
      <c r="H350" s="492">
        <v>3822</v>
      </c>
      <c r="I350" s="492">
        <v>266</v>
      </c>
      <c r="J350" s="492">
        <v>619746</v>
      </c>
    </row>
    <row r="351" spans="1:11" s="428" customFormat="1" ht="9" customHeight="1" x14ac:dyDescent="0.25">
      <c r="A351" s="475" t="s">
        <v>33</v>
      </c>
      <c r="B351" s="493">
        <f t="shared" si="12"/>
        <v>3869618</v>
      </c>
      <c r="C351" s="493">
        <v>1063981</v>
      </c>
      <c r="D351" s="493">
        <v>408796</v>
      </c>
      <c r="E351" s="493">
        <v>68003</v>
      </c>
      <c r="F351" s="493">
        <v>1070893</v>
      </c>
      <c r="G351" s="493">
        <v>788010</v>
      </c>
      <c r="H351" s="493">
        <v>3758</v>
      </c>
      <c r="I351" s="493">
        <v>146</v>
      </c>
      <c r="J351" s="493">
        <v>466031</v>
      </c>
    </row>
    <row r="352" spans="1:11" s="428" customFormat="1" ht="9" customHeight="1" x14ac:dyDescent="0.25">
      <c r="A352" s="428" t="s">
        <v>34</v>
      </c>
      <c r="B352" s="492">
        <f t="shared" si="12"/>
        <v>2150779</v>
      </c>
      <c r="C352" s="492">
        <v>603233</v>
      </c>
      <c r="D352" s="492">
        <v>249540</v>
      </c>
      <c r="E352" s="492">
        <v>55036</v>
      </c>
      <c r="F352" s="492">
        <v>449724</v>
      </c>
      <c r="G352" s="492">
        <v>382150</v>
      </c>
      <c r="H352" s="492">
        <v>6883</v>
      </c>
      <c r="I352" s="492">
        <v>152</v>
      </c>
      <c r="J352" s="492">
        <v>404061</v>
      </c>
    </row>
    <row r="353" spans="1:10" s="428" customFormat="1" ht="9" customHeight="1" x14ac:dyDescent="0.25">
      <c r="A353" s="428" t="s">
        <v>35</v>
      </c>
      <c r="B353" s="492">
        <f t="shared" si="12"/>
        <v>5352865</v>
      </c>
      <c r="C353" s="492">
        <v>1540255</v>
      </c>
      <c r="D353" s="492">
        <v>691777</v>
      </c>
      <c r="E353" s="492">
        <v>120228</v>
      </c>
      <c r="F353" s="492">
        <v>1091447</v>
      </c>
      <c r="G353" s="492">
        <v>1232570</v>
      </c>
      <c r="H353" s="492">
        <v>5480</v>
      </c>
      <c r="I353" s="492">
        <v>88</v>
      </c>
      <c r="J353" s="492">
        <v>671020</v>
      </c>
    </row>
    <row r="354" spans="1:10" s="428" customFormat="1" ht="9" customHeight="1" x14ac:dyDescent="0.25">
      <c r="A354" s="428" t="s">
        <v>36</v>
      </c>
      <c r="B354" s="492">
        <f t="shared" si="12"/>
        <v>12289348</v>
      </c>
      <c r="C354" s="492">
        <v>4024860</v>
      </c>
      <c r="D354" s="492">
        <v>1422763</v>
      </c>
      <c r="E354" s="492">
        <v>228725</v>
      </c>
      <c r="F354" s="492">
        <v>2455107</v>
      </c>
      <c r="G354" s="492">
        <v>2616330</v>
      </c>
      <c r="H354" s="492">
        <v>25465</v>
      </c>
      <c r="I354" s="492">
        <v>3932</v>
      </c>
      <c r="J354" s="492">
        <v>1512166</v>
      </c>
    </row>
    <row r="355" spans="1:10" s="428" customFormat="1" ht="9" customHeight="1" x14ac:dyDescent="0.25">
      <c r="A355" s="475" t="s">
        <v>37</v>
      </c>
      <c r="B355" s="493">
        <f t="shared" si="12"/>
        <v>4098016</v>
      </c>
      <c r="C355" s="493">
        <v>1064434</v>
      </c>
      <c r="D355" s="493">
        <v>473039</v>
      </c>
      <c r="E355" s="493">
        <v>116134</v>
      </c>
      <c r="F355" s="493">
        <v>815149</v>
      </c>
      <c r="G355" s="493">
        <v>720519</v>
      </c>
      <c r="H355" s="493">
        <v>3764</v>
      </c>
      <c r="I355" s="493">
        <v>1767</v>
      </c>
      <c r="J355" s="493">
        <v>903210</v>
      </c>
    </row>
    <row r="356" spans="1:10" s="428" customFormat="1" ht="9" customHeight="1" x14ac:dyDescent="0.25">
      <c r="A356" s="428" t="s">
        <v>38</v>
      </c>
      <c r="B356" s="492">
        <f t="shared" si="12"/>
        <v>1593803</v>
      </c>
      <c r="C356" s="492">
        <v>430748</v>
      </c>
      <c r="D356" s="492">
        <v>164878</v>
      </c>
      <c r="E356" s="492">
        <v>33870</v>
      </c>
      <c r="F356" s="492">
        <v>350639</v>
      </c>
      <c r="G356" s="492">
        <v>317789</v>
      </c>
      <c r="H356" s="492">
        <v>1916</v>
      </c>
      <c r="I356" s="492">
        <v>17</v>
      </c>
      <c r="J356" s="492">
        <v>293946</v>
      </c>
    </row>
    <row r="357" spans="1:10" s="428" customFormat="1" ht="9" customHeight="1" x14ac:dyDescent="0.25">
      <c r="A357" s="428" t="s">
        <v>39</v>
      </c>
      <c r="B357" s="492">
        <f t="shared" si="12"/>
        <v>931855</v>
      </c>
      <c r="C357" s="492">
        <v>244972</v>
      </c>
      <c r="D357" s="492">
        <v>105383</v>
      </c>
      <c r="E357" s="492">
        <v>16938</v>
      </c>
      <c r="F357" s="492">
        <v>195720</v>
      </c>
      <c r="G357" s="492">
        <v>187120</v>
      </c>
      <c r="H357" s="492">
        <v>1091</v>
      </c>
      <c r="I357" s="492">
        <v>85</v>
      </c>
      <c r="J357" s="492">
        <v>180546</v>
      </c>
    </row>
    <row r="358" spans="1:10" s="428" customFormat="1" ht="9" customHeight="1" x14ac:dyDescent="0.25">
      <c r="A358" s="428" t="s">
        <v>40</v>
      </c>
      <c r="B358" s="492">
        <f t="shared" si="12"/>
        <v>2903430</v>
      </c>
      <c r="C358" s="492">
        <v>1014864</v>
      </c>
      <c r="D358" s="492">
        <v>367849</v>
      </c>
      <c r="E358" s="492">
        <v>53884</v>
      </c>
      <c r="F358" s="492">
        <v>686671</v>
      </c>
      <c r="G358" s="492">
        <v>350459</v>
      </c>
      <c r="H358" s="492">
        <v>1238</v>
      </c>
      <c r="I358" s="492">
        <v>1846</v>
      </c>
      <c r="J358" s="492">
        <v>426619</v>
      </c>
    </row>
    <row r="359" spans="1:10" s="428" customFormat="1" ht="9" customHeight="1" x14ac:dyDescent="0.25">
      <c r="A359" s="475" t="s">
        <v>41</v>
      </c>
      <c r="B359" s="493">
        <f t="shared" si="12"/>
        <v>3265184</v>
      </c>
      <c r="C359" s="493">
        <v>864868</v>
      </c>
      <c r="D359" s="493">
        <v>410270</v>
      </c>
      <c r="E359" s="493">
        <v>85185</v>
      </c>
      <c r="F359" s="493">
        <v>809061</v>
      </c>
      <c r="G359" s="493">
        <v>489711</v>
      </c>
      <c r="H359" s="493">
        <v>5245</v>
      </c>
      <c r="I359" s="493">
        <v>682</v>
      </c>
      <c r="J359" s="493">
        <v>600162</v>
      </c>
    </row>
    <row r="360" spans="1:10" s="428" customFormat="1" ht="9" customHeight="1" x14ac:dyDescent="0.25">
      <c r="A360" s="428" t="s">
        <v>42</v>
      </c>
      <c r="B360" s="492">
        <f t="shared" si="12"/>
        <v>5171308</v>
      </c>
      <c r="C360" s="492">
        <v>1545910</v>
      </c>
      <c r="D360" s="492">
        <v>668295</v>
      </c>
      <c r="E360" s="492">
        <v>127351</v>
      </c>
      <c r="F360" s="492">
        <v>1099322</v>
      </c>
      <c r="G360" s="492">
        <v>915133</v>
      </c>
      <c r="H360" s="492">
        <v>13358</v>
      </c>
      <c r="I360" s="492">
        <v>3811</v>
      </c>
      <c r="J360" s="492">
        <v>798128</v>
      </c>
    </row>
    <row r="361" spans="1:10" s="428" customFormat="1" ht="9" customHeight="1" x14ac:dyDescent="0.25">
      <c r="A361" s="428" t="s">
        <v>43</v>
      </c>
      <c r="B361" s="492">
        <f t="shared" si="12"/>
        <v>1321847</v>
      </c>
      <c r="C361" s="492">
        <v>430650</v>
      </c>
      <c r="D361" s="492">
        <v>180483</v>
      </c>
      <c r="E361" s="492">
        <v>25477</v>
      </c>
      <c r="F361" s="492">
        <v>248405</v>
      </c>
      <c r="G361" s="492">
        <v>223512</v>
      </c>
      <c r="H361" s="492">
        <v>1118</v>
      </c>
      <c r="I361" s="492">
        <v>24</v>
      </c>
      <c r="J361" s="492">
        <v>212178</v>
      </c>
    </row>
    <row r="362" spans="1:10" s="428" customFormat="1" ht="9" customHeight="1" x14ac:dyDescent="0.25">
      <c r="A362" s="428" t="s">
        <v>44</v>
      </c>
      <c r="B362" s="492">
        <f t="shared" si="12"/>
        <v>1082279</v>
      </c>
      <c r="C362" s="492">
        <v>305744</v>
      </c>
      <c r="D362" s="492">
        <v>154763</v>
      </c>
      <c r="E362" s="492">
        <v>29953</v>
      </c>
      <c r="F362" s="492">
        <v>248926</v>
      </c>
      <c r="G362" s="492">
        <v>183967</v>
      </c>
      <c r="H362" s="492">
        <v>817</v>
      </c>
      <c r="I362" s="492">
        <v>22</v>
      </c>
      <c r="J362" s="492">
        <v>158087</v>
      </c>
    </row>
    <row r="363" spans="1:10" s="428" customFormat="1" ht="9" customHeight="1" x14ac:dyDescent="0.25">
      <c r="A363" s="475" t="s">
        <v>45</v>
      </c>
      <c r="B363" s="493">
        <f t="shared" si="12"/>
        <v>2531644</v>
      </c>
      <c r="C363" s="493">
        <v>626734</v>
      </c>
      <c r="D363" s="493">
        <v>276004</v>
      </c>
      <c r="E363" s="493">
        <v>58635</v>
      </c>
      <c r="F363" s="493">
        <v>581387</v>
      </c>
      <c r="G363" s="493">
        <v>409495</v>
      </c>
      <c r="H363" s="493">
        <v>4906</v>
      </c>
      <c r="I363" s="493">
        <v>48</v>
      </c>
      <c r="J363" s="493">
        <v>574435</v>
      </c>
    </row>
    <row r="364" spans="1:10" s="428" customFormat="1" ht="9" customHeight="1" x14ac:dyDescent="0.25">
      <c r="A364" s="428" t="s">
        <v>46</v>
      </c>
      <c r="B364" s="492">
        <f t="shared" si="12"/>
        <v>2590447</v>
      </c>
      <c r="C364" s="492">
        <v>696375</v>
      </c>
      <c r="D364" s="492">
        <v>308308</v>
      </c>
      <c r="E364" s="492">
        <v>49201</v>
      </c>
      <c r="F364" s="492">
        <v>558922</v>
      </c>
      <c r="G364" s="492">
        <v>440921</v>
      </c>
      <c r="H364" s="492">
        <v>1567</v>
      </c>
      <c r="I364" s="492">
        <v>280</v>
      </c>
      <c r="J364" s="492">
        <v>534873</v>
      </c>
    </row>
    <row r="365" spans="1:10" s="428" customFormat="1" ht="9" customHeight="1" x14ac:dyDescent="0.25">
      <c r="A365" s="428" t="s">
        <v>47</v>
      </c>
      <c r="B365" s="492">
        <f t="shared" si="12"/>
        <v>1893203</v>
      </c>
      <c r="C365" s="492">
        <v>610902</v>
      </c>
      <c r="D365" s="492">
        <v>226364</v>
      </c>
      <c r="E365" s="492">
        <v>37429</v>
      </c>
      <c r="F365" s="492">
        <v>389952</v>
      </c>
      <c r="G365" s="492">
        <v>362523</v>
      </c>
      <c r="H365" s="492">
        <v>2814</v>
      </c>
      <c r="I365" s="492">
        <v>810</v>
      </c>
      <c r="J365" s="492">
        <v>262409</v>
      </c>
    </row>
    <row r="366" spans="1:10" s="428" customFormat="1" ht="9" customHeight="1" x14ac:dyDescent="0.25">
      <c r="A366" s="428" t="s">
        <v>48</v>
      </c>
      <c r="B366" s="492">
        <f t="shared" si="12"/>
        <v>2330975</v>
      </c>
      <c r="C366" s="492">
        <v>581420</v>
      </c>
      <c r="D366" s="492">
        <v>261236</v>
      </c>
      <c r="E366" s="492">
        <v>43512</v>
      </c>
      <c r="F366" s="492">
        <v>549194</v>
      </c>
      <c r="G366" s="492">
        <v>594442</v>
      </c>
      <c r="H366" s="492">
        <v>1509</v>
      </c>
      <c r="I366" s="492">
        <v>48</v>
      </c>
      <c r="J366" s="492">
        <v>299614</v>
      </c>
    </row>
    <row r="367" spans="1:10" s="428" customFormat="1" ht="9" customHeight="1" x14ac:dyDescent="0.25">
      <c r="A367" s="475" t="s">
        <v>49</v>
      </c>
      <c r="B367" s="493">
        <f t="shared" si="12"/>
        <v>2538696</v>
      </c>
      <c r="C367" s="493">
        <v>738792</v>
      </c>
      <c r="D367" s="493">
        <v>309080</v>
      </c>
      <c r="E367" s="493">
        <v>63042</v>
      </c>
      <c r="F367" s="493">
        <v>580705</v>
      </c>
      <c r="G367" s="493">
        <v>416405</v>
      </c>
      <c r="H367" s="493">
        <v>2782</v>
      </c>
      <c r="I367" s="493">
        <v>302</v>
      </c>
      <c r="J367" s="493">
        <v>427588</v>
      </c>
    </row>
    <row r="368" spans="1:10" s="428" customFormat="1" ht="9" customHeight="1" x14ac:dyDescent="0.25">
      <c r="A368" s="428" t="s">
        <v>50</v>
      </c>
      <c r="B368" s="492">
        <f t="shared" si="12"/>
        <v>948098</v>
      </c>
      <c r="C368" s="492">
        <v>301351</v>
      </c>
      <c r="D368" s="492">
        <v>116322</v>
      </c>
      <c r="E368" s="492">
        <v>22191</v>
      </c>
      <c r="F368" s="492">
        <v>164148</v>
      </c>
      <c r="G368" s="492">
        <v>211908</v>
      </c>
      <c r="H368" s="492">
        <v>1833</v>
      </c>
      <c r="I368" s="492">
        <v>107</v>
      </c>
      <c r="J368" s="492">
        <v>130238</v>
      </c>
    </row>
    <row r="369" spans="1:11" s="428" customFormat="1" ht="9" customHeight="1" x14ac:dyDescent="0.25">
      <c r="A369" s="428" t="s">
        <v>51</v>
      </c>
      <c r="B369" s="492">
        <f t="shared" si="12"/>
        <v>6591605</v>
      </c>
      <c r="C369" s="492">
        <v>1796187</v>
      </c>
      <c r="D369" s="492">
        <v>733405</v>
      </c>
      <c r="E369" s="492">
        <v>165054</v>
      </c>
      <c r="F369" s="492">
        <v>1597458</v>
      </c>
      <c r="G369" s="492">
        <v>919791</v>
      </c>
      <c r="H369" s="492">
        <v>6437</v>
      </c>
      <c r="I369" s="492">
        <v>187</v>
      </c>
      <c r="J369" s="492">
        <v>1373086</v>
      </c>
    </row>
    <row r="370" spans="1:11" s="428" customFormat="1" ht="9" customHeight="1" x14ac:dyDescent="0.25">
      <c r="A370" s="428" t="s">
        <v>52</v>
      </c>
      <c r="B370" s="492">
        <f t="shared" si="12"/>
        <v>1567705</v>
      </c>
      <c r="C370" s="492">
        <v>445672</v>
      </c>
      <c r="D370" s="492">
        <v>186667</v>
      </c>
      <c r="E370" s="492">
        <v>35001</v>
      </c>
      <c r="F370" s="492">
        <v>342583</v>
      </c>
      <c r="G370" s="492">
        <v>204775</v>
      </c>
      <c r="H370" s="492">
        <v>2382</v>
      </c>
      <c r="I370" s="492">
        <v>463</v>
      </c>
      <c r="J370" s="492">
        <v>350162</v>
      </c>
    </row>
    <row r="371" spans="1:11" s="428" customFormat="1" ht="9" customHeight="1" x14ac:dyDescent="0.25">
      <c r="A371" s="475" t="s">
        <v>53</v>
      </c>
      <c r="B371" s="493">
        <f t="shared" si="12"/>
        <v>1393239</v>
      </c>
      <c r="C371" s="493">
        <v>350741</v>
      </c>
      <c r="D371" s="493">
        <v>162928</v>
      </c>
      <c r="E371" s="493">
        <v>28051</v>
      </c>
      <c r="F371" s="493">
        <v>283951</v>
      </c>
      <c r="G371" s="493">
        <v>226286</v>
      </c>
      <c r="H371" s="493">
        <v>9455</v>
      </c>
      <c r="I371" s="493">
        <v>198</v>
      </c>
      <c r="J371" s="493">
        <v>331629</v>
      </c>
    </row>
    <row r="372" spans="1:11" s="428" customFormat="1" ht="9" customHeight="1" x14ac:dyDescent="0.25">
      <c r="B372" s="430"/>
      <c r="C372" s="471"/>
      <c r="D372" s="471"/>
      <c r="E372" s="471"/>
      <c r="F372" s="471"/>
      <c r="G372" s="471"/>
      <c r="H372" s="471"/>
      <c r="I372" s="427"/>
      <c r="J372" s="427"/>
    </row>
    <row r="373" spans="1:11" s="428" customFormat="1" ht="9" customHeight="1" x14ac:dyDescent="0.25">
      <c r="A373" s="470">
        <v>2005</v>
      </c>
      <c r="B373" s="430"/>
      <c r="C373" s="471"/>
      <c r="D373" s="471"/>
      <c r="E373" s="471"/>
      <c r="F373" s="471"/>
      <c r="G373" s="491"/>
      <c r="H373" s="471"/>
      <c r="I373" s="427"/>
      <c r="J373" s="427"/>
    </row>
    <row r="374" spans="1:11" s="473" customFormat="1" ht="9" customHeight="1" x14ac:dyDescent="0.15">
      <c r="A374" s="490" t="s">
        <v>21</v>
      </c>
      <c r="B374" s="491">
        <f t="shared" ref="B374:J374" si="13">SUM(B376:B407)</f>
        <v>82983939</v>
      </c>
      <c r="C374" s="491">
        <f t="shared" si="13"/>
        <v>27664546</v>
      </c>
      <c r="D374" s="491">
        <f t="shared" si="13"/>
        <v>11127190</v>
      </c>
      <c r="E374" s="491">
        <f t="shared" si="13"/>
        <v>2184394</v>
      </c>
      <c r="F374" s="491">
        <f t="shared" si="13"/>
        <v>19405335</v>
      </c>
      <c r="G374" s="491">
        <f t="shared" si="13"/>
        <v>7501381</v>
      </c>
      <c r="H374" s="491">
        <f t="shared" si="13"/>
        <v>152938</v>
      </c>
      <c r="I374" s="491">
        <f t="shared" si="13"/>
        <v>12979</v>
      </c>
      <c r="J374" s="491">
        <f t="shared" si="13"/>
        <v>14935176</v>
      </c>
    </row>
    <row r="375" spans="1:11" s="473" customFormat="1" ht="3.95" customHeight="1" x14ac:dyDescent="0.25">
      <c r="B375" s="491"/>
      <c r="C375" s="491"/>
      <c r="D375" s="491"/>
      <c r="E375" s="491"/>
      <c r="F375" s="491"/>
      <c r="G375" s="491"/>
      <c r="H375" s="491"/>
      <c r="I375" s="491"/>
      <c r="J375" s="491"/>
    </row>
    <row r="376" spans="1:11" s="428" customFormat="1" ht="9" customHeight="1" x14ac:dyDescent="0.25">
      <c r="A376" s="428" t="s">
        <v>23</v>
      </c>
      <c r="B376" s="492">
        <f t="shared" ref="B376:B407" si="14">SUM(C376:J376)</f>
        <v>662983</v>
      </c>
      <c r="C376" s="492">
        <v>271935</v>
      </c>
      <c r="D376" s="492">
        <v>74205</v>
      </c>
      <c r="E376" s="492">
        <v>16426</v>
      </c>
      <c r="F376" s="492">
        <v>117623</v>
      </c>
      <c r="G376" s="492">
        <v>58687</v>
      </c>
      <c r="H376" s="492">
        <v>395</v>
      </c>
      <c r="I376" s="492">
        <v>0</v>
      </c>
      <c r="J376" s="492">
        <v>123712</v>
      </c>
    </row>
    <row r="377" spans="1:11" s="428" customFormat="1" ht="9" customHeight="1" x14ac:dyDescent="0.25">
      <c r="A377" s="428" t="s">
        <v>24</v>
      </c>
      <c r="B377" s="492">
        <f t="shared" si="14"/>
        <v>1959323</v>
      </c>
      <c r="C377" s="492">
        <v>732464</v>
      </c>
      <c r="D377" s="492">
        <v>268013</v>
      </c>
      <c r="E377" s="492">
        <v>44709</v>
      </c>
      <c r="F377" s="492">
        <v>417269</v>
      </c>
      <c r="G377" s="492">
        <v>201430</v>
      </c>
      <c r="H377" s="492">
        <v>382</v>
      </c>
      <c r="I377" s="492">
        <v>65</v>
      </c>
      <c r="J377" s="492">
        <v>294991</v>
      </c>
    </row>
    <row r="378" spans="1:11" s="428" customFormat="1" ht="9" customHeight="1" x14ac:dyDescent="0.25">
      <c r="A378" s="428" t="s">
        <v>25</v>
      </c>
      <c r="B378" s="492">
        <f t="shared" si="14"/>
        <v>352509</v>
      </c>
      <c r="C378" s="492">
        <v>129253</v>
      </c>
      <c r="D378" s="492">
        <v>56592</v>
      </c>
      <c r="E378" s="492">
        <v>9150</v>
      </c>
      <c r="F378" s="492">
        <v>72293</v>
      </c>
      <c r="G378" s="492">
        <v>33692</v>
      </c>
      <c r="H378" s="492">
        <v>166</v>
      </c>
      <c r="I378" s="492">
        <v>5</v>
      </c>
      <c r="J378" s="492">
        <v>51358</v>
      </c>
    </row>
    <row r="379" spans="1:11" s="428" customFormat="1" ht="9" customHeight="1" x14ac:dyDescent="0.25">
      <c r="A379" s="475" t="s">
        <v>26</v>
      </c>
      <c r="B379" s="493">
        <f t="shared" si="14"/>
        <v>615276</v>
      </c>
      <c r="C379" s="493">
        <v>203267</v>
      </c>
      <c r="D379" s="493">
        <v>77639</v>
      </c>
      <c r="E379" s="493">
        <v>13955</v>
      </c>
      <c r="F379" s="493">
        <v>152386</v>
      </c>
      <c r="G379" s="493">
        <v>54524</v>
      </c>
      <c r="H379" s="493">
        <v>1099</v>
      </c>
      <c r="I379" s="493">
        <v>1</v>
      </c>
      <c r="J379" s="493">
        <v>112405</v>
      </c>
    </row>
    <row r="380" spans="1:11" s="428" customFormat="1" ht="9" customHeight="1" x14ac:dyDescent="0.25">
      <c r="A380" s="428" t="s">
        <v>27</v>
      </c>
      <c r="B380" s="492">
        <f t="shared" si="14"/>
        <v>2256911</v>
      </c>
      <c r="C380" s="492">
        <v>673485</v>
      </c>
      <c r="D380" s="492">
        <v>287401</v>
      </c>
      <c r="E380" s="492">
        <v>53057</v>
      </c>
      <c r="F380" s="492">
        <v>589361</v>
      </c>
      <c r="G380" s="492">
        <v>201456</v>
      </c>
      <c r="H380" s="492">
        <v>2727</v>
      </c>
      <c r="I380" s="492">
        <v>109</v>
      </c>
      <c r="J380" s="492">
        <v>449315</v>
      </c>
    </row>
    <row r="381" spans="1:11" s="428" customFormat="1" ht="9" customHeight="1" x14ac:dyDescent="0.25">
      <c r="A381" s="428" t="s">
        <v>28</v>
      </c>
      <c r="B381" s="492">
        <f t="shared" si="14"/>
        <v>486338</v>
      </c>
      <c r="C381" s="492">
        <v>138000</v>
      </c>
      <c r="D381" s="492">
        <v>67443</v>
      </c>
      <c r="E381" s="492">
        <v>11980</v>
      </c>
      <c r="F381" s="492">
        <v>140813</v>
      </c>
      <c r="G381" s="492">
        <v>32747</v>
      </c>
      <c r="H381" s="492">
        <v>204</v>
      </c>
      <c r="I381" s="492">
        <v>12</v>
      </c>
      <c r="J381" s="492">
        <v>95139</v>
      </c>
    </row>
    <row r="382" spans="1:11" s="428" customFormat="1" ht="9" customHeight="1" x14ac:dyDescent="0.25">
      <c r="A382" s="428" t="s">
        <v>29</v>
      </c>
      <c r="B382" s="492">
        <f t="shared" si="14"/>
        <v>4311007</v>
      </c>
      <c r="C382" s="492">
        <v>1333987</v>
      </c>
      <c r="D382" s="492">
        <v>539140</v>
      </c>
      <c r="E382" s="492">
        <v>148454</v>
      </c>
      <c r="F382" s="492">
        <v>937921</v>
      </c>
      <c r="G382" s="492">
        <v>416510</v>
      </c>
      <c r="H382" s="492">
        <v>2651</v>
      </c>
      <c r="I382" s="492">
        <v>38</v>
      </c>
      <c r="J382" s="492">
        <v>932306</v>
      </c>
    </row>
    <row r="383" spans="1:11" s="428" customFormat="1" ht="9" customHeight="1" x14ac:dyDescent="0.25">
      <c r="A383" s="475" t="s">
        <v>30</v>
      </c>
      <c r="B383" s="493">
        <f t="shared" si="14"/>
        <v>2560195</v>
      </c>
      <c r="C383" s="493">
        <v>929005</v>
      </c>
      <c r="D383" s="493">
        <v>328960</v>
      </c>
      <c r="E383" s="493">
        <v>77283</v>
      </c>
      <c r="F383" s="493">
        <v>634918</v>
      </c>
      <c r="G383" s="493">
        <v>217044</v>
      </c>
      <c r="H383" s="493">
        <v>2637</v>
      </c>
      <c r="I383" s="493">
        <v>432</v>
      </c>
      <c r="J383" s="493">
        <v>369916</v>
      </c>
    </row>
    <row r="384" spans="1:11" s="428" customFormat="1" ht="9" customHeight="1" x14ac:dyDescent="0.25">
      <c r="A384" s="428" t="s">
        <v>63</v>
      </c>
      <c r="B384" s="492">
        <f t="shared" si="14"/>
        <v>5694566</v>
      </c>
      <c r="C384" s="492">
        <v>1932958</v>
      </c>
      <c r="D384" s="492">
        <v>788879</v>
      </c>
      <c r="E384" s="492">
        <v>158322</v>
      </c>
      <c r="F384" s="492">
        <v>1314933</v>
      </c>
      <c r="G384" s="492">
        <v>638056</v>
      </c>
      <c r="H384" s="492">
        <v>25581</v>
      </c>
      <c r="I384" s="492">
        <v>584</v>
      </c>
      <c r="J384" s="492">
        <v>835253</v>
      </c>
      <c r="K384" s="492"/>
    </row>
    <row r="385" spans="1:10" s="428" customFormat="1" ht="9" customHeight="1" x14ac:dyDescent="0.25">
      <c r="A385" s="428" t="s">
        <v>31</v>
      </c>
      <c r="B385" s="492">
        <f t="shared" si="14"/>
        <v>1322771</v>
      </c>
      <c r="C385" s="492">
        <v>458050</v>
      </c>
      <c r="D385" s="492">
        <v>183012</v>
      </c>
      <c r="E385" s="492">
        <v>34756</v>
      </c>
      <c r="F385" s="492">
        <v>274973</v>
      </c>
      <c r="G385" s="492">
        <v>109906</v>
      </c>
      <c r="H385" s="492">
        <v>1713</v>
      </c>
      <c r="I385" s="492">
        <v>6</v>
      </c>
      <c r="J385" s="492">
        <v>260355</v>
      </c>
    </row>
    <row r="386" spans="1:10" s="428" customFormat="1" ht="9" customHeight="1" x14ac:dyDescent="0.25">
      <c r="A386" s="428" t="s">
        <v>32</v>
      </c>
      <c r="B386" s="492">
        <f t="shared" si="14"/>
        <v>4013576</v>
      </c>
      <c r="C386" s="492">
        <v>1469010</v>
      </c>
      <c r="D386" s="492">
        <v>579974</v>
      </c>
      <c r="E386" s="492">
        <v>97993</v>
      </c>
      <c r="F386" s="492">
        <v>785024</v>
      </c>
      <c r="G386" s="492">
        <v>444589</v>
      </c>
      <c r="H386" s="492">
        <v>2417</v>
      </c>
      <c r="I386" s="492">
        <v>380</v>
      </c>
      <c r="J386" s="492">
        <v>634189</v>
      </c>
    </row>
    <row r="387" spans="1:10" s="428" customFormat="1" ht="9" customHeight="1" x14ac:dyDescent="0.25">
      <c r="A387" s="475" t="s">
        <v>33</v>
      </c>
      <c r="B387" s="493">
        <f t="shared" si="14"/>
        <v>3584425</v>
      </c>
      <c r="C387" s="493">
        <v>1039473</v>
      </c>
      <c r="D387" s="493">
        <v>383912</v>
      </c>
      <c r="E387" s="493">
        <v>78416</v>
      </c>
      <c r="F387" s="493">
        <v>1323195</v>
      </c>
      <c r="G387" s="493">
        <v>261788</v>
      </c>
      <c r="H387" s="493">
        <v>11526</v>
      </c>
      <c r="I387" s="493">
        <v>96</v>
      </c>
      <c r="J387" s="493">
        <v>486019</v>
      </c>
    </row>
    <row r="388" spans="1:10" s="428" customFormat="1" ht="9" customHeight="1" x14ac:dyDescent="0.25">
      <c r="A388" s="428" t="s">
        <v>34</v>
      </c>
      <c r="B388" s="492">
        <f t="shared" si="14"/>
        <v>1986642</v>
      </c>
      <c r="C388" s="492">
        <v>674198</v>
      </c>
      <c r="D388" s="492">
        <v>261566</v>
      </c>
      <c r="E388" s="492">
        <v>54361</v>
      </c>
      <c r="F388" s="492">
        <v>348798</v>
      </c>
      <c r="G388" s="492">
        <v>218546</v>
      </c>
      <c r="H388" s="492">
        <v>4355</v>
      </c>
      <c r="I388" s="492">
        <v>2</v>
      </c>
      <c r="J388" s="492">
        <v>424816</v>
      </c>
    </row>
    <row r="389" spans="1:10" s="428" customFormat="1" ht="9" customHeight="1" x14ac:dyDescent="0.25">
      <c r="A389" s="428" t="s">
        <v>35</v>
      </c>
      <c r="B389" s="492">
        <f t="shared" si="14"/>
        <v>4587246</v>
      </c>
      <c r="C389" s="492">
        <v>1481254</v>
      </c>
      <c r="D389" s="492">
        <v>706154</v>
      </c>
      <c r="E389" s="492">
        <v>113621</v>
      </c>
      <c r="F389" s="492">
        <v>1081423</v>
      </c>
      <c r="G389" s="492">
        <v>463247</v>
      </c>
      <c r="H389" s="492">
        <v>10095</v>
      </c>
      <c r="I389" s="492">
        <v>390</v>
      </c>
      <c r="J389" s="492">
        <v>731062</v>
      </c>
    </row>
    <row r="390" spans="1:10" s="428" customFormat="1" ht="9" customHeight="1" x14ac:dyDescent="0.25">
      <c r="A390" s="428" t="s">
        <v>36</v>
      </c>
      <c r="B390" s="492">
        <f t="shared" si="14"/>
        <v>9510766</v>
      </c>
      <c r="C390" s="492">
        <v>3680732</v>
      </c>
      <c r="D390" s="492">
        <v>1335691</v>
      </c>
      <c r="E390" s="492">
        <v>214534</v>
      </c>
      <c r="F390" s="492">
        <v>2124954</v>
      </c>
      <c r="G390" s="492">
        <v>858238</v>
      </c>
      <c r="H390" s="492">
        <v>30111</v>
      </c>
      <c r="I390" s="492">
        <v>1407</v>
      </c>
      <c r="J390" s="492">
        <v>1265099</v>
      </c>
    </row>
    <row r="391" spans="1:10" s="428" customFormat="1" ht="9" customHeight="1" x14ac:dyDescent="0.25">
      <c r="A391" s="475" t="s">
        <v>37</v>
      </c>
      <c r="B391" s="493">
        <f t="shared" si="14"/>
        <v>3418431</v>
      </c>
      <c r="C391" s="493">
        <v>1108913</v>
      </c>
      <c r="D391" s="493">
        <v>458835</v>
      </c>
      <c r="E391" s="493">
        <v>90572</v>
      </c>
      <c r="F391" s="493">
        <v>734318</v>
      </c>
      <c r="G391" s="493">
        <v>235649</v>
      </c>
      <c r="H391" s="493">
        <v>3476</v>
      </c>
      <c r="I391" s="493">
        <v>80</v>
      </c>
      <c r="J391" s="493">
        <v>786588</v>
      </c>
    </row>
    <row r="392" spans="1:10" s="428" customFormat="1" ht="9" customHeight="1" x14ac:dyDescent="0.25">
      <c r="A392" s="428" t="s">
        <v>38</v>
      </c>
      <c r="B392" s="492">
        <f t="shared" si="14"/>
        <v>1257892</v>
      </c>
      <c r="C392" s="492">
        <v>416913</v>
      </c>
      <c r="D392" s="492">
        <v>166363</v>
      </c>
      <c r="E392" s="492">
        <v>33895</v>
      </c>
      <c r="F392" s="492">
        <v>334391</v>
      </c>
      <c r="G392" s="492">
        <v>92322</v>
      </c>
      <c r="H392" s="492">
        <v>2108</v>
      </c>
      <c r="I392" s="492">
        <v>4</v>
      </c>
      <c r="J392" s="492">
        <v>211896</v>
      </c>
    </row>
    <row r="393" spans="1:10" s="428" customFormat="1" ht="9" customHeight="1" x14ac:dyDescent="0.25">
      <c r="A393" s="428" t="s">
        <v>39</v>
      </c>
      <c r="B393" s="492">
        <f t="shared" si="14"/>
        <v>805519</v>
      </c>
      <c r="C393" s="492">
        <v>248607</v>
      </c>
      <c r="D393" s="492">
        <v>102437</v>
      </c>
      <c r="E393" s="492">
        <v>22878</v>
      </c>
      <c r="F393" s="492">
        <v>184578</v>
      </c>
      <c r="G393" s="492">
        <v>77704</v>
      </c>
      <c r="H393" s="492">
        <v>1318</v>
      </c>
      <c r="I393" s="492">
        <v>356</v>
      </c>
      <c r="J393" s="492">
        <v>167641</v>
      </c>
    </row>
    <row r="394" spans="1:10" s="428" customFormat="1" ht="9" customHeight="1" x14ac:dyDescent="0.25">
      <c r="A394" s="428" t="s">
        <v>40</v>
      </c>
      <c r="B394" s="492">
        <f t="shared" si="14"/>
        <v>2725304</v>
      </c>
      <c r="C394" s="492">
        <v>1010049</v>
      </c>
      <c r="D394" s="492">
        <v>381863</v>
      </c>
      <c r="E394" s="492">
        <v>69377</v>
      </c>
      <c r="F394" s="492">
        <v>627394</v>
      </c>
      <c r="G394" s="492">
        <v>236513</v>
      </c>
      <c r="H394" s="492">
        <v>1343</v>
      </c>
      <c r="I394" s="492">
        <v>805</v>
      </c>
      <c r="J394" s="492">
        <v>397960</v>
      </c>
    </row>
    <row r="395" spans="1:10" s="428" customFormat="1" ht="9" customHeight="1" x14ac:dyDescent="0.25">
      <c r="A395" s="475" t="s">
        <v>41</v>
      </c>
      <c r="B395" s="493">
        <f t="shared" si="14"/>
        <v>3181332</v>
      </c>
      <c r="C395" s="493">
        <v>968241</v>
      </c>
      <c r="D395" s="493">
        <v>386791</v>
      </c>
      <c r="E395" s="493">
        <v>101672</v>
      </c>
      <c r="F395" s="493">
        <v>696494</v>
      </c>
      <c r="G395" s="493">
        <v>262286</v>
      </c>
      <c r="H395" s="493">
        <v>626</v>
      </c>
      <c r="I395" s="493">
        <v>10</v>
      </c>
      <c r="J395" s="493">
        <v>765212</v>
      </c>
    </row>
    <row r="396" spans="1:10" s="428" customFormat="1" ht="9" customHeight="1" x14ac:dyDescent="0.25">
      <c r="A396" s="428" t="s">
        <v>42</v>
      </c>
      <c r="B396" s="492">
        <f t="shared" si="14"/>
        <v>4917631</v>
      </c>
      <c r="C396" s="492">
        <v>1679155</v>
      </c>
      <c r="D396" s="492">
        <v>663565</v>
      </c>
      <c r="E396" s="492">
        <v>127948</v>
      </c>
      <c r="F396" s="492">
        <v>1096169</v>
      </c>
      <c r="G396" s="492">
        <v>434906</v>
      </c>
      <c r="H396" s="492">
        <v>10374</v>
      </c>
      <c r="I396" s="492">
        <v>1320</v>
      </c>
      <c r="J396" s="492">
        <v>904194</v>
      </c>
    </row>
    <row r="397" spans="1:10" s="428" customFormat="1" ht="9" customHeight="1" x14ac:dyDescent="0.25">
      <c r="A397" s="428" t="s">
        <v>43</v>
      </c>
      <c r="B397" s="492">
        <f t="shared" si="14"/>
        <v>1288329</v>
      </c>
      <c r="C397" s="492">
        <v>445297</v>
      </c>
      <c r="D397" s="492">
        <v>193498</v>
      </c>
      <c r="E397" s="492">
        <v>40699</v>
      </c>
      <c r="F397" s="492">
        <v>243793</v>
      </c>
      <c r="G397" s="492">
        <v>123517</v>
      </c>
      <c r="H397" s="492">
        <v>984</v>
      </c>
      <c r="I397" s="492">
        <v>67</v>
      </c>
      <c r="J397" s="492">
        <v>240474</v>
      </c>
    </row>
    <row r="398" spans="1:10" s="428" customFormat="1" ht="9" customHeight="1" x14ac:dyDescent="0.25">
      <c r="A398" s="428" t="s">
        <v>44</v>
      </c>
      <c r="B398" s="492">
        <f t="shared" si="14"/>
        <v>909047</v>
      </c>
      <c r="C398" s="492">
        <v>306692</v>
      </c>
      <c r="D398" s="492">
        <v>137437</v>
      </c>
      <c r="E398" s="492">
        <v>32343</v>
      </c>
      <c r="F398" s="492">
        <v>244173</v>
      </c>
      <c r="G398" s="492">
        <v>84962</v>
      </c>
      <c r="H398" s="492">
        <v>1122</v>
      </c>
      <c r="I398" s="492">
        <v>11</v>
      </c>
      <c r="J398" s="492">
        <v>102307</v>
      </c>
    </row>
    <row r="399" spans="1:10" s="428" customFormat="1" ht="9" customHeight="1" x14ac:dyDescent="0.25">
      <c r="A399" s="475" t="s">
        <v>45</v>
      </c>
      <c r="B399" s="493">
        <f t="shared" si="14"/>
        <v>2152318</v>
      </c>
      <c r="C399" s="493">
        <v>705820</v>
      </c>
      <c r="D399" s="493">
        <v>260252</v>
      </c>
      <c r="E399" s="493">
        <v>57295</v>
      </c>
      <c r="F399" s="493">
        <v>459322</v>
      </c>
      <c r="G399" s="493">
        <v>185523</v>
      </c>
      <c r="H399" s="493">
        <v>3573</v>
      </c>
      <c r="I399" s="493">
        <v>965</v>
      </c>
      <c r="J399" s="493">
        <v>479568</v>
      </c>
    </row>
    <row r="400" spans="1:10" s="428" customFormat="1" ht="9" customHeight="1" x14ac:dyDescent="0.25">
      <c r="A400" s="428" t="s">
        <v>46</v>
      </c>
      <c r="B400" s="492">
        <f t="shared" si="14"/>
        <v>2436911</v>
      </c>
      <c r="C400" s="492">
        <v>734737</v>
      </c>
      <c r="D400" s="492">
        <v>459730</v>
      </c>
      <c r="E400" s="492">
        <v>58183</v>
      </c>
      <c r="F400" s="492">
        <v>500882</v>
      </c>
      <c r="G400" s="492">
        <v>178313</v>
      </c>
      <c r="H400" s="492">
        <v>1118</v>
      </c>
      <c r="I400" s="492">
        <v>0</v>
      </c>
      <c r="J400" s="492">
        <v>503948</v>
      </c>
    </row>
    <row r="401" spans="1:10" s="428" customFormat="1" ht="9" customHeight="1" x14ac:dyDescent="0.25">
      <c r="A401" s="428" t="s">
        <v>47</v>
      </c>
      <c r="B401" s="492">
        <f t="shared" si="14"/>
        <v>1708045</v>
      </c>
      <c r="C401" s="492">
        <v>622088</v>
      </c>
      <c r="D401" s="492">
        <v>238523</v>
      </c>
      <c r="E401" s="492">
        <v>46352</v>
      </c>
      <c r="F401" s="492">
        <v>393993</v>
      </c>
      <c r="G401" s="492">
        <v>174097</v>
      </c>
      <c r="H401" s="492">
        <v>12468</v>
      </c>
      <c r="I401" s="492">
        <v>861</v>
      </c>
      <c r="J401" s="492">
        <v>219663</v>
      </c>
    </row>
    <row r="402" spans="1:10" s="428" customFormat="1" ht="9" customHeight="1" x14ac:dyDescent="0.25">
      <c r="A402" s="428" t="s">
        <v>48</v>
      </c>
      <c r="B402" s="492">
        <f t="shared" si="14"/>
        <v>1837771</v>
      </c>
      <c r="C402" s="492">
        <v>583667</v>
      </c>
      <c r="D402" s="492">
        <v>270035</v>
      </c>
      <c r="E402" s="492">
        <v>48078</v>
      </c>
      <c r="F402" s="492">
        <v>483151</v>
      </c>
      <c r="G402" s="492">
        <v>137287</v>
      </c>
      <c r="H402" s="492">
        <v>1930</v>
      </c>
      <c r="I402" s="492">
        <v>316</v>
      </c>
      <c r="J402" s="492">
        <v>313307</v>
      </c>
    </row>
    <row r="403" spans="1:10" s="428" customFormat="1" ht="9" customHeight="1" x14ac:dyDescent="0.25">
      <c r="A403" s="475" t="s">
        <v>49</v>
      </c>
      <c r="B403" s="493">
        <f t="shared" si="14"/>
        <v>2518706</v>
      </c>
      <c r="C403" s="493">
        <v>769040</v>
      </c>
      <c r="D403" s="493">
        <v>329380</v>
      </c>
      <c r="E403" s="493">
        <v>70310</v>
      </c>
      <c r="F403" s="493">
        <v>655733</v>
      </c>
      <c r="G403" s="493">
        <v>217333</v>
      </c>
      <c r="H403" s="493">
        <v>5090</v>
      </c>
      <c r="I403" s="493">
        <v>1454</v>
      </c>
      <c r="J403" s="493">
        <v>470366</v>
      </c>
    </row>
    <row r="404" spans="1:10" s="428" customFormat="1" ht="9" customHeight="1" x14ac:dyDescent="0.25">
      <c r="A404" s="428" t="s">
        <v>50</v>
      </c>
      <c r="B404" s="492">
        <f t="shared" si="14"/>
        <v>734894</v>
      </c>
      <c r="C404" s="492">
        <v>292179</v>
      </c>
      <c r="D404" s="492">
        <v>106956</v>
      </c>
      <c r="E404" s="492">
        <v>19391</v>
      </c>
      <c r="F404" s="492">
        <v>149911</v>
      </c>
      <c r="G404" s="492">
        <v>70022</v>
      </c>
      <c r="H404" s="492">
        <v>1266</v>
      </c>
      <c r="I404" s="492">
        <v>1</v>
      </c>
      <c r="J404" s="492">
        <v>95168</v>
      </c>
    </row>
    <row r="405" spans="1:10" s="428" customFormat="1" ht="9" customHeight="1" x14ac:dyDescent="0.25">
      <c r="A405" s="428" t="s">
        <v>51</v>
      </c>
      <c r="B405" s="492">
        <f t="shared" si="14"/>
        <v>6386838</v>
      </c>
      <c r="C405" s="492">
        <v>1767002</v>
      </c>
      <c r="D405" s="492">
        <v>692780</v>
      </c>
      <c r="E405" s="492">
        <v>169633</v>
      </c>
      <c r="F405" s="492">
        <v>1621447</v>
      </c>
      <c r="G405" s="492">
        <v>539327</v>
      </c>
      <c r="H405" s="492">
        <v>7135</v>
      </c>
      <c r="I405" s="492">
        <v>3061</v>
      </c>
      <c r="J405" s="492">
        <v>1586453</v>
      </c>
    </row>
    <row r="406" spans="1:10" s="428" customFormat="1" ht="9" customHeight="1" x14ac:dyDescent="0.25">
      <c r="A406" s="428" t="s">
        <v>52</v>
      </c>
      <c r="B406" s="492">
        <f t="shared" si="14"/>
        <v>1606168</v>
      </c>
      <c r="C406" s="492">
        <v>478841</v>
      </c>
      <c r="D406" s="492">
        <v>185166</v>
      </c>
      <c r="E406" s="492">
        <v>39107</v>
      </c>
      <c r="F406" s="492">
        <v>418421</v>
      </c>
      <c r="G406" s="492">
        <v>137834</v>
      </c>
      <c r="H406" s="492">
        <v>2497</v>
      </c>
      <c r="I406" s="492">
        <v>30</v>
      </c>
      <c r="J406" s="492">
        <v>344272</v>
      </c>
    </row>
    <row r="407" spans="1:10" s="428" customFormat="1" ht="9" customHeight="1" x14ac:dyDescent="0.25">
      <c r="A407" s="475" t="s">
        <v>53</v>
      </c>
      <c r="B407" s="493">
        <f t="shared" si="14"/>
        <v>1194269</v>
      </c>
      <c r="C407" s="493">
        <v>380234</v>
      </c>
      <c r="D407" s="493">
        <v>154998</v>
      </c>
      <c r="E407" s="493">
        <v>29644</v>
      </c>
      <c r="F407" s="493">
        <v>245281</v>
      </c>
      <c r="G407" s="493">
        <v>103326</v>
      </c>
      <c r="H407" s="493">
        <v>451</v>
      </c>
      <c r="I407" s="493">
        <v>111</v>
      </c>
      <c r="J407" s="493">
        <v>280224</v>
      </c>
    </row>
    <row r="408" spans="1:10" s="428" customFormat="1" ht="9" customHeight="1" x14ac:dyDescent="0.25">
      <c r="B408" s="430"/>
      <c r="C408" s="471"/>
      <c r="D408" s="471"/>
      <c r="E408" s="471"/>
      <c r="F408" s="471"/>
      <c r="G408" s="471"/>
      <c r="H408" s="471"/>
      <c r="I408" s="427"/>
      <c r="J408" s="427"/>
    </row>
    <row r="409" spans="1:10" s="428" customFormat="1" ht="9" customHeight="1" x14ac:dyDescent="0.25">
      <c r="A409" s="470">
        <v>2006</v>
      </c>
      <c r="B409" s="430"/>
      <c r="C409" s="471"/>
      <c r="D409" s="471"/>
      <c r="E409" s="471"/>
      <c r="F409" s="471"/>
      <c r="G409" s="494"/>
      <c r="H409" s="471"/>
      <c r="I409" s="427"/>
      <c r="J409" s="427"/>
    </row>
    <row r="410" spans="1:10" s="473" customFormat="1" ht="9" customHeight="1" x14ac:dyDescent="0.15">
      <c r="A410" s="490" t="s">
        <v>263</v>
      </c>
      <c r="B410" s="491">
        <f t="shared" ref="B410:J410" si="15">SUM(B412:B443)</f>
        <v>93290355</v>
      </c>
      <c r="C410" s="491">
        <f>SUM(C412:C443)+712</f>
        <v>31150056</v>
      </c>
      <c r="D410" s="491">
        <f>SUM(D412:D443)+268</f>
        <v>12688640</v>
      </c>
      <c r="E410" s="491">
        <f>SUM(E412:E443)+79</f>
        <v>2572700</v>
      </c>
      <c r="F410" s="491">
        <f>SUM(F412:F443)+8</f>
        <v>21712407</v>
      </c>
      <c r="G410" s="491">
        <f t="shared" si="15"/>
        <v>16194770</v>
      </c>
      <c r="H410" s="491">
        <f t="shared" si="15"/>
        <v>125616</v>
      </c>
      <c r="I410" s="491">
        <f t="shared" si="15"/>
        <v>17303</v>
      </c>
      <c r="J410" s="491">
        <f t="shared" si="15"/>
        <v>8828009</v>
      </c>
    </row>
    <row r="411" spans="1:10" s="473" customFormat="1" ht="3.95" customHeight="1" x14ac:dyDescent="0.25">
      <c r="B411" s="491"/>
      <c r="C411" s="491"/>
      <c r="D411" s="491"/>
      <c r="E411" s="491"/>
      <c r="F411" s="491"/>
      <c r="G411" s="491"/>
      <c r="H411" s="491"/>
      <c r="I411" s="491"/>
      <c r="J411" s="491"/>
    </row>
    <row r="412" spans="1:10" s="428" customFormat="1" ht="9" customHeight="1" x14ac:dyDescent="0.25">
      <c r="A412" s="428" t="s">
        <v>23</v>
      </c>
      <c r="B412" s="492">
        <f t="shared" ref="B412:B443" si="16">SUM(C412:J412)</f>
        <v>852065</v>
      </c>
      <c r="C412" s="492">
        <v>340473</v>
      </c>
      <c r="D412" s="492">
        <v>112918</v>
      </c>
      <c r="E412" s="492">
        <v>32879</v>
      </c>
      <c r="F412" s="492">
        <v>129278</v>
      </c>
      <c r="G412" s="492">
        <v>126623</v>
      </c>
      <c r="H412" s="492">
        <v>432</v>
      </c>
      <c r="I412" s="492">
        <v>46</v>
      </c>
      <c r="J412" s="492">
        <v>109416</v>
      </c>
    </row>
    <row r="413" spans="1:10" s="428" customFormat="1" ht="9" customHeight="1" x14ac:dyDescent="0.25">
      <c r="A413" s="428" t="s">
        <v>24</v>
      </c>
      <c r="B413" s="492">
        <f t="shared" si="16"/>
        <v>2420278</v>
      </c>
      <c r="C413" s="492">
        <v>995594</v>
      </c>
      <c r="D413" s="492">
        <v>277202</v>
      </c>
      <c r="E413" s="492">
        <v>62219</v>
      </c>
      <c r="F413" s="492">
        <v>518899</v>
      </c>
      <c r="G413" s="492">
        <v>365618</v>
      </c>
      <c r="H413" s="492">
        <v>246</v>
      </c>
      <c r="I413" s="492">
        <v>178</v>
      </c>
      <c r="J413" s="492">
        <v>200322</v>
      </c>
    </row>
    <row r="414" spans="1:10" s="428" customFormat="1" ht="9" customHeight="1" x14ac:dyDescent="0.25">
      <c r="A414" s="428" t="s">
        <v>25</v>
      </c>
      <c r="B414" s="492">
        <f t="shared" si="16"/>
        <v>420825</v>
      </c>
      <c r="C414" s="492">
        <v>166210</v>
      </c>
      <c r="D414" s="492">
        <v>53894</v>
      </c>
      <c r="E414" s="492">
        <v>11278</v>
      </c>
      <c r="F414" s="492">
        <v>92116</v>
      </c>
      <c r="G414" s="492">
        <v>61709</v>
      </c>
      <c r="H414" s="492">
        <v>182</v>
      </c>
      <c r="I414" s="492">
        <v>16</v>
      </c>
      <c r="J414" s="492">
        <v>35420</v>
      </c>
    </row>
    <row r="415" spans="1:10" s="428" customFormat="1" ht="9" customHeight="1" x14ac:dyDescent="0.25">
      <c r="A415" s="475" t="s">
        <v>26</v>
      </c>
      <c r="B415" s="493">
        <f t="shared" si="16"/>
        <v>1211561</v>
      </c>
      <c r="C415" s="493">
        <v>262275</v>
      </c>
      <c r="D415" s="493">
        <v>179095</v>
      </c>
      <c r="E415" s="493">
        <v>16865</v>
      </c>
      <c r="F415" s="493">
        <v>560582</v>
      </c>
      <c r="G415" s="493">
        <v>114160</v>
      </c>
      <c r="H415" s="493">
        <v>274</v>
      </c>
      <c r="I415" s="493">
        <v>630</v>
      </c>
      <c r="J415" s="493">
        <v>77680</v>
      </c>
    </row>
    <row r="416" spans="1:10" s="428" customFormat="1" ht="9" customHeight="1" x14ac:dyDescent="0.25">
      <c r="A416" s="428" t="s">
        <v>27</v>
      </c>
      <c r="B416" s="492">
        <f>SUM(C416:J416)+1921</f>
        <v>2306861</v>
      </c>
      <c r="C416" s="492">
        <v>742627</v>
      </c>
      <c r="D416" s="492">
        <v>303624</v>
      </c>
      <c r="E416" s="492">
        <v>41656</v>
      </c>
      <c r="F416" s="492">
        <v>652692</v>
      </c>
      <c r="G416" s="492">
        <v>431586</v>
      </c>
      <c r="H416" s="492">
        <v>3440</v>
      </c>
      <c r="I416" s="492">
        <v>0</v>
      </c>
      <c r="J416" s="492">
        <v>129315</v>
      </c>
    </row>
    <row r="417" spans="1:11" s="428" customFormat="1" ht="9" customHeight="1" x14ac:dyDescent="0.25">
      <c r="A417" s="428" t="s">
        <v>28</v>
      </c>
      <c r="B417" s="492">
        <f t="shared" si="16"/>
        <v>527032</v>
      </c>
      <c r="C417" s="492">
        <v>174416</v>
      </c>
      <c r="D417" s="492">
        <v>56850</v>
      </c>
      <c r="E417" s="492">
        <v>12864</v>
      </c>
      <c r="F417" s="492">
        <v>160377</v>
      </c>
      <c r="G417" s="492">
        <v>67172</v>
      </c>
      <c r="H417" s="492">
        <v>160</v>
      </c>
      <c r="I417" s="492">
        <v>0</v>
      </c>
      <c r="J417" s="492">
        <v>55193</v>
      </c>
    </row>
    <row r="418" spans="1:11" s="428" customFormat="1" ht="9" customHeight="1" x14ac:dyDescent="0.25">
      <c r="A418" s="428" t="s">
        <v>29</v>
      </c>
      <c r="B418" s="492">
        <f t="shared" si="16"/>
        <v>4282122</v>
      </c>
      <c r="C418" s="492">
        <v>1327521</v>
      </c>
      <c r="D418" s="492">
        <v>876720</v>
      </c>
      <c r="E418" s="492">
        <v>189458</v>
      </c>
      <c r="F418" s="492">
        <v>926798</v>
      </c>
      <c r="G418" s="492">
        <v>714786</v>
      </c>
      <c r="H418" s="492">
        <v>3003</v>
      </c>
      <c r="I418" s="492">
        <v>91</v>
      </c>
      <c r="J418" s="492">
        <v>243745</v>
      </c>
    </row>
    <row r="419" spans="1:11" s="428" customFormat="1" ht="9" customHeight="1" x14ac:dyDescent="0.25">
      <c r="A419" s="475" t="s">
        <v>30</v>
      </c>
      <c r="B419" s="493">
        <f t="shared" si="16"/>
        <v>2624933</v>
      </c>
      <c r="C419" s="493">
        <v>899765</v>
      </c>
      <c r="D419" s="493">
        <v>370801</v>
      </c>
      <c r="E419" s="493">
        <v>79009</v>
      </c>
      <c r="F419" s="493">
        <v>637541</v>
      </c>
      <c r="G419" s="493">
        <v>373960</v>
      </c>
      <c r="H419" s="493">
        <v>1836</v>
      </c>
      <c r="I419" s="493">
        <v>89</v>
      </c>
      <c r="J419" s="493">
        <v>261932</v>
      </c>
    </row>
    <row r="420" spans="1:11" s="428" customFormat="1" ht="9" customHeight="1" x14ac:dyDescent="0.25">
      <c r="A420" s="428" t="s">
        <v>63</v>
      </c>
      <c r="B420" s="492">
        <f t="shared" si="16"/>
        <v>6590454</v>
      </c>
      <c r="C420" s="492">
        <v>2314285</v>
      </c>
      <c r="D420" s="492">
        <v>718628</v>
      </c>
      <c r="E420" s="492">
        <v>172086</v>
      </c>
      <c r="F420" s="492">
        <v>1509127</v>
      </c>
      <c r="G420" s="492">
        <v>1177329</v>
      </c>
      <c r="H420" s="492">
        <v>21081</v>
      </c>
      <c r="I420" s="492">
        <v>865</v>
      </c>
      <c r="J420" s="492">
        <v>677053</v>
      </c>
      <c r="K420" s="492"/>
    </row>
    <row r="421" spans="1:11" s="428" customFormat="1" ht="9" customHeight="1" x14ac:dyDescent="0.25">
      <c r="A421" s="428" t="s">
        <v>31</v>
      </c>
      <c r="B421" s="492">
        <f t="shared" si="16"/>
        <v>1550492</v>
      </c>
      <c r="C421" s="492">
        <v>544440</v>
      </c>
      <c r="D421" s="492">
        <v>239408</v>
      </c>
      <c r="E421" s="492">
        <v>37177</v>
      </c>
      <c r="F421" s="492">
        <v>328624</v>
      </c>
      <c r="G421" s="492">
        <v>258261</v>
      </c>
      <c r="H421" s="492">
        <v>1344</v>
      </c>
      <c r="I421" s="492">
        <v>22</v>
      </c>
      <c r="J421" s="492">
        <v>141216</v>
      </c>
    </row>
    <row r="422" spans="1:11" s="428" customFormat="1" ht="9" customHeight="1" x14ac:dyDescent="0.25">
      <c r="A422" s="428" t="s">
        <v>32</v>
      </c>
      <c r="B422" s="492">
        <f t="shared" si="16"/>
        <v>4803616</v>
      </c>
      <c r="C422" s="492">
        <v>1841812</v>
      </c>
      <c r="D422" s="492">
        <v>553564</v>
      </c>
      <c r="E422" s="492">
        <v>136960</v>
      </c>
      <c r="F422" s="492">
        <v>990248</v>
      </c>
      <c r="G422" s="492">
        <v>781825</v>
      </c>
      <c r="H422" s="492">
        <v>3097</v>
      </c>
      <c r="I422" s="492">
        <v>902</v>
      </c>
      <c r="J422" s="492">
        <v>495208</v>
      </c>
    </row>
    <row r="423" spans="1:11" s="428" customFormat="1" ht="9" customHeight="1" x14ac:dyDescent="0.25">
      <c r="A423" s="475" t="s">
        <v>33</v>
      </c>
      <c r="B423" s="493">
        <f t="shared" si="16"/>
        <v>3816471</v>
      </c>
      <c r="C423" s="493">
        <v>1249253</v>
      </c>
      <c r="D423" s="493">
        <v>373284</v>
      </c>
      <c r="E423" s="493">
        <v>87457</v>
      </c>
      <c r="F423" s="493">
        <v>1052100</v>
      </c>
      <c r="G423" s="493">
        <v>622794</v>
      </c>
      <c r="H423" s="493">
        <v>4622</v>
      </c>
      <c r="I423" s="493">
        <v>190</v>
      </c>
      <c r="J423" s="493">
        <v>426771</v>
      </c>
    </row>
    <row r="424" spans="1:11" s="428" customFormat="1" ht="9" customHeight="1" x14ac:dyDescent="0.25">
      <c r="A424" s="428" t="s">
        <v>34</v>
      </c>
      <c r="B424" s="492">
        <f t="shared" si="16"/>
        <v>2218959</v>
      </c>
      <c r="C424" s="492">
        <v>752632</v>
      </c>
      <c r="D424" s="492">
        <v>347330</v>
      </c>
      <c r="E424" s="492">
        <v>65887</v>
      </c>
      <c r="F424" s="492">
        <v>417160</v>
      </c>
      <c r="G424" s="492">
        <v>364349</v>
      </c>
      <c r="H424" s="492">
        <v>3473</v>
      </c>
      <c r="I424" s="492">
        <v>600</v>
      </c>
      <c r="J424" s="492">
        <v>267528</v>
      </c>
    </row>
    <row r="425" spans="1:11" s="428" customFormat="1" ht="9" customHeight="1" x14ac:dyDescent="0.25">
      <c r="A425" s="428" t="s">
        <v>35</v>
      </c>
      <c r="B425" s="492">
        <f t="shared" si="16"/>
        <v>5163131</v>
      </c>
      <c r="C425" s="492">
        <v>1872608</v>
      </c>
      <c r="D425" s="492">
        <v>688940</v>
      </c>
      <c r="E425" s="492">
        <v>129776</v>
      </c>
      <c r="F425" s="492">
        <v>1309435</v>
      </c>
      <c r="G425" s="492">
        <v>763462</v>
      </c>
      <c r="H425" s="492">
        <v>3519</v>
      </c>
      <c r="I425" s="492">
        <v>357</v>
      </c>
      <c r="J425" s="492">
        <v>395034</v>
      </c>
    </row>
    <row r="426" spans="1:11" s="428" customFormat="1" ht="9" customHeight="1" x14ac:dyDescent="0.25">
      <c r="A426" s="428" t="s">
        <v>36</v>
      </c>
      <c r="B426" s="492">
        <f t="shared" si="16"/>
        <v>12910186</v>
      </c>
      <c r="C426" s="492">
        <v>3763854</v>
      </c>
      <c r="D426" s="492">
        <v>1435036</v>
      </c>
      <c r="E426" s="492">
        <v>317577</v>
      </c>
      <c r="F426" s="492">
        <v>2692371</v>
      </c>
      <c r="G426" s="492">
        <v>3700835</v>
      </c>
      <c r="H426" s="492">
        <v>29724</v>
      </c>
      <c r="I426" s="492">
        <v>3491</v>
      </c>
      <c r="J426" s="492">
        <v>967298</v>
      </c>
    </row>
    <row r="427" spans="1:11" s="428" customFormat="1" ht="9" customHeight="1" x14ac:dyDescent="0.25">
      <c r="A427" s="475" t="s">
        <v>37</v>
      </c>
      <c r="B427" s="493">
        <f t="shared" si="16"/>
        <v>3660383</v>
      </c>
      <c r="C427" s="493">
        <v>1127963</v>
      </c>
      <c r="D427" s="493">
        <v>704801</v>
      </c>
      <c r="E427" s="493">
        <v>112973</v>
      </c>
      <c r="F427" s="493">
        <v>768164</v>
      </c>
      <c r="G427" s="493">
        <v>547123</v>
      </c>
      <c r="H427" s="493">
        <v>3760</v>
      </c>
      <c r="I427" s="493">
        <v>81</v>
      </c>
      <c r="J427" s="493">
        <v>395518</v>
      </c>
    </row>
    <row r="428" spans="1:11" s="428" customFormat="1" ht="9" customHeight="1" x14ac:dyDescent="0.25">
      <c r="A428" s="428" t="s">
        <v>38</v>
      </c>
      <c r="B428" s="492">
        <f t="shared" si="16"/>
        <v>1443769</v>
      </c>
      <c r="C428" s="492">
        <v>528867</v>
      </c>
      <c r="D428" s="492">
        <v>165247</v>
      </c>
      <c r="E428" s="492">
        <v>39249</v>
      </c>
      <c r="F428" s="492">
        <v>373208</v>
      </c>
      <c r="G428" s="492">
        <v>185546</v>
      </c>
      <c r="H428" s="492">
        <v>1610</v>
      </c>
      <c r="I428" s="492">
        <v>0</v>
      </c>
      <c r="J428" s="492">
        <v>150042</v>
      </c>
    </row>
    <row r="429" spans="1:11" s="428" customFormat="1" ht="9" customHeight="1" x14ac:dyDescent="0.25">
      <c r="A429" s="428" t="s">
        <v>39</v>
      </c>
      <c r="B429" s="492">
        <f t="shared" si="16"/>
        <v>873024</v>
      </c>
      <c r="C429" s="492">
        <v>283100</v>
      </c>
      <c r="D429" s="492">
        <v>123901</v>
      </c>
      <c r="E429" s="492">
        <v>22210</v>
      </c>
      <c r="F429" s="492">
        <v>229313</v>
      </c>
      <c r="G429" s="492">
        <v>132429</v>
      </c>
      <c r="H429" s="492">
        <v>957</v>
      </c>
      <c r="I429" s="492">
        <v>44</v>
      </c>
      <c r="J429" s="492">
        <v>81070</v>
      </c>
    </row>
    <row r="430" spans="1:11" s="428" customFormat="1" ht="9" customHeight="1" x14ac:dyDescent="0.25">
      <c r="A430" s="428" t="s">
        <v>40</v>
      </c>
      <c r="B430" s="492">
        <f t="shared" si="16"/>
        <v>2548863</v>
      </c>
      <c r="C430" s="492">
        <v>1100589</v>
      </c>
      <c r="D430" s="492">
        <v>317128</v>
      </c>
      <c r="E430" s="492">
        <v>71586</v>
      </c>
      <c r="F430" s="492">
        <v>696963</v>
      </c>
      <c r="G430" s="492">
        <v>280083</v>
      </c>
      <c r="H430" s="492">
        <v>1040</v>
      </c>
      <c r="I430" s="492">
        <v>1315</v>
      </c>
      <c r="J430" s="492">
        <v>80159</v>
      </c>
    </row>
    <row r="431" spans="1:11" s="428" customFormat="1" ht="9" customHeight="1" x14ac:dyDescent="0.25">
      <c r="A431" s="475" t="s">
        <v>41</v>
      </c>
      <c r="B431" s="493">
        <f t="shared" si="16"/>
        <v>3230462</v>
      </c>
      <c r="C431" s="493">
        <v>980938</v>
      </c>
      <c r="D431" s="493">
        <v>614692</v>
      </c>
      <c r="E431" s="493">
        <v>113757</v>
      </c>
      <c r="F431" s="493">
        <v>590672</v>
      </c>
      <c r="G431" s="493">
        <v>510094</v>
      </c>
      <c r="H431" s="493">
        <v>642</v>
      </c>
      <c r="I431" s="493">
        <v>54</v>
      </c>
      <c r="J431" s="493">
        <v>419613</v>
      </c>
    </row>
    <row r="432" spans="1:11" s="428" customFormat="1" ht="9" customHeight="1" x14ac:dyDescent="0.25">
      <c r="A432" s="428" t="s">
        <v>42</v>
      </c>
      <c r="B432" s="492">
        <f t="shared" si="16"/>
        <v>5466657</v>
      </c>
      <c r="C432" s="492">
        <v>1852457</v>
      </c>
      <c r="D432" s="492">
        <v>770938</v>
      </c>
      <c r="E432" s="492">
        <v>155461</v>
      </c>
      <c r="F432" s="492">
        <v>1260442</v>
      </c>
      <c r="G432" s="492">
        <v>891778</v>
      </c>
      <c r="H432" s="492">
        <v>7847</v>
      </c>
      <c r="I432" s="492">
        <v>101</v>
      </c>
      <c r="J432" s="492">
        <v>527633</v>
      </c>
    </row>
    <row r="433" spans="1:10" s="428" customFormat="1" ht="9" customHeight="1" x14ac:dyDescent="0.25">
      <c r="A433" s="428" t="s">
        <v>43</v>
      </c>
      <c r="B433" s="492">
        <f t="shared" si="16"/>
        <v>1432511</v>
      </c>
      <c r="C433" s="492">
        <v>539951</v>
      </c>
      <c r="D433" s="492">
        <v>178174</v>
      </c>
      <c r="E433" s="492">
        <v>37856</v>
      </c>
      <c r="F433" s="492">
        <v>295000</v>
      </c>
      <c r="G433" s="492">
        <v>233305</v>
      </c>
      <c r="H433" s="492">
        <v>1019</v>
      </c>
      <c r="I433" s="492">
        <v>26</v>
      </c>
      <c r="J433" s="492">
        <v>147180</v>
      </c>
    </row>
    <row r="434" spans="1:10" s="428" customFormat="1" ht="9" customHeight="1" x14ac:dyDescent="0.25">
      <c r="A434" s="428" t="s">
        <v>44</v>
      </c>
      <c r="B434" s="492">
        <f t="shared" si="16"/>
        <v>940140</v>
      </c>
      <c r="C434" s="492">
        <v>333987</v>
      </c>
      <c r="D434" s="492">
        <v>109982</v>
      </c>
      <c r="E434" s="492">
        <v>22271</v>
      </c>
      <c r="F434" s="492">
        <v>288756</v>
      </c>
      <c r="G434" s="492">
        <v>117055</v>
      </c>
      <c r="H434" s="492">
        <v>762</v>
      </c>
      <c r="I434" s="492">
        <v>43</v>
      </c>
      <c r="J434" s="492">
        <v>67284</v>
      </c>
    </row>
    <row r="435" spans="1:10" s="428" customFormat="1" ht="9" customHeight="1" x14ac:dyDescent="0.25">
      <c r="A435" s="475" t="s">
        <v>45</v>
      </c>
      <c r="B435" s="493">
        <f t="shared" si="16"/>
        <v>2385536</v>
      </c>
      <c r="C435" s="493">
        <v>777880</v>
      </c>
      <c r="D435" s="493">
        <v>397869</v>
      </c>
      <c r="E435" s="493">
        <v>57686</v>
      </c>
      <c r="F435" s="493">
        <v>490870</v>
      </c>
      <c r="G435" s="493">
        <v>323086</v>
      </c>
      <c r="H435" s="493">
        <v>2104</v>
      </c>
      <c r="I435" s="493">
        <v>29</v>
      </c>
      <c r="J435" s="493">
        <v>336012</v>
      </c>
    </row>
    <row r="436" spans="1:10" s="428" customFormat="1" ht="9" customHeight="1" x14ac:dyDescent="0.25">
      <c r="A436" s="428" t="s">
        <v>46</v>
      </c>
      <c r="B436" s="492">
        <f t="shared" si="16"/>
        <v>2594468</v>
      </c>
      <c r="C436" s="492">
        <v>912108</v>
      </c>
      <c r="D436" s="492">
        <v>375923</v>
      </c>
      <c r="E436" s="492">
        <v>71293</v>
      </c>
      <c r="F436" s="492">
        <v>589856</v>
      </c>
      <c r="G436" s="492">
        <v>437132</v>
      </c>
      <c r="H436" s="492">
        <v>665</v>
      </c>
      <c r="I436" s="492">
        <v>15</v>
      </c>
      <c r="J436" s="492">
        <v>207476</v>
      </c>
    </row>
    <row r="437" spans="1:10" s="428" customFormat="1" ht="9" customHeight="1" x14ac:dyDescent="0.25">
      <c r="A437" s="428" t="s">
        <v>47</v>
      </c>
      <c r="B437" s="492">
        <f t="shared" si="16"/>
        <v>2010011</v>
      </c>
      <c r="C437" s="492">
        <v>798714</v>
      </c>
      <c r="D437" s="492">
        <v>226375</v>
      </c>
      <c r="E437" s="492">
        <v>58471</v>
      </c>
      <c r="F437" s="492">
        <v>483035</v>
      </c>
      <c r="G437" s="492">
        <v>308718</v>
      </c>
      <c r="H437" s="492">
        <v>3507</v>
      </c>
      <c r="I437" s="492">
        <v>875</v>
      </c>
      <c r="J437" s="492">
        <v>130316</v>
      </c>
    </row>
    <row r="438" spans="1:10" s="428" customFormat="1" ht="9" customHeight="1" x14ac:dyDescent="0.25">
      <c r="A438" s="428" t="s">
        <v>48</v>
      </c>
      <c r="B438" s="492">
        <f t="shared" si="16"/>
        <v>2131154</v>
      </c>
      <c r="C438" s="492">
        <v>646034</v>
      </c>
      <c r="D438" s="492">
        <v>244762</v>
      </c>
      <c r="E438" s="492">
        <v>57553</v>
      </c>
      <c r="F438" s="492">
        <v>555326</v>
      </c>
      <c r="G438" s="492">
        <v>283024</v>
      </c>
      <c r="H438" s="492">
        <v>10679</v>
      </c>
      <c r="I438" s="492">
        <v>357</v>
      </c>
      <c r="J438" s="492">
        <v>333419</v>
      </c>
    </row>
    <row r="439" spans="1:10" s="428" customFormat="1" ht="9" customHeight="1" x14ac:dyDescent="0.25">
      <c r="A439" s="475" t="s">
        <v>49</v>
      </c>
      <c r="B439" s="493">
        <f t="shared" si="16"/>
        <v>2509568</v>
      </c>
      <c r="C439" s="493">
        <v>796425</v>
      </c>
      <c r="D439" s="493">
        <v>350641</v>
      </c>
      <c r="E439" s="493">
        <v>64538</v>
      </c>
      <c r="F439" s="493">
        <v>678981</v>
      </c>
      <c r="G439" s="493">
        <v>411811</v>
      </c>
      <c r="H439" s="493">
        <v>1817</v>
      </c>
      <c r="I439" s="493">
        <v>1662</v>
      </c>
      <c r="J439" s="493">
        <v>203693</v>
      </c>
    </row>
    <row r="440" spans="1:10" s="428" customFormat="1" ht="9" customHeight="1" x14ac:dyDescent="0.25">
      <c r="A440" s="428" t="s">
        <v>50</v>
      </c>
      <c r="B440" s="492">
        <f t="shared" si="16"/>
        <v>821905</v>
      </c>
      <c r="C440" s="492">
        <v>294106</v>
      </c>
      <c r="D440" s="492">
        <v>100623</v>
      </c>
      <c r="E440" s="492">
        <v>27224</v>
      </c>
      <c r="F440" s="492">
        <v>171073</v>
      </c>
      <c r="G440" s="492">
        <v>115498</v>
      </c>
      <c r="H440" s="492">
        <v>3817</v>
      </c>
      <c r="I440" s="492">
        <v>187</v>
      </c>
      <c r="J440" s="492">
        <v>109377</v>
      </c>
    </row>
    <row r="441" spans="1:10" s="428" customFormat="1" ht="9" customHeight="1" x14ac:dyDescent="0.25">
      <c r="A441" s="428" t="s">
        <v>51</v>
      </c>
      <c r="B441" s="492">
        <f t="shared" si="16"/>
        <v>6581218</v>
      </c>
      <c r="C441" s="492">
        <v>2000848</v>
      </c>
      <c r="D441" s="492">
        <v>935991</v>
      </c>
      <c r="E441" s="492">
        <v>194443</v>
      </c>
      <c r="F441" s="492">
        <v>1632727</v>
      </c>
      <c r="G441" s="492">
        <v>947318</v>
      </c>
      <c r="H441" s="492">
        <v>5653</v>
      </c>
      <c r="I441" s="492">
        <v>4800</v>
      </c>
      <c r="J441" s="492">
        <v>859438</v>
      </c>
    </row>
    <row r="442" spans="1:10" s="428" customFormat="1" ht="9" customHeight="1" x14ac:dyDescent="0.25">
      <c r="A442" s="428" t="s">
        <v>52</v>
      </c>
      <c r="B442" s="492">
        <f t="shared" si="16"/>
        <v>1592754</v>
      </c>
      <c r="C442" s="492">
        <v>534939</v>
      </c>
      <c r="D442" s="492">
        <v>274314</v>
      </c>
      <c r="E442" s="492">
        <v>36455</v>
      </c>
      <c r="F442" s="492">
        <v>341147</v>
      </c>
      <c r="G442" s="492">
        <v>276757</v>
      </c>
      <c r="H442" s="492">
        <v>2553</v>
      </c>
      <c r="I442" s="492">
        <v>169</v>
      </c>
      <c r="J442" s="492">
        <v>126420</v>
      </c>
    </row>
    <row r="443" spans="1:10" s="428" customFormat="1" ht="9" customHeight="1" x14ac:dyDescent="0.25">
      <c r="A443" s="475" t="s">
        <v>53</v>
      </c>
      <c r="B443" s="493">
        <f t="shared" si="16"/>
        <v>1368946</v>
      </c>
      <c r="C443" s="493">
        <v>392673</v>
      </c>
      <c r="D443" s="493">
        <v>209717</v>
      </c>
      <c r="E443" s="493">
        <v>36447</v>
      </c>
      <c r="F443" s="493">
        <v>289518</v>
      </c>
      <c r="G443" s="493">
        <v>269544</v>
      </c>
      <c r="H443" s="493">
        <v>751</v>
      </c>
      <c r="I443" s="493">
        <v>68</v>
      </c>
      <c r="J443" s="493">
        <v>170228</v>
      </c>
    </row>
    <row r="444" spans="1:10" s="423" customFormat="1" ht="9.6" customHeight="1" x14ac:dyDescent="0.15">
      <c r="A444" s="485"/>
    </row>
    <row r="445" spans="1:10" ht="9" customHeight="1" x14ac:dyDescent="0.25">
      <c r="A445" s="470">
        <v>2007</v>
      </c>
      <c r="B445" s="430"/>
      <c r="C445" s="471"/>
      <c r="E445" s="471"/>
      <c r="F445" s="471"/>
      <c r="G445" s="494"/>
      <c r="H445" s="471"/>
      <c r="I445" s="427"/>
      <c r="J445" s="427"/>
    </row>
    <row r="446" spans="1:10" ht="9" customHeight="1" x14ac:dyDescent="0.15">
      <c r="A446" s="490" t="s">
        <v>21</v>
      </c>
      <c r="B446" s="442">
        <f t="shared" ref="B446:J446" si="17">SUM(B448:B479)</f>
        <v>96862169</v>
      </c>
      <c r="C446" s="442">
        <f t="shared" si="17"/>
        <v>29064302</v>
      </c>
      <c r="D446" s="442">
        <f t="shared" si="17"/>
        <v>10386783</v>
      </c>
      <c r="E446" s="442">
        <f t="shared" si="17"/>
        <v>2481889</v>
      </c>
      <c r="F446" s="442">
        <f t="shared" si="17"/>
        <v>23009663</v>
      </c>
      <c r="G446" s="442">
        <f t="shared" si="17"/>
        <v>7247799</v>
      </c>
      <c r="H446" s="442">
        <f t="shared" si="17"/>
        <v>78829</v>
      </c>
      <c r="I446" s="442">
        <f t="shared" si="17"/>
        <v>28398</v>
      </c>
      <c r="J446" s="442">
        <f t="shared" si="17"/>
        <v>24564506</v>
      </c>
    </row>
    <row r="447" spans="1:10" ht="3.95" customHeight="1" x14ac:dyDescent="0.25">
      <c r="A447" s="473"/>
      <c r="B447" s="430"/>
      <c r="C447" s="430"/>
      <c r="D447" s="430"/>
      <c r="E447" s="430"/>
      <c r="F447" s="430"/>
      <c r="G447" s="430"/>
      <c r="H447" s="430"/>
      <c r="I447" s="430"/>
      <c r="J447" s="430"/>
    </row>
    <row r="448" spans="1:10" ht="9" customHeight="1" x14ac:dyDescent="0.25">
      <c r="A448" s="428" t="s">
        <v>23</v>
      </c>
      <c r="B448" s="432">
        <f t="shared" ref="B448:B479" si="18">SUM(C448:J448)</f>
        <v>930762</v>
      </c>
      <c r="C448" s="432">
        <v>355322</v>
      </c>
      <c r="D448" s="432">
        <v>88341</v>
      </c>
      <c r="E448" s="432">
        <v>31019</v>
      </c>
      <c r="F448" s="432">
        <v>178598</v>
      </c>
      <c r="G448" s="432">
        <v>65296</v>
      </c>
      <c r="H448" s="432">
        <v>194</v>
      </c>
      <c r="I448" s="432">
        <v>0</v>
      </c>
      <c r="J448" s="432">
        <v>211992</v>
      </c>
    </row>
    <row r="449" spans="1:10" ht="9" customHeight="1" x14ac:dyDescent="0.25">
      <c r="A449" s="428" t="s">
        <v>24</v>
      </c>
      <c r="B449" s="432">
        <f t="shared" si="18"/>
        <v>2276534</v>
      </c>
      <c r="C449" s="432">
        <v>851734</v>
      </c>
      <c r="D449" s="432">
        <v>280488</v>
      </c>
      <c r="E449" s="432">
        <v>71618</v>
      </c>
      <c r="F449" s="432">
        <v>492763</v>
      </c>
      <c r="G449" s="432">
        <v>159750</v>
      </c>
      <c r="H449" s="432">
        <v>5</v>
      </c>
      <c r="I449" s="432">
        <v>67</v>
      </c>
      <c r="J449" s="432">
        <v>420109</v>
      </c>
    </row>
    <row r="450" spans="1:10" ht="9" customHeight="1" x14ac:dyDescent="0.25">
      <c r="A450" s="428" t="s">
        <v>25</v>
      </c>
      <c r="B450" s="432">
        <f t="shared" si="18"/>
        <v>593420</v>
      </c>
      <c r="C450" s="432">
        <v>165429</v>
      </c>
      <c r="D450" s="432">
        <v>67080</v>
      </c>
      <c r="E450" s="432">
        <v>21683</v>
      </c>
      <c r="F450" s="432">
        <v>124386</v>
      </c>
      <c r="G450" s="432">
        <v>42138</v>
      </c>
      <c r="H450" s="432">
        <v>807</v>
      </c>
      <c r="I450" s="432">
        <v>1</v>
      </c>
      <c r="J450" s="432">
        <v>171896</v>
      </c>
    </row>
    <row r="451" spans="1:10" ht="9" customHeight="1" x14ac:dyDescent="0.25">
      <c r="A451" s="475" t="s">
        <v>26</v>
      </c>
      <c r="B451" s="435">
        <f t="shared" si="18"/>
        <v>822449</v>
      </c>
      <c r="C451" s="435">
        <v>216851</v>
      </c>
      <c r="D451" s="435">
        <v>76757</v>
      </c>
      <c r="E451" s="435">
        <v>16010</v>
      </c>
      <c r="F451" s="435">
        <v>200669</v>
      </c>
      <c r="G451" s="435">
        <v>45828</v>
      </c>
      <c r="H451" s="435">
        <v>1809</v>
      </c>
      <c r="I451" s="435">
        <v>1311</v>
      </c>
      <c r="J451" s="435">
        <v>263214</v>
      </c>
    </row>
    <row r="452" spans="1:10" ht="9" customHeight="1" x14ac:dyDescent="0.25">
      <c r="A452" s="428" t="s">
        <v>27</v>
      </c>
      <c r="B452" s="432">
        <f t="shared" si="18"/>
        <v>1961308</v>
      </c>
      <c r="C452" s="432">
        <v>571864</v>
      </c>
      <c r="D452" s="432">
        <v>221210</v>
      </c>
      <c r="E452" s="432">
        <v>63582</v>
      </c>
      <c r="F452" s="432">
        <v>471415</v>
      </c>
      <c r="G452" s="432">
        <v>141938</v>
      </c>
      <c r="H452" s="432">
        <v>23</v>
      </c>
      <c r="I452" s="432">
        <v>1</v>
      </c>
      <c r="J452" s="432">
        <v>491275</v>
      </c>
    </row>
    <row r="453" spans="1:10" ht="9" customHeight="1" x14ac:dyDescent="0.25">
      <c r="A453" s="428" t="s">
        <v>28</v>
      </c>
      <c r="B453" s="432">
        <f t="shared" si="18"/>
        <v>2703341</v>
      </c>
      <c r="C453" s="432">
        <v>563772</v>
      </c>
      <c r="D453" s="432">
        <v>247975</v>
      </c>
      <c r="E453" s="432">
        <v>71948</v>
      </c>
      <c r="F453" s="432">
        <v>586571</v>
      </c>
      <c r="G453" s="432">
        <v>149455</v>
      </c>
      <c r="H453" s="432">
        <v>7751</v>
      </c>
      <c r="I453" s="432">
        <v>330</v>
      </c>
      <c r="J453" s="432">
        <v>1075539</v>
      </c>
    </row>
    <row r="454" spans="1:10" ht="9" customHeight="1" x14ac:dyDescent="0.25">
      <c r="A454" s="428" t="s">
        <v>29</v>
      </c>
      <c r="B454" s="432">
        <f t="shared" si="18"/>
        <v>3238349</v>
      </c>
      <c r="C454" s="432">
        <v>1041027</v>
      </c>
      <c r="D454" s="432">
        <v>386204</v>
      </c>
      <c r="E454" s="432">
        <v>88937</v>
      </c>
      <c r="F454" s="432">
        <v>827720</v>
      </c>
      <c r="G454" s="432">
        <v>241024</v>
      </c>
      <c r="H454" s="432">
        <v>2235</v>
      </c>
      <c r="I454" s="432">
        <v>162</v>
      </c>
      <c r="J454" s="432">
        <v>651040</v>
      </c>
    </row>
    <row r="455" spans="1:10" ht="9" customHeight="1" x14ac:dyDescent="0.25">
      <c r="A455" s="475" t="s">
        <v>30</v>
      </c>
      <c r="B455" s="435">
        <f t="shared" si="18"/>
        <v>2594496</v>
      </c>
      <c r="C455" s="435">
        <v>986272</v>
      </c>
      <c r="D455" s="435">
        <v>289206</v>
      </c>
      <c r="E455" s="435">
        <v>66708</v>
      </c>
      <c r="F455" s="435">
        <v>532338</v>
      </c>
      <c r="G455" s="435">
        <v>169674</v>
      </c>
      <c r="H455" s="435">
        <v>103</v>
      </c>
      <c r="I455" s="435">
        <v>56</v>
      </c>
      <c r="J455" s="435">
        <v>550139</v>
      </c>
    </row>
    <row r="456" spans="1:10" ht="9" customHeight="1" x14ac:dyDescent="0.25">
      <c r="A456" s="428" t="s">
        <v>63</v>
      </c>
      <c r="B456" s="432">
        <f t="shared" si="18"/>
        <v>6944107</v>
      </c>
      <c r="C456" s="432">
        <v>2085818</v>
      </c>
      <c r="D456" s="432">
        <v>710314</v>
      </c>
      <c r="E456" s="432">
        <v>180220</v>
      </c>
      <c r="F456" s="432">
        <v>1555329</v>
      </c>
      <c r="G456" s="432">
        <v>637717</v>
      </c>
      <c r="H456" s="432">
        <v>3613</v>
      </c>
      <c r="I456" s="432">
        <v>10536</v>
      </c>
      <c r="J456" s="432">
        <v>1760560</v>
      </c>
    </row>
    <row r="457" spans="1:10" ht="9" customHeight="1" x14ac:dyDescent="0.25">
      <c r="A457" s="428" t="s">
        <v>31</v>
      </c>
      <c r="B457" s="432">
        <f t="shared" si="18"/>
        <v>1350602</v>
      </c>
      <c r="C457" s="432">
        <v>486572</v>
      </c>
      <c r="D457" s="432">
        <v>163036</v>
      </c>
      <c r="E457" s="432">
        <v>26155</v>
      </c>
      <c r="F457" s="432">
        <v>324152</v>
      </c>
      <c r="G457" s="432">
        <v>90672</v>
      </c>
      <c r="H457" s="432">
        <v>33</v>
      </c>
      <c r="I457" s="432">
        <v>56</v>
      </c>
      <c r="J457" s="432">
        <v>259926</v>
      </c>
    </row>
    <row r="458" spans="1:10" ht="9" customHeight="1" x14ac:dyDescent="0.25">
      <c r="A458" s="428" t="s">
        <v>32</v>
      </c>
      <c r="B458" s="432">
        <f t="shared" si="18"/>
        <v>4882511</v>
      </c>
      <c r="C458" s="432">
        <v>1651022</v>
      </c>
      <c r="D458" s="432">
        <v>567795</v>
      </c>
      <c r="E458" s="432">
        <v>134798</v>
      </c>
      <c r="F458" s="432">
        <v>1042803</v>
      </c>
      <c r="G458" s="432">
        <v>354170</v>
      </c>
      <c r="H458" s="432">
        <v>101</v>
      </c>
      <c r="I458" s="432">
        <v>169</v>
      </c>
      <c r="J458" s="432">
        <v>1131653</v>
      </c>
    </row>
    <row r="459" spans="1:10" ht="9" customHeight="1" x14ac:dyDescent="0.25">
      <c r="A459" s="475" t="s">
        <v>33</v>
      </c>
      <c r="B459" s="435">
        <f t="shared" si="18"/>
        <v>4173439</v>
      </c>
      <c r="C459" s="435">
        <v>1235833</v>
      </c>
      <c r="D459" s="435">
        <v>398746</v>
      </c>
      <c r="E459" s="435">
        <v>94300</v>
      </c>
      <c r="F459" s="435">
        <v>1110275</v>
      </c>
      <c r="G459" s="435">
        <v>256772</v>
      </c>
      <c r="H459" s="435">
        <v>5322</v>
      </c>
      <c r="I459" s="435">
        <v>374</v>
      </c>
      <c r="J459" s="435">
        <v>1071817</v>
      </c>
    </row>
    <row r="460" spans="1:10" ht="9" customHeight="1" x14ac:dyDescent="0.25">
      <c r="A460" s="428" t="s">
        <v>34</v>
      </c>
      <c r="B460" s="432">
        <f t="shared" si="18"/>
        <v>1773410</v>
      </c>
      <c r="C460" s="432">
        <v>605878</v>
      </c>
      <c r="D460" s="432">
        <v>210196</v>
      </c>
      <c r="E460" s="432">
        <v>44503</v>
      </c>
      <c r="F460" s="432">
        <v>384238</v>
      </c>
      <c r="G460" s="432">
        <v>103360</v>
      </c>
      <c r="H460" s="432">
        <v>286</v>
      </c>
      <c r="I460" s="432">
        <v>3048</v>
      </c>
      <c r="J460" s="432">
        <v>421901</v>
      </c>
    </row>
    <row r="461" spans="1:10" ht="9" customHeight="1" x14ac:dyDescent="0.25">
      <c r="A461" s="428" t="s">
        <v>35</v>
      </c>
      <c r="B461" s="432">
        <f t="shared" si="18"/>
        <v>5374227</v>
      </c>
      <c r="C461" s="432">
        <v>1592442</v>
      </c>
      <c r="D461" s="432">
        <v>657049</v>
      </c>
      <c r="E461" s="432">
        <v>153725</v>
      </c>
      <c r="F461" s="432">
        <v>1434261</v>
      </c>
      <c r="G461" s="432">
        <v>381225</v>
      </c>
      <c r="H461" s="432">
        <v>17</v>
      </c>
      <c r="I461" s="432">
        <v>253</v>
      </c>
      <c r="J461" s="432">
        <v>1155255</v>
      </c>
    </row>
    <row r="462" spans="1:10" ht="9" customHeight="1" x14ac:dyDescent="0.25">
      <c r="A462" s="428" t="s">
        <v>36</v>
      </c>
      <c r="B462" s="432">
        <f t="shared" si="18"/>
        <v>13646176</v>
      </c>
      <c r="C462" s="432">
        <v>3725501</v>
      </c>
      <c r="D462" s="432">
        <v>1483039</v>
      </c>
      <c r="E462" s="432">
        <v>333974</v>
      </c>
      <c r="F462" s="432">
        <v>2948431</v>
      </c>
      <c r="G462" s="432">
        <v>1745968</v>
      </c>
      <c r="H462" s="432">
        <v>2885</v>
      </c>
      <c r="I462" s="432">
        <v>638</v>
      </c>
      <c r="J462" s="432">
        <v>3405740</v>
      </c>
    </row>
    <row r="463" spans="1:10" ht="9" customHeight="1" x14ac:dyDescent="0.25">
      <c r="A463" s="475" t="s">
        <v>37</v>
      </c>
      <c r="B463" s="435">
        <f t="shared" si="18"/>
        <v>2890800</v>
      </c>
      <c r="C463" s="435">
        <v>984450</v>
      </c>
      <c r="D463" s="435">
        <v>323349</v>
      </c>
      <c r="E463" s="435">
        <v>73708</v>
      </c>
      <c r="F463" s="435">
        <v>684004</v>
      </c>
      <c r="G463" s="435">
        <v>186112</v>
      </c>
      <c r="H463" s="435">
        <v>291</v>
      </c>
      <c r="I463" s="435">
        <v>43</v>
      </c>
      <c r="J463" s="435">
        <v>638843</v>
      </c>
    </row>
    <row r="464" spans="1:10" ht="9" customHeight="1" x14ac:dyDescent="0.25">
      <c r="A464" s="428" t="s">
        <v>38</v>
      </c>
      <c r="B464" s="432">
        <f t="shared" si="18"/>
        <v>1520576</v>
      </c>
      <c r="C464" s="432">
        <v>497226</v>
      </c>
      <c r="D464" s="432">
        <v>185380</v>
      </c>
      <c r="E464" s="432">
        <v>38330</v>
      </c>
      <c r="F464" s="432">
        <v>373657</v>
      </c>
      <c r="G464" s="432">
        <v>101100</v>
      </c>
      <c r="H464" s="432">
        <v>979</v>
      </c>
      <c r="I464" s="432">
        <v>2</v>
      </c>
      <c r="J464" s="432">
        <v>323902</v>
      </c>
    </row>
    <row r="465" spans="1:10" ht="9" customHeight="1" x14ac:dyDescent="0.25">
      <c r="A465" s="428" t="s">
        <v>39</v>
      </c>
      <c r="B465" s="432">
        <f t="shared" si="18"/>
        <v>849483</v>
      </c>
      <c r="C465" s="432">
        <v>223743</v>
      </c>
      <c r="D465" s="432">
        <v>88246</v>
      </c>
      <c r="E465" s="432">
        <v>19265</v>
      </c>
      <c r="F465" s="432">
        <v>254033</v>
      </c>
      <c r="G465" s="432">
        <v>37441</v>
      </c>
      <c r="H465" s="432">
        <v>51</v>
      </c>
      <c r="I465" s="432">
        <v>7</v>
      </c>
      <c r="J465" s="432">
        <v>226697</v>
      </c>
    </row>
    <row r="466" spans="1:10" ht="9" customHeight="1" x14ac:dyDescent="0.25">
      <c r="A466" s="428" t="s">
        <v>40</v>
      </c>
      <c r="B466" s="432">
        <f t="shared" si="18"/>
        <v>3913652</v>
      </c>
      <c r="C466" s="432">
        <v>1197827</v>
      </c>
      <c r="D466" s="432">
        <v>420250</v>
      </c>
      <c r="E466" s="432">
        <v>111720</v>
      </c>
      <c r="F466" s="432">
        <v>874642</v>
      </c>
      <c r="G466" s="432">
        <v>252368</v>
      </c>
      <c r="H466" s="432">
        <v>10072</v>
      </c>
      <c r="I466" s="432">
        <v>902</v>
      </c>
      <c r="J466" s="432">
        <v>1045871</v>
      </c>
    </row>
    <row r="467" spans="1:10" ht="9" customHeight="1" x14ac:dyDescent="0.25">
      <c r="A467" s="475" t="s">
        <v>41</v>
      </c>
      <c r="B467" s="435">
        <f t="shared" si="18"/>
        <v>4142823</v>
      </c>
      <c r="C467" s="435">
        <v>1294464</v>
      </c>
      <c r="D467" s="435">
        <v>414006</v>
      </c>
      <c r="E467" s="435">
        <v>94194</v>
      </c>
      <c r="F467" s="435">
        <v>834629</v>
      </c>
      <c r="G467" s="435">
        <v>296028</v>
      </c>
      <c r="H467" s="435">
        <v>9887</v>
      </c>
      <c r="I467" s="435">
        <v>950</v>
      </c>
      <c r="J467" s="435">
        <v>1198665</v>
      </c>
    </row>
    <row r="468" spans="1:10" ht="9" customHeight="1" x14ac:dyDescent="0.25">
      <c r="A468" s="428" t="s">
        <v>42</v>
      </c>
      <c r="B468" s="432">
        <f t="shared" si="18"/>
        <v>4717637</v>
      </c>
      <c r="C468" s="432">
        <v>1472018</v>
      </c>
      <c r="D468" s="432">
        <v>478897</v>
      </c>
      <c r="E468" s="432">
        <v>122470</v>
      </c>
      <c r="F468" s="432">
        <v>1350704</v>
      </c>
      <c r="G468" s="432">
        <v>237678</v>
      </c>
      <c r="H468" s="432">
        <v>267</v>
      </c>
      <c r="I468" s="432">
        <v>1513</v>
      </c>
      <c r="J468" s="432">
        <v>1054090</v>
      </c>
    </row>
    <row r="469" spans="1:10" ht="9" customHeight="1" x14ac:dyDescent="0.25">
      <c r="A469" s="428" t="s">
        <v>43</v>
      </c>
      <c r="B469" s="432">
        <f t="shared" si="18"/>
        <v>1395515</v>
      </c>
      <c r="C469" s="432">
        <v>424310</v>
      </c>
      <c r="D469" s="432">
        <v>164310</v>
      </c>
      <c r="E469" s="432">
        <v>45038</v>
      </c>
      <c r="F469" s="432">
        <v>310351</v>
      </c>
      <c r="G469" s="432">
        <v>85921</v>
      </c>
      <c r="H469" s="432">
        <v>29</v>
      </c>
      <c r="I469" s="432">
        <v>0</v>
      </c>
      <c r="J469" s="432">
        <v>365556</v>
      </c>
    </row>
    <row r="470" spans="1:10" ht="9" customHeight="1" x14ac:dyDescent="0.25">
      <c r="A470" s="428" t="s">
        <v>44</v>
      </c>
      <c r="B470" s="432">
        <f t="shared" si="18"/>
        <v>1598442</v>
      </c>
      <c r="C470" s="432">
        <v>329325</v>
      </c>
      <c r="D470" s="432">
        <v>160952</v>
      </c>
      <c r="E470" s="432">
        <v>31763</v>
      </c>
      <c r="F470" s="432">
        <v>402630</v>
      </c>
      <c r="G470" s="432">
        <v>97709</v>
      </c>
      <c r="H470" s="432">
        <v>4320</v>
      </c>
      <c r="I470" s="432">
        <v>15</v>
      </c>
      <c r="J470" s="432">
        <v>571728</v>
      </c>
    </row>
    <row r="471" spans="1:10" ht="9" customHeight="1" x14ac:dyDescent="0.25">
      <c r="A471" s="475" t="s">
        <v>45</v>
      </c>
      <c r="B471" s="435">
        <f t="shared" si="18"/>
        <v>2214326</v>
      </c>
      <c r="C471" s="435">
        <v>664282</v>
      </c>
      <c r="D471" s="435">
        <v>215687</v>
      </c>
      <c r="E471" s="435">
        <v>59132</v>
      </c>
      <c r="F471" s="435">
        <v>519177</v>
      </c>
      <c r="G471" s="435">
        <v>109587</v>
      </c>
      <c r="H471" s="435">
        <v>824</v>
      </c>
      <c r="I471" s="435">
        <v>212</v>
      </c>
      <c r="J471" s="435">
        <v>645425</v>
      </c>
    </row>
    <row r="472" spans="1:10" ht="9" customHeight="1" x14ac:dyDescent="0.25">
      <c r="A472" s="428" t="s">
        <v>46</v>
      </c>
      <c r="B472" s="432">
        <f t="shared" si="18"/>
        <v>2256210</v>
      </c>
      <c r="C472" s="432">
        <v>768496</v>
      </c>
      <c r="D472" s="432">
        <v>276221</v>
      </c>
      <c r="E472" s="432">
        <v>67677</v>
      </c>
      <c r="F472" s="432">
        <v>487198</v>
      </c>
      <c r="G472" s="432">
        <v>123708</v>
      </c>
      <c r="H472" s="432">
        <v>1</v>
      </c>
      <c r="I472" s="432">
        <v>122</v>
      </c>
      <c r="J472" s="432">
        <v>532787</v>
      </c>
    </row>
    <row r="473" spans="1:10" ht="9" customHeight="1" x14ac:dyDescent="0.25">
      <c r="A473" s="428" t="s">
        <v>47</v>
      </c>
      <c r="B473" s="432">
        <f t="shared" si="18"/>
        <v>1993553</v>
      </c>
      <c r="C473" s="432">
        <v>697215</v>
      </c>
      <c r="D473" s="432">
        <v>228819</v>
      </c>
      <c r="E473" s="432">
        <v>60019</v>
      </c>
      <c r="F473" s="432">
        <v>492287</v>
      </c>
      <c r="G473" s="432">
        <v>117000</v>
      </c>
      <c r="H473" s="432">
        <v>110</v>
      </c>
      <c r="I473" s="432">
        <v>41</v>
      </c>
      <c r="J473" s="432">
        <v>398062</v>
      </c>
    </row>
    <row r="474" spans="1:10" ht="9" customHeight="1" x14ac:dyDescent="0.25">
      <c r="A474" s="428" t="s">
        <v>48</v>
      </c>
      <c r="B474" s="432">
        <f t="shared" si="18"/>
        <v>2785249</v>
      </c>
      <c r="C474" s="432">
        <v>580911</v>
      </c>
      <c r="D474" s="432">
        <v>255564</v>
      </c>
      <c r="E474" s="432">
        <v>56528</v>
      </c>
      <c r="F474" s="432">
        <v>873801</v>
      </c>
      <c r="G474" s="432">
        <v>246888</v>
      </c>
      <c r="H474" s="432">
        <v>1318</v>
      </c>
      <c r="I474" s="432">
        <v>1257</v>
      </c>
      <c r="J474" s="432">
        <v>768982</v>
      </c>
    </row>
    <row r="475" spans="1:10" ht="9" customHeight="1" x14ac:dyDescent="0.25">
      <c r="A475" s="475" t="s">
        <v>49</v>
      </c>
      <c r="B475" s="435">
        <f t="shared" si="18"/>
        <v>2372371</v>
      </c>
      <c r="C475" s="435">
        <v>736116</v>
      </c>
      <c r="D475" s="435">
        <v>273837</v>
      </c>
      <c r="E475" s="435">
        <v>54573</v>
      </c>
      <c r="F475" s="435">
        <v>644882</v>
      </c>
      <c r="G475" s="435">
        <v>130499</v>
      </c>
      <c r="H475" s="435">
        <v>293</v>
      </c>
      <c r="I475" s="435">
        <v>2744</v>
      </c>
      <c r="J475" s="435">
        <v>529427</v>
      </c>
    </row>
    <row r="476" spans="1:10" ht="9" customHeight="1" x14ac:dyDescent="0.25">
      <c r="A476" s="428" t="s">
        <v>50</v>
      </c>
      <c r="B476" s="432">
        <f t="shared" si="18"/>
        <v>2506981</v>
      </c>
      <c r="C476" s="432">
        <v>599449</v>
      </c>
      <c r="D476" s="432">
        <v>231195</v>
      </c>
      <c r="E476" s="432">
        <v>55094</v>
      </c>
      <c r="F476" s="432">
        <v>485246</v>
      </c>
      <c r="G476" s="432">
        <v>152391</v>
      </c>
      <c r="H476" s="432">
        <v>14601</v>
      </c>
      <c r="I476" s="432">
        <v>1</v>
      </c>
      <c r="J476" s="432">
        <v>969004</v>
      </c>
    </row>
    <row r="477" spans="1:10" ht="9" customHeight="1" x14ac:dyDescent="0.25">
      <c r="A477" s="428" t="s">
        <v>51</v>
      </c>
      <c r="B477" s="432">
        <f t="shared" si="18"/>
        <v>5758579</v>
      </c>
      <c r="C477" s="432">
        <v>1614726</v>
      </c>
      <c r="D477" s="432">
        <v>536730</v>
      </c>
      <c r="E477" s="432">
        <v>133090</v>
      </c>
      <c r="F477" s="432">
        <v>1666838</v>
      </c>
      <c r="G477" s="432">
        <v>328474</v>
      </c>
      <c r="H477" s="432">
        <v>9134</v>
      </c>
      <c r="I477" s="432">
        <v>3548</v>
      </c>
      <c r="J477" s="432">
        <v>1466039</v>
      </c>
    </row>
    <row r="478" spans="1:10" ht="9" customHeight="1" x14ac:dyDescent="0.25">
      <c r="A478" s="428" t="s">
        <v>52</v>
      </c>
      <c r="B478" s="432">
        <f t="shared" si="18"/>
        <v>1608657</v>
      </c>
      <c r="C478" s="432">
        <v>518905</v>
      </c>
      <c r="D478" s="432">
        <v>163035</v>
      </c>
      <c r="E478" s="432">
        <v>31975</v>
      </c>
      <c r="F478" s="432">
        <v>320207</v>
      </c>
      <c r="G478" s="432">
        <v>87257</v>
      </c>
      <c r="H478" s="432">
        <v>1463</v>
      </c>
      <c r="I478" s="432">
        <v>28</v>
      </c>
      <c r="J478" s="432">
        <v>485787</v>
      </c>
    </row>
    <row r="479" spans="1:10" ht="9" customHeight="1" x14ac:dyDescent="0.25">
      <c r="A479" s="475" t="s">
        <v>53</v>
      </c>
      <c r="B479" s="435">
        <f t="shared" si="18"/>
        <v>1072184</v>
      </c>
      <c r="C479" s="435">
        <v>325502</v>
      </c>
      <c r="D479" s="435">
        <v>122869</v>
      </c>
      <c r="E479" s="435">
        <v>28133</v>
      </c>
      <c r="F479" s="435">
        <v>221428</v>
      </c>
      <c r="G479" s="435">
        <v>72651</v>
      </c>
      <c r="H479" s="435">
        <v>5</v>
      </c>
      <c r="I479" s="435">
        <v>11</v>
      </c>
      <c r="J479" s="435">
        <v>301585</v>
      </c>
    </row>
    <row r="480" spans="1:10" s="423" customFormat="1" ht="9.6" customHeight="1" x14ac:dyDescent="0.15">
      <c r="A480" s="485"/>
    </row>
    <row r="481" spans="1:10" ht="9" customHeight="1" x14ac:dyDescent="0.25">
      <c r="A481" s="470">
        <v>2008</v>
      </c>
      <c r="B481" s="442"/>
      <c r="C481" s="442"/>
      <c r="D481" s="442"/>
      <c r="E481" s="442"/>
      <c r="F481" s="442"/>
      <c r="G481" s="442"/>
      <c r="H481" s="442"/>
      <c r="I481" s="442"/>
      <c r="J481" s="442"/>
    </row>
    <row r="482" spans="1:10" ht="9" customHeight="1" x14ac:dyDescent="0.15">
      <c r="A482" s="490" t="s">
        <v>263</v>
      </c>
      <c r="B482" s="442">
        <f t="shared" ref="B482:J482" si="19">SUM(B484:B515)</f>
        <v>113170585</v>
      </c>
      <c r="C482" s="442">
        <f>SUM(C484:C515)+68026</f>
        <v>22865675</v>
      </c>
      <c r="D482" s="442">
        <f>SUM(D484:D515)+4961</f>
        <v>8832184</v>
      </c>
      <c r="E482" s="442">
        <f>SUM(E484:E515)+1704</f>
        <v>2648238</v>
      </c>
      <c r="F482" s="442">
        <f>SUM(F484:F515)+22114</f>
        <v>23127111</v>
      </c>
      <c r="G482" s="442">
        <f>SUM(G484:G515)+9386</f>
        <v>15877222</v>
      </c>
      <c r="H482" s="442">
        <f t="shared" si="19"/>
        <v>39907</v>
      </c>
      <c r="I482" s="442">
        <f t="shared" si="19"/>
        <v>16878</v>
      </c>
      <c r="J482" s="442">
        <f t="shared" si="19"/>
        <v>39869561</v>
      </c>
    </row>
    <row r="483" spans="1:10" ht="3.95" customHeight="1" x14ac:dyDescent="0.25">
      <c r="A483" s="473"/>
      <c r="B483" s="430"/>
      <c r="C483" s="430"/>
      <c r="D483" s="430"/>
      <c r="E483" s="430"/>
      <c r="F483" s="430"/>
      <c r="G483" s="430"/>
      <c r="H483" s="430"/>
      <c r="I483" s="430"/>
      <c r="J483" s="430"/>
    </row>
    <row r="484" spans="1:10" ht="9" customHeight="1" x14ac:dyDescent="0.25">
      <c r="A484" s="428" t="s">
        <v>23</v>
      </c>
      <c r="B484" s="432">
        <f t="shared" ref="B484:B515" si="20">SUM(C484:J484)</f>
        <v>942913</v>
      </c>
      <c r="C484" s="432">
        <v>216020</v>
      </c>
      <c r="D484" s="432">
        <v>79829</v>
      </c>
      <c r="E484" s="432">
        <v>33491</v>
      </c>
      <c r="F484" s="432">
        <v>174553</v>
      </c>
      <c r="G484" s="432">
        <v>110646</v>
      </c>
      <c r="H484" s="432">
        <v>8</v>
      </c>
      <c r="I484" s="432">
        <v>3</v>
      </c>
      <c r="J484" s="432">
        <v>328363</v>
      </c>
    </row>
    <row r="485" spans="1:10" ht="9" customHeight="1" x14ac:dyDescent="0.25">
      <c r="A485" s="428" t="s">
        <v>24</v>
      </c>
      <c r="B485" s="432">
        <f t="shared" si="20"/>
        <v>2462002</v>
      </c>
      <c r="C485" s="432">
        <v>586405</v>
      </c>
      <c r="D485" s="432">
        <v>189579</v>
      </c>
      <c r="E485" s="432">
        <v>75991</v>
      </c>
      <c r="F485" s="432">
        <v>528103</v>
      </c>
      <c r="G485" s="432">
        <v>375437</v>
      </c>
      <c r="H485" s="432">
        <v>167</v>
      </c>
      <c r="I485" s="432">
        <v>70</v>
      </c>
      <c r="J485" s="432">
        <v>706250</v>
      </c>
    </row>
    <row r="486" spans="1:10" ht="9" customHeight="1" x14ac:dyDescent="0.25">
      <c r="A486" s="428" t="s">
        <v>25</v>
      </c>
      <c r="B486" s="432">
        <f t="shared" si="20"/>
        <v>637575</v>
      </c>
      <c r="C486" s="432">
        <v>103467</v>
      </c>
      <c r="D486" s="432">
        <v>42682</v>
      </c>
      <c r="E486" s="432">
        <v>35786</v>
      </c>
      <c r="F486" s="432">
        <v>120406</v>
      </c>
      <c r="G486" s="432">
        <v>101403</v>
      </c>
      <c r="H486" s="432">
        <v>16</v>
      </c>
      <c r="I486" s="432">
        <v>7</v>
      </c>
      <c r="J486" s="432">
        <v>233808</v>
      </c>
    </row>
    <row r="487" spans="1:10" ht="9" customHeight="1" x14ac:dyDescent="0.25">
      <c r="A487" s="475" t="s">
        <v>26</v>
      </c>
      <c r="B487" s="435">
        <f t="shared" si="20"/>
        <v>930236</v>
      </c>
      <c r="C487" s="435">
        <v>190909</v>
      </c>
      <c r="D487" s="435">
        <v>70047</v>
      </c>
      <c r="E487" s="435">
        <v>13334</v>
      </c>
      <c r="F487" s="435">
        <v>173587</v>
      </c>
      <c r="G487" s="435">
        <v>96617</v>
      </c>
      <c r="H487" s="435">
        <v>299</v>
      </c>
      <c r="I487" s="435">
        <v>830</v>
      </c>
      <c r="J487" s="435">
        <v>384613</v>
      </c>
    </row>
    <row r="488" spans="1:10" ht="9" customHeight="1" x14ac:dyDescent="0.25">
      <c r="A488" s="428" t="s">
        <v>27</v>
      </c>
      <c r="B488" s="432">
        <f t="shared" si="20"/>
        <v>2278886</v>
      </c>
      <c r="C488" s="432">
        <v>509966</v>
      </c>
      <c r="D488" s="432">
        <v>166311</v>
      </c>
      <c r="E488" s="432">
        <v>75602</v>
      </c>
      <c r="F488" s="432">
        <v>498443</v>
      </c>
      <c r="G488" s="432">
        <v>233955</v>
      </c>
      <c r="H488" s="432">
        <v>1078</v>
      </c>
      <c r="I488" s="432">
        <v>17</v>
      </c>
      <c r="J488" s="432">
        <v>793514</v>
      </c>
    </row>
    <row r="489" spans="1:10" ht="9" customHeight="1" x14ac:dyDescent="0.25">
      <c r="A489" s="428" t="s">
        <v>28</v>
      </c>
      <c r="B489" s="432">
        <f t="shared" si="20"/>
        <v>546741</v>
      </c>
      <c r="C489" s="432">
        <v>100322</v>
      </c>
      <c r="D489" s="432">
        <v>59574</v>
      </c>
      <c r="E489" s="432">
        <v>11041</v>
      </c>
      <c r="F489" s="432">
        <v>145817</v>
      </c>
      <c r="G489" s="432">
        <v>74816</v>
      </c>
      <c r="H489" s="432">
        <v>8</v>
      </c>
      <c r="I489" s="432">
        <v>134</v>
      </c>
      <c r="J489" s="432">
        <v>155029</v>
      </c>
    </row>
    <row r="490" spans="1:10" ht="9" customHeight="1" x14ac:dyDescent="0.25">
      <c r="A490" s="428" t="s">
        <v>29</v>
      </c>
      <c r="B490" s="432">
        <f t="shared" si="20"/>
        <v>6426513</v>
      </c>
      <c r="C490" s="432">
        <v>1240472</v>
      </c>
      <c r="D490" s="432">
        <v>610652</v>
      </c>
      <c r="E490" s="432">
        <v>139242</v>
      </c>
      <c r="F490" s="432">
        <v>1372030</v>
      </c>
      <c r="G490" s="432">
        <v>969281</v>
      </c>
      <c r="H490" s="432">
        <v>2756</v>
      </c>
      <c r="I490" s="432">
        <v>361</v>
      </c>
      <c r="J490" s="432">
        <v>2091719</v>
      </c>
    </row>
    <row r="491" spans="1:10" ht="9" customHeight="1" x14ac:dyDescent="0.25">
      <c r="A491" s="475" t="s">
        <v>30</v>
      </c>
      <c r="B491" s="435">
        <f t="shared" si="20"/>
        <v>3013324</v>
      </c>
      <c r="C491" s="435">
        <v>748509</v>
      </c>
      <c r="D491" s="435">
        <v>249035</v>
      </c>
      <c r="E491" s="435">
        <v>84684</v>
      </c>
      <c r="F491" s="435">
        <v>577946</v>
      </c>
      <c r="G491" s="435">
        <v>430713</v>
      </c>
      <c r="H491" s="435">
        <v>1242</v>
      </c>
      <c r="I491" s="435">
        <v>50</v>
      </c>
      <c r="J491" s="435">
        <v>921145</v>
      </c>
    </row>
    <row r="492" spans="1:10" ht="9" customHeight="1" x14ac:dyDescent="0.25">
      <c r="A492" s="428" t="s">
        <v>63</v>
      </c>
      <c r="B492" s="432">
        <f t="shared" si="20"/>
        <v>8770696</v>
      </c>
      <c r="C492" s="432">
        <v>1947587</v>
      </c>
      <c r="D492" s="432">
        <v>580061</v>
      </c>
      <c r="E492" s="432">
        <v>230182</v>
      </c>
      <c r="F492" s="432">
        <v>1923973</v>
      </c>
      <c r="G492" s="432">
        <v>801998</v>
      </c>
      <c r="H492" s="432">
        <v>1970</v>
      </c>
      <c r="I492" s="432">
        <v>1326</v>
      </c>
      <c r="J492" s="432">
        <v>3283599</v>
      </c>
    </row>
    <row r="493" spans="1:10" ht="9" customHeight="1" x14ac:dyDescent="0.25">
      <c r="A493" s="428" t="s">
        <v>31</v>
      </c>
      <c r="B493" s="432">
        <f t="shared" si="20"/>
        <v>1751729</v>
      </c>
      <c r="C493" s="432">
        <v>399629</v>
      </c>
      <c r="D493" s="432">
        <v>137166</v>
      </c>
      <c r="E493" s="432">
        <v>32855</v>
      </c>
      <c r="F493" s="432">
        <v>317963</v>
      </c>
      <c r="G493" s="432">
        <v>226339</v>
      </c>
      <c r="H493" s="432">
        <v>1107</v>
      </c>
      <c r="I493" s="432">
        <v>6</v>
      </c>
      <c r="J493" s="432">
        <v>636664</v>
      </c>
    </row>
    <row r="494" spans="1:10" ht="9" customHeight="1" x14ac:dyDescent="0.25">
      <c r="A494" s="428" t="s">
        <v>32</v>
      </c>
      <c r="B494" s="432">
        <f t="shared" si="20"/>
        <v>5193223</v>
      </c>
      <c r="C494" s="432">
        <v>1098177</v>
      </c>
      <c r="D494" s="432">
        <v>494594</v>
      </c>
      <c r="E494" s="432">
        <v>136807</v>
      </c>
      <c r="F494" s="432">
        <v>1090256</v>
      </c>
      <c r="G494" s="432">
        <v>609828</v>
      </c>
      <c r="H494" s="432">
        <v>123</v>
      </c>
      <c r="I494" s="432">
        <v>439</v>
      </c>
      <c r="J494" s="432">
        <v>1762999</v>
      </c>
    </row>
    <row r="495" spans="1:10" ht="9" customHeight="1" x14ac:dyDescent="0.25">
      <c r="A495" s="475" t="s">
        <v>33</v>
      </c>
      <c r="B495" s="435">
        <f t="shared" si="20"/>
        <v>3668046</v>
      </c>
      <c r="C495" s="435">
        <v>919720</v>
      </c>
      <c r="D495" s="435">
        <v>275347</v>
      </c>
      <c r="E495" s="435">
        <v>82894</v>
      </c>
      <c r="F495" s="435">
        <v>864748</v>
      </c>
      <c r="G495" s="435">
        <v>468357</v>
      </c>
      <c r="H495" s="435">
        <v>54</v>
      </c>
      <c r="I495" s="435">
        <v>627</v>
      </c>
      <c r="J495" s="435">
        <v>1056299</v>
      </c>
    </row>
    <row r="496" spans="1:10" ht="9" customHeight="1" x14ac:dyDescent="0.25">
      <c r="A496" s="428" t="s">
        <v>34</v>
      </c>
      <c r="B496" s="432">
        <f t="shared" si="20"/>
        <v>3042502</v>
      </c>
      <c r="C496" s="432">
        <v>531782</v>
      </c>
      <c r="D496" s="432">
        <v>236521</v>
      </c>
      <c r="E496" s="432">
        <v>53052</v>
      </c>
      <c r="F496" s="432">
        <v>600167</v>
      </c>
      <c r="G496" s="432">
        <v>272039</v>
      </c>
      <c r="H496" s="432">
        <v>1440</v>
      </c>
      <c r="I496" s="432">
        <v>537</v>
      </c>
      <c r="J496" s="432">
        <v>1346964</v>
      </c>
    </row>
    <row r="497" spans="1:10" ht="9" customHeight="1" x14ac:dyDescent="0.25">
      <c r="A497" s="428" t="s">
        <v>35</v>
      </c>
      <c r="B497" s="432">
        <f t="shared" si="20"/>
        <v>5464304</v>
      </c>
      <c r="C497" s="432">
        <v>1135344</v>
      </c>
      <c r="D497" s="432">
        <v>468661</v>
      </c>
      <c r="E497" s="432">
        <v>174980</v>
      </c>
      <c r="F497" s="432">
        <v>1233873</v>
      </c>
      <c r="G497" s="432">
        <v>849085</v>
      </c>
      <c r="H497" s="432">
        <v>27</v>
      </c>
      <c r="I497" s="432">
        <v>185</v>
      </c>
      <c r="J497" s="432">
        <v>1602149</v>
      </c>
    </row>
    <row r="498" spans="1:10" ht="9" customHeight="1" x14ac:dyDescent="0.25">
      <c r="A498" s="428" t="s">
        <v>36</v>
      </c>
      <c r="B498" s="432">
        <f t="shared" si="20"/>
        <v>16714037</v>
      </c>
      <c r="C498" s="432">
        <v>2700667</v>
      </c>
      <c r="D498" s="432">
        <v>1158504</v>
      </c>
      <c r="E498" s="432">
        <v>304897</v>
      </c>
      <c r="F498" s="432">
        <v>3056496</v>
      </c>
      <c r="G498" s="432">
        <v>3854614</v>
      </c>
      <c r="H498" s="432">
        <v>1091</v>
      </c>
      <c r="I498" s="432">
        <v>989</v>
      </c>
      <c r="J498" s="432">
        <v>5636779</v>
      </c>
    </row>
    <row r="499" spans="1:10" ht="9" customHeight="1" x14ac:dyDescent="0.25">
      <c r="A499" s="475" t="s">
        <v>37</v>
      </c>
      <c r="B499" s="435">
        <f t="shared" si="20"/>
        <v>4830026</v>
      </c>
      <c r="C499" s="435">
        <v>1019400</v>
      </c>
      <c r="D499" s="435">
        <v>364144</v>
      </c>
      <c r="E499" s="435">
        <v>103245</v>
      </c>
      <c r="F499" s="435">
        <v>806085</v>
      </c>
      <c r="G499" s="435">
        <v>793082</v>
      </c>
      <c r="H499" s="435">
        <v>2793</v>
      </c>
      <c r="I499" s="435">
        <v>308</v>
      </c>
      <c r="J499" s="435">
        <v>1740969</v>
      </c>
    </row>
    <row r="500" spans="1:10" ht="9" customHeight="1" x14ac:dyDescent="0.25">
      <c r="A500" s="428" t="s">
        <v>38</v>
      </c>
      <c r="B500" s="432">
        <f t="shared" si="20"/>
        <v>1691640</v>
      </c>
      <c r="C500" s="432">
        <v>344953</v>
      </c>
      <c r="D500" s="432">
        <v>166221</v>
      </c>
      <c r="E500" s="432">
        <v>35741</v>
      </c>
      <c r="F500" s="432">
        <v>301447</v>
      </c>
      <c r="G500" s="432">
        <v>169458</v>
      </c>
      <c r="H500" s="432">
        <v>184</v>
      </c>
      <c r="I500" s="432">
        <v>18</v>
      </c>
      <c r="J500" s="432">
        <v>673618</v>
      </c>
    </row>
    <row r="501" spans="1:10" ht="9" customHeight="1" x14ac:dyDescent="0.25">
      <c r="A501" s="428" t="s">
        <v>39</v>
      </c>
      <c r="B501" s="432">
        <f t="shared" si="20"/>
        <v>1174591</v>
      </c>
      <c r="C501" s="432">
        <v>228833</v>
      </c>
      <c r="D501" s="432">
        <v>94020</v>
      </c>
      <c r="E501" s="432">
        <v>23137</v>
      </c>
      <c r="F501" s="432">
        <v>253842</v>
      </c>
      <c r="G501" s="432">
        <v>178469</v>
      </c>
      <c r="H501" s="432">
        <v>787</v>
      </c>
      <c r="I501" s="432">
        <v>64</v>
      </c>
      <c r="J501" s="432">
        <v>395439</v>
      </c>
    </row>
    <row r="502" spans="1:10" ht="9" customHeight="1" x14ac:dyDescent="0.25">
      <c r="A502" s="428" t="s">
        <v>40</v>
      </c>
      <c r="B502" s="432">
        <f t="shared" si="20"/>
        <v>2873297</v>
      </c>
      <c r="C502" s="432">
        <v>737715</v>
      </c>
      <c r="D502" s="432">
        <v>218199</v>
      </c>
      <c r="E502" s="432">
        <v>94142</v>
      </c>
      <c r="F502" s="432">
        <v>664832</v>
      </c>
      <c r="G502" s="432">
        <v>313522</v>
      </c>
      <c r="H502" s="432">
        <v>207</v>
      </c>
      <c r="I502" s="432">
        <v>403</v>
      </c>
      <c r="J502" s="432">
        <v>844277</v>
      </c>
    </row>
    <row r="503" spans="1:10" ht="9" customHeight="1" x14ac:dyDescent="0.25">
      <c r="A503" s="475" t="s">
        <v>41</v>
      </c>
      <c r="B503" s="435">
        <f t="shared" si="20"/>
        <v>4947313</v>
      </c>
      <c r="C503" s="435">
        <v>1043553</v>
      </c>
      <c r="D503" s="435">
        <v>376481</v>
      </c>
      <c r="E503" s="435">
        <v>96321</v>
      </c>
      <c r="F503" s="435">
        <v>1045778</v>
      </c>
      <c r="G503" s="435">
        <v>722445</v>
      </c>
      <c r="H503" s="435">
        <v>6775</v>
      </c>
      <c r="I503" s="435">
        <v>1588</v>
      </c>
      <c r="J503" s="435">
        <v>1654372</v>
      </c>
    </row>
    <row r="504" spans="1:10" ht="9" customHeight="1" x14ac:dyDescent="0.25">
      <c r="A504" s="428" t="s">
        <v>42</v>
      </c>
      <c r="B504" s="432">
        <f t="shared" si="20"/>
        <v>6669941</v>
      </c>
      <c r="C504" s="432">
        <v>1325758</v>
      </c>
      <c r="D504" s="432">
        <v>532949</v>
      </c>
      <c r="E504" s="432">
        <v>136185</v>
      </c>
      <c r="F504" s="432">
        <v>1283058</v>
      </c>
      <c r="G504" s="432">
        <v>833005</v>
      </c>
      <c r="H504" s="432">
        <v>2894</v>
      </c>
      <c r="I504" s="432">
        <v>404</v>
      </c>
      <c r="J504" s="432">
        <v>2555688</v>
      </c>
    </row>
    <row r="505" spans="1:10" ht="9" customHeight="1" x14ac:dyDescent="0.25">
      <c r="A505" s="428" t="s">
        <v>43</v>
      </c>
      <c r="B505" s="432">
        <f t="shared" si="20"/>
        <v>1477700</v>
      </c>
      <c r="C505" s="432">
        <v>307838</v>
      </c>
      <c r="D505" s="432">
        <v>144461</v>
      </c>
      <c r="E505" s="432">
        <v>46656</v>
      </c>
      <c r="F505" s="432">
        <v>263866</v>
      </c>
      <c r="G505" s="432">
        <v>129955</v>
      </c>
      <c r="H505" s="432">
        <v>70</v>
      </c>
      <c r="I505" s="432">
        <v>0</v>
      </c>
      <c r="J505" s="432">
        <v>584854</v>
      </c>
    </row>
    <row r="506" spans="1:10" ht="9" customHeight="1" x14ac:dyDescent="0.25">
      <c r="A506" s="428" t="s">
        <v>44</v>
      </c>
      <c r="B506" s="432">
        <f t="shared" si="20"/>
        <v>1156980</v>
      </c>
      <c r="C506" s="432">
        <v>201635</v>
      </c>
      <c r="D506" s="432">
        <v>106377</v>
      </c>
      <c r="E506" s="432">
        <v>23523</v>
      </c>
      <c r="F506" s="432">
        <v>262771</v>
      </c>
      <c r="G506" s="432">
        <v>147739</v>
      </c>
      <c r="H506" s="432">
        <v>10</v>
      </c>
      <c r="I506" s="432">
        <v>172</v>
      </c>
      <c r="J506" s="432">
        <v>414753</v>
      </c>
    </row>
    <row r="507" spans="1:10" ht="9" customHeight="1" x14ac:dyDescent="0.25">
      <c r="A507" s="475" t="s">
        <v>45</v>
      </c>
      <c r="B507" s="435">
        <f t="shared" si="20"/>
        <v>3086518</v>
      </c>
      <c r="C507" s="435">
        <v>733736</v>
      </c>
      <c r="D507" s="435">
        <v>204552</v>
      </c>
      <c r="E507" s="435">
        <v>79405</v>
      </c>
      <c r="F507" s="435">
        <v>544614</v>
      </c>
      <c r="G507" s="435">
        <v>245586</v>
      </c>
      <c r="H507" s="435">
        <v>2762</v>
      </c>
      <c r="I507" s="435">
        <v>71</v>
      </c>
      <c r="J507" s="435">
        <v>1275792</v>
      </c>
    </row>
    <row r="508" spans="1:10" ht="9" customHeight="1" x14ac:dyDescent="0.25">
      <c r="A508" s="428" t="s">
        <v>46</v>
      </c>
      <c r="B508" s="432">
        <f t="shared" si="20"/>
        <v>2602316</v>
      </c>
      <c r="C508" s="432">
        <v>618318</v>
      </c>
      <c r="D508" s="432">
        <v>218630</v>
      </c>
      <c r="E508" s="432">
        <v>68300</v>
      </c>
      <c r="F508" s="432">
        <v>526061</v>
      </c>
      <c r="G508" s="432">
        <v>417995</v>
      </c>
      <c r="H508" s="432">
        <v>1059</v>
      </c>
      <c r="I508" s="432">
        <v>82</v>
      </c>
      <c r="J508" s="432">
        <v>751871</v>
      </c>
    </row>
    <row r="509" spans="1:10" ht="9" customHeight="1" x14ac:dyDescent="0.25">
      <c r="A509" s="428" t="s">
        <v>47</v>
      </c>
      <c r="B509" s="432">
        <f t="shared" si="20"/>
        <v>2435119</v>
      </c>
      <c r="C509" s="432">
        <v>464204</v>
      </c>
      <c r="D509" s="432">
        <v>186190</v>
      </c>
      <c r="E509" s="432">
        <v>70291</v>
      </c>
      <c r="F509" s="432">
        <v>554664</v>
      </c>
      <c r="G509" s="432">
        <v>440857</v>
      </c>
      <c r="H509" s="432">
        <v>107</v>
      </c>
      <c r="I509" s="432">
        <v>107</v>
      </c>
      <c r="J509" s="432">
        <v>718699</v>
      </c>
    </row>
    <row r="510" spans="1:10" ht="9" customHeight="1" x14ac:dyDescent="0.25">
      <c r="A510" s="428" t="s">
        <v>48</v>
      </c>
      <c r="B510" s="432">
        <f t="shared" si="20"/>
        <v>2685628</v>
      </c>
      <c r="C510" s="432">
        <v>587292</v>
      </c>
      <c r="D510" s="432">
        <v>273785</v>
      </c>
      <c r="E510" s="432">
        <v>60554</v>
      </c>
      <c r="F510" s="432">
        <v>576483</v>
      </c>
      <c r="G510" s="432">
        <v>284704</v>
      </c>
      <c r="H510" s="432">
        <v>149</v>
      </c>
      <c r="I510" s="432">
        <v>2122</v>
      </c>
      <c r="J510" s="432">
        <v>900539</v>
      </c>
    </row>
    <row r="511" spans="1:10" ht="9" customHeight="1" x14ac:dyDescent="0.25">
      <c r="A511" s="475" t="s">
        <v>49</v>
      </c>
      <c r="B511" s="435">
        <f t="shared" si="20"/>
        <v>3263228</v>
      </c>
      <c r="C511" s="435">
        <v>578059</v>
      </c>
      <c r="D511" s="435">
        <v>239133</v>
      </c>
      <c r="E511" s="435">
        <v>71420</v>
      </c>
      <c r="F511" s="435">
        <v>664159</v>
      </c>
      <c r="G511" s="435">
        <v>618843</v>
      </c>
      <c r="H511" s="435">
        <v>1130</v>
      </c>
      <c r="I511" s="435">
        <v>2459</v>
      </c>
      <c r="J511" s="435">
        <v>1088025</v>
      </c>
    </row>
    <row r="512" spans="1:10" ht="9" customHeight="1" x14ac:dyDescent="0.25">
      <c r="A512" s="428" t="s">
        <v>50</v>
      </c>
      <c r="B512" s="432">
        <f t="shared" si="20"/>
        <v>1068567</v>
      </c>
      <c r="C512" s="432">
        <v>220562</v>
      </c>
      <c r="D512" s="432">
        <v>96643</v>
      </c>
      <c r="E512" s="432">
        <v>26974</v>
      </c>
      <c r="F512" s="432">
        <v>203443</v>
      </c>
      <c r="G512" s="432">
        <v>97139</v>
      </c>
      <c r="H512" s="432">
        <v>74</v>
      </c>
      <c r="I512" s="432">
        <v>20</v>
      </c>
      <c r="J512" s="432">
        <v>423712</v>
      </c>
    </row>
    <row r="513" spans="1:10" ht="9" customHeight="1" x14ac:dyDescent="0.25">
      <c r="A513" s="428" t="s">
        <v>51</v>
      </c>
      <c r="B513" s="432">
        <f t="shared" si="20"/>
        <v>7792902</v>
      </c>
      <c r="C513" s="432">
        <v>1232683</v>
      </c>
      <c r="D513" s="432">
        <v>523410</v>
      </c>
      <c r="E513" s="432">
        <v>158543</v>
      </c>
      <c r="F513" s="432">
        <v>1885894</v>
      </c>
      <c r="G513" s="432">
        <v>698305</v>
      </c>
      <c r="H513" s="432">
        <v>4461</v>
      </c>
      <c r="I513" s="432">
        <v>3478</v>
      </c>
      <c r="J513" s="432">
        <v>3286128</v>
      </c>
    </row>
    <row r="514" spans="1:10" ht="9" customHeight="1" x14ac:dyDescent="0.25">
      <c r="A514" s="428" t="s">
        <v>52</v>
      </c>
      <c r="B514" s="432">
        <f t="shared" si="20"/>
        <v>1789217</v>
      </c>
      <c r="C514" s="432">
        <v>376149</v>
      </c>
      <c r="D514" s="432">
        <v>120461</v>
      </c>
      <c r="E514" s="432">
        <v>28917</v>
      </c>
      <c r="F514" s="432">
        <v>314030</v>
      </c>
      <c r="G514" s="432">
        <v>169568</v>
      </c>
      <c r="H514" s="432">
        <v>3938</v>
      </c>
      <c r="I514" s="432">
        <v>1</v>
      </c>
      <c r="J514" s="432">
        <v>776153</v>
      </c>
    </row>
    <row r="515" spans="1:10" ht="9" customHeight="1" x14ac:dyDescent="0.25">
      <c r="A515" s="475" t="s">
        <v>53</v>
      </c>
      <c r="B515" s="435">
        <f t="shared" si="20"/>
        <v>1782875</v>
      </c>
      <c r="C515" s="435">
        <v>347985</v>
      </c>
      <c r="D515" s="435">
        <v>143004</v>
      </c>
      <c r="E515" s="435">
        <v>38342</v>
      </c>
      <c r="F515" s="435">
        <v>275609</v>
      </c>
      <c r="G515" s="435">
        <v>132036</v>
      </c>
      <c r="H515" s="435">
        <v>1121</v>
      </c>
      <c r="I515" s="435">
        <v>0</v>
      </c>
      <c r="J515" s="435">
        <v>844778</v>
      </c>
    </row>
    <row r="516" spans="1:10" s="423" customFormat="1" ht="9.6" customHeight="1" x14ac:dyDescent="0.15">
      <c r="A516" s="485"/>
    </row>
    <row r="517" spans="1:10" ht="9" customHeight="1" x14ac:dyDescent="0.25">
      <c r="A517" s="470">
        <v>2009</v>
      </c>
      <c r="B517" s="442"/>
      <c r="C517" s="442"/>
      <c r="D517" s="442"/>
      <c r="E517" s="442"/>
      <c r="F517" s="442"/>
      <c r="G517" s="442"/>
      <c r="H517" s="442"/>
      <c r="I517" s="442"/>
      <c r="J517" s="442"/>
    </row>
    <row r="518" spans="1:10" ht="9" customHeight="1" x14ac:dyDescent="0.15">
      <c r="A518" s="490" t="s">
        <v>371</v>
      </c>
      <c r="B518" s="442">
        <f>SUM(B520:B551)+40123</f>
        <v>104949097</v>
      </c>
      <c r="C518" s="442">
        <f>SUM(C520:C551)+2244</f>
        <v>20125383</v>
      </c>
      <c r="D518" s="442">
        <f>SUM(D520:D551)+10982</f>
        <v>10543333</v>
      </c>
      <c r="E518" s="442">
        <f>SUM(E520:E551)+2482</f>
        <v>2649049</v>
      </c>
      <c r="F518" s="442">
        <f>SUM(F520:F551)+18161</f>
        <v>20506501</v>
      </c>
      <c r="G518" s="442">
        <f>SUM(G520:G551)+5289</f>
        <v>7860936</v>
      </c>
      <c r="H518" s="442">
        <f>SUM(H520:H551)+50</f>
        <v>6309</v>
      </c>
      <c r="I518" s="442">
        <f>SUM(I520:I551)+1037</f>
        <v>10571</v>
      </c>
      <c r="J518" s="442">
        <f>SUM(J520:J551)</f>
        <v>43247137</v>
      </c>
    </row>
    <row r="519" spans="1:10" ht="3.95" customHeight="1" x14ac:dyDescent="0.25">
      <c r="A519" s="473"/>
      <c r="B519" s="430"/>
      <c r="C519" s="430"/>
      <c r="D519" s="430"/>
      <c r="E519" s="430"/>
      <c r="F519" s="430"/>
      <c r="G519" s="430"/>
      <c r="H519" s="430"/>
      <c r="I519" s="430"/>
      <c r="J519" s="430"/>
    </row>
    <row r="520" spans="1:10" ht="9" customHeight="1" x14ac:dyDescent="0.25">
      <c r="A520" s="428" t="s">
        <v>23</v>
      </c>
      <c r="B520" s="432">
        <f t="shared" ref="B520:B551" si="21">SUM(C520:J520)</f>
        <v>1250886</v>
      </c>
      <c r="C520" s="432">
        <v>260126</v>
      </c>
      <c r="D520" s="432">
        <v>115392</v>
      </c>
      <c r="E520" s="432">
        <v>25033</v>
      </c>
      <c r="F520" s="495">
        <v>212439</v>
      </c>
      <c r="G520" s="432">
        <v>107905</v>
      </c>
      <c r="H520" s="432">
        <v>17</v>
      </c>
      <c r="I520" s="495">
        <v>101</v>
      </c>
      <c r="J520" s="432">
        <v>529873</v>
      </c>
    </row>
    <row r="521" spans="1:10" ht="9" customHeight="1" x14ac:dyDescent="0.25">
      <c r="A521" s="428" t="s">
        <v>24</v>
      </c>
      <c r="B521" s="432">
        <f t="shared" si="21"/>
        <v>2185775</v>
      </c>
      <c r="C521" s="432">
        <v>566100</v>
      </c>
      <c r="D521" s="432">
        <v>211499</v>
      </c>
      <c r="E521" s="495">
        <v>66694</v>
      </c>
      <c r="F521" s="432">
        <v>526716</v>
      </c>
      <c r="G521" s="432">
        <v>157779</v>
      </c>
      <c r="H521" s="495">
        <v>83</v>
      </c>
      <c r="I521" s="432">
        <v>16</v>
      </c>
      <c r="J521" s="432">
        <v>656888</v>
      </c>
    </row>
    <row r="522" spans="1:10" ht="9" customHeight="1" x14ac:dyDescent="0.25">
      <c r="A522" s="428" t="s">
        <v>25</v>
      </c>
      <c r="B522" s="432">
        <f t="shared" si="21"/>
        <v>618773</v>
      </c>
      <c r="C522" s="432">
        <v>113929</v>
      </c>
      <c r="D522" s="495">
        <v>52687</v>
      </c>
      <c r="E522" s="432">
        <v>29789</v>
      </c>
      <c r="F522" s="432">
        <v>114779</v>
      </c>
      <c r="G522" s="432">
        <v>47631</v>
      </c>
      <c r="H522" s="432">
        <v>3</v>
      </c>
      <c r="I522" s="432">
        <v>1</v>
      </c>
      <c r="J522" s="432">
        <v>259954</v>
      </c>
    </row>
    <row r="523" spans="1:10" ht="9" customHeight="1" x14ac:dyDescent="0.25">
      <c r="A523" s="475" t="s">
        <v>26</v>
      </c>
      <c r="B523" s="435">
        <f t="shared" si="21"/>
        <v>813848</v>
      </c>
      <c r="C523" s="435">
        <v>151922</v>
      </c>
      <c r="D523" s="435">
        <v>86449</v>
      </c>
      <c r="E523" s="435">
        <v>18095</v>
      </c>
      <c r="F523" s="435">
        <v>151518</v>
      </c>
      <c r="G523" s="435">
        <v>62760</v>
      </c>
      <c r="H523" s="435">
        <v>95</v>
      </c>
      <c r="I523" s="435">
        <v>264</v>
      </c>
      <c r="J523" s="435">
        <v>342745</v>
      </c>
    </row>
    <row r="524" spans="1:10" ht="9" customHeight="1" x14ac:dyDescent="0.25">
      <c r="A524" s="428" t="s">
        <v>27</v>
      </c>
      <c r="B524" s="432">
        <f t="shared" si="21"/>
        <v>2512386</v>
      </c>
      <c r="C524" s="432">
        <v>470123</v>
      </c>
      <c r="D524" s="432">
        <v>213807</v>
      </c>
      <c r="E524" s="432">
        <v>70055</v>
      </c>
      <c r="F524" s="495">
        <v>515260</v>
      </c>
      <c r="G524" s="432">
        <v>155861</v>
      </c>
      <c r="H524" s="432">
        <v>33</v>
      </c>
      <c r="I524" s="432">
        <v>109</v>
      </c>
      <c r="J524" s="495">
        <v>1087138</v>
      </c>
    </row>
    <row r="525" spans="1:10" ht="9" customHeight="1" x14ac:dyDescent="0.25">
      <c r="A525" s="428" t="s">
        <v>28</v>
      </c>
      <c r="B525" s="432">
        <f t="shared" si="21"/>
        <v>643624</v>
      </c>
      <c r="C525" s="432">
        <v>118001</v>
      </c>
      <c r="D525" s="432">
        <v>57482</v>
      </c>
      <c r="E525" s="495">
        <v>11433</v>
      </c>
      <c r="F525" s="432">
        <v>149009</v>
      </c>
      <c r="G525" s="432">
        <v>39404</v>
      </c>
      <c r="H525" s="432">
        <v>2</v>
      </c>
      <c r="I525" s="495">
        <v>93</v>
      </c>
      <c r="J525" s="432">
        <v>268200</v>
      </c>
    </row>
    <row r="526" spans="1:10" ht="9" customHeight="1" x14ac:dyDescent="0.25">
      <c r="A526" s="428" t="s">
        <v>29</v>
      </c>
      <c r="B526" s="432">
        <f t="shared" si="21"/>
        <v>5209697</v>
      </c>
      <c r="C526" s="432">
        <v>1029817</v>
      </c>
      <c r="D526" s="495">
        <v>674160</v>
      </c>
      <c r="E526" s="432">
        <v>169011</v>
      </c>
      <c r="F526" s="432">
        <v>1088492</v>
      </c>
      <c r="G526" s="432">
        <v>438154</v>
      </c>
      <c r="H526" s="495">
        <v>97</v>
      </c>
      <c r="I526" s="432">
        <v>125</v>
      </c>
      <c r="J526" s="432">
        <v>1809841</v>
      </c>
    </row>
    <row r="527" spans="1:10" ht="9" customHeight="1" x14ac:dyDescent="0.25">
      <c r="A527" s="475" t="s">
        <v>30</v>
      </c>
      <c r="B527" s="435">
        <f t="shared" si="21"/>
        <v>2775322</v>
      </c>
      <c r="C527" s="435">
        <v>597912</v>
      </c>
      <c r="D527" s="435">
        <v>315970</v>
      </c>
      <c r="E527" s="435">
        <v>82615</v>
      </c>
      <c r="F527" s="435">
        <v>446951</v>
      </c>
      <c r="G527" s="435">
        <v>240714</v>
      </c>
      <c r="H527" s="435">
        <v>55</v>
      </c>
      <c r="I527" s="435">
        <v>16</v>
      </c>
      <c r="J527" s="435">
        <v>1091089</v>
      </c>
    </row>
    <row r="528" spans="1:10" ht="9" customHeight="1" x14ac:dyDescent="0.25">
      <c r="A528" s="428" t="s">
        <v>63</v>
      </c>
      <c r="B528" s="432">
        <f t="shared" si="21"/>
        <v>8868171</v>
      </c>
      <c r="C528" s="432">
        <v>1414407</v>
      </c>
      <c r="D528" s="432">
        <v>698214</v>
      </c>
      <c r="E528" s="432">
        <v>181705</v>
      </c>
      <c r="F528" s="495">
        <v>2168146</v>
      </c>
      <c r="G528" s="432">
        <v>497555</v>
      </c>
      <c r="H528" s="432">
        <v>1992</v>
      </c>
      <c r="I528" s="432">
        <v>400</v>
      </c>
      <c r="J528" s="495">
        <v>3905752</v>
      </c>
    </row>
    <row r="529" spans="1:10" ht="9" customHeight="1" x14ac:dyDescent="0.25">
      <c r="A529" s="428" t="s">
        <v>31</v>
      </c>
      <c r="B529" s="432">
        <f t="shared" si="21"/>
        <v>1832083</v>
      </c>
      <c r="C529" s="432">
        <v>362126</v>
      </c>
      <c r="D529" s="432">
        <v>168159</v>
      </c>
      <c r="E529" s="495">
        <v>41855</v>
      </c>
      <c r="F529" s="432">
        <v>328911</v>
      </c>
      <c r="G529" s="432">
        <v>127795</v>
      </c>
      <c r="H529" s="432">
        <v>10</v>
      </c>
      <c r="I529" s="495">
        <v>6</v>
      </c>
      <c r="J529" s="432">
        <v>803221</v>
      </c>
    </row>
    <row r="530" spans="1:10" ht="9" customHeight="1" x14ac:dyDescent="0.25">
      <c r="A530" s="428" t="s">
        <v>32</v>
      </c>
      <c r="B530" s="432">
        <f t="shared" si="21"/>
        <v>5032097</v>
      </c>
      <c r="C530" s="432">
        <v>1057400</v>
      </c>
      <c r="D530" s="495">
        <v>560741</v>
      </c>
      <c r="E530" s="432">
        <v>196240</v>
      </c>
      <c r="F530" s="432">
        <v>933239</v>
      </c>
      <c r="G530" s="432">
        <v>381606</v>
      </c>
      <c r="H530" s="495">
        <v>99</v>
      </c>
      <c r="I530" s="432">
        <v>425</v>
      </c>
      <c r="J530" s="432">
        <v>1902347</v>
      </c>
    </row>
    <row r="531" spans="1:10" ht="9" customHeight="1" x14ac:dyDescent="0.25">
      <c r="A531" s="475" t="s">
        <v>33</v>
      </c>
      <c r="B531" s="435">
        <f t="shared" si="21"/>
        <v>4072364</v>
      </c>
      <c r="C531" s="435">
        <v>837825</v>
      </c>
      <c r="D531" s="435">
        <v>373001</v>
      </c>
      <c r="E531" s="435">
        <v>91455</v>
      </c>
      <c r="F531" s="435">
        <v>804526</v>
      </c>
      <c r="G531" s="435">
        <v>309934</v>
      </c>
      <c r="H531" s="435">
        <v>106</v>
      </c>
      <c r="I531" s="435">
        <v>396</v>
      </c>
      <c r="J531" s="435">
        <v>1655121</v>
      </c>
    </row>
    <row r="532" spans="1:10" ht="9" customHeight="1" x14ac:dyDescent="0.25">
      <c r="A532" s="428" t="s">
        <v>34</v>
      </c>
      <c r="B532" s="432">
        <f t="shared" si="21"/>
        <v>2377116</v>
      </c>
      <c r="C532" s="432">
        <v>456447</v>
      </c>
      <c r="D532" s="432">
        <v>277440</v>
      </c>
      <c r="E532" s="432">
        <v>58055</v>
      </c>
      <c r="F532" s="495">
        <v>498685</v>
      </c>
      <c r="G532" s="432">
        <v>168436</v>
      </c>
      <c r="H532" s="432">
        <v>207</v>
      </c>
      <c r="I532" s="432">
        <v>228</v>
      </c>
      <c r="J532" s="495">
        <v>917618</v>
      </c>
    </row>
    <row r="533" spans="1:10" ht="9" customHeight="1" x14ac:dyDescent="0.25">
      <c r="A533" s="428" t="s">
        <v>35</v>
      </c>
      <c r="B533" s="432">
        <f t="shared" si="21"/>
        <v>5471510</v>
      </c>
      <c r="C533" s="432">
        <v>1182876</v>
      </c>
      <c r="D533" s="432">
        <v>589617</v>
      </c>
      <c r="E533" s="495">
        <v>185845</v>
      </c>
      <c r="F533" s="495">
        <v>718535</v>
      </c>
      <c r="G533" s="495">
        <v>537908</v>
      </c>
      <c r="H533" s="495">
        <v>26</v>
      </c>
      <c r="I533" s="495">
        <v>1654</v>
      </c>
      <c r="J533" s="495">
        <v>2255049</v>
      </c>
    </row>
    <row r="534" spans="1:10" ht="9" customHeight="1" x14ac:dyDescent="0.25">
      <c r="A534" s="428" t="s">
        <v>36</v>
      </c>
      <c r="B534" s="432">
        <f t="shared" si="21"/>
        <v>15201694</v>
      </c>
      <c r="C534" s="432">
        <v>2608208</v>
      </c>
      <c r="D534" s="495">
        <v>1401804</v>
      </c>
      <c r="E534" s="495">
        <v>324960</v>
      </c>
      <c r="F534" s="495">
        <v>3136388</v>
      </c>
      <c r="G534" s="495">
        <v>1192692</v>
      </c>
      <c r="H534" s="495">
        <v>933</v>
      </c>
      <c r="I534" s="495">
        <v>291</v>
      </c>
      <c r="J534" s="495">
        <v>6536418</v>
      </c>
    </row>
    <row r="535" spans="1:10" ht="9" customHeight="1" x14ac:dyDescent="0.25">
      <c r="A535" s="475" t="s">
        <v>37</v>
      </c>
      <c r="B535" s="435">
        <f t="shared" si="21"/>
        <v>3844073</v>
      </c>
      <c r="C535" s="435">
        <v>821435</v>
      </c>
      <c r="D535" s="435">
        <v>456496</v>
      </c>
      <c r="E535" s="435">
        <v>106278</v>
      </c>
      <c r="F535" s="435">
        <v>679121</v>
      </c>
      <c r="G535" s="435">
        <v>300650</v>
      </c>
      <c r="H535" s="435">
        <v>159</v>
      </c>
      <c r="I535" s="435">
        <v>7</v>
      </c>
      <c r="J535" s="435">
        <v>1479927</v>
      </c>
    </row>
    <row r="536" spans="1:10" ht="9" customHeight="1" x14ac:dyDescent="0.25">
      <c r="A536" s="428" t="s">
        <v>38</v>
      </c>
      <c r="B536" s="432">
        <f t="shared" si="21"/>
        <v>1436617</v>
      </c>
      <c r="C536" s="432">
        <v>277822</v>
      </c>
      <c r="D536" s="432">
        <v>152769</v>
      </c>
      <c r="E536" s="432">
        <v>34925</v>
      </c>
      <c r="F536" s="495">
        <v>311616</v>
      </c>
      <c r="G536" s="432">
        <v>132308</v>
      </c>
      <c r="H536" s="432">
        <v>171</v>
      </c>
      <c r="I536" s="432">
        <v>7</v>
      </c>
      <c r="J536" s="495">
        <v>526999</v>
      </c>
    </row>
    <row r="537" spans="1:10" ht="9" customHeight="1" x14ac:dyDescent="0.25">
      <c r="A537" s="428" t="s">
        <v>39</v>
      </c>
      <c r="B537" s="432">
        <f t="shared" si="21"/>
        <v>1068276</v>
      </c>
      <c r="C537" s="432">
        <v>190885</v>
      </c>
      <c r="D537" s="432">
        <v>114804</v>
      </c>
      <c r="E537" s="495">
        <v>22008</v>
      </c>
      <c r="F537" s="495">
        <v>230874</v>
      </c>
      <c r="G537" s="495">
        <v>83582</v>
      </c>
      <c r="H537" s="495">
        <v>16</v>
      </c>
      <c r="I537" s="495">
        <v>33</v>
      </c>
      <c r="J537" s="495">
        <v>426074</v>
      </c>
    </row>
    <row r="538" spans="1:10" ht="9" customHeight="1" x14ac:dyDescent="0.25">
      <c r="A538" s="428" t="s">
        <v>40</v>
      </c>
      <c r="B538" s="432">
        <f t="shared" si="21"/>
        <v>3502393</v>
      </c>
      <c r="C538" s="432">
        <v>815695</v>
      </c>
      <c r="D538" s="495">
        <v>326344</v>
      </c>
      <c r="E538" s="495">
        <v>64205</v>
      </c>
      <c r="F538" s="495">
        <v>580656</v>
      </c>
      <c r="G538" s="495">
        <v>210196</v>
      </c>
      <c r="H538" s="495">
        <v>198</v>
      </c>
      <c r="I538" s="495">
        <v>149</v>
      </c>
      <c r="J538" s="495">
        <v>1504950</v>
      </c>
    </row>
    <row r="539" spans="1:10" ht="9" customHeight="1" x14ac:dyDescent="0.25">
      <c r="A539" s="475" t="s">
        <v>41</v>
      </c>
      <c r="B539" s="435">
        <f t="shared" si="21"/>
        <v>3467995</v>
      </c>
      <c r="C539" s="435">
        <v>689321</v>
      </c>
      <c r="D539" s="435">
        <v>385555</v>
      </c>
      <c r="E539" s="435">
        <v>88560</v>
      </c>
      <c r="F539" s="435">
        <v>618490</v>
      </c>
      <c r="G539" s="435">
        <v>234696</v>
      </c>
      <c r="H539" s="435">
        <v>248</v>
      </c>
      <c r="I539" s="435">
        <v>513</v>
      </c>
      <c r="J539" s="435">
        <v>1450612</v>
      </c>
    </row>
    <row r="540" spans="1:10" ht="9" customHeight="1" x14ac:dyDescent="0.25">
      <c r="A540" s="428" t="s">
        <v>42</v>
      </c>
      <c r="B540" s="432">
        <f t="shared" si="21"/>
        <v>5959687</v>
      </c>
      <c r="C540" s="432">
        <v>1165227</v>
      </c>
      <c r="D540" s="432">
        <v>722588</v>
      </c>
      <c r="E540" s="432">
        <v>145078</v>
      </c>
      <c r="F540" s="495">
        <v>1111582</v>
      </c>
      <c r="G540" s="495">
        <v>499886</v>
      </c>
      <c r="H540" s="495">
        <v>304</v>
      </c>
      <c r="I540" s="495">
        <v>250</v>
      </c>
      <c r="J540" s="495">
        <v>2314772</v>
      </c>
    </row>
    <row r="541" spans="1:10" ht="9" customHeight="1" x14ac:dyDescent="0.25">
      <c r="A541" s="428" t="s">
        <v>43</v>
      </c>
      <c r="B541" s="432">
        <f t="shared" si="21"/>
        <v>1388322</v>
      </c>
      <c r="C541" s="432">
        <v>304010</v>
      </c>
      <c r="D541" s="432">
        <v>154462</v>
      </c>
      <c r="E541" s="495">
        <v>40802</v>
      </c>
      <c r="F541" s="432">
        <v>210399</v>
      </c>
      <c r="G541" s="432">
        <v>102048</v>
      </c>
      <c r="H541" s="432">
        <v>46</v>
      </c>
      <c r="I541" s="432">
        <v>4</v>
      </c>
      <c r="J541" s="432">
        <v>576551</v>
      </c>
    </row>
    <row r="542" spans="1:10" ht="9" customHeight="1" x14ac:dyDescent="0.25">
      <c r="A542" s="428" t="s">
        <v>44</v>
      </c>
      <c r="B542" s="432">
        <f t="shared" si="21"/>
        <v>1135949</v>
      </c>
      <c r="C542" s="432">
        <v>202011</v>
      </c>
      <c r="D542" s="495">
        <v>112641</v>
      </c>
      <c r="E542" s="432">
        <v>26271</v>
      </c>
      <c r="F542" s="432">
        <v>217523</v>
      </c>
      <c r="G542" s="432">
        <v>86179</v>
      </c>
      <c r="H542" s="432">
        <v>38</v>
      </c>
      <c r="I542" s="432">
        <v>96</v>
      </c>
      <c r="J542" s="432">
        <v>491190</v>
      </c>
    </row>
    <row r="543" spans="1:10" ht="9" customHeight="1" x14ac:dyDescent="0.25">
      <c r="A543" s="475" t="s">
        <v>45</v>
      </c>
      <c r="B543" s="435">
        <f t="shared" si="21"/>
        <v>2878915</v>
      </c>
      <c r="C543" s="435">
        <v>499109</v>
      </c>
      <c r="D543" s="435">
        <v>249579</v>
      </c>
      <c r="E543" s="435">
        <v>74169</v>
      </c>
      <c r="F543" s="435">
        <v>423041</v>
      </c>
      <c r="G543" s="435">
        <v>191539</v>
      </c>
      <c r="H543" s="435">
        <v>93</v>
      </c>
      <c r="I543" s="435">
        <v>380</v>
      </c>
      <c r="J543" s="435">
        <v>1441005</v>
      </c>
    </row>
    <row r="544" spans="1:10" ht="9" customHeight="1" x14ac:dyDescent="0.25">
      <c r="A544" s="428" t="s">
        <v>46</v>
      </c>
      <c r="B544" s="432">
        <f t="shared" si="21"/>
        <v>2857545</v>
      </c>
      <c r="C544" s="432">
        <v>559146</v>
      </c>
      <c r="D544" s="432">
        <v>246661</v>
      </c>
      <c r="E544" s="432">
        <v>60959</v>
      </c>
      <c r="F544" s="495">
        <v>501114</v>
      </c>
      <c r="G544" s="432">
        <v>167419</v>
      </c>
      <c r="H544" s="432">
        <v>0</v>
      </c>
      <c r="I544" s="432">
        <v>31</v>
      </c>
      <c r="J544" s="495">
        <v>1322215</v>
      </c>
    </row>
    <row r="545" spans="1:15" ht="9" customHeight="1" x14ac:dyDescent="0.25">
      <c r="A545" s="428" t="s">
        <v>47</v>
      </c>
      <c r="B545" s="432">
        <f t="shared" si="21"/>
        <v>2170875</v>
      </c>
      <c r="C545" s="432">
        <v>479779</v>
      </c>
      <c r="D545" s="432">
        <v>210613</v>
      </c>
      <c r="E545" s="432">
        <v>60857</v>
      </c>
      <c r="F545" s="432">
        <v>373648</v>
      </c>
      <c r="G545" s="432">
        <v>162412</v>
      </c>
      <c r="H545" s="432">
        <v>58</v>
      </c>
      <c r="I545" s="432">
        <v>30</v>
      </c>
      <c r="J545" s="432">
        <v>883478</v>
      </c>
    </row>
    <row r="546" spans="1:15" ht="9" customHeight="1" x14ac:dyDescent="0.25">
      <c r="A546" s="428" t="s">
        <v>48</v>
      </c>
      <c r="B546" s="432">
        <f t="shared" si="21"/>
        <v>2362364</v>
      </c>
      <c r="C546" s="432">
        <v>445176</v>
      </c>
      <c r="D546" s="432">
        <v>262130</v>
      </c>
      <c r="E546" s="432">
        <v>57525</v>
      </c>
      <c r="F546" s="432">
        <v>565983</v>
      </c>
      <c r="G546" s="432">
        <v>192008</v>
      </c>
      <c r="H546" s="432">
        <v>292</v>
      </c>
      <c r="I546" s="432">
        <v>2362</v>
      </c>
      <c r="J546" s="432">
        <v>836888</v>
      </c>
    </row>
    <row r="547" spans="1:15" ht="9" customHeight="1" x14ac:dyDescent="0.25">
      <c r="A547" s="475" t="s">
        <v>49</v>
      </c>
      <c r="B547" s="435">
        <f t="shared" si="21"/>
        <v>2958530</v>
      </c>
      <c r="C547" s="435">
        <v>572731</v>
      </c>
      <c r="D547" s="435">
        <v>288116</v>
      </c>
      <c r="E547" s="435">
        <v>57327</v>
      </c>
      <c r="F547" s="435">
        <v>618358</v>
      </c>
      <c r="G547" s="435">
        <v>240201</v>
      </c>
      <c r="H547" s="435">
        <v>157</v>
      </c>
      <c r="I547" s="435">
        <v>664</v>
      </c>
      <c r="J547" s="435">
        <v>1180976</v>
      </c>
    </row>
    <row r="548" spans="1:15" ht="9" customHeight="1" x14ac:dyDescent="0.25">
      <c r="A548" s="428" t="s">
        <v>50</v>
      </c>
      <c r="B548" s="432">
        <f t="shared" si="21"/>
        <v>1053832</v>
      </c>
      <c r="C548" s="432">
        <v>224921</v>
      </c>
      <c r="D548" s="432">
        <v>107099</v>
      </c>
      <c r="E548" s="432">
        <v>25669</v>
      </c>
      <c r="F548" s="432">
        <v>198051</v>
      </c>
      <c r="G548" s="432">
        <v>87913</v>
      </c>
      <c r="H548" s="432">
        <v>68</v>
      </c>
      <c r="I548" s="432">
        <v>34</v>
      </c>
      <c r="J548" s="432">
        <v>410077</v>
      </c>
    </row>
    <row r="549" spans="1:15" ht="9" customHeight="1" x14ac:dyDescent="0.25">
      <c r="A549" s="428" t="s">
        <v>51</v>
      </c>
      <c r="B549" s="432">
        <f t="shared" si="21"/>
        <v>6577656</v>
      </c>
      <c r="C549" s="432">
        <v>1044516</v>
      </c>
      <c r="D549" s="432">
        <v>613267</v>
      </c>
      <c r="E549" s="432">
        <v>157754</v>
      </c>
      <c r="F549" s="432">
        <v>1534326</v>
      </c>
      <c r="G549" s="432">
        <v>484534</v>
      </c>
      <c r="H549" s="432">
        <v>564</v>
      </c>
      <c r="I549" s="432">
        <v>842</v>
      </c>
      <c r="J549" s="432">
        <v>2741853</v>
      </c>
    </row>
    <row r="550" spans="1:15" ht="9" customHeight="1" x14ac:dyDescent="0.25">
      <c r="A550" s="428" t="s">
        <v>52</v>
      </c>
      <c r="B550" s="432">
        <f t="shared" si="21"/>
        <v>1852162</v>
      </c>
      <c r="C550" s="432">
        <v>320738</v>
      </c>
      <c r="D550" s="432">
        <v>151362</v>
      </c>
      <c r="E550" s="432">
        <v>29634</v>
      </c>
      <c r="F550" s="432">
        <v>288081</v>
      </c>
      <c r="G550" s="432">
        <v>119082</v>
      </c>
      <c r="H550" s="432">
        <v>89</v>
      </c>
      <c r="I550" s="432">
        <v>2</v>
      </c>
      <c r="J550" s="432">
        <v>943174</v>
      </c>
    </row>
    <row r="551" spans="1:15" ht="9" customHeight="1" x14ac:dyDescent="0.25">
      <c r="A551" s="475" t="s">
        <v>53</v>
      </c>
      <c r="B551" s="435">
        <f t="shared" si="21"/>
        <v>1528437</v>
      </c>
      <c r="C551" s="435">
        <v>283398</v>
      </c>
      <c r="D551" s="435">
        <v>181443</v>
      </c>
      <c r="E551" s="435">
        <v>41706</v>
      </c>
      <c r="F551" s="435">
        <v>231883</v>
      </c>
      <c r="G551" s="435">
        <v>94860</v>
      </c>
      <c r="H551" s="435">
        <v>0</v>
      </c>
      <c r="I551" s="435">
        <v>5</v>
      </c>
      <c r="J551" s="435">
        <v>695142</v>
      </c>
    </row>
    <row r="552" spans="1:15" s="423" customFormat="1" ht="9.6" customHeight="1" x14ac:dyDescent="0.15">
      <c r="A552" s="485"/>
    </row>
    <row r="553" spans="1:15" ht="9" customHeight="1" x14ac:dyDescent="0.25">
      <c r="A553" s="470">
        <v>2010</v>
      </c>
      <c r="B553" s="442"/>
      <c r="C553" s="442"/>
      <c r="D553" s="442"/>
      <c r="E553" s="442"/>
      <c r="F553" s="442"/>
      <c r="G553" s="442"/>
      <c r="H553" s="442"/>
      <c r="I553" s="442"/>
      <c r="J553" s="442"/>
    </row>
    <row r="554" spans="1:15" ht="9" customHeight="1" x14ac:dyDescent="0.15">
      <c r="A554" s="490" t="s">
        <v>263</v>
      </c>
      <c r="B554" s="442">
        <v>112202272.29999998</v>
      </c>
      <c r="C554" s="442">
        <f>SUM(C556:C587)+1897</f>
        <v>24533787</v>
      </c>
      <c r="D554" s="442">
        <f>SUM(D556:D587)+21239</f>
        <v>9887323</v>
      </c>
      <c r="E554" s="442">
        <f>SUM(E556:E587)+8063</f>
        <v>2865746.0163339386</v>
      </c>
      <c r="F554" s="442">
        <v>19526048</v>
      </c>
      <c r="G554" s="442">
        <f>SUM(G556:G587)+11215</f>
        <v>14720771.283666054</v>
      </c>
      <c r="H554" s="442">
        <f>SUM(H556:H587)+459</f>
        <v>38856</v>
      </c>
      <c r="I554" s="442">
        <f>SUM(I556:I587)+6248</f>
        <v>19404</v>
      </c>
      <c r="J554" s="442">
        <f>SUM(J556:J587)+339347</f>
        <v>40556273</v>
      </c>
      <c r="L554" s="496"/>
    </row>
    <row r="555" spans="1:15" ht="3.95" customHeight="1" x14ac:dyDescent="0.25">
      <c r="A555" s="473"/>
      <c r="B555" s="430"/>
      <c r="C555" s="430"/>
      <c r="D555" s="430"/>
      <c r="E555" s="430"/>
      <c r="F555" s="430"/>
      <c r="G555" s="430"/>
      <c r="H555" s="430"/>
      <c r="I555" s="430"/>
      <c r="J555" s="430"/>
    </row>
    <row r="556" spans="1:15" ht="9" customHeight="1" x14ac:dyDescent="0.25">
      <c r="A556" s="428" t="s">
        <v>23</v>
      </c>
      <c r="B556" s="432">
        <v>1271859.3311637044</v>
      </c>
      <c r="C556" s="432">
        <v>374062</v>
      </c>
      <c r="D556" s="432">
        <v>87961</v>
      </c>
      <c r="E556" s="432">
        <v>35572</v>
      </c>
      <c r="F556" s="495">
        <v>184859</v>
      </c>
      <c r="G556" s="495">
        <v>202466.33116370434</v>
      </c>
      <c r="H556" s="495">
        <v>31</v>
      </c>
      <c r="I556" s="495">
        <v>1</v>
      </c>
      <c r="J556" s="432">
        <v>386772</v>
      </c>
      <c r="K556" s="432">
        <v>1271859.3311637044</v>
      </c>
      <c r="L556" s="497">
        <f>B556-K556</f>
        <v>0</v>
      </c>
      <c r="M556" s="497">
        <v>7522</v>
      </c>
      <c r="N556" s="498"/>
      <c r="O556" s="499"/>
    </row>
    <row r="557" spans="1:15" ht="9" customHeight="1" x14ac:dyDescent="0.25">
      <c r="A557" s="428" t="s">
        <v>24</v>
      </c>
      <c r="B557" s="432">
        <v>2617246.5883645518</v>
      </c>
      <c r="C557" s="432">
        <v>773624</v>
      </c>
      <c r="D557" s="432">
        <v>216915</v>
      </c>
      <c r="E557" s="432">
        <v>61338</v>
      </c>
      <c r="F557" s="432">
        <v>559330</v>
      </c>
      <c r="G557" s="432">
        <v>372565.58836455154</v>
      </c>
      <c r="H557" s="432">
        <v>312</v>
      </c>
      <c r="I557" s="432">
        <v>193</v>
      </c>
      <c r="J557" s="432">
        <v>632249</v>
      </c>
      <c r="K557" s="432">
        <v>2617246.5883645518</v>
      </c>
      <c r="L557" s="497">
        <f t="shared" ref="L557:L587" si="22">B557-K557</f>
        <v>0</v>
      </c>
      <c r="M557" s="497">
        <v>112840</v>
      </c>
      <c r="N557" s="498"/>
      <c r="O557" s="499"/>
    </row>
    <row r="558" spans="1:15" ht="9" customHeight="1" x14ac:dyDescent="0.25">
      <c r="A558" s="428" t="s">
        <v>25</v>
      </c>
      <c r="B558" s="432">
        <v>617682.6396680905</v>
      </c>
      <c r="C558" s="432">
        <v>143834</v>
      </c>
      <c r="D558" s="432">
        <v>49709</v>
      </c>
      <c r="E558" s="432">
        <v>25876</v>
      </c>
      <c r="F558" s="432">
        <v>123712</v>
      </c>
      <c r="G558" s="432">
        <v>72438.639668090516</v>
      </c>
      <c r="H558" s="432">
        <v>5</v>
      </c>
      <c r="I558" s="432">
        <v>7</v>
      </c>
      <c r="J558" s="432">
        <v>201792</v>
      </c>
      <c r="K558" s="432">
        <v>617682.6396680905</v>
      </c>
      <c r="L558" s="497">
        <f t="shared" si="22"/>
        <v>0</v>
      </c>
      <c r="M558" s="497">
        <v>266410</v>
      </c>
      <c r="N558" s="498"/>
      <c r="O558" s="499"/>
    </row>
    <row r="559" spans="1:15" ht="9" customHeight="1" x14ac:dyDescent="0.25">
      <c r="A559" s="475" t="s">
        <v>26</v>
      </c>
      <c r="B559" s="435">
        <v>1107438.8663180575</v>
      </c>
      <c r="C559" s="435">
        <v>207177</v>
      </c>
      <c r="D559" s="435">
        <v>68681</v>
      </c>
      <c r="E559" s="435">
        <v>18928</v>
      </c>
      <c r="F559" s="435">
        <v>268644</v>
      </c>
      <c r="G559" s="435">
        <v>131073.86631805755</v>
      </c>
      <c r="H559" s="435">
        <v>283</v>
      </c>
      <c r="I559" s="435">
        <v>152</v>
      </c>
      <c r="J559" s="435">
        <v>412178</v>
      </c>
      <c r="K559" s="435">
        <v>1107438.8663180575</v>
      </c>
      <c r="L559" s="497">
        <f t="shared" si="22"/>
        <v>0</v>
      </c>
      <c r="M559" s="497"/>
      <c r="N559" s="498"/>
      <c r="O559" s="499"/>
    </row>
    <row r="560" spans="1:15" ht="9" customHeight="1" x14ac:dyDescent="0.25">
      <c r="A560" s="428" t="s">
        <v>27</v>
      </c>
      <c r="B560" s="432">
        <v>2644580.0196074904</v>
      </c>
      <c r="C560" s="432">
        <v>610202</v>
      </c>
      <c r="D560" s="432">
        <v>206654</v>
      </c>
      <c r="E560" s="432">
        <v>86061</v>
      </c>
      <c r="F560" s="495">
        <v>443982</v>
      </c>
      <c r="G560" s="495">
        <v>334859.01960749028</v>
      </c>
      <c r="H560" s="495">
        <v>1015</v>
      </c>
      <c r="I560" s="495">
        <v>1235</v>
      </c>
      <c r="J560" s="495">
        <v>958962</v>
      </c>
      <c r="K560" s="495">
        <v>2644580.0196074904</v>
      </c>
      <c r="L560" s="497">
        <f t="shared" si="22"/>
        <v>0</v>
      </c>
      <c r="M560" s="497"/>
      <c r="N560" s="498"/>
      <c r="O560" s="499"/>
    </row>
    <row r="561" spans="1:15" ht="9" customHeight="1" x14ac:dyDescent="0.25">
      <c r="A561" s="428" t="s">
        <v>28</v>
      </c>
      <c r="B561" s="432">
        <v>586575.36330539896</v>
      </c>
      <c r="C561" s="432">
        <v>141876</v>
      </c>
      <c r="D561" s="432">
        <v>51420</v>
      </c>
      <c r="E561" s="432">
        <v>14743</v>
      </c>
      <c r="F561" s="432">
        <v>122475</v>
      </c>
      <c r="G561" s="432">
        <v>79753.363305398889</v>
      </c>
      <c r="H561" s="432">
        <v>37</v>
      </c>
      <c r="I561" s="432">
        <v>7</v>
      </c>
      <c r="J561" s="432">
        <v>176001</v>
      </c>
      <c r="K561" s="432">
        <v>586575.36330539896</v>
      </c>
      <c r="L561" s="497">
        <f t="shared" si="22"/>
        <v>0</v>
      </c>
      <c r="M561" s="497"/>
      <c r="N561" s="500"/>
      <c r="O561" s="499"/>
    </row>
    <row r="562" spans="1:15" ht="9" customHeight="1" x14ac:dyDescent="0.25">
      <c r="A562" s="428" t="s">
        <v>29</v>
      </c>
      <c r="B562" s="432">
        <v>6012418.7549976613</v>
      </c>
      <c r="C562" s="432">
        <v>1063046</v>
      </c>
      <c r="D562" s="432">
        <v>516654</v>
      </c>
      <c r="E562" s="432">
        <v>157963.01633393829</v>
      </c>
      <c r="F562" s="432">
        <v>1384620</v>
      </c>
      <c r="G562" s="432">
        <v>793296.7386637223</v>
      </c>
      <c r="H562" s="432">
        <v>1684</v>
      </c>
      <c r="I562" s="432">
        <v>1483</v>
      </c>
      <c r="J562" s="432">
        <v>2091000</v>
      </c>
      <c r="K562" s="432">
        <v>6012418.7549976613</v>
      </c>
      <c r="L562" s="497">
        <f t="shared" si="22"/>
        <v>0</v>
      </c>
      <c r="M562" s="497"/>
      <c r="N562" s="498"/>
      <c r="O562" s="499"/>
    </row>
    <row r="563" spans="1:15" ht="9" customHeight="1" x14ac:dyDescent="0.25">
      <c r="A563" s="475" t="s">
        <v>30</v>
      </c>
      <c r="B563" s="435">
        <v>3194913.3430117234</v>
      </c>
      <c r="C563" s="435">
        <v>916779</v>
      </c>
      <c r="D563" s="435">
        <v>308257</v>
      </c>
      <c r="E563" s="435">
        <v>98545</v>
      </c>
      <c r="F563" s="435">
        <v>399664</v>
      </c>
      <c r="G563" s="435">
        <v>468331.34301172348</v>
      </c>
      <c r="H563" s="435">
        <v>769</v>
      </c>
      <c r="I563" s="435">
        <v>109</v>
      </c>
      <c r="J563" s="435">
        <v>1001328</v>
      </c>
      <c r="K563" s="435">
        <v>3194913.3430117234</v>
      </c>
      <c r="L563" s="497">
        <f t="shared" si="22"/>
        <v>0</v>
      </c>
      <c r="M563" s="497"/>
      <c r="N563" s="500"/>
      <c r="O563" s="499"/>
    </row>
    <row r="564" spans="1:15" ht="9" customHeight="1" x14ac:dyDescent="0.25">
      <c r="A564" s="428" t="s">
        <v>63</v>
      </c>
      <c r="B564" s="432">
        <v>8819347.808761999</v>
      </c>
      <c r="C564" s="432">
        <v>1772752</v>
      </c>
      <c r="D564" s="432">
        <v>703464</v>
      </c>
      <c r="E564" s="432">
        <v>209212</v>
      </c>
      <c r="F564" s="495">
        <v>1406813</v>
      </c>
      <c r="G564" s="495">
        <v>1016791.8087619995</v>
      </c>
      <c r="H564" s="495">
        <v>3295</v>
      </c>
      <c r="I564" s="495">
        <v>640</v>
      </c>
      <c r="J564" s="495">
        <v>3700673</v>
      </c>
      <c r="K564" s="495">
        <v>8819347.808761999</v>
      </c>
      <c r="L564" s="497">
        <f t="shared" si="22"/>
        <v>0</v>
      </c>
      <c r="M564" s="497"/>
      <c r="N564" s="500"/>
      <c r="O564" s="499"/>
    </row>
    <row r="565" spans="1:15" ht="9" customHeight="1" x14ac:dyDescent="0.25">
      <c r="A565" s="428" t="s">
        <v>31</v>
      </c>
      <c r="B565" s="432">
        <v>1763951.4882740686</v>
      </c>
      <c r="C565" s="432">
        <v>437106</v>
      </c>
      <c r="D565" s="432">
        <v>144404</v>
      </c>
      <c r="E565" s="432">
        <v>37511</v>
      </c>
      <c r="F565" s="432">
        <v>348821</v>
      </c>
      <c r="G565" s="432">
        <v>202777.48827406851</v>
      </c>
      <c r="H565" s="432">
        <v>1317</v>
      </c>
      <c r="I565" s="432">
        <v>289</v>
      </c>
      <c r="J565" s="432">
        <v>590374</v>
      </c>
      <c r="K565" s="432">
        <v>1763951.4882740686</v>
      </c>
      <c r="L565" s="497">
        <f t="shared" si="22"/>
        <v>0</v>
      </c>
      <c r="M565" s="497"/>
      <c r="N565" s="500"/>
      <c r="O565" s="499"/>
    </row>
    <row r="566" spans="1:15" ht="9" customHeight="1" x14ac:dyDescent="0.25">
      <c r="A566" s="428" t="s">
        <v>32</v>
      </c>
      <c r="B566" s="432">
        <v>5555287.3563106526</v>
      </c>
      <c r="C566" s="432">
        <v>1380341</v>
      </c>
      <c r="D566" s="432">
        <v>514876</v>
      </c>
      <c r="E566" s="432">
        <v>151791</v>
      </c>
      <c r="F566" s="432">
        <v>887394</v>
      </c>
      <c r="G566" s="432">
        <v>754498.35631065234</v>
      </c>
      <c r="H566" s="432">
        <v>163</v>
      </c>
      <c r="I566" s="432">
        <v>209</v>
      </c>
      <c r="J566" s="432">
        <v>1863813</v>
      </c>
      <c r="K566" s="432">
        <v>5555287.3563106526</v>
      </c>
      <c r="L566" s="497">
        <f t="shared" si="22"/>
        <v>0</v>
      </c>
      <c r="M566" s="497"/>
      <c r="N566" s="498"/>
      <c r="O566" s="499"/>
    </row>
    <row r="567" spans="1:15" ht="9" customHeight="1" x14ac:dyDescent="0.25">
      <c r="A567" s="475" t="s">
        <v>33</v>
      </c>
      <c r="B567" s="435">
        <v>3289110.4188330118</v>
      </c>
      <c r="C567" s="435">
        <v>749766</v>
      </c>
      <c r="D567" s="435">
        <v>301788</v>
      </c>
      <c r="E567" s="435">
        <v>88394</v>
      </c>
      <c r="F567" s="435">
        <v>699492</v>
      </c>
      <c r="G567" s="435">
        <v>451031.41883301153</v>
      </c>
      <c r="H567" s="435">
        <v>369</v>
      </c>
      <c r="I567" s="435">
        <v>679</v>
      </c>
      <c r="J567" s="435">
        <v>995233</v>
      </c>
      <c r="K567" s="435">
        <v>3289110.4188330118</v>
      </c>
      <c r="L567" s="497">
        <f t="shared" si="22"/>
        <v>0</v>
      </c>
      <c r="M567" s="497"/>
    </row>
    <row r="568" spans="1:15" ht="9" customHeight="1" x14ac:dyDescent="0.25">
      <c r="A568" s="428" t="s">
        <v>34</v>
      </c>
      <c r="B568" s="432">
        <v>2505636.3639190919</v>
      </c>
      <c r="C568" s="432">
        <v>463332</v>
      </c>
      <c r="D568" s="432">
        <v>220384</v>
      </c>
      <c r="E568" s="432">
        <v>60200</v>
      </c>
      <c r="F568" s="495">
        <v>452839</v>
      </c>
      <c r="G568" s="495">
        <v>297376.36391909188</v>
      </c>
      <c r="H568" s="495">
        <v>1156</v>
      </c>
      <c r="I568" s="495">
        <v>749</v>
      </c>
      <c r="J568" s="495">
        <v>1008193</v>
      </c>
      <c r="K568" s="495">
        <v>2505636.3639190919</v>
      </c>
      <c r="L568" s="497">
        <f t="shared" si="22"/>
        <v>0</v>
      </c>
      <c r="M568" s="497"/>
      <c r="O568" s="496"/>
    </row>
    <row r="569" spans="1:15" ht="9" customHeight="1" x14ac:dyDescent="0.25">
      <c r="A569" s="428" t="s">
        <v>35</v>
      </c>
      <c r="B569" s="432">
        <v>6300576.3460436938</v>
      </c>
      <c r="C569" s="432">
        <v>1741761</v>
      </c>
      <c r="D569" s="432">
        <v>681528</v>
      </c>
      <c r="E569" s="432">
        <v>201935</v>
      </c>
      <c r="F569" s="495">
        <v>898916</v>
      </c>
      <c r="G569" s="495">
        <v>938931.3460436936</v>
      </c>
      <c r="H569" s="495">
        <v>214</v>
      </c>
      <c r="I569" s="495">
        <v>904</v>
      </c>
      <c r="J569" s="495">
        <v>1835210</v>
      </c>
      <c r="K569" s="495">
        <v>6300576.3460436938</v>
      </c>
      <c r="L569" s="497">
        <f t="shared" si="22"/>
        <v>0</v>
      </c>
      <c r="M569" s="497"/>
    </row>
    <row r="570" spans="1:15" ht="9" customHeight="1" x14ac:dyDescent="0.25">
      <c r="A570" s="428" t="s">
        <v>36</v>
      </c>
      <c r="B570" s="432">
        <v>15808238.753224485</v>
      </c>
      <c r="C570" s="432">
        <v>3427579</v>
      </c>
      <c r="D570" s="432">
        <v>1349230</v>
      </c>
      <c r="E570" s="432">
        <v>335638</v>
      </c>
      <c r="F570" s="495">
        <v>3003344</v>
      </c>
      <c r="G570" s="495">
        <v>2386104.7532244842</v>
      </c>
      <c r="H570" s="495">
        <v>1460</v>
      </c>
      <c r="I570" s="495">
        <v>823</v>
      </c>
      <c r="J570" s="495">
        <v>5301318</v>
      </c>
      <c r="K570" s="495">
        <v>15808238.753224485</v>
      </c>
      <c r="L570" s="497">
        <f t="shared" si="22"/>
        <v>0</v>
      </c>
      <c r="M570" s="497"/>
    </row>
    <row r="571" spans="1:15" ht="9" customHeight="1" x14ac:dyDescent="0.25">
      <c r="A571" s="475" t="s">
        <v>37</v>
      </c>
      <c r="B571" s="435">
        <v>4530898.0400456507</v>
      </c>
      <c r="C571" s="435">
        <v>834966</v>
      </c>
      <c r="D571" s="435">
        <v>422505</v>
      </c>
      <c r="E571" s="435">
        <v>126083</v>
      </c>
      <c r="F571" s="435">
        <v>698761</v>
      </c>
      <c r="G571" s="435">
        <v>556841.04004565009</v>
      </c>
      <c r="H571" s="435">
        <v>3360</v>
      </c>
      <c r="I571" s="435">
        <v>119</v>
      </c>
      <c r="J571" s="435">
        <v>1883236</v>
      </c>
      <c r="K571" s="435">
        <v>4530898.0400456507</v>
      </c>
      <c r="L571" s="497">
        <f t="shared" si="22"/>
        <v>0</v>
      </c>
      <c r="M571" s="497"/>
    </row>
    <row r="572" spans="1:15" ht="9" customHeight="1" x14ac:dyDescent="0.25">
      <c r="A572" s="428" t="s">
        <v>38</v>
      </c>
      <c r="B572" s="432">
        <v>1419142.3939088862</v>
      </c>
      <c r="C572" s="432">
        <v>238087</v>
      </c>
      <c r="D572" s="432">
        <v>138683</v>
      </c>
      <c r="E572" s="432">
        <v>40178</v>
      </c>
      <c r="F572" s="495">
        <v>302746</v>
      </c>
      <c r="G572" s="495">
        <v>201351.39390888636</v>
      </c>
      <c r="H572" s="495">
        <v>128</v>
      </c>
      <c r="I572" s="495">
        <v>101</v>
      </c>
      <c r="J572" s="495">
        <v>496920</v>
      </c>
      <c r="K572" s="495">
        <v>1419142.3939088862</v>
      </c>
      <c r="L572" s="497">
        <f t="shared" si="22"/>
        <v>0</v>
      </c>
      <c r="M572" s="497"/>
    </row>
    <row r="573" spans="1:15" ht="9" customHeight="1" x14ac:dyDescent="0.25">
      <c r="A573" s="428" t="s">
        <v>39</v>
      </c>
      <c r="B573" s="432">
        <v>1047789.4140536985</v>
      </c>
      <c r="C573" s="432">
        <v>215883</v>
      </c>
      <c r="D573" s="432">
        <v>87158</v>
      </c>
      <c r="E573" s="432">
        <v>25742</v>
      </c>
      <c r="F573" s="495">
        <v>180371</v>
      </c>
      <c r="G573" s="495">
        <v>120157.41405369854</v>
      </c>
      <c r="H573" s="495">
        <v>1006</v>
      </c>
      <c r="I573" s="495">
        <v>13</v>
      </c>
      <c r="J573" s="495">
        <v>416700</v>
      </c>
      <c r="K573" s="495">
        <v>1047789.4140536985</v>
      </c>
      <c r="L573" s="497">
        <f t="shared" si="22"/>
        <v>0</v>
      </c>
      <c r="M573" s="497"/>
    </row>
    <row r="574" spans="1:15" ht="9" customHeight="1" x14ac:dyDescent="0.25">
      <c r="A574" s="428" t="s">
        <v>40</v>
      </c>
      <c r="B574" s="432">
        <v>3924601.8485289668</v>
      </c>
      <c r="C574" s="432">
        <v>1164513</v>
      </c>
      <c r="D574" s="432">
        <v>358495</v>
      </c>
      <c r="E574" s="432">
        <v>109040</v>
      </c>
      <c r="F574" s="495">
        <v>608579</v>
      </c>
      <c r="G574" s="495">
        <v>507124.84852896683</v>
      </c>
      <c r="H574" s="495">
        <v>332</v>
      </c>
      <c r="I574" s="495">
        <v>167</v>
      </c>
      <c r="J574" s="495">
        <v>1176065</v>
      </c>
      <c r="K574" s="495">
        <v>3924601.8485289668</v>
      </c>
      <c r="L574" s="497">
        <f t="shared" si="22"/>
        <v>0</v>
      </c>
      <c r="M574" s="497"/>
    </row>
    <row r="575" spans="1:15" ht="9" customHeight="1" x14ac:dyDescent="0.25">
      <c r="A575" s="475" t="s">
        <v>41</v>
      </c>
      <c r="B575" s="435">
        <v>3708934.4052083348</v>
      </c>
      <c r="C575" s="435">
        <v>721759</v>
      </c>
      <c r="D575" s="435">
        <v>321806</v>
      </c>
      <c r="E575" s="435">
        <v>99891</v>
      </c>
      <c r="F575" s="435">
        <v>459149</v>
      </c>
      <c r="G575" s="435">
        <v>466449.40520833491</v>
      </c>
      <c r="H575" s="435">
        <v>5627</v>
      </c>
      <c r="I575" s="435">
        <v>948</v>
      </c>
      <c r="J575" s="435">
        <v>1630533</v>
      </c>
      <c r="K575" s="435">
        <v>3708934.4052083348</v>
      </c>
      <c r="L575" s="497">
        <f t="shared" si="22"/>
        <v>0</v>
      </c>
      <c r="M575" s="497"/>
    </row>
    <row r="576" spans="1:15" ht="9" customHeight="1" x14ac:dyDescent="0.25">
      <c r="A576" s="428" t="s">
        <v>42</v>
      </c>
      <c r="B576" s="432">
        <v>6124096.3868077807</v>
      </c>
      <c r="C576" s="432">
        <v>1215341</v>
      </c>
      <c r="D576" s="432">
        <v>530708</v>
      </c>
      <c r="E576" s="432">
        <v>149144</v>
      </c>
      <c r="F576" s="495">
        <v>1150706</v>
      </c>
      <c r="G576" s="495">
        <v>811722.38680778025</v>
      </c>
      <c r="H576" s="495">
        <v>2321</v>
      </c>
      <c r="I576" s="495">
        <v>399</v>
      </c>
      <c r="J576" s="495">
        <v>2260424</v>
      </c>
      <c r="K576" s="495">
        <v>6124096.3868077807</v>
      </c>
      <c r="L576" s="497">
        <f t="shared" si="22"/>
        <v>0</v>
      </c>
      <c r="M576" s="497"/>
    </row>
    <row r="577" spans="1:13" ht="9" customHeight="1" x14ac:dyDescent="0.25">
      <c r="A577" s="428" t="s">
        <v>43</v>
      </c>
      <c r="B577" s="432">
        <v>1562201.4545571872</v>
      </c>
      <c r="C577" s="432">
        <v>435403</v>
      </c>
      <c r="D577" s="432">
        <v>140103</v>
      </c>
      <c r="E577" s="432">
        <v>49347</v>
      </c>
      <c r="F577" s="432">
        <v>206464</v>
      </c>
      <c r="G577" s="432">
        <v>225006.4545571871</v>
      </c>
      <c r="H577" s="432">
        <v>101</v>
      </c>
      <c r="I577" s="432">
        <v>4</v>
      </c>
      <c r="J577" s="432">
        <v>504920</v>
      </c>
      <c r="K577" s="432">
        <v>1562201.4545571872</v>
      </c>
      <c r="L577" s="497">
        <f t="shared" si="22"/>
        <v>0</v>
      </c>
      <c r="M577" s="497"/>
    </row>
    <row r="578" spans="1:13" ht="9" customHeight="1" x14ac:dyDescent="0.25">
      <c r="A578" s="428" t="s">
        <v>44</v>
      </c>
      <c r="B578" s="432">
        <v>1123040.2901743562</v>
      </c>
      <c r="C578" s="432">
        <v>279482</v>
      </c>
      <c r="D578" s="432">
        <v>105220</v>
      </c>
      <c r="E578" s="432">
        <v>33408</v>
      </c>
      <c r="F578" s="432">
        <v>170180</v>
      </c>
      <c r="G578" s="432">
        <v>184773.29017435625</v>
      </c>
      <c r="H578" s="432">
        <v>152</v>
      </c>
      <c r="I578" s="432">
        <v>50</v>
      </c>
      <c r="J578" s="432">
        <v>347782</v>
      </c>
      <c r="K578" s="432">
        <v>1123040.2901743562</v>
      </c>
      <c r="L578" s="497">
        <f t="shared" si="22"/>
        <v>0</v>
      </c>
      <c r="M578" s="497"/>
    </row>
    <row r="579" spans="1:13" ht="9" customHeight="1" x14ac:dyDescent="0.25">
      <c r="A579" s="475" t="s">
        <v>45</v>
      </c>
      <c r="B579" s="435">
        <v>2779064.9051501034</v>
      </c>
      <c r="C579" s="435">
        <v>547569</v>
      </c>
      <c r="D579" s="435">
        <v>213334</v>
      </c>
      <c r="E579" s="435">
        <v>70516</v>
      </c>
      <c r="F579" s="435">
        <v>463274</v>
      </c>
      <c r="G579" s="435">
        <v>324091.90515010327</v>
      </c>
      <c r="H579" s="435">
        <v>2440</v>
      </c>
      <c r="I579" s="435">
        <v>53</v>
      </c>
      <c r="J579" s="435">
        <v>1156990</v>
      </c>
      <c r="K579" s="435">
        <v>2779064.9051501034</v>
      </c>
      <c r="L579" s="497">
        <f t="shared" si="22"/>
        <v>0</v>
      </c>
      <c r="M579" s="497"/>
    </row>
    <row r="580" spans="1:13" ht="9" customHeight="1" x14ac:dyDescent="0.25">
      <c r="A580" s="428" t="s">
        <v>46</v>
      </c>
      <c r="B580" s="432">
        <v>2885412.3583257603</v>
      </c>
      <c r="C580" s="432">
        <v>636605</v>
      </c>
      <c r="D580" s="432">
        <v>257405</v>
      </c>
      <c r="E580" s="432">
        <v>75892</v>
      </c>
      <c r="F580" s="495">
        <v>449610</v>
      </c>
      <c r="G580" s="495">
        <v>349732.35832576029</v>
      </c>
      <c r="H580" s="495">
        <v>716</v>
      </c>
      <c r="I580" s="495">
        <v>118</v>
      </c>
      <c r="J580" s="495">
        <v>1113155</v>
      </c>
      <c r="K580" s="495">
        <v>2885412.3583257603</v>
      </c>
      <c r="L580" s="497">
        <f t="shared" si="22"/>
        <v>0</v>
      </c>
      <c r="M580" s="497"/>
    </row>
    <row r="581" spans="1:13" ht="9" customHeight="1" x14ac:dyDescent="0.25">
      <c r="A581" s="428" t="s">
        <v>47</v>
      </c>
      <c r="B581" s="432">
        <v>2353144.1777791604</v>
      </c>
      <c r="C581" s="432">
        <v>642762</v>
      </c>
      <c r="D581" s="432">
        <v>208769</v>
      </c>
      <c r="E581" s="432">
        <v>79867</v>
      </c>
      <c r="F581" s="432">
        <v>348626</v>
      </c>
      <c r="G581" s="432">
        <v>381638.17777916067</v>
      </c>
      <c r="H581" s="432">
        <v>252</v>
      </c>
      <c r="I581" s="432">
        <v>441</v>
      </c>
      <c r="J581" s="432">
        <v>689754</v>
      </c>
      <c r="K581" s="432">
        <v>2353144.1777791604</v>
      </c>
      <c r="L581" s="497">
        <f t="shared" si="22"/>
        <v>0</v>
      </c>
      <c r="M581" s="497"/>
    </row>
    <row r="582" spans="1:13" ht="9" customHeight="1" x14ac:dyDescent="0.25">
      <c r="A582" s="428" t="s">
        <v>48</v>
      </c>
      <c r="B582" s="432">
        <v>2588414.4575402476</v>
      </c>
      <c r="C582" s="432">
        <v>480283</v>
      </c>
      <c r="D582" s="432">
        <v>232110</v>
      </c>
      <c r="E582" s="432">
        <v>61908</v>
      </c>
      <c r="F582" s="432">
        <v>532351</v>
      </c>
      <c r="G582" s="432">
        <v>278287.45754024736</v>
      </c>
      <c r="H582" s="432">
        <v>360</v>
      </c>
      <c r="I582" s="432">
        <v>708</v>
      </c>
      <c r="J582" s="432">
        <v>998568</v>
      </c>
      <c r="K582" s="432">
        <v>2588414.4575402476</v>
      </c>
      <c r="L582" s="497">
        <f t="shared" si="22"/>
        <v>0</v>
      </c>
      <c r="M582" s="497"/>
    </row>
    <row r="583" spans="1:13" ht="9" customHeight="1" x14ac:dyDescent="0.25">
      <c r="A583" s="475" t="s">
        <v>49</v>
      </c>
      <c r="B583" s="435">
        <v>3230036.3237244571</v>
      </c>
      <c r="C583" s="435">
        <v>665564</v>
      </c>
      <c r="D583" s="435">
        <v>502649</v>
      </c>
      <c r="E583" s="435">
        <v>78389</v>
      </c>
      <c r="F583" s="435">
        <v>631907</v>
      </c>
      <c r="G583" s="435">
        <v>368297.323724457</v>
      </c>
      <c r="H583" s="435">
        <v>981</v>
      </c>
      <c r="I583" s="435">
        <v>767</v>
      </c>
      <c r="J583" s="435">
        <v>980183</v>
      </c>
      <c r="K583" s="435">
        <v>3230036.3237244571</v>
      </c>
      <c r="L583" s="497">
        <f t="shared" si="22"/>
        <v>0</v>
      </c>
      <c r="M583" s="497"/>
    </row>
    <row r="584" spans="1:13" ht="9" customHeight="1" x14ac:dyDescent="0.25">
      <c r="A584" s="428" t="s">
        <v>50</v>
      </c>
      <c r="B584" s="432">
        <v>1052504.0981615274</v>
      </c>
      <c r="C584" s="432">
        <v>265055</v>
      </c>
      <c r="D584" s="432">
        <v>96192</v>
      </c>
      <c r="E584" s="432">
        <v>25881</v>
      </c>
      <c r="F584" s="432">
        <v>145262</v>
      </c>
      <c r="G584" s="432">
        <v>145333.09816152736</v>
      </c>
      <c r="H584" s="432">
        <v>69</v>
      </c>
      <c r="I584" s="432">
        <v>3</v>
      </c>
      <c r="J584" s="432">
        <v>374072</v>
      </c>
      <c r="K584" s="432">
        <v>1052504.0981615274</v>
      </c>
      <c r="L584" s="497">
        <f t="shared" si="22"/>
        <v>0</v>
      </c>
      <c r="M584" s="497"/>
    </row>
    <row r="585" spans="1:13" ht="9" customHeight="1" x14ac:dyDescent="0.25">
      <c r="A585" s="428" t="s">
        <v>51</v>
      </c>
      <c r="B585" s="432">
        <v>8138128.4334071111</v>
      </c>
      <c r="C585" s="432">
        <v>1282590</v>
      </c>
      <c r="D585" s="432">
        <v>556492</v>
      </c>
      <c r="E585" s="432">
        <v>168676</v>
      </c>
      <c r="F585" s="432">
        <v>1511918</v>
      </c>
      <c r="G585" s="432">
        <v>898762.43340711086</v>
      </c>
      <c r="H585" s="432">
        <v>3686</v>
      </c>
      <c r="I585" s="432">
        <v>1282</v>
      </c>
      <c r="J585" s="432">
        <v>3712261</v>
      </c>
      <c r="K585" s="432">
        <v>8138128.4334071111</v>
      </c>
      <c r="L585" s="497">
        <f t="shared" si="22"/>
        <v>0</v>
      </c>
      <c r="M585" s="497"/>
    </row>
    <row r="586" spans="1:13" ht="9" customHeight="1" x14ac:dyDescent="0.25">
      <c r="A586" s="428" t="s">
        <v>52</v>
      </c>
      <c r="B586" s="432">
        <v>1634887.116378529</v>
      </c>
      <c r="C586" s="432">
        <v>399775</v>
      </c>
      <c r="D586" s="432">
        <v>133967</v>
      </c>
      <c r="E586" s="432">
        <v>36413</v>
      </c>
      <c r="F586" s="432">
        <v>195431</v>
      </c>
      <c r="G586" s="432">
        <v>215117.11637852888</v>
      </c>
      <c r="H586" s="432">
        <v>3945</v>
      </c>
      <c r="I586" s="432">
        <v>131</v>
      </c>
      <c r="J586" s="432">
        <v>649539</v>
      </c>
      <c r="K586" s="432">
        <v>1634887.116378529</v>
      </c>
      <c r="L586" s="497">
        <f t="shared" si="22"/>
        <v>0</v>
      </c>
      <c r="M586" s="497"/>
    </row>
    <row r="587" spans="1:13" ht="9" customHeight="1" x14ac:dyDescent="0.25">
      <c r="A587" s="475" t="s">
        <v>53</v>
      </c>
      <c r="B587" s="435">
        <v>1582228.7544445563</v>
      </c>
      <c r="C587" s="435">
        <v>303016</v>
      </c>
      <c r="D587" s="435">
        <v>138563</v>
      </c>
      <c r="E587" s="435">
        <v>43601</v>
      </c>
      <c r="F587" s="435">
        <v>251392</v>
      </c>
      <c r="G587" s="435">
        <v>172573.75444455637</v>
      </c>
      <c r="H587" s="435">
        <v>811</v>
      </c>
      <c r="I587" s="435">
        <v>372</v>
      </c>
      <c r="J587" s="435">
        <v>670728</v>
      </c>
      <c r="K587" s="435">
        <v>1582228.7544445563</v>
      </c>
      <c r="L587" s="497">
        <f t="shared" si="22"/>
        <v>0</v>
      </c>
      <c r="M587" s="497"/>
    </row>
    <row r="588" spans="1:13" ht="9" customHeight="1" x14ac:dyDescent="0.25">
      <c r="A588" s="473"/>
      <c r="B588" s="430"/>
      <c r="C588" s="430"/>
      <c r="D588" s="430"/>
      <c r="E588" s="430"/>
      <c r="F588" s="430"/>
      <c r="G588" s="430"/>
      <c r="H588" s="430"/>
      <c r="I588" s="430"/>
      <c r="J588" s="430"/>
      <c r="K588" s="399"/>
      <c r="L588" s="497"/>
      <c r="M588" s="497"/>
    </row>
    <row r="589" spans="1:13" ht="9" customHeight="1" x14ac:dyDescent="0.25">
      <c r="A589" s="470">
        <v>2011</v>
      </c>
      <c r="B589" s="442"/>
      <c r="C589" s="442"/>
      <c r="D589" s="442"/>
      <c r="E589" s="442"/>
      <c r="F589" s="442"/>
      <c r="G589" s="442"/>
      <c r="H589" s="442"/>
      <c r="I589" s="442"/>
      <c r="J589" s="442"/>
      <c r="K589" s="442"/>
      <c r="L589" s="497"/>
      <c r="M589" s="497"/>
    </row>
    <row r="590" spans="1:13" ht="9" customHeight="1" x14ac:dyDescent="0.15">
      <c r="A590" s="490" t="s">
        <v>263</v>
      </c>
      <c r="B590" s="442">
        <f>SUM(B592:B623)-1</f>
        <v>104306578</v>
      </c>
      <c r="C590" s="442">
        <f t="shared" ref="C590:J590" si="23">SUM(C592:C623)</f>
        <v>23929638</v>
      </c>
      <c r="D590" s="442">
        <f t="shared" si="23"/>
        <v>10087455</v>
      </c>
      <c r="E590" s="442">
        <f t="shared" si="23"/>
        <v>2837383</v>
      </c>
      <c r="F590" s="442">
        <f t="shared" si="23"/>
        <v>20553831</v>
      </c>
      <c r="G590" s="442">
        <f t="shared" si="23"/>
        <v>9265135</v>
      </c>
      <c r="H590" s="442">
        <f t="shared" si="23"/>
        <v>99864</v>
      </c>
      <c r="I590" s="442">
        <f t="shared" si="23"/>
        <v>15069</v>
      </c>
      <c r="J590" s="442">
        <f t="shared" si="23"/>
        <v>37518204</v>
      </c>
      <c r="K590" s="442"/>
      <c r="L590" s="497"/>
      <c r="M590" s="497"/>
    </row>
    <row r="591" spans="1:13" ht="3.95" customHeight="1" x14ac:dyDescent="0.25">
      <c r="A591" s="473"/>
      <c r="B591" s="430"/>
      <c r="C591" s="430"/>
      <c r="D591" s="430"/>
      <c r="E591" s="430"/>
      <c r="F591" s="430"/>
      <c r="G591" s="430"/>
      <c r="H591" s="430"/>
      <c r="I591" s="430"/>
      <c r="J591" s="430"/>
      <c r="K591" s="399"/>
      <c r="L591" s="497"/>
      <c r="M591" s="497"/>
    </row>
    <row r="592" spans="1:13" ht="9" customHeight="1" x14ac:dyDescent="0.25">
      <c r="A592" s="428" t="s">
        <v>23</v>
      </c>
      <c r="B592" s="432">
        <f>SUM(C592:J592)</f>
        <v>1037299</v>
      </c>
      <c r="C592" s="432">
        <v>283020</v>
      </c>
      <c r="D592" s="432">
        <v>96660</v>
      </c>
      <c r="E592" s="432">
        <v>38412</v>
      </c>
      <c r="F592" s="495">
        <v>182031</v>
      </c>
      <c r="G592" s="495">
        <v>85632</v>
      </c>
      <c r="H592" s="495">
        <v>533</v>
      </c>
      <c r="I592" s="495">
        <v>84</v>
      </c>
      <c r="J592" s="432">
        <v>350927</v>
      </c>
      <c r="K592" s="432"/>
      <c r="L592" s="497"/>
      <c r="M592" s="497"/>
    </row>
    <row r="593" spans="1:13" ht="9" customHeight="1" x14ac:dyDescent="0.25">
      <c r="A593" s="428" t="s">
        <v>24</v>
      </c>
      <c r="B593" s="432">
        <f t="shared" ref="B593:B623" si="24">SUM(C593:J593)</f>
        <v>2333875</v>
      </c>
      <c r="C593" s="432">
        <v>745930</v>
      </c>
      <c r="D593" s="432">
        <v>241771</v>
      </c>
      <c r="E593" s="432">
        <v>60470</v>
      </c>
      <c r="F593" s="432">
        <v>546932</v>
      </c>
      <c r="G593" s="432">
        <v>163590</v>
      </c>
      <c r="H593" s="432">
        <v>624</v>
      </c>
      <c r="I593" s="432">
        <v>109</v>
      </c>
      <c r="J593" s="432">
        <v>574449</v>
      </c>
      <c r="K593" s="432"/>
      <c r="L593" s="497"/>
      <c r="M593" s="497"/>
    </row>
    <row r="594" spans="1:13" ht="9" customHeight="1" x14ac:dyDescent="0.25">
      <c r="A594" s="428" t="s">
        <v>25</v>
      </c>
      <c r="B594" s="432">
        <f t="shared" si="24"/>
        <v>507529</v>
      </c>
      <c r="C594" s="432">
        <v>149885</v>
      </c>
      <c r="D594" s="432">
        <v>40581</v>
      </c>
      <c r="E594" s="432">
        <v>21872</v>
      </c>
      <c r="F594" s="432">
        <v>123782</v>
      </c>
      <c r="G594" s="432">
        <v>32307</v>
      </c>
      <c r="H594" s="432">
        <v>179</v>
      </c>
      <c r="I594" s="432">
        <v>12</v>
      </c>
      <c r="J594" s="432">
        <v>138911</v>
      </c>
      <c r="K594" s="432"/>
      <c r="L594" s="497"/>
      <c r="M594" s="497"/>
    </row>
    <row r="595" spans="1:13" ht="9" customHeight="1" x14ac:dyDescent="0.25">
      <c r="A595" s="475" t="s">
        <v>26</v>
      </c>
      <c r="B595" s="435">
        <f t="shared" si="24"/>
        <v>1093337</v>
      </c>
      <c r="C595" s="435">
        <v>215345</v>
      </c>
      <c r="D595" s="435">
        <v>75702</v>
      </c>
      <c r="E595" s="435">
        <v>19709</v>
      </c>
      <c r="F595" s="435">
        <v>269737</v>
      </c>
      <c r="G595" s="435">
        <v>77940</v>
      </c>
      <c r="H595" s="435">
        <v>740</v>
      </c>
      <c r="I595" s="435">
        <v>778</v>
      </c>
      <c r="J595" s="435">
        <v>433386</v>
      </c>
      <c r="K595" s="432"/>
      <c r="L595" s="497"/>
      <c r="M595" s="497"/>
    </row>
    <row r="596" spans="1:13" ht="9" customHeight="1" x14ac:dyDescent="0.25">
      <c r="A596" s="428" t="s">
        <v>27</v>
      </c>
      <c r="B596" s="432">
        <f t="shared" si="24"/>
        <v>2383153</v>
      </c>
      <c r="C596" s="432">
        <v>615299</v>
      </c>
      <c r="D596" s="432">
        <v>202618</v>
      </c>
      <c r="E596" s="432">
        <v>85658</v>
      </c>
      <c r="F596" s="495">
        <v>515822</v>
      </c>
      <c r="G596" s="495">
        <v>221643</v>
      </c>
      <c r="H596" s="495">
        <v>2869</v>
      </c>
      <c r="I596" s="495">
        <v>470</v>
      </c>
      <c r="J596" s="495">
        <v>738774</v>
      </c>
      <c r="K596" s="432"/>
      <c r="L596" s="497"/>
      <c r="M596" s="497"/>
    </row>
    <row r="597" spans="1:13" ht="9" customHeight="1" x14ac:dyDescent="0.25">
      <c r="A597" s="428" t="s">
        <v>28</v>
      </c>
      <c r="B597" s="432">
        <f t="shared" si="24"/>
        <v>529262</v>
      </c>
      <c r="C597" s="432">
        <v>129414</v>
      </c>
      <c r="D597" s="432">
        <v>50915</v>
      </c>
      <c r="E597" s="432">
        <v>15045</v>
      </c>
      <c r="F597" s="432">
        <v>120106</v>
      </c>
      <c r="G597" s="432">
        <v>41715</v>
      </c>
      <c r="H597" s="432">
        <v>248</v>
      </c>
      <c r="I597" s="432">
        <v>133</v>
      </c>
      <c r="J597" s="432">
        <v>171686</v>
      </c>
      <c r="K597" s="432"/>
      <c r="L597" s="497"/>
      <c r="M597" s="497"/>
    </row>
    <row r="598" spans="1:13" ht="9" customHeight="1" x14ac:dyDescent="0.25">
      <c r="A598" s="428" t="s">
        <v>29</v>
      </c>
      <c r="B598" s="432">
        <f t="shared" si="24"/>
        <v>5806434</v>
      </c>
      <c r="C598" s="432">
        <v>1018592</v>
      </c>
      <c r="D598" s="432">
        <v>582834</v>
      </c>
      <c r="E598" s="432">
        <v>142302</v>
      </c>
      <c r="F598" s="432">
        <v>1248280</v>
      </c>
      <c r="G598" s="432">
        <v>505333</v>
      </c>
      <c r="H598" s="432">
        <v>3115</v>
      </c>
      <c r="I598" s="432">
        <v>795</v>
      </c>
      <c r="J598" s="432">
        <v>2305183</v>
      </c>
      <c r="K598" s="432"/>
      <c r="L598" s="497"/>
      <c r="M598" s="497"/>
    </row>
    <row r="599" spans="1:13" ht="9" customHeight="1" x14ac:dyDescent="0.25">
      <c r="A599" s="475" t="s">
        <v>30</v>
      </c>
      <c r="B599" s="435">
        <f t="shared" si="24"/>
        <v>3305568</v>
      </c>
      <c r="C599" s="435">
        <v>764584</v>
      </c>
      <c r="D599" s="435">
        <v>285100</v>
      </c>
      <c r="E599" s="435">
        <v>93298</v>
      </c>
      <c r="F599" s="435">
        <v>619585</v>
      </c>
      <c r="G599" s="435">
        <v>378790</v>
      </c>
      <c r="H599" s="435">
        <v>1756</v>
      </c>
      <c r="I599" s="435">
        <v>353</v>
      </c>
      <c r="J599" s="435">
        <v>1162102</v>
      </c>
      <c r="K599" s="432"/>
      <c r="L599" s="497"/>
      <c r="M599" s="497"/>
    </row>
    <row r="600" spans="1:13" ht="9" customHeight="1" x14ac:dyDescent="0.25">
      <c r="A600" s="428" t="s">
        <v>63</v>
      </c>
      <c r="B600" s="432">
        <f t="shared" si="24"/>
        <v>7947994</v>
      </c>
      <c r="C600" s="432">
        <v>1717945</v>
      </c>
      <c r="D600" s="432">
        <v>703294</v>
      </c>
      <c r="E600" s="432">
        <v>227649</v>
      </c>
      <c r="F600" s="495">
        <v>1777045</v>
      </c>
      <c r="G600" s="495">
        <v>562608</v>
      </c>
      <c r="H600" s="495">
        <v>13033</v>
      </c>
      <c r="I600" s="495">
        <v>1019</v>
      </c>
      <c r="J600" s="495">
        <v>2945401</v>
      </c>
      <c r="K600" s="432"/>
      <c r="L600" s="497"/>
      <c r="M600" s="497"/>
    </row>
    <row r="601" spans="1:13" ht="9" customHeight="1" x14ac:dyDescent="0.25">
      <c r="A601" s="428" t="s">
        <v>31</v>
      </c>
      <c r="B601" s="432">
        <f t="shared" si="24"/>
        <v>1697602</v>
      </c>
      <c r="C601" s="432">
        <v>420279</v>
      </c>
      <c r="D601" s="432">
        <v>147547</v>
      </c>
      <c r="E601" s="432">
        <v>38479</v>
      </c>
      <c r="F601" s="432">
        <v>397838</v>
      </c>
      <c r="G601" s="432">
        <v>135846</v>
      </c>
      <c r="H601" s="432">
        <v>2076</v>
      </c>
      <c r="I601" s="432">
        <v>15</v>
      </c>
      <c r="J601" s="432">
        <v>555522</v>
      </c>
      <c r="K601" s="432"/>
      <c r="L601" s="497"/>
      <c r="M601" s="497"/>
    </row>
    <row r="602" spans="1:13" ht="9" customHeight="1" x14ac:dyDescent="0.25">
      <c r="A602" s="428" t="s">
        <v>32</v>
      </c>
      <c r="B602" s="432">
        <f t="shared" si="24"/>
        <v>5180418</v>
      </c>
      <c r="C602" s="432">
        <v>1386629</v>
      </c>
      <c r="D602" s="432">
        <v>544762</v>
      </c>
      <c r="E602" s="432">
        <v>150526</v>
      </c>
      <c r="F602" s="432">
        <v>861918</v>
      </c>
      <c r="G602" s="432">
        <v>382947</v>
      </c>
      <c r="H602" s="432">
        <v>930</v>
      </c>
      <c r="I602" s="432">
        <v>537</v>
      </c>
      <c r="J602" s="432">
        <v>1852169</v>
      </c>
      <c r="K602" s="432"/>
      <c r="L602" s="497"/>
      <c r="M602" s="497"/>
    </row>
    <row r="603" spans="1:13" ht="9" customHeight="1" x14ac:dyDescent="0.25">
      <c r="A603" s="475" t="s">
        <v>33</v>
      </c>
      <c r="B603" s="435">
        <f t="shared" si="24"/>
        <v>2932067</v>
      </c>
      <c r="C603" s="435">
        <v>681802</v>
      </c>
      <c r="D603" s="435">
        <v>301698</v>
      </c>
      <c r="E603" s="435">
        <v>90776</v>
      </c>
      <c r="F603" s="435">
        <v>665696</v>
      </c>
      <c r="G603" s="435">
        <v>249059</v>
      </c>
      <c r="H603" s="435">
        <v>3055</v>
      </c>
      <c r="I603" s="435">
        <v>436</v>
      </c>
      <c r="J603" s="435">
        <v>939545</v>
      </c>
      <c r="K603" s="432"/>
      <c r="L603" s="497"/>
      <c r="M603" s="497"/>
    </row>
    <row r="604" spans="1:13" ht="9" customHeight="1" x14ac:dyDescent="0.25">
      <c r="A604" s="428" t="s">
        <v>34</v>
      </c>
      <c r="B604" s="432">
        <f t="shared" si="24"/>
        <v>2579523</v>
      </c>
      <c r="C604" s="432">
        <v>478194</v>
      </c>
      <c r="D604" s="432">
        <v>240502</v>
      </c>
      <c r="E604" s="432">
        <v>62982</v>
      </c>
      <c r="F604" s="495">
        <v>467209</v>
      </c>
      <c r="G604" s="495">
        <v>209846</v>
      </c>
      <c r="H604" s="495">
        <v>2847</v>
      </c>
      <c r="I604" s="495">
        <v>336</v>
      </c>
      <c r="J604" s="495">
        <v>1117607</v>
      </c>
      <c r="K604" s="432"/>
      <c r="L604" s="497"/>
      <c r="M604" s="497"/>
    </row>
    <row r="605" spans="1:13" ht="9" customHeight="1" x14ac:dyDescent="0.25">
      <c r="A605" s="428" t="s">
        <v>35</v>
      </c>
      <c r="B605" s="432">
        <f t="shared" si="24"/>
        <v>5486399</v>
      </c>
      <c r="C605" s="432">
        <v>1690149</v>
      </c>
      <c r="D605" s="432">
        <v>637008</v>
      </c>
      <c r="E605" s="432">
        <v>191397</v>
      </c>
      <c r="F605" s="495">
        <v>1058397</v>
      </c>
      <c r="G605" s="495">
        <v>479358</v>
      </c>
      <c r="H605" s="495">
        <v>2054</v>
      </c>
      <c r="I605" s="495">
        <v>773</v>
      </c>
      <c r="J605" s="495">
        <v>1427263</v>
      </c>
      <c r="K605" s="432"/>
      <c r="L605" s="497"/>
      <c r="M605" s="497"/>
    </row>
    <row r="606" spans="1:13" ht="9" customHeight="1" x14ac:dyDescent="0.25">
      <c r="A606" s="428" t="s">
        <v>36</v>
      </c>
      <c r="B606" s="432">
        <f t="shared" si="24"/>
        <v>15573121</v>
      </c>
      <c r="C606" s="432">
        <v>3375531</v>
      </c>
      <c r="D606" s="432">
        <v>1293882</v>
      </c>
      <c r="E606" s="432">
        <v>320879</v>
      </c>
      <c r="F606" s="495">
        <v>2867592</v>
      </c>
      <c r="G606" s="495">
        <v>2076708</v>
      </c>
      <c r="H606" s="495">
        <v>18762</v>
      </c>
      <c r="I606" s="495">
        <v>523</v>
      </c>
      <c r="J606" s="495">
        <v>5619244</v>
      </c>
      <c r="K606" s="432"/>
      <c r="L606" s="497"/>
      <c r="M606" s="497"/>
    </row>
    <row r="607" spans="1:13" ht="9" customHeight="1" x14ac:dyDescent="0.25">
      <c r="A607" s="475" t="s">
        <v>37</v>
      </c>
      <c r="B607" s="435">
        <f t="shared" si="24"/>
        <v>4021143</v>
      </c>
      <c r="C607" s="435">
        <v>824812</v>
      </c>
      <c r="D607" s="435">
        <v>393217</v>
      </c>
      <c r="E607" s="435">
        <v>124375</v>
      </c>
      <c r="F607" s="435">
        <v>670748</v>
      </c>
      <c r="G607" s="435">
        <v>344188</v>
      </c>
      <c r="H607" s="435">
        <v>4030</v>
      </c>
      <c r="I607" s="435">
        <v>485</v>
      </c>
      <c r="J607" s="435">
        <v>1659288</v>
      </c>
      <c r="K607" s="432"/>
      <c r="L607" s="497"/>
      <c r="M607" s="497"/>
    </row>
    <row r="608" spans="1:13" ht="9" customHeight="1" x14ac:dyDescent="0.25">
      <c r="A608" s="428" t="s">
        <v>38</v>
      </c>
      <c r="B608" s="432">
        <f t="shared" si="24"/>
        <v>1519821</v>
      </c>
      <c r="C608" s="432">
        <v>341808</v>
      </c>
      <c r="D608" s="432">
        <v>163292</v>
      </c>
      <c r="E608" s="432">
        <v>41727</v>
      </c>
      <c r="F608" s="495">
        <v>345104</v>
      </c>
      <c r="G608" s="495">
        <v>133840</v>
      </c>
      <c r="H608" s="495">
        <v>653</v>
      </c>
      <c r="I608" s="495">
        <v>154</v>
      </c>
      <c r="J608" s="495">
        <v>493243</v>
      </c>
      <c r="K608" s="432"/>
      <c r="L608" s="497"/>
      <c r="M608" s="497"/>
    </row>
    <row r="609" spans="1:13" ht="9" customHeight="1" x14ac:dyDescent="0.25">
      <c r="A609" s="428" t="s">
        <v>39</v>
      </c>
      <c r="B609" s="432">
        <f t="shared" si="24"/>
        <v>991323</v>
      </c>
      <c r="C609" s="432">
        <v>240675</v>
      </c>
      <c r="D609" s="432">
        <v>82833</v>
      </c>
      <c r="E609" s="432">
        <v>26029</v>
      </c>
      <c r="F609" s="495">
        <v>215432</v>
      </c>
      <c r="G609" s="495">
        <v>67872</v>
      </c>
      <c r="H609" s="495">
        <v>2636</v>
      </c>
      <c r="I609" s="495">
        <v>0</v>
      </c>
      <c r="J609" s="495">
        <v>355846</v>
      </c>
      <c r="K609" s="432"/>
      <c r="L609" s="497"/>
      <c r="M609" s="497"/>
    </row>
    <row r="610" spans="1:13" ht="9" customHeight="1" x14ac:dyDescent="0.25">
      <c r="A610" s="428" t="s">
        <v>40</v>
      </c>
      <c r="B610" s="432">
        <f t="shared" si="24"/>
        <v>3386314</v>
      </c>
      <c r="C610" s="432">
        <v>972353</v>
      </c>
      <c r="D610" s="432">
        <v>361296</v>
      </c>
      <c r="E610" s="432">
        <v>105418</v>
      </c>
      <c r="F610" s="495">
        <v>691226</v>
      </c>
      <c r="G610" s="495">
        <v>281862</v>
      </c>
      <c r="H610" s="495">
        <v>1273</v>
      </c>
      <c r="I610" s="495">
        <v>507</v>
      </c>
      <c r="J610" s="495">
        <v>972379</v>
      </c>
      <c r="K610" s="432"/>
      <c r="L610" s="497"/>
      <c r="M610" s="497"/>
    </row>
    <row r="611" spans="1:13" ht="9" customHeight="1" x14ac:dyDescent="0.25">
      <c r="A611" s="475" t="s">
        <v>41</v>
      </c>
      <c r="B611" s="435">
        <f t="shared" si="24"/>
        <v>3326244</v>
      </c>
      <c r="C611" s="435">
        <v>686542</v>
      </c>
      <c r="D611" s="435">
        <v>346746</v>
      </c>
      <c r="E611" s="435">
        <v>96612</v>
      </c>
      <c r="F611" s="435">
        <v>544404</v>
      </c>
      <c r="G611" s="435">
        <v>227324</v>
      </c>
      <c r="H611" s="435">
        <v>8354</v>
      </c>
      <c r="I611" s="435">
        <v>480</v>
      </c>
      <c r="J611" s="435">
        <v>1415782</v>
      </c>
      <c r="K611" s="432"/>
      <c r="L611" s="497"/>
      <c r="M611" s="497"/>
    </row>
    <row r="612" spans="1:13" ht="9" customHeight="1" x14ac:dyDescent="0.25">
      <c r="A612" s="428" t="s">
        <v>42</v>
      </c>
      <c r="B612" s="432">
        <f t="shared" si="24"/>
        <v>6316535</v>
      </c>
      <c r="C612" s="432">
        <v>1223055</v>
      </c>
      <c r="D612" s="432">
        <v>535800</v>
      </c>
      <c r="E612" s="432">
        <v>162280</v>
      </c>
      <c r="F612" s="495">
        <v>1097072</v>
      </c>
      <c r="G612" s="495">
        <v>635400</v>
      </c>
      <c r="H612" s="495">
        <v>6599</v>
      </c>
      <c r="I612" s="495">
        <v>701</v>
      </c>
      <c r="J612" s="495">
        <v>2655628</v>
      </c>
      <c r="K612" s="432"/>
      <c r="L612" s="497"/>
      <c r="M612" s="497"/>
    </row>
    <row r="613" spans="1:13" ht="9" customHeight="1" x14ac:dyDescent="0.25">
      <c r="A613" s="428" t="s">
        <v>43</v>
      </c>
      <c r="B613" s="432">
        <f t="shared" si="24"/>
        <v>1425242</v>
      </c>
      <c r="C613" s="432">
        <v>417863</v>
      </c>
      <c r="D613" s="432">
        <v>154733</v>
      </c>
      <c r="E613" s="432">
        <v>49752</v>
      </c>
      <c r="F613" s="432">
        <v>223533</v>
      </c>
      <c r="G613" s="432">
        <v>141341</v>
      </c>
      <c r="H613" s="432">
        <v>968</v>
      </c>
      <c r="I613" s="432">
        <v>22</v>
      </c>
      <c r="J613" s="432">
        <v>437030</v>
      </c>
      <c r="K613" s="432"/>
      <c r="L613" s="497"/>
      <c r="M613" s="497"/>
    </row>
    <row r="614" spans="1:13" ht="9" customHeight="1" x14ac:dyDescent="0.25">
      <c r="A614" s="428" t="s">
        <v>44</v>
      </c>
      <c r="B614" s="432">
        <f t="shared" si="24"/>
        <v>995462</v>
      </c>
      <c r="C614" s="432">
        <v>285795</v>
      </c>
      <c r="D614" s="432">
        <v>106650</v>
      </c>
      <c r="E614" s="432">
        <v>32869</v>
      </c>
      <c r="F614" s="432">
        <v>188709</v>
      </c>
      <c r="G614" s="432">
        <v>88662</v>
      </c>
      <c r="H614" s="432">
        <v>306</v>
      </c>
      <c r="I614" s="432">
        <v>143</v>
      </c>
      <c r="J614" s="432">
        <v>292328</v>
      </c>
      <c r="K614" s="432"/>
      <c r="L614" s="497"/>
      <c r="M614" s="497"/>
    </row>
    <row r="615" spans="1:13" ht="9" customHeight="1" x14ac:dyDescent="0.25">
      <c r="A615" s="475" t="s">
        <v>45</v>
      </c>
      <c r="B615" s="435">
        <f t="shared" si="24"/>
        <v>2452176</v>
      </c>
      <c r="C615" s="435">
        <v>538260</v>
      </c>
      <c r="D615" s="435">
        <v>243812</v>
      </c>
      <c r="E615" s="435">
        <v>78652</v>
      </c>
      <c r="F615" s="435">
        <v>443082</v>
      </c>
      <c r="G615" s="435">
        <v>161705</v>
      </c>
      <c r="H615" s="435">
        <v>4204</v>
      </c>
      <c r="I615" s="435">
        <v>169</v>
      </c>
      <c r="J615" s="435">
        <v>982292</v>
      </c>
      <c r="K615" s="432"/>
      <c r="L615" s="497"/>
      <c r="M615" s="497"/>
    </row>
    <row r="616" spans="1:13" ht="9" customHeight="1" x14ac:dyDescent="0.25">
      <c r="A616" s="428" t="s">
        <v>46</v>
      </c>
      <c r="B616" s="432">
        <f t="shared" si="24"/>
        <v>2532347</v>
      </c>
      <c r="C616" s="432">
        <v>617115</v>
      </c>
      <c r="D616" s="432">
        <v>246433</v>
      </c>
      <c r="E616" s="432">
        <v>75249</v>
      </c>
      <c r="F616" s="495">
        <v>532047</v>
      </c>
      <c r="G616" s="495">
        <v>177181</v>
      </c>
      <c r="H616" s="495">
        <v>1316</v>
      </c>
      <c r="I616" s="495">
        <v>283</v>
      </c>
      <c r="J616" s="495">
        <v>882723</v>
      </c>
      <c r="K616" s="432"/>
      <c r="L616" s="497"/>
      <c r="M616" s="497"/>
    </row>
    <row r="617" spans="1:13" ht="9" customHeight="1" x14ac:dyDescent="0.25">
      <c r="A617" s="428" t="s">
        <v>47</v>
      </c>
      <c r="B617" s="432">
        <f t="shared" si="24"/>
        <v>2148957</v>
      </c>
      <c r="C617" s="432">
        <v>592759</v>
      </c>
      <c r="D617" s="432">
        <v>222163</v>
      </c>
      <c r="E617" s="432">
        <v>78965</v>
      </c>
      <c r="F617" s="432">
        <v>410064</v>
      </c>
      <c r="G617" s="432">
        <v>228131</v>
      </c>
      <c r="H617" s="432">
        <v>2970</v>
      </c>
      <c r="I617" s="432">
        <v>90</v>
      </c>
      <c r="J617" s="432">
        <v>613815</v>
      </c>
      <c r="K617" s="432"/>
      <c r="L617" s="497"/>
      <c r="M617" s="497"/>
    </row>
    <row r="618" spans="1:13" ht="9" customHeight="1" x14ac:dyDescent="0.25">
      <c r="A618" s="428" t="s">
        <v>48</v>
      </c>
      <c r="B618" s="432">
        <f t="shared" si="24"/>
        <v>2501496</v>
      </c>
      <c r="C618" s="432">
        <v>468971</v>
      </c>
      <c r="D618" s="432">
        <v>236639</v>
      </c>
      <c r="E618" s="432">
        <v>60340</v>
      </c>
      <c r="F618" s="432">
        <v>526737</v>
      </c>
      <c r="G618" s="432">
        <v>180724</v>
      </c>
      <c r="H618" s="432">
        <v>516</v>
      </c>
      <c r="I618" s="432">
        <v>2106</v>
      </c>
      <c r="J618" s="432">
        <v>1025463</v>
      </c>
      <c r="K618" s="432"/>
      <c r="L618" s="497"/>
      <c r="M618" s="497"/>
    </row>
    <row r="619" spans="1:13" ht="9" customHeight="1" x14ac:dyDescent="0.25">
      <c r="A619" s="475" t="s">
        <v>49</v>
      </c>
      <c r="B619" s="435">
        <f t="shared" si="24"/>
        <v>2973804</v>
      </c>
      <c r="C619" s="435">
        <v>700578</v>
      </c>
      <c r="D619" s="435">
        <v>236292</v>
      </c>
      <c r="E619" s="435">
        <v>79012</v>
      </c>
      <c r="F619" s="435">
        <v>692581</v>
      </c>
      <c r="G619" s="435">
        <v>205415</v>
      </c>
      <c r="H619" s="435">
        <v>2403</v>
      </c>
      <c r="I619" s="435">
        <v>756</v>
      </c>
      <c r="J619" s="435">
        <v>1056767</v>
      </c>
      <c r="K619" s="432"/>
      <c r="L619" s="497"/>
      <c r="M619" s="497"/>
    </row>
    <row r="620" spans="1:13" ht="9" customHeight="1" x14ac:dyDescent="0.25">
      <c r="A620" s="428" t="s">
        <v>50</v>
      </c>
      <c r="B620" s="432">
        <f t="shared" si="24"/>
        <v>967857</v>
      </c>
      <c r="C620" s="432">
        <v>242757</v>
      </c>
      <c r="D620" s="432">
        <v>105222</v>
      </c>
      <c r="E620" s="432">
        <v>26465</v>
      </c>
      <c r="F620" s="432">
        <v>166694</v>
      </c>
      <c r="G620" s="432">
        <v>55588</v>
      </c>
      <c r="H620" s="432">
        <v>523</v>
      </c>
      <c r="I620" s="432">
        <v>50</v>
      </c>
      <c r="J620" s="432">
        <v>370558</v>
      </c>
      <c r="K620" s="432"/>
      <c r="L620" s="497"/>
      <c r="M620" s="497"/>
    </row>
    <row r="621" spans="1:13" ht="9" customHeight="1" x14ac:dyDescent="0.25">
      <c r="A621" s="428" t="s">
        <v>51</v>
      </c>
      <c r="B621" s="432">
        <f t="shared" si="24"/>
        <v>7406584</v>
      </c>
      <c r="C621" s="432">
        <v>1354063</v>
      </c>
      <c r="D621" s="432">
        <v>901613</v>
      </c>
      <c r="E621" s="432">
        <v>158858</v>
      </c>
      <c r="F621" s="432">
        <v>1606591</v>
      </c>
      <c r="G621" s="432">
        <v>545644</v>
      </c>
      <c r="H621" s="432">
        <v>3484</v>
      </c>
      <c r="I621" s="432">
        <v>2706</v>
      </c>
      <c r="J621" s="432">
        <v>2833625</v>
      </c>
      <c r="K621" s="432"/>
      <c r="L621" s="497"/>
      <c r="M621" s="497"/>
    </row>
    <row r="622" spans="1:13" ht="9" customHeight="1" x14ac:dyDescent="0.25">
      <c r="A622" s="428" t="s">
        <v>52</v>
      </c>
      <c r="B622" s="432">
        <f t="shared" si="24"/>
        <v>1494450</v>
      </c>
      <c r="C622" s="432">
        <v>436915</v>
      </c>
      <c r="D622" s="432">
        <v>151823</v>
      </c>
      <c r="E622" s="432">
        <v>40335</v>
      </c>
      <c r="F622" s="432">
        <v>233619</v>
      </c>
      <c r="G622" s="432">
        <v>95951</v>
      </c>
      <c r="H622" s="432">
        <v>5488</v>
      </c>
      <c r="I622" s="432">
        <v>2</v>
      </c>
      <c r="J622" s="432">
        <v>530317</v>
      </c>
      <c r="K622" s="432"/>
      <c r="L622" s="497"/>
      <c r="M622" s="497"/>
    </row>
    <row r="623" spans="1:13" ht="9" customHeight="1" x14ac:dyDescent="0.25">
      <c r="A623" s="475" t="s">
        <v>53</v>
      </c>
      <c r="B623" s="435">
        <f t="shared" si="24"/>
        <v>1453243</v>
      </c>
      <c r="C623" s="435">
        <v>312719</v>
      </c>
      <c r="D623" s="435">
        <v>154017</v>
      </c>
      <c r="E623" s="435">
        <v>40991</v>
      </c>
      <c r="F623" s="435">
        <v>244218</v>
      </c>
      <c r="G623" s="435">
        <v>90985</v>
      </c>
      <c r="H623" s="435">
        <v>1320</v>
      </c>
      <c r="I623" s="435">
        <v>42</v>
      </c>
      <c r="J623" s="435">
        <v>608951</v>
      </c>
      <c r="K623" s="432"/>
      <c r="L623" s="497"/>
      <c r="M623" s="497"/>
    </row>
    <row r="624" spans="1:13" ht="9" customHeight="1" x14ac:dyDescent="0.25">
      <c r="A624" s="472"/>
      <c r="B624" s="438"/>
      <c r="C624" s="438"/>
      <c r="D624" s="438"/>
      <c r="E624" s="438"/>
      <c r="F624" s="438"/>
      <c r="G624" s="438"/>
      <c r="H624" s="438"/>
      <c r="I624" s="438"/>
      <c r="J624" s="438"/>
      <c r="K624" s="438"/>
      <c r="L624" s="497"/>
      <c r="M624" s="497"/>
    </row>
    <row r="625" spans="1:12" s="405" customFormat="1" ht="9" customHeight="1" x14ac:dyDescent="0.25">
      <c r="A625" s="470">
        <v>2012</v>
      </c>
      <c r="B625" s="442"/>
      <c r="C625" s="442"/>
      <c r="D625" s="442"/>
      <c r="E625" s="442"/>
      <c r="F625" s="442"/>
      <c r="G625" s="442"/>
      <c r="H625" s="442"/>
      <c r="I625" s="442"/>
      <c r="J625" s="442"/>
      <c r="K625" s="442"/>
    </row>
    <row r="626" spans="1:12" s="399" customFormat="1" ht="9" customHeight="1" x14ac:dyDescent="0.15">
      <c r="A626" s="490" t="s">
        <v>216</v>
      </c>
      <c r="B626" s="442">
        <f t="shared" ref="B626:J626" si="25">SUM(B628:B659)</f>
        <v>106539022.34999999</v>
      </c>
      <c r="C626" s="442">
        <f t="shared" si="25"/>
        <v>24054159</v>
      </c>
      <c r="D626" s="442">
        <f t="shared" si="25"/>
        <v>9562290.5</v>
      </c>
      <c r="E626" s="442">
        <f t="shared" si="25"/>
        <v>2817446</v>
      </c>
      <c r="F626" s="442">
        <f t="shared" si="25"/>
        <v>21470345</v>
      </c>
      <c r="G626" s="442">
        <f t="shared" si="25"/>
        <v>8252835.8499999996</v>
      </c>
      <c r="H626" s="442">
        <f t="shared" si="25"/>
        <v>172392</v>
      </c>
      <c r="I626" s="442">
        <f t="shared" si="25"/>
        <v>19716</v>
      </c>
      <c r="J626" s="442">
        <f t="shared" si="25"/>
        <v>40179939</v>
      </c>
      <c r="K626" s="442"/>
    </row>
    <row r="627" spans="1:12" s="399" customFormat="1" ht="3.95" customHeight="1" x14ac:dyDescent="0.25">
      <c r="A627" s="473"/>
      <c r="B627" s="430"/>
      <c r="C627" s="430"/>
      <c r="D627" s="430"/>
      <c r="E627" s="430"/>
      <c r="F627" s="430"/>
      <c r="G627" s="430"/>
      <c r="H627" s="430"/>
      <c r="I627" s="430"/>
      <c r="J627" s="430"/>
    </row>
    <row r="628" spans="1:12" s="405" customFormat="1" ht="9" customHeight="1" x14ac:dyDescent="0.25">
      <c r="A628" s="428" t="s">
        <v>23</v>
      </c>
      <c r="B628" s="432">
        <f t="shared" ref="B628:B636" si="26">SUM(C628:J628)</f>
        <v>1034905</v>
      </c>
      <c r="C628" s="432">
        <v>314807</v>
      </c>
      <c r="D628" s="432">
        <v>82291</v>
      </c>
      <c r="E628" s="432">
        <v>37784</v>
      </c>
      <c r="F628" s="495">
        <v>183680</v>
      </c>
      <c r="G628" s="495">
        <v>70746</v>
      </c>
      <c r="H628" s="495">
        <v>1226</v>
      </c>
      <c r="I628" s="495">
        <v>31</v>
      </c>
      <c r="J628" s="432">
        <v>344340</v>
      </c>
      <c r="K628" s="432"/>
      <c r="L628" s="432"/>
    </row>
    <row r="629" spans="1:12" s="405" customFormat="1" ht="9" customHeight="1" x14ac:dyDescent="0.25">
      <c r="A629" s="428" t="s">
        <v>24</v>
      </c>
      <c r="B629" s="432">
        <f t="shared" si="26"/>
        <v>2511036</v>
      </c>
      <c r="C629" s="432">
        <v>752610</v>
      </c>
      <c r="D629" s="432">
        <v>231643</v>
      </c>
      <c r="E629" s="432">
        <v>80638</v>
      </c>
      <c r="F629" s="432">
        <v>574321</v>
      </c>
      <c r="G629" s="432">
        <v>178006</v>
      </c>
      <c r="H629" s="432">
        <v>1781</v>
      </c>
      <c r="I629" s="432">
        <v>156</v>
      </c>
      <c r="J629" s="432">
        <v>691881</v>
      </c>
      <c r="K629" s="432"/>
      <c r="L629" s="432"/>
    </row>
    <row r="630" spans="1:12" s="405" customFormat="1" ht="9" customHeight="1" x14ac:dyDescent="0.25">
      <c r="A630" s="428" t="s">
        <v>25</v>
      </c>
      <c r="B630" s="432">
        <f t="shared" si="26"/>
        <v>625504</v>
      </c>
      <c r="C630" s="432">
        <v>155265</v>
      </c>
      <c r="D630" s="432">
        <v>44497</v>
      </c>
      <c r="E630" s="432">
        <v>25636</v>
      </c>
      <c r="F630" s="432">
        <v>169520</v>
      </c>
      <c r="G630" s="432">
        <v>40474</v>
      </c>
      <c r="H630" s="432">
        <v>193</v>
      </c>
      <c r="I630" s="432">
        <v>123</v>
      </c>
      <c r="J630" s="432">
        <v>189796</v>
      </c>
      <c r="K630" s="432"/>
      <c r="L630" s="432"/>
    </row>
    <row r="631" spans="1:12" s="405" customFormat="1" ht="9" customHeight="1" x14ac:dyDescent="0.25">
      <c r="A631" s="475" t="s">
        <v>26</v>
      </c>
      <c r="B631" s="435">
        <f t="shared" si="26"/>
        <v>973785</v>
      </c>
      <c r="C631" s="435">
        <v>193722</v>
      </c>
      <c r="D631" s="435">
        <v>72074</v>
      </c>
      <c r="E631" s="435">
        <v>19686</v>
      </c>
      <c r="F631" s="435">
        <v>237090</v>
      </c>
      <c r="G631" s="435">
        <v>68729</v>
      </c>
      <c r="H631" s="435">
        <v>725</v>
      </c>
      <c r="I631" s="435">
        <v>486</v>
      </c>
      <c r="J631" s="435">
        <v>381273</v>
      </c>
      <c r="K631" s="432"/>
      <c r="L631" s="432"/>
    </row>
    <row r="632" spans="1:12" s="405" customFormat="1" ht="9" customHeight="1" x14ac:dyDescent="0.25">
      <c r="A632" s="428" t="s">
        <v>27</v>
      </c>
      <c r="B632" s="432">
        <f t="shared" si="26"/>
        <v>2624946</v>
      </c>
      <c r="C632" s="432">
        <v>639502</v>
      </c>
      <c r="D632" s="432">
        <v>189417</v>
      </c>
      <c r="E632" s="432">
        <v>74094</v>
      </c>
      <c r="F632" s="495">
        <v>583824</v>
      </c>
      <c r="G632" s="495">
        <v>234629</v>
      </c>
      <c r="H632" s="495">
        <v>6331</v>
      </c>
      <c r="I632" s="495">
        <v>463</v>
      </c>
      <c r="J632" s="495">
        <v>896686</v>
      </c>
      <c r="K632" s="432"/>
      <c r="L632" s="432"/>
    </row>
    <row r="633" spans="1:12" s="405" customFormat="1" ht="9" customHeight="1" x14ac:dyDescent="0.25">
      <c r="A633" s="428" t="s">
        <v>28</v>
      </c>
      <c r="B633" s="432">
        <f t="shared" si="26"/>
        <v>591216</v>
      </c>
      <c r="C633" s="432">
        <v>136373</v>
      </c>
      <c r="D633" s="432">
        <v>53078</v>
      </c>
      <c r="E633" s="432">
        <v>16173</v>
      </c>
      <c r="F633" s="432">
        <v>133789</v>
      </c>
      <c r="G633" s="432">
        <v>41431</v>
      </c>
      <c r="H633" s="432">
        <v>332</v>
      </c>
      <c r="I633" s="432">
        <v>88</v>
      </c>
      <c r="J633" s="432">
        <v>209952</v>
      </c>
      <c r="K633" s="432"/>
      <c r="L633" s="432"/>
    </row>
    <row r="634" spans="1:12" s="405" customFormat="1" ht="9" customHeight="1" x14ac:dyDescent="0.25">
      <c r="A634" s="428" t="s">
        <v>29</v>
      </c>
      <c r="B634" s="432">
        <f t="shared" si="26"/>
        <v>5547331.8499999996</v>
      </c>
      <c r="C634" s="432">
        <v>1032471</v>
      </c>
      <c r="D634" s="432">
        <v>645008.5</v>
      </c>
      <c r="E634" s="432">
        <v>153066</v>
      </c>
      <c r="F634" s="432">
        <v>1014811</v>
      </c>
      <c r="G634" s="432">
        <v>442999.35</v>
      </c>
      <c r="H634" s="432">
        <v>3922</v>
      </c>
      <c r="I634" s="432">
        <v>1126</v>
      </c>
      <c r="J634" s="432">
        <v>2253928</v>
      </c>
      <c r="K634" s="432"/>
      <c r="L634" s="432"/>
    </row>
    <row r="635" spans="1:12" s="405" customFormat="1" ht="9" customHeight="1" x14ac:dyDescent="0.25">
      <c r="A635" s="475" t="s">
        <v>30</v>
      </c>
      <c r="B635" s="435">
        <f t="shared" si="26"/>
        <v>3068739</v>
      </c>
      <c r="C635" s="435">
        <v>872982</v>
      </c>
      <c r="D635" s="435">
        <v>261398</v>
      </c>
      <c r="E635" s="435">
        <v>90680</v>
      </c>
      <c r="F635" s="435">
        <v>563063</v>
      </c>
      <c r="G635" s="435">
        <v>327482</v>
      </c>
      <c r="H635" s="435">
        <v>3019</v>
      </c>
      <c r="I635" s="435">
        <v>99</v>
      </c>
      <c r="J635" s="435">
        <v>950016</v>
      </c>
      <c r="K635" s="432"/>
      <c r="L635" s="432"/>
    </row>
    <row r="636" spans="1:12" s="405" customFormat="1" ht="9" customHeight="1" x14ac:dyDescent="0.25">
      <c r="A636" s="428" t="s">
        <v>63</v>
      </c>
      <c r="B636" s="432">
        <f t="shared" si="26"/>
        <v>7695527</v>
      </c>
      <c r="C636" s="432">
        <v>1626051</v>
      </c>
      <c r="D636" s="432">
        <v>645865</v>
      </c>
      <c r="E636" s="432">
        <v>191682</v>
      </c>
      <c r="F636" s="495">
        <v>1705245</v>
      </c>
      <c r="G636" s="495">
        <v>396402</v>
      </c>
      <c r="H636" s="495">
        <v>22814</v>
      </c>
      <c r="I636" s="495">
        <v>2716</v>
      </c>
      <c r="J636" s="495">
        <v>3104752</v>
      </c>
      <c r="K636" s="432"/>
      <c r="L636" s="432"/>
    </row>
    <row r="637" spans="1:12" s="405" customFormat="1" ht="9" customHeight="1" x14ac:dyDescent="0.25">
      <c r="A637" s="428" t="s">
        <v>31</v>
      </c>
      <c r="B637" s="432">
        <f>SUM(C637:J637)</f>
        <v>1854406</v>
      </c>
      <c r="C637" s="432">
        <v>424536</v>
      </c>
      <c r="D637" s="432">
        <v>142730</v>
      </c>
      <c r="E637" s="432">
        <v>44734</v>
      </c>
      <c r="F637" s="432">
        <v>466276</v>
      </c>
      <c r="G637" s="432">
        <v>133302</v>
      </c>
      <c r="H637" s="432">
        <v>4388</v>
      </c>
      <c r="I637" s="432">
        <v>30</v>
      </c>
      <c r="J637" s="432">
        <v>638410</v>
      </c>
      <c r="K637" s="432"/>
      <c r="L637" s="432"/>
    </row>
    <row r="638" spans="1:12" s="405" customFormat="1" ht="9" customHeight="1" x14ac:dyDescent="0.25">
      <c r="A638" s="428" t="s">
        <v>32</v>
      </c>
      <c r="B638" s="432">
        <f>SUM(C638:J638)</f>
        <v>4914703</v>
      </c>
      <c r="C638" s="432">
        <v>1369643</v>
      </c>
      <c r="D638" s="432">
        <v>448101</v>
      </c>
      <c r="E638" s="432">
        <v>138178</v>
      </c>
      <c r="F638" s="432">
        <v>780842</v>
      </c>
      <c r="G638" s="432">
        <v>349589</v>
      </c>
      <c r="H638" s="432">
        <v>1883</v>
      </c>
      <c r="I638" s="432">
        <v>593</v>
      </c>
      <c r="J638" s="432">
        <v>1825874</v>
      </c>
      <c r="K638" s="432"/>
      <c r="L638" s="432"/>
    </row>
    <row r="639" spans="1:12" s="405" customFormat="1" ht="9" customHeight="1" x14ac:dyDescent="0.25">
      <c r="A639" s="475" t="s">
        <v>33</v>
      </c>
      <c r="B639" s="435">
        <f>SUM(C639:J639)</f>
        <v>3009842</v>
      </c>
      <c r="C639" s="435">
        <v>688717</v>
      </c>
      <c r="D639" s="435">
        <v>277369</v>
      </c>
      <c r="E639" s="435">
        <v>91618</v>
      </c>
      <c r="F639" s="435">
        <v>644030</v>
      </c>
      <c r="G639" s="435">
        <v>231598</v>
      </c>
      <c r="H639" s="435">
        <v>3498</v>
      </c>
      <c r="I639" s="435">
        <v>629</v>
      </c>
      <c r="J639" s="435">
        <v>1072383</v>
      </c>
      <c r="K639" s="432"/>
      <c r="L639" s="432"/>
    </row>
    <row r="640" spans="1:12" s="405" customFormat="1" ht="9" customHeight="1" x14ac:dyDescent="0.25">
      <c r="A640" s="428" t="s">
        <v>34</v>
      </c>
      <c r="B640" s="432">
        <f>SUM(C640:J640)</f>
        <v>2600725</v>
      </c>
      <c r="C640" s="432">
        <v>494092</v>
      </c>
      <c r="D640" s="432">
        <v>244055</v>
      </c>
      <c r="E640" s="432">
        <v>62467</v>
      </c>
      <c r="F640" s="495">
        <v>484779</v>
      </c>
      <c r="G640" s="495">
        <v>172955</v>
      </c>
      <c r="H640" s="495">
        <v>4557</v>
      </c>
      <c r="I640" s="495">
        <v>333</v>
      </c>
      <c r="J640" s="495">
        <v>1137487</v>
      </c>
      <c r="K640" s="432"/>
      <c r="L640" s="432"/>
    </row>
    <row r="641" spans="1:12" s="405" customFormat="1" ht="9" customHeight="1" x14ac:dyDescent="0.25">
      <c r="A641" s="428" t="s">
        <v>35</v>
      </c>
      <c r="B641" s="432">
        <f>SUM(C641:J641)</f>
        <v>6259545</v>
      </c>
      <c r="C641" s="432">
        <v>1703908</v>
      </c>
      <c r="D641" s="432">
        <v>598955</v>
      </c>
      <c r="E641" s="432">
        <v>203235</v>
      </c>
      <c r="F641" s="495">
        <v>1282436</v>
      </c>
      <c r="G641" s="495">
        <v>432863</v>
      </c>
      <c r="H641" s="495">
        <v>5267</v>
      </c>
      <c r="I641" s="495">
        <v>737</v>
      </c>
      <c r="J641" s="495">
        <v>2032144</v>
      </c>
      <c r="K641" s="432"/>
      <c r="L641" s="432"/>
    </row>
    <row r="642" spans="1:12" s="405" customFormat="1" ht="9" customHeight="1" x14ac:dyDescent="0.25">
      <c r="A642" s="428" t="s">
        <v>372</v>
      </c>
      <c r="B642" s="501">
        <f>SUM(C642:J642)+9899</f>
        <v>16668339</v>
      </c>
      <c r="C642" s="432">
        <v>3279736</v>
      </c>
      <c r="D642" s="432">
        <v>1241460</v>
      </c>
      <c r="E642" s="432">
        <v>341861</v>
      </c>
      <c r="F642" s="495">
        <v>3541639</v>
      </c>
      <c r="G642" s="495">
        <v>1704443</v>
      </c>
      <c r="H642" s="495">
        <v>29015</v>
      </c>
      <c r="I642" s="495">
        <v>1372</v>
      </c>
      <c r="J642" s="495">
        <v>6518914</v>
      </c>
      <c r="K642" s="432"/>
      <c r="L642" s="432"/>
    </row>
    <row r="643" spans="1:12" s="405" customFormat="1" ht="9" customHeight="1" x14ac:dyDescent="0.25">
      <c r="A643" s="475" t="s">
        <v>37</v>
      </c>
      <c r="B643" s="435">
        <f t="shared" ref="B643:B659" si="27">SUM(C643:J643)</f>
        <v>4244446</v>
      </c>
      <c r="C643" s="435">
        <v>861609</v>
      </c>
      <c r="D643" s="435">
        <v>383420</v>
      </c>
      <c r="E643" s="435">
        <v>124263</v>
      </c>
      <c r="F643" s="435">
        <v>736335</v>
      </c>
      <c r="G643" s="435">
        <v>342011</v>
      </c>
      <c r="H643" s="435">
        <v>6081</v>
      </c>
      <c r="I643" s="435">
        <v>162</v>
      </c>
      <c r="J643" s="435">
        <v>1790565</v>
      </c>
      <c r="K643" s="432"/>
      <c r="L643" s="432"/>
    </row>
    <row r="644" spans="1:12" s="405" customFormat="1" ht="9" customHeight="1" x14ac:dyDescent="0.25">
      <c r="A644" s="428" t="s">
        <v>38</v>
      </c>
      <c r="B644" s="432">
        <f t="shared" si="27"/>
        <v>1470335</v>
      </c>
      <c r="C644" s="432">
        <v>291088</v>
      </c>
      <c r="D644" s="432">
        <v>156775</v>
      </c>
      <c r="E644" s="432">
        <v>44346</v>
      </c>
      <c r="F644" s="495">
        <v>335445</v>
      </c>
      <c r="G644" s="495">
        <v>111926</v>
      </c>
      <c r="H644" s="495">
        <v>2193</v>
      </c>
      <c r="I644" s="495">
        <v>30</v>
      </c>
      <c r="J644" s="495">
        <v>528532</v>
      </c>
      <c r="K644" s="432"/>
      <c r="L644" s="432"/>
    </row>
    <row r="645" spans="1:12" s="405" customFormat="1" ht="9" customHeight="1" x14ac:dyDescent="0.25">
      <c r="A645" s="428" t="s">
        <v>39</v>
      </c>
      <c r="B645" s="432">
        <f t="shared" si="27"/>
        <v>1066230</v>
      </c>
      <c r="C645" s="432">
        <v>241652</v>
      </c>
      <c r="D645" s="432">
        <v>101799</v>
      </c>
      <c r="E645" s="432">
        <v>29047</v>
      </c>
      <c r="F645" s="495">
        <v>207107</v>
      </c>
      <c r="G645" s="495">
        <v>73422</v>
      </c>
      <c r="H645" s="495">
        <v>2206</v>
      </c>
      <c r="I645" s="495">
        <v>24</v>
      </c>
      <c r="J645" s="495">
        <v>410973</v>
      </c>
      <c r="K645" s="432"/>
      <c r="L645" s="432"/>
    </row>
    <row r="646" spans="1:12" s="405" customFormat="1" ht="9" customHeight="1" x14ac:dyDescent="0.25">
      <c r="A646" s="428" t="s">
        <v>40</v>
      </c>
      <c r="B646" s="432">
        <f t="shared" si="27"/>
        <v>3564543.5</v>
      </c>
      <c r="C646" s="432">
        <v>1001237</v>
      </c>
      <c r="D646" s="432">
        <v>343893</v>
      </c>
      <c r="E646" s="432">
        <v>106307</v>
      </c>
      <c r="F646" s="495">
        <v>745474</v>
      </c>
      <c r="G646" s="495">
        <v>315098.5</v>
      </c>
      <c r="H646" s="495">
        <v>2461</v>
      </c>
      <c r="I646" s="495">
        <v>376</v>
      </c>
      <c r="J646" s="495">
        <v>1049697</v>
      </c>
      <c r="K646" s="432"/>
      <c r="L646" s="432"/>
    </row>
    <row r="647" spans="1:12" s="405" customFormat="1" ht="9" customHeight="1" x14ac:dyDescent="0.25">
      <c r="A647" s="475" t="s">
        <v>41</v>
      </c>
      <c r="B647" s="435">
        <f t="shared" si="27"/>
        <v>3514595</v>
      </c>
      <c r="C647" s="435">
        <v>715274</v>
      </c>
      <c r="D647" s="435">
        <v>351753</v>
      </c>
      <c r="E647" s="435">
        <v>93534</v>
      </c>
      <c r="F647" s="435">
        <v>587236</v>
      </c>
      <c r="G647" s="435">
        <v>247084</v>
      </c>
      <c r="H647" s="435">
        <v>9039</v>
      </c>
      <c r="I647" s="435">
        <v>915</v>
      </c>
      <c r="J647" s="435">
        <v>1509760</v>
      </c>
      <c r="K647" s="432"/>
      <c r="L647" s="432"/>
    </row>
    <row r="648" spans="1:12" s="405" customFormat="1" ht="9" customHeight="1" x14ac:dyDescent="0.25">
      <c r="A648" s="428" t="s">
        <v>42</v>
      </c>
      <c r="B648" s="432">
        <f t="shared" si="27"/>
        <v>5953825</v>
      </c>
      <c r="C648" s="432">
        <v>1220181</v>
      </c>
      <c r="D648" s="432">
        <v>481506</v>
      </c>
      <c r="E648" s="432">
        <v>151250</v>
      </c>
      <c r="F648" s="495">
        <v>1091228</v>
      </c>
      <c r="G648" s="495">
        <v>509526</v>
      </c>
      <c r="H648" s="495">
        <v>9532</v>
      </c>
      <c r="I648" s="495">
        <v>447</v>
      </c>
      <c r="J648" s="495">
        <v>2490155</v>
      </c>
      <c r="K648" s="432"/>
      <c r="L648" s="432"/>
    </row>
    <row r="649" spans="1:12" s="405" customFormat="1" ht="9" customHeight="1" x14ac:dyDescent="0.25">
      <c r="A649" s="428" t="s">
        <v>43</v>
      </c>
      <c r="B649" s="432">
        <f t="shared" si="27"/>
        <v>1355550</v>
      </c>
      <c r="C649" s="432">
        <v>424754</v>
      </c>
      <c r="D649" s="432">
        <v>138098</v>
      </c>
      <c r="E649" s="432">
        <v>40299</v>
      </c>
      <c r="F649" s="432">
        <v>226211</v>
      </c>
      <c r="G649" s="432">
        <v>122530</v>
      </c>
      <c r="H649" s="432">
        <v>1548</v>
      </c>
      <c r="I649" s="432">
        <v>685</v>
      </c>
      <c r="J649" s="432">
        <v>401425</v>
      </c>
      <c r="K649" s="432"/>
      <c r="L649" s="432"/>
    </row>
    <row r="650" spans="1:12" s="405" customFormat="1" ht="9" customHeight="1" x14ac:dyDescent="0.25">
      <c r="A650" s="428" t="s">
        <v>44</v>
      </c>
      <c r="B650" s="432">
        <f t="shared" si="27"/>
        <v>1047537</v>
      </c>
      <c r="C650" s="432">
        <v>294963</v>
      </c>
      <c r="D650" s="432">
        <v>107445</v>
      </c>
      <c r="E650" s="432">
        <v>29997</v>
      </c>
      <c r="F650" s="432">
        <v>205740</v>
      </c>
      <c r="G650" s="432">
        <v>85362</v>
      </c>
      <c r="H650" s="432">
        <v>1454</v>
      </c>
      <c r="I650" s="432">
        <v>93</v>
      </c>
      <c r="J650" s="432">
        <v>322483</v>
      </c>
      <c r="K650" s="432"/>
      <c r="L650" s="432"/>
    </row>
    <row r="651" spans="1:12" s="405" customFormat="1" ht="9" customHeight="1" x14ac:dyDescent="0.25">
      <c r="A651" s="475" t="s">
        <v>45</v>
      </c>
      <c r="B651" s="435">
        <f t="shared" si="27"/>
        <v>2558474</v>
      </c>
      <c r="C651" s="435">
        <v>530918</v>
      </c>
      <c r="D651" s="435">
        <v>243992</v>
      </c>
      <c r="E651" s="435">
        <v>74069</v>
      </c>
      <c r="F651" s="435">
        <v>444296</v>
      </c>
      <c r="G651" s="435">
        <v>169481</v>
      </c>
      <c r="H651" s="435">
        <v>5661</v>
      </c>
      <c r="I651" s="435">
        <v>357</v>
      </c>
      <c r="J651" s="435">
        <v>1089700</v>
      </c>
      <c r="K651" s="432"/>
      <c r="L651" s="432"/>
    </row>
    <row r="652" spans="1:12" s="405" customFormat="1" ht="9" customHeight="1" x14ac:dyDescent="0.25">
      <c r="A652" s="428" t="s">
        <v>46</v>
      </c>
      <c r="B652" s="432">
        <f t="shared" si="27"/>
        <v>2559471</v>
      </c>
      <c r="C652" s="432">
        <v>600761</v>
      </c>
      <c r="D652" s="432">
        <v>239231</v>
      </c>
      <c r="E652" s="432">
        <v>72353</v>
      </c>
      <c r="F652" s="495">
        <v>529968</v>
      </c>
      <c r="G652" s="495">
        <v>189849</v>
      </c>
      <c r="H652" s="495">
        <v>11346</v>
      </c>
      <c r="I652" s="495">
        <v>525</v>
      </c>
      <c r="J652" s="495">
        <v>915438</v>
      </c>
      <c r="K652" s="432"/>
      <c r="L652" s="432"/>
    </row>
    <row r="653" spans="1:12" s="405" customFormat="1" ht="9" customHeight="1" x14ac:dyDescent="0.25">
      <c r="A653" s="428" t="s">
        <v>47</v>
      </c>
      <c r="B653" s="432">
        <f t="shared" si="27"/>
        <v>2250843</v>
      </c>
      <c r="C653" s="432">
        <v>607734</v>
      </c>
      <c r="D653" s="432">
        <v>221181</v>
      </c>
      <c r="E653" s="432">
        <v>70729</v>
      </c>
      <c r="F653" s="432">
        <v>441487</v>
      </c>
      <c r="G653" s="432">
        <v>198494</v>
      </c>
      <c r="H653" s="432">
        <v>2404</v>
      </c>
      <c r="I653" s="432">
        <v>329</v>
      </c>
      <c r="J653" s="432">
        <v>708485</v>
      </c>
      <c r="K653" s="432"/>
      <c r="L653" s="432"/>
    </row>
    <row r="654" spans="1:12" s="405" customFormat="1" ht="9" customHeight="1" x14ac:dyDescent="0.25">
      <c r="A654" s="428" t="s">
        <v>48</v>
      </c>
      <c r="B654" s="432">
        <f t="shared" si="27"/>
        <v>2421563</v>
      </c>
      <c r="C654" s="432">
        <v>443459</v>
      </c>
      <c r="D654" s="432">
        <v>206327</v>
      </c>
      <c r="E654" s="432">
        <v>56507</v>
      </c>
      <c r="F654" s="432">
        <v>463819</v>
      </c>
      <c r="G654" s="432">
        <v>141436</v>
      </c>
      <c r="H654" s="432">
        <v>825</v>
      </c>
      <c r="I654" s="432">
        <v>1650</v>
      </c>
      <c r="J654" s="432">
        <v>1107540</v>
      </c>
      <c r="K654" s="432"/>
      <c r="L654" s="432"/>
    </row>
    <row r="655" spans="1:12" s="405" customFormat="1" ht="9" customHeight="1" x14ac:dyDescent="0.25">
      <c r="A655" s="475" t="s">
        <v>49</v>
      </c>
      <c r="B655" s="435">
        <f t="shared" si="27"/>
        <v>3224742</v>
      </c>
      <c r="C655" s="435">
        <v>779473</v>
      </c>
      <c r="D655" s="435">
        <v>375184</v>
      </c>
      <c r="E655" s="435">
        <v>84567</v>
      </c>
      <c r="F655" s="435">
        <v>691670</v>
      </c>
      <c r="G655" s="435">
        <v>166615</v>
      </c>
      <c r="H655" s="435">
        <v>3238</v>
      </c>
      <c r="I655" s="435">
        <v>2351</v>
      </c>
      <c r="J655" s="435">
        <v>1121644</v>
      </c>
      <c r="K655" s="432"/>
      <c r="L655" s="432"/>
    </row>
    <row r="656" spans="1:12" s="405" customFormat="1" ht="9" customHeight="1" x14ac:dyDescent="0.25">
      <c r="A656" s="428" t="s">
        <v>50</v>
      </c>
      <c r="B656" s="432">
        <f t="shared" si="27"/>
        <v>1017080</v>
      </c>
      <c r="C656" s="432">
        <v>245663</v>
      </c>
      <c r="D656" s="432">
        <v>114262</v>
      </c>
      <c r="E656" s="432">
        <v>28011</v>
      </c>
      <c r="F656" s="432">
        <v>177798</v>
      </c>
      <c r="G656" s="432">
        <v>67609</v>
      </c>
      <c r="H656" s="432">
        <v>1393</v>
      </c>
      <c r="I656" s="432">
        <v>21</v>
      </c>
      <c r="J656" s="432">
        <v>382323</v>
      </c>
      <c r="K656" s="432"/>
      <c r="L656" s="432"/>
    </row>
    <row r="657" spans="1:13" s="405" customFormat="1" ht="9" customHeight="1" x14ac:dyDescent="0.25">
      <c r="A657" s="428" t="s">
        <v>51</v>
      </c>
      <c r="B657" s="432">
        <f t="shared" si="27"/>
        <v>7307250</v>
      </c>
      <c r="C657" s="432">
        <v>1346921</v>
      </c>
      <c r="D657" s="432">
        <v>648702</v>
      </c>
      <c r="E657" s="432">
        <v>162865</v>
      </c>
      <c r="F657" s="432">
        <v>1712618</v>
      </c>
      <c r="G657" s="432">
        <v>512981</v>
      </c>
      <c r="H657" s="432">
        <v>10436</v>
      </c>
      <c r="I657" s="432">
        <v>2551</v>
      </c>
      <c r="J657" s="432">
        <v>2910176</v>
      </c>
      <c r="K657" s="432"/>
      <c r="L657" s="432"/>
    </row>
    <row r="658" spans="1:13" s="405" customFormat="1" ht="9" customHeight="1" x14ac:dyDescent="0.25">
      <c r="A658" s="428" t="s">
        <v>52</v>
      </c>
      <c r="B658" s="432">
        <f t="shared" si="27"/>
        <v>1501551</v>
      </c>
      <c r="C658" s="432">
        <v>440025</v>
      </c>
      <c r="D658" s="432">
        <v>130973</v>
      </c>
      <c r="E658" s="432">
        <v>39721</v>
      </c>
      <c r="F658" s="432">
        <v>223417</v>
      </c>
      <c r="G658" s="432">
        <v>80712</v>
      </c>
      <c r="H658" s="432">
        <v>11433</v>
      </c>
      <c r="I658" s="432">
        <v>166</v>
      </c>
      <c r="J658" s="432">
        <v>575104</v>
      </c>
      <c r="K658" s="432"/>
      <c r="L658" s="432"/>
    </row>
    <row r="659" spans="1:13" s="405" customFormat="1" ht="9" customHeight="1" x14ac:dyDescent="0.25">
      <c r="A659" s="475" t="s">
        <v>53</v>
      </c>
      <c r="B659" s="435">
        <f t="shared" si="27"/>
        <v>1500437</v>
      </c>
      <c r="C659" s="435">
        <v>324032</v>
      </c>
      <c r="D659" s="435">
        <v>139808</v>
      </c>
      <c r="E659" s="435">
        <v>38049</v>
      </c>
      <c r="F659" s="435">
        <v>285151</v>
      </c>
      <c r="G659" s="435">
        <v>93051</v>
      </c>
      <c r="H659" s="435">
        <v>2191</v>
      </c>
      <c r="I659" s="435">
        <v>52</v>
      </c>
      <c r="J659" s="435">
        <v>618103</v>
      </c>
      <c r="K659" s="432"/>
      <c r="L659" s="432"/>
    </row>
    <row r="660" spans="1:13" ht="9" customHeight="1" x14ac:dyDescent="0.25">
      <c r="A660" s="472"/>
      <c r="B660" s="438"/>
      <c r="C660" s="438"/>
      <c r="D660" s="438"/>
      <c r="E660" s="438"/>
      <c r="F660" s="438"/>
      <c r="G660" s="438"/>
      <c r="H660" s="438"/>
      <c r="I660" s="438"/>
      <c r="J660" s="438"/>
      <c r="K660" s="438"/>
      <c r="L660" s="497"/>
      <c r="M660" s="497"/>
    </row>
    <row r="661" spans="1:13" s="405" customFormat="1" ht="9" customHeight="1" x14ac:dyDescent="0.25">
      <c r="A661" s="502" t="s">
        <v>373</v>
      </c>
      <c r="B661" s="442"/>
      <c r="C661" s="442"/>
      <c r="D661" s="442"/>
      <c r="E661" s="442"/>
      <c r="F661" s="442"/>
      <c r="G661" s="442"/>
      <c r="H661" s="442"/>
      <c r="I661" s="442"/>
      <c r="J661" s="442"/>
      <c r="K661" s="442"/>
    </row>
    <row r="662" spans="1:13" s="399" customFormat="1" ht="9" customHeight="1" x14ac:dyDescent="0.15">
      <c r="A662" s="490" t="s">
        <v>374</v>
      </c>
      <c r="B662" s="442">
        <f>SUM(B664:B695)</f>
        <v>79198673</v>
      </c>
      <c r="C662" s="442">
        <f t="shared" ref="C662:J662" si="28">SUM(C664:C695)</f>
        <v>6972584</v>
      </c>
      <c r="D662" s="442">
        <f t="shared" si="28"/>
        <v>8516723</v>
      </c>
      <c r="E662" s="442">
        <f t="shared" si="28"/>
        <v>2478321</v>
      </c>
      <c r="F662" s="442">
        <f t="shared" si="28"/>
        <v>14975974</v>
      </c>
      <c r="G662" s="442">
        <f t="shared" si="28"/>
        <v>4448301</v>
      </c>
      <c r="H662" s="442">
        <f t="shared" si="28"/>
        <v>178429</v>
      </c>
      <c r="I662" s="442">
        <f t="shared" si="28"/>
        <v>18945</v>
      </c>
      <c r="J662" s="442">
        <f t="shared" si="28"/>
        <v>41457663</v>
      </c>
      <c r="K662" s="442"/>
    </row>
    <row r="663" spans="1:13" s="399" customFormat="1" ht="3.95" customHeight="1" x14ac:dyDescent="0.25">
      <c r="A663" s="473"/>
      <c r="B663" s="430"/>
      <c r="C663" s="430"/>
      <c r="D663" s="430"/>
      <c r="E663" s="430"/>
      <c r="F663" s="430"/>
      <c r="G663" s="430"/>
      <c r="H663" s="430"/>
      <c r="I663" s="430"/>
      <c r="J663" s="430"/>
    </row>
    <row r="664" spans="1:13" s="405" customFormat="1" ht="9" customHeight="1" x14ac:dyDescent="0.25">
      <c r="A664" s="428" t="s">
        <v>23</v>
      </c>
      <c r="B664" s="432">
        <f t="shared" ref="B664:B672" si="29">SUM(C664:J664)</f>
        <v>968741</v>
      </c>
      <c r="C664" s="432">
        <v>112741</v>
      </c>
      <c r="D664" s="432">
        <v>94964</v>
      </c>
      <c r="E664" s="432">
        <v>34458</v>
      </c>
      <c r="F664" s="495">
        <v>133543</v>
      </c>
      <c r="G664" s="495">
        <v>51758</v>
      </c>
      <c r="H664" s="495">
        <v>967</v>
      </c>
      <c r="I664" s="495">
        <v>31</v>
      </c>
      <c r="J664" s="432">
        <v>540279</v>
      </c>
      <c r="K664" s="432"/>
      <c r="L664" s="432"/>
    </row>
    <row r="665" spans="1:13" s="405" customFormat="1" ht="9" customHeight="1" x14ac:dyDescent="0.25">
      <c r="A665" s="428" t="s">
        <v>24</v>
      </c>
      <c r="B665" s="432">
        <f>SUM(C665:J665)+510</f>
        <v>1743574</v>
      </c>
      <c r="C665" s="432">
        <v>253639</v>
      </c>
      <c r="D665" s="432">
        <v>204749</v>
      </c>
      <c r="E665" s="432">
        <v>72565</v>
      </c>
      <c r="F665" s="432">
        <v>380028</v>
      </c>
      <c r="G665" s="432">
        <v>96989</v>
      </c>
      <c r="H665" s="432">
        <v>2608</v>
      </c>
      <c r="I665" s="432">
        <v>202</v>
      </c>
      <c r="J665" s="432">
        <v>732284</v>
      </c>
      <c r="K665" s="432"/>
      <c r="L665" s="432"/>
    </row>
    <row r="666" spans="1:13" s="405" customFormat="1" ht="9" customHeight="1" x14ac:dyDescent="0.25">
      <c r="A666" s="428" t="s">
        <v>25</v>
      </c>
      <c r="B666" s="432">
        <f t="shared" si="29"/>
        <v>555291</v>
      </c>
      <c r="C666" s="432">
        <v>61887</v>
      </c>
      <c r="D666" s="432">
        <v>53101</v>
      </c>
      <c r="E666" s="432">
        <v>24610</v>
      </c>
      <c r="F666" s="432">
        <v>160440</v>
      </c>
      <c r="G666" s="432">
        <v>34821</v>
      </c>
      <c r="H666" s="432">
        <v>285</v>
      </c>
      <c r="I666" s="432">
        <v>295</v>
      </c>
      <c r="J666" s="432">
        <v>219852</v>
      </c>
      <c r="K666" s="432"/>
      <c r="L666" s="432"/>
    </row>
    <row r="667" spans="1:13" s="405" customFormat="1" ht="9" customHeight="1" x14ac:dyDescent="0.25">
      <c r="A667" s="475" t="s">
        <v>26</v>
      </c>
      <c r="B667" s="435">
        <f>SUM(C667:J667)+1285</f>
        <v>694785</v>
      </c>
      <c r="C667" s="435">
        <v>39587</v>
      </c>
      <c r="D667" s="435">
        <v>67447</v>
      </c>
      <c r="E667" s="435">
        <v>18898</v>
      </c>
      <c r="F667" s="435">
        <v>157953</v>
      </c>
      <c r="G667" s="435">
        <v>41854</v>
      </c>
      <c r="H667" s="435">
        <v>849</v>
      </c>
      <c r="I667" s="435">
        <v>363</v>
      </c>
      <c r="J667" s="435">
        <v>366549</v>
      </c>
      <c r="K667" s="432"/>
      <c r="L667" s="432"/>
    </row>
    <row r="668" spans="1:13" s="405" customFormat="1" ht="9" customHeight="1" x14ac:dyDescent="0.25">
      <c r="A668" s="428" t="s">
        <v>27</v>
      </c>
      <c r="B668" s="432">
        <f>SUM(C668:J668)+4188</f>
        <v>1894152</v>
      </c>
      <c r="C668" s="432">
        <v>221151</v>
      </c>
      <c r="D668" s="432">
        <v>186219</v>
      </c>
      <c r="E668" s="432">
        <v>69589</v>
      </c>
      <c r="F668" s="495">
        <v>470858</v>
      </c>
      <c r="G668" s="495">
        <v>111805</v>
      </c>
      <c r="H668" s="495">
        <v>5508</v>
      </c>
      <c r="I668" s="495">
        <v>311</v>
      </c>
      <c r="J668" s="495">
        <v>824523</v>
      </c>
      <c r="K668" s="432"/>
      <c r="L668" s="432"/>
    </row>
    <row r="669" spans="1:13" s="405" customFormat="1" ht="9" customHeight="1" x14ac:dyDescent="0.25">
      <c r="A669" s="428" t="s">
        <v>28</v>
      </c>
      <c r="B669" s="432">
        <f t="shared" si="29"/>
        <v>455248</v>
      </c>
      <c r="C669" s="432">
        <v>51846</v>
      </c>
      <c r="D669" s="432">
        <v>52338</v>
      </c>
      <c r="E669" s="432">
        <v>16067</v>
      </c>
      <c r="F669" s="432">
        <v>104996</v>
      </c>
      <c r="G669" s="432">
        <v>24151</v>
      </c>
      <c r="H669" s="432">
        <v>531</v>
      </c>
      <c r="I669" s="432">
        <v>17</v>
      </c>
      <c r="J669" s="432">
        <v>205302</v>
      </c>
      <c r="K669" s="432"/>
      <c r="L669" s="432"/>
    </row>
    <row r="670" spans="1:13" s="405" customFormat="1" ht="9" customHeight="1" x14ac:dyDescent="0.25">
      <c r="A670" s="428" t="s">
        <v>29</v>
      </c>
      <c r="B670" s="432">
        <f>SUM(C670:J670)+36964</f>
        <v>3780638</v>
      </c>
      <c r="C670" s="432">
        <v>427220</v>
      </c>
      <c r="D670" s="432">
        <v>476722</v>
      </c>
      <c r="E670" s="432">
        <v>122301</v>
      </c>
      <c r="F670" s="432">
        <v>616320</v>
      </c>
      <c r="G670" s="432">
        <v>271598</v>
      </c>
      <c r="H670" s="432">
        <v>3272</v>
      </c>
      <c r="I670" s="432">
        <v>690</v>
      </c>
      <c r="J670" s="432">
        <v>1825551</v>
      </c>
      <c r="K670" s="432"/>
      <c r="L670" s="432"/>
    </row>
    <row r="671" spans="1:13" s="405" customFormat="1" ht="9" customHeight="1" x14ac:dyDescent="0.25">
      <c r="A671" s="475" t="s">
        <v>30</v>
      </c>
      <c r="B671" s="435">
        <f>SUM(C671:J671)+2019</f>
        <v>2132049</v>
      </c>
      <c r="C671" s="435">
        <v>335331</v>
      </c>
      <c r="D671" s="435">
        <v>217827</v>
      </c>
      <c r="E671" s="435">
        <v>75911</v>
      </c>
      <c r="F671" s="435">
        <v>345287</v>
      </c>
      <c r="G671" s="435">
        <v>101471</v>
      </c>
      <c r="H671" s="435">
        <v>3606</v>
      </c>
      <c r="I671" s="435">
        <v>178</v>
      </c>
      <c r="J671" s="435">
        <v>1050419</v>
      </c>
      <c r="K671" s="432"/>
      <c r="L671" s="432"/>
    </row>
    <row r="672" spans="1:13" s="405" customFormat="1" ht="9" customHeight="1" x14ac:dyDescent="0.25">
      <c r="A672" s="428" t="s">
        <v>63</v>
      </c>
      <c r="B672" s="432">
        <f t="shared" si="29"/>
        <v>6573647</v>
      </c>
      <c r="C672" s="432">
        <v>394983</v>
      </c>
      <c r="D672" s="432">
        <v>575511</v>
      </c>
      <c r="E672" s="432">
        <v>164085</v>
      </c>
      <c r="F672" s="495">
        <v>1715469</v>
      </c>
      <c r="G672" s="495">
        <v>378789</v>
      </c>
      <c r="H672" s="495">
        <v>24015</v>
      </c>
      <c r="I672" s="495">
        <v>2801</v>
      </c>
      <c r="J672" s="495">
        <v>3317994</v>
      </c>
      <c r="K672" s="432"/>
      <c r="L672" s="432"/>
    </row>
    <row r="673" spans="1:12" s="405" customFormat="1" ht="9" customHeight="1" x14ac:dyDescent="0.25">
      <c r="A673" s="428" t="s">
        <v>31</v>
      </c>
      <c r="B673" s="432">
        <f>SUM(C673:J673)+4382</f>
        <v>1199825</v>
      </c>
      <c r="C673" s="432">
        <v>166193</v>
      </c>
      <c r="D673" s="432">
        <v>126225</v>
      </c>
      <c r="E673" s="432">
        <v>37275</v>
      </c>
      <c r="F673" s="432">
        <v>269629</v>
      </c>
      <c r="G673" s="432">
        <v>60105</v>
      </c>
      <c r="H673" s="432">
        <v>5117</v>
      </c>
      <c r="I673" s="432">
        <v>178</v>
      </c>
      <c r="J673" s="432">
        <v>530721</v>
      </c>
      <c r="K673" s="432"/>
      <c r="L673" s="432"/>
    </row>
    <row r="674" spans="1:12" s="405" customFormat="1" ht="9" customHeight="1" x14ac:dyDescent="0.25">
      <c r="A674" s="428" t="s">
        <v>32</v>
      </c>
      <c r="B674" s="432">
        <f>SUM(C674:J674)+72</f>
        <v>3978271</v>
      </c>
      <c r="C674" s="432">
        <v>386090</v>
      </c>
      <c r="D674" s="432">
        <v>572518</v>
      </c>
      <c r="E674" s="432">
        <v>115339</v>
      </c>
      <c r="F674" s="432">
        <v>543489</v>
      </c>
      <c r="G674" s="432">
        <v>280016</v>
      </c>
      <c r="H674" s="432">
        <v>4767</v>
      </c>
      <c r="I674" s="432">
        <v>688</v>
      </c>
      <c r="J674" s="432">
        <v>2075292</v>
      </c>
      <c r="K674" s="432"/>
      <c r="L674" s="432"/>
    </row>
    <row r="675" spans="1:12" s="405" customFormat="1" ht="9" customHeight="1" x14ac:dyDescent="0.25">
      <c r="A675" s="475" t="s">
        <v>33</v>
      </c>
      <c r="B675" s="435">
        <f>SUM(C675:J675)+799</f>
        <v>2036642</v>
      </c>
      <c r="C675" s="435">
        <v>89362</v>
      </c>
      <c r="D675" s="435">
        <v>193826</v>
      </c>
      <c r="E675" s="435">
        <v>68917</v>
      </c>
      <c r="F675" s="435">
        <v>508892</v>
      </c>
      <c r="G675" s="435">
        <v>82952</v>
      </c>
      <c r="H675" s="435">
        <v>1923</v>
      </c>
      <c r="I675" s="435">
        <v>525</v>
      </c>
      <c r="J675" s="435">
        <v>1089446</v>
      </c>
      <c r="K675" s="432"/>
      <c r="L675" s="432"/>
    </row>
    <row r="676" spans="1:12" s="405" customFormat="1" ht="9" customHeight="1" x14ac:dyDescent="0.25">
      <c r="A676" s="428" t="s">
        <v>34</v>
      </c>
      <c r="B676" s="432">
        <f>SUM(C676:J676)+3738</f>
        <v>1696104</v>
      </c>
      <c r="C676" s="432">
        <v>140534</v>
      </c>
      <c r="D676" s="432">
        <v>177262</v>
      </c>
      <c r="E676" s="432">
        <v>52593</v>
      </c>
      <c r="F676" s="495">
        <v>269140</v>
      </c>
      <c r="G676" s="495">
        <v>88286</v>
      </c>
      <c r="H676" s="495">
        <v>4300</v>
      </c>
      <c r="I676" s="495">
        <v>663</v>
      </c>
      <c r="J676" s="495">
        <v>959588</v>
      </c>
      <c r="K676" s="432"/>
      <c r="L676" s="432"/>
    </row>
    <row r="677" spans="1:12" s="405" customFormat="1" ht="9" customHeight="1" x14ac:dyDescent="0.25">
      <c r="A677" s="428" t="s">
        <v>35</v>
      </c>
      <c r="B677" s="432">
        <f>SUM(C677:J677)</f>
        <v>4390635</v>
      </c>
      <c r="C677" s="432">
        <v>577805</v>
      </c>
      <c r="D677" s="432">
        <v>517817</v>
      </c>
      <c r="E677" s="432">
        <v>168275</v>
      </c>
      <c r="F677" s="495">
        <v>673224</v>
      </c>
      <c r="G677" s="495">
        <v>249996</v>
      </c>
      <c r="H677" s="495">
        <v>6975</v>
      </c>
      <c r="I677" s="495">
        <v>679</v>
      </c>
      <c r="J677" s="495">
        <v>2195864</v>
      </c>
      <c r="K677" s="432"/>
      <c r="L677" s="432"/>
    </row>
    <row r="678" spans="1:12" s="405" customFormat="1" ht="9" customHeight="1" x14ac:dyDescent="0.25">
      <c r="A678" s="428" t="s">
        <v>36</v>
      </c>
      <c r="B678" s="501">
        <f>SUM(C678:J678)+1137</f>
        <v>11809019</v>
      </c>
      <c r="C678" s="432">
        <v>658086</v>
      </c>
      <c r="D678" s="432">
        <v>1070706</v>
      </c>
      <c r="E678" s="432">
        <v>300867</v>
      </c>
      <c r="F678" s="495">
        <v>2385484</v>
      </c>
      <c r="G678" s="495">
        <v>716025</v>
      </c>
      <c r="H678" s="495">
        <v>30691</v>
      </c>
      <c r="I678" s="495">
        <v>575</v>
      </c>
      <c r="J678" s="495">
        <v>6645448</v>
      </c>
      <c r="K678" s="432"/>
      <c r="L678" s="432"/>
    </row>
    <row r="679" spans="1:12" s="405" customFormat="1" ht="9" customHeight="1" x14ac:dyDescent="0.25">
      <c r="A679" s="475" t="s">
        <v>37</v>
      </c>
      <c r="B679" s="435">
        <f>SUM(C679:J679)+21762</f>
        <v>3140420</v>
      </c>
      <c r="C679" s="435">
        <v>332670</v>
      </c>
      <c r="D679" s="435">
        <v>349826</v>
      </c>
      <c r="E679" s="435">
        <v>102246</v>
      </c>
      <c r="F679" s="435">
        <v>443686</v>
      </c>
      <c r="G679" s="435">
        <v>161463</v>
      </c>
      <c r="H679" s="435">
        <v>5709</v>
      </c>
      <c r="I679" s="435">
        <v>88</v>
      </c>
      <c r="J679" s="435">
        <v>1722970</v>
      </c>
      <c r="K679" s="432"/>
      <c r="L679" s="432"/>
    </row>
    <row r="680" spans="1:12" s="405" customFormat="1" ht="9" customHeight="1" x14ac:dyDescent="0.25">
      <c r="A680" s="428" t="s">
        <v>38</v>
      </c>
      <c r="B680" s="432">
        <f>SUM(C680:J680)+69</f>
        <v>1167205</v>
      </c>
      <c r="C680" s="432">
        <v>118756</v>
      </c>
      <c r="D680" s="432">
        <v>129946</v>
      </c>
      <c r="E680" s="432">
        <v>41686</v>
      </c>
      <c r="F680" s="495">
        <v>202227</v>
      </c>
      <c r="G680" s="495">
        <v>60499</v>
      </c>
      <c r="H680" s="495">
        <v>2210</v>
      </c>
      <c r="I680" s="495">
        <v>44</v>
      </c>
      <c r="J680" s="495">
        <v>611768</v>
      </c>
      <c r="K680" s="432"/>
      <c r="L680" s="432"/>
    </row>
    <row r="681" spans="1:12" s="405" customFormat="1" ht="9" customHeight="1" x14ac:dyDescent="0.25">
      <c r="A681" s="428" t="s">
        <v>39</v>
      </c>
      <c r="B681" s="432">
        <f>SUM(C681:J681)+2867</f>
        <v>723602</v>
      </c>
      <c r="C681" s="432">
        <v>62864</v>
      </c>
      <c r="D681" s="432">
        <v>79257</v>
      </c>
      <c r="E681" s="432">
        <v>21137</v>
      </c>
      <c r="F681" s="495">
        <v>111919</v>
      </c>
      <c r="G681" s="495">
        <v>35106</v>
      </c>
      <c r="H681" s="495">
        <v>1876</v>
      </c>
      <c r="I681" s="495">
        <v>51</v>
      </c>
      <c r="J681" s="495">
        <v>408525</v>
      </c>
      <c r="K681" s="432"/>
      <c r="L681" s="432"/>
    </row>
    <row r="682" spans="1:12" s="405" customFormat="1" ht="9" customHeight="1" x14ac:dyDescent="0.25">
      <c r="A682" s="428" t="s">
        <v>40</v>
      </c>
      <c r="B682" s="432">
        <f t="shared" ref="B682:B692" si="30">SUM(C682:J682)</f>
        <v>2985577</v>
      </c>
      <c r="C682" s="432">
        <v>20432</v>
      </c>
      <c r="D682" s="432">
        <v>345867</v>
      </c>
      <c r="E682" s="432">
        <v>112088</v>
      </c>
      <c r="F682" s="495">
        <v>750444</v>
      </c>
      <c r="G682" s="495">
        <v>149433</v>
      </c>
      <c r="H682" s="495">
        <v>3811</v>
      </c>
      <c r="I682" s="495">
        <v>428</v>
      </c>
      <c r="J682" s="495">
        <v>1603074</v>
      </c>
      <c r="K682" s="432"/>
      <c r="L682" s="432"/>
    </row>
    <row r="683" spans="1:12" s="405" customFormat="1" ht="9" customHeight="1" x14ac:dyDescent="0.25">
      <c r="A683" s="475" t="s">
        <v>41</v>
      </c>
      <c r="B683" s="435">
        <f>SUM(C683:J683)+14632</f>
        <v>2533695</v>
      </c>
      <c r="C683" s="435">
        <v>255735</v>
      </c>
      <c r="D683" s="435">
        <v>275688</v>
      </c>
      <c r="E683" s="435">
        <v>76369</v>
      </c>
      <c r="F683" s="435">
        <v>339033</v>
      </c>
      <c r="G683" s="435">
        <v>121467</v>
      </c>
      <c r="H683" s="435">
        <v>7903</v>
      </c>
      <c r="I683" s="435">
        <v>943</v>
      </c>
      <c r="J683" s="435">
        <v>1441925</v>
      </c>
      <c r="K683" s="432"/>
      <c r="L683" s="432"/>
    </row>
    <row r="684" spans="1:12" s="405" customFormat="1" ht="9" customHeight="1" x14ac:dyDescent="0.25">
      <c r="A684" s="428" t="s">
        <v>42</v>
      </c>
      <c r="B684" s="432">
        <f>SUM(C684:J684)+18869</f>
        <v>4350532</v>
      </c>
      <c r="C684" s="432">
        <v>429390</v>
      </c>
      <c r="D684" s="432">
        <v>473075</v>
      </c>
      <c r="E684" s="432">
        <v>146254</v>
      </c>
      <c r="F684" s="495">
        <v>687122</v>
      </c>
      <c r="G684" s="495">
        <v>270184</v>
      </c>
      <c r="H684" s="495">
        <v>10568</v>
      </c>
      <c r="I684" s="495">
        <v>107</v>
      </c>
      <c r="J684" s="495">
        <v>2314963</v>
      </c>
      <c r="K684" s="432"/>
      <c r="L684" s="432"/>
    </row>
    <row r="685" spans="1:12" s="405" customFormat="1" ht="9" customHeight="1" x14ac:dyDescent="0.25">
      <c r="A685" s="428" t="s">
        <v>43</v>
      </c>
      <c r="B685" s="432">
        <f t="shared" si="30"/>
        <v>1108179</v>
      </c>
      <c r="C685" s="432">
        <v>139709</v>
      </c>
      <c r="D685" s="432">
        <v>140956</v>
      </c>
      <c r="E685" s="432">
        <v>37881</v>
      </c>
      <c r="F685" s="432">
        <v>182973</v>
      </c>
      <c r="G685" s="432">
        <v>73958</v>
      </c>
      <c r="H685" s="432">
        <v>1143</v>
      </c>
      <c r="I685" s="432">
        <v>9</v>
      </c>
      <c r="J685" s="432">
        <v>531550</v>
      </c>
      <c r="K685" s="432"/>
      <c r="L685" s="432"/>
    </row>
    <row r="686" spans="1:12" s="405" customFormat="1" ht="9" customHeight="1" x14ac:dyDescent="0.25">
      <c r="A686" s="428" t="s">
        <v>44</v>
      </c>
      <c r="B686" s="432">
        <f t="shared" si="30"/>
        <v>800900</v>
      </c>
      <c r="C686" s="432">
        <v>107351</v>
      </c>
      <c r="D686" s="432">
        <v>104750</v>
      </c>
      <c r="E686" s="432">
        <v>29683</v>
      </c>
      <c r="F686" s="432">
        <v>190958</v>
      </c>
      <c r="G686" s="432">
        <v>58552</v>
      </c>
      <c r="H686" s="432">
        <v>1360</v>
      </c>
      <c r="I686" s="432">
        <v>74</v>
      </c>
      <c r="J686" s="432">
        <v>308172</v>
      </c>
      <c r="K686" s="432"/>
      <c r="L686" s="432"/>
    </row>
    <row r="687" spans="1:12" s="405" customFormat="1" ht="9" customHeight="1" x14ac:dyDescent="0.25">
      <c r="A687" s="475" t="s">
        <v>45</v>
      </c>
      <c r="B687" s="435">
        <f>SUM(C687:J687)+6033</f>
        <v>1718905</v>
      </c>
      <c r="C687" s="435">
        <v>93081</v>
      </c>
      <c r="D687" s="435">
        <v>193910</v>
      </c>
      <c r="E687" s="435">
        <v>59224</v>
      </c>
      <c r="F687" s="435">
        <v>254338</v>
      </c>
      <c r="G687" s="435">
        <v>82707</v>
      </c>
      <c r="H687" s="435">
        <v>5119</v>
      </c>
      <c r="I687" s="435">
        <v>88</v>
      </c>
      <c r="J687" s="435">
        <v>1024405</v>
      </c>
      <c r="K687" s="432"/>
      <c r="L687" s="432"/>
    </row>
    <row r="688" spans="1:12" s="405" customFormat="1" ht="9" customHeight="1" x14ac:dyDescent="0.25">
      <c r="A688" s="428" t="s">
        <v>46</v>
      </c>
      <c r="B688" s="432">
        <f>SUM(C688:J688)+3566</f>
        <v>1934075</v>
      </c>
      <c r="C688" s="432">
        <v>227037</v>
      </c>
      <c r="D688" s="432">
        <v>197904</v>
      </c>
      <c r="E688" s="432">
        <v>60722</v>
      </c>
      <c r="F688" s="495">
        <v>307748</v>
      </c>
      <c r="G688" s="495">
        <v>102602</v>
      </c>
      <c r="H688" s="495">
        <v>12635</v>
      </c>
      <c r="I688" s="495">
        <v>1145</v>
      </c>
      <c r="J688" s="495">
        <v>1020716</v>
      </c>
      <c r="K688" s="432"/>
      <c r="L688" s="432"/>
    </row>
    <row r="689" spans="1:13" s="405" customFormat="1" ht="9" customHeight="1" x14ac:dyDescent="0.25">
      <c r="A689" s="428" t="s">
        <v>47</v>
      </c>
      <c r="B689" s="432">
        <f t="shared" si="30"/>
        <v>1696821</v>
      </c>
      <c r="C689" s="432">
        <v>252222</v>
      </c>
      <c r="D689" s="432">
        <v>176858</v>
      </c>
      <c r="E689" s="432">
        <v>61561</v>
      </c>
      <c r="F689" s="432">
        <v>368203</v>
      </c>
      <c r="G689" s="432">
        <v>98117</v>
      </c>
      <c r="H689" s="432">
        <v>2555</v>
      </c>
      <c r="I689" s="432">
        <v>354</v>
      </c>
      <c r="J689" s="432">
        <v>736951</v>
      </c>
      <c r="K689" s="432"/>
      <c r="L689" s="432"/>
    </row>
    <row r="690" spans="1:13" s="405" customFormat="1" ht="9" customHeight="1" x14ac:dyDescent="0.25">
      <c r="A690" s="428" t="s">
        <v>48</v>
      </c>
      <c r="B690" s="432">
        <f t="shared" si="30"/>
        <v>2043040</v>
      </c>
      <c r="C690" s="432">
        <v>72179</v>
      </c>
      <c r="D690" s="432">
        <v>268422</v>
      </c>
      <c r="E690" s="432">
        <v>58230</v>
      </c>
      <c r="F690" s="432">
        <v>392572</v>
      </c>
      <c r="G690" s="432">
        <v>117722</v>
      </c>
      <c r="H690" s="432">
        <v>707</v>
      </c>
      <c r="I690" s="432">
        <v>2254</v>
      </c>
      <c r="J690" s="432">
        <v>1130954</v>
      </c>
      <c r="K690" s="432"/>
      <c r="L690" s="432"/>
    </row>
    <row r="691" spans="1:13" s="405" customFormat="1" ht="9" customHeight="1" x14ac:dyDescent="0.25">
      <c r="A691" s="475" t="s">
        <v>49</v>
      </c>
      <c r="B691" s="435">
        <f>SUM(C691:J691)+2427</f>
        <v>2021971</v>
      </c>
      <c r="C691" s="435">
        <v>47279</v>
      </c>
      <c r="D691" s="435">
        <v>214230</v>
      </c>
      <c r="E691" s="435">
        <v>73719</v>
      </c>
      <c r="F691" s="435">
        <v>456056</v>
      </c>
      <c r="G691" s="435">
        <v>73664</v>
      </c>
      <c r="H691" s="435">
        <v>4928</v>
      </c>
      <c r="I691" s="435">
        <v>1221</v>
      </c>
      <c r="J691" s="435">
        <v>1148447</v>
      </c>
      <c r="K691" s="432"/>
      <c r="L691" s="432"/>
    </row>
    <row r="692" spans="1:13" s="405" customFormat="1" ht="9" customHeight="1" x14ac:dyDescent="0.25">
      <c r="A692" s="428" t="s">
        <v>50</v>
      </c>
      <c r="B692" s="432">
        <f t="shared" si="30"/>
        <v>808413</v>
      </c>
      <c r="C692" s="432">
        <v>56352</v>
      </c>
      <c r="D692" s="432">
        <v>114014</v>
      </c>
      <c r="E692" s="432">
        <v>26431</v>
      </c>
      <c r="F692" s="432">
        <v>98046</v>
      </c>
      <c r="G692" s="432">
        <v>56592</v>
      </c>
      <c r="H692" s="432">
        <v>3280</v>
      </c>
      <c r="I692" s="432">
        <v>75</v>
      </c>
      <c r="J692" s="432">
        <v>453623</v>
      </c>
      <c r="K692" s="432"/>
      <c r="L692" s="432"/>
    </row>
    <row r="693" spans="1:13" s="405" customFormat="1" ht="9" customHeight="1" x14ac:dyDescent="0.25">
      <c r="A693" s="428" t="s">
        <v>51</v>
      </c>
      <c r="B693" s="432">
        <f>SUM(C693:J693)+17300</f>
        <v>5801591</v>
      </c>
      <c r="C693" s="432">
        <v>507013</v>
      </c>
      <c r="D693" s="432">
        <v>601825</v>
      </c>
      <c r="E693" s="432">
        <v>153731</v>
      </c>
      <c r="F693" s="432">
        <v>1117751</v>
      </c>
      <c r="G693" s="432">
        <v>256075</v>
      </c>
      <c r="H693" s="432">
        <v>9695</v>
      </c>
      <c r="I693" s="432">
        <v>3793</v>
      </c>
      <c r="J693" s="432">
        <v>3134408</v>
      </c>
      <c r="K693" s="432"/>
      <c r="L693" s="432"/>
    </row>
    <row r="694" spans="1:13" s="405" customFormat="1" ht="9" customHeight="1" x14ac:dyDescent="0.25">
      <c r="A694" s="428" t="s">
        <v>52</v>
      </c>
      <c r="B694" s="432">
        <f>SUM(C694:J694)+4058</f>
        <v>1255673</v>
      </c>
      <c r="C694" s="432">
        <v>197459</v>
      </c>
      <c r="D694" s="432">
        <v>126301</v>
      </c>
      <c r="E694" s="432">
        <v>39064</v>
      </c>
      <c r="F694" s="432">
        <v>175404</v>
      </c>
      <c r="G694" s="432">
        <v>73348</v>
      </c>
      <c r="H694" s="432">
        <v>7504</v>
      </c>
      <c r="I694" s="432">
        <v>35</v>
      </c>
      <c r="J694" s="432">
        <v>632500</v>
      </c>
      <c r="K694" s="432"/>
      <c r="L694" s="432"/>
    </row>
    <row r="695" spans="1:13" s="405" customFormat="1" ht="9" customHeight="1" x14ac:dyDescent="0.25">
      <c r="A695" s="475" t="s">
        <v>53</v>
      </c>
      <c r="B695" s="435">
        <f>SUM(C695:J695)+5056</f>
        <v>1199453</v>
      </c>
      <c r="C695" s="435">
        <v>136600</v>
      </c>
      <c r="D695" s="435">
        <v>136662</v>
      </c>
      <c r="E695" s="435">
        <v>36545</v>
      </c>
      <c r="F695" s="435">
        <v>162742</v>
      </c>
      <c r="G695" s="435">
        <v>66196</v>
      </c>
      <c r="H695" s="435">
        <v>2012</v>
      </c>
      <c r="I695" s="435">
        <v>40</v>
      </c>
      <c r="J695" s="435">
        <v>653600</v>
      </c>
      <c r="K695" s="432"/>
      <c r="L695" s="432"/>
    </row>
    <row r="696" spans="1:13" ht="9" customHeight="1" x14ac:dyDescent="0.25">
      <c r="A696" s="472"/>
      <c r="B696" s="438"/>
      <c r="C696" s="438"/>
      <c r="D696" s="438"/>
      <c r="E696" s="438"/>
      <c r="F696" s="438"/>
      <c r="G696" s="438"/>
      <c r="H696" s="438"/>
      <c r="I696" s="438"/>
      <c r="J696" s="438"/>
      <c r="K696" s="438"/>
      <c r="L696" s="497"/>
      <c r="M696" s="497"/>
    </row>
    <row r="697" spans="1:13" s="405" customFormat="1" ht="9" customHeight="1" x14ac:dyDescent="0.25">
      <c r="A697" s="503" t="s">
        <v>195</v>
      </c>
      <c r="B697" s="442"/>
      <c r="C697" s="442"/>
      <c r="D697" s="442"/>
      <c r="E697" s="442"/>
      <c r="F697" s="442"/>
      <c r="G697" s="442"/>
      <c r="H697" s="442"/>
      <c r="I697" s="442"/>
      <c r="J697" s="442"/>
      <c r="K697" s="442"/>
    </row>
    <row r="698" spans="1:13" s="399" customFormat="1" ht="9" customHeight="1" x14ac:dyDescent="0.15">
      <c r="A698" s="490" t="s">
        <v>375</v>
      </c>
      <c r="B698" s="442">
        <f>SUM(B700:B731)+68013</f>
        <v>73163197</v>
      </c>
      <c r="C698" s="442">
        <f t="shared" ref="C698:J698" si="31">SUM(C700:C731)</f>
        <v>7522187</v>
      </c>
      <c r="D698" s="442">
        <f t="shared" si="31"/>
        <v>9029890</v>
      </c>
      <c r="E698" s="442">
        <f t="shared" si="31"/>
        <v>2517487</v>
      </c>
      <c r="F698" s="442">
        <f t="shared" si="31"/>
        <v>17025715</v>
      </c>
      <c r="G698" s="442">
        <f t="shared" si="31"/>
        <v>6137145</v>
      </c>
      <c r="H698" s="442">
        <f t="shared" si="31"/>
        <v>155020</v>
      </c>
      <c r="I698" s="442">
        <f t="shared" si="31"/>
        <v>8961</v>
      </c>
      <c r="J698" s="442">
        <f t="shared" si="31"/>
        <v>30708207</v>
      </c>
      <c r="K698" s="442"/>
    </row>
    <row r="699" spans="1:13" s="399" customFormat="1" ht="3.95" customHeight="1" x14ac:dyDescent="0.25">
      <c r="A699" s="473"/>
      <c r="B699" s="430"/>
      <c r="C699" s="430"/>
      <c r="D699" s="430"/>
      <c r="E699" s="430"/>
      <c r="F699" s="430"/>
      <c r="G699" s="430"/>
      <c r="H699" s="430"/>
      <c r="I699" s="430"/>
      <c r="J699" s="430"/>
    </row>
    <row r="700" spans="1:13" s="405" customFormat="1" ht="9" customHeight="1" x14ac:dyDescent="0.25">
      <c r="A700" s="428" t="s">
        <v>23</v>
      </c>
      <c r="B700" s="432">
        <f t="shared" ref="B700:B731" si="32">SUM(C700:J700)</f>
        <v>827288</v>
      </c>
      <c r="C700" s="432">
        <v>120957</v>
      </c>
      <c r="D700" s="432">
        <v>92797</v>
      </c>
      <c r="E700" s="432">
        <v>32833</v>
      </c>
      <c r="F700" s="495">
        <v>184148</v>
      </c>
      <c r="G700" s="495">
        <v>62580</v>
      </c>
      <c r="H700" s="495">
        <v>1119</v>
      </c>
      <c r="I700" s="495">
        <v>4</v>
      </c>
      <c r="J700" s="432">
        <v>332850</v>
      </c>
      <c r="K700" s="432"/>
      <c r="L700" s="432"/>
    </row>
    <row r="701" spans="1:13" s="405" customFormat="1" ht="9" customHeight="1" x14ac:dyDescent="0.25">
      <c r="A701" s="428" t="s">
        <v>24</v>
      </c>
      <c r="B701" s="432">
        <f t="shared" si="32"/>
        <v>1838663</v>
      </c>
      <c r="C701" s="432">
        <v>296221</v>
      </c>
      <c r="D701" s="432">
        <v>217211</v>
      </c>
      <c r="E701" s="432">
        <v>76067</v>
      </c>
      <c r="F701" s="432">
        <v>407422</v>
      </c>
      <c r="G701" s="432">
        <v>137571</v>
      </c>
      <c r="H701" s="432">
        <v>3401</v>
      </c>
      <c r="I701" s="432">
        <v>291</v>
      </c>
      <c r="J701" s="432">
        <v>700479</v>
      </c>
      <c r="K701" s="432"/>
      <c r="L701" s="432"/>
    </row>
    <row r="702" spans="1:13" s="405" customFormat="1" ht="9" customHeight="1" x14ac:dyDescent="0.25">
      <c r="A702" s="428" t="s">
        <v>25</v>
      </c>
      <c r="B702" s="432">
        <f t="shared" si="32"/>
        <v>484521</v>
      </c>
      <c r="C702" s="432">
        <v>57996</v>
      </c>
      <c r="D702" s="432">
        <v>45521</v>
      </c>
      <c r="E702" s="432">
        <v>20909</v>
      </c>
      <c r="F702" s="432">
        <v>147675</v>
      </c>
      <c r="G702" s="432">
        <v>37810</v>
      </c>
      <c r="H702" s="432">
        <v>262</v>
      </c>
      <c r="I702" s="432">
        <v>56</v>
      </c>
      <c r="J702" s="432">
        <v>174292</v>
      </c>
      <c r="K702" s="432"/>
      <c r="L702" s="432"/>
    </row>
    <row r="703" spans="1:13" s="405" customFormat="1" ht="9" customHeight="1" x14ac:dyDescent="0.25">
      <c r="A703" s="475" t="s">
        <v>26</v>
      </c>
      <c r="B703" s="435">
        <f t="shared" si="32"/>
        <v>680964</v>
      </c>
      <c r="C703" s="435">
        <v>64374</v>
      </c>
      <c r="D703" s="435">
        <v>64980</v>
      </c>
      <c r="E703" s="435">
        <v>17649</v>
      </c>
      <c r="F703" s="435">
        <v>183239</v>
      </c>
      <c r="G703" s="435">
        <v>82896</v>
      </c>
      <c r="H703" s="435">
        <v>896</v>
      </c>
      <c r="I703" s="435">
        <v>83</v>
      </c>
      <c r="J703" s="435">
        <v>266847</v>
      </c>
      <c r="K703" s="432"/>
      <c r="L703" s="432"/>
    </row>
    <row r="704" spans="1:13" s="405" customFormat="1" ht="9" customHeight="1" x14ac:dyDescent="0.25">
      <c r="A704" s="428" t="s">
        <v>27</v>
      </c>
      <c r="B704" s="432">
        <f t="shared" si="32"/>
        <v>1880935</v>
      </c>
      <c r="C704" s="432">
        <v>355556</v>
      </c>
      <c r="D704" s="432">
        <v>183015</v>
      </c>
      <c r="E704" s="432">
        <v>70286</v>
      </c>
      <c r="F704" s="495">
        <v>444111</v>
      </c>
      <c r="G704" s="495">
        <v>108375</v>
      </c>
      <c r="H704" s="495">
        <v>4862</v>
      </c>
      <c r="I704" s="495">
        <v>446</v>
      </c>
      <c r="J704" s="495">
        <v>714284</v>
      </c>
      <c r="K704" s="432"/>
      <c r="L704" s="432"/>
    </row>
    <row r="705" spans="1:12" s="405" customFormat="1" ht="9" customHeight="1" x14ac:dyDescent="0.25">
      <c r="A705" s="428" t="s">
        <v>28</v>
      </c>
      <c r="B705" s="432">
        <f t="shared" si="32"/>
        <v>409695</v>
      </c>
      <c r="C705" s="432">
        <v>53470</v>
      </c>
      <c r="D705" s="432">
        <v>48360</v>
      </c>
      <c r="E705" s="432">
        <v>16305</v>
      </c>
      <c r="F705" s="432">
        <v>93533</v>
      </c>
      <c r="G705" s="432">
        <v>26483</v>
      </c>
      <c r="H705" s="432">
        <v>519</v>
      </c>
      <c r="I705" s="432">
        <v>140</v>
      </c>
      <c r="J705" s="432">
        <v>170885</v>
      </c>
      <c r="K705" s="432"/>
      <c r="L705" s="432"/>
    </row>
    <row r="706" spans="1:12" s="405" customFormat="1" ht="9" customHeight="1" x14ac:dyDescent="0.25">
      <c r="A706" s="428" t="s">
        <v>29</v>
      </c>
      <c r="B706" s="432">
        <f t="shared" si="32"/>
        <v>3699047</v>
      </c>
      <c r="C706" s="432">
        <v>435675</v>
      </c>
      <c r="D706" s="432">
        <v>446124</v>
      </c>
      <c r="E706" s="432">
        <v>127807</v>
      </c>
      <c r="F706" s="432">
        <v>648235</v>
      </c>
      <c r="G706" s="432">
        <v>321731</v>
      </c>
      <c r="H706" s="432">
        <v>3329</v>
      </c>
      <c r="I706" s="432">
        <v>489</v>
      </c>
      <c r="J706" s="432">
        <v>1715657</v>
      </c>
      <c r="K706" s="432"/>
      <c r="L706" s="432"/>
    </row>
    <row r="707" spans="1:12" s="405" customFormat="1" ht="9" customHeight="1" x14ac:dyDescent="0.25">
      <c r="A707" s="475" t="s">
        <v>30</v>
      </c>
      <c r="B707" s="435">
        <f t="shared" si="32"/>
        <v>2142404</v>
      </c>
      <c r="C707" s="435">
        <v>322105</v>
      </c>
      <c r="D707" s="435">
        <v>267663</v>
      </c>
      <c r="E707" s="435">
        <v>84112</v>
      </c>
      <c r="F707" s="435">
        <v>411899</v>
      </c>
      <c r="G707" s="435">
        <v>174660</v>
      </c>
      <c r="H707" s="435">
        <v>3279</v>
      </c>
      <c r="I707" s="435">
        <v>464</v>
      </c>
      <c r="J707" s="435">
        <v>878222</v>
      </c>
      <c r="K707" s="432"/>
      <c r="L707" s="432"/>
    </row>
    <row r="708" spans="1:12" s="405" customFormat="1" ht="9" customHeight="1" x14ac:dyDescent="0.25">
      <c r="A708" s="428" t="s">
        <v>63</v>
      </c>
      <c r="B708" s="432">
        <f t="shared" si="32"/>
        <v>5593504</v>
      </c>
      <c r="C708" s="432">
        <v>342444</v>
      </c>
      <c r="D708" s="432">
        <v>554205</v>
      </c>
      <c r="E708" s="432">
        <v>161339</v>
      </c>
      <c r="F708" s="495">
        <v>1615921</v>
      </c>
      <c r="G708" s="495">
        <v>424765</v>
      </c>
      <c r="H708" s="495">
        <v>22231</v>
      </c>
      <c r="I708" s="495">
        <v>536</v>
      </c>
      <c r="J708" s="495">
        <v>2472063</v>
      </c>
      <c r="K708" s="432"/>
      <c r="L708" s="432"/>
    </row>
    <row r="709" spans="1:12" s="405" customFormat="1" ht="9" customHeight="1" x14ac:dyDescent="0.25">
      <c r="A709" s="428" t="s">
        <v>31</v>
      </c>
      <c r="B709" s="432">
        <f t="shared" si="32"/>
        <v>1160145</v>
      </c>
      <c r="C709" s="432">
        <v>168314</v>
      </c>
      <c r="D709" s="432">
        <v>127756</v>
      </c>
      <c r="E709" s="432">
        <v>38263</v>
      </c>
      <c r="F709" s="432">
        <v>219576</v>
      </c>
      <c r="G709" s="432">
        <v>90510</v>
      </c>
      <c r="H709" s="432">
        <v>4866</v>
      </c>
      <c r="I709" s="432">
        <v>105</v>
      </c>
      <c r="J709" s="432">
        <v>510755</v>
      </c>
      <c r="K709" s="432"/>
      <c r="L709" s="432"/>
    </row>
    <row r="710" spans="1:12" s="405" customFormat="1" ht="9" customHeight="1" x14ac:dyDescent="0.25">
      <c r="A710" s="428" t="s">
        <v>32</v>
      </c>
      <c r="B710" s="432">
        <f>SUM(C710:J710)-3854</f>
        <v>3253150</v>
      </c>
      <c r="C710" s="432">
        <v>380067</v>
      </c>
      <c r="D710" s="432">
        <v>562876</v>
      </c>
      <c r="E710" s="432">
        <v>118005</v>
      </c>
      <c r="F710" s="432">
        <v>541419</v>
      </c>
      <c r="G710" s="432">
        <v>288140</v>
      </c>
      <c r="H710" s="432">
        <v>3903</v>
      </c>
      <c r="I710" s="432">
        <v>464</v>
      </c>
      <c r="J710" s="432">
        <v>1362130</v>
      </c>
      <c r="K710" s="432"/>
      <c r="L710" s="432"/>
    </row>
    <row r="711" spans="1:12" s="405" customFormat="1" ht="9" customHeight="1" x14ac:dyDescent="0.25">
      <c r="A711" s="475" t="s">
        <v>33</v>
      </c>
      <c r="B711" s="435">
        <f t="shared" si="32"/>
        <v>2564275</v>
      </c>
      <c r="C711" s="435">
        <v>85334</v>
      </c>
      <c r="D711" s="435">
        <v>345041</v>
      </c>
      <c r="E711" s="435">
        <v>82323</v>
      </c>
      <c r="F711" s="435">
        <v>848401</v>
      </c>
      <c r="G711" s="435">
        <v>228250</v>
      </c>
      <c r="H711" s="435">
        <v>3337</v>
      </c>
      <c r="I711" s="435">
        <v>1122</v>
      </c>
      <c r="J711" s="435">
        <v>970467</v>
      </c>
      <c r="K711" s="432"/>
      <c r="L711" s="432"/>
    </row>
    <row r="712" spans="1:12" s="405" customFormat="1" ht="9" customHeight="1" x14ac:dyDescent="0.25">
      <c r="A712" s="428" t="s">
        <v>34</v>
      </c>
      <c r="B712" s="432">
        <f t="shared" si="32"/>
        <v>1697355</v>
      </c>
      <c r="C712" s="432">
        <v>136940</v>
      </c>
      <c r="D712" s="432">
        <v>221489</v>
      </c>
      <c r="E712" s="432">
        <v>55524</v>
      </c>
      <c r="F712" s="495">
        <v>323593</v>
      </c>
      <c r="G712" s="495">
        <v>122548</v>
      </c>
      <c r="H712" s="495">
        <v>5204</v>
      </c>
      <c r="I712" s="495">
        <v>478</v>
      </c>
      <c r="J712" s="495">
        <v>831579</v>
      </c>
      <c r="K712" s="432"/>
      <c r="L712" s="432"/>
    </row>
    <row r="713" spans="1:12" s="405" customFormat="1" ht="9" customHeight="1" x14ac:dyDescent="0.25">
      <c r="A713" s="428" t="s">
        <v>35</v>
      </c>
      <c r="B713" s="432">
        <f t="shared" si="32"/>
        <v>4053768</v>
      </c>
      <c r="C713" s="432">
        <v>617794</v>
      </c>
      <c r="D713" s="432">
        <v>529054</v>
      </c>
      <c r="E713" s="432">
        <v>170316</v>
      </c>
      <c r="F713" s="495">
        <v>791010</v>
      </c>
      <c r="G713" s="495">
        <v>300637</v>
      </c>
      <c r="H713" s="495">
        <v>6824</v>
      </c>
      <c r="I713" s="495">
        <v>680</v>
      </c>
      <c r="J713" s="495">
        <v>1637453</v>
      </c>
      <c r="K713" s="432"/>
      <c r="L713" s="432"/>
    </row>
    <row r="714" spans="1:12" s="405" customFormat="1" ht="9" customHeight="1" x14ac:dyDescent="0.25">
      <c r="A714" s="428" t="s">
        <v>36</v>
      </c>
      <c r="B714" s="501">
        <f t="shared" si="32"/>
        <v>10250060</v>
      </c>
      <c r="C714" s="432">
        <v>704675</v>
      </c>
      <c r="D714" s="432">
        <v>1269201</v>
      </c>
      <c r="E714" s="432">
        <v>316739</v>
      </c>
      <c r="F714" s="495">
        <v>2957277</v>
      </c>
      <c r="G714" s="495">
        <v>1278953</v>
      </c>
      <c r="H714" s="495">
        <v>24699</v>
      </c>
      <c r="I714" s="495">
        <v>344</v>
      </c>
      <c r="J714" s="495">
        <v>3698172</v>
      </c>
      <c r="K714" s="432"/>
      <c r="L714" s="432"/>
    </row>
    <row r="715" spans="1:12" s="405" customFormat="1" ht="9" customHeight="1" x14ac:dyDescent="0.25">
      <c r="A715" s="475" t="s">
        <v>37</v>
      </c>
      <c r="B715" s="435">
        <f t="shared" si="32"/>
        <v>3167390</v>
      </c>
      <c r="C715" s="435">
        <v>340657</v>
      </c>
      <c r="D715" s="435">
        <v>423250</v>
      </c>
      <c r="E715" s="435">
        <v>98319</v>
      </c>
      <c r="F715" s="435">
        <v>642561</v>
      </c>
      <c r="G715" s="435">
        <v>304515</v>
      </c>
      <c r="H715" s="435">
        <v>4822</v>
      </c>
      <c r="I715" s="435">
        <v>118</v>
      </c>
      <c r="J715" s="435">
        <v>1353148</v>
      </c>
      <c r="K715" s="432"/>
      <c r="L715" s="432"/>
    </row>
    <row r="716" spans="1:12" s="405" customFormat="1" ht="9" customHeight="1" x14ac:dyDescent="0.25">
      <c r="A716" s="428" t="s">
        <v>38</v>
      </c>
      <c r="B716" s="432">
        <f>SUM(C716:J716)-3161</f>
        <v>1049995</v>
      </c>
      <c r="C716" s="432">
        <v>96670</v>
      </c>
      <c r="D716" s="432">
        <v>134431</v>
      </c>
      <c r="E716" s="432">
        <v>42183</v>
      </c>
      <c r="F716" s="495">
        <v>281595</v>
      </c>
      <c r="G716" s="495">
        <v>92547</v>
      </c>
      <c r="H716" s="495">
        <v>1625</v>
      </c>
      <c r="I716" s="495">
        <v>207</v>
      </c>
      <c r="J716" s="495">
        <v>403898</v>
      </c>
      <c r="K716" s="432"/>
      <c r="L716" s="432"/>
    </row>
    <row r="717" spans="1:12" s="405" customFormat="1" ht="9" customHeight="1" x14ac:dyDescent="0.25">
      <c r="A717" s="428" t="s">
        <v>39</v>
      </c>
      <c r="B717" s="432">
        <f t="shared" si="32"/>
        <v>789399</v>
      </c>
      <c r="C717" s="432">
        <v>89492</v>
      </c>
      <c r="D717" s="432">
        <v>93297</v>
      </c>
      <c r="E717" s="432">
        <v>21813</v>
      </c>
      <c r="F717" s="495">
        <v>127966</v>
      </c>
      <c r="G717" s="495">
        <v>59008</v>
      </c>
      <c r="H717" s="495">
        <v>1550</v>
      </c>
      <c r="I717" s="495">
        <v>179</v>
      </c>
      <c r="J717" s="495">
        <v>396094</v>
      </c>
      <c r="K717" s="432"/>
      <c r="L717" s="432"/>
    </row>
    <row r="718" spans="1:12" s="405" customFormat="1" ht="9" customHeight="1" x14ac:dyDescent="0.25">
      <c r="A718" s="428" t="s">
        <v>40</v>
      </c>
      <c r="B718" s="432">
        <f t="shared" si="32"/>
        <v>2504487</v>
      </c>
      <c r="C718" s="432">
        <v>19907</v>
      </c>
      <c r="D718" s="432">
        <v>314862</v>
      </c>
      <c r="E718" s="432">
        <v>108305</v>
      </c>
      <c r="F718" s="495">
        <v>732086</v>
      </c>
      <c r="G718" s="495">
        <v>184006</v>
      </c>
      <c r="H718" s="495">
        <v>4031</v>
      </c>
      <c r="I718" s="495">
        <v>15</v>
      </c>
      <c r="J718" s="495">
        <v>1141275</v>
      </c>
      <c r="K718" s="432"/>
      <c r="L718" s="432"/>
    </row>
    <row r="719" spans="1:12" s="405" customFormat="1" ht="9" customHeight="1" x14ac:dyDescent="0.25">
      <c r="A719" s="475" t="s">
        <v>41</v>
      </c>
      <c r="B719" s="435">
        <f t="shared" si="32"/>
        <v>2632555</v>
      </c>
      <c r="C719" s="435">
        <v>282264</v>
      </c>
      <c r="D719" s="435">
        <v>311269</v>
      </c>
      <c r="E719" s="435">
        <v>83478</v>
      </c>
      <c r="F719" s="435">
        <v>450438</v>
      </c>
      <c r="G719" s="435">
        <v>229661</v>
      </c>
      <c r="H719" s="435">
        <v>7530</v>
      </c>
      <c r="I719" s="435">
        <v>296</v>
      </c>
      <c r="J719" s="435">
        <v>1267619</v>
      </c>
      <c r="K719" s="432"/>
      <c r="L719" s="432"/>
    </row>
    <row r="720" spans="1:12" s="405" customFormat="1" ht="9" customHeight="1" x14ac:dyDescent="0.25">
      <c r="A720" s="428" t="s">
        <v>42</v>
      </c>
      <c r="B720" s="432">
        <f t="shared" si="32"/>
        <v>3999907</v>
      </c>
      <c r="C720" s="432">
        <v>330085</v>
      </c>
      <c r="D720" s="432">
        <v>504133</v>
      </c>
      <c r="E720" s="432">
        <v>136048</v>
      </c>
      <c r="F720" s="495">
        <v>915991</v>
      </c>
      <c r="G720" s="495">
        <v>339270</v>
      </c>
      <c r="H720" s="495">
        <v>10299</v>
      </c>
      <c r="I720" s="495">
        <v>360</v>
      </c>
      <c r="J720" s="495">
        <v>1763721</v>
      </c>
      <c r="K720" s="432"/>
      <c r="L720" s="432"/>
    </row>
    <row r="721" spans="1:13" s="405" customFormat="1" ht="9" customHeight="1" x14ac:dyDescent="0.25">
      <c r="A721" s="428" t="s">
        <v>43</v>
      </c>
      <c r="B721" s="432">
        <f>SUM(C721:J721)-2413</f>
        <v>960741</v>
      </c>
      <c r="C721" s="432">
        <v>141459</v>
      </c>
      <c r="D721" s="432">
        <v>148678</v>
      </c>
      <c r="E721" s="432">
        <v>37828</v>
      </c>
      <c r="F721" s="432">
        <v>181288</v>
      </c>
      <c r="G721" s="432">
        <v>76188</v>
      </c>
      <c r="H721" s="432">
        <v>1395</v>
      </c>
      <c r="I721" s="432">
        <v>39</v>
      </c>
      <c r="J721" s="432">
        <v>376279</v>
      </c>
      <c r="K721" s="432"/>
      <c r="L721" s="432"/>
    </row>
    <row r="722" spans="1:13" s="405" customFormat="1" ht="9" customHeight="1" x14ac:dyDescent="0.25">
      <c r="A722" s="428" t="s">
        <v>44</v>
      </c>
      <c r="B722" s="432">
        <f t="shared" si="32"/>
        <v>836263</v>
      </c>
      <c r="C722" s="432">
        <v>120097</v>
      </c>
      <c r="D722" s="432">
        <v>101860</v>
      </c>
      <c r="E722" s="432">
        <v>30518</v>
      </c>
      <c r="F722" s="432">
        <v>224361</v>
      </c>
      <c r="G722" s="432">
        <v>72711</v>
      </c>
      <c r="H722" s="432">
        <v>1335</v>
      </c>
      <c r="I722" s="432">
        <v>144</v>
      </c>
      <c r="J722" s="432">
        <v>285237</v>
      </c>
      <c r="K722" s="432"/>
      <c r="L722" s="432"/>
    </row>
    <row r="723" spans="1:13" s="405" customFormat="1" ht="9" customHeight="1" x14ac:dyDescent="0.25">
      <c r="A723" s="475" t="s">
        <v>45</v>
      </c>
      <c r="B723" s="435">
        <f t="shared" si="32"/>
        <v>1936536</v>
      </c>
      <c r="C723" s="435">
        <v>223213</v>
      </c>
      <c r="D723" s="435">
        <v>229466</v>
      </c>
      <c r="E723" s="435">
        <v>68266</v>
      </c>
      <c r="F723" s="435">
        <v>357428</v>
      </c>
      <c r="G723" s="435">
        <v>140624</v>
      </c>
      <c r="H723" s="435">
        <v>5217</v>
      </c>
      <c r="I723" s="435">
        <v>139</v>
      </c>
      <c r="J723" s="435">
        <v>912183</v>
      </c>
      <c r="K723" s="432"/>
      <c r="L723" s="432"/>
    </row>
    <row r="724" spans="1:13" s="405" customFormat="1" ht="9" customHeight="1" x14ac:dyDescent="0.25">
      <c r="A724" s="428" t="s">
        <v>46</v>
      </c>
      <c r="B724" s="432">
        <f t="shared" si="32"/>
        <v>1558758</v>
      </c>
      <c r="C724" s="432">
        <v>218297</v>
      </c>
      <c r="D724" s="432">
        <v>202194</v>
      </c>
      <c r="E724" s="432">
        <v>57323</v>
      </c>
      <c r="F724" s="495">
        <v>318349</v>
      </c>
      <c r="G724" s="495">
        <v>103485</v>
      </c>
      <c r="H724" s="495">
        <v>2200</v>
      </c>
      <c r="I724" s="495">
        <v>213</v>
      </c>
      <c r="J724" s="495">
        <v>656697</v>
      </c>
      <c r="K724" s="432"/>
      <c r="L724" s="432"/>
    </row>
    <row r="725" spans="1:13" s="405" customFormat="1" ht="9" customHeight="1" x14ac:dyDescent="0.25">
      <c r="A725" s="428" t="s">
        <v>47</v>
      </c>
      <c r="B725" s="432">
        <f t="shared" si="32"/>
        <v>1719303</v>
      </c>
      <c r="C725" s="432">
        <v>252241</v>
      </c>
      <c r="D725" s="432">
        <v>199660</v>
      </c>
      <c r="E725" s="432">
        <v>64790</v>
      </c>
      <c r="F725" s="432">
        <v>408719</v>
      </c>
      <c r="G725" s="432">
        <v>130097</v>
      </c>
      <c r="H725" s="432">
        <v>2228</v>
      </c>
      <c r="I725" s="432">
        <v>289</v>
      </c>
      <c r="J725" s="432">
        <v>661279</v>
      </c>
      <c r="K725" s="432"/>
      <c r="L725" s="432"/>
    </row>
    <row r="726" spans="1:13" s="405" customFormat="1" ht="9" customHeight="1" x14ac:dyDescent="0.25">
      <c r="A726" s="428" t="s">
        <v>48</v>
      </c>
      <c r="B726" s="432">
        <f t="shared" si="32"/>
        <v>1661519</v>
      </c>
      <c r="C726" s="432">
        <v>82598</v>
      </c>
      <c r="D726" s="432">
        <v>245106</v>
      </c>
      <c r="E726" s="432">
        <v>57518</v>
      </c>
      <c r="F726" s="432">
        <v>432782</v>
      </c>
      <c r="G726" s="432">
        <v>118847</v>
      </c>
      <c r="H726" s="432">
        <v>897</v>
      </c>
      <c r="I726" s="432">
        <v>354</v>
      </c>
      <c r="J726" s="432">
        <v>723417</v>
      </c>
      <c r="K726" s="432"/>
      <c r="L726" s="432"/>
    </row>
    <row r="727" spans="1:13" s="405" customFormat="1" ht="9" customHeight="1" x14ac:dyDescent="0.25">
      <c r="A727" s="475" t="s">
        <v>49</v>
      </c>
      <c r="B727" s="435">
        <f t="shared" si="32"/>
        <v>1921237</v>
      </c>
      <c r="C727" s="435">
        <v>317830</v>
      </c>
      <c r="D727" s="435">
        <v>213752</v>
      </c>
      <c r="E727" s="435">
        <v>71909</v>
      </c>
      <c r="F727" s="435">
        <v>348665</v>
      </c>
      <c r="G727" s="435">
        <v>129200</v>
      </c>
      <c r="H727" s="435">
        <v>5200</v>
      </c>
      <c r="I727" s="435">
        <v>189</v>
      </c>
      <c r="J727" s="435">
        <v>834492</v>
      </c>
      <c r="K727" s="432"/>
      <c r="L727" s="432"/>
    </row>
    <row r="728" spans="1:13" s="405" customFormat="1" ht="9" customHeight="1" x14ac:dyDescent="0.25">
      <c r="A728" s="428" t="s">
        <v>50</v>
      </c>
      <c r="B728" s="432">
        <f t="shared" si="32"/>
        <v>723552</v>
      </c>
      <c r="C728" s="432">
        <v>60426</v>
      </c>
      <c r="D728" s="432">
        <v>110028</v>
      </c>
      <c r="E728" s="432">
        <v>26889</v>
      </c>
      <c r="F728" s="432">
        <v>119576</v>
      </c>
      <c r="G728" s="432">
        <v>55072</v>
      </c>
      <c r="H728" s="432">
        <v>1234</v>
      </c>
      <c r="I728" s="432">
        <v>58</v>
      </c>
      <c r="J728" s="432">
        <v>350269</v>
      </c>
      <c r="K728" s="432"/>
      <c r="L728" s="432"/>
    </row>
    <row r="729" spans="1:13" s="405" customFormat="1" ht="9" customHeight="1" x14ac:dyDescent="0.25">
      <c r="A729" s="428" t="s">
        <v>51</v>
      </c>
      <c r="B729" s="432">
        <f t="shared" si="32"/>
        <v>4742822</v>
      </c>
      <c r="C729" s="432">
        <v>464978</v>
      </c>
      <c r="D729" s="432">
        <v>551320</v>
      </c>
      <c r="E729" s="432">
        <v>151326</v>
      </c>
      <c r="F729" s="432">
        <v>1207266</v>
      </c>
      <c r="G729" s="432">
        <v>272962</v>
      </c>
      <c r="H729" s="432">
        <v>7396</v>
      </c>
      <c r="I729" s="432">
        <v>615</v>
      </c>
      <c r="J729" s="432">
        <v>2086959</v>
      </c>
      <c r="K729" s="432"/>
      <c r="L729" s="432"/>
    </row>
    <row r="730" spans="1:13" s="405" customFormat="1" ht="9" customHeight="1" x14ac:dyDescent="0.25">
      <c r="A730" s="428" t="s">
        <v>52</v>
      </c>
      <c r="B730" s="432">
        <f t="shared" si="32"/>
        <v>1226131</v>
      </c>
      <c r="C730" s="432">
        <v>204282</v>
      </c>
      <c r="D730" s="432">
        <v>130104</v>
      </c>
      <c r="E730" s="432">
        <v>36851</v>
      </c>
      <c r="F730" s="432">
        <v>219035</v>
      </c>
      <c r="G730" s="432">
        <v>70197</v>
      </c>
      <c r="H730" s="432">
        <v>7313</v>
      </c>
      <c r="I730" s="432">
        <v>26</v>
      </c>
      <c r="J730" s="432">
        <v>558323</v>
      </c>
      <c r="K730" s="432"/>
      <c r="L730" s="432"/>
    </row>
    <row r="731" spans="1:13" s="405" customFormat="1" ht="9" customHeight="1" x14ac:dyDescent="0.25">
      <c r="A731" s="475" t="s">
        <v>53</v>
      </c>
      <c r="B731" s="435">
        <f t="shared" si="32"/>
        <v>1128815</v>
      </c>
      <c r="C731" s="435">
        <v>135769</v>
      </c>
      <c r="D731" s="435">
        <v>141187</v>
      </c>
      <c r="E731" s="435">
        <v>35646</v>
      </c>
      <c r="F731" s="435">
        <v>240150</v>
      </c>
      <c r="G731" s="435">
        <v>72846</v>
      </c>
      <c r="H731" s="435">
        <v>2017</v>
      </c>
      <c r="I731" s="435">
        <v>18</v>
      </c>
      <c r="J731" s="435">
        <v>501182</v>
      </c>
      <c r="K731" s="432"/>
      <c r="L731" s="432"/>
    </row>
    <row r="732" spans="1:13" ht="9" customHeight="1" x14ac:dyDescent="0.25">
      <c r="A732" s="472"/>
      <c r="B732" s="438"/>
      <c r="C732" s="438"/>
      <c r="D732" s="438"/>
      <c r="E732" s="438"/>
      <c r="F732" s="438"/>
      <c r="G732" s="438"/>
      <c r="H732" s="438"/>
      <c r="I732" s="438"/>
      <c r="J732" s="438"/>
      <c r="K732" s="438"/>
      <c r="L732" s="497"/>
      <c r="M732" s="497"/>
    </row>
    <row r="733" spans="1:13" s="405" customFormat="1" ht="9" customHeight="1" x14ac:dyDescent="0.25">
      <c r="A733" s="503">
        <v>2015</v>
      </c>
      <c r="B733" s="442"/>
      <c r="C733" s="442"/>
      <c r="D733" s="442"/>
      <c r="E733" s="442"/>
      <c r="F733" s="442"/>
      <c r="G733" s="442"/>
      <c r="H733" s="442"/>
      <c r="I733" s="442"/>
      <c r="J733" s="442"/>
      <c r="K733" s="442"/>
    </row>
    <row r="734" spans="1:13" s="399" customFormat="1" ht="9" customHeight="1" x14ac:dyDescent="0.15">
      <c r="A734" s="490" t="s">
        <v>375</v>
      </c>
      <c r="B734" s="442">
        <f>SUM(B736:B767)+39270</f>
        <v>83933013.50999999</v>
      </c>
      <c r="C734" s="442">
        <f t="shared" ref="C734:J734" si="33">SUM(C736:C767)</f>
        <v>18245443</v>
      </c>
      <c r="D734" s="442">
        <f t="shared" si="33"/>
        <v>7794754</v>
      </c>
      <c r="E734" s="442">
        <f t="shared" si="33"/>
        <v>2351071</v>
      </c>
      <c r="F734" s="442">
        <f t="shared" si="33"/>
        <v>12652582</v>
      </c>
      <c r="G734" s="442">
        <f t="shared" si="33"/>
        <v>4668292</v>
      </c>
      <c r="H734" s="442">
        <f t="shared" si="33"/>
        <v>138473</v>
      </c>
      <c r="I734" s="442">
        <f t="shared" si="33"/>
        <v>1109</v>
      </c>
      <c r="J734" s="442">
        <f t="shared" si="33"/>
        <v>38042019.509999998</v>
      </c>
      <c r="K734" s="442"/>
    </row>
    <row r="735" spans="1:13" s="399" customFormat="1" ht="3.95" customHeight="1" x14ac:dyDescent="0.25">
      <c r="A735" s="473"/>
      <c r="B735" s="430"/>
      <c r="C735" s="430"/>
      <c r="D735" s="430"/>
      <c r="E735" s="430"/>
      <c r="F735" s="430"/>
      <c r="G735" s="430"/>
      <c r="H735" s="430"/>
      <c r="I735" s="430"/>
      <c r="J735" s="430"/>
    </row>
    <row r="736" spans="1:13" s="405" customFormat="1" ht="9" customHeight="1" x14ac:dyDescent="0.25">
      <c r="A736" s="428" t="s">
        <v>23</v>
      </c>
      <c r="B736" s="432">
        <f t="shared" ref="B736:B767" si="34">SUM(C736:J736)</f>
        <v>994278</v>
      </c>
      <c r="C736" s="432">
        <v>216701</v>
      </c>
      <c r="D736" s="432">
        <v>103075</v>
      </c>
      <c r="E736" s="432">
        <v>31207</v>
      </c>
      <c r="F736" s="495">
        <v>113679</v>
      </c>
      <c r="G736" s="495">
        <v>57043</v>
      </c>
      <c r="H736" s="495">
        <v>886</v>
      </c>
      <c r="I736" s="495">
        <v>1</v>
      </c>
      <c r="J736" s="432">
        <v>471686</v>
      </c>
      <c r="K736" s="432"/>
      <c r="L736" s="432"/>
    </row>
    <row r="737" spans="1:12" s="405" customFormat="1" ht="9" customHeight="1" x14ac:dyDescent="0.25">
      <c r="A737" s="428" t="s">
        <v>24</v>
      </c>
      <c r="B737" s="432">
        <f t="shared" si="34"/>
        <v>2273842</v>
      </c>
      <c r="C737" s="432">
        <v>503879</v>
      </c>
      <c r="D737" s="432">
        <v>208340</v>
      </c>
      <c r="E737" s="432">
        <v>67710</v>
      </c>
      <c r="F737" s="432">
        <v>362131</v>
      </c>
      <c r="G737" s="432">
        <v>114468</v>
      </c>
      <c r="H737" s="432">
        <v>2909</v>
      </c>
      <c r="I737" s="432">
        <v>109</v>
      </c>
      <c r="J737" s="432">
        <v>1014296</v>
      </c>
      <c r="K737" s="432"/>
      <c r="L737" s="432"/>
    </row>
    <row r="738" spans="1:12" s="405" customFormat="1" ht="9" customHeight="1" x14ac:dyDescent="0.25">
      <c r="A738" s="428" t="s">
        <v>25</v>
      </c>
      <c r="B738" s="432">
        <f t="shared" si="34"/>
        <v>526362</v>
      </c>
      <c r="C738" s="432">
        <v>107090</v>
      </c>
      <c r="D738" s="432">
        <v>47001</v>
      </c>
      <c r="E738" s="432">
        <v>19984</v>
      </c>
      <c r="F738" s="432">
        <v>97113</v>
      </c>
      <c r="G738" s="432">
        <v>29580</v>
      </c>
      <c r="H738" s="432">
        <v>356</v>
      </c>
      <c r="I738" s="432">
        <v>0</v>
      </c>
      <c r="J738" s="432">
        <v>225238</v>
      </c>
      <c r="K738" s="432"/>
      <c r="L738" s="432"/>
    </row>
    <row r="739" spans="1:12" s="405" customFormat="1" ht="9" customHeight="1" x14ac:dyDescent="0.25">
      <c r="A739" s="475" t="s">
        <v>26</v>
      </c>
      <c r="B739" s="435">
        <f t="shared" si="34"/>
        <v>704104</v>
      </c>
      <c r="C739" s="435">
        <v>155173</v>
      </c>
      <c r="D739" s="435">
        <v>67385</v>
      </c>
      <c r="E739" s="435">
        <v>17703</v>
      </c>
      <c r="F739" s="435">
        <v>83523</v>
      </c>
      <c r="G739" s="435">
        <v>56596</v>
      </c>
      <c r="H739" s="435">
        <v>736</v>
      </c>
      <c r="I739" s="435">
        <v>0</v>
      </c>
      <c r="J739" s="435">
        <v>322988</v>
      </c>
      <c r="K739" s="432"/>
      <c r="L739" s="432"/>
    </row>
    <row r="740" spans="1:12" s="405" customFormat="1" ht="9" customHeight="1" x14ac:dyDescent="0.25">
      <c r="A740" s="428" t="s">
        <v>27</v>
      </c>
      <c r="B740" s="432">
        <f t="shared" si="34"/>
        <v>2356642</v>
      </c>
      <c r="C740" s="432">
        <v>465649</v>
      </c>
      <c r="D740" s="432">
        <v>183934</v>
      </c>
      <c r="E740" s="432">
        <v>71138</v>
      </c>
      <c r="F740" s="495">
        <v>383749</v>
      </c>
      <c r="G740" s="495">
        <v>111727</v>
      </c>
      <c r="H740" s="495">
        <v>4037</v>
      </c>
      <c r="I740" s="495">
        <v>37</v>
      </c>
      <c r="J740" s="495">
        <v>1136371</v>
      </c>
      <c r="K740" s="432"/>
      <c r="L740" s="432"/>
    </row>
    <row r="741" spans="1:12" s="405" customFormat="1" ht="9" customHeight="1" x14ac:dyDescent="0.25">
      <c r="A741" s="428" t="s">
        <v>28</v>
      </c>
      <c r="B741" s="432">
        <f t="shared" si="34"/>
        <v>519725</v>
      </c>
      <c r="C741" s="432">
        <v>106666</v>
      </c>
      <c r="D741" s="432">
        <v>49055</v>
      </c>
      <c r="E741" s="432">
        <v>13617</v>
      </c>
      <c r="F741" s="432">
        <v>73254</v>
      </c>
      <c r="G741" s="432">
        <v>22132</v>
      </c>
      <c r="H741" s="432">
        <v>562</v>
      </c>
      <c r="I741" s="432">
        <v>20</v>
      </c>
      <c r="J741" s="432">
        <v>254419</v>
      </c>
      <c r="K741" s="432"/>
      <c r="L741" s="432"/>
    </row>
    <row r="742" spans="1:12" s="405" customFormat="1" ht="9" customHeight="1" x14ac:dyDescent="0.25">
      <c r="A742" s="428" t="s">
        <v>29</v>
      </c>
      <c r="B742" s="432">
        <f t="shared" si="34"/>
        <v>3667244</v>
      </c>
      <c r="C742" s="432">
        <v>787923</v>
      </c>
      <c r="D742" s="432">
        <v>334093</v>
      </c>
      <c r="E742" s="432">
        <v>147671</v>
      </c>
      <c r="F742" s="432">
        <v>499129</v>
      </c>
      <c r="G742" s="432">
        <v>250616</v>
      </c>
      <c r="H742" s="432">
        <v>2744</v>
      </c>
      <c r="I742" s="432">
        <v>116</v>
      </c>
      <c r="J742" s="432">
        <v>1644952</v>
      </c>
      <c r="K742" s="432"/>
      <c r="L742" s="432"/>
    </row>
    <row r="743" spans="1:12" s="405" customFormat="1" ht="9" customHeight="1" x14ac:dyDescent="0.25">
      <c r="A743" s="475" t="s">
        <v>30</v>
      </c>
      <c r="B743" s="435">
        <f t="shared" si="34"/>
        <v>2556214</v>
      </c>
      <c r="C743" s="435">
        <v>538999</v>
      </c>
      <c r="D743" s="435">
        <v>243224</v>
      </c>
      <c r="E743" s="435">
        <v>81721</v>
      </c>
      <c r="F743" s="435">
        <v>323497</v>
      </c>
      <c r="G743" s="435">
        <v>160972</v>
      </c>
      <c r="H743" s="435">
        <v>3478</v>
      </c>
      <c r="I743" s="435">
        <v>3</v>
      </c>
      <c r="J743" s="435">
        <v>1204320</v>
      </c>
      <c r="K743" s="432"/>
      <c r="L743" s="432"/>
    </row>
    <row r="744" spans="1:12" s="405" customFormat="1" ht="9" customHeight="1" x14ac:dyDescent="0.25">
      <c r="A744" s="428" t="s">
        <v>63</v>
      </c>
      <c r="B744" s="432">
        <f t="shared" si="34"/>
        <v>6551048</v>
      </c>
      <c r="C744" s="432">
        <v>1063477</v>
      </c>
      <c r="D744" s="432">
        <v>471930</v>
      </c>
      <c r="E744" s="432">
        <v>141525</v>
      </c>
      <c r="F744" s="495">
        <v>1363304</v>
      </c>
      <c r="G744" s="495">
        <v>244746</v>
      </c>
      <c r="H744" s="495">
        <v>24834</v>
      </c>
      <c r="I744" s="495">
        <v>0</v>
      </c>
      <c r="J744" s="495">
        <v>3241232</v>
      </c>
      <c r="K744" s="432"/>
      <c r="L744" s="432"/>
    </row>
    <row r="745" spans="1:12" s="405" customFormat="1" ht="9" customHeight="1" x14ac:dyDescent="0.25">
      <c r="A745" s="428" t="s">
        <v>31</v>
      </c>
      <c r="B745" s="432">
        <f t="shared" si="34"/>
        <v>1322391</v>
      </c>
      <c r="C745" s="432">
        <v>297828</v>
      </c>
      <c r="D745" s="432">
        <v>138912</v>
      </c>
      <c r="E745" s="432">
        <v>38232</v>
      </c>
      <c r="F745" s="432">
        <v>113878</v>
      </c>
      <c r="G745" s="432">
        <v>93373</v>
      </c>
      <c r="H745" s="432">
        <v>4617</v>
      </c>
      <c r="I745" s="432">
        <v>17</v>
      </c>
      <c r="J745" s="432">
        <v>635534</v>
      </c>
      <c r="K745" s="432"/>
      <c r="L745" s="432"/>
    </row>
    <row r="746" spans="1:12" s="405" customFormat="1" ht="9" customHeight="1" x14ac:dyDescent="0.25">
      <c r="A746" s="428" t="s">
        <v>32</v>
      </c>
      <c r="B746" s="432">
        <f t="shared" si="34"/>
        <v>3844304</v>
      </c>
      <c r="C746" s="432">
        <v>974067</v>
      </c>
      <c r="D746" s="432">
        <v>415424</v>
      </c>
      <c r="E746" s="432">
        <v>117568</v>
      </c>
      <c r="F746" s="432">
        <v>355183</v>
      </c>
      <c r="G746" s="432">
        <v>239419</v>
      </c>
      <c r="H746" s="432">
        <v>4101</v>
      </c>
      <c r="I746" s="432">
        <v>61</v>
      </c>
      <c r="J746" s="432">
        <v>1738481</v>
      </c>
      <c r="K746" s="432"/>
      <c r="L746" s="432"/>
    </row>
    <row r="747" spans="1:12" s="405" customFormat="1" ht="9" customHeight="1" x14ac:dyDescent="0.25">
      <c r="A747" s="475" t="s">
        <v>33</v>
      </c>
      <c r="B747" s="435">
        <f t="shared" si="34"/>
        <v>2592385</v>
      </c>
      <c r="C747" s="435">
        <v>565693</v>
      </c>
      <c r="D747" s="435">
        <v>270933</v>
      </c>
      <c r="E747" s="435">
        <v>75449</v>
      </c>
      <c r="F747" s="435">
        <v>435833</v>
      </c>
      <c r="G747" s="435">
        <v>197172</v>
      </c>
      <c r="H747" s="435">
        <v>1841</v>
      </c>
      <c r="I747" s="435">
        <v>96</v>
      </c>
      <c r="J747" s="435">
        <v>1045368</v>
      </c>
      <c r="K747" s="432"/>
      <c r="L747" s="432"/>
    </row>
    <row r="748" spans="1:12" s="405" customFormat="1" ht="9" customHeight="1" x14ac:dyDescent="0.25">
      <c r="A748" s="428" t="s">
        <v>34</v>
      </c>
      <c r="B748" s="432">
        <f t="shared" si="34"/>
        <v>2227893</v>
      </c>
      <c r="C748" s="432">
        <v>436650</v>
      </c>
      <c r="D748" s="432">
        <v>235990</v>
      </c>
      <c r="E748" s="432">
        <v>55912</v>
      </c>
      <c r="F748" s="495">
        <v>288493</v>
      </c>
      <c r="G748" s="495">
        <v>112721</v>
      </c>
      <c r="H748" s="495">
        <v>4508</v>
      </c>
      <c r="I748" s="495">
        <v>32</v>
      </c>
      <c r="J748" s="495">
        <v>1093587</v>
      </c>
      <c r="K748" s="432"/>
      <c r="L748" s="432"/>
    </row>
    <row r="749" spans="1:12" s="405" customFormat="1" ht="9" customHeight="1" x14ac:dyDescent="0.25">
      <c r="A749" s="428" t="s">
        <v>35</v>
      </c>
      <c r="B749" s="432">
        <f t="shared" si="34"/>
        <v>4943269</v>
      </c>
      <c r="C749" s="432">
        <v>1205091</v>
      </c>
      <c r="D749" s="432">
        <v>474521</v>
      </c>
      <c r="E749" s="432">
        <v>153701</v>
      </c>
      <c r="F749" s="495">
        <v>570421</v>
      </c>
      <c r="G749" s="495">
        <v>231475</v>
      </c>
      <c r="H749" s="495">
        <v>6618</v>
      </c>
      <c r="I749" s="495">
        <v>262</v>
      </c>
      <c r="J749" s="495">
        <v>2301180</v>
      </c>
      <c r="K749" s="432"/>
      <c r="L749" s="432"/>
    </row>
    <row r="750" spans="1:12" s="405" customFormat="1" ht="9" customHeight="1" x14ac:dyDescent="0.25">
      <c r="A750" s="428" t="s">
        <v>36</v>
      </c>
      <c r="B750" s="501">
        <f t="shared" si="34"/>
        <v>11596720.51</v>
      </c>
      <c r="C750" s="432">
        <v>2581606</v>
      </c>
      <c r="D750" s="432">
        <v>919533</v>
      </c>
      <c r="E750" s="432">
        <v>308692</v>
      </c>
      <c r="F750" s="495">
        <v>2540073</v>
      </c>
      <c r="G750" s="495">
        <v>698681</v>
      </c>
      <c r="H750" s="495">
        <v>13083</v>
      </c>
      <c r="I750" s="495">
        <v>0</v>
      </c>
      <c r="J750" s="495">
        <v>4535052.51</v>
      </c>
      <c r="K750" s="432"/>
      <c r="L750" s="432"/>
    </row>
    <row r="751" spans="1:12" s="405" customFormat="1" ht="9" customHeight="1" x14ac:dyDescent="0.25">
      <c r="A751" s="475" t="s">
        <v>37</v>
      </c>
      <c r="B751" s="435">
        <f t="shared" si="34"/>
        <v>3436125</v>
      </c>
      <c r="C751" s="435">
        <v>782010</v>
      </c>
      <c r="D751" s="435">
        <v>351581</v>
      </c>
      <c r="E751" s="435">
        <v>93993</v>
      </c>
      <c r="F751" s="435">
        <v>391811</v>
      </c>
      <c r="G751" s="435">
        <v>214544</v>
      </c>
      <c r="H751" s="435">
        <v>4100</v>
      </c>
      <c r="I751" s="435">
        <v>35</v>
      </c>
      <c r="J751" s="435">
        <v>1598051</v>
      </c>
      <c r="K751" s="432"/>
      <c r="L751" s="432"/>
    </row>
    <row r="752" spans="1:12" s="405" customFormat="1" ht="9" customHeight="1" x14ac:dyDescent="0.25">
      <c r="A752" s="428" t="s">
        <v>38</v>
      </c>
      <c r="B752" s="432">
        <f t="shared" si="34"/>
        <v>1225735</v>
      </c>
      <c r="C752" s="432">
        <v>258078</v>
      </c>
      <c r="D752" s="432">
        <v>135421</v>
      </c>
      <c r="E752" s="432">
        <v>36507</v>
      </c>
      <c r="F752" s="495">
        <v>158300</v>
      </c>
      <c r="G752" s="495">
        <v>115474</v>
      </c>
      <c r="H752" s="495">
        <v>1480</v>
      </c>
      <c r="I752" s="495">
        <v>16</v>
      </c>
      <c r="J752" s="495">
        <v>520459</v>
      </c>
      <c r="K752" s="432"/>
      <c r="L752" s="432"/>
    </row>
    <row r="753" spans="1:12" s="405" customFormat="1" ht="9" customHeight="1" x14ac:dyDescent="0.25">
      <c r="A753" s="428" t="s">
        <v>39</v>
      </c>
      <c r="B753" s="432">
        <f t="shared" si="34"/>
        <v>799943</v>
      </c>
      <c r="C753" s="432">
        <v>172140</v>
      </c>
      <c r="D753" s="432">
        <v>97846</v>
      </c>
      <c r="E753" s="432">
        <v>20424</v>
      </c>
      <c r="F753" s="495">
        <v>88287</v>
      </c>
      <c r="G753" s="495">
        <v>41881</v>
      </c>
      <c r="H753" s="495">
        <v>1657</v>
      </c>
      <c r="I753" s="495">
        <v>5</v>
      </c>
      <c r="J753" s="495">
        <v>377703</v>
      </c>
      <c r="K753" s="432"/>
      <c r="L753" s="432"/>
    </row>
    <row r="754" spans="1:12" s="405" customFormat="1" ht="9" customHeight="1" x14ac:dyDescent="0.25">
      <c r="A754" s="428" t="s">
        <v>40</v>
      </c>
      <c r="B754" s="432">
        <f t="shared" si="34"/>
        <v>3599158</v>
      </c>
      <c r="C754" s="432">
        <v>792317</v>
      </c>
      <c r="D754" s="432">
        <v>294402</v>
      </c>
      <c r="E754" s="432">
        <v>92930</v>
      </c>
      <c r="F754" s="495">
        <v>591798</v>
      </c>
      <c r="G754" s="495">
        <v>171372</v>
      </c>
      <c r="H754" s="495">
        <v>5013</v>
      </c>
      <c r="I754" s="495">
        <v>4</v>
      </c>
      <c r="J754" s="495">
        <v>1651322</v>
      </c>
      <c r="K754" s="432"/>
      <c r="L754" s="432"/>
    </row>
    <row r="755" spans="1:12" s="405" customFormat="1" ht="9" customHeight="1" x14ac:dyDescent="0.25">
      <c r="A755" s="475" t="s">
        <v>41</v>
      </c>
      <c r="B755" s="435">
        <f t="shared" si="34"/>
        <v>2661735</v>
      </c>
      <c r="C755" s="435">
        <v>594357</v>
      </c>
      <c r="D755" s="435">
        <v>294693</v>
      </c>
      <c r="E755" s="435">
        <v>82782</v>
      </c>
      <c r="F755" s="435">
        <v>259570</v>
      </c>
      <c r="G755" s="435">
        <v>132688</v>
      </c>
      <c r="H755" s="435">
        <v>6685</v>
      </c>
      <c r="I755" s="435">
        <v>9</v>
      </c>
      <c r="J755" s="435">
        <v>1290951</v>
      </c>
      <c r="K755" s="432"/>
      <c r="L755" s="432"/>
    </row>
    <row r="756" spans="1:12" s="405" customFormat="1" ht="9" customHeight="1" x14ac:dyDescent="0.25">
      <c r="A756" s="428" t="s">
        <v>42</v>
      </c>
      <c r="B756" s="432">
        <f t="shared" si="34"/>
        <v>4560854</v>
      </c>
      <c r="C756" s="432">
        <v>1124130</v>
      </c>
      <c r="D756" s="432">
        <v>452405</v>
      </c>
      <c r="E756" s="432">
        <v>133371</v>
      </c>
      <c r="F756" s="495">
        <v>592837</v>
      </c>
      <c r="G756" s="495">
        <v>280439</v>
      </c>
      <c r="H756" s="495">
        <v>9957</v>
      </c>
      <c r="I756" s="495">
        <v>7</v>
      </c>
      <c r="J756" s="495">
        <v>1967708</v>
      </c>
      <c r="K756" s="432"/>
      <c r="L756" s="432"/>
    </row>
    <row r="757" spans="1:12" s="405" customFormat="1" ht="9" customHeight="1" x14ac:dyDescent="0.25">
      <c r="A757" s="428" t="s">
        <v>43</v>
      </c>
      <c r="B757" s="432">
        <f t="shared" si="34"/>
        <v>1301854</v>
      </c>
      <c r="C757" s="432">
        <v>308411</v>
      </c>
      <c r="D757" s="432">
        <v>140147</v>
      </c>
      <c r="E757" s="432">
        <v>34949</v>
      </c>
      <c r="F757" s="432">
        <v>128111</v>
      </c>
      <c r="G757" s="432">
        <v>75736</v>
      </c>
      <c r="H757" s="432">
        <v>1268</v>
      </c>
      <c r="I757" s="432">
        <v>13</v>
      </c>
      <c r="J757" s="432">
        <v>613219</v>
      </c>
      <c r="K757" s="432"/>
      <c r="L757" s="432"/>
    </row>
    <row r="758" spans="1:12" s="405" customFormat="1" ht="9" customHeight="1" x14ac:dyDescent="0.25">
      <c r="A758" s="428" t="s">
        <v>44</v>
      </c>
      <c r="B758" s="432">
        <f t="shared" si="34"/>
        <v>1047033</v>
      </c>
      <c r="C758" s="432">
        <v>252665</v>
      </c>
      <c r="D758" s="432">
        <v>106153</v>
      </c>
      <c r="E758" s="432">
        <v>29453</v>
      </c>
      <c r="F758" s="432">
        <v>151179</v>
      </c>
      <c r="G758" s="432">
        <v>75586</v>
      </c>
      <c r="H758" s="432">
        <v>992</v>
      </c>
      <c r="I758" s="432">
        <v>44</v>
      </c>
      <c r="J758" s="432">
        <v>430961</v>
      </c>
      <c r="K758" s="432"/>
      <c r="L758" s="432"/>
    </row>
    <row r="759" spans="1:12" s="405" customFormat="1" ht="9" customHeight="1" x14ac:dyDescent="0.25">
      <c r="A759" s="475" t="s">
        <v>45</v>
      </c>
      <c r="B759" s="435">
        <f t="shared" si="34"/>
        <v>2184314</v>
      </c>
      <c r="C759" s="435">
        <v>463716</v>
      </c>
      <c r="D759" s="435">
        <v>233150</v>
      </c>
      <c r="E759" s="435">
        <v>58778</v>
      </c>
      <c r="F759" s="435">
        <v>261360</v>
      </c>
      <c r="G759" s="435">
        <v>111490</v>
      </c>
      <c r="H759" s="435">
        <v>5377</v>
      </c>
      <c r="I759" s="435">
        <v>3</v>
      </c>
      <c r="J759" s="435">
        <v>1050440</v>
      </c>
      <c r="K759" s="432"/>
      <c r="L759" s="432"/>
    </row>
    <row r="760" spans="1:12" s="405" customFormat="1" ht="9" customHeight="1" x14ac:dyDescent="0.25">
      <c r="A760" s="428" t="s">
        <v>46</v>
      </c>
      <c r="B760" s="432">
        <f t="shared" si="34"/>
        <v>2045641</v>
      </c>
      <c r="C760" s="432">
        <v>459823</v>
      </c>
      <c r="D760" s="432">
        <v>211934</v>
      </c>
      <c r="E760" s="432">
        <v>56474</v>
      </c>
      <c r="F760" s="495">
        <v>247381</v>
      </c>
      <c r="G760" s="495">
        <v>106595</v>
      </c>
      <c r="H760" s="495">
        <v>2397</v>
      </c>
      <c r="I760" s="495">
        <v>4</v>
      </c>
      <c r="J760" s="495">
        <v>961033</v>
      </c>
      <c r="K760" s="432"/>
      <c r="L760" s="432"/>
    </row>
    <row r="761" spans="1:12" s="405" customFormat="1" ht="9" customHeight="1" x14ac:dyDescent="0.25">
      <c r="A761" s="428" t="s">
        <v>47</v>
      </c>
      <c r="B761" s="432">
        <f t="shared" si="34"/>
        <v>2069129</v>
      </c>
      <c r="C761" s="432">
        <v>473694</v>
      </c>
      <c r="D761" s="432">
        <v>198525</v>
      </c>
      <c r="E761" s="432">
        <v>55140</v>
      </c>
      <c r="F761" s="432">
        <v>295703</v>
      </c>
      <c r="G761" s="432">
        <v>113746</v>
      </c>
      <c r="H761" s="432">
        <v>2917</v>
      </c>
      <c r="I761" s="432">
        <v>54</v>
      </c>
      <c r="J761" s="432">
        <v>929350</v>
      </c>
      <c r="K761" s="432"/>
      <c r="L761" s="432"/>
    </row>
    <row r="762" spans="1:12" s="405" customFormat="1" ht="9" customHeight="1" x14ac:dyDescent="0.25">
      <c r="A762" s="428" t="s">
        <v>48</v>
      </c>
      <c r="B762" s="432">
        <f t="shared" si="34"/>
        <v>1890808</v>
      </c>
      <c r="C762" s="432">
        <v>406717</v>
      </c>
      <c r="D762" s="432">
        <v>198232</v>
      </c>
      <c r="E762" s="432">
        <v>52293</v>
      </c>
      <c r="F762" s="432">
        <v>363196</v>
      </c>
      <c r="G762" s="432">
        <v>122072</v>
      </c>
      <c r="H762" s="432">
        <v>766</v>
      </c>
      <c r="I762" s="432">
        <v>37</v>
      </c>
      <c r="J762" s="432">
        <v>747495</v>
      </c>
      <c r="K762" s="432"/>
      <c r="L762" s="432"/>
    </row>
    <row r="763" spans="1:12" s="405" customFormat="1" ht="9" customHeight="1" x14ac:dyDescent="0.25">
      <c r="A763" s="475" t="s">
        <v>49</v>
      </c>
      <c r="B763" s="435">
        <f t="shared" si="34"/>
        <v>2401715</v>
      </c>
      <c r="C763" s="435">
        <v>541749</v>
      </c>
      <c r="D763" s="435">
        <v>223140</v>
      </c>
      <c r="E763" s="435">
        <v>64492</v>
      </c>
      <c r="F763" s="435">
        <v>289206</v>
      </c>
      <c r="G763" s="435">
        <v>122483</v>
      </c>
      <c r="H763" s="435">
        <v>4826</v>
      </c>
      <c r="I763" s="435">
        <v>30</v>
      </c>
      <c r="J763" s="435">
        <v>1155789</v>
      </c>
      <c r="K763" s="432"/>
      <c r="L763" s="432"/>
    </row>
    <row r="764" spans="1:12" s="405" customFormat="1" ht="9" customHeight="1" x14ac:dyDescent="0.25">
      <c r="A764" s="428" t="s">
        <v>50</v>
      </c>
      <c r="B764" s="432">
        <f t="shared" si="34"/>
        <v>908183</v>
      </c>
      <c r="C764" s="432">
        <v>220779</v>
      </c>
      <c r="D764" s="432">
        <v>109848</v>
      </c>
      <c r="E764" s="432">
        <v>26423</v>
      </c>
      <c r="F764" s="432">
        <v>107635</v>
      </c>
      <c r="G764" s="432">
        <v>57415</v>
      </c>
      <c r="H764" s="432">
        <v>778</v>
      </c>
      <c r="I764" s="432">
        <v>0</v>
      </c>
      <c r="J764" s="432">
        <v>385305</v>
      </c>
      <c r="K764" s="432"/>
      <c r="L764" s="432"/>
    </row>
    <row r="765" spans="1:12" s="405" customFormat="1" ht="9" customHeight="1" x14ac:dyDescent="0.25">
      <c r="A765" s="428" t="s">
        <v>51</v>
      </c>
      <c r="B765" s="432">
        <f t="shared" si="34"/>
        <v>4373321</v>
      </c>
      <c r="C765" s="432">
        <v>830012</v>
      </c>
      <c r="D765" s="432">
        <v>318549</v>
      </c>
      <c r="E765" s="432">
        <v>104076</v>
      </c>
      <c r="F765" s="432">
        <v>781408</v>
      </c>
      <c r="G765" s="432">
        <v>172277</v>
      </c>
      <c r="H765" s="432">
        <v>5947</v>
      </c>
      <c r="I765" s="432">
        <v>94</v>
      </c>
      <c r="J765" s="432">
        <v>2160958</v>
      </c>
      <c r="K765" s="432"/>
      <c r="L765" s="432"/>
    </row>
    <row r="766" spans="1:12" s="405" customFormat="1" ht="9" customHeight="1" x14ac:dyDescent="0.25">
      <c r="A766" s="428" t="s">
        <v>52</v>
      </c>
      <c r="B766" s="432">
        <f t="shared" si="34"/>
        <v>1472329</v>
      </c>
      <c r="C766" s="432">
        <v>303553</v>
      </c>
      <c r="D766" s="432">
        <v>133941</v>
      </c>
      <c r="E766" s="432">
        <v>35125</v>
      </c>
      <c r="F766" s="432">
        <v>171589</v>
      </c>
      <c r="G766" s="432">
        <v>70374</v>
      </c>
      <c r="H766" s="432">
        <v>7121</v>
      </c>
      <c r="I766" s="432">
        <v>0</v>
      </c>
      <c r="J766" s="432">
        <v>750626</v>
      </c>
      <c r="K766" s="432"/>
      <c r="L766" s="432"/>
    </row>
    <row r="767" spans="1:12" s="405" customFormat="1" ht="9" customHeight="1" x14ac:dyDescent="0.25">
      <c r="A767" s="475" t="s">
        <v>53</v>
      </c>
      <c r="B767" s="435">
        <f t="shared" si="34"/>
        <v>1239445</v>
      </c>
      <c r="C767" s="435">
        <v>254800</v>
      </c>
      <c r="D767" s="435">
        <v>131437</v>
      </c>
      <c r="E767" s="435">
        <v>32031</v>
      </c>
      <c r="F767" s="435">
        <v>169951</v>
      </c>
      <c r="G767" s="435">
        <v>63399</v>
      </c>
      <c r="H767" s="435">
        <v>1882</v>
      </c>
      <c r="I767" s="435">
        <v>0</v>
      </c>
      <c r="J767" s="435">
        <v>585945</v>
      </c>
      <c r="K767" s="432"/>
      <c r="L767" s="432"/>
    </row>
    <row r="768" spans="1:12" ht="3" customHeight="1" x14ac:dyDescent="0.2">
      <c r="A768" s="419"/>
      <c r="B768" s="504"/>
      <c r="C768" s="504"/>
      <c r="D768" s="504"/>
      <c r="E768" s="504"/>
      <c r="F768" s="504"/>
      <c r="G768" s="504"/>
      <c r="H768" s="504"/>
      <c r="I768" s="504"/>
      <c r="J768" s="504"/>
    </row>
    <row r="769" spans="1:11" ht="3" customHeight="1" x14ac:dyDescent="0.25"/>
    <row r="770" spans="1:11" ht="9.6" customHeight="1" x14ac:dyDescent="0.15">
      <c r="A770" s="485" t="s">
        <v>376</v>
      </c>
      <c r="B770" s="423"/>
      <c r="C770" s="423"/>
      <c r="D770" s="423"/>
      <c r="E770" s="423"/>
      <c r="F770" s="423"/>
      <c r="G770" s="423"/>
      <c r="H770" s="423"/>
      <c r="I770" s="423"/>
      <c r="J770" s="423"/>
    </row>
    <row r="771" spans="1:11" ht="9.6" customHeight="1" x14ac:dyDescent="0.15">
      <c r="A771" s="451" t="s">
        <v>377</v>
      </c>
      <c r="B771" s="423"/>
      <c r="C771" s="423"/>
      <c r="D771" s="423"/>
      <c r="E771" s="423"/>
      <c r="F771" s="423"/>
      <c r="G771" s="423"/>
      <c r="H771" s="423"/>
      <c r="I771" s="423"/>
      <c r="J771" s="423"/>
    </row>
    <row r="772" spans="1:11" ht="9.6" customHeight="1" x14ac:dyDescent="0.15">
      <c r="A772" s="451" t="s">
        <v>378</v>
      </c>
      <c r="B772" s="423"/>
      <c r="C772" s="423"/>
      <c r="D772" s="423"/>
      <c r="E772" s="423"/>
      <c r="F772" s="423"/>
      <c r="G772" s="423"/>
      <c r="H772" s="423"/>
      <c r="I772" s="423"/>
      <c r="J772" s="423"/>
    </row>
    <row r="773" spans="1:11" ht="9.6" customHeight="1" x14ac:dyDescent="0.15">
      <c r="A773" s="451" t="s">
        <v>379</v>
      </c>
      <c r="B773" s="423"/>
      <c r="C773" s="423"/>
      <c r="D773" s="423"/>
      <c r="E773" s="423"/>
      <c r="F773" s="423"/>
      <c r="G773" s="423"/>
      <c r="H773" s="423"/>
      <c r="I773" s="423"/>
      <c r="J773" s="423"/>
    </row>
    <row r="774" spans="1:11" ht="9.6" customHeight="1" x14ac:dyDescent="0.15">
      <c r="A774" s="451" t="s">
        <v>380</v>
      </c>
      <c r="B774" s="423"/>
      <c r="C774" s="423"/>
      <c r="D774" s="423"/>
      <c r="E774" s="423"/>
      <c r="F774" s="423"/>
      <c r="G774" s="423"/>
      <c r="H774" s="423"/>
      <c r="I774" s="423"/>
      <c r="J774" s="423"/>
    </row>
    <row r="775" spans="1:11" ht="9.6" customHeight="1" x14ac:dyDescent="0.15">
      <c r="A775" s="451" t="s">
        <v>381</v>
      </c>
      <c r="B775" s="423"/>
      <c r="C775" s="423"/>
      <c r="D775" s="423"/>
      <c r="E775" s="423"/>
      <c r="F775" s="423"/>
      <c r="G775" s="423"/>
      <c r="H775" s="423"/>
      <c r="I775" s="423"/>
      <c r="J775" s="423"/>
    </row>
    <row r="776" spans="1:11" ht="9.6" customHeight="1" x14ac:dyDescent="0.15">
      <c r="A776" s="451" t="s">
        <v>382</v>
      </c>
      <c r="B776" s="423"/>
      <c r="C776" s="423"/>
      <c r="D776" s="423"/>
      <c r="E776" s="423"/>
      <c r="F776" s="423"/>
      <c r="G776" s="423"/>
      <c r="H776" s="423"/>
      <c r="I776" s="423"/>
      <c r="J776" s="423"/>
    </row>
    <row r="777" spans="1:11" ht="9.6" customHeight="1" x14ac:dyDescent="0.15">
      <c r="A777" s="485" t="s">
        <v>383</v>
      </c>
      <c r="B777" s="423"/>
      <c r="C777" s="423"/>
      <c r="D777" s="423"/>
      <c r="E777" s="423"/>
      <c r="F777" s="423"/>
      <c r="G777" s="423"/>
      <c r="H777" s="423"/>
      <c r="I777" s="423"/>
      <c r="J777" s="423"/>
    </row>
    <row r="778" spans="1:11" ht="9.6" customHeight="1" x14ac:dyDescent="0.15">
      <c r="A778" s="485" t="s">
        <v>384</v>
      </c>
      <c r="B778" s="423"/>
      <c r="C778" s="423"/>
      <c r="D778" s="423"/>
      <c r="E778" s="423"/>
      <c r="F778" s="423"/>
      <c r="G778" s="423"/>
      <c r="H778" s="423"/>
      <c r="I778" s="423"/>
      <c r="J778" s="423"/>
    </row>
    <row r="779" spans="1:11" ht="9.6" customHeight="1" x14ac:dyDescent="0.25">
      <c r="A779" s="505" t="s">
        <v>385</v>
      </c>
      <c r="B779" s="454"/>
      <c r="C779" s="454"/>
      <c r="D779" s="454"/>
      <c r="E779" s="454"/>
      <c r="F779" s="454"/>
      <c r="G779" s="454"/>
      <c r="H779" s="423"/>
      <c r="I779" s="423"/>
      <c r="J779" s="423"/>
    </row>
    <row r="780" spans="1:11" ht="9.6" customHeight="1" x14ac:dyDescent="0.25">
      <c r="A780" s="225" t="s">
        <v>308</v>
      </c>
      <c r="B780" s="454"/>
      <c r="C780" s="454"/>
      <c r="D780" s="454"/>
      <c r="E780" s="454"/>
      <c r="F780" s="454"/>
      <c r="G780" s="454"/>
      <c r="H780" s="423"/>
      <c r="I780" s="423"/>
      <c r="J780" s="423"/>
    </row>
    <row r="781" spans="1:11" ht="11.25" hidden="1" customHeight="1" x14ac:dyDescent="0.25">
      <c r="K781" s="420" t="s">
        <v>74</v>
      </c>
    </row>
  </sheetData>
  <sheetProtection sheet="1" objects="1" scenarios="1"/>
  <mergeCells count="10">
    <mergeCell ref="I1:J1"/>
    <mergeCell ref="A6:A10"/>
    <mergeCell ref="C6:C7"/>
    <mergeCell ref="D6:D7"/>
    <mergeCell ref="E6:E10"/>
    <mergeCell ref="F6:F8"/>
    <mergeCell ref="G6:G7"/>
    <mergeCell ref="H6:H7"/>
    <mergeCell ref="I6:I7"/>
    <mergeCell ref="J6:J7"/>
  </mergeCells>
  <hyperlinks>
    <hyperlink ref="I1" location="Índice!A1" display="Índice!A1"/>
    <hyperlink ref="A779" r:id="rId1" display="             Para 2004 a 2013: SSA. Boletín de Información Estadística. Servicios Otorgados y Programas Sustantivos. En: http://www.dgis.salud.gob.mx (24 de junio de 2015)."/>
    <hyperlink ref="I1:J1" location="Índice!A1" tooltip="Ir a Índice" display="Índice!A1"/>
  </hyperlinks>
  <printOptions horizontalCentered="1" verticalCentered="1" gridLinesSet="0"/>
  <pageMargins left="0.39370078740157483" right="0.39370078740157483" top="0.39370078740157483" bottom="0.39370078740157483" header="0.39370078740157483" footer="0.39370078740157483"/>
  <pageSetup orientation="portrait" r:id="rId2"/>
  <headerFooter>
    <oddHeader>&amp;L&amp;"Arial,Normal"&amp;10&amp;K000080INEGI. Anuario estadístico y geográfico por entidad federativa 2019.</oddHeader>
  </headerFooter>
  <rowBreaks count="10" manualBreakCount="10">
    <brk id="84" max="16383" man="1"/>
    <brk id="156" max="16383" man="1"/>
    <brk id="228" max="9" man="1"/>
    <brk id="300" max="9" man="1"/>
    <brk id="372" max="16383" man="1"/>
    <brk id="444" max="16383" man="1"/>
    <brk id="516" max="9" man="1"/>
    <brk id="588" max="9" man="1"/>
    <brk id="660" max="16383" man="1"/>
    <brk id="732" max="9" man="1"/>
  </row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54"/>
  <sheetViews>
    <sheetView showGridLines="0" showRowColHeaders="0" zoomScale="130" zoomScaleNormal="130" workbookViewId="0">
      <pane xSplit="1" ySplit="11" topLeftCell="B12" activePane="bottomRight" state="frozen"/>
      <selection activeCell="B5" sqref="B5"/>
      <selection pane="topRight" activeCell="B5" sqref="B5"/>
      <selection pane="bottomLeft" activeCell="B5" sqref="B5"/>
      <selection pane="bottomRight"/>
    </sheetView>
  </sheetViews>
  <sheetFormatPr baseColWidth="10" defaultColWidth="0" defaultRowHeight="11.25" customHeight="1" zeroHeight="1" x14ac:dyDescent="0.25"/>
  <cols>
    <col min="1" max="1" width="17.7109375" style="461" customWidth="1"/>
    <col min="2" max="2" width="11.140625" style="510" customWidth="1"/>
    <col min="3" max="3" width="11.28515625" style="510" customWidth="1"/>
    <col min="4" max="4" width="11.42578125" style="510" customWidth="1"/>
    <col min="5" max="5" width="10" style="510" customWidth="1"/>
    <col min="6" max="6" width="11.5703125" style="510" customWidth="1"/>
    <col min="7" max="7" width="10.85546875" style="510" customWidth="1"/>
    <col min="8" max="8" width="10.5703125" style="510" customWidth="1"/>
    <col min="9" max="9" width="0.85546875" style="461" customWidth="1"/>
    <col min="10" max="16384" width="11.42578125" style="461" hidden="1"/>
  </cols>
  <sheetData>
    <row r="1" spans="1:9" s="416" customFormat="1" ht="12" customHeight="1" x14ac:dyDescent="0.2">
      <c r="A1" s="414" t="s">
        <v>386</v>
      </c>
      <c r="B1" s="506"/>
      <c r="C1" s="506"/>
      <c r="D1" s="506"/>
      <c r="E1" s="506"/>
      <c r="F1" s="506"/>
      <c r="G1" s="507"/>
      <c r="H1" s="761" t="s">
        <v>387</v>
      </c>
    </row>
    <row r="2" spans="1:9" s="416" customFormat="1" ht="12" customHeight="1" x14ac:dyDescent="0.25">
      <c r="A2" s="418" t="s">
        <v>185</v>
      </c>
      <c r="B2" s="506"/>
      <c r="C2" s="506"/>
      <c r="D2" s="507"/>
      <c r="E2" s="506"/>
      <c r="F2" s="506"/>
      <c r="G2" s="507"/>
      <c r="H2" s="507"/>
    </row>
    <row r="3" spans="1:9" ht="3" customHeight="1" x14ac:dyDescent="0.25">
      <c r="A3" s="460"/>
      <c r="B3" s="508"/>
      <c r="C3" s="508"/>
      <c r="D3" s="508"/>
      <c r="E3" s="508"/>
      <c r="F3" s="508"/>
      <c r="G3" s="508"/>
      <c r="H3" s="508"/>
    </row>
    <row r="4" spans="1:9" ht="3" customHeight="1" x14ac:dyDescent="0.25">
      <c r="A4" s="463"/>
      <c r="B4" s="509"/>
      <c r="C4" s="509"/>
      <c r="D4" s="509"/>
      <c r="E4" s="509"/>
      <c r="F4" s="509"/>
    </row>
    <row r="5" spans="1:9" s="423" customFormat="1" ht="8.25" customHeight="1" x14ac:dyDescent="0.25">
      <c r="A5" s="798" t="s">
        <v>4</v>
      </c>
      <c r="B5" s="824" t="s">
        <v>388</v>
      </c>
      <c r="C5" s="824" t="s">
        <v>389</v>
      </c>
      <c r="D5" s="824" t="s">
        <v>390</v>
      </c>
      <c r="E5" s="824" t="s">
        <v>391</v>
      </c>
      <c r="F5" s="824" t="s">
        <v>392</v>
      </c>
      <c r="G5" s="824" t="s">
        <v>393</v>
      </c>
      <c r="H5" s="824" t="s">
        <v>394</v>
      </c>
      <c r="I5" s="486"/>
    </row>
    <row r="6" spans="1:9" s="423" customFormat="1" ht="8.25" customHeight="1" x14ac:dyDescent="0.25">
      <c r="A6" s="835"/>
      <c r="B6" s="825"/>
      <c r="C6" s="825"/>
      <c r="D6" s="825"/>
      <c r="E6" s="825"/>
      <c r="F6" s="825"/>
      <c r="G6" s="825"/>
      <c r="H6" s="825"/>
      <c r="I6" s="486"/>
    </row>
    <row r="7" spans="1:9" s="423" customFormat="1" ht="8.25" customHeight="1" x14ac:dyDescent="0.25">
      <c r="A7" s="835"/>
      <c r="B7" s="825"/>
      <c r="C7" s="825"/>
      <c r="D7" s="825"/>
      <c r="E7" s="825"/>
      <c r="F7" s="825"/>
      <c r="G7" s="825"/>
      <c r="H7" s="763" t="s">
        <v>395</v>
      </c>
      <c r="I7" s="486"/>
    </row>
    <row r="8" spans="1:9" s="423" customFormat="1" ht="8.25" customHeight="1" x14ac:dyDescent="0.25">
      <c r="A8" s="835"/>
      <c r="B8" s="825"/>
      <c r="C8" s="825"/>
      <c r="D8" s="825"/>
      <c r="E8" s="825"/>
      <c r="F8" s="825"/>
      <c r="G8" s="825"/>
      <c r="H8" s="763"/>
      <c r="I8" s="486"/>
    </row>
    <row r="9" spans="1:9" s="423" customFormat="1" ht="8.25" customHeight="1" x14ac:dyDescent="0.25">
      <c r="A9" s="835"/>
      <c r="B9" s="825"/>
      <c r="C9" s="487"/>
      <c r="D9" s="825"/>
      <c r="E9" s="487"/>
      <c r="F9" s="511"/>
      <c r="G9" s="825"/>
      <c r="H9" s="487"/>
      <c r="I9" s="486"/>
    </row>
    <row r="10" spans="1:9" s="423" customFormat="1" ht="8.25" customHeight="1" x14ac:dyDescent="0.25">
      <c r="A10" s="835"/>
      <c r="B10" s="487"/>
      <c r="C10" s="763"/>
      <c r="D10" s="825"/>
      <c r="E10" s="487"/>
      <c r="F10" s="763"/>
      <c r="G10" s="825"/>
      <c r="H10" s="763"/>
      <c r="I10" s="486"/>
    </row>
    <row r="11" spans="1:9" ht="3" customHeight="1" x14ac:dyDescent="0.2">
      <c r="A11" s="460"/>
      <c r="B11" s="467"/>
      <c r="C11" s="467"/>
      <c r="D11" s="467"/>
      <c r="E11" s="467"/>
      <c r="F11" s="467"/>
      <c r="G11" s="508"/>
      <c r="H11" s="508"/>
    </row>
    <row r="12" spans="1:9" ht="3" customHeight="1" x14ac:dyDescent="0.25">
      <c r="A12" s="463"/>
      <c r="B12" s="509"/>
      <c r="C12" s="509"/>
      <c r="D12" s="509"/>
      <c r="E12" s="509"/>
      <c r="F12" s="509"/>
    </row>
    <row r="13" spans="1:9" s="428" customFormat="1" ht="8.85" customHeight="1" x14ac:dyDescent="0.25">
      <c r="A13" s="470">
        <v>1995</v>
      </c>
      <c r="B13" s="471"/>
      <c r="C13" s="471"/>
      <c r="D13" s="471"/>
      <c r="E13" s="471"/>
      <c r="F13" s="471"/>
      <c r="G13" s="512"/>
      <c r="H13" s="512"/>
    </row>
    <row r="14" spans="1:9" s="473" customFormat="1" ht="8.85" customHeight="1" x14ac:dyDescent="0.25">
      <c r="A14" s="429" t="s">
        <v>21</v>
      </c>
      <c r="B14" s="513">
        <v>84.102186494408912</v>
      </c>
      <c r="C14" s="513">
        <v>47.930760893310847</v>
      </c>
      <c r="D14" s="513">
        <v>111.5940504480533</v>
      </c>
      <c r="E14" s="513">
        <v>8.2504128608888863</v>
      </c>
      <c r="F14" s="513">
        <v>184.56580767250421</v>
      </c>
      <c r="G14" s="513">
        <v>1376.7693222759435</v>
      </c>
      <c r="H14" s="513">
        <v>65.5</v>
      </c>
    </row>
    <row r="15" spans="1:9" s="473" customFormat="1" ht="3" customHeight="1" x14ac:dyDescent="0.25">
      <c r="A15" s="429"/>
      <c r="B15" s="513"/>
      <c r="C15" s="513"/>
      <c r="D15" s="513"/>
      <c r="E15" s="513"/>
      <c r="F15" s="513"/>
      <c r="G15" s="513"/>
      <c r="H15" s="513"/>
    </row>
    <row r="16" spans="1:9" s="428" customFormat="1" ht="8.85" customHeight="1" x14ac:dyDescent="0.25">
      <c r="A16" s="428" t="s">
        <v>23</v>
      </c>
      <c r="B16" s="514">
        <v>99.790088613598684</v>
      </c>
      <c r="C16" s="514">
        <v>44.259839302737298</v>
      </c>
      <c r="D16" s="514">
        <v>122.68310894260074</v>
      </c>
      <c r="E16" s="514">
        <v>7.7484068805853097</v>
      </c>
      <c r="F16" s="514">
        <v>200.75417826971031</v>
      </c>
      <c r="G16" s="514">
        <v>1558.3736798358277</v>
      </c>
      <c r="H16" s="514">
        <v>65.8</v>
      </c>
    </row>
    <row r="17" spans="1:8" s="428" customFormat="1" ht="8.85" customHeight="1" x14ac:dyDescent="0.25">
      <c r="A17" s="428" t="s">
        <v>24</v>
      </c>
      <c r="B17" s="514">
        <v>71.234327478120534</v>
      </c>
      <c r="C17" s="514">
        <v>38.017503568990129</v>
      </c>
      <c r="D17" s="514">
        <v>107.06970392899261</v>
      </c>
      <c r="E17" s="514">
        <v>8.8739836136800943</v>
      </c>
      <c r="F17" s="514">
        <v>181.11655080379865</v>
      </c>
      <c r="G17" s="514">
        <v>1287.2047824467754</v>
      </c>
      <c r="H17" s="514">
        <v>75.599999999999994</v>
      </c>
    </row>
    <row r="18" spans="1:8" s="428" customFormat="1" ht="8.85" customHeight="1" x14ac:dyDescent="0.25">
      <c r="A18" s="428" t="s">
        <v>25</v>
      </c>
      <c r="B18" s="514">
        <v>141.06845191534813</v>
      </c>
      <c r="C18" s="514">
        <v>94.675003101887569</v>
      </c>
      <c r="D18" s="514">
        <v>212.2770012569388</v>
      </c>
      <c r="E18" s="514">
        <v>14.565385092598087</v>
      </c>
      <c r="F18" s="514">
        <v>319.89901333002467</v>
      </c>
      <c r="G18" s="514">
        <v>2174.5526538671097</v>
      </c>
      <c r="H18" s="514">
        <v>54.5</v>
      </c>
    </row>
    <row r="19" spans="1:8" s="428" customFormat="1" ht="8.85" customHeight="1" x14ac:dyDescent="0.25">
      <c r="A19" s="475" t="s">
        <v>26</v>
      </c>
      <c r="B19" s="515">
        <v>73.310431049568891</v>
      </c>
      <c r="C19" s="515">
        <v>59.121315362555556</v>
      </c>
      <c r="D19" s="515">
        <v>129.7515801156886</v>
      </c>
      <c r="E19" s="515">
        <v>8.1981557302743706</v>
      </c>
      <c r="F19" s="515">
        <v>192.18368913854727</v>
      </c>
      <c r="G19" s="515">
        <v>1491.9492534160297</v>
      </c>
      <c r="H19" s="515">
        <v>66.599999999999994</v>
      </c>
    </row>
    <row r="20" spans="1:8" s="428" customFormat="1" ht="8.85" customHeight="1" x14ac:dyDescent="0.25">
      <c r="A20" s="428" t="s">
        <v>27</v>
      </c>
      <c r="B20" s="514">
        <v>114.82657275586536</v>
      </c>
      <c r="C20" s="514">
        <v>57.344252366255809</v>
      </c>
      <c r="D20" s="514">
        <v>139.1725675405759</v>
      </c>
      <c r="E20" s="514">
        <v>9.3886255880547225</v>
      </c>
      <c r="F20" s="514">
        <v>263.47981123339849</v>
      </c>
      <c r="G20" s="514">
        <v>1996.630680003424</v>
      </c>
      <c r="H20" s="514">
        <v>66.5</v>
      </c>
    </row>
    <row r="21" spans="1:8" s="428" customFormat="1" ht="8.85" customHeight="1" x14ac:dyDescent="0.25">
      <c r="A21" s="428" t="s">
        <v>28</v>
      </c>
      <c r="B21" s="514">
        <v>92.156039923313003</v>
      </c>
      <c r="C21" s="514">
        <v>72.408317082603077</v>
      </c>
      <c r="D21" s="514">
        <v>158.80460451070903</v>
      </c>
      <c r="E21" s="514">
        <v>10.902388651641941</v>
      </c>
      <c r="F21" s="514">
        <v>242.93813202998362</v>
      </c>
      <c r="G21" s="514">
        <v>1821.0938592810182</v>
      </c>
      <c r="H21" s="514">
        <v>63.3</v>
      </c>
    </row>
    <row r="22" spans="1:8" s="428" customFormat="1" ht="8.85" customHeight="1" x14ac:dyDescent="0.25">
      <c r="A22" s="428" t="s">
        <v>29</v>
      </c>
      <c r="B22" s="514">
        <v>42.098835497270947</v>
      </c>
      <c r="C22" s="514">
        <v>44.156506452883924</v>
      </c>
      <c r="D22" s="514">
        <v>79.859878169195611</v>
      </c>
      <c r="E22" s="514">
        <v>7.0350101590551848</v>
      </c>
      <c r="F22" s="514">
        <v>112.72700073047319</v>
      </c>
      <c r="G22" s="514">
        <v>885.40691416369998</v>
      </c>
      <c r="H22" s="514">
        <v>67.599999999999994</v>
      </c>
    </row>
    <row r="23" spans="1:8" s="428" customFormat="1" ht="8.85" customHeight="1" x14ac:dyDescent="0.25">
      <c r="A23" s="475" t="s">
        <v>30</v>
      </c>
      <c r="B23" s="515">
        <v>78.491919611042519</v>
      </c>
      <c r="C23" s="515">
        <v>41.493208992736172</v>
      </c>
      <c r="D23" s="515">
        <v>91.256294994423229</v>
      </c>
      <c r="E23" s="515">
        <v>5.3574420623203549</v>
      </c>
      <c r="F23" s="515">
        <v>177.44279582248961</v>
      </c>
      <c r="G23" s="515">
        <v>1543.0411142328899</v>
      </c>
      <c r="H23" s="515">
        <v>74.7</v>
      </c>
    </row>
    <row r="24" spans="1:8" s="428" customFormat="1" ht="8.85" customHeight="1" x14ac:dyDescent="0.25">
      <c r="A24" s="428" t="s">
        <v>63</v>
      </c>
      <c r="B24" s="514">
        <v>212.72802219372397</v>
      </c>
      <c r="C24" s="514">
        <v>81.997322994208545</v>
      </c>
      <c r="D24" s="514">
        <v>273.98649532832576</v>
      </c>
      <c r="E24" s="514">
        <v>17.911355963254731</v>
      </c>
      <c r="F24" s="514">
        <v>473.95574341123819</v>
      </c>
      <c r="G24" s="514">
        <v>1695.4785568471152</v>
      </c>
      <c r="H24" s="514">
        <v>61.4</v>
      </c>
    </row>
    <row r="25" spans="1:8" s="428" customFormat="1" ht="8.85" customHeight="1" x14ac:dyDescent="0.25">
      <c r="A25" s="428" t="s">
        <v>31</v>
      </c>
      <c r="B25" s="514">
        <v>85.962615583468661</v>
      </c>
      <c r="C25" s="514">
        <v>55.92748483743744</v>
      </c>
      <c r="D25" s="514">
        <v>113.8573117246103</v>
      </c>
      <c r="E25" s="514">
        <v>6.5593963698229096</v>
      </c>
      <c r="F25" s="514">
        <v>195.74619693103105</v>
      </c>
      <c r="G25" s="514">
        <v>1735.2986665782873</v>
      </c>
      <c r="H25" s="514">
        <v>67.8</v>
      </c>
    </row>
    <row r="26" spans="1:8" s="428" customFormat="1" ht="8.85" customHeight="1" x14ac:dyDescent="0.25">
      <c r="A26" s="428" t="s">
        <v>32</v>
      </c>
      <c r="B26" s="514">
        <v>57.688827733087578</v>
      </c>
      <c r="C26" s="514">
        <v>31.565584986029052</v>
      </c>
      <c r="D26" s="514">
        <v>75.852644955651712</v>
      </c>
      <c r="E26" s="514">
        <v>4.6940201811120792</v>
      </c>
      <c r="F26" s="514">
        <v>119.75420568334729</v>
      </c>
      <c r="G26" s="514">
        <v>1110.1269290268683</v>
      </c>
      <c r="H26" s="514">
        <v>69.599999999999994</v>
      </c>
    </row>
    <row r="27" spans="1:8" s="428" customFormat="1" ht="8.85" customHeight="1" x14ac:dyDescent="0.25">
      <c r="A27" s="475" t="s">
        <v>33</v>
      </c>
      <c r="B27" s="515">
        <v>44.916028561671858</v>
      </c>
      <c r="C27" s="515">
        <v>47.274632801211709</v>
      </c>
      <c r="D27" s="515">
        <v>76.876825140943694</v>
      </c>
      <c r="E27" s="515">
        <v>5.6743232429509352</v>
      </c>
      <c r="F27" s="515">
        <v>123.7412659004963</v>
      </c>
      <c r="G27" s="515">
        <v>1007.027956980426</v>
      </c>
      <c r="H27" s="515">
        <v>62.8</v>
      </c>
    </row>
    <row r="28" spans="1:8" s="428" customFormat="1" ht="8.85" customHeight="1" x14ac:dyDescent="0.25">
      <c r="A28" s="428" t="s">
        <v>34</v>
      </c>
      <c r="B28" s="514">
        <v>55.215086140729987</v>
      </c>
      <c r="C28" s="514">
        <v>50.822440280090213</v>
      </c>
      <c r="D28" s="514">
        <v>82.940711089069168</v>
      </c>
      <c r="E28" s="514">
        <v>4.5815768653984676</v>
      </c>
      <c r="F28" s="514">
        <v>136.07755617745346</v>
      </c>
      <c r="G28" s="514">
        <v>1204.1427846068464</v>
      </c>
      <c r="H28" s="514">
        <v>86.7</v>
      </c>
    </row>
    <row r="29" spans="1:8" s="428" customFormat="1" ht="8.85" customHeight="1" x14ac:dyDescent="0.25">
      <c r="A29" s="428" t="s">
        <v>35</v>
      </c>
      <c r="B29" s="514">
        <v>100.32160354264838</v>
      </c>
      <c r="C29" s="514">
        <v>45.902810941867571</v>
      </c>
      <c r="D29" s="514">
        <v>108.28655109422016</v>
      </c>
      <c r="E29" s="514">
        <v>7.7979675190440725</v>
      </c>
      <c r="F29" s="514">
        <v>190.97506320194231</v>
      </c>
      <c r="G29" s="514">
        <v>1341.0587201982387</v>
      </c>
      <c r="H29" s="514">
        <v>53.3</v>
      </c>
    </row>
    <row r="30" spans="1:8" s="428" customFormat="1" ht="8.85" customHeight="1" x14ac:dyDescent="0.25">
      <c r="A30" s="428" t="s">
        <v>36</v>
      </c>
      <c r="B30" s="514">
        <v>58.031647316741967</v>
      </c>
      <c r="C30" s="514">
        <v>33.223830213020946</v>
      </c>
      <c r="D30" s="514">
        <v>70.67724650148493</v>
      </c>
      <c r="E30" s="514">
        <v>7.1471372866670162</v>
      </c>
      <c r="F30" s="514">
        <v>104.36719436363634</v>
      </c>
      <c r="G30" s="514">
        <v>1146.1446287105339</v>
      </c>
      <c r="H30" s="514">
        <v>63.9</v>
      </c>
    </row>
    <row r="31" spans="1:8" s="428" customFormat="1" ht="8.85" customHeight="1" x14ac:dyDescent="0.25">
      <c r="A31" s="475" t="s">
        <v>37</v>
      </c>
      <c r="B31" s="515">
        <v>50.540437211887514</v>
      </c>
      <c r="C31" s="515">
        <v>39.101664840386896</v>
      </c>
      <c r="D31" s="515">
        <v>79.892275936968517</v>
      </c>
      <c r="E31" s="515">
        <v>5.8345416123090397</v>
      </c>
      <c r="F31" s="515">
        <v>106.68510518296661</v>
      </c>
      <c r="G31" s="515">
        <v>1097.74648507253</v>
      </c>
      <c r="H31" s="515">
        <v>68.099999999999994</v>
      </c>
    </row>
    <row r="32" spans="1:8" s="428" customFormat="1" ht="8.85" customHeight="1" x14ac:dyDescent="0.25">
      <c r="A32" s="428" t="s">
        <v>38</v>
      </c>
      <c r="B32" s="514">
        <v>56.44975339260909</v>
      </c>
      <c r="C32" s="514">
        <v>41.96824754095595</v>
      </c>
      <c r="D32" s="514">
        <v>97.363522352133984</v>
      </c>
      <c r="E32" s="514">
        <v>7.8031415025897992</v>
      </c>
      <c r="F32" s="514">
        <v>166.32642157772491</v>
      </c>
      <c r="G32" s="514">
        <v>1377.9567579423328</v>
      </c>
      <c r="H32" s="514">
        <v>69.8</v>
      </c>
    </row>
    <row r="33" spans="1:8" s="428" customFormat="1" ht="8.85" customHeight="1" x14ac:dyDescent="0.25">
      <c r="A33" s="428" t="s">
        <v>39</v>
      </c>
      <c r="B33" s="514">
        <v>75.285713173665357</v>
      </c>
      <c r="C33" s="514">
        <v>58.827388875729646</v>
      </c>
      <c r="D33" s="514">
        <v>106.86790304267711</v>
      </c>
      <c r="E33" s="514">
        <v>8.5627768306827647</v>
      </c>
      <c r="F33" s="514">
        <v>198.27832583256324</v>
      </c>
      <c r="G33" s="514">
        <v>1672.5916634139235</v>
      </c>
      <c r="H33" s="514">
        <v>62.4</v>
      </c>
    </row>
    <row r="34" spans="1:8" s="428" customFormat="1" ht="8.85" customHeight="1" x14ac:dyDescent="0.25">
      <c r="A34" s="428" t="s">
        <v>40</v>
      </c>
      <c r="B34" s="514">
        <v>106.06776873480845</v>
      </c>
      <c r="C34" s="514">
        <v>55.389054192173916</v>
      </c>
      <c r="D34" s="514">
        <v>126.72516189664381</v>
      </c>
      <c r="E34" s="514">
        <v>9.136923898504099</v>
      </c>
      <c r="F34" s="514">
        <v>253.05306623248308</v>
      </c>
      <c r="G34" s="514">
        <v>1816.1838190185356</v>
      </c>
      <c r="H34" s="514">
        <v>77.7</v>
      </c>
    </row>
    <row r="35" spans="1:8" s="428" customFormat="1" ht="8.85" customHeight="1" x14ac:dyDescent="0.25">
      <c r="A35" s="475" t="s">
        <v>41</v>
      </c>
      <c r="B35" s="515">
        <v>45.876273525353064</v>
      </c>
      <c r="C35" s="515">
        <v>46.487957172357767</v>
      </c>
      <c r="D35" s="515">
        <v>80.497567945819497</v>
      </c>
      <c r="E35" s="515">
        <v>6.3920941111991931</v>
      </c>
      <c r="F35" s="515">
        <v>111.05116611370464</v>
      </c>
      <c r="G35" s="515">
        <v>997.41380154046408</v>
      </c>
      <c r="H35" s="515">
        <v>65.3</v>
      </c>
    </row>
    <row r="36" spans="1:8" s="428" customFormat="1" ht="8.85" customHeight="1" x14ac:dyDescent="0.25">
      <c r="A36" s="428" t="s">
        <v>42</v>
      </c>
      <c r="B36" s="514">
        <v>66.007267245419186</v>
      </c>
      <c r="C36" s="514">
        <v>36.033264052919264</v>
      </c>
      <c r="D36" s="514">
        <v>75.955628161639595</v>
      </c>
      <c r="E36" s="514">
        <v>11.409459279725779</v>
      </c>
      <c r="F36" s="514">
        <v>121.12075698646744</v>
      </c>
      <c r="G36" s="514">
        <v>1029.8145715769526</v>
      </c>
      <c r="H36" s="514">
        <v>61.1</v>
      </c>
    </row>
    <row r="37" spans="1:8" s="428" customFormat="1" ht="8.85" customHeight="1" x14ac:dyDescent="0.25">
      <c r="A37" s="428" t="s">
        <v>43</v>
      </c>
      <c r="B37" s="514">
        <v>57.493168648781335</v>
      </c>
      <c r="C37" s="514">
        <v>48.610797087874104</v>
      </c>
      <c r="D37" s="514">
        <v>107.55744471934935</v>
      </c>
      <c r="E37" s="514">
        <v>7.751887907700854</v>
      </c>
      <c r="F37" s="514">
        <v>161.49766474376779</v>
      </c>
      <c r="G37" s="514">
        <v>1265.7452148241937</v>
      </c>
      <c r="H37" s="514">
        <v>71.8</v>
      </c>
    </row>
    <row r="38" spans="1:8" s="428" customFormat="1" ht="8.85" customHeight="1" x14ac:dyDescent="0.25">
      <c r="A38" s="428" t="s">
        <v>44</v>
      </c>
      <c r="B38" s="514">
        <v>59.927879896262766</v>
      </c>
      <c r="C38" s="514">
        <v>50.481120503748443</v>
      </c>
      <c r="D38" s="514">
        <v>114.09914078771212</v>
      </c>
      <c r="E38" s="514">
        <v>9.2991537770062926</v>
      </c>
      <c r="F38" s="514">
        <v>177.27434422515168</v>
      </c>
      <c r="G38" s="514">
        <v>1435.2919122455096</v>
      </c>
      <c r="H38" s="514">
        <v>62.8</v>
      </c>
    </row>
    <row r="39" spans="1:8" s="428" customFormat="1" ht="8.85" customHeight="1" x14ac:dyDescent="0.25">
      <c r="A39" s="475" t="s">
        <v>45</v>
      </c>
      <c r="B39" s="515">
        <v>66.976326583809112</v>
      </c>
      <c r="C39" s="515">
        <v>42.403255411506173</v>
      </c>
      <c r="D39" s="515">
        <v>78.697183735975713</v>
      </c>
      <c r="E39" s="515">
        <v>5.0684787685044732</v>
      </c>
      <c r="F39" s="515">
        <v>142.36994826531316</v>
      </c>
      <c r="G39" s="515">
        <v>1245.3845165214307</v>
      </c>
      <c r="H39" s="515">
        <v>70.2</v>
      </c>
    </row>
    <row r="40" spans="1:8" s="428" customFormat="1" ht="8.85" customHeight="1" x14ac:dyDescent="0.25">
      <c r="A40" s="428" t="s">
        <v>46</v>
      </c>
      <c r="B40" s="514">
        <v>79.305802183959784</v>
      </c>
      <c r="C40" s="514">
        <v>48.844789806648826</v>
      </c>
      <c r="D40" s="514">
        <v>104.779287500845</v>
      </c>
      <c r="E40" s="514">
        <v>6.6775155685038907</v>
      </c>
      <c r="F40" s="514">
        <v>197.60499774942994</v>
      </c>
      <c r="G40" s="514">
        <v>1881.8974201707135</v>
      </c>
      <c r="H40" s="514">
        <v>77.099999999999994</v>
      </c>
    </row>
    <row r="41" spans="1:8" s="428" customFormat="1" ht="8.85" customHeight="1" x14ac:dyDescent="0.25">
      <c r="A41" s="428" t="s">
        <v>47</v>
      </c>
      <c r="B41" s="514">
        <v>112.70594493743592</v>
      </c>
      <c r="C41" s="514">
        <v>55.702467869891372</v>
      </c>
      <c r="D41" s="514">
        <v>129.95636318780021</v>
      </c>
      <c r="E41" s="514">
        <v>7.2278288758509568</v>
      </c>
      <c r="F41" s="514">
        <v>232.39879112152775</v>
      </c>
      <c r="G41" s="514">
        <v>1859.7222971774847</v>
      </c>
      <c r="H41" s="514">
        <v>63.4</v>
      </c>
    </row>
    <row r="42" spans="1:8" s="428" customFormat="1" ht="8.85" customHeight="1" x14ac:dyDescent="0.25">
      <c r="A42" s="428" t="s">
        <v>48</v>
      </c>
      <c r="B42" s="514">
        <v>74.628839389308411</v>
      </c>
      <c r="C42" s="514">
        <v>63.819731681149719</v>
      </c>
      <c r="D42" s="514">
        <v>140.63339071359658</v>
      </c>
      <c r="E42" s="514">
        <v>14.8337754718348</v>
      </c>
      <c r="F42" s="514">
        <v>196.86374889752852</v>
      </c>
      <c r="G42" s="514">
        <v>1805.7522851488611</v>
      </c>
      <c r="H42" s="514">
        <v>69.2</v>
      </c>
    </row>
    <row r="43" spans="1:8" s="428" customFormat="1" ht="8.85" customHeight="1" x14ac:dyDescent="0.25">
      <c r="A43" s="475" t="s">
        <v>49</v>
      </c>
      <c r="B43" s="515">
        <v>104.13905103289747</v>
      </c>
      <c r="C43" s="515">
        <v>54.09356957234727</v>
      </c>
      <c r="D43" s="515">
        <v>132.15817070866942</v>
      </c>
      <c r="E43" s="515">
        <v>7.3421205949260786</v>
      </c>
      <c r="F43" s="515">
        <v>216.45365256609099</v>
      </c>
      <c r="G43" s="515">
        <v>1801.1797398746203</v>
      </c>
      <c r="H43" s="515">
        <v>67.900000000000006</v>
      </c>
    </row>
    <row r="44" spans="1:8" s="428" customFormat="1" ht="8.85" customHeight="1" x14ac:dyDescent="0.25">
      <c r="A44" s="428" t="s">
        <v>50</v>
      </c>
      <c r="B44" s="514">
        <v>46.744506102313743</v>
      </c>
      <c r="C44" s="514">
        <v>39.02939344465031</v>
      </c>
      <c r="D44" s="514">
        <v>91.106403883878485</v>
      </c>
      <c r="E44" s="514">
        <v>9.4169757439127206</v>
      </c>
      <c r="F44" s="514">
        <v>131.04345764119509</v>
      </c>
      <c r="G44" s="514">
        <v>1397.8218421646791</v>
      </c>
      <c r="H44" s="514">
        <v>63.3</v>
      </c>
    </row>
    <row r="45" spans="1:8" s="428" customFormat="1" ht="8.85" customHeight="1" x14ac:dyDescent="0.25">
      <c r="A45" s="428" t="s">
        <v>51</v>
      </c>
      <c r="B45" s="514">
        <v>63.87385246276731</v>
      </c>
      <c r="C45" s="514">
        <v>44.491747474643098</v>
      </c>
      <c r="D45" s="514">
        <v>86.267343145923775</v>
      </c>
      <c r="E45" s="514">
        <v>4.841835823385181</v>
      </c>
      <c r="F45" s="514">
        <v>126.24201207801849</v>
      </c>
      <c r="G45" s="514">
        <v>1259.3042222875017</v>
      </c>
      <c r="H45" s="514">
        <v>66.5</v>
      </c>
    </row>
    <row r="46" spans="1:8" s="428" customFormat="1" ht="8.85" customHeight="1" x14ac:dyDescent="0.25">
      <c r="A46" s="428" t="s">
        <v>52</v>
      </c>
      <c r="B46" s="514">
        <v>100.78043543342039</v>
      </c>
      <c r="C46" s="514">
        <v>42.647802702618996</v>
      </c>
      <c r="D46" s="514">
        <v>114.45870195831483</v>
      </c>
      <c r="E46" s="514">
        <v>7.484334513621488</v>
      </c>
      <c r="F46" s="514">
        <v>192.01189234946165</v>
      </c>
      <c r="G46" s="514">
        <v>1898.7634072819994</v>
      </c>
      <c r="H46" s="514">
        <v>64</v>
      </c>
    </row>
    <row r="47" spans="1:8" s="428" customFormat="1" ht="8.85" customHeight="1" x14ac:dyDescent="0.25">
      <c r="A47" s="475" t="s">
        <v>53</v>
      </c>
      <c r="B47" s="515">
        <v>45.831614647784043</v>
      </c>
      <c r="C47" s="515">
        <v>47.975351461954588</v>
      </c>
      <c r="D47" s="515">
        <v>81.461998938480662</v>
      </c>
      <c r="E47" s="515">
        <v>5.8398347696369992</v>
      </c>
      <c r="F47" s="515">
        <v>123.81928150812624</v>
      </c>
      <c r="G47" s="515">
        <v>1455.7591859122488</v>
      </c>
      <c r="H47" s="515">
        <v>77</v>
      </c>
    </row>
    <row r="48" spans="1:8" s="428" customFormat="1" ht="9" customHeight="1" x14ac:dyDescent="0.25">
      <c r="A48" s="472"/>
      <c r="B48" s="516"/>
      <c r="C48" s="516"/>
      <c r="D48" s="516"/>
      <c r="E48" s="516"/>
      <c r="F48" s="516"/>
      <c r="G48" s="516"/>
      <c r="H48" s="516"/>
    </row>
    <row r="49" spans="1:8" s="428" customFormat="1" ht="9" customHeight="1" x14ac:dyDescent="0.25">
      <c r="A49" s="470">
        <v>1996</v>
      </c>
      <c r="B49" s="471"/>
      <c r="C49" s="471"/>
      <c r="D49" s="471"/>
      <c r="E49" s="471"/>
      <c r="F49" s="471"/>
      <c r="G49" s="512"/>
      <c r="H49" s="512"/>
    </row>
    <row r="50" spans="1:8" s="473" customFormat="1" ht="9" customHeight="1" x14ac:dyDescent="0.25">
      <c r="A50" s="429" t="s">
        <v>21</v>
      </c>
      <c r="B50" s="513">
        <v>81.941093950115629</v>
      </c>
      <c r="C50" s="513">
        <v>48.785931581800682</v>
      </c>
      <c r="D50" s="513">
        <v>112.78998871160321</v>
      </c>
      <c r="E50" s="513">
        <v>8.3900611251654205</v>
      </c>
      <c r="F50" s="513">
        <v>184.87300388892891</v>
      </c>
      <c r="G50" s="513">
        <v>1423.8581860817474</v>
      </c>
      <c r="H50" s="513">
        <v>68.599999999999994</v>
      </c>
    </row>
    <row r="51" spans="1:8" s="473" customFormat="1" ht="3" customHeight="1" x14ac:dyDescent="0.25">
      <c r="A51" s="429"/>
      <c r="B51" s="513"/>
      <c r="C51" s="513"/>
      <c r="D51" s="513"/>
      <c r="E51" s="513"/>
      <c r="F51" s="513"/>
      <c r="G51" s="513"/>
      <c r="H51" s="513"/>
    </row>
    <row r="52" spans="1:8" s="428" customFormat="1" ht="9" customHeight="1" x14ac:dyDescent="0.25">
      <c r="A52" s="428" t="s">
        <v>23</v>
      </c>
      <c r="B52" s="514">
        <v>89.968459595930725</v>
      </c>
      <c r="C52" s="514">
        <v>45.955934888899812</v>
      </c>
      <c r="D52" s="514">
        <v>137.98212291269172</v>
      </c>
      <c r="E52" s="514">
        <v>8.2309137114447424</v>
      </c>
      <c r="F52" s="514">
        <v>204.74397857218796</v>
      </c>
      <c r="G52" s="514">
        <v>1572.0176370189918</v>
      </c>
      <c r="H52" s="514">
        <v>75.900000000000006</v>
      </c>
    </row>
    <row r="53" spans="1:8" s="428" customFormat="1" ht="9" customHeight="1" x14ac:dyDescent="0.25">
      <c r="A53" s="428" t="s">
        <v>24</v>
      </c>
      <c r="B53" s="514">
        <v>69.399857362936459</v>
      </c>
      <c r="C53" s="514">
        <v>38.279894351235349</v>
      </c>
      <c r="D53" s="514">
        <v>101.03458668009426</v>
      </c>
      <c r="E53" s="514">
        <v>8.6574333190446691</v>
      </c>
      <c r="F53" s="514">
        <v>178.7175018671978</v>
      </c>
      <c r="G53" s="514">
        <v>1260.3505464946288</v>
      </c>
      <c r="H53" s="514">
        <v>75.5</v>
      </c>
    </row>
    <row r="54" spans="1:8" s="428" customFormat="1" ht="9" customHeight="1" x14ac:dyDescent="0.25">
      <c r="A54" s="428" t="s">
        <v>25</v>
      </c>
      <c r="B54" s="514">
        <v>139.47148202923111</v>
      </c>
      <c r="C54" s="514">
        <v>91.314347668194713</v>
      </c>
      <c r="D54" s="514">
        <v>211.57560670094682</v>
      </c>
      <c r="E54" s="514">
        <v>10.789303326789577</v>
      </c>
      <c r="F54" s="514">
        <v>316.57394883238686</v>
      </c>
      <c r="G54" s="514">
        <v>2317.3160423782783</v>
      </c>
      <c r="H54" s="514">
        <v>56.2</v>
      </c>
    </row>
    <row r="55" spans="1:8" s="428" customFormat="1" ht="9" customHeight="1" x14ac:dyDescent="0.25">
      <c r="A55" s="475" t="s">
        <v>26</v>
      </c>
      <c r="B55" s="515">
        <v>73.102446321150111</v>
      </c>
      <c r="C55" s="515">
        <v>62.65923970384295</v>
      </c>
      <c r="D55" s="515">
        <v>137.91175797561513</v>
      </c>
      <c r="E55" s="515">
        <v>10.75035975311031</v>
      </c>
      <c r="F55" s="515">
        <v>190.12779106215092</v>
      </c>
      <c r="G55" s="515">
        <v>1613.5322457040795</v>
      </c>
      <c r="H55" s="515">
        <v>71</v>
      </c>
    </row>
    <row r="56" spans="1:8" s="428" customFormat="1" ht="9" customHeight="1" x14ac:dyDescent="0.25">
      <c r="A56" s="428" t="s">
        <v>27</v>
      </c>
      <c r="B56" s="514">
        <v>113.2679320446929</v>
      </c>
      <c r="C56" s="514">
        <v>59.064705839591163</v>
      </c>
      <c r="D56" s="514">
        <v>141.43725329126715</v>
      </c>
      <c r="E56" s="514">
        <v>9.58665610165672</v>
      </c>
      <c r="F56" s="514">
        <v>264.200972659402</v>
      </c>
      <c r="G56" s="514">
        <v>2022.8080633319037</v>
      </c>
      <c r="H56" s="514">
        <v>67</v>
      </c>
    </row>
    <row r="57" spans="1:8" s="428" customFormat="1" ht="9" customHeight="1" x14ac:dyDescent="0.25">
      <c r="A57" s="428" t="s">
        <v>28</v>
      </c>
      <c r="B57" s="514">
        <v>89.389848703140956</v>
      </c>
      <c r="C57" s="514">
        <v>71.834731689205825</v>
      </c>
      <c r="D57" s="514">
        <v>157.79427017123302</v>
      </c>
      <c r="E57" s="514">
        <v>10.492713617524446</v>
      </c>
      <c r="F57" s="514">
        <v>237.09497116521584</v>
      </c>
      <c r="G57" s="514">
        <v>1866.1371881948901</v>
      </c>
      <c r="H57" s="514">
        <v>60.4</v>
      </c>
    </row>
    <row r="58" spans="1:8" s="428" customFormat="1" ht="9" customHeight="1" x14ac:dyDescent="0.25">
      <c r="A58" s="428" t="s">
        <v>29</v>
      </c>
      <c r="B58" s="514">
        <v>42.616855829780327</v>
      </c>
      <c r="C58" s="514">
        <v>47.05668261076066</v>
      </c>
      <c r="D58" s="514">
        <v>85.946276451569844</v>
      </c>
      <c r="E58" s="514">
        <v>8.4959648278018669</v>
      </c>
      <c r="F58" s="514">
        <v>116.25768645011458</v>
      </c>
      <c r="G58" s="514">
        <v>1028.3811816023444</v>
      </c>
      <c r="H58" s="514">
        <v>67.900000000000006</v>
      </c>
    </row>
    <row r="59" spans="1:8" s="428" customFormat="1" ht="9" customHeight="1" x14ac:dyDescent="0.25">
      <c r="A59" s="475" t="s">
        <v>30</v>
      </c>
      <c r="B59" s="515">
        <v>78.865632854378632</v>
      </c>
      <c r="C59" s="515">
        <v>43.77113165128975</v>
      </c>
      <c r="D59" s="515">
        <v>93.044516757536144</v>
      </c>
      <c r="E59" s="515">
        <v>5.220086611112718</v>
      </c>
      <c r="F59" s="515">
        <v>172.08650388931724</v>
      </c>
      <c r="G59" s="515">
        <v>1609.9318496530404</v>
      </c>
      <c r="H59" s="515">
        <v>69.099999999999994</v>
      </c>
    </row>
    <row r="60" spans="1:8" s="428" customFormat="1" ht="9" customHeight="1" x14ac:dyDescent="0.25">
      <c r="A60" s="428" t="s">
        <v>63</v>
      </c>
      <c r="B60" s="514">
        <v>201.517935480923</v>
      </c>
      <c r="C60" s="514">
        <v>81.432455880942157</v>
      </c>
      <c r="D60" s="514">
        <v>262.21344045831574</v>
      </c>
      <c r="E60" s="514">
        <v>17.636316310888276</v>
      </c>
      <c r="F60" s="514">
        <v>459.38349359689818</v>
      </c>
      <c r="G60" s="514">
        <v>1794.0229789661578</v>
      </c>
      <c r="H60" s="514">
        <v>66.5</v>
      </c>
    </row>
    <row r="61" spans="1:8" s="428" customFormat="1" ht="9" customHeight="1" x14ac:dyDescent="0.25">
      <c r="A61" s="428" t="s">
        <v>31</v>
      </c>
      <c r="B61" s="514">
        <v>81.225183099673728</v>
      </c>
      <c r="C61" s="514">
        <v>55.910915731616626</v>
      </c>
      <c r="D61" s="514">
        <v>121.90637700010153</v>
      </c>
      <c r="E61" s="514">
        <v>6.4486209555484209</v>
      </c>
      <c r="F61" s="514">
        <v>195.10508508063521</v>
      </c>
      <c r="G61" s="514">
        <v>1779.4962666600809</v>
      </c>
      <c r="H61" s="514">
        <v>72.73</v>
      </c>
    </row>
    <row r="62" spans="1:8" s="428" customFormat="1" ht="9" customHeight="1" x14ac:dyDescent="0.25">
      <c r="A62" s="428" t="s">
        <v>32</v>
      </c>
      <c r="B62" s="514">
        <v>56.947684657063057</v>
      </c>
      <c r="C62" s="514">
        <v>30.834542026496226</v>
      </c>
      <c r="D62" s="514">
        <v>75.654271837143497</v>
      </c>
      <c r="E62" s="514">
        <v>3.8934762791076509</v>
      </c>
      <c r="F62" s="514">
        <v>119.33281032460404</v>
      </c>
      <c r="G62" s="514">
        <v>1086.4374110262354</v>
      </c>
      <c r="H62" s="514">
        <v>69.3</v>
      </c>
    </row>
    <row r="63" spans="1:8" s="428" customFormat="1" ht="9" customHeight="1" x14ac:dyDescent="0.25">
      <c r="A63" s="475" t="s">
        <v>33</v>
      </c>
      <c r="B63" s="515">
        <v>44.592651859567553</v>
      </c>
      <c r="C63" s="515">
        <v>48.201890701453884</v>
      </c>
      <c r="D63" s="515">
        <v>79.403254521499264</v>
      </c>
      <c r="E63" s="515">
        <v>5.4644550690241633</v>
      </c>
      <c r="F63" s="515">
        <v>129.52782385835053</v>
      </c>
      <c r="G63" s="515">
        <v>1056.5395697382526</v>
      </c>
      <c r="H63" s="515">
        <v>64.099999999999994</v>
      </c>
    </row>
    <row r="64" spans="1:8" s="428" customFormat="1" ht="9" customHeight="1" x14ac:dyDescent="0.25">
      <c r="A64" s="428" t="s">
        <v>34</v>
      </c>
      <c r="B64" s="514">
        <v>56.828539646044696</v>
      </c>
      <c r="C64" s="514">
        <v>50.364409522640265</v>
      </c>
      <c r="D64" s="514">
        <v>85.335818535590846</v>
      </c>
      <c r="E64" s="514">
        <v>5.5340394581663821</v>
      </c>
      <c r="F64" s="514">
        <v>136.25828245737395</v>
      </c>
      <c r="G64" s="514">
        <v>1290.6249651216001</v>
      </c>
      <c r="H64" s="514">
        <v>83.9</v>
      </c>
    </row>
    <row r="65" spans="1:8" s="428" customFormat="1" ht="9" customHeight="1" x14ac:dyDescent="0.25">
      <c r="A65" s="428" t="s">
        <v>35</v>
      </c>
      <c r="B65" s="514">
        <v>97.087346747844904</v>
      </c>
      <c r="C65" s="514">
        <v>45.858208783620867</v>
      </c>
      <c r="D65" s="514">
        <v>106.97511239531616</v>
      </c>
      <c r="E65" s="514">
        <v>7.5554355445793693</v>
      </c>
      <c r="F65" s="514">
        <v>192.72930582629201</v>
      </c>
      <c r="G65" s="514">
        <v>1345.5839793230721</v>
      </c>
      <c r="H65" s="514">
        <v>75.099999999999994</v>
      </c>
    </row>
    <row r="66" spans="1:8" s="428" customFormat="1" ht="9" customHeight="1" x14ac:dyDescent="0.25">
      <c r="A66" s="428" t="s">
        <v>36</v>
      </c>
      <c r="B66" s="514">
        <v>57.841113867573213</v>
      </c>
      <c r="C66" s="514">
        <v>35.167397231484514</v>
      </c>
      <c r="D66" s="514">
        <v>72.118404083321835</v>
      </c>
      <c r="E66" s="514">
        <v>7.2942902870088693</v>
      </c>
      <c r="F66" s="514">
        <v>105.02263627766057</v>
      </c>
      <c r="G66" s="514">
        <v>1247.1167571890614</v>
      </c>
      <c r="H66" s="514">
        <v>63.5</v>
      </c>
    </row>
    <row r="67" spans="1:8" s="428" customFormat="1" ht="9" customHeight="1" x14ac:dyDescent="0.25">
      <c r="A67" s="475" t="s">
        <v>37</v>
      </c>
      <c r="B67" s="515">
        <v>47.391853158165759</v>
      </c>
      <c r="C67" s="515">
        <v>39.518527126013218</v>
      </c>
      <c r="D67" s="515">
        <v>81.214244087284058</v>
      </c>
      <c r="E67" s="515">
        <v>6.9619442406493501</v>
      </c>
      <c r="F67" s="515">
        <v>107.26457362775017</v>
      </c>
      <c r="G67" s="515">
        <v>1108.2167144382622</v>
      </c>
      <c r="H67" s="515">
        <v>68.599999999999994</v>
      </c>
    </row>
    <row r="68" spans="1:8" s="428" customFormat="1" ht="9" customHeight="1" x14ac:dyDescent="0.25">
      <c r="A68" s="428" t="s">
        <v>38</v>
      </c>
      <c r="B68" s="514">
        <v>55.56318723563917</v>
      </c>
      <c r="C68" s="514">
        <v>41.621132873928971</v>
      </c>
      <c r="D68" s="514">
        <v>107.43583066964918</v>
      </c>
      <c r="E68" s="514">
        <v>8.4745820630003159</v>
      </c>
      <c r="F68" s="514">
        <v>169.49164126000633</v>
      </c>
      <c r="G68" s="514">
        <v>1344.0871679108582</v>
      </c>
      <c r="H68" s="514">
        <v>72.3</v>
      </c>
    </row>
    <row r="69" spans="1:8" s="428" customFormat="1" ht="9" customHeight="1" x14ac:dyDescent="0.25">
      <c r="A69" s="428" t="s">
        <v>39</v>
      </c>
      <c r="B69" s="514">
        <v>75.143052348192882</v>
      </c>
      <c r="C69" s="514">
        <v>63.481026654329852</v>
      </c>
      <c r="D69" s="514">
        <v>119.15069647597787</v>
      </c>
      <c r="E69" s="514">
        <v>10.231777259710011</v>
      </c>
      <c r="F69" s="514">
        <v>210.13650071017335</v>
      </c>
      <c r="G69" s="514">
        <v>1703.1706407402967</v>
      </c>
      <c r="H69" s="514">
        <v>64.099999999999994</v>
      </c>
    </row>
    <row r="70" spans="1:8" s="428" customFormat="1" ht="9" customHeight="1" x14ac:dyDescent="0.25">
      <c r="A70" s="428" t="s">
        <v>40</v>
      </c>
      <c r="B70" s="514">
        <v>102.77812296622612</v>
      </c>
      <c r="C70" s="514">
        <v>55.183817713810889</v>
      </c>
      <c r="D70" s="514">
        <v>127.82629413002643</v>
      </c>
      <c r="E70" s="514">
        <v>8.9239322348278556</v>
      </c>
      <c r="F70" s="514">
        <v>256.93140720959207</v>
      </c>
      <c r="G70" s="514">
        <v>1815.7894663683126</v>
      </c>
      <c r="H70" s="514">
        <v>78.900000000000006</v>
      </c>
    </row>
    <row r="71" spans="1:8" s="428" customFormat="1" ht="9" customHeight="1" x14ac:dyDescent="0.25">
      <c r="A71" s="475" t="s">
        <v>41</v>
      </c>
      <c r="B71" s="515">
        <v>46.390728416462963</v>
      </c>
      <c r="C71" s="515">
        <v>49.489519705578367</v>
      </c>
      <c r="D71" s="515">
        <v>77.864726215713546</v>
      </c>
      <c r="E71" s="515">
        <v>5.9849204309385753</v>
      </c>
      <c r="F71" s="515">
        <v>114.41223524322169</v>
      </c>
      <c r="G71" s="515">
        <v>1055.9878673206938</v>
      </c>
      <c r="H71" s="515">
        <v>66.900000000000006</v>
      </c>
    </row>
    <row r="72" spans="1:8" s="428" customFormat="1" ht="9" customHeight="1" x14ac:dyDescent="0.25">
      <c r="A72" s="428" t="s">
        <v>42</v>
      </c>
      <c r="B72" s="514">
        <v>67.123535440824767</v>
      </c>
      <c r="C72" s="514">
        <v>37.845573559292632</v>
      </c>
      <c r="D72" s="514">
        <v>85.041478875548563</v>
      </c>
      <c r="E72" s="514">
        <v>11.021544899044976</v>
      </c>
      <c r="F72" s="514">
        <v>131.72967387015942</v>
      </c>
      <c r="G72" s="514">
        <v>1025.1815857697259</v>
      </c>
      <c r="H72" s="514">
        <v>58.5</v>
      </c>
    </row>
    <row r="73" spans="1:8" s="428" customFormat="1" ht="9" customHeight="1" x14ac:dyDescent="0.25">
      <c r="A73" s="428" t="s">
        <v>43</v>
      </c>
      <c r="B73" s="514">
        <v>58.04996235022795</v>
      </c>
      <c r="C73" s="514">
        <v>48.440606303107444</v>
      </c>
      <c r="D73" s="514">
        <v>114.91844649794108</v>
      </c>
      <c r="E73" s="514">
        <v>8.1915822041027226</v>
      </c>
      <c r="F73" s="514">
        <v>163.75287886855347</v>
      </c>
      <c r="G73" s="514">
        <v>1244.975567030772</v>
      </c>
      <c r="H73" s="514">
        <v>68.3</v>
      </c>
    </row>
    <row r="74" spans="1:8" s="428" customFormat="1" ht="9" customHeight="1" x14ac:dyDescent="0.25">
      <c r="A74" s="428" t="s">
        <v>44</v>
      </c>
      <c r="B74" s="514">
        <v>57.884077673985104</v>
      </c>
      <c r="C74" s="514">
        <v>50.455854631076605</v>
      </c>
      <c r="D74" s="514">
        <v>113.80598322342834</v>
      </c>
      <c r="E74" s="514">
        <v>7.9888436499204625</v>
      </c>
      <c r="F74" s="514">
        <v>182.20169727888774</v>
      </c>
      <c r="G74" s="514">
        <v>1474.8036075936061</v>
      </c>
      <c r="H74" s="514">
        <v>67.5</v>
      </c>
    </row>
    <row r="75" spans="1:8" s="428" customFormat="1" ht="9" customHeight="1" x14ac:dyDescent="0.25">
      <c r="A75" s="475" t="s">
        <v>45</v>
      </c>
      <c r="B75" s="515">
        <v>67.548024589090303</v>
      </c>
      <c r="C75" s="515">
        <v>43.720693612263609</v>
      </c>
      <c r="D75" s="515">
        <v>84.535615154182494</v>
      </c>
      <c r="E75" s="515">
        <v>5.5880232122013815</v>
      </c>
      <c r="F75" s="515">
        <v>147.70262954490693</v>
      </c>
      <c r="G75" s="515">
        <v>1254.2684674108721</v>
      </c>
      <c r="H75" s="515">
        <v>65.400000000000006</v>
      </c>
    </row>
    <row r="76" spans="1:8" s="428" customFormat="1" ht="9" customHeight="1" x14ac:dyDescent="0.25">
      <c r="A76" s="428" t="s">
        <v>46</v>
      </c>
      <c r="B76" s="514">
        <v>79.101761874821563</v>
      </c>
      <c r="C76" s="514">
        <v>49.697867871995861</v>
      </c>
      <c r="D76" s="514">
        <v>107.28557728831839</v>
      </c>
      <c r="E76" s="514">
        <v>6.7917708139306949</v>
      </c>
      <c r="F76" s="514">
        <v>202.53304582859198</v>
      </c>
      <c r="G76" s="514">
        <v>1959.1481085935013</v>
      </c>
      <c r="H76" s="514">
        <v>80.900000000000006</v>
      </c>
    </row>
    <row r="77" spans="1:8" s="428" customFormat="1" ht="9" customHeight="1" x14ac:dyDescent="0.25">
      <c r="A77" s="428" t="s">
        <v>47</v>
      </c>
      <c r="B77" s="514">
        <v>113.61746676039517</v>
      </c>
      <c r="C77" s="514">
        <v>56.21820600618306</v>
      </c>
      <c r="D77" s="514">
        <v>134.16781937610074</v>
      </c>
      <c r="E77" s="514">
        <v>7.4170238176224705</v>
      </c>
      <c r="F77" s="514">
        <v>229.54980082692731</v>
      </c>
      <c r="G77" s="514">
        <v>1685.6972380326085</v>
      </c>
      <c r="H77" s="514">
        <v>64.599999999999994</v>
      </c>
    </row>
    <row r="78" spans="1:8" s="428" customFormat="1" ht="9" customHeight="1" x14ac:dyDescent="0.25">
      <c r="A78" s="428" t="s">
        <v>48</v>
      </c>
      <c r="B78" s="514">
        <v>74.455641533201373</v>
      </c>
      <c r="C78" s="514">
        <v>65.457980924959514</v>
      </c>
      <c r="D78" s="514">
        <v>148.18022314198311</v>
      </c>
      <c r="E78" s="514">
        <v>16.476965988842903</v>
      </c>
      <c r="F78" s="514">
        <v>199.80430088177076</v>
      </c>
      <c r="G78" s="514">
        <v>2000.9503779017455</v>
      </c>
      <c r="H78" s="514">
        <v>72.5</v>
      </c>
    </row>
    <row r="79" spans="1:8" s="428" customFormat="1" ht="9" customHeight="1" x14ac:dyDescent="0.25">
      <c r="A79" s="475" t="s">
        <v>49</v>
      </c>
      <c r="B79" s="515">
        <v>101.64061377815804</v>
      </c>
      <c r="C79" s="515">
        <v>54.216133847105041</v>
      </c>
      <c r="D79" s="515">
        <v>127.44109216040169</v>
      </c>
      <c r="E79" s="515">
        <v>7.650368779001143</v>
      </c>
      <c r="F79" s="515">
        <v>212.92225351760834</v>
      </c>
      <c r="G79" s="515">
        <v>1843.6526139280429</v>
      </c>
      <c r="H79" s="515">
        <v>65.5</v>
      </c>
    </row>
    <row r="80" spans="1:8" s="428" customFormat="1" ht="9" customHeight="1" x14ac:dyDescent="0.25">
      <c r="A80" s="428" t="s">
        <v>50</v>
      </c>
      <c r="B80" s="514">
        <v>49.634349190416017</v>
      </c>
      <c r="C80" s="514">
        <v>40.640205377387609</v>
      </c>
      <c r="D80" s="514">
        <v>91.27390388036234</v>
      </c>
      <c r="E80" s="514">
        <v>8.9941438130284066</v>
      </c>
      <c r="F80" s="514">
        <v>135.13423482043913</v>
      </c>
      <c r="G80" s="514">
        <v>1549.549959692911</v>
      </c>
      <c r="H80" s="514">
        <v>59.8</v>
      </c>
    </row>
    <row r="81" spans="1:8" s="428" customFormat="1" ht="9" customHeight="1" x14ac:dyDescent="0.25">
      <c r="A81" s="428" t="s">
        <v>51</v>
      </c>
      <c r="B81" s="514">
        <v>61.427673225234855</v>
      </c>
      <c r="C81" s="514">
        <v>44.7995352303925</v>
      </c>
      <c r="D81" s="514">
        <v>89.569847019669282</v>
      </c>
      <c r="E81" s="514">
        <v>5.1871607980395744</v>
      </c>
      <c r="F81" s="514">
        <v>129.26989177536936</v>
      </c>
      <c r="G81" s="514">
        <v>1304.3710523697216</v>
      </c>
      <c r="H81" s="514">
        <v>69.400000000000006</v>
      </c>
    </row>
    <row r="82" spans="1:8" s="428" customFormat="1" ht="9" customHeight="1" x14ac:dyDescent="0.25">
      <c r="A82" s="428" t="s">
        <v>52</v>
      </c>
      <c r="B82" s="514">
        <v>97.862542715891422</v>
      </c>
      <c r="C82" s="514">
        <v>45.795869503941425</v>
      </c>
      <c r="D82" s="514">
        <v>129.34324415912639</v>
      </c>
      <c r="E82" s="514">
        <v>8.4877545138701951</v>
      </c>
      <c r="F82" s="514">
        <v>201.61584043021514</v>
      </c>
      <c r="G82" s="514">
        <v>2047.183680708411</v>
      </c>
      <c r="H82" s="514">
        <v>64.400000000000006</v>
      </c>
    </row>
    <row r="83" spans="1:8" s="428" customFormat="1" ht="9" customHeight="1" x14ac:dyDescent="0.25">
      <c r="A83" s="475" t="s">
        <v>53</v>
      </c>
      <c r="B83" s="515">
        <v>44.602442094106735</v>
      </c>
      <c r="C83" s="515">
        <v>50.637756040834049</v>
      </c>
      <c r="D83" s="515">
        <v>86.260828604444043</v>
      </c>
      <c r="E83" s="515">
        <v>6.5505236738869623</v>
      </c>
      <c r="F83" s="515">
        <v>130.20085819220267</v>
      </c>
      <c r="G83" s="515">
        <v>1435.0541338220464</v>
      </c>
      <c r="H83" s="515">
        <v>82.6</v>
      </c>
    </row>
    <row r="84" spans="1:8" s="428" customFormat="1" ht="9" customHeight="1" x14ac:dyDescent="0.25">
      <c r="B84" s="514"/>
      <c r="C84" s="514"/>
      <c r="D84" s="514"/>
      <c r="E84" s="514"/>
      <c r="F84" s="514"/>
      <c r="G84" s="514"/>
      <c r="H84" s="514"/>
    </row>
    <row r="85" spans="1:8" s="428" customFormat="1" ht="9" customHeight="1" x14ac:dyDescent="0.25">
      <c r="A85" s="470">
        <v>1997</v>
      </c>
      <c r="B85" s="471"/>
      <c r="C85" s="471"/>
      <c r="D85" s="471"/>
      <c r="E85" s="471"/>
      <c r="F85" s="471"/>
      <c r="G85" s="512"/>
      <c r="H85" s="512"/>
    </row>
    <row r="86" spans="1:8" s="428" customFormat="1" ht="9" customHeight="1" x14ac:dyDescent="0.25">
      <c r="A86" s="429" t="s">
        <v>21</v>
      </c>
      <c r="B86" s="513">
        <v>81.068024149919111</v>
      </c>
      <c r="C86" s="513">
        <v>50.549711492332193</v>
      </c>
      <c r="D86" s="513">
        <v>116.74523041139911</v>
      </c>
      <c r="E86" s="513">
        <v>8.6669412545403848</v>
      </c>
      <c r="F86" s="513">
        <v>183.26730197714545</v>
      </c>
      <c r="G86" s="513">
        <v>1508.5210030684673</v>
      </c>
      <c r="H86" s="513">
        <v>69.599999999999994</v>
      </c>
    </row>
    <row r="87" spans="1:8" s="428" customFormat="1" ht="3" customHeight="1" x14ac:dyDescent="0.25">
      <c r="A87" s="429"/>
      <c r="B87" s="513"/>
      <c r="C87" s="513"/>
      <c r="D87" s="513"/>
      <c r="E87" s="513"/>
      <c r="F87" s="513"/>
      <c r="G87" s="513"/>
      <c r="H87" s="513"/>
    </row>
    <row r="88" spans="1:8" s="428" customFormat="1" ht="9" customHeight="1" x14ac:dyDescent="0.25">
      <c r="A88" s="428" t="s">
        <v>23</v>
      </c>
      <c r="B88" s="514">
        <v>90.673386857837315</v>
      </c>
      <c r="C88" s="514">
        <v>47.069661981688668</v>
      </c>
      <c r="D88" s="514">
        <v>146.79920708303379</v>
      </c>
      <c r="E88" s="514">
        <v>8.2735272841923067</v>
      </c>
      <c r="F88" s="514">
        <v>224.16786763250778</v>
      </c>
      <c r="G88" s="514">
        <v>1641.4767575375747</v>
      </c>
      <c r="H88" s="514">
        <v>76</v>
      </c>
    </row>
    <row r="89" spans="1:8" s="428" customFormat="1" ht="9" customHeight="1" x14ac:dyDescent="0.25">
      <c r="A89" s="428" t="s">
        <v>24</v>
      </c>
      <c r="B89" s="514">
        <v>67.896074343720159</v>
      </c>
      <c r="C89" s="514">
        <v>37.399232977371433</v>
      </c>
      <c r="D89" s="514">
        <v>108.13746857268919</v>
      </c>
      <c r="E89" s="514">
        <v>8.5264837547927641</v>
      </c>
      <c r="F89" s="514">
        <v>174.54479178462012</v>
      </c>
      <c r="G89" s="514">
        <v>1269.8050142040393</v>
      </c>
      <c r="H89" s="514">
        <v>75.900000000000006</v>
      </c>
    </row>
    <row r="90" spans="1:8" s="428" customFormat="1" ht="9" customHeight="1" x14ac:dyDescent="0.25">
      <c r="A90" s="428" t="s">
        <v>25</v>
      </c>
      <c r="B90" s="514">
        <v>149.38560382427144</v>
      </c>
      <c r="C90" s="514">
        <v>87.333122235727927</v>
      </c>
      <c r="D90" s="514">
        <v>221.14176566122919</v>
      </c>
      <c r="E90" s="514">
        <v>14.300160366084105</v>
      </c>
      <c r="F90" s="514">
        <v>336.30912860951366</v>
      </c>
      <c r="G90" s="514">
        <v>2440.5496368780709</v>
      </c>
      <c r="H90" s="514">
        <v>56</v>
      </c>
    </row>
    <row r="91" spans="1:8" s="428" customFormat="1" ht="9" customHeight="1" x14ac:dyDescent="0.25">
      <c r="A91" s="475" t="s">
        <v>26</v>
      </c>
      <c r="B91" s="515">
        <v>89.581005207461473</v>
      </c>
      <c r="C91" s="515">
        <v>68.467636976746647</v>
      </c>
      <c r="D91" s="515">
        <v>146.13467011116188</v>
      </c>
      <c r="E91" s="515">
        <v>10.104254796127808</v>
      </c>
      <c r="F91" s="515">
        <v>190.62355316873956</v>
      </c>
      <c r="G91" s="515">
        <v>1826.8658562149462</v>
      </c>
      <c r="H91" s="515">
        <v>55.6</v>
      </c>
    </row>
    <row r="92" spans="1:8" s="428" customFormat="1" ht="9" customHeight="1" x14ac:dyDescent="0.25">
      <c r="A92" s="428" t="s">
        <v>27</v>
      </c>
      <c r="B92" s="514">
        <v>111.12635232119148</v>
      </c>
      <c r="C92" s="514">
        <v>59.620027667279011</v>
      </c>
      <c r="D92" s="514">
        <v>138.82949299666399</v>
      </c>
      <c r="E92" s="514">
        <v>9.2343802251575013</v>
      </c>
      <c r="F92" s="514">
        <v>260.80400072799193</v>
      </c>
      <c r="G92" s="514">
        <v>2130.6758938745579</v>
      </c>
      <c r="H92" s="514">
        <v>72.900000000000006</v>
      </c>
    </row>
    <row r="93" spans="1:8" s="428" customFormat="1" ht="9" customHeight="1" x14ac:dyDescent="0.25">
      <c r="A93" s="428" t="s">
        <v>28</v>
      </c>
      <c r="B93" s="514">
        <v>91.931528766085549</v>
      </c>
      <c r="C93" s="514">
        <v>71.80917697608399</v>
      </c>
      <c r="D93" s="514">
        <v>157.23053310422785</v>
      </c>
      <c r="E93" s="514">
        <v>11.047565688628305</v>
      </c>
      <c r="F93" s="514">
        <v>242.45461127364621</v>
      </c>
      <c r="G93" s="514">
        <v>1868.672062876431</v>
      </c>
      <c r="H93" s="514">
        <v>60.8</v>
      </c>
    </row>
    <row r="94" spans="1:8" s="428" customFormat="1" ht="9" customHeight="1" x14ac:dyDescent="0.25">
      <c r="A94" s="428" t="s">
        <v>29</v>
      </c>
      <c r="B94" s="514">
        <v>43.53836654040272</v>
      </c>
      <c r="C94" s="514">
        <v>52.670411342214514</v>
      </c>
      <c r="D94" s="514">
        <v>85.411477852239756</v>
      </c>
      <c r="E94" s="514">
        <v>8.5411477852239752</v>
      </c>
      <c r="F94" s="514">
        <v>115.65466151941648</v>
      </c>
      <c r="G94" s="514">
        <v>1164.4863909702342</v>
      </c>
      <c r="H94" s="514">
        <v>70</v>
      </c>
    </row>
    <row r="95" spans="1:8" s="428" customFormat="1" ht="9" customHeight="1" x14ac:dyDescent="0.25">
      <c r="A95" s="475" t="s">
        <v>30</v>
      </c>
      <c r="B95" s="515">
        <v>75.630252100840337</v>
      </c>
      <c r="C95" s="515">
        <v>44.645018501227646</v>
      </c>
      <c r="D95" s="515">
        <v>95.445585641664067</v>
      </c>
      <c r="E95" s="515">
        <v>5.360168758861569</v>
      </c>
      <c r="F95" s="515">
        <v>174.53401113531831</v>
      </c>
      <c r="G95" s="515">
        <v>1671.7795760279421</v>
      </c>
      <c r="H95" s="515">
        <v>80.099999999999994</v>
      </c>
    </row>
    <row r="96" spans="1:8" s="428" customFormat="1" ht="9" customHeight="1" x14ac:dyDescent="0.25">
      <c r="A96" s="428" t="s">
        <v>63</v>
      </c>
      <c r="B96" s="514">
        <v>195.69514871435555</v>
      </c>
      <c r="C96" s="514">
        <v>86.745582116592203</v>
      </c>
      <c r="D96" s="514">
        <v>282.34768113170765</v>
      </c>
      <c r="E96" s="514">
        <v>19.714905026498229</v>
      </c>
      <c r="F96" s="514">
        <v>464.49246739422227</v>
      </c>
      <c r="G96" s="514">
        <v>1820.601226674185</v>
      </c>
      <c r="H96" s="514">
        <v>70.099999999999994</v>
      </c>
    </row>
    <row r="97" spans="1:8" s="428" customFormat="1" ht="9" customHeight="1" x14ac:dyDescent="0.25">
      <c r="A97" s="428" t="s">
        <v>31</v>
      </c>
      <c r="B97" s="514">
        <v>80.521748061418378</v>
      </c>
      <c r="C97" s="514">
        <v>58.542597442612852</v>
      </c>
      <c r="D97" s="514">
        <v>119.00237936287853</v>
      </c>
      <c r="E97" s="514">
        <v>6.6416747975829784</v>
      </c>
      <c r="F97" s="514">
        <v>197.33305944983653</v>
      </c>
      <c r="G97" s="514">
        <v>1949.4123487221625</v>
      </c>
      <c r="H97" s="514">
        <v>76.2</v>
      </c>
    </row>
    <row r="98" spans="1:8" s="428" customFormat="1" ht="9" customHeight="1" x14ac:dyDescent="0.25">
      <c r="A98" s="428" t="s">
        <v>32</v>
      </c>
      <c r="B98" s="514">
        <v>58.171430211392988</v>
      </c>
      <c r="C98" s="514">
        <v>32.14330261396136</v>
      </c>
      <c r="D98" s="514">
        <v>79.386892994371607</v>
      </c>
      <c r="E98" s="514">
        <v>5.0555056995859564</v>
      </c>
      <c r="F98" s="514">
        <v>122.34765321880073</v>
      </c>
      <c r="G98" s="514">
        <v>1169.3486234785191</v>
      </c>
      <c r="H98" s="514">
        <v>69.099999999999994</v>
      </c>
    </row>
    <row r="99" spans="1:8" s="428" customFormat="1" ht="9" customHeight="1" x14ac:dyDescent="0.25">
      <c r="A99" s="475" t="s">
        <v>33</v>
      </c>
      <c r="B99" s="515">
        <v>47.695520848068298</v>
      </c>
      <c r="C99" s="515">
        <v>52.022399920119156</v>
      </c>
      <c r="D99" s="515">
        <v>84.540560330839824</v>
      </c>
      <c r="E99" s="515">
        <v>5.2921059419698953</v>
      </c>
      <c r="F99" s="515">
        <v>130.0726416428827</v>
      </c>
      <c r="G99" s="515">
        <v>1297.8110984448199</v>
      </c>
      <c r="H99" s="515">
        <v>61.5</v>
      </c>
    </row>
    <row r="100" spans="1:8" s="428" customFormat="1" ht="9" customHeight="1" x14ac:dyDescent="0.25">
      <c r="A100" s="428" t="s">
        <v>34</v>
      </c>
      <c r="B100" s="514">
        <v>59.80131654616212</v>
      </c>
      <c r="C100" s="514">
        <v>51.408953871355628</v>
      </c>
      <c r="D100" s="514">
        <v>92.315989422871439</v>
      </c>
      <c r="E100" s="514">
        <v>5.503188639217373</v>
      </c>
      <c r="F100" s="514">
        <v>141.98226689180822</v>
      </c>
      <c r="G100" s="514">
        <v>1352.7653981511121</v>
      </c>
      <c r="H100" s="514">
        <v>80.2</v>
      </c>
    </row>
    <row r="101" spans="1:8" s="428" customFormat="1" ht="9" customHeight="1" x14ac:dyDescent="0.25">
      <c r="A101" s="428" t="s">
        <v>35</v>
      </c>
      <c r="B101" s="514">
        <v>96.17682518158486</v>
      </c>
      <c r="C101" s="514">
        <v>46.060392491653076</v>
      </c>
      <c r="D101" s="514">
        <v>103.46147337769342</v>
      </c>
      <c r="E101" s="514">
        <v>6.8790441762806989</v>
      </c>
      <c r="F101" s="514">
        <v>167.20620113384169</v>
      </c>
      <c r="G101" s="514">
        <v>1388.2243743030708</v>
      </c>
      <c r="H101" s="514">
        <v>57.9</v>
      </c>
    </row>
    <row r="102" spans="1:8" s="428" customFormat="1" ht="9" customHeight="1" x14ac:dyDescent="0.25">
      <c r="A102" s="428" t="s">
        <v>36</v>
      </c>
      <c r="B102" s="514">
        <v>56.457760109288316</v>
      </c>
      <c r="C102" s="514">
        <v>34.927397337433668</v>
      </c>
      <c r="D102" s="514">
        <v>73.544308478117372</v>
      </c>
      <c r="E102" s="514">
        <v>7.346231928248959</v>
      </c>
      <c r="F102" s="514">
        <v>103.79832166476766</v>
      </c>
      <c r="G102" s="514">
        <v>1304.7932769515498</v>
      </c>
      <c r="H102" s="514">
        <v>64.8</v>
      </c>
    </row>
    <row r="103" spans="1:8" s="428" customFormat="1" ht="9" customHeight="1" x14ac:dyDescent="0.25">
      <c r="A103" s="475" t="s">
        <v>37</v>
      </c>
      <c r="B103" s="515">
        <v>49.841593803842009</v>
      </c>
      <c r="C103" s="515">
        <v>40.758900536205985</v>
      </c>
      <c r="D103" s="515">
        <v>84.209901293013218</v>
      </c>
      <c r="E103" s="515">
        <v>7.0699080559715313</v>
      </c>
      <c r="F103" s="515">
        <v>108.33816401784134</v>
      </c>
      <c r="G103" s="515">
        <v>1242.1463637022366</v>
      </c>
      <c r="H103" s="515">
        <v>69.8</v>
      </c>
    </row>
    <row r="104" spans="1:8" s="428" customFormat="1" ht="9" customHeight="1" x14ac:dyDescent="0.25">
      <c r="A104" s="428" t="s">
        <v>38</v>
      </c>
      <c r="B104" s="514">
        <v>53.609253037689719</v>
      </c>
      <c r="C104" s="514">
        <v>42.524633048693723</v>
      </c>
      <c r="D104" s="514">
        <v>106.07645431893744</v>
      </c>
      <c r="E104" s="514">
        <v>9.270773081705741</v>
      </c>
      <c r="F104" s="514">
        <v>168.15032625731499</v>
      </c>
      <c r="G104" s="514">
        <v>1427.1522133298938</v>
      </c>
      <c r="H104" s="514">
        <v>81.8</v>
      </c>
    </row>
    <row r="105" spans="1:8" s="428" customFormat="1" ht="9" customHeight="1" x14ac:dyDescent="0.25">
      <c r="A105" s="428" t="s">
        <v>39</v>
      </c>
      <c r="B105" s="514">
        <v>73.459482504181281</v>
      </c>
      <c r="C105" s="514">
        <v>65.151564840017926</v>
      </c>
      <c r="D105" s="514">
        <v>120.79275024869096</v>
      </c>
      <c r="E105" s="514">
        <v>11.040785316848675</v>
      </c>
      <c r="F105" s="514">
        <v>204.85575924529127</v>
      </c>
      <c r="G105" s="514">
        <v>1972.2417166781447</v>
      </c>
      <c r="H105" s="514">
        <v>63.5</v>
      </c>
    </row>
    <row r="106" spans="1:8" s="428" customFormat="1" ht="9" customHeight="1" x14ac:dyDescent="0.25">
      <c r="A106" s="428" t="s">
        <v>40</v>
      </c>
      <c r="B106" s="514">
        <v>100.88799465646039</v>
      </c>
      <c r="C106" s="514">
        <v>55.648211512377422</v>
      </c>
      <c r="D106" s="514">
        <v>127.52373654382808</v>
      </c>
      <c r="E106" s="514">
        <v>7.6492386958594389</v>
      </c>
      <c r="F106" s="514">
        <v>251.76922793228783</v>
      </c>
      <c r="G106" s="514">
        <v>1887.5870613127461</v>
      </c>
      <c r="H106" s="514">
        <v>82.8</v>
      </c>
    </row>
    <row r="107" spans="1:8" s="428" customFormat="1" ht="9" customHeight="1" x14ac:dyDescent="0.25">
      <c r="A107" s="475" t="s">
        <v>41</v>
      </c>
      <c r="B107" s="515">
        <v>46.789252113892942</v>
      </c>
      <c r="C107" s="515">
        <v>49.960390684271871</v>
      </c>
      <c r="D107" s="515">
        <v>88.612381560966043</v>
      </c>
      <c r="E107" s="515">
        <v>6.7611067632607442</v>
      </c>
      <c r="F107" s="515">
        <v>117.96037153777485</v>
      </c>
      <c r="G107" s="515">
        <v>1193.7748156551334</v>
      </c>
      <c r="H107" s="515">
        <v>69.2</v>
      </c>
    </row>
    <row r="108" spans="1:8" s="428" customFormat="1" ht="9" customHeight="1" x14ac:dyDescent="0.25">
      <c r="A108" s="428" t="s">
        <v>42</v>
      </c>
      <c r="B108" s="514">
        <v>58.501129034528503</v>
      </c>
      <c r="C108" s="514">
        <v>41.319268773148934</v>
      </c>
      <c r="D108" s="514">
        <v>81.499980541025735</v>
      </c>
      <c r="E108" s="514">
        <v>9.8536933547188852</v>
      </c>
      <c r="F108" s="514">
        <v>126.83525038731641</v>
      </c>
      <c r="G108" s="514">
        <v>1099.7951425431968</v>
      </c>
      <c r="H108" s="514">
        <v>68.3</v>
      </c>
    </row>
    <row r="109" spans="1:8" s="428" customFormat="1" ht="9" customHeight="1" x14ac:dyDescent="0.25">
      <c r="A109" s="428" t="s">
        <v>43</v>
      </c>
      <c r="B109" s="514">
        <v>56.871849276587014</v>
      </c>
      <c r="C109" s="514">
        <v>46.079210315619626</v>
      </c>
      <c r="D109" s="514">
        <v>116.49926594746357</v>
      </c>
      <c r="E109" s="514">
        <v>11.404987270809508</v>
      </c>
      <c r="F109" s="514">
        <v>162.88465041800427</v>
      </c>
      <c r="G109" s="514">
        <v>1349.2314263276096</v>
      </c>
      <c r="H109" s="514">
        <v>70.099999999999994</v>
      </c>
    </row>
    <row r="110" spans="1:8" s="428" customFormat="1" ht="9" customHeight="1" x14ac:dyDescent="0.25">
      <c r="A110" s="428" t="s">
        <v>44</v>
      </c>
      <c r="B110" s="514">
        <v>54.683807105187547</v>
      </c>
      <c r="C110" s="514">
        <v>49.917179851466599</v>
      </c>
      <c r="D110" s="514">
        <v>116.12033615314644</v>
      </c>
      <c r="E110" s="514">
        <v>9.2684418822351784</v>
      </c>
      <c r="F110" s="514">
        <v>173.45226951040118</v>
      </c>
      <c r="G110" s="514">
        <v>1533.577578844649</v>
      </c>
      <c r="H110" s="514">
        <v>70.599999999999994</v>
      </c>
    </row>
    <row r="111" spans="1:8" s="428" customFormat="1" ht="9" customHeight="1" x14ac:dyDescent="0.25">
      <c r="A111" s="475" t="s">
        <v>45</v>
      </c>
      <c r="B111" s="515">
        <v>63.967158216970759</v>
      </c>
      <c r="C111" s="515">
        <v>44.502739395762504</v>
      </c>
      <c r="D111" s="515">
        <v>89.226665369038741</v>
      </c>
      <c r="E111" s="515">
        <v>6.5028853789036658</v>
      </c>
      <c r="F111" s="515">
        <v>147.17754867763603</v>
      </c>
      <c r="G111" s="515">
        <v>1395.3329632144603</v>
      </c>
      <c r="H111" s="515">
        <v>76.7</v>
      </c>
    </row>
    <row r="112" spans="1:8" s="428" customFormat="1" ht="9" customHeight="1" x14ac:dyDescent="0.25">
      <c r="A112" s="428" t="s">
        <v>46</v>
      </c>
      <c r="B112" s="514">
        <v>82.028478130233694</v>
      </c>
      <c r="C112" s="514">
        <v>53.451334130005073</v>
      </c>
      <c r="D112" s="514">
        <v>114.14757800654698</v>
      </c>
      <c r="E112" s="514">
        <v>6.4399197746994066</v>
      </c>
      <c r="F112" s="514">
        <v>195.77356115086195</v>
      </c>
      <c r="G112" s="514">
        <v>1974.6355709773745</v>
      </c>
      <c r="H112" s="514">
        <v>77.599999999999994</v>
      </c>
    </row>
    <row r="113" spans="1:8" s="428" customFormat="1" ht="9" customHeight="1" x14ac:dyDescent="0.25">
      <c r="A113" s="428" t="s">
        <v>47</v>
      </c>
      <c r="B113" s="514">
        <v>113.94726654669439</v>
      </c>
      <c r="C113" s="514">
        <v>58.557528229433707</v>
      </c>
      <c r="D113" s="514">
        <v>139.1964155525441</v>
      </c>
      <c r="E113" s="514">
        <v>7.5933787600618095</v>
      </c>
      <c r="F113" s="514">
        <v>225.84478667962978</v>
      </c>
      <c r="G113" s="514">
        <v>1746.0643704227182</v>
      </c>
      <c r="H113" s="514">
        <v>70.8</v>
      </c>
    </row>
    <row r="114" spans="1:8" s="428" customFormat="1" ht="9" customHeight="1" x14ac:dyDescent="0.25">
      <c r="A114" s="428" t="s">
        <v>48</v>
      </c>
      <c r="B114" s="514">
        <v>72.545320137256851</v>
      </c>
      <c r="C114" s="514">
        <v>64.766696457140341</v>
      </c>
      <c r="D114" s="514">
        <v>152.04175079717101</v>
      </c>
      <c r="E114" s="514">
        <v>15.943420167047323</v>
      </c>
      <c r="F114" s="514">
        <v>199.43067094766806</v>
      </c>
      <c r="G114" s="514">
        <v>2104.4801562344842</v>
      </c>
      <c r="H114" s="514">
        <v>77.3</v>
      </c>
    </row>
    <row r="115" spans="1:8" s="428" customFormat="1" ht="9" customHeight="1" x14ac:dyDescent="0.25">
      <c r="A115" s="475" t="s">
        <v>49</v>
      </c>
      <c r="B115" s="515">
        <v>102.5435934532683</v>
      </c>
      <c r="C115" s="515">
        <v>54.598154903529874</v>
      </c>
      <c r="D115" s="515">
        <v>130.03384091519965</v>
      </c>
      <c r="E115" s="515">
        <v>7.3026943883572875</v>
      </c>
      <c r="F115" s="515">
        <v>207.87826905496635</v>
      </c>
      <c r="G115" s="515">
        <v>1827.4151558819381</v>
      </c>
      <c r="H115" s="515">
        <v>64.8</v>
      </c>
    </row>
    <row r="116" spans="1:8" s="428" customFormat="1" ht="9" customHeight="1" x14ac:dyDescent="0.25">
      <c r="A116" s="428" t="s">
        <v>50</v>
      </c>
      <c r="B116" s="514">
        <v>55.67317238132209</v>
      </c>
      <c r="C116" s="514">
        <v>44.147085911751503</v>
      </c>
      <c r="D116" s="514">
        <v>95.035845041553728</v>
      </c>
      <c r="E116" s="514">
        <v>10.7649298159197</v>
      </c>
      <c r="F116" s="514">
        <v>128.85294779661461</v>
      </c>
      <c r="G116" s="514">
        <v>1598.7943278606169</v>
      </c>
      <c r="H116" s="514">
        <v>52.6</v>
      </c>
    </row>
    <row r="117" spans="1:8" s="428" customFormat="1" ht="9" customHeight="1" x14ac:dyDescent="0.25">
      <c r="A117" s="428" t="s">
        <v>51</v>
      </c>
      <c r="B117" s="514">
        <v>64.496818747811474</v>
      </c>
      <c r="C117" s="514">
        <v>48.688632490181632</v>
      </c>
      <c r="D117" s="514">
        <v>97.493501644022302</v>
      </c>
      <c r="E117" s="514">
        <v>6.029776927312855</v>
      </c>
      <c r="F117" s="514">
        <v>137.55156185752</v>
      </c>
      <c r="G117" s="514">
        <v>1404.3533536456903</v>
      </c>
      <c r="H117" s="514">
        <v>66.900000000000006</v>
      </c>
    </row>
    <row r="118" spans="1:8" s="428" customFormat="1" ht="9" customHeight="1" x14ac:dyDescent="0.25">
      <c r="A118" s="428" t="s">
        <v>52</v>
      </c>
      <c r="B118" s="514">
        <v>99.282137758955201</v>
      </c>
      <c r="C118" s="514">
        <v>49.204526816467116</v>
      </c>
      <c r="D118" s="514">
        <v>126.90901403233281</v>
      </c>
      <c r="E118" s="514">
        <v>8.2942991971991464</v>
      </c>
      <c r="F118" s="514">
        <v>195.44611792497838</v>
      </c>
      <c r="G118" s="514">
        <v>2312.1743474163882</v>
      </c>
      <c r="H118" s="514">
        <v>65.7</v>
      </c>
    </row>
    <row r="119" spans="1:8" s="428" customFormat="1" ht="9" customHeight="1" x14ac:dyDescent="0.25">
      <c r="A119" s="475" t="s">
        <v>53</v>
      </c>
      <c r="B119" s="515">
        <v>45.445301550499714</v>
      </c>
      <c r="C119" s="515">
        <v>52.052857510992403</v>
      </c>
      <c r="D119" s="515">
        <v>91.991862427748202</v>
      </c>
      <c r="E119" s="515">
        <v>6.5341386720427694</v>
      </c>
      <c r="F119" s="515">
        <v>134.05996870955167</v>
      </c>
      <c r="G119" s="515">
        <v>1569.7203608900231</v>
      </c>
      <c r="H119" s="515">
        <v>81.8</v>
      </c>
    </row>
    <row r="120" spans="1:8" s="428" customFormat="1" ht="9" customHeight="1" x14ac:dyDescent="0.25">
      <c r="B120" s="514"/>
      <c r="C120" s="514"/>
      <c r="D120" s="514"/>
      <c r="E120" s="514"/>
      <c r="F120" s="514"/>
      <c r="G120" s="514"/>
      <c r="H120" s="514"/>
    </row>
    <row r="121" spans="1:8" s="428" customFormat="1" ht="9" customHeight="1" x14ac:dyDescent="0.25">
      <c r="A121" s="470">
        <v>1998</v>
      </c>
      <c r="B121" s="471"/>
      <c r="C121" s="471"/>
      <c r="D121" s="471"/>
      <c r="E121" s="471"/>
      <c r="F121" s="471"/>
      <c r="G121" s="512"/>
      <c r="H121" s="512"/>
    </row>
    <row r="122" spans="1:8" s="473" customFormat="1" ht="9" customHeight="1" x14ac:dyDescent="0.25">
      <c r="A122" s="429" t="s">
        <v>21</v>
      </c>
      <c r="B122" s="513">
        <v>79.869888455773619</v>
      </c>
      <c r="C122" s="513">
        <v>51.068271809420068</v>
      </c>
      <c r="D122" s="513">
        <v>118.32618761423804</v>
      </c>
      <c r="E122" s="513">
        <v>8.8540554156979017</v>
      </c>
      <c r="F122" s="513">
        <v>186.98310495532738</v>
      </c>
      <c r="G122" s="513">
        <v>1564.5601849884538</v>
      </c>
      <c r="H122" s="513">
        <v>66.3</v>
      </c>
    </row>
    <row r="123" spans="1:8" s="473" customFormat="1" ht="3" customHeight="1" x14ac:dyDescent="0.25">
      <c r="A123" s="429"/>
      <c r="B123" s="513"/>
      <c r="C123" s="513"/>
      <c r="D123" s="513"/>
      <c r="E123" s="513"/>
      <c r="F123" s="513"/>
      <c r="G123" s="513"/>
      <c r="H123" s="513"/>
    </row>
    <row r="124" spans="1:8" s="428" customFormat="1" ht="9" customHeight="1" x14ac:dyDescent="0.25">
      <c r="A124" s="428" t="s">
        <v>23</v>
      </c>
      <c r="B124" s="514">
        <v>88.733086281164617</v>
      </c>
      <c r="C124" s="514">
        <v>47.265959646686952</v>
      </c>
      <c r="D124" s="514">
        <v>145.95553279787129</v>
      </c>
      <c r="E124" s="514">
        <v>9.1906032646335731</v>
      </c>
      <c r="F124" s="514">
        <v>229.10860995407981</v>
      </c>
      <c r="G124" s="514">
        <v>1691.3992365234574</v>
      </c>
      <c r="H124" s="514">
        <v>77.099999999999994</v>
      </c>
    </row>
    <row r="125" spans="1:8" s="428" customFormat="1" ht="9" customHeight="1" x14ac:dyDescent="0.25">
      <c r="A125" s="428" t="s">
        <v>24</v>
      </c>
      <c r="B125" s="514">
        <v>66.56766413674714</v>
      </c>
      <c r="C125" s="514">
        <v>37.876957357076527</v>
      </c>
      <c r="D125" s="514">
        <v>111.14927831335214</v>
      </c>
      <c r="E125" s="514">
        <v>8.794419984056848</v>
      </c>
      <c r="F125" s="514">
        <v>175.71425275075961</v>
      </c>
      <c r="G125" s="514">
        <v>1247.8393808031742</v>
      </c>
      <c r="H125" s="514">
        <v>74.099999999999994</v>
      </c>
    </row>
    <row r="126" spans="1:8" s="428" customFormat="1" ht="9" customHeight="1" x14ac:dyDescent="0.25">
      <c r="A126" s="428" t="s">
        <v>25</v>
      </c>
      <c r="B126" s="514">
        <v>145.8166974997892</v>
      </c>
      <c r="C126" s="514">
        <v>89.02754150072164</v>
      </c>
      <c r="D126" s="514">
        <v>224.42876060766875</v>
      </c>
      <c r="E126" s="514">
        <v>15.623217589263128</v>
      </c>
      <c r="F126" s="514">
        <v>335.03122163642041</v>
      </c>
      <c r="G126" s="514">
        <v>2367.5870312414754</v>
      </c>
      <c r="H126" s="514">
        <v>47.4</v>
      </c>
    </row>
    <row r="127" spans="1:8" s="428" customFormat="1" ht="9" customHeight="1" x14ac:dyDescent="0.25">
      <c r="A127" s="475" t="s">
        <v>26</v>
      </c>
      <c r="B127" s="515">
        <v>96.902957762756671</v>
      </c>
      <c r="C127" s="515">
        <v>73.195812132724456</v>
      </c>
      <c r="D127" s="515">
        <v>155.281803876711</v>
      </c>
      <c r="E127" s="515">
        <v>10.964554853889899</v>
      </c>
      <c r="F127" s="515">
        <v>215.29051625273004</v>
      </c>
      <c r="G127" s="515">
        <v>1973.4494785909658</v>
      </c>
      <c r="H127" s="515">
        <v>50.6</v>
      </c>
    </row>
    <row r="128" spans="1:8" s="428" customFormat="1" ht="9" customHeight="1" x14ac:dyDescent="0.25">
      <c r="A128" s="428" t="s">
        <v>27</v>
      </c>
      <c r="B128" s="514">
        <v>109.57293990924386</v>
      </c>
      <c r="C128" s="514">
        <v>58.81358527438816</v>
      </c>
      <c r="D128" s="514">
        <v>139.70992378573621</v>
      </c>
      <c r="E128" s="514">
        <v>9.7801372051465645</v>
      </c>
      <c r="F128" s="514">
        <v>263.26713227790458</v>
      </c>
      <c r="G128" s="514">
        <v>2131.2538666945175</v>
      </c>
      <c r="H128" s="514">
        <v>72</v>
      </c>
    </row>
    <row r="129" spans="1:8" s="428" customFormat="1" ht="9" customHeight="1" x14ac:dyDescent="0.25">
      <c r="A129" s="428" t="s">
        <v>28</v>
      </c>
      <c r="B129" s="514">
        <v>87.221811627902483</v>
      </c>
      <c r="C129" s="514">
        <v>74.099946161757856</v>
      </c>
      <c r="D129" s="514">
        <v>160.93582057006785</v>
      </c>
      <c r="E129" s="514">
        <v>10.420304928997199</v>
      </c>
      <c r="F129" s="514">
        <v>242.36857390408301</v>
      </c>
      <c r="G129" s="514">
        <v>1887.510878605377</v>
      </c>
      <c r="H129" s="514">
        <v>63.5</v>
      </c>
    </row>
    <row r="130" spans="1:8" s="428" customFormat="1" ht="9" customHeight="1" x14ac:dyDescent="0.25">
      <c r="A130" s="428" t="s">
        <v>29</v>
      </c>
      <c r="B130" s="514">
        <v>44.852615831946224</v>
      </c>
      <c r="C130" s="514">
        <v>51.568656370493663</v>
      </c>
      <c r="D130" s="514">
        <v>91.838562187901644</v>
      </c>
      <c r="E130" s="514">
        <v>7.6905248519837333</v>
      </c>
      <c r="F130" s="514">
        <v>118.96609848085797</v>
      </c>
      <c r="G130" s="514">
        <v>1277.062482880681</v>
      </c>
      <c r="H130" s="514">
        <v>64.3</v>
      </c>
    </row>
    <row r="131" spans="1:8" s="428" customFormat="1" ht="9" customHeight="1" x14ac:dyDescent="0.25">
      <c r="A131" s="475" t="s">
        <v>30</v>
      </c>
      <c r="B131" s="515">
        <v>74.330297925061757</v>
      </c>
      <c r="C131" s="515">
        <v>44.611748868761396</v>
      </c>
      <c r="D131" s="515">
        <v>101.02949667769691</v>
      </c>
      <c r="E131" s="515">
        <v>5.8012236171545233</v>
      </c>
      <c r="F131" s="515">
        <v>178.00596677900458</v>
      </c>
      <c r="G131" s="515">
        <v>1552.7680657227747</v>
      </c>
      <c r="H131" s="515">
        <v>59.3</v>
      </c>
    </row>
    <row r="132" spans="1:8" s="428" customFormat="1" ht="9" customHeight="1" x14ac:dyDescent="0.25">
      <c r="A132" s="428" t="s">
        <v>63</v>
      </c>
      <c r="B132" s="514">
        <v>193.41380298365732</v>
      </c>
      <c r="C132" s="514">
        <v>88.373603969413836</v>
      </c>
      <c r="D132" s="514">
        <v>274.26130689101569</v>
      </c>
      <c r="E132" s="514">
        <v>20.011528405743203</v>
      </c>
      <c r="F132" s="514">
        <v>471.78659046412923</v>
      </c>
      <c r="G132" s="514">
        <v>1863.6772408759682</v>
      </c>
      <c r="H132" s="514">
        <v>67.599999999999994</v>
      </c>
    </row>
    <row r="133" spans="1:8" s="428" customFormat="1" ht="9" customHeight="1" x14ac:dyDescent="0.25">
      <c r="A133" s="428" t="s">
        <v>31</v>
      </c>
      <c r="B133" s="514">
        <v>82.3332307587103</v>
      </c>
      <c r="C133" s="514">
        <v>58.946216705986942</v>
      </c>
      <c r="D133" s="514">
        <v>130.68006975074366</v>
      </c>
      <c r="E133" s="514">
        <v>7.9324375149587993</v>
      </c>
      <c r="F133" s="514">
        <v>203.64481827195951</v>
      </c>
      <c r="G133" s="514">
        <v>2022.1533832529833</v>
      </c>
      <c r="H133" s="514">
        <v>76.099999999999994</v>
      </c>
    </row>
    <row r="134" spans="1:8" s="428" customFormat="1" ht="9" customHeight="1" x14ac:dyDescent="0.25">
      <c r="A134" s="428" t="s">
        <v>32</v>
      </c>
      <c r="B134" s="514">
        <v>55.482806105026384</v>
      </c>
      <c r="C134" s="514">
        <v>32.66642826057916</v>
      </c>
      <c r="D134" s="514">
        <v>81.197539492273492</v>
      </c>
      <c r="E134" s="514">
        <v>5.2301152652028016</v>
      </c>
      <c r="F134" s="514">
        <v>123.80118675673798</v>
      </c>
      <c r="G134" s="514">
        <v>1239.4152818302091</v>
      </c>
      <c r="H134" s="514">
        <v>70.5</v>
      </c>
    </row>
    <row r="135" spans="1:8" s="428" customFormat="1" ht="9" customHeight="1" x14ac:dyDescent="0.25">
      <c r="A135" s="475" t="s">
        <v>33</v>
      </c>
      <c r="B135" s="515">
        <v>53.168906245276247</v>
      </c>
      <c r="C135" s="515">
        <v>55.173420015957248</v>
      </c>
      <c r="D135" s="515">
        <v>95.066530140657719</v>
      </c>
      <c r="E135" s="515">
        <v>6.4735936528550191</v>
      </c>
      <c r="F135" s="515">
        <v>138.50861546590815</v>
      </c>
      <c r="G135" s="515">
        <v>1468.5002162246001</v>
      </c>
      <c r="H135" s="515">
        <v>53.7</v>
      </c>
    </row>
    <row r="136" spans="1:8" s="428" customFormat="1" ht="9" customHeight="1" x14ac:dyDescent="0.25">
      <c r="A136" s="428" t="s">
        <v>34</v>
      </c>
      <c r="B136" s="514">
        <v>61.035283280178191</v>
      </c>
      <c r="C136" s="514">
        <v>51.805336809343238</v>
      </c>
      <c r="D136" s="514">
        <v>99.538638410965163</v>
      </c>
      <c r="E136" s="514">
        <v>6.3795218254300403</v>
      </c>
      <c r="F136" s="514">
        <v>147.22669517694575</v>
      </c>
      <c r="G136" s="514">
        <v>1546.8784004321785</v>
      </c>
      <c r="H136" s="514">
        <v>79.8</v>
      </c>
    </row>
    <row r="137" spans="1:8" s="428" customFormat="1" ht="9" customHeight="1" x14ac:dyDescent="0.25">
      <c r="A137" s="428" t="s">
        <v>35</v>
      </c>
      <c r="B137" s="514">
        <v>95.435697953712406</v>
      </c>
      <c r="C137" s="514">
        <v>48.776107724326806</v>
      </c>
      <c r="D137" s="514">
        <v>115.76709328390517</v>
      </c>
      <c r="E137" s="514">
        <v>8.6905491080161497</v>
      </c>
      <c r="F137" s="514">
        <v>183.73616647372151</v>
      </c>
      <c r="G137" s="514">
        <v>1382.375662614284</v>
      </c>
      <c r="H137" s="514">
        <v>49.9</v>
      </c>
    </row>
    <row r="138" spans="1:8" s="428" customFormat="1" ht="9" customHeight="1" x14ac:dyDescent="0.25">
      <c r="A138" s="428" t="s">
        <v>36</v>
      </c>
      <c r="B138" s="514">
        <v>56.695841201759968</v>
      </c>
      <c r="C138" s="514">
        <v>35.406920570021846</v>
      </c>
      <c r="D138" s="514">
        <v>73.923638408442528</v>
      </c>
      <c r="E138" s="514">
        <v>7.2988300926687613</v>
      </c>
      <c r="F138" s="514">
        <v>107.73968582573592</v>
      </c>
      <c r="G138" s="514">
        <v>1339.8318503037929</v>
      </c>
      <c r="H138" s="514">
        <v>61.7</v>
      </c>
    </row>
    <row r="139" spans="1:8" s="428" customFormat="1" ht="9" customHeight="1" x14ac:dyDescent="0.25">
      <c r="A139" s="475" t="s">
        <v>37</v>
      </c>
      <c r="B139" s="515">
        <v>52.037675276900472</v>
      </c>
      <c r="C139" s="515">
        <v>43.15624512146794</v>
      </c>
      <c r="D139" s="515">
        <v>91.891529467334351</v>
      </c>
      <c r="E139" s="515">
        <v>7.8306694046489653</v>
      </c>
      <c r="F139" s="515">
        <v>119.91181615489614</v>
      </c>
      <c r="G139" s="515">
        <v>1375.4856015755408</v>
      </c>
      <c r="H139" s="515">
        <v>68.599999999999994</v>
      </c>
    </row>
    <row r="140" spans="1:8" s="428" customFormat="1" ht="9" customHeight="1" x14ac:dyDescent="0.25">
      <c r="A140" s="428" t="s">
        <v>38</v>
      </c>
      <c r="B140" s="514">
        <v>53.182950008687648</v>
      </c>
      <c r="C140" s="514">
        <v>44.131938640749503</v>
      </c>
      <c r="D140" s="514">
        <v>108.14967598039961</v>
      </c>
      <c r="E140" s="514">
        <v>8.522485156671685</v>
      </c>
      <c r="F140" s="514">
        <v>175.33857058764846</v>
      </c>
      <c r="G140" s="514">
        <v>1468.548396154179</v>
      </c>
      <c r="H140" s="514">
        <v>80.3</v>
      </c>
    </row>
    <row r="141" spans="1:8" s="428" customFormat="1" ht="9" customHeight="1" x14ac:dyDescent="0.25">
      <c r="A141" s="428" t="s">
        <v>39</v>
      </c>
      <c r="B141" s="514">
        <v>74.225092210821003</v>
      </c>
      <c r="C141" s="514">
        <v>64.118308059127955</v>
      </c>
      <c r="D141" s="514">
        <v>133.34434574330507</v>
      </c>
      <c r="E141" s="514">
        <v>9.8894339548824473</v>
      </c>
      <c r="F141" s="514">
        <v>207.7867881509367</v>
      </c>
      <c r="G141" s="514">
        <v>2103.5836700450132</v>
      </c>
      <c r="H141" s="514">
        <v>64.3</v>
      </c>
    </row>
    <row r="142" spans="1:8" s="428" customFormat="1" ht="9" customHeight="1" x14ac:dyDescent="0.25">
      <c r="A142" s="428" t="s">
        <v>40</v>
      </c>
      <c r="B142" s="514">
        <v>98.654214694455291</v>
      </c>
      <c r="C142" s="514">
        <v>58.016091407575125</v>
      </c>
      <c r="D142" s="514">
        <v>126.80276274776026</v>
      </c>
      <c r="E142" s="514">
        <v>7.9772125685415798</v>
      </c>
      <c r="F142" s="514">
        <v>249.12002213206449</v>
      </c>
      <c r="G142" s="514">
        <v>1906.7866740261152</v>
      </c>
      <c r="H142" s="514">
        <v>80.099999999999994</v>
      </c>
    </row>
    <row r="143" spans="1:8" s="428" customFormat="1" ht="9" customHeight="1" x14ac:dyDescent="0.25">
      <c r="A143" s="475" t="s">
        <v>41</v>
      </c>
      <c r="B143" s="515">
        <v>49.840457482936053</v>
      </c>
      <c r="C143" s="515">
        <v>49.840457482936053</v>
      </c>
      <c r="D143" s="515">
        <v>88.893447527223614</v>
      </c>
      <c r="E143" s="515">
        <v>6.3958481808380387</v>
      </c>
      <c r="F143" s="515">
        <v>119.54636046764556</v>
      </c>
      <c r="G143" s="515">
        <v>1303.4016480656537</v>
      </c>
      <c r="H143" s="515">
        <v>66</v>
      </c>
    </row>
    <row r="144" spans="1:8" s="428" customFormat="1" ht="9" customHeight="1" x14ac:dyDescent="0.25">
      <c r="A144" s="428" t="s">
        <v>42</v>
      </c>
      <c r="B144" s="514">
        <v>57.237968068348295</v>
      </c>
      <c r="C144" s="514">
        <v>41.104319845116976</v>
      </c>
      <c r="D144" s="514">
        <v>79.087305737498255</v>
      </c>
      <c r="E144" s="514">
        <v>8.8978286055258149</v>
      </c>
      <c r="F144" s="514">
        <v>121.87390297272603</v>
      </c>
      <c r="G144" s="514">
        <v>1149.5763498553242</v>
      </c>
      <c r="H144" s="514">
        <v>62.8</v>
      </c>
    </row>
    <row r="145" spans="1:8" s="428" customFormat="1" ht="9" customHeight="1" x14ac:dyDescent="0.25">
      <c r="A145" s="428" t="s">
        <v>43</v>
      </c>
      <c r="B145" s="514">
        <v>58.058868715499635</v>
      </c>
      <c r="C145" s="514">
        <v>44.586233795620871</v>
      </c>
      <c r="D145" s="514">
        <v>112.84262175986852</v>
      </c>
      <c r="E145" s="514">
        <v>8.1133547307557183</v>
      </c>
      <c r="F145" s="514">
        <v>169.11506374566048</v>
      </c>
      <c r="G145" s="514">
        <v>1436.5550546944319</v>
      </c>
      <c r="H145" s="514">
        <v>64.599999999999994</v>
      </c>
    </row>
    <row r="146" spans="1:8" s="428" customFormat="1" ht="9" customHeight="1" x14ac:dyDescent="0.25">
      <c r="A146" s="428" t="s">
        <v>44</v>
      </c>
      <c r="B146" s="514">
        <v>52.531609861900797</v>
      </c>
      <c r="C146" s="514">
        <v>54.537590190756191</v>
      </c>
      <c r="D146" s="514">
        <v>113.96475743309743</v>
      </c>
      <c r="E146" s="514">
        <v>7.8985475448681388</v>
      </c>
      <c r="F146" s="514">
        <v>171.63669188769018</v>
      </c>
      <c r="G146" s="514">
        <v>1557.237514339625</v>
      </c>
      <c r="H146" s="514">
        <v>72.599999999999994</v>
      </c>
    </row>
    <row r="147" spans="1:8" s="428" customFormat="1" ht="9" customHeight="1" x14ac:dyDescent="0.25">
      <c r="A147" s="475" t="s">
        <v>45</v>
      </c>
      <c r="B147" s="515">
        <v>46.20649089513141</v>
      </c>
      <c r="C147" s="515">
        <v>41.739133481573681</v>
      </c>
      <c r="D147" s="515">
        <v>83.74105269335665</v>
      </c>
      <c r="E147" s="515">
        <v>7.795976662875252</v>
      </c>
      <c r="F147" s="515">
        <v>133.67034143311949</v>
      </c>
      <c r="G147" s="515">
        <v>1484.2238776749946</v>
      </c>
      <c r="H147" s="515">
        <v>78.8</v>
      </c>
    </row>
    <row r="148" spans="1:8" s="428" customFormat="1" ht="9" customHeight="1" x14ac:dyDescent="0.25">
      <c r="A148" s="428" t="s">
        <v>46</v>
      </c>
      <c r="B148" s="514">
        <v>75.804888897214227</v>
      </c>
      <c r="C148" s="514">
        <v>50.018472957941036</v>
      </c>
      <c r="D148" s="514">
        <v>110.27977264910187</v>
      </c>
      <c r="E148" s="514">
        <v>7.6920838891494983</v>
      </c>
      <c r="F148" s="514">
        <v>190.78759366507072</v>
      </c>
      <c r="G148" s="514">
        <v>2015.321196314336</v>
      </c>
      <c r="H148" s="514">
        <v>75.3</v>
      </c>
    </row>
    <row r="149" spans="1:8" s="428" customFormat="1" ht="9" customHeight="1" x14ac:dyDescent="0.25">
      <c r="A149" s="428" t="s">
        <v>47</v>
      </c>
      <c r="B149" s="514">
        <v>108.74965929549893</v>
      </c>
      <c r="C149" s="514">
        <v>58.603472359155177</v>
      </c>
      <c r="D149" s="514">
        <v>135.68427482684399</v>
      </c>
      <c r="E149" s="514">
        <v>7.4460882526926575</v>
      </c>
      <c r="F149" s="514">
        <v>230.73680881800703</v>
      </c>
      <c r="G149" s="514">
        <v>1777.4658387719653</v>
      </c>
      <c r="H149" s="514">
        <v>66</v>
      </c>
    </row>
    <row r="150" spans="1:8" s="428" customFormat="1" ht="9" customHeight="1" x14ac:dyDescent="0.25">
      <c r="A150" s="428" t="s">
        <v>48</v>
      </c>
      <c r="B150" s="514">
        <v>74.772933389282187</v>
      </c>
      <c r="C150" s="514">
        <v>65.027004345060035</v>
      </c>
      <c r="D150" s="514">
        <v>153.71495864748164</v>
      </c>
      <c r="E150" s="514">
        <v>15.918350772229518</v>
      </c>
      <c r="F150" s="514">
        <v>203.68991702424302</v>
      </c>
      <c r="G150" s="514">
        <v>2021.8297981780527</v>
      </c>
      <c r="H150" s="514">
        <v>66.900000000000006</v>
      </c>
    </row>
    <row r="151" spans="1:8" s="428" customFormat="1" ht="9" customHeight="1" x14ac:dyDescent="0.25">
      <c r="A151" s="475" t="s">
        <v>49</v>
      </c>
      <c r="B151" s="515">
        <v>100.24617462471393</v>
      </c>
      <c r="C151" s="515">
        <v>53.851870256341648</v>
      </c>
      <c r="D151" s="515">
        <v>129.06460762897748</v>
      </c>
      <c r="E151" s="515">
        <v>6.9703882168959961</v>
      </c>
      <c r="F151" s="515">
        <v>209.86115061622354</v>
      </c>
      <c r="G151" s="515">
        <v>1952.6174744634582</v>
      </c>
      <c r="H151" s="515">
        <v>65.7</v>
      </c>
    </row>
    <row r="152" spans="1:8" s="428" customFormat="1" ht="9" customHeight="1" x14ac:dyDescent="0.25">
      <c r="A152" s="428" t="s">
        <v>50</v>
      </c>
      <c r="B152" s="514">
        <v>52.846970728531716</v>
      </c>
      <c r="C152" s="514">
        <v>44.642904708174974</v>
      </c>
      <c r="D152" s="514">
        <v>93.654208206410033</v>
      </c>
      <c r="E152" s="514">
        <v>7.9909733964513681</v>
      </c>
      <c r="F152" s="514">
        <v>137.76438135482158</v>
      </c>
      <c r="G152" s="514">
        <v>1579.5618602559882</v>
      </c>
      <c r="H152" s="514">
        <v>53.1</v>
      </c>
    </row>
    <row r="153" spans="1:8" s="428" customFormat="1" ht="9" customHeight="1" x14ac:dyDescent="0.25">
      <c r="A153" s="428" t="s">
        <v>51</v>
      </c>
      <c r="B153" s="514">
        <v>64.270362255863702</v>
      </c>
      <c r="C153" s="514">
        <v>49.771222952527829</v>
      </c>
      <c r="D153" s="514">
        <v>100.97356733180565</v>
      </c>
      <c r="E153" s="514">
        <v>6.2882608145075816</v>
      </c>
      <c r="F153" s="514">
        <v>141.69547702023752</v>
      </c>
      <c r="G153" s="514">
        <v>1519.4224861267955</v>
      </c>
      <c r="H153" s="514">
        <v>64.8</v>
      </c>
    </row>
    <row r="154" spans="1:8" s="428" customFormat="1" ht="9" customHeight="1" x14ac:dyDescent="0.25">
      <c r="A154" s="428" t="s">
        <v>52</v>
      </c>
      <c r="B154" s="514">
        <v>90.859386038739643</v>
      </c>
      <c r="C154" s="514">
        <v>46.811935200486552</v>
      </c>
      <c r="D154" s="514">
        <v>128.76353829425173</v>
      </c>
      <c r="E154" s="514">
        <v>8.6006180158374246</v>
      </c>
      <c r="F154" s="514">
        <v>201.62305948556019</v>
      </c>
      <c r="G154" s="514">
        <v>2426.4192555550776</v>
      </c>
      <c r="H154" s="514">
        <v>75.2</v>
      </c>
    </row>
    <row r="155" spans="1:8" s="428" customFormat="1" ht="9" customHeight="1" x14ac:dyDescent="0.25">
      <c r="A155" s="475" t="s">
        <v>53</v>
      </c>
      <c r="B155" s="515">
        <v>47.117549125357591</v>
      </c>
      <c r="C155" s="515">
        <v>50.195211743188104</v>
      </c>
      <c r="D155" s="515">
        <v>97.532593912676447</v>
      </c>
      <c r="E155" s="515">
        <v>6.9613797308071099</v>
      </c>
      <c r="F155" s="515">
        <v>139.15431693476526</v>
      </c>
      <c r="G155" s="515">
        <v>1610.7819314824367</v>
      </c>
      <c r="H155" s="515">
        <v>77.3</v>
      </c>
    </row>
    <row r="156" spans="1:8" s="428" customFormat="1" ht="9" customHeight="1" x14ac:dyDescent="0.25">
      <c r="B156" s="514"/>
      <c r="C156" s="514"/>
      <c r="D156" s="514"/>
      <c r="E156" s="514"/>
      <c r="F156" s="514"/>
      <c r="G156" s="514"/>
      <c r="H156" s="514"/>
    </row>
    <row r="157" spans="1:8" s="428" customFormat="1" ht="9" customHeight="1" x14ac:dyDescent="0.25">
      <c r="A157" s="470">
        <v>1999</v>
      </c>
      <c r="B157" s="471"/>
      <c r="C157" s="471"/>
      <c r="D157" s="471"/>
      <c r="E157" s="471"/>
      <c r="F157" s="471"/>
      <c r="G157" s="512"/>
      <c r="H157" s="512"/>
    </row>
    <row r="158" spans="1:8" s="473" customFormat="1" ht="9" customHeight="1" x14ac:dyDescent="0.25">
      <c r="A158" s="429" t="s">
        <v>21</v>
      </c>
      <c r="B158" s="513">
        <v>79.865394260827358</v>
      </c>
      <c r="C158" s="513">
        <v>51.560149827206921</v>
      </c>
      <c r="D158" s="513">
        <v>118.63493292139481</v>
      </c>
      <c r="E158" s="513">
        <v>9.053215656955933</v>
      </c>
      <c r="F158" s="513">
        <v>190.34478888787402</v>
      </c>
      <c r="G158" s="513">
        <v>1664.787253254163</v>
      </c>
      <c r="H158" s="513">
        <v>68.099999999999994</v>
      </c>
    </row>
    <row r="159" spans="1:8" s="473" customFormat="1" ht="3" customHeight="1" x14ac:dyDescent="0.25">
      <c r="A159" s="429"/>
      <c r="B159" s="513"/>
      <c r="C159" s="513"/>
      <c r="D159" s="513"/>
      <c r="E159" s="513"/>
      <c r="F159" s="513"/>
      <c r="G159" s="513"/>
      <c r="H159" s="513"/>
    </row>
    <row r="160" spans="1:8" s="428" customFormat="1" ht="9" customHeight="1" x14ac:dyDescent="0.25">
      <c r="A160" s="428" t="s">
        <v>23</v>
      </c>
      <c r="B160" s="514">
        <v>85.605705904222333</v>
      </c>
      <c r="C160" s="514">
        <v>46.927783712201979</v>
      </c>
      <c r="D160" s="514">
        <v>159.21161323363501</v>
      </c>
      <c r="E160" s="514">
        <v>8.9998489311072287</v>
      </c>
      <c r="F160" s="514">
        <v>224.99622327768071</v>
      </c>
      <c r="G160" s="514">
        <v>1658.6271587584065</v>
      </c>
      <c r="H160" s="514">
        <v>78.400000000000006</v>
      </c>
    </row>
    <row r="161" spans="1:8" s="428" customFormat="1" ht="9" customHeight="1" x14ac:dyDescent="0.25">
      <c r="A161" s="428" t="s">
        <v>24</v>
      </c>
      <c r="B161" s="514">
        <v>65.149950033479257</v>
      </c>
      <c r="C161" s="514">
        <v>38.231959057735729</v>
      </c>
      <c r="D161" s="514">
        <v>111.24700957944005</v>
      </c>
      <c r="E161" s="514">
        <v>9.0848219543134405</v>
      </c>
      <c r="F161" s="514">
        <v>176.60725641741729</v>
      </c>
      <c r="G161" s="514">
        <v>1298.4469160394212</v>
      </c>
      <c r="H161" s="514">
        <v>74.599999999999994</v>
      </c>
    </row>
    <row r="162" spans="1:8" s="428" customFormat="1" ht="9" customHeight="1" x14ac:dyDescent="0.25">
      <c r="A162" s="428" t="s">
        <v>25</v>
      </c>
      <c r="B162" s="514">
        <v>147.26582083220856</v>
      </c>
      <c r="C162" s="514">
        <v>91.830241795534306</v>
      </c>
      <c r="D162" s="514">
        <v>218.36797655316033</v>
      </c>
      <c r="E162" s="514">
        <v>15.425552427596314</v>
      </c>
      <c r="F162" s="514">
        <v>337.43395935366937</v>
      </c>
      <c r="G162" s="514">
        <v>2402.409278469785</v>
      </c>
      <c r="H162" s="514">
        <v>48.5</v>
      </c>
    </row>
    <row r="163" spans="1:8" s="428" customFormat="1" ht="9" customHeight="1" x14ac:dyDescent="0.25">
      <c r="A163" s="475" t="s">
        <v>26</v>
      </c>
      <c r="B163" s="515">
        <v>97.736902745227127</v>
      </c>
      <c r="C163" s="515">
        <v>80.694849658503472</v>
      </c>
      <c r="D163" s="515">
        <v>159.35047928953574</v>
      </c>
      <c r="E163" s="515">
        <v>10.633075857528436</v>
      </c>
      <c r="F163" s="515">
        <v>209.45702853597109</v>
      </c>
      <c r="G163" s="515">
        <v>2089.7664656092825</v>
      </c>
      <c r="H163" s="515">
        <v>50.4</v>
      </c>
    </row>
    <row r="164" spans="1:8" s="428" customFormat="1" ht="9" customHeight="1" x14ac:dyDescent="0.25">
      <c r="A164" s="428" t="s">
        <v>27</v>
      </c>
      <c r="B164" s="514">
        <v>106.88445156910309</v>
      </c>
      <c r="C164" s="514">
        <v>57.354765013768201</v>
      </c>
      <c r="D164" s="514">
        <v>139.19022241146186</v>
      </c>
      <c r="E164" s="514">
        <v>9.6174148651135702</v>
      </c>
      <c r="F164" s="514">
        <v>266.09638310884685</v>
      </c>
      <c r="G164" s="514">
        <v>2132.8938757613605</v>
      </c>
      <c r="H164" s="514">
        <v>73.7</v>
      </c>
    </row>
    <row r="165" spans="1:8" s="428" customFormat="1" ht="9" customHeight="1" x14ac:dyDescent="0.25">
      <c r="A165" s="428" t="s">
        <v>28</v>
      </c>
      <c r="B165" s="514">
        <v>86.30148109959795</v>
      </c>
      <c r="C165" s="514">
        <v>72.32706184058209</v>
      </c>
      <c r="D165" s="514">
        <v>159.19507345068067</v>
      </c>
      <c r="E165" s="514">
        <v>10.575236196012002</v>
      </c>
      <c r="F165" s="514">
        <v>238.88703192777112</v>
      </c>
      <c r="G165" s="514">
        <v>1887.976145288638</v>
      </c>
      <c r="H165" s="514">
        <v>65.5</v>
      </c>
    </row>
    <row r="166" spans="1:8" s="428" customFormat="1" ht="9" customHeight="1" x14ac:dyDescent="0.25">
      <c r="A166" s="428" t="s">
        <v>29</v>
      </c>
      <c r="B166" s="514">
        <v>45.277214396913706</v>
      </c>
      <c r="C166" s="514">
        <v>49.903139840433994</v>
      </c>
      <c r="D166" s="514">
        <v>91.071291971874373</v>
      </c>
      <c r="E166" s="514">
        <v>8.4507129610677971</v>
      </c>
      <c r="F166" s="514">
        <v>118.25829513714447</v>
      </c>
      <c r="G166" s="514">
        <v>1415.3972507013832</v>
      </c>
      <c r="H166" s="514">
        <v>64.599999999999994</v>
      </c>
    </row>
    <row r="167" spans="1:8" s="428" customFormat="1" ht="9" customHeight="1" x14ac:dyDescent="0.25">
      <c r="A167" s="475" t="s">
        <v>30</v>
      </c>
      <c r="B167" s="515">
        <v>77.226171779778525</v>
      </c>
      <c r="C167" s="515">
        <v>47.687743850212527</v>
      </c>
      <c r="D167" s="515">
        <v>103.36784700492994</v>
      </c>
      <c r="E167" s="515">
        <v>5.9942694783786701</v>
      </c>
      <c r="F167" s="515">
        <v>177.69678853682547</v>
      </c>
      <c r="G167" s="515">
        <v>1681.0845498370225</v>
      </c>
      <c r="H167" s="515">
        <v>71.3</v>
      </c>
    </row>
    <row r="168" spans="1:8" s="428" customFormat="1" ht="9" customHeight="1" x14ac:dyDescent="0.25">
      <c r="A168" s="428" t="s">
        <v>63</v>
      </c>
      <c r="B168" s="514">
        <v>192.43055422576035</v>
      </c>
      <c r="C168" s="514">
        <v>90.476364558472198</v>
      </c>
      <c r="D168" s="514">
        <v>261.41355973314347</v>
      </c>
      <c r="E168" s="514">
        <v>20.286388564418857</v>
      </c>
      <c r="F168" s="514">
        <v>473.46898985274379</v>
      </c>
      <c r="G168" s="514">
        <v>1921.3130678346429</v>
      </c>
      <c r="H168" s="514">
        <v>69.2</v>
      </c>
    </row>
    <row r="169" spans="1:8" s="428" customFormat="1" ht="9" customHeight="1" x14ac:dyDescent="0.25">
      <c r="A169" s="428" t="s">
        <v>31</v>
      </c>
      <c r="B169" s="514">
        <v>84.339218625161379</v>
      </c>
      <c r="C169" s="514">
        <v>61.853316738874433</v>
      </c>
      <c r="D169" s="514">
        <v>134.77871890503911</v>
      </c>
      <c r="E169" s="514">
        <v>7.3813902848601538</v>
      </c>
      <c r="F169" s="514">
        <v>214.47039549899225</v>
      </c>
      <c r="G169" s="514">
        <v>2122.9028820911753</v>
      </c>
      <c r="H169" s="514">
        <v>77.900000000000006</v>
      </c>
    </row>
    <row r="170" spans="1:8" s="428" customFormat="1" ht="9" customHeight="1" x14ac:dyDescent="0.25">
      <c r="A170" s="428" t="s">
        <v>32</v>
      </c>
      <c r="B170" s="514">
        <v>53.81228853115914</v>
      </c>
      <c r="C170" s="514">
        <v>34.160040759579822</v>
      </c>
      <c r="D170" s="514">
        <v>84.011744854845645</v>
      </c>
      <c r="E170" s="514">
        <v>5.6180029226530142</v>
      </c>
      <c r="F170" s="514">
        <v>127.87952246544658</v>
      </c>
      <c r="G170" s="514">
        <v>1273.8132829822512</v>
      </c>
      <c r="H170" s="514">
        <v>73.099999999999994</v>
      </c>
    </row>
    <row r="171" spans="1:8" s="428" customFormat="1" ht="9" customHeight="1" x14ac:dyDescent="0.25">
      <c r="A171" s="475" t="s">
        <v>33</v>
      </c>
      <c r="B171" s="515">
        <v>51.100743785285971</v>
      </c>
      <c r="C171" s="515">
        <v>56.554952778887014</v>
      </c>
      <c r="D171" s="515">
        <v>98.143296355094975</v>
      </c>
      <c r="E171" s="515">
        <v>6.980088890620384</v>
      </c>
      <c r="F171" s="515">
        <v>140.73807135274123</v>
      </c>
      <c r="G171" s="515">
        <v>1707.5518068690567</v>
      </c>
      <c r="H171" s="515">
        <v>58.4</v>
      </c>
    </row>
    <row r="172" spans="1:8" s="428" customFormat="1" ht="9" customHeight="1" x14ac:dyDescent="0.25">
      <c r="A172" s="428" t="s">
        <v>34</v>
      </c>
      <c r="B172" s="514">
        <v>60.783730504321852</v>
      </c>
      <c r="C172" s="514">
        <v>53.325330067715129</v>
      </c>
      <c r="D172" s="514">
        <v>101.78260236542947</v>
      </c>
      <c r="E172" s="514">
        <v>7.1904339538543853</v>
      </c>
      <c r="F172" s="514">
        <v>148.45343144479489</v>
      </c>
      <c r="G172" s="514">
        <v>1806.1316090583391</v>
      </c>
      <c r="H172" s="514">
        <v>79.7</v>
      </c>
    </row>
    <row r="173" spans="1:8" s="428" customFormat="1" ht="9" customHeight="1" x14ac:dyDescent="0.25">
      <c r="A173" s="428" t="s">
        <v>35</v>
      </c>
      <c r="B173" s="514">
        <v>94.278577817325669</v>
      </c>
      <c r="C173" s="514">
        <v>48.978561533420617</v>
      </c>
      <c r="D173" s="514">
        <v>116.11201233707969</v>
      </c>
      <c r="E173" s="514">
        <v>8.7048333706208858</v>
      </c>
      <c r="F173" s="514">
        <v>193.55173215877807</v>
      </c>
      <c r="G173" s="514">
        <v>1453.6738757168605</v>
      </c>
      <c r="H173" s="514">
        <v>53.1</v>
      </c>
    </row>
    <row r="174" spans="1:8" s="428" customFormat="1" ht="9" customHeight="1" x14ac:dyDescent="0.25">
      <c r="A174" s="428" t="s">
        <v>36</v>
      </c>
      <c r="B174" s="514">
        <v>55.687038841709587</v>
      </c>
      <c r="C174" s="514">
        <v>35.018880167965833</v>
      </c>
      <c r="D174" s="514">
        <v>74.904526755711331</v>
      </c>
      <c r="E174" s="514">
        <v>7.3547447657888148</v>
      </c>
      <c r="F174" s="514">
        <v>111.88883182397279</v>
      </c>
      <c r="G174" s="514">
        <v>1452.1960698521368</v>
      </c>
      <c r="H174" s="514">
        <v>60.9</v>
      </c>
    </row>
    <row r="175" spans="1:8" s="428" customFormat="1" ht="9" customHeight="1" x14ac:dyDescent="0.25">
      <c r="A175" s="475" t="s">
        <v>37</v>
      </c>
      <c r="B175" s="515">
        <v>51.47961576491042</v>
      </c>
      <c r="C175" s="515">
        <v>42.692234543917493</v>
      </c>
      <c r="D175" s="515">
        <v>93.076539335106418</v>
      </c>
      <c r="E175" s="515">
        <v>8.3641928902368967</v>
      </c>
      <c r="F175" s="515">
        <v>120.63356769669048</v>
      </c>
      <c r="G175" s="515">
        <v>1552.4195917278132</v>
      </c>
      <c r="H175" s="515">
        <v>70.3</v>
      </c>
    </row>
    <row r="176" spans="1:8" s="428" customFormat="1" ht="9" customHeight="1" x14ac:dyDescent="0.25">
      <c r="A176" s="428" t="s">
        <v>38</v>
      </c>
      <c r="B176" s="514">
        <v>54.212520882221021</v>
      </c>
      <c r="C176" s="514">
        <v>44.267058418216443</v>
      </c>
      <c r="D176" s="514">
        <v>106.99497526634988</v>
      </c>
      <c r="E176" s="514">
        <v>8.7104050338340731</v>
      </c>
      <c r="F176" s="514">
        <v>172.12800395218378</v>
      </c>
      <c r="G176" s="514">
        <v>1523.4569907500697</v>
      </c>
      <c r="H176" s="514">
        <v>81.900000000000006</v>
      </c>
    </row>
    <row r="177" spans="1:8" s="428" customFormat="1" ht="9" customHeight="1" x14ac:dyDescent="0.25">
      <c r="A177" s="428" t="s">
        <v>39</v>
      </c>
      <c r="B177" s="514">
        <v>78.157852918379632</v>
      </c>
      <c r="C177" s="514">
        <v>65.618003764116793</v>
      </c>
      <c r="D177" s="514">
        <v>136.20870633078607</v>
      </c>
      <c r="E177" s="514">
        <v>10.702112640276049</v>
      </c>
      <c r="F177" s="514">
        <v>211.6640055521263</v>
      </c>
      <c r="G177" s="514">
        <v>2244.2913958257436</v>
      </c>
      <c r="H177" s="514">
        <v>61.6</v>
      </c>
    </row>
    <row r="178" spans="1:8" s="428" customFormat="1" ht="9" customHeight="1" x14ac:dyDescent="0.25">
      <c r="A178" s="428" t="s">
        <v>40</v>
      </c>
      <c r="B178" s="514">
        <v>100.16455416601052</v>
      </c>
      <c r="C178" s="514">
        <v>57.387869071109165</v>
      </c>
      <c r="D178" s="514">
        <v>123.99690126644352</v>
      </c>
      <c r="E178" s="514">
        <v>7.7943928987003703</v>
      </c>
      <c r="F178" s="514">
        <v>245.06099706930826</v>
      </c>
      <c r="G178" s="514">
        <v>1974.0327818954484</v>
      </c>
      <c r="H178" s="514">
        <v>82.3</v>
      </c>
    </row>
    <row r="179" spans="1:8" s="428" customFormat="1" ht="9" customHeight="1" x14ac:dyDescent="0.25">
      <c r="A179" s="475" t="s">
        <v>41</v>
      </c>
      <c r="B179" s="515">
        <v>50.091815624927357</v>
      </c>
      <c r="C179" s="515">
        <v>50.004648892401384</v>
      </c>
      <c r="D179" s="515">
        <v>88.79384486646056</v>
      </c>
      <c r="E179" s="515">
        <v>7.3510611096906162</v>
      </c>
      <c r="F179" s="515">
        <v>126.82759582529462</v>
      </c>
      <c r="G179" s="515">
        <v>1450.1592245647475</v>
      </c>
      <c r="H179" s="515">
        <v>63.1</v>
      </c>
    </row>
    <row r="180" spans="1:8" s="428" customFormat="1" ht="9" customHeight="1" x14ac:dyDescent="0.25">
      <c r="A180" s="428" t="s">
        <v>42</v>
      </c>
      <c r="B180" s="514">
        <v>63.624537386663825</v>
      </c>
      <c r="C180" s="514">
        <v>41.661760123976499</v>
      </c>
      <c r="D180" s="514">
        <v>82.449775040395821</v>
      </c>
      <c r="E180" s="514">
        <v>8.5190157736825149</v>
      </c>
      <c r="F180" s="514">
        <v>131.30007528109277</v>
      </c>
      <c r="G180" s="514">
        <v>1253.5975962475027</v>
      </c>
      <c r="H180" s="514">
        <v>61.8</v>
      </c>
    </row>
    <row r="181" spans="1:8" s="428" customFormat="1" ht="9" customHeight="1" x14ac:dyDescent="0.25">
      <c r="A181" s="428" t="s">
        <v>43</v>
      </c>
      <c r="B181" s="514">
        <v>55.631211427578016</v>
      </c>
      <c r="C181" s="514">
        <v>43.896502767073279</v>
      </c>
      <c r="D181" s="514">
        <v>119.59261727465014</v>
      </c>
      <c r="E181" s="514">
        <v>8.4026308927070961</v>
      </c>
      <c r="F181" s="514">
        <v>174.42702749688524</v>
      </c>
      <c r="G181" s="514">
        <v>1560.0940225422305</v>
      </c>
      <c r="H181" s="514">
        <v>72.2</v>
      </c>
    </row>
    <row r="182" spans="1:8" s="428" customFormat="1" ht="9" customHeight="1" x14ac:dyDescent="0.25">
      <c r="A182" s="428" t="s">
        <v>44</v>
      </c>
      <c r="B182" s="514">
        <v>61.510053978939055</v>
      </c>
      <c r="C182" s="514">
        <v>55.085406174562443</v>
      </c>
      <c r="D182" s="514">
        <v>122.66318307985719</v>
      </c>
      <c r="E182" s="514">
        <v>8.9231219505230737</v>
      </c>
      <c r="F182" s="514">
        <v>187.50453592032486</v>
      </c>
      <c r="G182" s="514">
        <v>1699.2408207844494</v>
      </c>
      <c r="H182" s="514">
        <v>63.1</v>
      </c>
    </row>
    <row r="183" spans="1:8" s="428" customFormat="1" ht="9" customHeight="1" x14ac:dyDescent="0.25">
      <c r="A183" s="475" t="s">
        <v>45</v>
      </c>
      <c r="B183" s="515">
        <v>60.830206492952023</v>
      </c>
      <c r="C183" s="515">
        <v>44.99352648587108</v>
      </c>
      <c r="D183" s="515">
        <v>94.672974727262002</v>
      </c>
      <c r="E183" s="515">
        <v>7.7230932637271472</v>
      </c>
      <c r="F183" s="515">
        <v>154.80897058976663</v>
      </c>
      <c r="G183" s="515">
        <v>1610.641120872484</v>
      </c>
      <c r="H183" s="515">
        <v>59.6</v>
      </c>
    </row>
    <row r="184" spans="1:8" s="428" customFormat="1" ht="9" customHeight="1" x14ac:dyDescent="0.25">
      <c r="A184" s="428" t="s">
        <v>46</v>
      </c>
      <c r="B184" s="514">
        <v>77.000381053167786</v>
      </c>
      <c r="C184" s="514">
        <v>50.26742824650389</v>
      </c>
      <c r="D184" s="514">
        <v>113.92107658378926</v>
      </c>
      <c r="E184" s="514">
        <v>6.5154168583449659</v>
      </c>
      <c r="F184" s="514">
        <v>193.13275063130442</v>
      </c>
      <c r="G184" s="514">
        <v>2124.1021064540141</v>
      </c>
      <c r="H184" s="514">
        <v>76.099999999999994</v>
      </c>
    </row>
    <row r="185" spans="1:8" s="428" customFormat="1" ht="9" customHeight="1" x14ac:dyDescent="0.25">
      <c r="A185" s="428" t="s">
        <v>47</v>
      </c>
      <c r="B185" s="514">
        <v>108.22029568416554</v>
      </c>
      <c r="C185" s="514">
        <v>59.305629542643331</v>
      </c>
      <c r="D185" s="514">
        <v>137.53279506025399</v>
      </c>
      <c r="E185" s="514">
        <v>7.668440239255335</v>
      </c>
      <c r="F185" s="514">
        <v>233.59248728808561</v>
      </c>
      <c r="G185" s="514">
        <v>1850.2076831418642</v>
      </c>
      <c r="H185" s="514">
        <v>71.3</v>
      </c>
    </row>
    <row r="186" spans="1:8" s="428" customFormat="1" ht="9" customHeight="1" x14ac:dyDescent="0.25">
      <c r="A186" s="428" t="s">
        <v>48</v>
      </c>
      <c r="B186" s="514">
        <v>72.254450507296426</v>
      </c>
      <c r="C186" s="514">
        <v>66.087036041625794</v>
      </c>
      <c r="D186" s="514">
        <v>153.65368798093203</v>
      </c>
      <c r="E186" s="514">
        <v>16.269214021510454</v>
      </c>
      <c r="F186" s="514">
        <v>211.07444335096895</v>
      </c>
      <c r="G186" s="514">
        <v>2166.0379625627306</v>
      </c>
      <c r="H186" s="514">
        <v>78.5</v>
      </c>
    </row>
    <row r="187" spans="1:8" s="428" customFormat="1" ht="9" customHeight="1" x14ac:dyDescent="0.25">
      <c r="A187" s="475" t="s">
        <v>49</v>
      </c>
      <c r="B187" s="515">
        <v>99.276286530255192</v>
      </c>
      <c r="C187" s="515">
        <v>54.618497513498411</v>
      </c>
      <c r="D187" s="515">
        <v>134.37767625124508</v>
      </c>
      <c r="E187" s="515">
        <v>7.8288963461474843</v>
      </c>
      <c r="F187" s="515">
        <v>213.84281193373738</v>
      </c>
      <c r="G187" s="515">
        <v>1946.3878648431096</v>
      </c>
      <c r="H187" s="515">
        <v>67.599999999999994</v>
      </c>
    </row>
    <row r="188" spans="1:8" s="428" customFormat="1" ht="9" customHeight="1" x14ac:dyDescent="0.25">
      <c r="A188" s="428" t="s">
        <v>50</v>
      </c>
      <c r="B188" s="514">
        <v>47.845090550490156</v>
      </c>
      <c r="C188" s="514">
        <v>43.039688442799005</v>
      </c>
      <c r="D188" s="514">
        <v>95.899111627401666</v>
      </c>
      <c r="E188" s="514">
        <v>9.2974084257502696</v>
      </c>
      <c r="F188" s="514">
        <v>137.99861270130458</v>
      </c>
      <c r="G188" s="514">
        <v>1674.4507216460383</v>
      </c>
      <c r="H188" s="514">
        <v>60.3</v>
      </c>
    </row>
    <row r="189" spans="1:8" s="428" customFormat="1" ht="9" customHeight="1" x14ac:dyDescent="0.25">
      <c r="A189" s="428" t="s">
        <v>51</v>
      </c>
      <c r="B189" s="514">
        <v>62.168408173591466</v>
      </c>
      <c r="C189" s="514">
        <v>49.360564823013597</v>
      </c>
      <c r="D189" s="514">
        <v>102.50591931029908</v>
      </c>
      <c r="E189" s="514">
        <v>6.749301720697777</v>
      </c>
      <c r="F189" s="514">
        <v>144.28251396954352</v>
      </c>
      <c r="G189" s="514">
        <v>1615.477170594861</v>
      </c>
      <c r="H189" s="514">
        <v>68.400000000000006</v>
      </c>
    </row>
    <row r="190" spans="1:8" s="428" customFormat="1" ht="9" customHeight="1" x14ac:dyDescent="0.25">
      <c r="A190" s="428" t="s">
        <v>52</v>
      </c>
      <c r="B190" s="514">
        <v>88.591283538128764</v>
      </c>
      <c r="C190" s="514">
        <v>49.35194537496578</v>
      </c>
      <c r="D190" s="514">
        <v>129.22337598794721</v>
      </c>
      <c r="E190" s="514">
        <v>7.8115349121111484</v>
      </c>
      <c r="F190" s="514">
        <v>203.76600759111639</v>
      </c>
      <c r="G190" s="514">
        <v>2560.1675907288586</v>
      </c>
      <c r="H190" s="514">
        <v>84.2</v>
      </c>
    </row>
    <row r="191" spans="1:8" s="428" customFormat="1" ht="9" customHeight="1" x14ac:dyDescent="0.25">
      <c r="A191" s="475" t="s">
        <v>53</v>
      </c>
      <c r="B191" s="515">
        <v>51.818742722138097</v>
      </c>
      <c r="C191" s="515">
        <v>51.525981463820933</v>
      </c>
      <c r="D191" s="515">
        <v>101.22220506315958</v>
      </c>
      <c r="E191" s="515">
        <v>7.6117927162462742</v>
      </c>
      <c r="F191" s="515">
        <v>144.91682286699637</v>
      </c>
      <c r="G191" s="515">
        <v>1764.9236881185041</v>
      </c>
      <c r="H191" s="515">
        <v>77.5</v>
      </c>
    </row>
    <row r="192" spans="1:8" s="428" customFormat="1" ht="9" customHeight="1" x14ac:dyDescent="0.25">
      <c r="A192" s="472"/>
      <c r="B192" s="516"/>
      <c r="C192" s="516"/>
      <c r="D192" s="516"/>
      <c r="E192" s="516"/>
      <c r="F192" s="516"/>
      <c r="G192" s="516"/>
      <c r="H192" s="516"/>
    </row>
    <row r="193" spans="1:8" s="428" customFormat="1" ht="9" customHeight="1" x14ac:dyDescent="0.25">
      <c r="A193" s="470">
        <v>2000</v>
      </c>
      <c r="B193" s="471"/>
      <c r="C193" s="471"/>
      <c r="D193" s="471"/>
      <c r="E193" s="471"/>
      <c r="F193" s="471"/>
      <c r="G193" s="512"/>
      <c r="H193" s="512"/>
    </row>
    <row r="194" spans="1:8" s="473" customFormat="1" ht="9" customHeight="1" x14ac:dyDescent="0.25">
      <c r="A194" s="429" t="s">
        <v>21</v>
      </c>
      <c r="B194" s="513">
        <v>78.592905802351723</v>
      </c>
      <c r="C194" s="513">
        <v>52.459114196498682</v>
      </c>
      <c r="D194" s="513">
        <v>121.75665454540416</v>
      </c>
      <c r="E194" s="513">
        <v>9.0885527411435714</v>
      </c>
      <c r="F194" s="513">
        <v>193.90984037502093</v>
      </c>
      <c r="G194" s="513">
        <v>1689.2659882679936</v>
      </c>
      <c r="H194" s="513">
        <v>68.400000000000006</v>
      </c>
    </row>
    <row r="195" spans="1:8" s="473" customFormat="1" ht="3" customHeight="1" x14ac:dyDescent="0.25">
      <c r="A195" s="429"/>
      <c r="B195" s="513"/>
      <c r="C195" s="513"/>
      <c r="D195" s="513"/>
      <c r="E195" s="513"/>
      <c r="F195" s="513"/>
      <c r="G195" s="513"/>
      <c r="H195" s="513"/>
    </row>
    <row r="196" spans="1:8" s="428" customFormat="1" ht="9" customHeight="1" x14ac:dyDescent="0.25">
      <c r="A196" s="428" t="s">
        <v>23</v>
      </c>
      <c r="B196" s="514">
        <v>83.877205450863613</v>
      </c>
      <c r="C196" s="514">
        <v>59.207439141786075</v>
      </c>
      <c r="D196" s="514">
        <v>146.44393191984321</v>
      </c>
      <c r="E196" s="514">
        <v>10.4977728974798</v>
      </c>
      <c r="F196" s="514">
        <v>230.95100374455561</v>
      </c>
      <c r="G196" s="514">
        <v>1684.179751265769</v>
      </c>
      <c r="H196" s="514">
        <v>78</v>
      </c>
    </row>
    <row r="197" spans="1:8" s="428" customFormat="1" ht="9" customHeight="1" x14ac:dyDescent="0.25">
      <c r="A197" s="428" t="s">
        <v>24</v>
      </c>
      <c r="B197" s="514">
        <v>62.434946649643145</v>
      </c>
      <c r="C197" s="514">
        <v>39.779399233453418</v>
      </c>
      <c r="D197" s="514">
        <v>112.17953280763244</v>
      </c>
      <c r="E197" s="514">
        <v>8.4195660954241891</v>
      </c>
      <c r="F197" s="514">
        <v>181.73247011765835</v>
      </c>
      <c r="G197" s="514">
        <v>1345.9225505672223</v>
      </c>
      <c r="H197" s="514">
        <v>80.599999999999994</v>
      </c>
    </row>
    <row r="198" spans="1:8" s="428" customFormat="1" ht="9" customHeight="1" x14ac:dyDescent="0.25">
      <c r="A198" s="428" t="s">
        <v>25</v>
      </c>
      <c r="B198" s="514">
        <v>134.7952167624299</v>
      </c>
      <c r="C198" s="514">
        <v>88.613203367301736</v>
      </c>
      <c r="D198" s="514">
        <v>234.89531686253</v>
      </c>
      <c r="E198" s="514">
        <v>16.878705403295569</v>
      </c>
      <c r="F198" s="514">
        <v>325.14950547737436</v>
      </c>
      <c r="G198" s="514">
        <v>2426.5623937755086</v>
      </c>
      <c r="H198" s="514">
        <v>50.9</v>
      </c>
    </row>
    <row r="199" spans="1:8" s="428" customFormat="1" ht="9" customHeight="1" x14ac:dyDescent="0.25">
      <c r="A199" s="475" t="s">
        <v>26</v>
      </c>
      <c r="B199" s="515">
        <v>95.277666341910717</v>
      </c>
      <c r="C199" s="515">
        <v>93.988194165854779</v>
      </c>
      <c r="D199" s="515">
        <v>167.20155882858617</v>
      </c>
      <c r="E199" s="515">
        <v>10.315777408447476</v>
      </c>
      <c r="F199" s="515">
        <v>223.36523583013354</v>
      </c>
      <c r="G199" s="515">
        <v>2185.7771218981029</v>
      </c>
      <c r="H199" s="515">
        <v>56.6</v>
      </c>
    </row>
    <row r="200" spans="1:8" s="428" customFormat="1" ht="9" customHeight="1" x14ac:dyDescent="0.25">
      <c r="A200" s="428" t="s">
        <v>27</v>
      </c>
      <c r="B200" s="514">
        <v>105.17241751807786</v>
      </c>
      <c r="C200" s="514">
        <v>59.845438891757539</v>
      </c>
      <c r="D200" s="514">
        <v>140.3019061960554</v>
      </c>
      <c r="E200" s="514">
        <v>8.987618259556367</v>
      </c>
      <c r="F200" s="514">
        <v>264.18412518715206</v>
      </c>
      <c r="G200" s="514">
        <v>2070.8116294595116</v>
      </c>
      <c r="H200" s="514">
        <v>75.400000000000006</v>
      </c>
    </row>
    <row r="201" spans="1:8" s="428" customFormat="1" ht="9" customHeight="1" x14ac:dyDescent="0.25">
      <c r="A201" s="428" t="s">
        <v>28</v>
      </c>
      <c r="B201" s="514">
        <v>99.103263381713973</v>
      </c>
      <c r="C201" s="514">
        <v>76.731071461588243</v>
      </c>
      <c r="D201" s="514">
        <v>163.07663862438753</v>
      </c>
      <c r="E201" s="514">
        <v>10.53896644171212</v>
      </c>
      <c r="F201" s="514">
        <v>234.07599149486919</v>
      </c>
      <c r="G201" s="514">
        <v>1878.5818618840713</v>
      </c>
      <c r="H201" s="514">
        <v>56.8</v>
      </c>
    </row>
    <row r="202" spans="1:8" s="428" customFormat="1" ht="9" customHeight="1" x14ac:dyDescent="0.25">
      <c r="A202" s="428" t="s">
        <v>29</v>
      </c>
      <c r="B202" s="514">
        <v>46.430261366851077</v>
      </c>
      <c r="C202" s="514">
        <v>51.022544048490445</v>
      </c>
      <c r="D202" s="514">
        <v>95.803643126355013</v>
      </c>
      <c r="E202" s="514">
        <v>8.2965548999783074</v>
      </c>
      <c r="F202" s="514">
        <v>122.44395702536792</v>
      </c>
      <c r="G202" s="514">
        <v>1464.2232001613643</v>
      </c>
      <c r="H202" s="514">
        <v>65.3</v>
      </c>
    </row>
    <row r="203" spans="1:8" s="428" customFormat="1" ht="9" customHeight="1" x14ac:dyDescent="0.25">
      <c r="A203" s="475" t="s">
        <v>30</v>
      </c>
      <c r="B203" s="515">
        <v>76.897287661599592</v>
      </c>
      <c r="C203" s="515">
        <v>47.198122541764448</v>
      </c>
      <c r="D203" s="515">
        <v>100.38186977177762</v>
      </c>
      <c r="E203" s="515">
        <v>6.3454163361762319</v>
      </c>
      <c r="F203" s="515">
        <v>178.88186568323616</v>
      </c>
      <c r="G203" s="515">
        <v>1682.3386457115289</v>
      </c>
      <c r="H203" s="515">
        <v>72.400000000000006</v>
      </c>
    </row>
    <row r="204" spans="1:8" s="428" customFormat="1" ht="9" customHeight="1" x14ac:dyDescent="0.25">
      <c r="A204" s="428" t="s">
        <v>63</v>
      </c>
      <c r="B204" s="514">
        <v>193.1117368416227</v>
      </c>
      <c r="C204" s="514">
        <v>92.888602264444003</v>
      </c>
      <c r="D204" s="514">
        <v>273.61751319200351</v>
      </c>
      <c r="E204" s="514">
        <v>20.889490764117841</v>
      </c>
      <c r="F204" s="514">
        <v>493.514219302284</v>
      </c>
      <c r="G204" s="514">
        <v>1870.23645626965</v>
      </c>
      <c r="H204" s="514">
        <v>66.900000000000006</v>
      </c>
    </row>
    <row r="205" spans="1:8" s="428" customFormat="1" ht="9" customHeight="1" x14ac:dyDescent="0.25">
      <c r="A205" s="428" t="s">
        <v>31</v>
      </c>
      <c r="B205" s="514">
        <v>84.143208870649119</v>
      </c>
      <c r="C205" s="514">
        <v>63.842207217860505</v>
      </c>
      <c r="D205" s="514">
        <v>141.01335491482465</v>
      </c>
      <c r="E205" s="514">
        <v>8.065717828380663</v>
      </c>
      <c r="F205" s="514">
        <v>215.72377513872351</v>
      </c>
      <c r="G205" s="514">
        <v>2174.5407667353393</v>
      </c>
      <c r="H205" s="514">
        <v>77.2</v>
      </c>
    </row>
    <row r="206" spans="1:8" s="428" customFormat="1" ht="9" customHeight="1" x14ac:dyDescent="0.25">
      <c r="A206" s="428" t="s">
        <v>32</v>
      </c>
      <c r="B206" s="514">
        <v>52.882027981102013</v>
      </c>
      <c r="C206" s="514">
        <v>35.141235005945504</v>
      </c>
      <c r="D206" s="514">
        <v>81.365147637858087</v>
      </c>
      <c r="E206" s="514">
        <v>5.0414483634437559</v>
      </c>
      <c r="F206" s="514">
        <v>129.35463079367713</v>
      </c>
      <c r="G206" s="514">
        <v>1336.3958536746204</v>
      </c>
      <c r="H206" s="514">
        <v>74.7</v>
      </c>
    </row>
    <row r="207" spans="1:8" s="428" customFormat="1" ht="9" customHeight="1" x14ac:dyDescent="0.25">
      <c r="A207" s="475" t="s">
        <v>33</v>
      </c>
      <c r="B207" s="515">
        <v>51.57223096914074</v>
      </c>
      <c r="C207" s="515">
        <v>57.830217925570388</v>
      </c>
      <c r="D207" s="515">
        <v>102.18169471421538</v>
      </c>
      <c r="E207" s="515">
        <v>7.1565696988913414</v>
      </c>
      <c r="F207" s="515">
        <v>143.54859310825546</v>
      </c>
      <c r="G207" s="515">
        <v>1662.1335306792193</v>
      </c>
      <c r="H207" s="515">
        <v>58.2</v>
      </c>
    </row>
    <row r="208" spans="1:8" s="428" customFormat="1" ht="9" customHeight="1" x14ac:dyDescent="0.25">
      <c r="A208" s="428" t="s">
        <v>34</v>
      </c>
      <c r="B208" s="514">
        <v>55.613673289736212</v>
      </c>
      <c r="C208" s="514">
        <v>56.319318628860543</v>
      </c>
      <c r="D208" s="514">
        <v>104.43551019040076</v>
      </c>
      <c r="E208" s="514">
        <v>7.4533788945007293</v>
      </c>
      <c r="F208" s="514">
        <v>161.8132968279478</v>
      </c>
      <c r="G208" s="514">
        <v>1979.1755239857673</v>
      </c>
      <c r="H208" s="514">
        <v>92.8</v>
      </c>
    </row>
    <row r="209" spans="1:8" s="428" customFormat="1" ht="9" customHeight="1" x14ac:dyDescent="0.25">
      <c r="A209" s="428" t="s">
        <v>35</v>
      </c>
      <c r="B209" s="514">
        <v>95.740542032968762</v>
      </c>
      <c r="C209" s="514">
        <v>50.215545641083565</v>
      </c>
      <c r="D209" s="514">
        <v>127.33507777840528</v>
      </c>
      <c r="E209" s="514">
        <v>7.451541449395406</v>
      </c>
      <c r="F209" s="514">
        <v>198.8385007812353</v>
      </c>
      <c r="G209" s="514">
        <v>1523.2659086488079</v>
      </c>
      <c r="H209" s="514">
        <v>53.8</v>
      </c>
    </row>
    <row r="210" spans="1:8" s="428" customFormat="1" ht="9" customHeight="1" x14ac:dyDescent="0.25">
      <c r="A210" s="428" t="s">
        <v>36</v>
      </c>
      <c r="B210" s="514">
        <v>53.003280691427115</v>
      </c>
      <c r="C210" s="514">
        <v>33.079467768493366</v>
      </c>
      <c r="D210" s="514">
        <v>72.287582614923934</v>
      </c>
      <c r="E210" s="514">
        <v>7.1868855174816426</v>
      </c>
      <c r="F210" s="514">
        <v>109.61523059396259</v>
      </c>
      <c r="G210" s="514">
        <v>1440.3142861580279</v>
      </c>
      <c r="H210" s="514">
        <v>61.9</v>
      </c>
    </row>
    <row r="211" spans="1:8" s="428" customFormat="1" ht="9" customHeight="1" x14ac:dyDescent="0.25">
      <c r="A211" s="475" t="s">
        <v>37</v>
      </c>
      <c r="B211" s="515">
        <v>48.994424746719645</v>
      </c>
      <c r="C211" s="515">
        <v>42.699743975011607</v>
      </c>
      <c r="D211" s="515">
        <v>91.669386513968618</v>
      </c>
      <c r="E211" s="515">
        <v>8.7233371324457849</v>
      </c>
      <c r="F211" s="515">
        <v>124.65450504602924</v>
      </c>
      <c r="G211" s="515">
        <v>1647.6049359218846</v>
      </c>
      <c r="H211" s="515">
        <v>73.2</v>
      </c>
    </row>
    <row r="212" spans="1:8" s="428" customFormat="1" ht="9" customHeight="1" x14ac:dyDescent="0.25">
      <c r="A212" s="428" t="s">
        <v>38</v>
      </c>
      <c r="B212" s="514">
        <v>54.068407733381967</v>
      </c>
      <c r="C212" s="514">
        <v>47.413834473888798</v>
      </c>
      <c r="D212" s="514">
        <v>113.70362194345533</v>
      </c>
      <c r="E212" s="514">
        <v>9.9178736078984677</v>
      </c>
      <c r="F212" s="514">
        <v>173.46680871621126</v>
      </c>
      <c r="G212" s="514">
        <v>1515.4952378210112</v>
      </c>
      <c r="H212" s="514">
        <v>79</v>
      </c>
    </row>
    <row r="213" spans="1:8" s="428" customFormat="1" ht="9" customHeight="1" x14ac:dyDescent="0.25">
      <c r="A213" s="428" t="s">
        <v>39</v>
      </c>
      <c r="B213" s="514">
        <v>74.559341381725531</v>
      </c>
      <c r="C213" s="514">
        <v>66.167380879886295</v>
      </c>
      <c r="D213" s="514">
        <v>134.16377879222475</v>
      </c>
      <c r="E213" s="514">
        <v>10.758923720306715</v>
      </c>
      <c r="F213" s="514">
        <v>211.95079729004229</v>
      </c>
      <c r="G213" s="514">
        <v>2346.49759376671</v>
      </c>
      <c r="H213" s="514">
        <v>61.1</v>
      </c>
    </row>
    <row r="214" spans="1:8" s="428" customFormat="1" ht="9" customHeight="1" x14ac:dyDescent="0.25">
      <c r="A214" s="428" t="s">
        <v>40</v>
      </c>
      <c r="B214" s="514">
        <v>95.36250103047152</v>
      </c>
      <c r="C214" s="514">
        <v>58.122495174012506</v>
      </c>
      <c r="D214" s="514">
        <v>127.01130489032531</v>
      </c>
      <c r="E214" s="514">
        <v>9.0239399666140212</v>
      </c>
      <c r="F214" s="514">
        <v>237.87313796720017</v>
      </c>
      <c r="G214" s="514">
        <v>1865.7443177134219</v>
      </c>
      <c r="H214" s="514">
        <v>82.1</v>
      </c>
    </row>
    <row r="215" spans="1:8" s="428" customFormat="1" ht="9" customHeight="1" x14ac:dyDescent="0.25">
      <c r="A215" s="475" t="s">
        <v>41</v>
      </c>
      <c r="B215" s="515">
        <v>48.371141914282212</v>
      </c>
      <c r="C215" s="515">
        <v>51.208075000487156</v>
      </c>
      <c r="D215" s="515">
        <v>88.718634695863585</v>
      </c>
      <c r="E215" s="515">
        <v>5.4446190543327138</v>
      </c>
      <c r="F215" s="515">
        <v>127.80526832802055</v>
      </c>
      <c r="G215" s="515">
        <v>1508.5853045719898</v>
      </c>
      <c r="H215" s="515">
        <v>64.400000000000006</v>
      </c>
    </row>
    <row r="216" spans="1:8" s="428" customFormat="1" ht="9" customHeight="1" x14ac:dyDescent="0.25">
      <c r="A216" s="428" t="s">
        <v>42</v>
      </c>
      <c r="B216" s="514">
        <v>65.620157204172514</v>
      </c>
      <c r="C216" s="514">
        <v>42.513919707479317</v>
      </c>
      <c r="D216" s="514">
        <v>92.191357021347088</v>
      </c>
      <c r="E216" s="514">
        <v>8.3314824335170083</v>
      </c>
      <c r="F216" s="514">
        <v>134.4716837634007</v>
      </c>
      <c r="G216" s="514">
        <v>1337.3335479793138</v>
      </c>
      <c r="H216" s="514">
        <v>59.3</v>
      </c>
    </row>
    <row r="217" spans="1:8" s="428" customFormat="1" ht="9" customHeight="1" x14ac:dyDescent="0.25">
      <c r="A217" s="428" t="s">
        <v>43</v>
      </c>
      <c r="B217" s="514">
        <v>53.962619775854094</v>
      </c>
      <c r="C217" s="514">
        <v>45.780052594155954</v>
      </c>
      <c r="D217" s="514">
        <v>111.09951130322901</v>
      </c>
      <c r="E217" s="514">
        <v>8.1825671816981362</v>
      </c>
      <c r="F217" s="514">
        <v>176.48950938455809</v>
      </c>
      <c r="G217" s="514">
        <v>1684.2467241515526</v>
      </c>
      <c r="H217" s="514">
        <v>78.400000000000006</v>
      </c>
    </row>
    <row r="218" spans="1:8" s="428" customFormat="1" ht="9" customHeight="1" x14ac:dyDescent="0.25">
      <c r="A218" s="428" t="s">
        <v>44</v>
      </c>
      <c r="B218" s="514">
        <v>59.510340770240298</v>
      </c>
      <c r="C218" s="514">
        <v>56.229352400778382</v>
      </c>
      <c r="D218" s="514">
        <v>126.60089604923743</v>
      </c>
      <c r="E218" s="514">
        <v>9.3904149884599715</v>
      </c>
      <c r="F218" s="514">
        <v>184.18789880979315</v>
      </c>
      <c r="G218" s="514">
        <v>1717.8180295967779</v>
      </c>
      <c r="H218" s="514">
        <v>69.599999999999994</v>
      </c>
    </row>
    <row r="219" spans="1:8" s="428" customFormat="1" ht="9" customHeight="1" x14ac:dyDescent="0.25">
      <c r="A219" s="475" t="s">
        <v>45</v>
      </c>
      <c r="B219" s="515">
        <v>58.957294449327691</v>
      </c>
      <c r="C219" s="515">
        <v>45.583320289049851</v>
      </c>
      <c r="D219" s="515">
        <v>95.552960077612056</v>
      </c>
      <c r="E219" s="515">
        <v>8.2135982784986066</v>
      </c>
      <c r="F219" s="515">
        <v>150.85498827734611</v>
      </c>
      <c r="G219" s="515">
        <v>1651.3564048005258</v>
      </c>
      <c r="H219" s="515">
        <v>60.5</v>
      </c>
    </row>
    <row r="220" spans="1:8" s="428" customFormat="1" ht="9" customHeight="1" x14ac:dyDescent="0.25">
      <c r="A220" s="428" t="s">
        <v>46</v>
      </c>
      <c r="B220" s="514">
        <v>74.333202986010562</v>
      </c>
      <c r="C220" s="514">
        <v>47.872305029958355</v>
      </c>
      <c r="D220" s="514">
        <v>111.24537276789997</v>
      </c>
      <c r="E220" s="514">
        <v>7.2023745915881747</v>
      </c>
      <c r="F220" s="514">
        <v>192.62437698481199</v>
      </c>
      <c r="G220" s="514">
        <v>2133.4048090724868</v>
      </c>
      <c r="H220" s="514">
        <v>78.8</v>
      </c>
    </row>
    <row r="221" spans="1:8" s="428" customFormat="1" ht="9" customHeight="1" x14ac:dyDescent="0.25">
      <c r="A221" s="428" t="s">
        <v>47</v>
      </c>
      <c r="B221" s="514">
        <v>105.50764235688116</v>
      </c>
      <c r="C221" s="514">
        <v>57.101417316340957</v>
      </c>
      <c r="D221" s="514">
        <v>143.69477544441844</v>
      </c>
      <c r="E221" s="514">
        <v>7.9332424371996462</v>
      </c>
      <c r="F221" s="514">
        <v>239.56599337193282</v>
      </c>
      <c r="G221" s="514">
        <v>1833.769885770273</v>
      </c>
      <c r="H221" s="514">
        <v>72</v>
      </c>
    </row>
    <row r="222" spans="1:8" s="428" customFormat="1" ht="9" customHeight="1" x14ac:dyDescent="0.25">
      <c r="A222" s="428" t="s">
        <v>48</v>
      </c>
      <c r="B222" s="514">
        <v>72.968262201029916</v>
      </c>
      <c r="C222" s="514">
        <v>67.953979329663511</v>
      </c>
      <c r="D222" s="514">
        <v>163.06865754589506</v>
      </c>
      <c r="E222" s="514">
        <v>16.348651445184228</v>
      </c>
      <c r="F222" s="514">
        <v>215.77085980848574</v>
      </c>
      <c r="G222" s="514">
        <v>2152.0623066432458</v>
      </c>
      <c r="H222" s="514">
        <v>74.599999999999994</v>
      </c>
    </row>
    <row r="223" spans="1:8" s="428" customFormat="1" ht="9" customHeight="1" x14ac:dyDescent="0.25">
      <c r="A223" s="475" t="s">
        <v>49</v>
      </c>
      <c r="B223" s="515">
        <v>95.59284518215668</v>
      </c>
      <c r="C223" s="515">
        <v>53.856648247909405</v>
      </c>
      <c r="D223" s="515">
        <v>136.06649510456415</v>
      </c>
      <c r="E223" s="515">
        <v>8.2967375063758624</v>
      </c>
      <c r="F223" s="515">
        <v>223.32653000857809</v>
      </c>
      <c r="G223" s="515">
        <v>1882.7454553718489</v>
      </c>
      <c r="H223" s="515">
        <v>68.5</v>
      </c>
    </row>
    <row r="224" spans="1:8" s="428" customFormat="1" ht="9" customHeight="1" x14ac:dyDescent="0.25">
      <c r="A224" s="428" t="s">
        <v>50</v>
      </c>
      <c r="B224" s="514">
        <v>50.831182060692022</v>
      </c>
      <c r="C224" s="514">
        <v>46.526928741036649</v>
      </c>
      <c r="D224" s="514">
        <v>120.92902183793666</v>
      </c>
      <c r="E224" s="514">
        <v>11.682973296207441</v>
      </c>
      <c r="F224" s="514">
        <v>150.34141952224837</v>
      </c>
      <c r="G224" s="514">
        <v>1833.9716267720457</v>
      </c>
      <c r="H224" s="514">
        <v>61.7</v>
      </c>
    </row>
    <row r="225" spans="1:8" s="428" customFormat="1" ht="9" customHeight="1" x14ac:dyDescent="0.25">
      <c r="A225" s="428" t="s">
        <v>51</v>
      </c>
      <c r="B225" s="514">
        <v>60.515846709432914</v>
      </c>
      <c r="C225" s="514">
        <v>52.804447957733501</v>
      </c>
      <c r="D225" s="514">
        <v>105.7522304647551</v>
      </c>
      <c r="E225" s="514">
        <v>7.138060554547037</v>
      </c>
      <c r="F225" s="514">
        <v>149.58393563705397</v>
      </c>
      <c r="G225" s="514">
        <v>1711.7076376531261</v>
      </c>
      <c r="H225" s="514">
        <v>70.8</v>
      </c>
    </row>
    <row r="226" spans="1:8" s="428" customFormat="1" ht="9" customHeight="1" x14ac:dyDescent="0.25">
      <c r="A226" s="428" t="s">
        <v>52</v>
      </c>
      <c r="B226" s="514">
        <v>89.34356962199189</v>
      </c>
      <c r="C226" s="514">
        <v>49.21062925703297</v>
      </c>
      <c r="D226" s="514">
        <v>136.34449829345419</v>
      </c>
      <c r="E226" s="514">
        <v>8.4207508801476312</v>
      </c>
      <c r="F226" s="514">
        <v>215.77427609910208</v>
      </c>
      <c r="G226" s="514">
        <v>2588.8075679258973</v>
      </c>
      <c r="H226" s="514">
        <v>83.7</v>
      </c>
    </row>
    <row r="227" spans="1:8" s="428" customFormat="1" ht="9" customHeight="1" x14ac:dyDescent="0.25">
      <c r="A227" s="475" t="s">
        <v>53</v>
      </c>
      <c r="B227" s="515">
        <v>52.079561770968425</v>
      </c>
      <c r="C227" s="515">
        <v>51.421252703638764</v>
      </c>
      <c r="D227" s="515">
        <v>105.98775984007477</v>
      </c>
      <c r="E227" s="515">
        <v>7.2413997406262274</v>
      </c>
      <c r="F227" s="515">
        <v>153.67859449551216</v>
      </c>
      <c r="G227" s="515">
        <v>1858.0809998105535</v>
      </c>
      <c r="H227" s="515">
        <v>75</v>
      </c>
    </row>
    <row r="228" spans="1:8" s="428" customFormat="1" ht="9" customHeight="1" x14ac:dyDescent="0.25">
      <c r="B228" s="514"/>
      <c r="C228" s="514"/>
      <c r="D228" s="514"/>
      <c r="E228" s="514"/>
      <c r="F228" s="514"/>
      <c r="G228" s="514"/>
      <c r="H228" s="514"/>
    </row>
    <row r="229" spans="1:8" s="428" customFormat="1" ht="9" customHeight="1" x14ac:dyDescent="0.25">
      <c r="A229" s="470">
        <v>2001</v>
      </c>
      <c r="B229" s="471"/>
      <c r="C229" s="471"/>
      <c r="D229" s="471"/>
      <c r="E229" s="471"/>
      <c r="F229" s="471"/>
      <c r="G229" s="512"/>
      <c r="H229" s="512"/>
    </row>
    <row r="230" spans="1:8" s="473" customFormat="1" ht="9" customHeight="1" x14ac:dyDescent="0.25">
      <c r="A230" s="429" t="s">
        <v>21</v>
      </c>
      <c r="B230" s="513">
        <v>78.513703237012621</v>
      </c>
      <c r="C230" s="513">
        <v>51.903884122219793</v>
      </c>
      <c r="D230" s="513">
        <v>122.37519126719111</v>
      </c>
      <c r="E230" s="513">
        <v>9.0261938879157757</v>
      </c>
      <c r="F230" s="513">
        <v>193.18449029295365</v>
      </c>
      <c r="G230" s="513">
        <v>1731.8554390216775</v>
      </c>
      <c r="H230" s="513">
        <v>67.8</v>
      </c>
    </row>
    <row r="231" spans="1:8" s="473" customFormat="1" ht="3" customHeight="1" x14ac:dyDescent="0.25">
      <c r="A231" s="429"/>
      <c r="B231" s="513"/>
      <c r="C231" s="513"/>
      <c r="D231" s="513"/>
      <c r="E231" s="513"/>
      <c r="F231" s="513"/>
      <c r="G231" s="513"/>
      <c r="H231" s="513"/>
    </row>
    <row r="232" spans="1:8" s="428" customFormat="1" ht="9" customHeight="1" x14ac:dyDescent="0.25">
      <c r="A232" s="428" t="s">
        <v>23</v>
      </c>
      <c r="B232" s="514">
        <v>78.5382453571696</v>
      </c>
      <c r="C232" s="514">
        <v>54.341083602219172</v>
      </c>
      <c r="D232" s="514">
        <v>149.07912369363524</v>
      </c>
      <c r="E232" s="514">
        <v>9.8429132562510198</v>
      </c>
      <c r="F232" s="514">
        <v>232.64135602534961</v>
      </c>
      <c r="G232" s="514">
        <v>1700.3376324307587</v>
      </c>
      <c r="H232" s="514">
        <v>85.6</v>
      </c>
    </row>
    <row r="233" spans="1:8" s="428" customFormat="1" ht="9" customHeight="1" x14ac:dyDescent="0.25">
      <c r="A233" s="428" t="s">
        <v>24</v>
      </c>
      <c r="B233" s="514">
        <v>65.093224491345495</v>
      </c>
      <c r="C233" s="514">
        <v>39.94177201473812</v>
      </c>
      <c r="D233" s="514">
        <v>107.44732135053809</v>
      </c>
      <c r="E233" s="514">
        <v>8.0674470207985909</v>
      </c>
      <c r="F233" s="514">
        <v>180.37071500912927</v>
      </c>
      <c r="G233" s="514">
        <v>1441.4866881192211</v>
      </c>
      <c r="H233" s="514">
        <v>67</v>
      </c>
    </row>
    <row r="234" spans="1:8" s="428" customFormat="1" ht="9" customHeight="1" x14ac:dyDescent="0.25">
      <c r="A234" s="428" t="s">
        <v>25</v>
      </c>
      <c r="B234" s="514">
        <v>130.33178036379763</v>
      </c>
      <c r="C234" s="514">
        <v>86.661583123844608</v>
      </c>
      <c r="D234" s="514">
        <v>207.26373405076151</v>
      </c>
      <c r="E234" s="514">
        <v>14.481308929310849</v>
      </c>
      <c r="F234" s="514">
        <v>312.47949424028565</v>
      </c>
      <c r="G234" s="514">
        <v>2458.8764766975373</v>
      </c>
      <c r="H234" s="514">
        <v>49.6</v>
      </c>
    </row>
    <row r="235" spans="1:8" s="428" customFormat="1" ht="9" customHeight="1" x14ac:dyDescent="0.25">
      <c r="A235" s="475" t="s">
        <v>26</v>
      </c>
      <c r="B235" s="515">
        <v>95.264764279512733</v>
      </c>
      <c r="C235" s="515">
        <v>94.701900088791831</v>
      </c>
      <c r="D235" s="515">
        <v>166.0449362626662</v>
      </c>
      <c r="E235" s="515">
        <v>11.257283814418047</v>
      </c>
      <c r="F235" s="515">
        <v>221.62777509635532</v>
      </c>
      <c r="G235" s="515">
        <v>2285.218764203526</v>
      </c>
      <c r="H235" s="515">
        <v>55.7</v>
      </c>
    </row>
    <row r="236" spans="1:8" s="428" customFormat="1" ht="9" customHeight="1" x14ac:dyDescent="0.25">
      <c r="A236" s="428" t="s">
        <v>27</v>
      </c>
      <c r="B236" s="514">
        <v>104.43327753652936</v>
      </c>
      <c r="C236" s="514">
        <v>56.334536297144084</v>
      </c>
      <c r="D236" s="514">
        <v>139.62644301530287</v>
      </c>
      <c r="E236" s="514">
        <v>8.4905103688235251</v>
      </c>
      <c r="F236" s="514">
        <v>254.84266872023809</v>
      </c>
      <c r="G236" s="514">
        <v>2067.4295107216044</v>
      </c>
      <c r="H236" s="514">
        <v>74.7</v>
      </c>
    </row>
    <row r="237" spans="1:8" s="428" customFormat="1" ht="9" customHeight="1" x14ac:dyDescent="0.25">
      <c r="A237" s="428" t="s">
        <v>28</v>
      </c>
      <c r="B237" s="514">
        <v>88.417975886006573</v>
      </c>
      <c r="C237" s="514">
        <v>72.341980270369021</v>
      </c>
      <c r="D237" s="514">
        <v>164.41359152356594</v>
      </c>
      <c r="E237" s="514">
        <v>9.316770186335404</v>
      </c>
      <c r="F237" s="514">
        <v>239.13043478260869</v>
      </c>
      <c r="G237" s="514">
        <v>1889.2217756667885</v>
      </c>
      <c r="H237" s="514">
        <v>60.3</v>
      </c>
    </row>
    <row r="238" spans="1:8" s="428" customFormat="1" ht="9" customHeight="1" x14ac:dyDescent="0.25">
      <c r="A238" s="428" t="s">
        <v>29</v>
      </c>
      <c r="B238" s="514">
        <v>45.166544786712571</v>
      </c>
      <c r="C238" s="514">
        <v>50.51980119748611</v>
      </c>
      <c r="D238" s="514">
        <v>90.432685041532551</v>
      </c>
      <c r="E238" s="514">
        <v>7.5692555761635179</v>
      </c>
      <c r="F238" s="514">
        <v>121.68076316023392</v>
      </c>
      <c r="G238" s="514">
        <v>1661.7835008653601</v>
      </c>
      <c r="H238" s="514">
        <v>61.7</v>
      </c>
    </row>
    <row r="239" spans="1:8" s="428" customFormat="1" ht="9" customHeight="1" x14ac:dyDescent="0.25">
      <c r="A239" s="475" t="s">
        <v>30</v>
      </c>
      <c r="B239" s="515">
        <v>78.215524426379162</v>
      </c>
      <c r="C239" s="515">
        <v>46.561469367683628</v>
      </c>
      <c r="D239" s="515">
        <v>99.156892146148166</v>
      </c>
      <c r="E239" s="515">
        <v>6.6792960215596064</v>
      </c>
      <c r="F239" s="515">
        <v>180.47006110426511</v>
      </c>
      <c r="G239" s="515">
        <v>1698.1793916936017</v>
      </c>
      <c r="H239" s="515">
        <v>70.8</v>
      </c>
    </row>
    <row r="240" spans="1:8" s="428" customFormat="1" ht="9" customHeight="1" x14ac:dyDescent="0.25">
      <c r="A240" s="428" t="s">
        <v>63</v>
      </c>
      <c r="B240" s="514">
        <v>192.36916784668631</v>
      </c>
      <c r="C240" s="514">
        <v>90.99711371234757</v>
      </c>
      <c r="D240" s="514">
        <v>284.84346996172007</v>
      </c>
      <c r="E240" s="514">
        <v>20.899907791130175</v>
      </c>
      <c r="F240" s="514">
        <v>485.27947135120041</v>
      </c>
      <c r="G240" s="514">
        <v>1871.5910126934336</v>
      </c>
      <c r="H240" s="514">
        <v>66.3</v>
      </c>
    </row>
    <row r="241" spans="1:8" s="428" customFormat="1" ht="9" customHeight="1" x14ac:dyDescent="0.25">
      <c r="A241" s="428" t="s">
        <v>31</v>
      </c>
      <c r="B241" s="514">
        <v>83.436811671679877</v>
      </c>
      <c r="C241" s="514">
        <v>64.624618934674999</v>
      </c>
      <c r="D241" s="514">
        <v>142.58018020456569</v>
      </c>
      <c r="E241" s="514">
        <v>8.9324080621749733</v>
      </c>
      <c r="F241" s="514">
        <v>211.73867292837494</v>
      </c>
      <c r="G241" s="514">
        <v>2264.8140942572059</v>
      </c>
      <c r="H241" s="514">
        <v>70.5</v>
      </c>
    </row>
    <row r="242" spans="1:8" s="428" customFormat="1" ht="9" customHeight="1" x14ac:dyDescent="0.25">
      <c r="A242" s="428" t="s">
        <v>32</v>
      </c>
      <c r="B242" s="514">
        <v>53.163009817071298</v>
      </c>
      <c r="C242" s="514">
        <v>35.245729609735562</v>
      </c>
      <c r="D242" s="514">
        <v>84.476190836699132</v>
      </c>
      <c r="E242" s="514">
        <v>5.7200706765203302</v>
      </c>
      <c r="F242" s="514">
        <v>128.38614514763461</v>
      </c>
      <c r="G242" s="514">
        <v>1360.5379474115209</v>
      </c>
      <c r="H242" s="514">
        <v>72.7</v>
      </c>
    </row>
    <row r="243" spans="1:8" s="428" customFormat="1" ht="9" customHeight="1" x14ac:dyDescent="0.25">
      <c r="A243" s="475" t="s">
        <v>33</v>
      </c>
      <c r="B243" s="515">
        <v>50.910935247294915</v>
      </c>
      <c r="C243" s="515">
        <v>57.586208438439606</v>
      </c>
      <c r="D243" s="515">
        <v>103.06749563552114</v>
      </c>
      <c r="E243" s="515">
        <v>7.1862988899883042</v>
      </c>
      <c r="F243" s="515">
        <v>148.8362347882022</v>
      </c>
      <c r="G243" s="515">
        <v>1748.6079340572437</v>
      </c>
      <c r="H243" s="515">
        <v>57.2</v>
      </c>
    </row>
    <row r="244" spans="1:8" s="428" customFormat="1" ht="9" customHeight="1" x14ac:dyDescent="0.25">
      <c r="A244" s="428" t="s">
        <v>34</v>
      </c>
      <c r="B244" s="514">
        <v>53.552676717286388</v>
      </c>
      <c r="C244" s="514">
        <v>56.69513207477997</v>
      </c>
      <c r="D244" s="514">
        <v>105.01038319624372</v>
      </c>
      <c r="E244" s="514">
        <v>8.1616548868235981</v>
      </c>
      <c r="F244" s="514">
        <v>162.01103176411334</v>
      </c>
      <c r="G244" s="514">
        <v>2034.0528683197726</v>
      </c>
      <c r="H244" s="514">
        <v>82.6</v>
      </c>
    </row>
    <row r="245" spans="1:8" s="428" customFormat="1" ht="9" customHeight="1" x14ac:dyDescent="0.25">
      <c r="A245" s="428" t="s">
        <v>35</v>
      </c>
      <c r="B245" s="514">
        <v>95.208660878970065</v>
      </c>
      <c r="C245" s="514">
        <v>47.596596185961154</v>
      </c>
      <c r="D245" s="514">
        <v>129.347655933379</v>
      </c>
      <c r="E245" s="514">
        <v>7.7187850168328289</v>
      </c>
      <c r="F245" s="514">
        <v>199.7138944936446</v>
      </c>
      <c r="G245" s="514">
        <v>1561.6877873661897</v>
      </c>
      <c r="H245" s="514">
        <v>55.7</v>
      </c>
    </row>
    <row r="246" spans="1:8" s="428" customFormat="1" ht="9" customHeight="1" x14ac:dyDescent="0.25">
      <c r="A246" s="428" t="s">
        <v>36</v>
      </c>
      <c r="B246" s="514">
        <v>52.313718691046212</v>
      </c>
      <c r="C246" s="514">
        <v>32.281392265450471</v>
      </c>
      <c r="D246" s="514">
        <v>72.045822914684734</v>
      </c>
      <c r="E246" s="514">
        <v>6.9801661955054488</v>
      </c>
      <c r="F246" s="514">
        <v>109.7237092603163</v>
      </c>
      <c r="G246" s="514">
        <v>1408.1791035590215</v>
      </c>
      <c r="H246" s="514">
        <v>62.5</v>
      </c>
    </row>
    <row r="247" spans="1:8" s="428" customFormat="1" ht="9" customHeight="1" x14ac:dyDescent="0.25">
      <c r="A247" s="475" t="s">
        <v>37</v>
      </c>
      <c r="B247" s="515">
        <v>53.125776760440587</v>
      </c>
      <c r="C247" s="515">
        <v>43.455302499112719</v>
      </c>
      <c r="D247" s="515">
        <v>92.673317281830023</v>
      </c>
      <c r="E247" s="515">
        <v>8.5822367485441724</v>
      </c>
      <c r="F247" s="515">
        <v>129.82178874094629</v>
      </c>
      <c r="G247" s="515">
        <v>1660.1201760471504</v>
      </c>
      <c r="H247" s="515">
        <v>68.5</v>
      </c>
    </row>
    <row r="248" spans="1:8" s="428" customFormat="1" ht="9" customHeight="1" x14ac:dyDescent="0.25">
      <c r="A248" s="428" t="s">
        <v>38</v>
      </c>
      <c r="B248" s="514">
        <v>53.522429005097948</v>
      </c>
      <c r="C248" s="514">
        <v>47.43456978176927</v>
      </c>
      <c r="D248" s="514">
        <v>110.7863548245333</v>
      </c>
      <c r="E248" s="514">
        <v>9.5756952366940649</v>
      </c>
      <c r="F248" s="514">
        <v>172.6795902617082</v>
      </c>
      <c r="G248" s="514">
        <v>1560.5123694518834</v>
      </c>
      <c r="H248" s="514">
        <v>80</v>
      </c>
    </row>
    <row r="249" spans="1:8" s="428" customFormat="1" ht="9" customHeight="1" x14ac:dyDescent="0.25">
      <c r="A249" s="428" t="s">
        <v>39</v>
      </c>
      <c r="B249" s="514">
        <v>69.559131663060683</v>
      </c>
      <c r="C249" s="514">
        <v>67.532101752634077</v>
      </c>
      <c r="D249" s="514">
        <v>135.27757507478674</v>
      </c>
      <c r="E249" s="514">
        <v>10.028463767373781</v>
      </c>
      <c r="F249" s="514">
        <v>208.78408077394135</v>
      </c>
      <c r="G249" s="514">
        <v>2317.9983186320324</v>
      </c>
      <c r="H249" s="514">
        <v>65</v>
      </c>
    </row>
    <row r="250" spans="1:8" s="428" customFormat="1" ht="9" customHeight="1" x14ac:dyDescent="0.25">
      <c r="A250" s="428" t="s">
        <v>40</v>
      </c>
      <c r="B250" s="514">
        <v>94.851784840751534</v>
      </c>
      <c r="C250" s="514">
        <v>55.574627364344607</v>
      </c>
      <c r="D250" s="514">
        <v>118.52009791744349</v>
      </c>
      <c r="E250" s="514">
        <v>8.9266266991833927</v>
      </c>
      <c r="F250" s="514">
        <v>236.86166330090333</v>
      </c>
      <c r="G250" s="514">
        <v>1852.9144415986925</v>
      </c>
      <c r="H250" s="514">
        <v>79.5</v>
      </c>
    </row>
    <row r="251" spans="1:8" s="428" customFormat="1" ht="9" customHeight="1" x14ac:dyDescent="0.25">
      <c r="A251" s="475" t="s">
        <v>41</v>
      </c>
      <c r="B251" s="515">
        <v>51.915665252805354</v>
      </c>
      <c r="C251" s="515">
        <v>55.363412506147533</v>
      </c>
      <c r="D251" s="515">
        <v>91.208586429324882</v>
      </c>
      <c r="E251" s="515">
        <v>6.2686313697130505</v>
      </c>
      <c r="F251" s="515">
        <v>130.70096405851712</v>
      </c>
      <c r="G251" s="515">
        <v>1656.5496655115289</v>
      </c>
      <c r="H251" s="515">
        <v>59.9</v>
      </c>
    </row>
    <row r="252" spans="1:8" s="428" customFormat="1" ht="9" customHeight="1" x14ac:dyDescent="0.25">
      <c r="A252" s="428" t="s">
        <v>42</v>
      </c>
      <c r="B252" s="514">
        <v>64.486925299921865</v>
      </c>
      <c r="C252" s="514">
        <v>41.978970150530358</v>
      </c>
      <c r="D252" s="514">
        <v>92.472905400275437</v>
      </c>
      <c r="E252" s="514">
        <v>8.4573016786782773</v>
      </c>
      <c r="F252" s="514">
        <v>133.54848196240152</v>
      </c>
      <c r="G252" s="514">
        <v>1438.9887373729123</v>
      </c>
      <c r="H252" s="514">
        <v>69.3</v>
      </c>
    </row>
    <row r="253" spans="1:8" s="428" customFormat="1" ht="9" customHeight="1" x14ac:dyDescent="0.25">
      <c r="A253" s="428" t="s">
        <v>43</v>
      </c>
      <c r="B253" s="514">
        <v>52.119013112372585</v>
      </c>
      <c r="C253" s="514">
        <v>44.683275442443602</v>
      </c>
      <c r="D253" s="514">
        <v>109.2640340942342</v>
      </c>
      <c r="E253" s="514">
        <v>8.2619307443655359</v>
      </c>
      <c r="F253" s="514">
        <v>170.33347217966946</v>
      </c>
      <c r="G253" s="514">
        <v>1749.4679660847744</v>
      </c>
      <c r="H253" s="514">
        <v>78.400000000000006</v>
      </c>
    </row>
    <row r="254" spans="1:8" s="428" customFormat="1" ht="9" customHeight="1" x14ac:dyDescent="0.25">
      <c r="A254" s="428" t="s">
        <v>44</v>
      </c>
      <c r="B254" s="514">
        <v>60.182343842512765</v>
      </c>
      <c r="C254" s="514">
        <v>58.77520270950437</v>
      </c>
      <c r="D254" s="514">
        <v>124.80259433528276</v>
      </c>
      <c r="E254" s="514">
        <v>8.8758133005144728</v>
      </c>
      <c r="F254" s="514">
        <v>177.08329950782533</v>
      </c>
      <c r="G254" s="514">
        <v>1781.8011190019256</v>
      </c>
      <c r="H254" s="514">
        <v>64.5</v>
      </c>
    </row>
    <row r="255" spans="1:8" s="428" customFormat="1" ht="9" customHeight="1" x14ac:dyDescent="0.25">
      <c r="A255" s="475" t="s">
        <v>45</v>
      </c>
      <c r="B255" s="515">
        <v>59.554320985028468</v>
      </c>
      <c r="C255" s="515">
        <v>44.963512343696493</v>
      </c>
      <c r="D255" s="515">
        <v>98.22209082459338</v>
      </c>
      <c r="E255" s="515">
        <v>8.0398333329788425</v>
      </c>
      <c r="F255" s="515">
        <v>152.11875131604415</v>
      </c>
      <c r="G255" s="515">
        <v>1718.7240912116963</v>
      </c>
      <c r="H255" s="515">
        <v>73.2</v>
      </c>
    </row>
    <row r="256" spans="1:8" s="428" customFormat="1" ht="9" customHeight="1" x14ac:dyDescent="0.25">
      <c r="A256" s="428" t="s">
        <v>46</v>
      </c>
      <c r="B256" s="514">
        <v>75.346471364260751</v>
      </c>
      <c r="C256" s="514">
        <v>47.407269244145496</v>
      </c>
      <c r="D256" s="514">
        <v>114.32146402973447</v>
      </c>
      <c r="E256" s="514">
        <v>7.1110903866218242</v>
      </c>
      <c r="F256" s="514">
        <v>199.38253974730372</v>
      </c>
      <c r="G256" s="514">
        <v>2177.6109456390168</v>
      </c>
      <c r="H256" s="514">
        <v>72.3</v>
      </c>
    </row>
    <row r="257" spans="1:8" s="428" customFormat="1" ht="9" customHeight="1" x14ac:dyDescent="0.25">
      <c r="A257" s="428" t="s">
        <v>47</v>
      </c>
      <c r="B257" s="514">
        <v>104.898296273531</v>
      </c>
      <c r="C257" s="514">
        <v>56.79235208083562</v>
      </c>
      <c r="D257" s="514">
        <v>141.67222611469322</v>
      </c>
      <c r="E257" s="514">
        <v>7.9368193901788908</v>
      </c>
      <c r="F257" s="514">
        <v>234.53301297978624</v>
      </c>
      <c r="G257" s="514">
        <v>1822.3325342132032</v>
      </c>
      <c r="H257" s="514">
        <v>65.8</v>
      </c>
    </row>
    <row r="258" spans="1:8" s="428" customFormat="1" ht="9" customHeight="1" x14ac:dyDescent="0.25">
      <c r="A258" s="428" t="s">
        <v>48</v>
      </c>
      <c r="B258" s="514">
        <v>73.725243016896869</v>
      </c>
      <c r="C258" s="514">
        <v>69.953734439298088</v>
      </c>
      <c r="D258" s="514">
        <v>158.09337325277116</v>
      </c>
      <c r="E258" s="514">
        <v>15.086034310395155</v>
      </c>
      <c r="F258" s="514">
        <v>214.71766641781599</v>
      </c>
      <c r="G258" s="514">
        <v>2254.2689085615825</v>
      </c>
      <c r="H258" s="514">
        <v>75.7</v>
      </c>
    </row>
    <row r="259" spans="1:8" s="428" customFormat="1" ht="9" customHeight="1" x14ac:dyDescent="0.25">
      <c r="A259" s="475" t="s">
        <v>49</v>
      </c>
      <c r="B259" s="515">
        <v>93.698717031998456</v>
      </c>
      <c r="C259" s="515">
        <v>52.920129188831766</v>
      </c>
      <c r="D259" s="515">
        <v>139.7870168339108</v>
      </c>
      <c r="E259" s="515">
        <v>7.6459852205937535</v>
      </c>
      <c r="F259" s="515">
        <v>224.14064081851689</v>
      </c>
      <c r="G259" s="515">
        <v>1961.6677734466259</v>
      </c>
      <c r="H259" s="515">
        <v>69.400000000000006</v>
      </c>
    </row>
    <row r="260" spans="1:8" s="428" customFormat="1" ht="9" customHeight="1" x14ac:dyDescent="0.25">
      <c r="A260" s="428" t="s">
        <v>50</v>
      </c>
      <c r="B260" s="514">
        <v>55.548691491808825</v>
      </c>
      <c r="C260" s="514">
        <v>47.613164135836136</v>
      </c>
      <c r="D260" s="514">
        <v>117.92796349255617</v>
      </c>
      <c r="E260" s="514">
        <v>8.5382256361731468</v>
      </c>
      <c r="F260" s="514">
        <v>162.02538766055631</v>
      </c>
      <c r="G260" s="514">
        <v>1772.6632132055211</v>
      </c>
      <c r="H260" s="514">
        <v>59.4</v>
      </c>
    </row>
    <row r="261" spans="1:8" s="428" customFormat="1" ht="9" customHeight="1" x14ac:dyDescent="0.25">
      <c r="A261" s="428" t="s">
        <v>51</v>
      </c>
      <c r="B261" s="514">
        <v>61.994534812064138</v>
      </c>
      <c r="C261" s="514">
        <v>52.993952120312628</v>
      </c>
      <c r="D261" s="514">
        <v>108.56153057112608</v>
      </c>
      <c r="E261" s="514">
        <v>7.5075950414609789</v>
      </c>
      <c r="F261" s="514">
        <v>149.59736255911164</v>
      </c>
      <c r="G261" s="514">
        <v>1794.8164321917714</v>
      </c>
      <c r="H261" s="514">
        <v>69.7</v>
      </c>
    </row>
    <row r="262" spans="1:8" s="428" customFormat="1" ht="9" customHeight="1" x14ac:dyDescent="0.25">
      <c r="A262" s="428" t="s">
        <v>52</v>
      </c>
      <c r="B262" s="514">
        <v>87.781897461127059</v>
      </c>
      <c r="C262" s="514">
        <v>49.373652413005331</v>
      </c>
      <c r="D262" s="514">
        <v>130.17756336920644</v>
      </c>
      <c r="E262" s="514">
        <v>7.7989260937407465</v>
      </c>
      <c r="F262" s="514">
        <v>214.38250976478324</v>
      </c>
      <c r="G262" s="514">
        <v>2613.1844070734501</v>
      </c>
      <c r="H262" s="514">
        <v>90.6</v>
      </c>
    </row>
    <row r="263" spans="1:8" s="428" customFormat="1" ht="9" customHeight="1" x14ac:dyDescent="0.25">
      <c r="A263" s="475" t="s">
        <v>53</v>
      </c>
      <c r="B263" s="515">
        <v>56.258278627676454</v>
      </c>
      <c r="C263" s="515">
        <v>52.255425685215648</v>
      </c>
      <c r="D263" s="515">
        <v>104.07417650398102</v>
      </c>
      <c r="E263" s="515">
        <v>7.3506935852462121</v>
      </c>
      <c r="F263" s="515">
        <v>154.07344871253693</v>
      </c>
      <c r="G263" s="515">
        <v>1934.7491302892242</v>
      </c>
      <c r="H263" s="515">
        <v>71</v>
      </c>
    </row>
    <row r="264" spans="1:8" s="428" customFormat="1" ht="9" customHeight="1" x14ac:dyDescent="0.25">
      <c r="B264" s="514"/>
      <c r="C264" s="514"/>
      <c r="D264" s="514"/>
      <c r="E264" s="514"/>
      <c r="F264" s="514"/>
      <c r="G264" s="514"/>
      <c r="H264" s="514"/>
    </row>
    <row r="265" spans="1:8" s="428" customFormat="1" ht="9" customHeight="1" x14ac:dyDescent="0.25">
      <c r="A265" s="470">
        <v>2002</v>
      </c>
      <c r="B265" s="471"/>
      <c r="C265" s="471"/>
      <c r="D265" s="471"/>
      <c r="E265" s="471"/>
      <c r="F265" s="471"/>
      <c r="G265" s="512"/>
      <c r="H265" s="512"/>
    </row>
    <row r="266" spans="1:8" s="473" customFormat="1" ht="9" customHeight="1" x14ac:dyDescent="0.25">
      <c r="A266" s="429" t="s">
        <v>21</v>
      </c>
      <c r="B266" s="513">
        <v>77.259621704946582</v>
      </c>
      <c r="C266" s="513">
        <v>52.136727317346427</v>
      </c>
      <c r="D266" s="513">
        <v>121.20062850987486</v>
      </c>
      <c r="E266" s="513">
        <v>9.0052723751627628</v>
      </c>
      <c r="F266" s="513">
        <v>191.30424827122235</v>
      </c>
      <c r="G266" s="513">
        <v>1755.708459222699</v>
      </c>
      <c r="H266" s="513">
        <v>69.7</v>
      </c>
    </row>
    <row r="267" spans="1:8" s="473" customFormat="1" ht="3" customHeight="1" x14ac:dyDescent="0.25">
      <c r="A267" s="429"/>
      <c r="B267" s="513"/>
      <c r="C267" s="513"/>
      <c r="D267" s="513"/>
      <c r="E267" s="513"/>
      <c r="F267" s="513"/>
      <c r="G267" s="513"/>
      <c r="H267" s="513"/>
    </row>
    <row r="268" spans="1:8" s="428" customFormat="1" ht="9" customHeight="1" x14ac:dyDescent="0.25">
      <c r="A268" s="428" t="s">
        <v>23</v>
      </c>
      <c r="B268" s="514">
        <v>78.830822851735022</v>
      </c>
      <c r="C268" s="514">
        <v>56.22198279527295</v>
      </c>
      <c r="D268" s="514">
        <v>152.8597681693542</v>
      </c>
      <c r="E268" s="514">
        <v>13.905437025877116</v>
      </c>
      <c r="F268" s="514">
        <v>239.39360289873338</v>
      </c>
      <c r="G268" s="514">
        <v>1770.1121138365099</v>
      </c>
      <c r="H268" s="514">
        <v>87.5</v>
      </c>
    </row>
    <row r="269" spans="1:8" s="428" customFormat="1" ht="9" customHeight="1" x14ac:dyDescent="0.25">
      <c r="A269" s="428" t="s">
        <v>24</v>
      </c>
      <c r="B269" s="514">
        <v>67.306591512761742</v>
      </c>
      <c r="C269" s="514">
        <v>40.06893547249458</v>
      </c>
      <c r="D269" s="514">
        <v>105.91568082230829</v>
      </c>
      <c r="E269" s="514">
        <v>8.7206599734000658</v>
      </c>
      <c r="F269" s="514">
        <v>178.25489989681193</v>
      </c>
      <c r="G269" s="514">
        <v>1358.459846931288</v>
      </c>
      <c r="H269" s="514">
        <v>64.5</v>
      </c>
    </row>
    <row r="270" spans="1:8" s="428" customFormat="1" ht="9" customHeight="1" x14ac:dyDescent="0.25">
      <c r="A270" s="428" t="s">
        <v>25</v>
      </c>
      <c r="B270" s="514">
        <v>124.85648053155681</v>
      </c>
      <c r="C270" s="514">
        <v>86.875663027202123</v>
      </c>
      <c r="D270" s="514">
        <v>204.09232394581403</v>
      </c>
      <c r="E270" s="514">
        <v>13.969955863670693</v>
      </c>
      <c r="F270" s="514">
        <v>301.00889275002947</v>
      </c>
      <c r="G270" s="514">
        <v>2243.304243810655</v>
      </c>
      <c r="H270" s="514">
        <v>53.7</v>
      </c>
    </row>
    <row r="271" spans="1:8" s="428" customFormat="1" ht="9" customHeight="1" x14ac:dyDescent="0.25">
      <c r="A271" s="475" t="s">
        <v>26</v>
      </c>
      <c r="B271" s="515">
        <v>94.007407397181993</v>
      </c>
      <c r="C271" s="515">
        <v>78.270484572984117</v>
      </c>
      <c r="D271" s="515">
        <v>166.34203511542481</v>
      </c>
      <c r="E271" s="515">
        <v>11.457584161477394</v>
      </c>
      <c r="F271" s="515">
        <v>215.48540814537603</v>
      </c>
      <c r="G271" s="515">
        <v>2204.8947351710563</v>
      </c>
      <c r="H271" s="515">
        <v>61.6</v>
      </c>
    </row>
    <row r="272" spans="1:8" s="428" customFormat="1" ht="9" customHeight="1" x14ac:dyDescent="0.25">
      <c r="A272" s="428" t="s">
        <v>27</v>
      </c>
      <c r="B272" s="514">
        <v>94.371067872171992</v>
      </c>
      <c r="C272" s="514">
        <v>53.747760509978747</v>
      </c>
      <c r="D272" s="514">
        <v>124.1614932711137</v>
      </c>
      <c r="E272" s="514">
        <v>9.0829548768801303</v>
      </c>
      <c r="F272" s="514">
        <v>238.24007333027788</v>
      </c>
      <c r="G272" s="514">
        <v>1999.9616682638225</v>
      </c>
      <c r="H272" s="514">
        <v>79.2</v>
      </c>
    </row>
    <row r="273" spans="1:8" s="428" customFormat="1" ht="9" customHeight="1" x14ac:dyDescent="0.25">
      <c r="A273" s="428" t="s">
        <v>28</v>
      </c>
      <c r="B273" s="514">
        <v>91.398285606122059</v>
      </c>
      <c r="C273" s="514">
        <v>72.109101069918779</v>
      </c>
      <c r="D273" s="514">
        <v>164.04820493406524</v>
      </c>
      <c r="E273" s="514">
        <v>8.653092128390254</v>
      </c>
      <c r="F273" s="514">
        <v>254.9056722821629</v>
      </c>
      <c r="G273" s="514">
        <v>1957.2951876188672</v>
      </c>
      <c r="H273" s="514">
        <v>65.2</v>
      </c>
    </row>
    <row r="274" spans="1:8" s="428" customFormat="1" ht="9" customHeight="1" x14ac:dyDescent="0.25">
      <c r="A274" s="428" t="s">
        <v>29</v>
      </c>
      <c r="B274" s="514">
        <v>44.667189167010619</v>
      </c>
      <c r="C274" s="514">
        <v>53.844710001325367</v>
      </c>
      <c r="D274" s="514">
        <v>89.724911135481435</v>
      </c>
      <c r="E274" s="514">
        <v>6.8343240255535376</v>
      </c>
      <c r="F274" s="514">
        <v>122.45644155786464</v>
      </c>
      <c r="G274" s="514">
        <v>1766.2431745239833</v>
      </c>
      <c r="H274" s="514">
        <v>64.599999999999994</v>
      </c>
    </row>
    <row r="275" spans="1:8" s="428" customFormat="1" ht="9" customHeight="1" x14ac:dyDescent="0.25">
      <c r="A275" s="475" t="s">
        <v>30</v>
      </c>
      <c r="B275" s="515">
        <v>78.063019592069054</v>
      </c>
      <c r="C275" s="515">
        <v>45.025350607889926</v>
      </c>
      <c r="D275" s="515">
        <v>98.572448364730775</v>
      </c>
      <c r="E275" s="515">
        <v>6.645690873622172</v>
      </c>
      <c r="F275" s="515">
        <v>177.74838269640162</v>
      </c>
      <c r="G275" s="515">
        <v>1692.462546444317</v>
      </c>
      <c r="H275" s="515">
        <v>74.099999999999994</v>
      </c>
    </row>
    <row r="276" spans="1:8" s="428" customFormat="1" ht="9" customHeight="1" x14ac:dyDescent="0.25">
      <c r="A276" s="428" t="s">
        <v>63</v>
      </c>
      <c r="B276" s="514">
        <v>193.23430037226493</v>
      </c>
      <c r="C276" s="514">
        <v>89.773244317465981</v>
      </c>
      <c r="D276" s="514">
        <v>279.1556981706824</v>
      </c>
      <c r="E276" s="514">
        <v>18.800679438212772</v>
      </c>
      <c r="F276" s="514">
        <v>482.03107866949426</v>
      </c>
      <c r="G276" s="514">
        <v>1907.7775086325498</v>
      </c>
      <c r="H276" s="514">
        <v>70.099999999999994</v>
      </c>
    </row>
    <row r="277" spans="1:8" s="428" customFormat="1" ht="9" customHeight="1" x14ac:dyDescent="0.25">
      <c r="A277" s="428" t="s">
        <v>31</v>
      </c>
      <c r="B277" s="514">
        <v>85.519386401748392</v>
      </c>
      <c r="C277" s="514">
        <v>64.373747823538309</v>
      </c>
      <c r="D277" s="514">
        <v>141.8631448917892</v>
      </c>
      <c r="E277" s="514">
        <v>9.1675711557429818</v>
      </c>
      <c r="F277" s="514">
        <v>216.60896227109512</v>
      </c>
      <c r="G277" s="514">
        <v>2270.4681082281963</v>
      </c>
      <c r="H277" s="514">
        <v>75.5</v>
      </c>
    </row>
    <row r="278" spans="1:8" s="428" customFormat="1" ht="9" customHeight="1" x14ac:dyDescent="0.25">
      <c r="A278" s="428" t="s">
        <v>32</v>
      </c>
      <c r="B278" s="514">
        <v>53.430606247373113</v>
      </c>
      <c r="C278" s="514">
        <v>36.361053843431918</v>
      </c>
      <c r="D278" s="514">
        <v>84.537892745066443</v>
      </c>
      <c r="E278" s="514">
        <v>5.8559778320090237</v>
      </c>
      <c r="F278" s="514">
        <v>130.0359332767394</v>
      </c>
      <c r="G278" s="514">
        <v>1387.3017066229863</v>
      </c>
      <c r="H278" s="514">
        <v>75</v>
      </c>
    </row>
    <row r="279" spans="1:8" s="428" customFormat="1" ht="9" customHeight="1" x14ac:dyDescent="0.25">
      <c r="A279" s="475" t="s">
        <v>33</v>
      </c>
      <c r="B279" s="515">
        <v>50.51589075613176</v>
      </c>
      <c r="C279" s="515">
        <v>57.786876917762292</v>
      </c>
      <c r="D279" s="515">
        <v>107.38198776696267</v>
      </c>
      <c r="E279" s="515">
        <v>7.7472516307329666</v>
      </c>
      <c r="F279" s="515">
        <v>150.78564751783139</v>
      </c>
      <c r="G279" s="515">
        <v>1888.8980614090347</v>
      </c>
      <c r="H279" s="515">
        <v>63.4</v>
      </c>
    </row>
    <row r="280" spans="1:8" s="428" customFormat="1" ht="9" customHeight="1" x14ac:dyDescent="0.25">
      <c r="A280" s="428" t="s">
        <v>34</v>
      </c>
      <c r="B280" s="514">
        <v>53.711554714386118</v>
      </c>
      <c r="C280" s="514">
        <v>57.723743138834237</v>
      </c>
      <c r="D280" s="514">
        <v>105.13659344494695</v>
      </c>
      <c r="E280" s="514">
        <v>7.7223841717872403</v>
      </c>
      <c r="F280" s="514">
        <v>161.4797986312829</v>
      </c>
      <c r="G280" s="514">
        <v>2068.0527555321823</v>
      </c>
      <c r="H280" s="514">
        <v>77.7</v>
      </c>
    </row>
    <row r="281" spans="1:8" s="428" customFormat="1" ht="9" customHeight="1" x14ac:dyDescent="0.25">
      <c r="A281" s="428" t="s">
        <v>35</v>
      </c>
      <c r="B281" s="514">
        <v>94.522062537222638</v>
      </c>
      <c r="C281" s="514">
        <v>47.535273229551038</v>
      </c>
      <c r="D281" s="514">
        <v>125.2676334914643</v>
      </c>
      <c r="E281" s="514">
        <v>7.2674119649025144</v>
      </c>
      <c r="F281" s="514">
        <v>194.9403272346492</v>
      </c>
      <c r="G281" s="514">
        <v>1555.3416468260227</v>
      </c>
      <c r="H281" s="514">
        <v>58.4</v>
      </c>
    </row>
    <row r="282" spans="1:8" s="428" customFormat="1" ht="9" customHeight="1" x14ac:dyDescent="0.25">
      <c r="A282" s="428" t="s">
        <v>36</v>
      </c>
      <c r="B282" s="514">
        <v>51.188941887764805</v>
      </c>
      <c r="C282" s="514">
        <v>32.711847645862989</v>
      </c>
      <c r="D282" s="514">
        <v>72.725842936125574</v>
      </c>
      <c r="E282" s="514">
        <v>7.9525413617145437</v>
      </c>
      <c r="F282" s="514">
        <v>108.56401492771835</v>
      </c>
      <c r="G282" s="514">
        <v>1461.9202608433568</v>
      </c>
      <c r="H282" s="514">
        <v>55.8</v>
      </c>
    </row>
    <row r="283" spans="1:8" s="428" customFormat="1" ht="9" customHeight="1" x14ac:dyDescent="0.25">
      <c r="A283" s="475" t="s">
        <v>37</v>
      </c>
      <c r="B283" s="515">
        <v>52.812148273434772</v>
      </c>
      <c r="C283" s="515">
        <v>44.059434624009313</v>
      </c>
      <c r="D283" s="515">
        <v>92.458242775621102</v>
      </c>
      <c r="E283" s="515">
        <v>9.073235557714284</v>
      </c>
      <c r="F283" s="515">
        <v>132.9919364084534</v>
      </c>
      <c r="G283" s="515">
        <v>1692.6665820160088</v>
      </c>
      <c r="H283" s="515">
        <v>70</v>
      </c>
    </row>
    <row r="284" spans="1:8" s="428" customFormat="1" ht="9" customHeight="1" x14ac:dyDescent="0.25">
      <c r="A284" s="428" t="s">
        <v>38</v>
      </c>
      <c r="B284" s="514">
        <v>53.297040287917021</v>
      </c>
      <c r="C284" s="514">
        <v>48.777149945478826</v>
      </c>
      <c r="D284" s="514">
        <v>107.41017188766315</v>
      </c>
      <c r="E284" s="514">
        <v>8.4120181373155241</v>
      </c>
      <c r="F284" s="514">
        <v>170.37475540801742</v>
      </c>
      <c r="G284" s="514">
        <v>1587.0979730175102</v>
      </c>
      <c r="H284" s="514">
        <v>82.1</v>
      </c>
    </row>
    <row r="285" spans="1:8" s="428" customFormat="1" ht="9" customHeight="1" x14ac:dyDescent="0.25">
      <c r="A285" s="428" t="s">
        <v>39</v>
      </c>
      <c r="B285" s="514">
        <v>67.523157589962196</v>
      </c>
      <c r="C285" s="514">
        <v>70.270578712558461</v>
      </c>
      <c r="D285" s="514">
        <v>140.64682746829371</v>
      </c>
      <c r="E285" s="514">
        <v>10.038654101794068</v>
      </c>
      <c r="F285" s="514">
        <v>207.43029475601844</v>
      </c>
      <c r="G285" s="514">
        <v>2259.7602135380234</v>
      </c>
      <c r="H285" s="514">
        <v>69.900000000000006</v>
      </c>
    </row>
    <row r="286" spans="1:8" s="428" customFormat="1" ht="9" customHeight="1" x14ac:dyDescent="0.25">
      <c r="A286" s="428" t="s">
        <v>40</v>
      </c>
      <c r="B286" s="514">
        <v>79.01122524121287</v>
      </c>
      <c r="C286" s="514">
        <v>49.175866943297578</v>
      </c>
      <c r="D286" s="514">
        <v>109.17142412361135</v>
      </c>
      <c r="E286" s="514">
        <v>8.5707938829019668</v>
      </c>
      <c r="F286" s="514">
        <v>204.27475216537485</v>
      </c>
      <c r="G286" s="514">
        <v>1771.3487106202631</v>
      </c>
      <c r="H286" s="514">
        <v>84</v>
      </c>
    </row>
    <row r="287" spans="1:8" s="428" customFormat="1" ht="9" customHeight="1" x14ac:dyDescent="0.25">
      <c r="A287" s="475" t="s">
        <v>41</v>
      </c>
      <c r="B287" s="515">
        <v>51.987951926568222</v>
      </c>
      <c r="C287" s="515">
        <v>56.714129374438059</v>
      </c>
      <c r="D287" s="515">
        <v>91.268995625031309</v>
      </c>
      <c r="E287" s="515">
        <v>6.4525057372115153</v>
      </c>
      <c r="F287" s="515">
        <v>131.05944767116898</v>
      </c>
      <c r="G287" s="515">
        <v>1705.5758422713272</v>
      </c>
      <c r="H287" s="515">
        <v>61.4</v>
      </c>
    </row>
    <row r="288" spans="1:8" s="428" customFormat="1" ht="9" customHeight="1" x14ac:dyDescent="0.25">
      <c r="A288" s="428" t="s">
        <v>42</v>
      </c>
      <c r="B288" s="514">
        <v>62.864835485038419</v>
      </c>
      <c r="C288" s="514">
        <v>43.58451651993466</v>
      </c>
      <c r="D288" s="514">
        <v>91.851667046143291</v>
      </c>
      <c r="E288" s="514">
        <v>8.3225762297743859</v>
      </c>
      <c r="F288" s="514">
        <v>136.66845567299214</v>
      </c>
      <c r="G288" s="514">
        <v>1492.1804751603327</v>
      </c>
      <c r="H288" s="514">
        <v>70.8</v>
      </c>
    </row>
    <row r="289" spans="1:8" s="428" customFormat="1" ht="9" customHeight="1" x14ac:dyDescent="0.25">
      <c r="A289" s="428" t="s">
        <v>43</v>
      </c>
      <c r="B289" s="514">
        <v>52.559859840373761</v>
      </c>
      <c r="C289" s="514">
        <v>45.57872903143523</v>
      </c>
      <c r="D289" s="514">
        <v>110.95970410745572</v>
      </c>
      <c r="E289" s="514">
        <v>8.7935397689514208</v>
      </c>
      <c r="F289" s="514">
        <v>167.14438186785526</v>
      </c>
      <c r="G289" s="514">
        <v>1824.3393098078175</v>
      </c>
      <c r="H289" s="514">
        <v>74.7</v>
      </c>
    </row>
    <row r="290" spans="1:8" s="428" customFormat="1" ht="9" customHeight="1" x14ac:dyDescent="0.25">
      <c r="A290" s="428" t="s">
        <v>44</v>
      </c>
      <c r="B290" s="514">
        <v>56.426397200422421</v>
      </c>
      <c r="C290" s="514">
        <v>56.73700122170915</v>
      </c>
      <c r="D290" s="514">
        <v>120.10022156420186</v>
      </c>
      <c r="E290" s="514">
        <v>8.1792392272171952</v>
      </c>
      <c r="F290" s="514">
        <v>171.34988507651212</v>
      </c>
      <c r="G290" s="514">
        <v>1777.2927753504648</v>
      </c>
      <c r="H290" s="514">
        <v>71.8</v>
      </c>
    </row>
    <row r="291" spans="1:8" s="428" customFormat="1" ht="9" customHeight="1" x14ac:dyDescent="0.25">
      <c r="A291" s="475" t="s">
        <v>45</v>
      </c>
      <c r="B291" s="515">
        <v>59.054952629941916</v>
      </c>
      <c r="C291" s="515">
        <v>45.898938271812504</v>
      </c>
      <c r="D291" s="515">
        <v>95.580756071521648</v>
      </c>
      <c r="E291" s="515">
        <v>8.7006229141622597</v>
      </c>
      <c r="F291" s="515">
        <v>161.02457190413344</v>
      </c>
      <c r="G291" s="515">
        <v>1661.2734013130796</v>
      </c>
      <c r="H291" s="515">
        <v>77.099999999999994</v>
      </c>
    </row>
    <row r="292" spans="1:8" s="428" customFormat="1" ht="9" customHeight="1" x14ac:dyDescent="0.25">
      <c r="A292" s="428" t="s">
        <v>46</v>
      </c>
      <c r="B292" s="514">
        <v>74.514413761509957</v>
      </c>
      <c r="C292" s="514">
        <v>48.276401470099266</v>
      </c>
      <c r="D292" s="514">
        <v>119.90116630083712</v>
      </c>
      <c r="E292" s="514">
        <v>6.9736860862633412</v>
      </c>
      <c r="F292" s="514">
        <v>194.41558006234709</v>
      </c>
      <c r="G292" s="514">
        <v>2212.2358523751564</v>
      </c>
      <c r="H292" s="514">
        <v>73.400000000000006</v>
      </c>
    </row>
    <row r="293" spans="1:8" s="428" customFormat="1" ht="9" customHeight="1" x14ac:dyDescent="0.25">
      <c r="A293" s="428" t="s">
        <v>47</v>
      </c>
      <c r="B293" s="514">
        <v>103.86533298437124</v>
      </c>
      <c r="C293" s="514">
        <v>59.840644493707416</v>
      </c>
      <c r="D293" s="514">
        <v>143.34022591251565</v>
      </c>
      <c r="E293" s="514">
        <v>6.7596962643145231</v>
      </c>
      <c r="F293" s="514">
        <v>238.27929331708694</v>
      </c>
      <c r="G293" s="514">
        <v>1913.4065575986788</v>
      </c>
      <c r="H293" s="514">
        <v>69</v>
      </c>
    </row>
    <row r="294" spans="1:8" s="428" customFormat="1" ht="9" customHeight="1" x14ac:dyDescent="0.25">
      <c r="A294" s="428" t="s">
        <v>48</v>
      </c>
      <c r="B294" s="514">
        <v>73.801152339154569</v>
      </c>
      <c r="C294" s="514">
        <v>75.128144013302588</v>
      </c>
      <c r="D294" s="514">
        <v>162.45440380050417</v>
      </c>
      <c r="E294" s="514">
        <v>16.740510350790249</v>
      </c>
      <c r="F294" s="514">
        <v>215.63614704905123</v>
      </c>
      <c r="G294" s="514">
        <v>2476.7835150886608</v>
      </c>
      <c r="H294" s="514">
        <v>79</v>
      </c>
    </row>
    <row r="295" spans="1:8" s="428" customFormat="1" ht="9" customHeight="1" x14ac:dyDescent="0.25">
      <c r="A295" s="475" t="s">
        <v>49</v>
      </c>
      <c r="B295" s="515">
        <v>91.5003242588283</v>
      </c>
      <c r="C295" s="515">
        <v>56.732282959114244</v>
      </c>
      <c r="D295" s="515">
        <v>139.00276791083283</v>
      </c>
      <c r="E295" s="515">
        <v>7.0785233783848964</v>
      </c>
      <c r="F295" s="515">
        <v>222.34891082691379</v>
      </c>
      <c r="G295" s="515">
        <v>1885.4427737818435</v>
      </c>
      <c r="H295" s="515">
        <v>72.900000000000006</v>
      </c>
    </row>
    <row r="296" spans="1:8" s="428" customFormat="1" ht="9" customHeight="1" x14ac:dyDescent="0.25">
      <c r="A296" s="428" t="s">
        <v>50</v>
      </c>
      <c r="B296" s="514">
        <v>54.290792104623868</v>
      </c>
      <c r="C296" s="514">
        <v>46.02914982783328</v>
      </c>
      <c r="D296" s="514">
        <v>116.94157937028582</v>
      </c>
      <c r="E296" s="514">
        <v>9.6385826562556858</v>
      </c>
      <c r="F296" s="514">
        <v>161.29873016591148</v>
      </c>
      <c r="G296" s="514">
        <v>1777.1038419587173</v>
      </c>
      <c r="H296" s="514">
        <v>65.900000000000006</v>
      </c>
    </row>
    <row r="297" spans="1:8" s="428" customFormat="1" ht="9" customHeight="1" x14ac:dyDescent="0.25">
      <c r="A297" s="428" t="s">
        <v>51</v>
      </c>
      <c r="B297" s="514">
        <v>62.528266636985236</v>
      </c>
      <c r="C297" s="514">
        <v>53.806996459361564</v>
      </c>
      <c r="D297" s="514">
        <v>111.16449386340999</v>
      </c>
      <c r="E297" s="514">
        <v>7.6363948889693551</v>
      </c>
      <c r="F297" s="514">
        <v>152.51655843744146</v>
      </c>
      <c r="G297" s="514">
        <v>1805.792529576941</v>
      </c>
      <c r="H297" s="514">
        <v>71.900000000000006</v>
      </c>
    </row>
    <row r="298" spans="1:8" s="428" customFormat="1" ht="9" customHeight="1" x14ac:dyDescent="0.25">
      <c r="A298" s="428" t="s">
        <v>52</v>
      </c>
      <c r="B298" s="514">
        <v>86.095145200008744</v>
      </c>
      <c r="C298" s="514">
        <v>48.309901114233362</v>
      </c>
      <c r="D298" s="514">
        <v>119.2794463225238</v>
      </c>
      <c r="E298" s="514">
        <v>7.7640912505017896</v>
      </c>
      <c r="F298" s="514">
        <v>210.20558163395586</v>
      </c>
      <c r="G298" s="514">
        <v>2574.8297363544661</v>
      </c>
      <c r="H298" s="514">
        <v>87.6</v>
      </c>
    </row>
    <row r="299" spans="1:8" s="428" customFormat="1" ht="9" customHeight="1" x14ac:dyDescent="0.25">
      <c r="A299" s="475" t="s">
        <v>53</v>
      </c>
      <c r="B299" s="515">
        <v>55.91384782753363</v>
      </c>
      <c r="C299" s="515">
        <v>53.165172255158105</v>
      </c>
      <c r="D299" s="515">
        <v>113.70836841511367</v>
      </c>
      <c r="E299" s="515">
        <v>7.6673581755738223</v>
      </c>
      <c r="F299" s="515">
        <v>161.52085666090892</v>
      </c>
      <c r="G299" s="515">
        <v>1951.0026879153756</v>
      </c>
      <c r="H299" s="515">
        <v>76</v>
      </c>
    </row>
    <row r="300" spans="1:8" s="428" customFormat="1" ht="9" customHeight="1" x14ac:dyDescent="0.25">
      <c r="B300" s="514"/>
      <c r="C300" s="514"/>
      <c r="D300" s="514"/>
      <c r="E300" s="514"/>
      <c r="F300" s="514"/>
      <c r="G300" s="514"/>
      <c r="H300" s="514"/>
    </row>
    <row r="301" spans="1:8" s="428" customFormat="1" ht="9" customHeight="1" x14ac:dyDescent="0.25">
      <c r="A301" s="470">
        <v>2003</v>
      </c>
      <c r="B301" s="471"/>
      <c r="C301" s="471"/>
      <c r="D301" s="471"/>
      <c r="E301" s="471"/>
      <c r="F301" s="471"/>
      <c r="G301" s="512"/>
      <c r="H301" s="512"/>
    </row>
    <row r="302" spans="1:8" s="473" customFormat="1" ht="9" customHeight="1" x14ac:dyDescent="0.25">
      <c r="A302" s="517" t="s">
        <v>21</v>
      </c>
      <c r="B302" s="518">
        <v>71.873363372979384</v>
      </c>
      <c r="C302" s="518">
        <v>46.697233706331225</v>
      </c>
      <c r="D302" s="518">
        <v>120.87712864631375</v>
      </c>
      <c r="E302" s="518">
        <v>6.8912156533033908</v>
      </c>
      <c r="F302" s="518">
        <v>185.68410914049394</v>
      </c>
      <c r="G302" s="518">
        <v>1723.4492920141965</v>
      </c>
      <c r="H302" s="518">
        <v>75.099999999999994</v>
      </c>
    </row>
    <row r="303" spans="1:8" s="473" customFormat="1" ht="3" customHeight="1" x14ac:dyDescent="0.25">
      <c r="A303" s="517"/>
      <c r="B303" s="518"/>
      <c r="C303" s="518"/>
      <c r="D303" s="518"/>
      <c r="E303" s="518"/>
      <c r="F303" s="518"/>
      <c r="G303" s="518"/>
      <c r="H303" s="518"/>
    </row>
    <row r="304" spans="1:8" s="473" customFormat="1" ht="9" customHeight="1" x14ac:dyDescent="0.25">
      <c r="A304" s="472" t="s">
        <v>23</v>
      </c>
      <c r="B304" s="516">
        <v>75.962690407122921</v>
      </c>
      <c r="C304" s="516">
        <v>54.57987652645464</v>
      </c>
      <c r="D304" s="516">
        <v>149.09386664739935</v>
      </c>
      <c r="E304" s="516">
        <v>6.15122043142512</v>
      </c>
      <c r="F304" s="516">
        <v>236.18733688281534</v>
      </c>
      <c r="G304" s="516">
        <v>1717.5613437780407</v>
      </c>
      <c r="H304" s="516">
        <v>89.6</v>
      </c>
    </row>
    <row r="305" spans="1:8" s="428" customFormat="1" ht="9" customHeight="1" x14ac:dyDescent="0.25">
      <c r="A305" s="472" t="s">
        <v>24</v>
      </c>
      <c r="B305" s="516">
        <v>63.770771704744313</v>
      </c>
      <c r="C305" s="516">
        <v>35.693710626308878</v>
      </c>
      <c r="D305" s="516">
        <v>104.91561387021753</v>
      </c>
      <c r="E305" s="516">
        <v>6.3472079565612027</v>
      </c>
      <c r="F305" s="516">
        <v>175.59364129239609</v>
      </c>
      <c r="G305" s="516">
        <v>1343.5355367105708</v>
      </c>
      <c r="H305" s="516">
        <v>70.2</v>
      </c>
    </row>
    <row r="306" spans="1:8" s="428" customFormat="1" ht="9" customHeight="1" x14ac:dyDescent="0.25">
      <c r="A306" s="472" t="s">
        <v>25</v>
      </c>
      <c r="B306" s="516">
        <v>112.73553297567021</v>
      </c>
      <c r="C306" s="516">
        <v>83.234645841849968</v>
      </c>
      <c r="D306" s="516">
        <v>208.40269553820156</v>
      </c>
      <c r="E306" s="516">
        <v>11.168192986374805</v>
      </c>
      <c r="F306" s="516">
        <v>300.698328142582</v>
      </c>
      <c r="G306" s="516">
        <v>2287.5325036560025</v>
      </c>
      <c r="H306" s="516">
        <v>63.4</v>
      </c>
    </row>
    <row r="307" spans="1:8" s="428" customFormat="1" ht="9" customHeight="1" x14ac:dyDescent="0.25">
      <c r="A307" s="475" t="s">
        <v>26</v>
      </c>
      <c r="B307" s="515">
        <v>86.947453672040169</v>
      </c>
      <c r="C307" s="515">
        <v>61.486205556240236</v>
      </c>
      <c r="D307" s="515">
        <v>173.75947517325159</v>
      </c>
      <c r="E307" s="515">
        <v>7.9904980788946567</v>
      </c>
      <c r="F307" s="515">
        <v>227.25518265059719</v>
      </c>
      <c r="G307" s="515">
        <v>2247.5862601354052</v>
      </c>
      <c r="H307" s="515">
        <v>65.3</v>
      </c>
    </row>
    <row r="308" spans="1:8" s="428" customFormat="1" ht="9" customHeight="1" x14ac:dyDescent="0.25">
      <c r="A308" s="472" t="s">
        <v>27</v>
      </c>
      <c r="B308" s="516">
        <v>88.060032974453591</v>
      </c>
      <c r="C308" s="516">
        <v>50.103827400699323</v>
      </c>
      <c r="D308" s="516">
        <v>123.72577786703303</v>
      </c>
      <c r="E308" s="516">
        <v>6.0533603716763267</v>
      </c>
      <c r="F308" s="516">
        <v>233.34068189468545</v>
      </c>
      <c r="G308" s="516">
        <v>1880.9312195107987</v>
      </c>
      <c r="H308" s="516">
        <v>84.9</v>
      </c>
    </row>
    <row r="309" spans="1:8" s="428" customFormat="1" ht="9" customHeight="1" x14ac:dyDescent="0.25">
      <c r="A309" s="472" t="s">
        <v>28</v>
      </c>
      <c r="B309" s="516">
        <v>86.115480147179184</v>
      </c>
      <c r="C309" s="516">
        <v>70.813969211936609</v>
      </c>
      <c r="D309" s="516">
        <v>172.408884840117</v>
      </c>
      <c r="E309" s="516">
        <v>9.6079254709662738</v>
      </c>
      <c r="F309" s="516">
        <v>267.2426677294693</v>
      </c>
      <c r="G309" s="516">
        <v>2037.3588168729407</v>
      </c>
      <c r="H309" s="516">
        <v>67.5</v>
      </c>
    </row>
    <row r="310" spans="1:8" s="428" customFormat="1" ht="9" customHeight="1" x14ac:dyDescent="0.25">
      <c r="A310" s="472" t="s">
        <v>29</v>
      </c>
      <c r="B310" s="516">
        <v>33.816836716133864</v>
      </c>
      <c r="C310" s="516">
        <v>33.122789819624387</v>
      </c>
      <c r="D310" s="516">
        <v>87.880696689061239</v>
      </c>
      <c r="E310" s="516">
        <v>6.1746241137739108</v>
      </c>
      <c r="F310" s="516">
        <v>121.07528446349696</v>
      </c>
      <c r="G310" s="516">
        <v>1773.9142234620401</v>
      </c>
      <c r="H310" s="516">
        <v>86.7</v>
      </c>
    </row>
    <row r="311" spans="1:8" s="428" customFormat="1" ht="9" customHeight="1" x14ac:dyDescent="0.25">
      <c r="A311" s="475" t="s">
        <v>30</v>
      </c>
      <c r="B311" s="515">
        <v>71.989457007689424</v>
      </c>
      <c r="C311" s="515">
        <v>38.204243836470795</v>
      </c>
      <c r="D311" s="515">
        <v>98.942410001425998</v>
      </c>
      <c r="E311" s="515">
        <v>4.7010964523959133</v>
      </c>
      <c r="F311" s="515">
        <v>177.70144590056555</v>
      </c>
      <c r="G311" s="515">
        <v>1635.3632145470729</v>
      </c>
      <c r="H311" s="515">
        <v>76.599999999999994</v>
      </c>
    </row>
    <row r="312" spans="1:8" s="428" customFormat="1" ht="9" customHeight="1" x14ac:dyDescent="0.25">
      <c r="A312" s="472" t="s">
        <v>63</v>
      </c>
      <c r="B312" s="516">
        <v>185.08175032437711</v>
      </c>
      <c r="C312" s="516">
        <v>87.859730584753535</v>
      </c>
      <c r="D312" s="516">
        <v>284.67281646815269</v>
      </c>
      <c r="E312" s="516">
        <v>17.710899800271164</v>
      </c>
      <c r="F312" s="516">
        <v>472.2261200122461</v>
      </c>
      <c r="G312" s="516">
        <v>1772.8742819967051</v>
      </c>
      <c r="H312" s="516">
        <v>70.599999999999994</v>
      </c>
    </row>
    <row r="313" spans="1:8" s="428" customFormat="1" ht="9" customHeight="1" x14ac:dyDescent="0.25">
      <c r="A313" s="472" t="s">
        <v>31</v>
      </c>
      <c r="B313" s="516">
        <v>77.29954566662586</v>
      </c>
      <c r="C313" s="516">
        <v>50.231468459733755</v>
      </c>
      <c r="D313" s="516">
        <v>138.91416639918467</v>
      </c>
      <c r="E313" s="516">
        <v>6.7504740222567099</v>
      </c>
      <c r="F313" s="516">
        <v>216.08134983008</v>
      </c>
      <c r="G313" s="516">
        <v>2232.5703753462099</v>
      </c>
      <c r="H313" s="516">
        <v>87.5</v>
      </c>
    </row>
    <row r="314" spans="1:8" s="428" customFormat="1" ht="9" customHeight="1" x14ac:dyDescent="0.25">
      <c r="A314" s="472" t="s">
        <v>32</v>
      </c>
      <c r="B314" s="516">
        <v>52.274751500104898</v>
      </c>
      <c r="C314" s="516">
        <v>36.791253115413177</v>
      </c>
      <c r="D314" s="516">
        <v>82.216351025469024</v>
      </c>
      <c r="E314" s="516">
        <v>3.5888903540676176</v>
      </c>
      <c r="F314" s="516">
        <v>132.15319680920987</v>
      </c>
      <c r="G314" s="516">
        <v>1380.9424590133342</v>
      </c>
      <c r="H314" s="516">
        <v>77</v>
      </c>
    </row>
    <row r="315" spans="1:8" s="428" customFormat="1" ht="9" customHeight="1" x14ac:dyDescent="0.25">
      <c r="A315" s="475" t="s">
        <v>33</v>
      </c>
      <c r="B315" s="515">
        <v>46.372950269824912</v>
      </c>
      <c r="C315" s="515">
        <v>56.664020241208789</v>
      </c>
      <c r="D315" s="515">
        <v>105.27827716124308</v>
      </c>
      <c r="E315" s="515">
        <v>5.9662951674587532</v>
      </c>
      <c r="F315" s="515">
        <v>133.05785254411981</v>
      </c>
      <c r="G315" s="515">
        <v>2010.0268483282534</v>
      </c>
      <c r="H315" s="515">
        <v>67.7</v>
      </c>
    </row>
    <row r="316" spans="1:8" s="428" customFormat="1" ht="9" customHeight="1" x14ac:dyDescent="0.25">
      <c r="A316" s="472" t="s">
        <v>34</v>
      </c>
      <c r="B316" s="516">
        <v>43.458753846888712</v>
      </c>
      <c r="C316" s="516">
        <v>45.420581792871907</v>
      </c>
      <c r="D316" s="516">
        <v>104.10482643793459</v>
      </c>
      <c r="E316" s="516">
        <v>5.8854838379495993</v>
      </c>
      <c r="F316" s="516">
        <v>138.18092489099061</v>
      </c>
      <c r="G316" s="516">
        <v>2032.5279603130737</v>
      </c>
      <c r="H316" s="516">
        <v>96.2</v>
      </c>
    </row>
    <row r="317" spans="1:8" s="428" customFormat="1" ht="9" customHeight="1" x14ac:dyDescent="0.25">
      <c r="A317" s="472" t="s">
        <v>35</v>
      </c>
      <c r="B317" s="516">
        <v>90.443732621550467</v>
      </c>
      <c r="C317" s="516">
        <v>46.662722323332289</v>
      </c>
      <c r="D317" s="516">
        <v>121.1519763891728</v>
      </c>
      <c r="E317" s="516">
        <v>5.3281654631016284</v>
      </c>
      <c r="F317" s="516">
        <v>193.32985726820303</v>
      </c>
      <c r="G317" s="516">
        <v>1491.3965887133545</v>
      </c>
      <c r="H317" s="516">
        <v>58</v>
      </c>
    </row>
    <row r="318" spans="1:8" s="428" customFormat="1" ht="9" customHeight="1" x14ac:dyDescent="0.25">
      <c r="A318" s="472" t="s">
        <v>36</v>
      </c>
      <c r="B318" s="516">
        <v>46.155805870471134</v>
      </c>
      <c r="C318" s="516">
        <v>31.874510945717251</v>
      </c>
      <c r="D318" s="516">
        <v>74.012337815951824</v>
      </c>
      <c r="E318" s="516">
        <v>5.4155369133623283</v>
      </c>
      <c r="F318" s="516">
        <v>108.04869615853548</v>
      </c>
      <c r="G318" s="516">
        <v>1488.7315342201518</v>
      </c>
      <c r="H318" s="516">
        <v>70.5</v>
      </c>
    </row>
    <row r="319" spans="1:8" s="428" customFormat="1" ht="9" customHeight="1" x14ac:dyDescent="0.25">
      <c r="A319" s="475" t="s">
        <v>37</v>
      </c>
      <c r="B319" s="515">
        <v>48.181457267840969</v>
      </c>
      <c r="C319" s="515">
        <v>35.423204042325935</v>
      </c>
      <c r="D319" s="515">
        <v>87.021611595998479</v>
      </c>
      <c r="E319" s="515">
        <v>4.6214867175276027</v>
      </c>
      <c r="F319" s="515">
        <v>95.797519884069516</v>
      </c>
      <c r="G319" s="515">
        <v>1705.9215256805937</v>
      </c>
      <c r="H319" s="515">
        <v>77.2</v>
      </c>
    </row>
    <row r="320" spans="1:8" s="428" customFormat="1" ht="9" customHeight="1" x14ac:dyDescent="0.25">
      <c r="A320" s="472" t="s">
        <v>38</v>
      </c>
      <c r="B320" s="516">
        <v>51.150577230845727</v>
      </c>
      <c r="C320" s="516">
        <v>53.388026538634847</v>
      </c>
      <c r="D320" s="516">
        <v>115.60154756910457</v>
      </c>
      <c r="E320" s="516">
        <v>7.1474075109930242</v>
      </c>
      <c r="F320" s="516">
        <v>175.20471107382031</v>
      </c>
      <c r="G320" s="516">
        <v>1507.0979971721129</v>
      </c>
      <c r="H320" s="516">
        <v>86.1</v>
      </c>
    </row>
    <row r="321" spans="1:8" s="428" customFormat="1" ht="9" customHeight="1" x14ac:dyDescent="0.25">
      <c r="A321" s="472" t="s">
        <v>39</v>
      </c>
      <c r="B321" s="516">
        <v>62.283968839173369</v>
      </c>
      <c r="C321" s="516">
        <v>59.666995358535836</v>
      </c>
      <c r="D321" s="516">
        <v>151.36574612007513</v>
      </c>
      <c r="E321" s="516">
        <v>7.7462415026871083</v>
      </c>
      <c r="F321" s="516">
        <v>205.79879451733586</v>
      </c>
      <c r="G321" s="516">
        <v>2187.086387341385</v>
      </c>
      <c r="H321" s="516">
        <v>75.2</v>
      </c>
    </row>
    <row r="322" spans="1:8" s="428" customFormat="1" ht="9" customHeight="1" x14ac:dyDescent="0.25">
      <c r="A322" s="472" t="s">
        <v>40</v>
      </c>
      <c r="B322" s="516">
        <v>77.111877359546313</v>
      </c>
      <c r="C322" s="516">
        <v>47.040938840167819</v>
      </c>
      <c r="D322" s="516">
        <v>105.8849659265412</v>
      </c>
      <c r="E322" s="516">
        <v>5.4117894240901032</v>
      </c>
      <c r="F322" s="516">
        <v>202.68498218639721</v>
      </c>
      <c r="G322" s="516">
        <v>1714.897138044953</v>
      </c>
      <c r="H322" s="516">
        <v>93.4</v>
      </c>
    </row>
    <row r="323" spans="1:8" s="428" customFormat="1" ht="9" customHeight="1" x14ac:dyDescent="0.25">
      <c r="A323" s="475" t="s">
        <v>41</v>
      </c>
      <c r="B323" s="515">
        <v>42.898089207785304</v>
      </c>
      <c r="C323" s="515">
        <v>44.922114386658528</v>
      </c>
      <c r="D323" s="515">
        <v>100.02057758931855</v>
      </c>
      <c r="E323" s="515">
        <v>4.1323847401995017</v>
      </c>
      <c r="F323" s="515">
        <v>134.62578585588716</v>
      </c>
      <c r="G323" s="515">
        <v>1752.8656823157546</v>
      </c>
      <c r="H323" s="515">
        <v>74</v>
      </c>
    </row>
    <row r="324" spans="1:8" s="428" customFormat="1" ht="9" customHeight="1" x14ac:dyDescent="0.25">
      <c r="A324" s="472" t="s">
        <v>42</v>
      </c>
      <c r="B324" s="516">
        <v>57.376788582991558</v>
      </c>
      <c r="C324" s="516">
        <v>37.814819594135898</v>
      </c>
      <c r="D324" s="516">
        <v>93.377544131315801</v>
      </c>
      <c r="E324" s="516">
        <v>5.6105073581804001</v>
      </c>
      <c r="F324" s="516">
        <v>131.79081784365761</v>
      </c>
      <c r="G324" s="516">
        <v>1461.9248528644446</v>
      </c>
      <c r="H324" s="516">
        <v>84.2</v>
      </c>
    </row>
    <row r="325" spans="1:8" s="428" customFormat="1" ht="9" customHeight="1" x14ac:dyDescent="0.25">
      <c r="A325" s="472" t="s">
        <v>43</v>
      </c>
      <c r="B325" s="516">
        <v>49.291750210619135</v>
      </c>
      <c r="C325" s="516">
        <v>46.084186119888273</v>
      </c>
      <c r="D325" s="516">
        <v>110.56277039274332</v>
      </c>
      <c r="E325" s="516">
        <v>6.284207198166583</v>
      </c>
      <c r="F325" s="516">
        <v>153.1120899636629</v>
      </c>
      <c r="G325" s="516">
        <v>1806.6002504518412</v>
      </c>
      <c r="H325" s="516">
        <v>83</v>
      </c>
    </row>
    <row r="326" spans="1:8" s="428" customFormat="1" ht="9" customHeight="1" x14ac:dyDescent="0.25">
      <c r="A326" s="472" t="s">
        <v>44</v>
      </c>
      <c r="B326" s="516">
        <v>53.432783738986302</v>
      </c>
      <c r="C326" s="516">
        <v>56.704178661781377</v>
      </c>
      <c r="D326" s="516">
        <v>114.20142275939187</v>
      </c>
      <c r="E326" s="516">
        <v>7.5341216403765472</v>
      </c>
      <c r="F326" s="516">
        <v>159.10875306321523</v>
      </c>
      <c r="G326" s="516">
        <v>1748.7023466806245</v>
      </c>
      <c r="H326" s="516">
        <v>75.400000000000006</v>
      </c>
    </row>
    <row r="327" spans="1:8" s="428" customFormat="1" ht="9" customHeight="1" x14ac:dyDescent="0.25">
      <c r="A327" s="475" t="s">
        <v>45</v>
      </c>
      <c r="B327" s="515">
        <v>56.69581759314832</v>
      </c>
      <c r="C327" s="515">
        <v>37.132645368699343</v>
      </c>
      <c r="D327" s="515">
        <v>98.895781457352498</v>
      </c>
      <c r="E327" s="515">
        <v>6.72873439567035</v>
      </c>
      <c r="F327" s="515">
        <v>161.78037327861739</v>
      </c>
      <c r="G327" s="515">
        <v>1706.960294236756</v>
      </c>
      <c r="H327" s="515">
        <v>80</v>
      </c>
    </row>
    <row r="328" spans="1:8" s="428" customFormat="1" ht="9" customHeight="1" x14ac:dyDescent="0.25">
      <c r="A328" s="472" t="s">
        <v>46</v>
      </c>
      <c r="B328" s="516">
        <v>71.36594339244202</v>
      </c>
      <c r="C328" s="516">
        <v>42.368753330951925</v>
      </c>
      <c r="D328" s="516">
        <v>116.02696471244454</v>
      </c>
      <c r="E328" s="516">
        <v>5.1576029753638499</v>
      </c>
      <c r="F328" s="516">
        <v>193.00896467806052</v>
      </c>
      <c r="G328" s="516">
        <v>2217.0006055407939</v>
      </c>
      <c r="H328" s="516">
        <v>78.3</v>
      </c>
    </row>
    <row r="329" spans="1:8" s="428" customFormat="1" ht="9" customHeight="1" x14ac:dyDescent="0.25">
      <c r="A329" s="472" t="s">
        <v>47</v>
      </c>
      <c r="B329" s="516">
        <v>93.612860141194432</v>
      </c>
      <c r="C329" s="516">
        <v>52.045002316896998</v>
      </c>
      <c r="D329" s="516">
        <v>126.57753427644671</v>
      </c>
      <c r="E329" s="516">
        <v>6.2607326846021758</v>
      </c>
      <c r="F329" s="516">
        <v>209.84101997982938</v>
      </c>
      <c r="G329" s="516">
        <v>1629.8833714939899</v>
      </c>
      <c r="H329" s="516">
        <v>73.5</v>
      </c>
    </row>
    <row r="330" spans="1:8" s="428" customFormat="1" ht="9" customHeight="1" x14ac:dyDescent="0.25">
      <c r="A330" s="472" t="s">
        <v>48</v>
      </c>
      <c r="B330" s="516">
        <v>70.388092512945661</v>
      </c>
      <c r="C330" s="516">
        <v>69.12756077023532</v>
      </c>
      <c r="D330" s="516">
        <v>157.06225514170899</v>
      </c>
      <c r="E330" s="516">
        <v>14.521325676023174</v>
      </c>
      <c r="F330" s="516">
        <v>203.1472956551992</v>
      </c>
      <c r="G330" s="516">
        <v>2412.308336148521</v>
      </c>
      <c r="H330" s="516">
        <v>80.7</v>
      </c>
    </row>
    <row r="331" spans="1:8" s="428" customFormat="1" ht="9" customHeight="1" x14ac:dyDescent="0.25">
      <c r="A331" s="475" t="s">
        <v>49</v>
      </c>
      <c r="B331" s="515">
        <v>87.29672722324284</v>
      </c>
      <c r="C331" s="515">
        <v>47.560726678914065</v>
      </c>
      <c r="D331" s="515">
        <v>141.52548139076004</v>
      </c>
      <c r="E331" s="515">
        <v>5.9195754235558278</v>
      </c>
      <c r="F331" s="515">
        <v>218.17377696128463</v>
      </c>
      <c r="G331" s="515">
        <v>1861.7105531741172</v>
      </c>
      <c r="H331" s="515">
        <v>75.5</v>
      </c>
    </row>
    <row r="332" spans="1:8" s="428" customFormat="1" ht="9" customHeight="1" x14ac:dyDescent="0.25">
      <c r="A332" s="472" t="s">
        <v>50</v>
      </c>
      <c r="B332" s="516">
        <v>50.278457896125865</v>
      </c>
      <c r="C332" s="516">
        <v>46.040426962352804</v>
      </c>
      <c r="D332" s="516">
        <v>118.08695283649485</v>
      </c>
      <c r="E332" s="516">
        <v>8.1871052129706872</v>
      </c>
      <c r="F332" s="516">
        <v>161.33413213795177</v>
      </c>
      <c r="G332" s="516">
        <v>1764.3876334257352</v>
      </c>
      <c r="H332" s="516">
        <v>70.2</v>
      </c>
    </row>
    <row r="333" spans="1:8" s="428" customFormat="1" ht="9" customHeight="1" x14ac:dyDescent="0.25">
      <c r="A333" s="472" t="s">
        <v>51</v>
      </c>
      <c r="B333" s="516">
        <v>59.745655803866697</v>
      </c>
      <c r="C333" s="516">
        <v>43.144210430929675</v>
      </c>
      <c r="D333" s="516">
        <v>108.20958926851294</v>
      </c>
      <c r="E333" s="516">
        <v>5.9619993055038742</v>
      </c>
      <c r="F333" s="516">
        <v>147.80731767696491</v>
      </c>
      <c r="G333" s="516">
        <v>1711.8715134695806</v>
      </c>
      <c r="H333" s="516">
        <v>73.8</v>
      </c>
    </row>
    <row r="334" spans="1:8" s="428" customFormat="1" ht="9" customHeight="1" x14ac:dyDescent="0.25">
      <c r="A334" s="472" t="s">
        <v>52</v>
      </c>
      <c r="B334" s="516">
        <v>78.196052058485691</v>
      </c>
      <c r="C334" s="516">
        <v>40.790581268604008</v>
      </c>
      <c r="D334" s="516">
        <v>124.57206561698152</v>
      </c>
      <c r="E334" s="516">
        <v>6.2624543856362997</v>
      </c>
      <c r="F334" s="516">
        <v>207.90220190152939</v>
      </c>
      <c r="G334" s="516">
        <v>2611.9896099675707</v>
      </c>
      <c r="H334" s="516">
        <v>88.1</v>
      </c>
    </row>
    <row r="335" spans="1:8" s="428" customFormat="1" ht="9" customHeight="1" x14ac:dyDescent="0.25">
      <c r="A335" s="475" t="s">
        <v>53</v>
      </c>
      <c r="B335" s="515">
        <v>44.650271892114588</v>
      </c>
      <c r="C335" s="515">
        <v>38.970124582167649</v>
      </c>
      <c r="D335" s="515">
        <v>112.23683482059722</v>
      </c>
      <c r="E335" s="515">
        <v>5.9677497053872965</v>
      </c>
      <c r="F335" s="515">
        <v>160.55403725457629</v>
      </c>
      <c r="G335" s="515">
        <v>1936.1040948110058</v>
      </c>
      <c r="H335" s="515">
        <v>96.5</v>
      </c>
    </row>
    <row r="336" spans="1:8" s="428" customFormat="1" ht="9" customHeight="1" x14ac:dyDescent="0.25">
      <c r="B336" s="514"/>
      <c r="C336" s="514"/>
      <c r="D336" s="514"/>
      <c r="E336" s="514"/>
      <c r="F336" s="514"/>
      <c r="G336" s="514"/>
      <c r="H336" s="514"/>
    </row>
    <row r="337" spans="1:8" s="428" customFormat="1" ht="9" customHeight="1" x14ac:dyDescent="0.25">
      <c r="A337" s="470">
        <v>2004</v>
      </c>
      <c r="B337" s="471"/>
      <c r="C337" s="471"/>
      <c r="D337" s="471"/>
      <c r="E337" s="471"/>
      <c r="F337" s="471"/>
      <c r="G337" s="512"/>
      <c r="H337" s="512"/>
    </row>
    <row r="338" spans="1:8" s="473" customFormat="1" ht="9" customHeight="1" x14ac:dyDescent="0.25">
      <c r="A338" s="429" t="s">
        <v>21</v>
      </c>
      <c r="B338" s="513">
        <v>75.012440451967123</v>
      </c>
      <c r="C338" s="513">
        <v>52.237927934847136</v>
      </c>
      <c r="D338" s="513">
        <v>127.59596331226055</v>
      </c>
      <c r="E338" s="513">
        <v>7.0180868938395333</v>
      </c>
      <c r="F338" s="513">
        <v>192.91050817474871</v>
      </c>
      <c r="G338" s="513">
        <v>1725.4537439340852</v>
      </c>
      <c r="H338" s="513">
        <v>72.7</v>
      </c>
    </row>
    <row r="339" spans="1:8" s="473" customFormat="1" ht="3" customHeight="1" x14ac:dyDescent="0.25">
      <c r="A339" s="429"/>
      <c r="B339" s="513"/>
      <c r="C339" s="513"/>
      <c r="D339" s="513"/>
      <c r="E339" s="513"/>
      <c r="F339" s="513"/>
      <c r="G339" s="513"/>
      <c r="H339" s="513"/>
    </row>
    <row r="340" spans="1:8" s="428" customFormat="1" ht="9" customHeight="1" x14ac:dyDescent="0.25">
      <c r="A340" s="428" t="s">
        <v>23</v>
      </c>
      <c r="B340" s="514">
        <v>77.873602659712375</v>
      </c>
      <c r="C340" s="514">
        <v>58.047765018072013</v>
      </c>
      <c r="D340" s="514">
        <v>175.00114379832547</v>
      </c>
      <c r="E340" s="514">
        <v>6.3862073172591538</v>
      </c>
      <c r="F340" s="514">
        <v>265.45652803830961</v>
      </c>
      <c r="G340" s="514">
        <v>1755.926781656525</v>
      </c>
      <c r="H340" s="514">
        <v>88.8</v>
      </c>
    </row>
    <row r="341" spans="1:8" s="428" customFormat="1" ht="9" customHeight="1" x14ac:dyDescent="0.25">
      <c r="A341" s="428" t="s">
        <v>24</v>
      </c>
      <c r="B341" s="514">
        <v>63.634822514021991</v>
      </c>
      <c r="C341" s="514">
        <v>37.062837299952342</v>
      </c>
      <c r="D341" s="514">
        <v>106.36054190877606</v>
      </c>
      <c r="E341" s="514">
        <v>6.1347889360352061</v>
      </c>
      <c r="F341" s="514">
        <v>176.52945914756927</v>
      </c>
      <c r="G341" s="514">
        <v>1220.7972248973695</v>
      </c>
      <c r="H341" s="514">
        <v>71.8</v>
      </c>
    </row>
    <row r="342" spans="1:8" s="428" customFormat="1" ht="9" customHeight="1" x14ac:dyDescent="0.25">
      <c r="A342" s="428" t="s">
        <v>25</v>
      </c>
      <c r="B342" s="514">
        <v>108.89454733452608</v>
      </c>
      <c r="C342" s="514">
        <v>87.31917907759194</v>
      </c>
      <c r="D342" s="514">
        <v>202.11642150127926</v>
      </c>
      <c r="E342" s="514">
        <v>11.601848968351378</v>
      </c>
      <c r="F342" s="514">
        <v>292.69225993840843</v>
      </c>
      <c r="G342" s="514">
        <v>2250.302767549832</v>
      </c>
      <c r="H342" s="514">
        <v>63.3</v>
      </c>
    </row>
    <row r="343" spans="1:8" s="428" customFormat="1" ht="9" customHeight="1" x14ac:dyDescent="0.25">
      <c r="A343" s="475" t="s">
        <v>26</v>
      </c>
      <c r="B343" s="515">
        <v>90.223086214204756</v>
      </c>
      <c r="C343" s="515">
        <v>68.431354050538218</v>
      </c>
      <c r="D343" s="515">
        <v>181.50918375346643</v>
      </c>
      <c r="E343" s="515">
        <v>8.2383377691910091</v>
      </c>
      <c r="F343" s="515">
        <v>234.39399717504742</v>
      </c>
      <c r="G343" s="515">
        <v>2202.3628084227703</v>
      </c>
      <c r="H343" s="515">
        <v>65.099999999999994</v>
      </c>
    </row>
    <row r="344" spans="1:8" s="428" customFormat="1" ht="9" customHeight="1" x14ac:dyDescent="0.25">
      <c r="A344" s="428" t="s">
        <v>27</v>
      </c>
      <c r="B344" s="514">
        <v>94.973931362560677</v>
      </c>
      <c r="C344" s="514">
        <v>57.345781812150804</v>
      </c>
      <c r="D344" s="514">
        <v>132.3611322498943</v>
      </c>
      <c r="E344" s="514">
        <v>6.2646652399828611</v>
      </c>
      <c r="F344" s="514">
        <v>244.32194435933155</v>
      </c>
      <c r="G344" s="514">
        <v>1776.2032675048199</v>
      </c>
      <c r="H344" s="514">
        <v>75.099999999999994</v>
      </c>
    </row>
    <row r="345" spans="1:8" s="428" customFormat="1" ht="9" customHeight="1" x14ac:dyDescent="0.25">
      <c r="A345" s="428" t="s">
        <v>28</v>
      </c>
      <c r="B345" s="514">
        <v>82.894274675096597</v>
      </c>
      <c r="C345" s="514">
        <v>75.869336143308743</v>
      </c>
      <c r="D345" s="514">
        <v>180.01404987706357</v>
      </c>
      <c r="E345" s="514">
        <v>9.4836670179135929</v>
      </c>
      <c r="F345" s="514">
        <v>263.61081840533893</v>
      </c>
      <c r="G345" s="514">
        <v>2057.2233930453108</v>
      </c>
      <c r="H345" s="514">
        <v>72.400000000000006</v>
      </c>
    </row>
    <row r="346" spans="1:8" s="428" customFormat="1" ht="9" customHeight="1" x14ac:dyDescent="0.25">
      <c r="A346" s="428" t="s">
        <v>29</v>
      </c>
      <c r="B346" s="514">
        <v>40.040735463347119</v>
      </c>
      <c r="C346" s="514">
        <v>47.011484837681287</v>
      </c>
      <c r="D346" s="514">
        <v>85.643988104193213</v>
      </c>
      <c r="E346" s="514">
        <v>6.642161861739293</v>
      </c>
      <c r="F346" s="514">
        <v>120.05179478019959</v>
      </c>
      <c r="G346" s="514">
        <v>1891.2267368842533</v>
      </c>
      <c r="H346" s="514">
        <v>78.2</v>
      </c>
    </row>
    <row r="347" spans="1:8" s="428" customFormat="1" ht="9" customHeight="1" x14ac:dyDescent="0.25">
      <c r="A347" s="475" t="s">
        <v>30</v>
      </c>
      <c r="B347" s="515">
        <v>74.209095402867021</v>
      </c>
      <c r="C347" s="515">
        <v>44.890014829461194</v>
      </c>
      <c r="D347" s="515">
        <v>103.46638655462185</v>
      </c>
      <c r="E347" s="515">
        <v>4.7577854671280271</v>
      </c>
      <c r="F347" s="515">
        <v>177.3665348492338</v>
      </c>
      <c r="G347" s="515">
        <v>1580.5292263964409</v>
      </c>
      <c r="H347" s="515">
        <v>63.9</v>
      </c>
    </row>
    <row r="348" spans="1:8" s="428" customFormat="1" ht="9" customHeight="1" x14ac:dyDescent="0.25">
      <c r="A348" s="428" t="s">
        <v>63</v>
      </c>
      <c r="B348" s="514">
        <v>185.97176244235067</v>
      </c>
      <c r="C348" s="514">
        <v>84.452366805307975</v>
      </c>
      <c r="D348" s="514">
        <v>284.82019070254364</v>
      </c>
      <c r="E348" s="514">
        <v>14.780861839685368</v>
      </c>
      <c r="F348" s="514">
        <v>455.13963161021985</v>
      </c>
      <c r="G348" s="514">
        <v>1730.1897405426816</v>
      </c>
      <c r="H348" s="514">
        <v>71.3</v>
      </c>
    </row>
    <row r="349" spans="1:8" s="428" customFormat="1" ht="9" customHeight="1" x14ac:dyDescent="0.25">
      <c r="A349" s="428" t="s">
        <v>31</v>
      </c>
      <c r="B349" s="514">
        <v>91.514785725788187</v>
      </c>
      <c r="C349" s="514">
        <v>67.948746483095945</v>
      </c>
      <c r="D349" s="514">
        <v>147.74597380765661</v>
      </c>
      <c r="E349" s="514">
        <v>5.1714363893685737</v>
      </c>
      <c r="F349" s="514">
        <v>215.04010808956664</v>
      </c>
      <c r="G349" s="514">
        <v>2251.6335847480591</v>
      </c>
      <c r="H349" s="514">
        <v>74.599999999999994</v>
      </c>
    </row>
    <row r="350" spans="1:8" s="428" customFormat="1" ht="9" customHeight="1" x14ac:dyDescent="0.25">
      <c r="A350" s="428" t="s">
        <v>32</v>
      </c>
      <c r="B350" s="514">
        <v>53.026146265069563</v>
      </c>
      <c r="C350" s="514">
        <v>37.247930856173767</v>
      </c>
      <c r="D350" s="514">
        <v>94.284457931206575</v>
      </c>
      <c r="E350" s="514">
        <v>3.9496174643577406</v>
      </c>
      <c r="F350" s="514">
        <v>142.105210922738</v>
      </c>
      <c r="G350" s="514">
        <v>1371.9567437895305</v>
      </c>
      <c r="H350" s="514">
        <v>77.3</v>
      </c>
    </row>
    <row r="351" spans="1:8" s="428" customFormat="1" ht="9" customHeight="1" x14ac:dyDescent="0.25">
      <c r="A351" s="475" t="s">
        <v>33</v>
      </c>
      <c r="B351" s="515">
        <v>46.26639019830516</v>
      </c>
      <c r="C351" s="515">
        <v>60.20280624175664</v>
      </c>
      <c r="D351" s="515">
        <v>114.78710241194163</v>
      </c>
      <c r="E351" s="515">
        <v>6.3090532088597939</v>
      </c>
      <c r="F351" s="515">
        <v>163.53317023959963</v>
      </c>
      <c r="G351" s="515">
        <v>2043.3912196812325</v>
      </c>
      <c r="H351" s="515">
        <v>68.7</v>
      </c>
    </row>
    <row r="352" spans="1:8" s="428" customFormat="1" ht="9" customHeight="1" x14ac:dyDescent="0.25">
      <c r="A352" s="428" t="s">
        <v>34</v>
      </c>
      <c r="B352" s="514">
        <v>50.003478319528973</v>
      </c>
      <c r="C352" s="514">
        <v>61.724361095944701</v>
      </c>
      <c r="D352" s="514">
        <v>122.26820162448062</v>
      </c>
      <c r="E352" s="514">
        <v>6.9144776091085589</v>
      </c>
      <c r="F352" s="514">
        <v>172.69329443236987</v>
      </c>
      <c r="G352" s="514">
        <v>2091.9170178364011</v>
      </c>
      <c r="H352" s="514">
        <v>90.7</v>
      </c>
    </row>
    <row r="353" spans="1:8" s="428" customFormat="1" ht="9" customHeight="1" x14ac:dyDescent="0.25">
      <c r="A353" s="428" t="s">
        <v>35</v>
      </c>
      <c r="B353" s="514">
        <v>90.942913876025429</v>
      </c>
      <c r="C353" s="514">
        <v>50.691432319839862</v>
      </c>
      <c r="D353" s="514">
        <v>130.14448536957721</v>
      </c>
      <c r="E353" s="514">
        <v>6.2846729101318388</v>
      </c>
      <c r="F353" s="514">
        <v>197.67884108857041</v>
      </c>
      <c r="G353" s="514">
        <v>1436.8223274169668</v>
      </c>
      <c r="H353" s="514">
        <v>71.900000000000006</v>
      </c>
    </row>
    <row r="354" spans="1:8" s="428" customFormat="1" ht="9" customHeight="1" x14ac:dyDescent="0.25">
      <c r="A354" s="428" t="s">
        <v>36</v>
      </c>
      <c r="B354" s="514">
        <v>45.834544678285305</v>
      </c>
      <c r="C354" s="514">
        <v>33.72527736065291</v>
      </c>
      <c r="D354" s="514">
        <v>76.0252638461657</v>
      </c>
      <c r="E354" s="514">
        <v>5.807286280214468</v>
      </c>
      <c r="F354" s="514">
        <v>109.37055827737248</v>
      </c>
      <c r="G354" s="514">
        <v>1525.3595946944345</v>
      </c>
      <c r="H354" s="514">
        <v>70.900000000000006</v>
      </c>
    </row>
    <row r="355" spans="1:8" s="428" customFormat="1" ht="9" customHeight="1" x14ac:dyDescent="0.25">
      <c r="A355" s="475" t="s">
        <v>37</v>
      </c>
      <c r="B355" s="515">
        <v>52.603002979447822</v>
      </c>
      <c r="C355" s="515">
        <v>48.4114309806195</v>
      </c>
      <c r="D355" s="515">
        <v>105.54917559622662</v>
      </c>
      <c r="E355" s="515">
        <v>4.7063264548247812</v>
      </c>
      <c r="F355" s="515">
        <v>139.69455451065849</v>
      </c>
      <c r="G355" s="515">
        <v>1708.7999725464292</v>
      </c>
      <c r="H355" s="515">
        <v>70.5</v>
      </c>
    </row>
    <row r="356" spans="1:8" s="428" customFormat="1" ht="9" customHeight="1" x14ac:dyDescent="0.25">
      <c r="A356" s="428" t="s">
        <v>38</v>
      </c>
      <c r="B356" s="514">
        <v>61.043449151791421</v>
      </c>
      <c r="C356" s="514">
        <v>53.413018007817499</v>
      </c>
      <c r="D356" s="514">
        <v>119.56393316726889</v>
      </c>
      <c r="E356" s="514">
        <v>6.953538058621402</v>
      </c>
      <c r="F356" s="514">
        <v>184.29952642098317</v>
      </c>
      <c r="G356" s="514">
        <v>1528.6688835940809</v>
      </c>
      <c r="H356" s="514">
        <v>70.900000000000006</v>
      </c>
    </row>
    <row r="357" spans="1:8" s="428" customFormat="1" ht="9" customHeight="1" x14ac:dyDescent="0.25">
      <c r="A357" s="428" t="s">
        <v>39</v>
      </c>
      <c r="B357" s="514">
        <v>71.55909640565919</v>
      </c>
      <c r="C357" s="514">
        <v>67.514451826208884</v>
      </c>
      <c r="D357" s="514">
        <v>152.55569683003574</v>
      </c>
      <c r="E357" s="514">
        <v>7.8818714881595628</v>
      </c>
      <c r="F357" s="514">
        <v>206.89912656418852</v>
      </c>
      <c r="G357" s="514">
        <v>2179.5511066769823</v>
      </c>
      <c r="H357" s="514">
        <v>67.2</v>
      </c>
    </row>
    <row r="358" spans="1:8" s="428" customFormat="1" ht="9" customHeight="1" x14ac:dyDescent="0.25">
      <c r="A358" s="428" t="s">
        <v>40</v>
      </c>
      <c r="B358" s="514">
        <v>74.289675487335472</v>
      </c>
      <c r="C358" s="514">
        <v>47.67020856796389</v>
      </c>
      <c r="D358" s="514">
        <v>111.95058044359698</v>
      </c>
      <c r="E358" s="514">
        <v>5.2566846306062907</v>
      </c>
      <c r="F358" s="514">
        <v>197.32970022015667</v>
      </c>
      <c r="G358" s="514">
        <v>1648.8167418924641</v>
      </c>
      <c r="H358" s="514">
        <v>94.1</v>
      </c>
    </row>
    <row r="359" spans="1:8" s="428" customFormat="1" ht="9" customHeight="1" x14ac:dyDescent="0.25">
      <c r="A359" s="475" t="s">
        <v>41</v>
      </c>
      <c r="B359" s="515">
        <v>50.462244774002023</v>
      </c>
      <c r="C359" s="515">
        <v>58.756260655506509</v>
      </c>
      <c r="D359" s="515">
        <v>101.56678707418116</v>
      </c>
      <c r="E359" s="515">
        <v>4.6915645390328393</v>
      </c>
      <c r="F359" s="515">
        <v>137.47959658130159</v>
      </c>
      <c r="G359" s="515">
        <v>1739.6170510445015</v>
      </c>
      <c r="H359" s="515">
        <v>66.7</v>
      </c>
    </row>
    <row r="360" spans="1:8" s="428" customFormat="1" ht="9" customHeight="1" x14ac:dyDescent="0.25">
      <c r="A360" s="428" t="s">
        <v>42</v>
      </c>
      <c r="B360" s="514">
        <v>66.090950890475014</v>
      </c>
      <c r="C360" s="514">
        <v>46.569949762020919</v>
      </c>
      <c r="D360" s="514">
        <v>105.61267529231685</v>
      </c>
      <c r="E360" s="514">
        <v>6.1072319220399853</v>
      </c>
      <c r="F360" s="514">
        <v>145.31890821144086</v>
      </c>
      <c r="G360" s="514">
        <v>1521.9362176196778</v>
      </c>
      <c r="H360" s="514">
        <v>62.1</v>
      </c>
    </row>
    <row r="361" spans="1:8" s="428" customFormat="1" ht="9" customHeight="1" x14ac:dyDescent="0.25">
      <c r="A361" s="428" t="s">
        <v>43</v>
      </c>
      <c r="B361" s="514">
        <v>48.076370559639599</v>
      </c>
      <c r="C361" s="514">
        <v>45.841745102020226</v>
      </c>
      <c r="D361" s="514">
        <v>110.90126913956705</v>
      </c>
      <c r="E361" s="514">
        <v>6.3846441646267724</v>
      </c>
      <c r="F361" s="514">
        <v>150.48606296025304</v>
      </c>
      <c r="G361" s="514">
        <v>1777.9044065537096</v>
      </c>
      <c r="H361" s="514">
        <v>85.1</v>
      </c>
    </row>
    <row r="362" spans="1:8" s="428" customFormat="1" ht="9" customHeight="1" x14ac:dyDescent="0.25">
      <c r="A362" s="428" t="s">
        <v>44</v>
      </c>
      <c r="B362" s="514">
        <v>50.923414414936516</v>
      </c>
      <c r="C362" s="514">
        <v>51.018420785113641</v>
      </c>
      <c r="D362" s="514">
        <v>115.33773339502413</v>
      </c>
      <c r="E362" s="514">
        <v>7.6955159843467502</v>
      </c>
      <c r="F362" s="514">
        <v>153.81531331675788</v>
      </c>
      <c r="G362" s="514">
        <v>1769.0566152460524</v>
      </c>
      <c r="H362" s="514">
        <v>84.3</v>
      </c>
    </row>
    <row r="363" spans="1:8" s="428" customFormat="1" ht="9" customHeight="1" x14ac:dyDescent="0.25">
      <c r="A363" s="475" t="s">
        <v>45</v>
      </c>
      <c r="B363" s="515">
        <v>58.451831011815969</v>
      </c>
      <c r="C363" s="515">
        <v>46.91744581917532</v>
      </c>
      <c r="D363" s="515">
        <v>109.72032604956748</v>
      </c>
      <c r="E363" s="515">
        <v>7.7990504861271308</v>
      </c>
      <c r="F363" s="515">
        <v>163.94425074521979</v>
      </c>
      <c r="G363" s="515">
        <v>1677.7145005693308</v>
      </c>
      <c r="H363" s="515">
        <v>80.8</v>
      </c>
    </row>
    <row r="364" spans="1:8" s="428" customFormat="1" ht="9" customHeight="1" x14ac:dyDescent="0.25">
      <c r="A364" s="428" t="s">
        <v>46</v>
      </c>
      <c r="B364" s="514">
        <v>83.233758430401494</v>
      </c>
      <c r="C364" s="514">
        <v>55.539685871173688</v>
      </c>
      <c r="D364" s="514">
        <v>142.29676680227038</v>
      </c>
      <c r="E364" s="514">
        <v>7.7664635768012324</v>
      </c>
      <c r="F364" s="514">
        <v>225.87149192628755</v>
      </c>
      <c r="G364" s="514">
        <v>2168.0708180245601</v>
      </c>
      <c r="H364" s="514">
        <v>66.900000000000006</v>
      </c>
    </row>
    <row r="365" spans="1:8" s="428" customFormat="1" ht="9" customHeight="1" x14ac:dyDescent="0.25">
      <c r="A365" s="428" t="s">
        <v>47</v>
      </c>
      <c r="B365" s="514">
        <v>100.48269374005379</v>
      </c>
      <c r="C365" s="514">
        <v>55.432952713263006</v>
      </c>
      <c r="D365" s="514">
        <v>143.43904531392678</v>
      </c>
      <c r="E365" s="514">
        <v>7.7036731867374568</v>
      </c>
      <c r="F365" s="514">
        <v>234.50148651585053</v>
      </c>
      <c r="G365" s="514">
        <v>1752.2850392573323</v>
      </c>
      <c r="H365" s="514">
        <v>67.8</v>
      </c>
    </row>
    <row r="366" spans="1:8" s="428" customFormat="1" ht="9" customHeight="1" x14ac:dyDescent="0.25">
      <c r="A366" s="428" t="s">
        <v>48</v>
      </c>
      <c r="B366" s="514">
        <v>70.285900728014482</v>
      </c>
      <c r="C366" s="514">
        <v>73.075419112684088</v>
      </c>
      <c r="D366" s="514">
        <v>160.69618408828825</v>
      </c>
      <c r="E366" s="514">
        <v>16.189169196743237</v>
      </c>
      <c r="F366" s="514">
        <v>203.68465490917876</v>
      </c>
      <c r="G366" s="514">
        <v>2478.7007818123402</v>
      </c>
      <c r="H366" s="514">
        <v>82.5</v>
      </c>
    </row>
    <row r="367" spans="1:8" s="428" customFormat="1" ht="9" customHeight="1" x14ac:dyDescent="0.25">
      <c r="A367" s="475" t="s">
        <v>49</v>
      </c>
      <c r="B367" s="515">
        <v>89.042293254404072</v>
      </c>
      <c r="C367" s="515">
        <v>53.078414600133719</v>
      </c>
      <c r="D367" s="515">
        <v>145.45687470558329</v>
      </c>
      <c r="E367" s="515">
        <v>6.6056103650700662</v>
      </c>
      <c r="F367" s="515">
        <v>222.02190393707724</v>
      </c>
      <c r="G367" s="515">
        <v>1849.6379591733244</v>
      </c>
      <c r="H367" s="515">
        <v>72.599999999999994</v>
      </c>
    </row>
    <row r="368" spans="1:8" s="428" customFormat="1" ht="9" customHeight="1" x14ac:dyDescent="0.25">
      <c r="A368" s="428" t="s">
        <v>50</v>
      </c>
      <c r="B368" s="514">
        <v>52.644141641044314</v>
      </c>
      <c r="C368" s="514">
        <v>46.228726530666158</v>
      </c>
      <c r="D368" s="514">
        <v>135.76150505638489</v>
      </c>
      <c r="E368" s="514">
        <v>7.6418915285386912</v>
      </c>
      <c r="F368" s="514">
        <v>174.82006175780487</v>
      </c>
      <c r="G368" s="514">
        <v>1743.42585053781</v>
      </c>
      <c r="H368" s="514">
        <v>70.2</v>
      </c>
    </row>
    <row r="369" spans="1:8" s="428" customFormat="1" ht="9" customHeight="1" x14ac:dyDescent="0.25">
      <c r="A369" s="428" t="s">
        <v>51</v>
      </c>
      <c r="B369" s="514">
        <v>67.002555838922646</v>
      </c>
      <c r="C369" s="514">
        <v>53.164770659467329</v>
      </c>
      <c r="D369" s="514">
        <v>114.42464564891601</v>
      </c>
      <c r="E369" s="514">
        <v>6.1716521900370713</v>
      </c>
      <c r="F369" s="514">
        <v>165.97039544238706</v>
      </c>
      <c r="G369" s="514">
        <v>1739.0243531181372</v>
      </c>
      <c r="H369" s="514">
        <v>65.400000000000006</v>
      </c>
    </row>
    <row r="370" spans="1:8" s="428" customFormat="1" ht="9" customHeight="1" x14ac:dyDescent="0.25">
      <c r="A370" s="428" t="s">
        <v>52</v>
      </c>
      <c r="B370" s="514">
        <v>81.646570539592489</v>
      </c>
      <c r="C370" s="514">
        <v>52.253805145339193</v>
      </c>
      <c r="D370" s="514">
        <v>123.49389754158024</v>
      </c>
      <c r="E370" s="514">
        <v>5.7567751431305894</v>
      </c>
      <c r="F370" s="514">
        <v>221.30372136765479</v>
      </c>
      <c r="G370" s="514">
        <v>2593.3613311878275</v>
      </c>
      <c r="H370" s="514">
        <v>83.2</v>
      </c>
    </row>
    <row r="371" spans="1:8" s="428" customFormat="1" ht="9" customHeight="1" x14ac:dyDescent="0.25">
      <c r="A371" s="475" t="s">
        <v>53</v>
      </c>
      <c r="B371" s="515">
        <v>53.465195087206162</v>
      </c>
      <c r="C371" s="515">
        <v>52.611858855180174</v>
      </c>
      <c r="D371" s="515">
        <v>115.5076941990978</v>
      </c>
      <c r="E371" s="515">
        <v>5.3608150154284253</v>
      </c>
      <c r="F371" s="515">
        <v>162.11104606655559</v>
      </c>
      <c r="G371" s="515">
        <v>2052.2200564529562</v>
      </c>
      <c r="H371" s="515">
        <v>85.9</v>
      </c>
    </row>
    <row r="372" spans="1:8" s="428" customFormat="1" ht="9" customHeight="1" x14ac:dyDescent="0.25">
      <c r="B372" s="514"/>
      <c r="C372" s="514"/>
      <c r="D372" s="514"/>
      <c r="E372" s="514"/>
      <c r="F372" s="514"/>
      <c r="G372" s="514"/>
      <c r="H372" s="514"/>
    </row>
    <row r="373" spans="1:8" s="428" customFormat="1" ht="9" customHeight="1" x14ac:dyDescent="0.25">
      <c r="A373" s="470">
        <v>2005</v>
      </c>
      <c r="B373" s="471"/>
      <c r="C373" s="471"/>
      <c r="D373" s="471"/>
      <c r="E373" s="471"/>
      <c r="F373" s="471"/>
      <c r="G373" s="512"/>
      <c r="H373" s="512"/>
    </row>
    <row r="374" spans="1:8" s="473" customFormat="1" ht="9" customHeight="1" x14ac:dyDescent="0.25">
      <c r="A374" s="429" t="s">
        <v>21</v>
      </c>
      <c r="B374" s="513">
        <v>72.406455494002728</v>
      </c>
      <c r="C374" s="513">
        <v>50.847069394639647</v>
      </c>
      <c r="D374" s="513">
        <v>134.39481192005852</v>
      </c>
      <c r="E374" s="513">
        <v>6.5677663138246247</v>
      </c>
      <c r="F374" s="513">
        <v>191.55048145452591</v>
      </c>
      <c r="G374" s="513">
        <v>1784.1734992525344</v>
      </c>
      <c r="H374" s="513">
        <v>72.2</v>
      </c>
    </row>
    <row r="375" spans="1:8" s="473" customFormat="1" ht="3" customHeight="1" x14ac:dyDescent="0.25">
      <c r="A375" s="429"/>
      <c r="B375" s="513"/>
      <c r="C375" s="513"/>
      <c r="D375" s="513"/>
      <c r="E375" s="513"/>
      <c r="F375" s="513"/>
      <c r="G375" s="513"/>
      <c r="H375" s="513"/>
    </row>
    <row r="376" spans="1:8" s="428" customFormat="1" ht="9" customHeight="1" x14ac:dyDescent="0.25">
      <c r="A376" s="428" t="s">
        <v>23</v>
      </c>
      <c r="B376" s="514">
        <v>76.35841148430508</v>
      </c>
      <c r="C376" s="514">
        <v>58.758728837312816</v>
      </c>
      <c r="D376" s="514">
        <v>180.65282717018519</v>
      </c>
      <c r="E376" s="514">
        <v>5.3078407982992557</v>
      </c>
      <c r="F376" s="514">
        <v>265.01955985894182</v>
      </c>
      <c r="G376" s="514">
        <v>1978.5786719782323</v>
      </c>
      <c r="H376" s="514">
        <v>75.599999999999994</v>
      </c>
    </row>
    <row r="377" spans="1:8" s="428" customFormat="1" ht="9" customHeight="1" x14ac:dyDescent="0.25">
      <c r="A377" s="428" t="s">
        <v>24</v>
      </c>
      <c r="B377" s="514">
        <v>58.461188482404062</v>
      </c>
      <c r="C377" s="514">
        <v>34.617501337012676</v>
      </c>
      <c r="D377" s="514">
        <v>109.85758077358105</v>
      </c>
      <c r="E377" s="514">
        <v>5.5458650101132552</v>
      </c>
      <c r="F377" s="514">
        <v>166.02271049383631</v>
      </c>
      <c r="G377" s="514">
        <v>1428.9896140431192</v>
      </c>
      <c r="H377" s="514">
        <v>75.7</v>
      </c>
    </row>
    <row r="378" spans="1:8" s="428" customFormat="1" ht="9" customHeight="1" x14ac:dyDescent="0.25">
      <c r="A378" s="428" t="s">
        <v>25</v>
      </c>
      <c r="B378" s="514">
        <v>94.875539826074643</v>
      </c>
      <c r="C378" s="514">
        <v>74.994980650901326</v>
      </c>
      <c r="D378" s="514">
        <v>197.62456843439614</v>
      </c>
      <c r="E378" s="514">
        <v>9.0545120995838868</v>
      </c>
      <c r="F378" s="514">
        <v>273.6037351830783</v>
      </c>
      <c r="G378" s="514">
        <v>2238.8285036040897</v>
      </c>
      <c r="H378" s="514">
        <v>64.400000000000006</v>
      </c>
    </row>
    <row r="379" spans="1:8" s="428" customFormat="1" ht="9" customHeight="1" x14ac:dyDescent="0.25">
      <c r="A379" s="475" t="s">
        <v>26</v>
      </c>
      <c r="B379" s="515">
        <v>89.487676529443533</v>
      </c>
      <c r="C379" s="515">
        <v>65.876496570508721</v>
      </c>
      <c r="D379" s="515">
        <v>196.19455612286163</v>
      </c>
      <c r="E379" s="515">
        <v>8.8704985481081042</v>
      </c>
      <c r="F379" s="515">
        <v>238.06852721025427</v>
      </c>
      <c r="G379" s="515">
        <v>2150.2023256360017</v>
      </c>
      <c r="H379" s="515">
        <v>62.7</v>
      </c>
    </row>
    <row r="380" spans="1:8" s="428" customFormat="1" ht="9" customHeight="1" x14ac:dyDescent="0.25">
      <c r="A380" s="428" t="s">
        <v>27</v>
      </c>
      <c r="B380" s="514">
        <v>91.4133401929504</v>
      </c>
      <c r="C380" s="514">
        <v>52.236194395971658</v>
      </c>
      <c r="D380" s="514">
        <v>135.99559069706518</v>
      </c>
      <c r="E380" s="514">
        <v>5.3261980690756605</v>
      </c>
      <c r="F380" s="514">
        <v>230.95972960273269</v>
      </c>
      <c r="G380" s="514">
        <v>1807.1498093812891</v>
      </c>
      <c r="H380" s="514">
        <v>76.5</v>
      </c>
    </row>
    <row r="381" spans="1:8" s="428" customFormat="1" ht="9" customHeight="1" x14ac:dyDescent="0.25">
      <c r="A381" s="428" t="s">
        <v>28</v>
      </c>
      <c r="B381" s="514">
        <v>90.537606060816302</v>
      </c>
      <c r="C381" s="514">
        <v>71.63224387570331</v>
      </c>
      <c r="D381" s="514">
        <v>206.05110344875433</v>
      </c>
      <c r="E381" s="514">
        <v>10.233177696529046</v>
      </c>
      <c r="F381" s="514">
        <v>278.89745315285938</v>
      </c>
      <c r="G381" s="514">
        <v>2192.5138234620745</v>
      </c>
      <c r="H381" s="514">
        <v>61.8</v>
      </c>
    </row>
    <row r="382" spans="1:8" s="428" customFormat="1" ht="9" customHeight="1" x14ac:dyDescent="0.25">
      <c r="A382" s="428" t="s">
        <v>29</v>
      </c>
      <c r="B382" s="514">
        <v>45.560090834567347</v>
      </c>
      <c r="C382" s="514">
        <v>46.228059810402762</v>
      </c>
      <c r="D382" s="514">
        <v>86.029797405009617</v>
      </c>
      <c r="E382" s="514">
        <v>5.3667852196431705</v>
      </c>
      <c r="F382" s="514">
        <v>120.37261612813394</v>
      </c>
      <c r="G382" s="514">
        <v>1898.5021141218085</v>
      </c>
      <c r="H382" s="514">
        <v>64.2</v>
      </c>
    </row>
    <row r="383" spans="1:8" s="428" customFormat="1" ht="9" customHeight="1" x14ac:dyDescent="0.25">
      <c r="A383" s="475" t="s">
        <v>30</v>
      </c>
      <c r="B383" s="515">
        <v>71.216606359578961</v>
      </c>
      <c r="C383" s="515">
        <v>42.662922081048585</v>
      </c>
      <c r="D383" s="515">
        <v>103.64042714117588</v>
      </c>
      <c r="E383" s="515">
        <v>4.1139246292439706</v>
      </c>
      <c r="F383" s="515">
        <v>172.14489059703104</v>
      </c>
      <c r="G383" s="515">
        <v>1692.8665765869541</v>
      </c>
      <c r="H383" s="515">
        <v>76.599999999999994</v>
      </c>
    </row>
    <row r="384" spans="1:8" s="428" customFormat="1" ht="9" customHeight="1" x14ac:dyDescent="0.25">
      <c r="A384" s="428" t="s">
        <v>63</v>
      </c>
      <c r="B384" s="514">
        <v>171.95259815289918</v>
      </c>
      <c r="C384" s="514">
        <v>81.925590050468458</v>
      </c>
      <c r="D384" s="514">
        <v>298.66102687949245</v>
      </c>
      <c r="E384" s="514">
        <v>14.582552493532088</v>
      </c>
      <c r="F384" s="514">
        <v>453.34185182438875</v>
      </c>
      <c r="G384" s="514">
        <v>1719.8810936869361</v>
      </c>
      <c r="H384" s="514">
        <v>72.5</v>
      </c>
    </row>
    <row r="385" spans="1:8" s="428" customFormat="1" ht="9" customHeight="1" x14ac:dyDescent="0.25">
      <c r="A385" s="428" t="s">
        <v>31</v>
      </c>
      <c r="B385" s="514">
        <v>94.716110808779703</v>
      </c>
      <c r="C385" s="514">
        <v>65.821866334965918</v>
      </c>
      <c r="D385" s="514">
        <v>158.01135038482468</v>
      </c>
      <c r="E385" s="514">
        <v>4.9236829148202856</v>
      </c>
      <c r="F385" s="514">
        <v>211.26486822669671</v>
      </c>
      <c r="G385" s="514">
        <v>2230.1225737904583</v>
      </c>
      <c r="H385" s="514">
        <v>67.2</v>
      </c>
    </row>
    <row r="386" spans="1:8" s="428" customFormat="1" ht="9" customHeight="1" x14ac:dyDescent="0.25">
      <c r="A386" s="428" t="s">
        <v>32</v>
      </c>
      <c r="B386" s="514">
        <v>50.658764086278822</v>
      </c>
      <c r="C386" s="514">
        <v>35.82741513806365</v>
      </c>
      <c r="D386" s="514">
        <v>99.976502019345205</v>
      </c>
      <c r="E386" s="514">
        <v>3.462649619488833</v>
      </c>
      <c r="F386" s="514">
        <v>141.30812898029572</v>
      </c>
      <c r="G386" s="514">
        <v>1476.2684406107553</v>
      </c>
      <c r="H386" s="514">
        <v>82.7</v>
      </c>
    </row>
    <row r="387" spans="1:8" s="428" customFormat="1" ht="9" customHeight="1" x14ac:dyDescent="0.25">
      <c r="A387" s="475" t="s">
        <v>33</v>
      </c>
      <c r="B387" s="515">
        <v>46.653297301415897</v>
      </c>
      <c r="C387" s="515">
        <v>58.706960459613043</v>
      </c>
      <c r="D387" s="515">
        <v>116.47710772040249</v>
      </c>
      <c r="E387" s="515">
        <v>5.6208791929416746</v>
      </c>
      <c r="F387" s="515">
        <v>161.00696177115154</v>
      </c>
      <c r="G387" s="515">
        <v>2119.3090940204461</v>
      </c>
      <c r="H387" s="515">
        <v>58.1</v>
      </c>
    </row>
    <row r="388" spans="1:8" s="428" customFormat="1" ht="9" customHeight="1" x14ac:dyDescent="0.25">
      <c r="A388" s="428" t="s">
        <v>34</v>
      </c>
      <c r="B388" s="514">
        <v>50.958941355099164</v>
      </c>
      <c r="C388" s="514">
        <v>60.67533524686521</v>
      </c>
      <c r="D388" s="514">
        <v>126.14631554760636</v>
      </c>
      <c r="E388" s="514">
        <v>6.797305598102426</v>
      </c>
      <c r="F388" s="514">
        <v>170.97517148601193</v>
      </c>
      <c r="G388" s="514">
        <v>2208.5838710363473</v>
      </c>
      <c r="H388" s="514">
        <v>79.7</v>
      </c>
    </row>
    <row r="389" spans="1:8" s="428" customFormat="1" ht="9" customHeight="1" x14ac:dyDescent="0.25">
      <c r="A389" s="428" t="s">
        <v>35</v>
      </c>
      <c r="B389" s="514">
        <v>86.475996715311595</v>
      </c>
      <c r="C389" s="514">
        <v>46.634644890809476</v>
      </c>
      <c r="D389" s="514">
        <v>135.95332861884626</v>
      </c>
      <c r="E389" s="514">
        <v>5.9040422571984488</v>
      </c>
      <c r="F389" s="514">
        <v>192.18021994233865</v>
      </c>
      <c r="G389" s="514">
        <v>1515.9096445372957</v>
      </c>
      <c r="H389" s="514">
        <v>73.599999999999994</v>
      </c>
    </row>
    <row r="390" spans="1:8" s="428" customFormat="1" ht="9" customHeight="1" x14ac:dyDescent="0.25">
      <c r="A390" s="428" t="s">
        <v>36</v>
      </c>
      <c r="B390" s="514">
        <v>46.020144288308678</v>
      </c>
      <c r="C390" s="514">
        <v>33.796153866264454</v>
      </c>
      <c r="D390" s="514">
        <v>80.996301854273355</v>
      </c>
      <c r="E390" s="514">
        <v>4.854266716730856</v>
      </c>
      <c r="F390" s="514">
        <v>108.92070078370617</v>
      </c>
      <c r="G390" s="514">
        <v>1522.0515134501345</v>
      </c>
      <c r="H390" s="514">
        <v>67.900000000000006</v>
      </c>
    </row>
    <row r="391" spans="1:8" s="428" customFormat="1" ht="9" customHeight="1" x14ac:dyDescent="0.25">
      <c r="A391" s="475" t="s">
        <v>37</v>
      </c>
      <c r="B391" s="515">
        <v>51.846937081051685</v>
      </c>
      <c r="C391" s="515">
        <v>48.545363257494145</v>
      </c>
      <c r="D391" s="515">
        <v>109.95463637566432</v>
      </c>
      <c r="E391" s="515">
        <v>4.5243789433936614</v>
      </c>
      <c r="F391" s="515">
        <v>140.30465944999693</v>
      </c>
      <c r="G391" s="515">
        <v>1790.0015627449432</v>
      </c>
      <c r="H391" s="515">
        <v>71.599999999999994</v>
      </c>
    </row>
    <row r="392" spans="1:8" s="428" customFormat="1" ht="9" customHeight="1" x14ac:dyDescent="0.25">
      <c r="A392" s="428" t="s">
        <v>38</v>
      </c>
      <c r="B392" s="514">
        <v>58.030698971235182</v>
      </c>
      <c r="C392" s="514">
        <v>52.910343179655605</v>
      </c>
      <c r="D392" s="514">
        <v>130.87385576811127</v>
      </c>
      <c r="E392" s="514">
        <v>7.6805336873693619</v>
      </c>
      <c r="F392" s="514">
        <v>189.94081722097565</v>
      </c>
      <c r="G392" s="514">
        <v>1606.5427174825406</v>
      </c>
      <c r="H392" s="514">
        <v>66.099999999999994</v>
      </c>
    </row>
    <row r="393" spans="1:8" s="428" customFormat="1" ht="9" customHeight="1" x14ac:dyDescent="0.25">
      <c r="A393" s="428" t="s">
        <v>39</v>
      </c>
      <c r="B393" s="514">
        <v>65.793666948345802</v>
      </c>
      <c r="C393" s="514">
        <v>67.541311226661236</v>
      </c>
      <c r="D393" s="514">
        <v>179.69895285266946</v>
      </c>
      <c r="E393" s="514">
        <v>8.1214057639364352</v>
      </c>
      <c r="F393" s="514">
        <v>232.53949162055969</v>
      </c>
      <c r="G393" s="514">
        <v>2306.0402698362764</v>
      </c>
      <c r="H393" s="514">
        <v>72</v>
      </c>
    </row>
    <row r="394" spans="1:8" s="428" customFormat="1" ht="9" customHeight="1" x14ac:dyDescent="0.25">
      <c r="A394" s="428" t="s">
        <v>40</v>
      </c>
      <c r="B394" s="514">
        <v>71.855825007051379</v>
      </c>
      <c r="C394" s="514">
        <v>54.292114176363199</v>
      </c>
      <c r="D394" s="514">
        <v>131.61011198866882</v>
      </c>
      <c r="E394" s="514">
        <v>5.0619273841795698</v>
      </c>
      <c r="F394" s="514">
        <v>216.391509711602</v>
      </c>
      <c r="G394" s="514">
        <v>1680.4254561738326</v>
      </c>
      <c r="H394" s="514">
        <v>80.8</v>
      </c>
    </row>
    <row r="395" spans="1:8" s="428" customFormat="1" ht="9" customHeight="1" x14ac:dyDescent="0.25">
      <c r="A395" s="475" t="s">
        <v>41</v>
      </c>
      <c r="B395" s="515">
        <v>50.183288354340647</v>
      </c>
      <c r="C395" s="515">
        <v>56.206393206603877</v>
      </c>
      <c r="D395" s="515">
        <v>104.83533192165079</v>
      </c>
      <c r="E395" s="515">
        <v>3.9691428289107926</v>
      </c>
      <c r="F395" s="515">
        <v>136.58847455293713</v>
      </c>
      <c r="G395" s="515">
        <v>1832.6326269646909</v>
      </c>
      <c r="H395" s="515">
        <v>69.3</v>
      </c>
    </row>
    <row r="396" spans="1:8" s="428" customFormat="1" ht="9" customHeight="1" x14ac:dyDescent="0.25">
      <c r="A396" s="428" t="s">
        <v>42</v>
      </c>
      <c r="B396" s="514">
        <v>65.061370248557381</v>
      </c>
      <c r="C396" s="514">
        <v>44.879959768321783</v>
      </c>
      <c r="D396" s="514">
        <v>107.75561769049986</v>
      </c>
      <c r="E396" s="514">
        <v>6.010708897543096</v>
      </c>
      <c r="F396" s="514">
        <v>140.14058865968661</v>
      </c>
      <c r="G396" s="514">
        <v>1644.2529153304224</v>
      </c>
      <c r="H396" s="514">
        <v>64.3</v>
      </c>
    </row>
    <row r="397" spans="1:8" s="428" customFormat="1" ht="9" customHeight="1" x14ac:dyDescent="0.25">
      <c r="A397" s="428" t="s">
        <v>43</v>
      </c>
      <c r="B397" s="514">
        <v>47.110435335319117</v>
      </c>
      <c r="C397" s="514">
        <v>43.932350411904736</v>
      </c>
      <c r="D397" s="514">
        <v>120.95417326171219</v>
      </c>
      <c r="E397" s="514">
        <v>6.9793237533806103</v>
      </c>
      <c r="F397" s="514">
        <v>161.02296945299551</v>
      </c>
      <c r="G397" s="514">
        <v>1770.2724428879444</v>
      </c>
      <c r="H397" s="514">
        <v>81.2</v>
      </c>
    </row>
    <row r="398" spans="1:8" s="428" customFormat="1" ht="9" customHeight="1" x14ac:dyDescent="0.25">
      <c r="A398" s="428" t="s">
        <v>44</v>
      </c>
      <c r="B398" s="514">
        <v>46.140224336323932</v>
      </c>
      <c r="C398" s="514">
        <v>46.869714049151192</v>
      </c>
      <c r="D398" s="514">
        <v>114.71225734208599</v>
      </c>
      <c r="E398" s="514">
        <v>6.5654074154453026</v>
      </c>
      <c r="F398" s="514">
        <v>145.53319770903755</v>
      </c>
      <c r="G398" s="514">
        <v>1683.4780610528178</v>
      </c>
      <c r="H398" s="514">
        <v>82.3</v>
      </c>
    </row>
    <row r="399" spans="1:8" s="428" customFormat="1" ht="9" customHeight="1" x14ac:dyDescent="0.25">
      <c r="A399" s="475" t="s">
        <v>45</v>
      </c>
      <c r="B399" s="515">
        <v>55.806946118089122</v>
      </c>
      <c r="C399" s="515">
        <v>45.538468032360726</v>
      </c>
      <c r="D399" s="515">
        <v>119.93420056651154</v>
      </c>
      <c r="E399" s="515">
        <v>7.2650497128276017</v>
      </c>
      <c r="F399" s="515">
        <v>160.48048360067227</v>
      </c>
      <c r="G399" s="515">
        <v>1763.1618145740144</v>
      </c>
      <c r="H399" s="515">
        <v>84</v>
      </c>
    </row>
    <row r="400" spans="1:8" s="428" customFormat="1" ht="9" customHeight="1" x14ac:dyDescent="0.25">
      <c r="A400" s="428" t="s">
        <v>46</v>
      </c>
      <c r="B400" s="514">
        <v>78.443842553021952</v>
      </c>
      <c r="C400" s="514">
        <v>53.561320382394001</v>
      </c>
      <c r="D400" s="514">
        <v>154.21901580979829</v>
      </c>
      <c r="E400" s="514">
        <v>7.0663356013263661</v>
      </c>
      <c r="F400" s="514">
        <v>226.34826059142222</v>
      </c>
      <c r="G400" s="514">
        <v>2290.086231846471</v>
      </c>
      <c r="H400" s="514">
        <v>65.900000000000006</v>
      </c>
    </row>
    <row r="401" spans="1:8" s="428" customFormat="1" ht="9" customHeight="1" x14ac:dyDescent="0.25">
      <c r="A401" s="428" t="s">
        <v>47</v>
      </c>
      <c r="B401" s="514">
        <v>99.329484796246888</v>
      </c>
      <c r="C401" s="514">
        <v>53.9476057558389</v>
      </c>
      <c r="D401" s="514">
        <v>155.95388015065794</v>
      </c>
      <c r="E401" s="514">
        <v>7.0420157131667569</v>
      </c>
      <c r="F401" s="514">
        <v>238.35781840824089</v>
      </c>
      <c r="G401" s="514">
        <v>1868.5000341805439</v>
      </c>
      <c r="H401" s="514">
        <v>67.5</v>
      </c>
    </row>
    <row r="402" spans="1:8" s="428" customFormat="1" ht="9" customHeight="1" x14ac:dyDescent="0.25">
      <c r="A402" s="428" t="s">
        <v>48</v>
      </c>
      <c r="B402" s="514">
        <v>66.125354568287108</v>
      </c>
      <c r="C402" s="514">
        <v>68.242547603608287</v>
      </c>
      <c r="D402" s="514">
        <v>166.71664226970972</v>
      </c>
      <c r="E402" s="514">
        <v>15.952803335908433</v>
      </c>
      <c r="F402" s="514">
        <v>200.39478264551641</v>
      </c>
      <c r="G402" s="514">
        <v>2747.4154242928698</v>
      </c>
      <c r="H402" s="514">
        <v>72.2</v>
      </c>
    </row>
    <row r="403" spans="1:8" s="428" customFormat="1" ht="9" customHeight="1" x14ac:dyDescent="0.25">
      <c r="A403" s="475" t="s">
        <v>49</v>
      </c>
      <c r="B403" s="515">
        <v>85.799762798519183</v>
      </c>
      <c r="C403" s="515">
        <v>51.951248974151063</v>
      </c>
      <c r="D403" s="515">
        <v>147.27704419326128</v>
      </c>
      <c r="E403" s="515">
        <v>5.9578622011943878</v>
      </c>
      <c r="F403" s="515">
        <v>221.61937968179123</v>
      </c>
      <c r="G403" s="515">
        <v>1846.5058283932726</v>
      </c>
      <c r="H403" s="515">
        <v>72.599999999999994</v>
      </c>
    </row>
    <row r="404" spans="1:8" s="428" customFormat="1" ht="9" customHeight="1" x14ac:dyDescent="0.25">
      <c r="A404" s="428" t="s">
        <v>50</v>
      </c>
      <c r="B404" s="514">
        <v>51.968131144630448</v>
      </c>
      <c r="C404" s="514">
        <v>44.015712499722589</v>
      </c>
      <c r="D404" s="514">
        <v>136.39322675859415</v>
      </c>
      <c r="E404" s="514">
        <v>7.3051287552060602</v>
      </c>
      <c r="F404" s="514">
        <v>171.34688080249151</v>
      </c>
      <c r="G404" s="514">
        <v>1822.2236811930848</v>
      </c>
      <c r="H404" s="514">
        <v>71.900000000000006</v>
      </c>
    </row>
    <row r="405" spans="1:8" s="428" customFormat="1" ht="9" customHeight="1" x14ac:dyDescent="0.25">
      <c r="A405" s="428" t="s">
        <v>51</v>
      </c>
      <c r="B405" s="514">
        <v>65.531428878778655</v>
      </c>
      <c r="C405" s="514">
        <v>52.263235468858433</v>
      </c>
      <c r="D405" s="514">
        <v>119.79792829577396</v>
      </c>
      <c r="E405" s="514">
        <v>6.2842115633334634</v>
      </c>
      <c r="F405" s="514">
        <v>162.07228599584033</v>
      </c>
      <c r="G405" s="514">
        <v>1784.5179529496415</v>
      </c>
      <c r="H405" s="514">
        <v>68.8</v>
      </c>
    </row>
    <row r="406" spans="1:8" s="428" customFormat="1" ht="9" customHeight="1" x14ac:dyDescent="0.25">
      <c r="A406" s="428" t="s">
        <v>52</v>
      </c>
      <c r="B406" s="514">
        <v>77.220916488920892</v>
      </c>
      <c r="C406" s="514">
        <v>50.049587675085249</v>
      </c>
      <c r="D406" s="514">
        <v>146.01872104555272</v>
      </c>
      <c r="E406" s="514">
        <v>5.9233496814161697</v>
      </c>
      <c r="F406" s="514">
        <v>207.75198011058731</v>
      </c>
      <c r="G406" s="514">
        <v>2567.7508932574347</v>
      </c>
      <c r="H406" s="514">
        <v>91.6</v>
      </c>
    </row>
    <row r="407" spans="1:8" s="428" customFormat="1" ht="9" customHeight="1" x14ac:dyDescent="0.25">
      <c r="A407" s="475" t="s">
        <v>53</v>
      </c>
      <c r="B407" s="515">
        <v>53.74941256015704</v>
      </c>
      <c r="C407" s="515">
        <v>54.033800986401253</v>
      </c>
      <c r="D407" s="515">
        <v>121.1494695800365</v>
      </c>
      <c r="E407" s="515">
        <v>5.047894565834854</v>
      </c>
      <c r="F407" s="515">
        <v>162.10140295920377</v>
      </c>
      <c r="G407" s="515">
        <v>2118.8324148772117</v>
      </c>
      <c r="H407" s="515">
        <v>75.8</v>
      </c>
    </row>
    <row r="408" spans="1:8" s="428" customFormat="1" ht="9" customHeight="1" x14ac:dyDescent="0.25">
      <c r="B408" s="514"/>
      <c r="C408" s="514"/>
      <c r="D408" s="514"/>
      <c r="E408" s="514"/>
      <c r="F408" s="514"/>
      <c r="G408" s="514"/>
      <c r="H408" s="514"/>
    </row>
    <row r="409" spans="1:8" s="428" customFormat="1" ht="9" customHeight="1" x14ac:dyDescent="0.25">
      <c r="A409" s="503">
        <v>2006</v>
      </c>
      <c r="B409" s="519"/>
      <c r="C409" s="519"/>
      <c r="D409" s="519"/>
      <c r="E409" s="519"/>
      <c r="F409" s="519"/>
      <c r="G409" s="520"/>
      <c r="H409" s="520"/>
    </row>
    <row r="410" spans="1:8" s="473" customFormat="1" ht="9" customHeight="1" x14ac:dyDescent="0.25">
      <c r="A410" s="517" t="s">
        <v>21</v>
      </c>
      <c r="B410" s="518">
        <v>70.841882795712621</v>
      </c>
      <c r="C410" s="518">
        <v>51.478898563069926</v>
      </c>
      <c r="D410" s="518">
        <v>140.18917143977217</v>
      </c>
      <c r="E410" s="518">
        <v>7.0753523141463948</v>
      </c>
      <c r="F410" s="518">
        <v>201.31149226813076</v>
      </c>
      <c r="G410" s="518">
        <v>1803.4442029228339</v>
      </c>
      <c r="H410" s="518">
        <v>76.400000000000006</v>
      </c>
    </row>
    <row r="411" spans="1:8" s="473" customFormat="1" ht="3" customHeight="1" x14ac:dyDescent="0.25">
      <c r="A411" s="517"/>
      <c r="B411" s="518"/>
      <c r="C411" s="518"/>
      <c r="D411" s="518"/>
      <c r="E411" s="518"/>
      <c r="F411" s="518"/>
      <c r="G411" s="518"/>
      <c r="H411" s="518"/>
    </row>
    <row r="412" spans="1:8" s="428" customFormat="1" ht="9" customHeight="1" x14ac:dyDescent="0.25">
      <c r="A412" s="472" t="s">
        <v>23</v>
      </c>
      <c r="B412" s="516">
        <v>72.206893666709703</v>
      </c>
      <c r="C412" s="516">
        <v>54.109699913970118</v>
      </c>
      <c r="D412" s="516">
        <v>183.4273356747525</v>
      </c>
      <c r="E412" s="516">
        <v>11.094761999166982</v>
      </c>
      <c r="F412" s="516">
        <v>271.18508427472085</v>
      </c>
      <c r="G412" s="516">
        <v>1953.9831104983732</v>
      </c>
      <c r="H412" s="516">
        <v>95</v>
      </c>
    </row>
    <row r="413" spans="1:8" s="428" customFormat="1" ht="9" customHeight="1" x14ac:dyDescent="0.25">
      <c r="A413" s="428" t="s">
        <v>24</v>
      </c>
      <c r="B413" s="514">
        <v>56.876585370379985</v>
      </c>
      <c r="C413" s="514">
        <v>36.634706951555927</v>
      </c>
      <c r="D413" s="514">
        <v>116.12446040272746</v>
      </c>
      <c r="E413" s="514">
        <v>5.4642761775772914</v>
      </c>
      <c r="F413" s="514">
        <v>177.1593943107606</v>
      </c>
      <c r="G413" s="514">
        <v>1459.1998993748387</v>
      </c>
      <c r="H413" s="514">
        <v>75.900000000000006</v>
      </c>
    </row>
    <row r="414" spans="1:8" s="428" customFormat="1" ht="9" customHeight="1" x14ac:dyDescent="0.25">
      <c r="A414" s="428" t="s">
        <v>25</v>
      </c>
      <c r="B414" s="514">
        <v>90.417978520495382</v>
      </c>
      <c r="C414" s="514">
        <v>78.806406542073859</v>
      </c>
      <c r="D414" s="514">
        <v>211.86360019644496</v>
      </c>
      <c r="E414" s="514">
        <v>9.7080355885163456</v>
      </c>
      <c r="F414" s="514">
        <v>281.72338570596452</v>
      </c>
      <c r="G414" s="514">
        <v>2254.9996383280859</v>
      </c>
      <c r="H414" s="514">
        <v>73</v>
      </c>
    </row>
    <row r="415" spans="1:8" s="428" customFormat="1" ht="9" customHeight="1" x14ac:dyDescent="0.25">
      <c r="A415" s="475" t="s">
        <v>26</v>
      </c>
      <c r="B415" s="515">
        <v>89.085719405583205</v>
      </c>
      <c r="C415" s="515">
        <v>65.02233542821304</v>
      </c>
      <c r="D415" s="515">
        <v>210.2986163554213</v>
      </c>
      <c r="E415" s="515">
        <v>9.9837444161429456</v>
      </c>
      <c r="F415" s="515">
        <v>258.42538431016163</v>
      </c>
      <c r="G415" s="515">
        <v>2186.5232250054401</v>
      </c>
      <c r="H415" s="515">
        <v>68.099999999999994</v>
      </c>
    </row>
    <row r="416" spans="1:8" s="428" customFormat="1" ht="9" customHeight="1" x14ac:dyDescent="0.25">
      <c r="A416" s="428" t="s">
        <v>27</v>
      </c>
      <c r="B416" s="514">
        <v>90.432658665920684</v>
      </c>
      <c r="C416" s="514">
        <v>55.755182442270723</v>
      </c>
      <c r="D416" s="514">
        <v>150.75984356002459</v>
      </c>
      <c r="E416" s="514">
        <v>5.9281048739870892</v>
      </c>
      <c r="F416" s="514">
        <v>243.82721550327287</v>
      </c>
      <c r="G416" s="514">
        <v>1870.5336766726361</v>
      </c>
      <c r="H416" s="514">
        <v>78.900000000000006</v>
      </c>
    </row>
    <row r="417" spans="1:8" s="428" customFormat="1" ht="9" customHeight="1" x14ac:dyDescent="0.25">
      <c r="A417" s="428" t="s">
        <v>28</v>
      </c>
      <c r="B417" s="514">
        <v>85.433794801379278</v>
      </c>
      <c r="C417" s="514">
        <v>72.935464098973085</v>
      </c>
      <c r="D417" s="514">
        <v>213.67009200825919</v>
      </c>
      <c r="E417" s="514">
        <v>11.813490663918175</v>
      </c>
      <c r="F417" s="514">
        <v>285.57829604950024</v>
      </c>
      <c r="G417" s="514">
        <v>1984.0517876037106</v>
      </c>
      <c r="H417" s="514">
        <v>70.599999999999994</v>
      </c>
    </row>
    <row r="418" spans="1:8" s="428" customFormat="1" ht="9" customHeight="1" x14ac:dyDescent="0.25">
      <c r="A418" s="428" t="s">
        <v>29</v>
      </c>
      <c r="B418" s="514">
        <v>43.471806703198951</v>
      </c>
      <c r="C418" s="514">
        <v>45.821634092561055</v>
      </c>
      <c r="D418" s="514">
        <v>89.225657313374569</v>
      </c>
      <c r="E418" s="514">
        <v>5.8067849910198186</v>
      </c>
      <c r="F418" s="514">
        <v>127.09402947271003</v>
      </c>
      <c r="G418" s="514">
        <v>1872.6859001544785</v>
      </c>
      <c r="H418" s="514">
        <v>70</v>
      </c>
    </row>
    <row r="419" spans="1:8" s="428" customFormat="1" ht="9" customHeight="1" x14ac:dyDescent="0.25">
      <c r="A419" s="475" t="s">
        <v>30</v>
      </c>
      <c r="B419" s="515">
        <v>65.828393700063486</v>
      </c>
      <c r="C419" s="515">
        <v>42.934173709443506</v>
      </c>
      <c r="D419" s="515">
        <v>110.32490263196399</v>
      </c>
      <c r="E419" s="515">
        <v>3.9358829642666895</v>
      </c>
      <c r="F419" s="515">
        <v>188.47170866293848</v>
      </c>
      <c r="G419" s="515">
        <v>1744.0447236484372</v>
      </c>
      <c r="H419" s="515">
        <v>88.5</v>
      </c>
    </row>
    <row r="420" spans="1:8" s="428" customFormat="1" ht="9" customHeight="1" x14ac:dyDescent="0.25">
      <c r="A420" s="428" t="s">
        <v>63</v>
      </c>
      <c r="B420" s="514">
        <v>168.39679962212202</v>
      </c>
      <c r="C420" s="514">
        <v>82.884459711745023</v>
      </c>
      <c r="D420" s="514">
        <v>303.50338923859573</v>
      </c>
      <c r="E420" s="514">
        <v>14.660216767687226</v>
      </c>
      <c r="F420" s="514">
        <v>459.89021722952316</v>
      </c>
      <c r="G420" s="514">
        <v>1751.8236649893338</v>
      </c>
      <c r="H420" s="514">
        <v>73.7</v>
      </c>
    </row>
    <row r="421" spans="1:8" s="428" customFormat="1" ht="9" customHeight="1" x14ac:dyDescent="0.25">
      <c r="A421" s="428" t="s">
        <v>31</v>
      </c>
      <c r="B421" s="514">
        <v>83.760520532863026</v>
      </c>
      <c r="C421" s="514">
        <v>65.752329048750923</v>
      </c>
      <c r="D421" s="514">
        <v>168.29007415401554</v>
      </c>
      <c r="E421" s="514">
        <v>7.8825891549672162</v>
      </c>
      <c r="F421" s="514">
        <v>214.04754290723986</v>
      </c>
      <c r="G421" s="514">
        <v>2187.3140301755766</v>
      </c>
      <c r="H421" s="514">
        <v>73.2</v>
      </c>
    </row>
    <row r="422" spans="1:8" s="428" customFormat="1" ht="9" customHeight="1" x14ac:dyDescent="0.25">
      <c r="A422" s="428" t="s">
        <v>32</v>
      </c>
      <c r="B422" s="514">
        <v>50.746399071501024</v>
      </c>
      <c r="C422" s="514">
        <v>38.193238412987917</v>
      </c>
      <c r="D422" s="514">
        <v>114.10526507234277</v>
      </c>
      <c r="E422" s="514">
        <v>5.2387205897731866</v>
      </c>
      <c r="F422" s="514">
        <v>166.88784610892546</v>
      </c>
      <c r="G422" s="514">
        <v>1586.589428815375</v>
      </c>
      <c r="H422" s="514">
        <v>82.2</v>
      </c>
    </row>
    <row r="423" spans="1:8" s="428" customFormat="1" ht="9" customHeight="1" x14ac:dyDescent="0.25">
      <c r="A423" s="475" t="s">
        <v>33</v>
      </c>
      <c r="B423" s="515">
        <v>46.452702702702702</v>
      </c>
      <c r="C423" s="515">
        <v>58.376391096979333</v>
      </c>
      <c r="D423" s="515">
        <v>123.21144674085851</v>
      </c>
      <c r="E423" s="515">
        <v>5.8065878378378377</v>
      </c>
      <c r="F423" s="515">
        <v>170.44043124006359</v>
      </c>
      <c r="G423" s="515">
        <v>2179.0944207074722</v>
      </c>
      <c r="H423" s="515">
        <v>66.400000000000006</v>
      </c>
    </row>
    <row r="424" spans="1:8" s="428" customFormat="1" ht="9" customHeight="1" x14ac:dyDescent="0.25">
      <c r="A424" s="428" t="s">
        <v>34</v>
      </c>
      <c r="B424" s="514">
        <v>51.654170177611192</v>
      </c>
      <c r="C424" s="514">
        <v>59.486805719308023</v>
      </c>
      <c r="D424" s="514">
        <v>129.11481324523405</v>
      </c>
      <c r="E424" s="514">
        <v>7.8326355416968285</v>
      </c>
      <c r="F424" s="514">
        <v>185.42734035027544</v>
      </c>
      <c r="G424" s="514">
        <v>2175.99107574241</v>
      </c>
      <c r="H424" s="514">
        <v>81.2</v>
      </c>
    </row>
    <row r="425" spans="1:8" s="428" customFormat="1" ht="9" customHeight="1" x14ac:dyDescent="0.25">
      <c r="A425" s="428" t="s">
        <v>35</v>
      </c>
      <c r="B425" s="514">
        <v>83.144398174902904</v>
      </c>
      <c r="C425" s="514">
        <v>46.815410098826632</v>
      </c>
      <c r="D425" s="514">
        <v>144.08056560025503</v>
      </c>
      <c r="E425" s="514">
        <v>6.2774882519752184</v>
      </c>
      <c r="F425" s="514">
        <v>204.06864555505712</v>
      </c>
      <c r="G425" s="514">
        <v>1545.0764596632596</v>
      </c>
      <c r="H425" s="514">
        <v>73.8</v>
      </c>
    </row>
    <row r="426" spans="1:8" s="428" customFormat="1" ht="9" customHeight="1" x14ac:dyDescent="0.25">
      <c r="A426" s="428" t="s">
        <v>36</v>
      </c>
      <c r="B426" s="514">
        <v>46.252190888673375</v>
      </c>
      <c r="C426" s="514">
        <v>33.263991009325821</v>
      </c>
      <c r="D426" s="514">
        <v>79.168159393193534</v>
      </c>
      <c r="E426" s="514">
        <v>5.1855353216044646</v>
      </c>
      <c r="F426" s="514">
        <v>113.94952852347207</v>
      </c>
      <c r="G426" s="514">
        <v>1558.2217636987052</v>
      </c>
      <c r="H426" s="514">
        <v>76.8</v>
      </c>
    </row>
    <row r="427" spans="1:8" s="428" customFormat="1" ht="9" customHeight="1" x14ac:dyDescent="0.25">
      <c r="A427" s="475" t="s">
        <v>37</v>
      </c>
      <c r="B427" s="515">
        <v>50.216327745069826</v>
      </c>
      <c r="C427" s="515">
        <v>49.752942496329503</v>
      </c>
      <c r="D427" s="515">
        <v>115.45609302824698</v>
      </c>
      <c r="E427" s="515">
        <v>5.3899021037690291</v>
      </c>
      <c r="F427" s="515">
        <v>147.52722998053781</v>
      </c>
      <c r="G427" s="515">
        <v>1821.8834903152483</v>
      </c>
      <c r="H427" s="515">
        <v>76.099999999999994</v>
      </c>
    </row>
    <row r="428" spans="1:8" s="428" customFormat="1" ht="9" customHeight="1" x14ac:dyDescent="0.25">
      <c r="A428" s="428" t="s">
        <v>38</v>
      </c>
      <c r="B428" s="514">
        <v>56.792463078863669</v>
      </c>
      <c r="C428" s="514">
        <v>53.171264582868112</v>
      </c>
      <c r="D428" s="514">
        <v>133.32045796090313</v>
      </c>
      <c r="E428" s="514">
        <v>7.4838102250574874</v>
      </c>
      <c r="F428" s="514">
        <v>195.36365885896038</v>
      </c>
      <c r="G428" s="514">
        <v>1641.2943370490852</v>
      </c>
      <c r="H428" s="514">
        <v>78.5</v>
      </c>
    </row>
    <row r="429" spans="1:8" s="428" customFormat="1" ht="9" customHeight="1" x14ac:dyDescent="0.25">
      <c r="A429" s="428" t="s">
        <v>39</v>
      </c>
      <c r="B429" s="514">
        <v>64.272720050032902</v>
      </c>
      <c r="C429" s="514">
        <v>70.68980620399816</v>
      </c>
      <c r="D429" s="514">
        <v>190.37355590096911</v>
      </c>
      <c r="E429" s="514">
        <v>9.9821340172792787</v>
      </c>
      <c r="F429" s="514">
        <v>251.89609617073117</v>
      </c>
      <c r="G429" s="514">
        <v>2260.7873255418363</v>
      </c>
      <c r="H429" s="514">
        <v>76.3</v>
      </c>
    </row>
    <row r="430" spans="1:8" s="428" customFormat="1" ht="9" customHeight="1" x14ac:dyDescent="0.25">
      <c r="A430" s="428" t="s">
        <v>40</v>
      </c>
      <c r="B430" s="514">
        <v>82.71512454016694</v>
      </c>
      <c r="C430" s="514">
        <v>54.296950298206148</v>
      </c>
      <c r="D430" s="514">
        <v>133.7801135110989</v>
      </c>
      <c r="E430" s="514">
        <v>5.2173089997425981</v>
      </c>
      <c r="F430" s="514">
        <v>228.63817846659597</v>
      </c>
      <c r="G430" s="514">
        <v>1723.8542985662791</v>
      </c>
      <c r="H430" s="514">
        <v>79.599999999999994</v>
      </c>
    </row>
    <row r="431" spans="1:8" s="428" customFormat="1" ht="9" customHeight="1" x14ac:dyDescent="0.25">
      <c r="A431" s="475" t="s">
        <v>41</v>
      </c>
      <c r="B431" s="515">
        <v>49.743588895157394</v>
      </c>
      <c r="C431" s="515">
        <v>56.664675820148801</v>
      </c>
      <c r="D431" s="515">
        <v>107.73181918701769</v>
      </c>
      <c r="E431" s="515">
        <v>3.9430893636405249</v>
      </c>
      <c r="F431" s="515">
        <v>141.62032847313102</v>
      </c>
      <c r="G431" s="515">
        <v>1803.280650350549</v>
      </c>
      <c r="H431" s="515">
        <v>70.8</v>
      </c>
    </row>
    <row r="432" spans="1:8" s="428" customFormat="1" ht="9" customHeight="1" x14ac:dyDescent="0.25">
      <c r="A432" s="428" t="s">
        <v>42</v>
      </c>
      <c r="B432" s="514">
        <v>61.807507446465692</v>
      </c>
      <c r="C432" s="514">
        <v>46.261274837802468</v>
      </c>
      <c r="D432" s="514">
        <v>115.72507718749422</v>
      </c>
      <c r="E432" s="514">
        <v>6.6318610781465077</v>
      </c>
      <c r="F432" s="514">
        <v>145.79310857974113</v>
      </c>
      <c r="G432" s="514">
        <v>1640.5342584150499</v>
      </c>
      <c r="H432" s="514">
        <v>69.900000000000006</v>
      </c>
    </row>
    <row r="433" spans="1:8" s="428" customFormat="1" ht="9" customHeight="1" x14ac:dyDescent="0.25">
      <c r="A433" s="428" t="s">
        <v>43</v>
      </c>
      <c r="B433" s="514">
        <v>44.015984368245995</v>
      </c>
      <c r="C433" s="514">
        <v>46.326215591993709</v>
      </c>
      <c r="D433" s="514">
        <v>137.64114448854824</v>
      </c>
      <c r="E433" s="514">
        <v>6.5051247616054164</v>
      </c>
      <c r="F433" s="514">
        <v>174.9696174196298</v>
      </c>
      <c r="G433" s="514">
        <v>1744.6775008404986</v>
      </c>
      <c r="H433" s="514">
        <v>86.6</v>
      </c>
    </row>
    <row r="434" spans="1:8" s="428" customFormat="1" ht="9" customHeight="1" x14ac:dyDescent="0.25">
      <c r="A434" s="428" t="s">
        <v>44</v>
      </c>
      <c r="B434" s="514">
        <v>43.594764776480538</v>
      </c>
      <c r="C434" s="514">
        <v>44.732780724460952</v>
      </c>
      <c r="D434" s="514">
        <v>116.60286482383951</v>
      </c>
      <c r="E434" s="514">
        <v>6.390397246351565</v>
      </c>
      <c r="F434" s="514">
        <v>147.76699386084167</v>
      </c>
      <c r="G434" s="514">
        <v>1717.0585964411616</v>
      </c>
      <c r="H434" s="514">
        <v>97.5</v>
      </c>
    </row>
    <row r="435" spans="1:8" s="428" customFormat="1" ht="9" customHeight="1" x14ac:dyDescent="0.25">
      <c r="A435" s="475" t="s">
        <v>45</v>
      </c>
      <c r="B435" s="515">
        <v>54.390269436398881</v>
      </c>
      <c r="C435" s="515">
        <v>47.49120871142793</v>
      </c>
      <c r="D435" s="515">
        <v>120.13190041446508</v>
      </c>
      <c r="E435" s="515">
        <v>5.9364010889284913</v>
      </c>
      <c r="F435" s="515">
        <v>175.00349966888518</v>
      </c>
      <c r="G435" s="515">
        <v>1802.7398095458134</v>
      </c>
      <c r="H435" s="515">
        <v>91.3</v>
      </c>
    </row>
    <row r="436" spans="1:8" s="428" customFormat="1" ht="9" customHeight="1" x14ac:dyDescent="0.25">
      <c r="A436" s="428" t="s">
        <v>46</v>
      </c>
      <c r="B436" s="514">
        <v>77.337300954286391</v>
      </c>
      <c r="C436" s="514">
        <v>53.707494301265875</v>
      </c>
      <c r="D436" s="514">
        <v>162.42696749820726</v>
      </c>
      <c r="E436" s="514">
        <v>7.4914686707525613</v>
      </c>
      <c r="F436" s="514">
        <v>230.93104419891975</v>
      </c>
      <c r="G436" s="514">
        <v>2248.7320409742338</v>
      </c>
      <c r="H436" s="514">
        <v>72.7</v>
      </c>
    </row>
    <row r="437" spans="1:8" s="428" customFormat="1" ht="9" customHeight="1" x14ac:dyDescent="0.25">
      <c r="A437" s="428" t="s">
        <v>47</v>
      </c>
      <c r="B437" s="514">
        <v>92.355431965101701</v>
      </c>
      <c r="C437" s="514">
        <v>52.716691108532409</v>
      </c>
      <c r="D437" s="514">
        <v>160.45794689947306</v>
      </c>
      <c r="E437" s="514">
        <v>7.409488842443495</v>
      </c>
      <c r="F437" s="514">
        <v>238.11586820989177</v>
      </c>
      <c r="G437" s="514">
        <v>1724.1985807792191</v>
      </c>
      <c r="H437" s="514">
        <v>76.099999999999994</v>
      </c>
    </row>
    <row r="438" spans="1:8" s="428" customFormat="1" ht="9" customHeight="1" x14ac:dyDescent="0.25">
      <c r="A438" s="428" t="s">
        <v>48</v>
      </c>
      <c r="B438" s="514">
        <v>64.251754033974152</v>
      </c>
      <c r="C438" s="514">
        <v>73.006724303554265</v>
      </c>
      <c r="D438" s="514">
        <v>176.55856710319921</v>
      </c>
      <c r="E438" s="514">
        <v>16.683082235922129</v>
      </c>
      <c r="F438" s="514">
        <v>215.46954607911087</v>
      </c>
      <c r="G438" s="514">
        <v>2707.7114264521701</v>
      </c>
      <c r="H438" s="514">
        <v>89.1</v>
      </c>
    </row>
    <row r="439" spans="1:8" s="428" customFormat="1" ht="9" customHeight="1" x14ac:dyDescent="0.25">
      <c r="A439" s="475" t="s">
        <v>49</v>
      </c>
      <c r="B439" s="515">
        <v>82.969752002640647</v>
      </c>
      <c r="C439" s="515">
        <v>52.016640187414026</v>
      </c>
      <c r="D439" s="515">
        <v>152.26105417822058</v>
      </c>
      <c r="E439" s="515">
        <v>6.4860255048503914</v>
      </c>
      <c r="F439" s="515">
        <v>227.94205474719271</v>
      </c>
      <c r="G439" s="515">
        <v>1851.2818569812111</v>
      </c>
      <c r="H439" s="515">
        <v>76.7</v>
      </c>
    </row>
    <row r="440" spans="1:8" s="428" customFormat="1" ht="9" customHeight="1" x14ac:dyDescent="0.25">
      <c r="A440" s="428" t="s">
        <v>50</v>
      </c>
      <c r="B440" s="514">
        <v>49.555315781510892</v>
      </c>
      <c r="C440" s="514">
        <v>45.206768875637906</v>
      </c>
      <c r="D440" s="514">
        <v>132.9930595379488</v>
      </c>
      <c r="E440" s="514">
        <v>7.156983449249287</v>
      </c>
      <c r="F440" s="514">
        <v>177.92804423196964</v>
      </c>
      <c r="G440" s="514">
        <v>1778.2204840113895</v>
      </c>
      <c r="H440" s="514">
        <v>79</v>
      </c>
    </row>
    <row r="441" spans="1:8" s="428" customFormat="1" ht="9" customHeight="1" x14ac:dyDescent="0.25">
      <c r="A441" s="428" t="s">
        <v>51</v>
      </c>
      <c r="B441" s="514">
        <v>64.293850091980445</v>
      </c>
      <c r="C441" s="514">
        <v>54.203740792435298</v>
      </c>
      <c r="D441" s="514">
        <v>131.97373416723144</v>
      </c>
      <c r="E441" s="514">
        <v>7.329607698726198</v>
      </c>
      <c r="F441" s="514">
        <v>178.72548049046088</v>
      </c>
      <c r="G441" s="514">
        <v>1832.4738609055316</v>
      </c>
      <c r="H441" s="514">
        <v>70.3</v>
      </c>
    </row>
    <row r="442" spans="1:8" s="428" customFormat="1" ht="9" customHeight="1" x14ac:dyDescent="0.25">
      <c r="A442" s="428" t="s">
        <v>52</v>
      </c>
      <c r="B442" s="514">
        <v>74.341195154703271</v>
      </c>
      <c r="C442" s="514">
        <v>48.849737992617072</v>
      </c>
      <c r="D442" s="514">
        <v>158.22835439311666</v>
      </c>
      <c r="E442" s="514">
        <v>5.7595760951993933</v>
      </c>
      <c r="F442" s="514">
        <v>226.75664404433167</v>
      </c>
      <c r="G442" s="514">
        <v>2655.766135612419</v>
      </c>
      <c r="H442" s="514">
        <v>91.8</v>
      </c>
    </row>
    <row r="443" spans="1:8" s="428" customFormat="1" ht="9" customHeight="1" x14ac:dyDescent="0.25">
      <c r="A443" s="475" t="s">
        <v>53</v>
      </c>
      <c r="B443" s="515">
        <v>50.611937914137833</v>
      </c>
      <c r="C443" s="515">
        <v>57.327209006097462</v>
      </c>
      <c r="D443" s="515">
        <v>127.66083781135885</v>
      </c>
      <c r="E443" s="515">
        <v>6.0084004507007212</v>
      </c>
      <c r="F443" s="515">
        <v>168.94208326087909</v>
      </c>
      <c r="G443" s="515">
        <v>2144.159905448983</v>
      </c>
      <c r="H443" s="515">
        <v>84.6</v>
      </c>
    </row>
    <row r="444" spans="1:8" s="428" customFormat="1" ht="9" customHeight="1" x14ac:dyDescent="0.25">
      <c r="B444" s="514"/>
      <c r="C444" s="514"/>
      <c r="D444" s="514"/>
      <c r="E444" s="514"/>
      <c r="F444" s="514"/>
      <c r="G444" s="514"/>
      <c r="H444" s="514"/>
    </row>
    <row r="445" spans="1:8" s="428" customFormat="1" ht="9" customHeight="1" x14ac:dyDescent="0.25">
      <c r="A445" s="470">
        <v>2007</v>
      </c>
      <c r="B445" s="471"/>
      <c r="C445" s="471"/>
      <c r="D445" s="471"/>
      <c r="E445" s="471"/>
      <c r="F445" s="471"/>
      <c r="G445" s="512"/>
      <c r="H445" s="512"/>
    </row>
    <row r="446" spans="1:8" s="473" customFormat="1" ht="9" customHeight="1" x14ac:dyDescent="0.25">
      <c r="A446" s="429" t="s">
        <v>21</v>
      </c>
      <c r="B446" s="513">
        <v>74.057692857046305</v>
      </c>
      <c r="C446" s="513">
        <v>53.478390022486856</v>
      </c>
      <c r="D446" s="513">
        <v>142.31963878792558</v>
      </c>
      <c r="E446" s="513">
        <v>7.3598110047233538</v>
      </c>
      <c r="F446" s="513">
        <v>206.7020016045185</v>
      </c>
      <c r="G446" s="513">
        <v>1805.9773229054858</v>
      </c>
      <c r="H446" s="513">
        <v>73.015886227290792</v>
      </c>
    </row>
    <row r="447" spans="1:8" s="473" customFormat="1" ht="3" customHeight="1" x14ac:dyDescent="0.25">
      <c r="A447" s="429"/>
      <c r="B447" s="513"/>
      <c r="C447" s="513"/>
      <c r="D447" s="513"/>
      <c r="E447" s="513"/>
      <c r="F447" s="513"/>
      <c r="G447" s="513"/>
      <c r="H447" s="513"/>
    </row>
    <row r="448" spans="1:8" s="428" customFormat="1" ht="8.65" customHeight="1" x14ac:dyDescent="0.25">
      <c r="A448" s="428" t="s">
        <v>23</v>
      </c>
      <c r="B448" s="514">
        <v>78.283790792148054</v>
      </c>
      <c r="C448" s="514">
        <v>57.039158855396359</v>
      </c>
      <c r="D448" s="514">
        <v>180.4901083029913</v>
      </c>
      <c r="E448" s="514">
        <v>8.1229475052285895</v>
      </c>
      <c r="F448" s="514">
        <v>271.36000457027376</v>
      </c>
      <c r="G448" s="514">
        <v>2016.1209265872999</v>
      </c>
      <c r="H448" s="514">
        <v>87.785257962231142</v>
      </c>
    </row>
    <row r="449" spans="1:8" s="428" customFormat="1" ht="8.65" customHeight="1" x14ac:dyDescent="0.25">
      <c r="A449" s="428" t="s">
        <v>24</v>
      </c>
      <c r="B449" s="514">
        <v>66.546124782740037</v>
      </c>
      <c r="C449" s="514">
        <v>36.236654993030506</v>
      </c>
      <c r="D449" s="514">
        <v>115.68114303072471</v>
      </c>
      <c r="E449" s="514">
        <v>5.6577676940791122</v>
      </c>
      <c r="F449" s="514">
        <v>183.64170973698452</v>
      </c>
      <c r="G449" s="514">
        <v>1497.3484265512302</v>
      </c>
      <c r="H449" s="514">
        <v>73.309439298985083</v>
      </c>
    </row>
    <row r="450" spans="1:8" s="428" customFormat="1" ht="8.65" customHeight="1" x14ac:dyDescent="0.25">
      <c r="A450" s="428" t="s">
        <v>25</v>
      </c>
      <c r="B450" s="514">
        <v>85.974520278535635</v>
      </c>
      <c r="C450" s="514">
        <v>81.975705381859569</v>
      </c>
      <c r="D450" s="514">
        <v>200.12250914728909</v>
      </c>
      <c r="E450" s="514">
        <v>8.7246870472932567</v>
      </c>
      <c r="F450" s="514">
        <v>278.09939963247257</v>
      </c>
      <c r="G450" s="514">
        <v>2160.2416011254845</v>
      </c>
      <c r="H450" s="514">
        <v>78.072344985374613</v>
      </c>
    </row>
    <row r="451" spans="1:8" s="428" customFormat="1" ht="8.65" customHeight="1" x14ac:dyDescent="0.25">
      <c r="A451" s="475" t="s">
        <v>26</v>
      </c>
      <c r="B451" s="515">
        <v>86.634648049899539</v>
      </c>
      <c r="C451" s="515">
        <v>68.57523890830241</v>
      </c>
      <c r="D451" s="515">
        <v>213.17680161549623</v>
      </c>
      <c r="E451" s="515">
        <v>10.229455527757818</v>
      </c>
      <c r="F451" s="515">
        <v>262.42973563803389</v>
      </c>
      <c r="G451" s="515">
        <v>2153.4203636887164</v>
      </c>
      <c r="H451" s="515">
        <v>69.233994967850151</v>
      </c>
    </row>
    <row r="452" spans="1:8" s="428" customFormat="1" ht="8.65" customHeight="1" x14ac:dyDescent="0.25">
      <c r="A452" s="428" t="s">
        <v>27</v>
      </c>
      <c r="B452" s="514">
        <v>96.407248605714926</v>
      </c>
      <c r="C452" s="514">
        <v>57.501398476689261</v>
      </c>
      <c r="D452" s="514">
        <v>151.50799227522631</v>
      </c>
      <c r="E452" s="514">
        <v>6.3636405206143847</v>
      </c>
      <c r="F452" s="514">
        <v>252.56412796785713</v>
      </c>
      <c r="G452" s="514">
        <v>1860.1690975519416</v>
      </c>
      <c r="H452" s="514">
        <v>76.631003302831772</v>
      </c>
    </row>
    <row r="453" spans="1:8" s="428" customFormat="1" ht="8.65" customHeight="1" x14ac:dyDescent="0.25">
      <c r="A453" s="428" t="s">
        <v>28</v>
      </c>
      <c r="B453" s="514">
        <v>90.570191898721504</v>
      </c>
      <c r="C453" s="514">
        <v>74.390986347752843</v>
      </c>
      <c r="D453" s="514">
        <v>212.33122336477436</v>
      </c>
      <c r="E453" s="514">
        <v>11.508919412544723</v>
      </c>
      <c r="F453" s="514">
        <v>315.07751841010116</v>
      </c>
      <c r="G453" s="514">
        <v>1942.1668459722953</v>
      </c>
      <c r="H453" s="514">
        <v>64.381543429450801</v>
      </c>
    </row>
    <row r="454" spans="1:8" s="428" customFormat="1" ht="8.65" customHeight="1" x14ac:dyDescent="0.25">
      <c r="A454" s="428" t="s">
        <v>29</v>
      </c>
      <c r="B454" s="514">
        <v>44.968606070584777</v>
      </c>
      <c r="C454" s="514">
        <v>49.483170853261598</v>
      </c>
      <c r="D454" s="514">
        <v>93.323135728177164</v>
      </c>
      <c r="E454" s="514">
        <v>5.9530290516669808</v>
      </c>
      <c r="F454" s="514">
        <v>136.189370944084</v>
      </c>
      <c r="G454" s="514">
        <v>1786.388056054961</v>
      </c>
      <c r="H454" s="514">
        <v>65.601337504044878</v>
      </c>
    </row>
    <row r="455" spans="1:8" s="428" customFormat="1" ht="8.65" customHeight="1" x14ac:dyDescent="0.25">
      <c r="A455" s="475" t="s">
        <v>30</v>
      </c>
      <c r="B455" s="515">
        <v>73.95488424167776</v>
      </c>
      <c r="C455" s="515">
        <v>42.715578040437016</v>
      </c>
      <c r="D455" s="515">
        <v>113.71942095203575</v>
      </c>
      <c r="E455" s="515">
        <v>4.3222322511258673</v>
      </c>
      <c r="F455" s="515">
        <v>208.33159450426677</v>
      </c>
      <c r="G455" s="515">
        <v>1699.570876858709</v>
      </c>
      <c r="H455" s="515">
        <v>76.093819880406159</v>
      </c>
    </row>
    <row r="456" spans="1:8" s="428" customFormat="1" ht="8.65" customHeight="1" x14ac:dyDescent="0.25">
      <c r="A456" s="428" t="s">
        <v>63</v>
      </c>
      <c r="B456" s="514">
        <v>172.40970496074672</v>
      </c>
      <c r="C456" s="514">
        <v>83.291279457845022</v>
      </c>
      <c r="D456" s="514">
        <v>305.71825335044122</v>
      </c>
      <c r="E456" s="514">
        <v>14.651749172791321</v>
      </c>
      <c r="F456" s="514">
        <v>463.979513499294</v>
      </c>
      <c r="G456" s="514">
        <v>1804.643530771805</v>
      </c>
      <c r="H456" s="514">
        <v>71.573747328478305</v>
      </c>
    </row>
    <row r="457" spans="1:8" s="428" customFormat="1" ht="8.65" customHeight="1" x14ac:dyDescent="0.25">
      <c r="A457" s="428" t="s">
        <v>31</v>
      </c>
      <c r="B457" s="514">
        <v>88.037751803159992</v>
      </c>
      <c r="C457" s="514">
        <v>66.961855792770152</v>
      </c>
      <c r="D457" s="514">
        <v>169.61982374728166</v>
      </c>
      <c r="E457" s="514">
        <v>8.1645362923131852</v>
      </c>
      <c r="F457" s="514">
        <v>226.64499583545359</v>
      </c>
      <c r="G457" s="514">
        <v>2149.2819005521505</v>
      </c>
      <c r="H457" s="514">
        <v>72.79674620604078</v>
      </c>
    </row>
    <row r="458" spans="1:8" s="428" customFormat="1" ht="8.65" customHeight="1" x14ac:dyDescent="0.25">
      <c r="A458" s="428" t="s">
        <v>32</v>
      </c>
      <c r="B458" s="514">
        <v>57.752352798316473</v>
      </c>
      <c r="C458" s="514">
        <v>39.818523592668903</v>
      </c>
      <c r="D458" s="514">
        <v>111.92181315274007</v>
      </c>
      <c r="E458" s="514">
        <v>5.5002240760301397</v>
      </c>
      <c r="F458" s="514">
        <v>165.27786008746907</v>
      </c>
      <c r="G458" s="514">
        <v>1583.854789436316</v>
      </c>
      <c r="H458" s="514">
        <v>74.004116020322854</v>
      </c>
    </row>
    <row r="459" spans="1:8" s="428" customFormat="1" ht="8.65" customHeight="1" x14ac:dyDescent="0.25">
      <c r="A459" s="475" t="s">
        <v>33</v>
      </c>
      <c r="B459" s="515">
        <v>51.057115055539548</v>
      </c>
      <c r="C459" s="515">
        <v>60.521211367574168</v>
      </c>
      <c r="D459" s="515">
        <v>126.46360411777012</v>
      </c>
      <c r="E459" s="515">
        <v>5.5743220996449896</v>
      </c>
      <c r="F459" s="515">
        <v>175.13172398774753</v>
      </c>
      <c r="G459" s="515">
        <v>2116.2405424121685</v>
      </c>
      <c r="H459" s="515">
        <v>62.511278566204567</v>
      </c>
    </row>
    <row r="460" spans="1:8" s="428" customFormat="1" ht="8.65" customHeight="1" x14ac:dyDescent="0.25">
      <c r="A460" s="428" t="s">
        <v>34</v>
      </c>
      <c r="B460" s="514">
        <v>52.915784569128995</v>
      </c>
      <c r="C460" s="514">
        <v>62.419684994025829</v>
      </c>
      <c r="D460" s="514">
        <v>131.72567071965065</v>
      </c>
      <c r="E460" s="514">
        <v>8.3360482540408682</v>
      </c>
      <c r="F460" s="514">
        <v>190.68206996562085</v>
      </c>
      <c r="G460" s="514">
        <v>2141.6483870954753</v>
      </c>
      <c r="H460" s="514">
        <v>75.975688580304833</v>
      </c>
    </row>
    <row r="461" spans="1:8" s="428" customFormat="1" ht="8.65" customHeight="1" x14ac:dyDescent="0.25">
      <c r="A461" s="428" t="s">
        <v>35</v>
      </c>
      <c r="B461" s="514">
        <v>89.984609645942612</v>
      </c>
      <c r="C461" s="514">
        <v>46.032384836963566</v>
      </c>
      <c r="D461" s="514">
        <v>140.84239971789066</v>
      </c>
      <c r="E461" s="514">
        <v>6.127274096036035</v>
      </c>
      <c r="F461" s="514">
        <v>206.09150100385409</v>
      </c>
      <c r="G461" s="514">
        <v>1542.8488909492378</v>
      </c>
      <c r="H461" s="514">
        <v>68.725344512254239</v>
      </c>
    </row>
    <row r="462" spans="1:8" s="428" customFormat="1" ht="8.65" customHeight="1" x14ac:dyDescent="0.25">
      <c r="A462" s="428" t="s">
        <v>36</v>
      </c>
      <c r="B462" s="514">
        <v>46.165084283518922</v>
      </c>
      <c r="C462" s="514">
        <v>35.176010728957657</v>
      </c>
      <c r="D462" s="514">
        <v>84.72973567162343</v>
      </c>
      <c r="E462" s="514">
        <v>5.0692417957682734</v>
      </c>
      <c r="F462" s="514">
        <v>118.43779275471584</v>
      </c>
      <c r="G462" s="514">
        <v>1576.7467773787246</v>
      </c>
      <c r="H462" s="514">
        <v>74.718801522522341</v>
      </c>
    </row>
    <row r="463" spans="1:8" s="428" customFormat="1" ht="8.65" customHeight="1" x14ac:dyDescent="0.25">
      <c r="A463" s="475" t="s">
        <v>37</v>
      </c>
      <c r="B463" s="515">
        <v>54.017468129933981</v>
      </c>
      <c r="C463" s="515">
        <v>52.576361821443079</v>
      </c>
      <c r="D463" s="515">
        <v>123.31066312987153</v>
      </c>
      <c r="E463" s="515">
        <v>6.4369415112593629</v>
      </c>
      <c r="F463" s="515">
        <v>150.66766455272383</v>
      </c>
      <c r="G463" s="515">
        <v>1788.9209188109528</v>
      </c>
      <c r="H463" s="515">
        <v>70.265384310835259</v>
      </c>
    </row>
    <row r="464" spans="1:8" s="428" customFormat="1" ht="8.65" customHeight="1" x14ac:dyDescent="0.25">
      <c r="A464" s="428" t="s">
        <v>38</v>
      </c>
      <c r="B464" s="514">
        <v>46.00636856199862</v>
      </c>
      <c r="C464" s="514">
        <v>55.195784962913294</v>
      </c>
      <c r="D464" s="514">
        <v>133.75047355137744</v>
      </c>
      <c r="E464" s="514">
        <v>7.2922465633064828</v>
      </c>
      <c r="F464" s="514">
        <v>193.62989655088595</v>
      </c>
      <c r="G464" s="514">
        <v>1691.3595178342857</v>
      </c>
      <c r="H464" s="514">
        <v>94.517370427905661</v>
      </c>
    </row>
    <row r="465" spans="1:8" s="428" customFormat="1" ht="8.65" customHeight="1" x14ac:dyDescent="0.25">
      <c r="A465" s="428" t="s">
        <v>39</v>
      </c>
      <c r="B465" s="514">
        <v>66.276954201332899</v>
      </c>
      <c r="C465" s="514">
        <v>72.238899107000023</v>
      </c>
      <c r="D465" s="514">
        <v>195.25369566059842</v>
      </c>
      <c r="E465" s="514">
        <v>10.135306339634116</v>
      </c>
      <c r="F465" s="514">
        <v>252.58773250343063</v>
      </c>
      <c r="G465" s="514">
        <v>2303.7283022467586</v>
      </c>
      <c r="H465" s="514">
        <v>74.141422439465202</v>
      </c>
    </row>
    <row r="466" spans="1:8" s="428" customFormat="1" ht="8.65" customHeight="1" x14ac:dyDescent="0.25">
      <c r="A466" s="428" t="s">
        <v>40</v>
      </c>
      <c r="B466" s="514">
        <v>85.482291496654142</v>
      </c>
      <c r="C466" s="514">
        <v>56.036124258745438</v>
      </c>
      <c r="D466" s="514">
        <v>132.24706671744372</v>
      </c>
      <c r="E466" s="514">
        <v>5.8484304444807131</v>
      </c>
      <c r="F466" s="514">
        <v>220.97093012712401</v>
      </c>
      <c r="G466" s="514">
        <v>1682.3830767277807</v>
      </c>
      <c r="H466" s="514">
        <v>70.010861549750629</v>
      </c>
    </row>
    <row r="467" spans="1:8" s="428" customFormat="1" ht="8.65" customHeight="1" x14ac:dyDescent="0.25">
      <c r="A467" s="475" t="s">
        <v>41</v>
      </c>
      <c r="B467" s="515">
        <v>48.519898059204074</v>
      </c>
      <c r="C467" s="515">
        <v>61.562003093075425</v>
      </c>
      <c r="D467" s="515">
        <v>106.4878346293755</v>
      </c>
      <c r="E467" s="515">
        <v>4.3292164934980066</v>
      </c>
      <c r="F467" s="515">
        <v>152.09436058289222</v>
      </c>
      <c r="G467" s="515">
        <v>1860.3993770284694</v>
      </c>
      <c r="H467" s="515">
        <v>73.348707777931523</v>
      </c>
    </row>
    <row r="468" spans="1:8" s="428" customFormat="1" ht="8.65" customHeight="1" x14ac:dyDescent="0.25">
      <c r="A468" s="428" t="s">
        <v>42</v>
      </c>
      <c r="B468" s="514">
        <v>62.53794184753577</v>
      </c>
      <c r="C468" s="514">
        <v>47.801172719733849</v>
      </c>
      <c r="D468" s="514">
        <v>117.27197338493276</v>
      </c>
      <c r="E468" s="514">
        <v>7.8927931154934283</v>
      </c>
      <c r="F468" s="514">
        <v>150.35415353793562</v>
      </c>
      <c r="G468" s="514">
        <v>1647.0842440117431</v>
      </c>
      <c r="H468" s="514">
        <v>73.988440770362999</v>
      </c>
    </row>
    <row r="469" spans="1:8" s="428" customFormat="1" ht="8.65" customHeight="1" x14ac:dyDescent="0.25">
      <c r="A469" s="428" t="s">
        <v>43</v>
      </c>
      <c r="B469" s="514">
        <v>45.462547337062404</v>
      </c>
      <c r="C469" s="514">
        <v>48.070568305550992</v>
      </c>
      <c r="D469" s="514">
        <v>135.6170903614065</v>
      </c>
      <c r="E469" s="514">
        <v>6.5793256250507524</v>
      </c>
      <c r="F469" s="514">
        <v>174.55958527724744</v>
      </c>
      <c r="G469" s="514">
        <v>1679.0302666760713</v>
      </c>
      <c r="H469" s="514">
        <v>86.601060884785056</v>
      </c>
    </row>
    <row r="470" spans="1:8" s="428" customFormat="1" ht="8.65" customHeight="1" x14ac:dyDescent="0.25">
      <c r="A470" s="428" t="s">
        <v>44</v>
      </c>
      <c r="B470" s="514">
        <v>44.33548705277105</v>
      </c>
      <c r="C470" s="514">
        <v>51.851407715050335</v>
      </c>
      <c r="D470" s="514">
        <v>120.50807623677008</v>
      </c>
      <c r="E470" s="514">
        <v>5.1513613527981601</v>
      </c>
      <c r="F470" s="514">
        <v>161.55006996562099</v>
      </c>
      <c r="G470" s="514">
        <v>1669.4793662643256</v>
      </c>
      <c r="H470" s="514">
        <v>96.87253750815394</v>
      </c>
    </row>
    <row r="471" spans="1:8" s="428" customFormat="1" ht="8.65" customHeight="1" x14ac:dyDescent="0.25">
      <c r="A471" s="475" t="s">
        <v>45</v>
      </c>
      <c r="B471" s="515">
        <v>63.359909295287743</v>
      </c>
      <c r="C471" s="515">
        <v>50.140078596458906</v>
      </c>
      <c r="D471" s="515">
        <v>126.8389161644388</v>
      </c>
      <c r="E471" s="515">
        <v>6.9076592840727233</v>
      </c>
      <c r="F471" s="515">
        <v>178.36846645596981</v>
      </c>
      <c r="G471" s="515">
        <v>1863.8861617749983</v>
      </c>
      <c r="H471" s="515">
        <v>82.12088440278778</v>
      </c>
    </row>
    <row r="472" spans="1:8" s="428" customFormat="1" ht="8.65" customHeight="1" x14ac:dyDescent="0.25">
      <c r="A472" s="428" t="s">
        <v>46</v>
      </c>
      <c r="B472" s="514">
        <v>82.19983759528715</v>
      </c>
      <c r="C472" s="514">
        <v>55.489508345223058</v>
      </c>
      <c r="D472" s="514">
        <v>162.92192530122082</v>
      </c>
      <c r="E472" s="514">
        <v>8.3492868748471452</v>
      </c>
      <c r="F472" s="514">
        <v>234.18641371529225</v>
      </c>
      <c r="G472" s="514">
        <v>2270.7304296040588</v>
      </c>
      <c r="H472" s="514">
        <v>67.422256426042793</v>
      </c>
    </row>
    <row r="473" spans="1:8" s="428" customFormat="1" ht="8.65" customHeight="1" x14ac:dyDescent="0.25">
      <c r="A473" s="428" t="s">
        <v>47</v>
      </c>
      <c r="B473" s="514">
        <v>95.093561653253033</v>
      </c>
      <c r="C473" s="514">
        <v>55.871938021092255</v>
      </c>
      <c r="D473" s="514">
        <v>152.83319603778151</v>
      </c>
      <c r="E473" s="514">
        <v>8.1463352022218434</v>
      </c>
      <c r="F473" s="514">
        <v>241.84680995474213</v>
      </c>
      <c r="G473" s="514">
        <v>1927.7129978553282</v>
      </c>
      <c r="H473" s="514">
        <v>72.072769321479896</v>
      </c>
    </row>
    <row r="474" spans="1:8" s="428" customFormat="1" ht="8.65" customHeight="1" x14ac:dyDescent="0.25">
      <c r="A474" s="428" t="s">
        <v>48</v>
      </c>
      <c r="B474" s="514">
        <v>77.421654050510369</v>
      </c>
      <c r="C474" s="514">
        <v>81.328469824136121</v>
      </c>
      <c r="D474" s="514">
        <v>198.86645169651095</v>
      </c>
      <c r="E474" s="514">
        <v>17.818891455317463</v>
      </c>
      <c r="F474" s="514">
        <v>272.61951044739715</v>
      </c>
      <c r="G474" s="514">
        <v>2691.1185690000834</v>
      </c>
      <c r="H474" s="514">
        <v>74.971380400421495</v>
      </c>
    </row>
    <row r="475" spans="1:8" s="428" customFormat="1" ht="8.65" customHeight="1" x14ac:dyDescent="0.25">
      <c r="A475" s="475" t="s">
        <v>49</v>
      </c>
      <c r="B475" s="515">
        <v>86.139741606129036</v>
      </c>
      <c r="C475" s="515">
        <v>53.750184607797962</v>
      </c>
      <c r="D475" s="515">
        <v>151.04562490611147</v>
      </c>
      <c r="E475" s="515">
        <v>7.1624656375957185</v>
      </c>
      <c r="F475" s="515">
        <v>231.00536297537695</v>
      </c>
      <c r="G475" s="515">
        <v>1841.5827401058143</v>
      </c>
      <c r="H475" s="515">
        <v>69.717157055449718</v>
      </c>
    </row>
    <row r="476" spans="1:8" s="428" customFormat="1" ht="8.65" customHeight="1" x14ac:dyDescent="0.25">
      <c r="A476" s="428" t="s">
        <v>50</v>
      </c>
      <c r="B476" s="514">
        <v>54.339388293743205</v>
      </c>
      <c r="C476" s="514">
        <v>47.558118161847503</v>
      </c>
      <c r="D476" s="514">
        <v>135.00081196787104</v>
      </c>
      <c r="E476" s="514">
        <v>7.8519969948266048</v>
      </c>
      <c r="F476" s="514">
        <v>184.78961109415792</v>
      </c>
      <c r="G476" s="514">
        <v>1817.5401121051027</v>
      </c>
      <c r="H476" s="514">
        <v>63.312414242976359</v>
      </c>
    </row>
    <row r="477" spans="1:8" s="428" customFormat="1" ht="8.65" customHeight="1" x14ac:dyDescent="0.25">
      <c r="A477" s="428" t="s">
        <v>51</v>
      </c>
      <c r="B477" s="514">
        <v>64.914700737848065</v>
      </c>
      <c r="C477" s="514">
        <v>55.900638666478493</v>
      </c>
      <c r="D477" s="514">
        <v>138.29185676359384</v>
      </c>
      <c r="E477" s="514">
        <v>8.0050252723356685</v>
      </c>
      <c r="F477" s="514">
        <v>183.90032007992647</v>
      </c>
      <c r="G477" s="514">
        <v>1827.5422917593578</v>
      </c>
      <c r="H477" s="514">
        <v>73.918405343114046</v>
      </c>
    </row>
    <row r="478" spans="1:8" s="428" customFormat="1" ht="8.65" customHeight="1" x14ac:dyDescent="0.25">
      <c r="A478" s="428" t="s">
        <v>52</v>
      </c>
      <c r="B478" s="514">
        <v>81.647593584862065</v>
      </c>
      <c r="C478" s="514">
        <v>54.853680444610177</v>
      </c>
      <c r="D478" s="514">
        <v>156.8076845786789</v>
      </c>
      <c r="E478" s="514">
        <v>6.1182951265142123</v>
      </c>
      <c r="F478" s="514">
        <v>228.3811887741943</v>
      </c>
      <c r="G478" s="514">
        <v>2574.8628789848694</v>
      </c>
      <c r="H478" s="514">
        <v>86.039432232487343</v>
      </c>
    </row>
    <row r="479" spans="1:8" s="428" customFormat="1" ht="8.65" customHeight="1" x14ac:dyDescent="0.25">
      <c r="A479" s="475" t="s">
        <v>53</v>
      </c>
      <c r="B479" s="515">
        <v>61.074918566775246</v>
      </c>
      <c r="C479" s="515">
        <v>64.072888313774484</v>
      </c>
      <c r="D479" s="515">
        <v>139.71933425549952</v>
      </c>
      <c r="E479" s="515">
        <v>6.3445406273704874</v>
      </c>
      <c r="F479" s="515">
        <v>188.8023738342778</v>
      </c>
      <c r="G479" s="515">
        <v>2134.1626321895496</v>
      </c>
      <c r="H479" s="515">
        <v>72.047913930068191</v>
      </c>
    </row>
    <row r="480" spans="1:8" s="428" customFormat="1" ht="7.5" customHeight="1" x14ac:dyDescent="0.25">
      <c r="B480" s="514"/>
      <c r="C480" s="514"/>
      <c r="D480" s="514"/>
      <c r="E480" s="514"/>
      <c r="F480" s="514"/>
      <c r="G480" s="514"/>
      <c r="H480" s="514"/>
    </row>
    <row r="481" spans="1:8" s="428" customFormat="1" ht="9" customHeight="1" x14ac:dyDescent="0.25">
      <c r="A481" s="470">
        <v>2008</v>
      </c>
      <c r="B481" s="471"/>
      <c r="C481" s="471"/>
      <c r="D481" s="471"/>
      <c r="E481" s="471"/>
      <c r="F481" s="471"/>
      <c r="G481" s="512"/>
      <c r="H481" s="512"/>
    </row>
    <row r="482" spans="1:8" s="473" customFormat="1" ht="9" customHeight="1" x14ac:dyDescent="0.25">
      <c r="A482" s="429" t="s">
        <v>21</v>
      </c>
      <c r="B482" s="513">
        <v>72.03205503117573</v>
      </c>
      <c r="C482" s="513">
        <v>53.191638407334757</v>
      </c>
      <c r="D482" s="513">
        <v>145.98904169008523</v>
      </c>
      <c r="E482" s="513">
        <v>7.7937369223417328</v>
      </c>
      <c r="F482" s="513">
        <v>209.5172617399449</v>
      </c>
      <c r="G482" s="513">
        <v>1811.4581678358384</v>
      </c>
      <c r="H482" s="513">
        <v>75.099999999999994</v>
      </c>
    </row>
    <row r="483" spans="1:8" s="473" customFormat="1" ht="3" customHeight="1" x14ac:dyDescent="0.25">
      <c r="A483" s="429"/>
      <c r="B483" s="513"/>
      <c r="C483" s="513"/>
      <c r="D483" s="513"/>
      <c r="E483" s="513"/>
      <c r="F483" s="513"/>
      <c r="G483" s="513"/>
      <c r="H483" s="513"/>
    </row>
    <row r="484" spans="1:8" s="428" customFormat="1" ht="8.65" customHeight="1" x14ac:dyDescent="0.25">
      <c r="A484" s="428" t="s">
        <v>23</v>
      </c>
      <c r="B484" s="514">
        <v>74.858622268645263</v>
      </c>
      <c r="C484" s="514">
        <v>57.785603154743711</v>
      </c>
      <c r="D484" s="514">
        <v>183.86328276509363</v>
      </c>
      <c r="E484" s="514">
        <v>8.4051786406899947</v>
      </c>
      <c r="F484" s="514">
        <v>275.35715442677116</v>
      </c>
      <c r="G484" s="514">
        <v>2040.2511747550459</v>
      </c>
      <c r="H484" s="514">
        <v>90.2</v>
      </c>
    </row>
    <row r="485" spans="1:8" s="428" customFormat="1" ht="8.65" customHeight="1" x14ac:dyDescent="0.25">
      <c r="A485" s="428" t="s">
        <v>24</v>
      </c>
      <c r="B485" s="514">
        <v>60.34833852449961</v>
      </c>
      <c r="C485" s="514">
        <v>34.758004811378463</v>
      </c>
      <c r="D485" s="514">
        <v>114.9586383040468</v>
      </c>
      <c r="E485" s="514">
        <v>5.7710159791188156</v>
      </c>
      <c r="F485" s="514">
        <v>181.01203833933243</v>
      </c>
      <c r="G485" s="514">
        <v>1489.769307758389</v>
      </c>
      <c r="H485" s="514">
        <v>63</v>
      </c>
    </row>
    <row r="486" spans="1:8" s="428" customFormat="1" ht="8.65" customHeight="1" x14ac:dyDescent="0.25">
      <c r="A486" s="428" t="s">
        <v>25</v>
      </c>
      <c r="B486" s="514">
        <v>83.164342463470192</v>
      </c>
      <c r="C486" s="514">
        <v>77.955719762209</v>
      </c>
      <c r="D486" s="514">
        <v>200.53197399855546</v>
      </c>
      <c r="E486" s="514">
        <v>9.5491416189788314</v>
      </c>
      <c r="F486" s="514">
        <v>284.7380410022779</v>
      </c>
      <c r="G486" s="514">
        <v>2117.2513056280904</v>
      </c>
      <c r="H486" s="514">
        <v>72</v>
      </c>
    </row>
    <row r="487" spans="1:8" s="428" customFormat="1" ht="8.65" customHeight="1" x14ac:dyDescent="0.25">
      <c r="A487" s="475" t="s">
        <v>26</v>
      </c>
      <c r="B487" s="515">
        <v>84.66620349272992</v>
      </c>
      <c r="C487" s="515">
        <v>67.857471916967356</v>
      </c>
      <c r="D487" s="515">
        <v>213.15961820522591</v>
      </c>
      <c r="E487" s="515">
        <v>10.707784559374666</v>
      </c>
      <c r="F487" s="515">
        <v>263.46130380973017</v>
      </c>
      <c r="G487" s="515">
        <v>2142.572906316846</v>
      </c>
      <c r="H487" s="515">
        <v>65.599999999999994</v>
      </c>
    </row>
    <row r="488" spans="1:8" s="428" customFormat="1" ht="8.65" customHeight="1" x14ac:dyDescent="0.25">
      <c r="A488" s="428" t="s">
        <v>27</v>
      </c>
      <c r="B488" s="514">
        <v>97.072471041169663</v>
      </c>
      <c r="C488" s="514">
        <v>54.078953774478784</v>
      </c>
      <c r="D488" s="514">
        <v>154.48454592778737</v>
      </c>
      <c r="E488" s="514">
        <v>6.067029440073104</v>
      </c>
      <c r="F488" s="514">
        <v>253.80406490972487</v>
      </c>
      <c r="G488" s="514">
        <v>1830.0359153162533</v>
      </c>
      <c r="H488" s="514">
        <v>72.400000000000006</v>
      </c>
    </row>
    <row r="489" spans="1:8" s="428" customFormat="1" ht="8.65" customHeight="1" x14ac:dyDescent="0.25">
      <c r="A489" s="428" t="s">
        <v>28</v>
      </c>
      <c r="B489" s="514">
        <v>85.103342092697687</v>
      </c>
      <c r="C489" s="514">
        <v>74.384218852014385</v>
      </c>
      <c r="D489" s="514">
        <v>220.39167026677626</v>
      </c>
      <c r="E489" s="514">
        <v>11.693588989836323</v>
      </c>
      <c r="F489" s="514">
        <v>323.19780680242059</v>
      </c>
      <c r="G489" s="514">
        <v>1914.1934184583304</v>
      </c>
      <c r="H489" s="514">
        <v>70.099999999999994</v>
      </c>
    </row>
    <row r="490" spans="1:8" s="428" customFormat="1" ht="8.65" customHeight="1" x14ac:dyDescent="0.25">
      <c r="A490" s="428" t="s">
        <v>29</v>
      </c>
      <c r="B490" s="514">
        <v>40.766947147017696</v>
      </c>
      <c r="C490" s="514">
        <v>48.218503905027312</v>
      </c>
      <c r="D490" s="514">
        <v>90.523417708494662</v>
      </c>
      <c r="E490" s="514">
        <v>5.6969750795247895</v>
      </c>
      <c r="F490" s="514">
        <v>120.61124426917883</v>
      </c>
      <c r="G490" s="514">
        <v>1809.5995113165104</v>
      </c>
      <c r="H490" s="514">
        <v>66.099999999999994</v>
      </c>
    </row>
    <row r="491" spans="1:8" s="428" customFormat="1" ht="8.65" customHeight="1" x14ac:dyDescent="0.25">
      <c r="A491" s="475" t="s">
        <v>30</v>
      </c>
      <c r="B491" s="515">
        <v>78.472566227299112</v>
      </c>
      <c r="C491" s="515">
        <v>45.310148409208864</v>
      </c>
      <c r="D491" s="515">
        <v>111.36897534631376</v>
      </c>
      <c r="E491" s="515">
        <v>4.6699304948825837</v>
      </c>
      <c r="F491" s="515">
        <v>192.44251552012975</v>
      </c>
      <c r="G491" s="515">
        <v>1768.7870121548242</v>
      </c>
      <c r="H491" s="515">
        <v>74.599999999999994</v>
      </c>
    </row>
    <row r="492" spans="1:8" s="428" customFormat="1" ht="8.65" customHeight="1" x14ac:dyDescent="0.25">
      <c r="A492" s="428" t="s">
        <v>63</v>
      </c>
      <c r="B492" s="514">
        <v>168.1747299548168</v>
      </c>
      <c r="C492" s="514">
        <v>81.677520286586997</v>
      </c>
      <c r="D492" s="514">
        <v>308.51603329499574</v>
      </c>
      <c r="E492" s="514">
        <v>14.626806754498329</v>
      </c>
      <c r="F492" s="514">
        <v>465.01615602374505</v>
      </c>
      <c r="G492" s="514">
        <v>1741.207058217039</v>
      </c>
      <c r="H492" s="514">
        <v>70.400000000000006</v>
      </c>
    </row>
    <row r="493" spans="1:8" s="428" customFormat="1" ht="8.65" customHeight="1" x14ac:dyDescent="0.25">
      <c r="A493" s="428" t="s">
        <v>31</v>
      </c>
      <c r="B493" s="514">
        <v>84.072664766183053</v>
      </c>
      <c r="C493" s="514">
        <v>66.958318446766896</v>
      </c>
      <c r="D493" s="514">
        <v>178.01418616910973</v>
      </c>
      <c r="E493" s="514">
        <v>8.6820953956162299</v>
      </c>
      <c r="F493" s="514">
        <v>229.16984177349602</v>
      </c>
      <c r="G493" s="514">
        <v>2101.6142451324049</v>
      </c>
      <c r="H493" s="514">
        <v>78.599999999999994</v>
      </c>
    </row>
    <row r="494" spans="1:8" s="428" customFormat="1" ht="8.65" customHeight="1" x14ac:dyDescent="0.25">
      <c r="A494" s="428" t="s">
        <v>32</v>
      </c>
      <c r="B494" s="514">
        <v>57.10935645415362</v>
      </c>
      <c r="C494" s="514">
        <v>40.954916979074312</v>
      </c>
      <c r="D494" s="514">
        <v>113.08107632555517</v>
      </c>
      <c r="E494" s="514">
        <v>5.5744192554851146</v>
      </c>
      <c r="F494" s="514">
        <v>173.24309094342684</v>
      </c>
      <c r="G494" s="514">
        <v>1556.5926798394871</v>
      </c>
      <c r="H494" s="514">
        <v>76.3</v>
      </c>
    </row>
    <row r="495" spans="1:8" s="428" customFormat="1" ht="8.65" customHeight="1" x14ac:dyDescent="0.25">
      <c r="A495" s="475" t="s">
        <v>33</v>
      </c>
      <c r="B495" s="515">
        <v>48.967205557506126</v>
      </c>
      <c r="C495" s="515">
        <v>60.71088185952209</v>
      </c>
      <c r="D495" s="515">
        <v>126.13130999954414</v>
      </c>
      <c r="E495" s="515">
        <v>5.6454176567531729</v>
      </c>
      <c r="F495" s="515">
        <v>177.96650848427782</v>
      </c>
      <c r="G495" s="515">
        <v>2033.8863930641667</v>
      </c>
      <c r="H495" s="515">
        <v>71.7</v>
      </c>
    </row>
    <row r="496" spans="1:8" s="428" customFormat="1" ht="8.65" customHeight="1" x14ac:dyDescent="0.25">
      <c r="A496" s="428" t="s">
        <v>34</v>
      </c>
      <c r="B496" s="514">
        <v>52.605402472611182</v>
      </c>
      <c r="C496" s="514">
        <v>64.714867316829597</v>
      </c>
      <c r="D496" s="514">
        <v>137.84345371373303</v>
      </c>
      <c r="E496" s="514">
        <v>10.143642629247896</v>
      </c>
      <c r="F496" s="514">
        <v>200.199334372598</v>
      </c>
      <c r="G496" s="514">
        <v>2161.0885150768731</v>
      </c>
      <c r="H496" s="514">
        <v>77.400000000000006</v>
      </c>
    </row>
    <row r="497" spans="1:8" s="428" customFormat="1" ht="8.65" customHeight="1" x14ac:dyDescent="0.25">
      <c r="A497" s="428" t="s">
        <v>35</v>
      </c>
      <c r="B497" s="514">
        <v>84.265597250007758</v>
      </c>
      <c r="C497" s="514">
        <v>46.207470007980781</v>
      </c>
      <c r="D497" s="514">
        <v>145.44835524670708</v>
      </c>
      <c r="E497" s="514">
        <v>5.9901151954874088</v>
      </c>
      <c r="F497" s="514">
        <v>210.33662636433579</v>
      </c>
      <c r="G497" s="514">
        <v>1536.0874489952139</v>
      </c>
      <c r="H497" s="514">
        <v>77.7</v>
      </c>
    </row>
    <row r="498" spans="1:8" s="428" customFormat="1" ht="8.65" customHeight="1" x14ac:dyDescent="0.25">
      <c r="A498" s="428" t="s">
        <v>36</v>
      </c>
      <c r="B498" s="514">
        <v>45.044412115028351</v>
      </c>
      <c r="C498" s="514">
        <v>35.904476663373678</v>
      </c>
      <c r="D498" s="514">
        <v>91.946534687710098</v>
      </c>
      <c r="E498" s="514">
        <v>5.9041415999602247</v>
      </c>
      <c r="F498" s="514">
        <v>128.72920174924718</v>
      </c>
      <c r="G498" s="514">
        <v>1709.1353688615843</v>
      </c>
      <c r="H498" s="514">
        <v>81.5</v>
      </c>
    </row>
    <row r="499" spans="1:8" s="428" customFormat="1" ht="8.65" customHeight="1" x14ac:dyDescent="0.25">
      <c r="A499" s="475" t="s">
        <v>37</v>
      </c>
      <c r="B499" s="515">
        <v>52.641320197980534</v>
      </c>
      <c r="C499" s="515">
        <v>50.230267364485243</v>
      </c>
      <c r="D499" s="515">
        <v>126.67482485001243</v>
      </c>
      <c r="E499" s="515">
        <v>6.9258674530796123</v>
      </c>
      <c r="F499" s="515">
        <v>153.57461038449912</v>
      </c>
      <c r="G499" s="515">
        <v>1741.8471548512866</v>
      </c>
      <c r="H499" s="515">
        <v>72.400000000000006</v>
      </c>
    </row>
    <row r="500" spans="1:8" s="428" customFormat="1" ht="8.65" customHeight="1" x14ac:dyDescent="0.25">
      <c r="A500" s="428" t="s">
        <v>38</v>
      </c>
      <c r="B500" s="514">
        <v>47.782424099569027</v>
      </c>
      <c r="C500" s="514">
        <v>55.523060403153288</v>
      </c>
      <c r="D500" s="514">
        <v>138.63305018900539</v>
      </c>
      <c r="E500" s="514">
        <v>7.8570368495028244</v>
      </c>
      <c r="F500" s="514">
        <v>205.33056300034048</v>
      </c>
      <c r="G500" s="514">
        <v>1676.7696520496681</v>
      </c>
      <c r="H500" s="514">
        <v>93.8</v>
      </c>
    </row>
    <row r="501" spans="1:8" s="428" customFormat="1" ht="8.65" customHeight="1" x14ac:dyDescent="0.25">
      <c r="A501" s="428" t="s">
        <v>39</v>
      </c>
      <c r="B501" s="514">
        <v>63.559671001190779</v>
      </c>
      <c r="C501" s="514">
        <v>70.632622194920856</v>
      </c>
      <c r="D501" s="514">
        <v>194.16704372924744</v>
      </c>
      <c r="E501" s="514">
        <v>11.045430631304495</v>
      </c>
      <c r="F501" s="514">
        <v>248.32840971959141</v>
      </c>
      <c r="G501" s="514">
        <v>2365.7849377144289</v>
      </c>
      <c r="H501" s="514">
        <v>73.7</v>
      </c>
    </row>
    <row r="502" spans="1:8" s="428" customFormat="1" ht="8.65" customHeight="1" x14ac:dyDescent="0.25">
      <c r="A502" s="428" t="s">
        <v>40</v>
      </c>
      <c r="B502" s="514">
        <v>82.479657019868526</v>
      </c>
      <c r="C502" s="514">
        <v>55.58701804008939</v>
      </c>
      <c r="D502" s="514">
        <v>131.9496562680313</v>
      </c>
      <c r="E502" s="514">
        <v>5.7388758120620498</v>
      </c>
      <c r="F502" s="514">
        <v>219.41190314023279</v>
      </c>
      <c r="G502" s="514">
        <v>1615.542032371708</v>
      </c>
      <c r="H502" s="514">
        <v>74</v>
      </c>
    </row>
    <row r="503" spans="1:8" s="428" customFormat="1" ht="8.65" customHeight="1" x14ac:dyDescent="0.25">
      <c r="A503" s="475" t="s">
        <v>41</v>
      </c>
      <c r="B503" s="515">
        <v>48.629337783947648</v>
      </c>
      <c r="C503" s="515">
        <v>61.92852132154659</v>
      </c>
      <c r="D503" s="515">
        <v>119.93445517543773</v>
      </c>
      <c r="E503" s="515">
        <v>5.776413051684389</v>
      </c>
      <c r="F503" s="515">
        <v>164.80240771642809</v>
      </c>
      <c r="G503" s="515">
        <v>1991.5688549779113</v>
      </c>
      <c r="H503" s="515">
        <v>75.5</v>
      </c>
    </row>
    <row r="504" spans="1:8" s="428" customFormat="1" ht="8.65" customHeight="1" x14ac:dyDescent="0.25">
      <c r="A504" s="428" t="s">
        <v>42</v>
      </c>
      <c r="B504" s="514">
        <v>60.05504753186581</v>
      </c>
      <c r="C504" s="514">
        <v>47.386911408262748</v>
      </c>
      <c r="D504" s="514">
        <v>123.58900068436047</v>
      </c>
      <c r="E504" s="514">
        <v>8.1525869089484306</v>
      </c>
      <c r="F504" s="514">
        <v>157.99151182169027</v>
      </c>
      <c r="G504" s="514">
        <v>1601.341487091591</v>
      </c>
      <c r="H504" s="514">
        <v>78</v>
      </c>
    </row>
    <row r="505" spans="1:8" s="428" customFormat="1" ht="8.65" customHeight="1" x14ac:dyDescent="0.25">
      <c r="A505" s="428" t="s">
        <v>43</v>
      </c>
      <c r="B505" s="514">
        <v>44.640485281922274</v>
      </c>
      <c r="C505" s="514">
        <v>47.412468844059752</v>
      </c>
      <c r="D505" s="514">
        <v>138.77242707950739</v>
      </c>
      <c r="E505" s="514">
        <v>7.2764568506108755</v>
      </c>
      <c r="F505" s="514">
        <v>177.23369900416489</v>
      </c>
      <c r="G505" s="514">
        <v>1583.7098611005235</v>
      </c>
      <c r="H505" s="514">
        <v>86.8</v>
      </c>
    </row>
    <row r="506" spans="1:8" s="428" customFormat="1" ht="8.65" customHeight="1" x14ac:dyDescent="0.25">
      <c r="A506" s="428" t="s">
        <v>44</v>
      </c>
      <c r="B506" s="514">
        <v>57.499535768620568</v>
      </c>
      <c r="C506" s="514">
        <v>51.635560449441137</v>
      </c>
      <c r="D506" s="514">
        <v>119.88571763655733</v>
      </c>
      <c r="E506" s="514">
        <v>5.0495343026267356</v>
      </c>
      <c r="F506" s="514">
        <v>166.14596737675066</v>
      </c>
      <c r="G506" s="514">
        <v>1583.8866102639115</v>
      </c>
      <c r="H506" s="514">
        <v>75.8</v>
      </c>
    </row>
    <row r="507" spans="1:8" s="428" customFormat="1" ht="8.65" customHeight="1" x14ac:dyDescent="0.25">
      <c r="A507" s="475" t="s">
        <v>45</v>
      </c>
      <c r="B507" s="515">
        <v>61.173270343449822</v>
      </c>
      <c r="C507" s="515">
        <v>51.082429214908998</v>
      </c>
      <c r="D507" s="515">
        <v>130.55271109882585</v>
      </c>
      <c r="E507" s="515">
        <v>7.3030990268816867</v>
      </c>
      <c r="F507" s="515">
        <v>184.30509049560558</v>
      </c>
      <c r="G507" s="515">
        <v>1891.5580101646574</v>
      </c>
      <c r="H507" s="515">
        <v>81.3</v>
      </c>
    </row>
    <row r="508" spans="1:8" s="428" customFormat="1" ht="8.65" customHeight="1" x14ac:dyDescent="0.25">
      <c r="A508" s="428" t="s">
        <v>46</v>
      </c>
      <c r="B508" s="514">
        <v>77.288830775885444</v>
      </c>
      <c r="C508" s="514">
        <v>56.173463655769012</v>
      </c>
      <c r="D508" s="514">
        <v>167.20296771544534</v>
      </c>
      <c r="E508" s="514">
        <v>8.7096314984189078</v>
      </c>
      <c r="F508" s="514">
        <v>234.9038848250041</v>
      </c>
      <c r="G508" s="514">
        <v>2304.8528383335033</v>
      </c>
      <c r="H508" s="514">
        <v>73.900000000000006</v>
      </c>
    </row>
    <row r="509" spans="1:8" s="428" customFormat="1" ht="8.65" customHeight="1" x14ac:dyDescent="0.25">
      <c r="A509" s="428" t="s">
        <v>47</v>
      </c>
      <c r="B509" s="514">
        <v>98.336311745206444</v>
      </c>
      <c r="C509" s="514">
        <v>56.359217908667667</v>
      </c>
      <c r="D509" s="514">
        <v>168.84379805003343</v>
      </c>
      <c r="E509" s="514">
        <v>8.1459727129402086</v>
      </c>
      <c r="F509" s="514">
        <v>258.02076248643152</v>
      </c>
      <c r="G509" s="514">
        <v>2048.50205695555</v>
      </c>
      <c r="H509" s="514">
        <v>74.599999999999994</v>
      </c>
    </row>
    <row r="510" spans="1:8" s="428" customFormat="1" ht="8.65" customHeight="1" x14ac:dyDescent="0.25">
      <c r="A510" s="428" t="s">
        <v>48</v>
      </c>
      <c r="B510" s="514">
        <v>73.59199348958029</v>
      </c>
      <c r="C510" s="514">
        <v>83.432241034764985</v>
      </c>
      <c r="D510" s="514">
        <v>202.16811899704092</v>
      </c>
      <c r="E510" s="514">
        <v>18.23477151738016</v>
      </c>
      <c r="F510" s="514">
        <v>266.89922607152602</v>
      </c>
      <c r="G510" s="514">
        <v>2550.4396631930435</v>
      </c>
      <c r="H510" s="514">
        <v>79.599999999999994</v>
      </c>
    </row>
    <row r="511" spans="1:8" s="428" customFormat="1" ht="8.65" customHeight="1" x14ac:dyDescent="0.25">
      <c r="A511" s="475" t="s">
        <v>49</v>
      </c>
      <c r="B511" s="515">
        <v>86.247265502156651</v>
      </c>
      <c r="C511" s="515">
        <v>54.080380325745203</v>
      </c>
      <c r="D511" s="515">
        <v>154.61361912782414</v>
      </c>
      <c r="E511" s="515">
        <v>8.0339062102407617</v>
      </c>
      <c r="F511" s="515">
        <v>237.76611142058843</v>
      </c>
      <c r="G511" s="515">
        <v>1831.9547525400585</v>
      </c>
      <c r="H511" s="515">
        <v>67.5</v>
      </c>
    </row>
    <row r="512" spans="1:8" s="428" customFormat="1" ht="8.65" customHeight="1" x14ac:dyDescent="0.25">
      <c r="A512" s="428" t="s">
        <v>50</v>
      </c>
      <c r="B512" s="514">
        <v>53.040055779873228</v>
      </c>
      <c r="C512" s="514">
        <v>47.683361404753583</v>
      </c>
      <c r="D512" s="514">
        <v>135.14676464441209</v>
      </c>
      <c r="E512" s="514">
        <v>9.2205394981567697</v>
      </c>
      <c r="F512" s="514">
        <v>188.71370839560856</v>
      </c>
      <c r="G512" s="514">
        <v>1791.4963794014905</v>
      </c>
      <c r="H512" s="514">
        <v>71.599999999999994</v>
      </c>
    </row>
    <row r="513" spans="1:8" s="428" customFormat="1" ht="8.65" customHeight="1" x14ac:dyDescent="0.25">
      <c r="A513" s="428" t="s">
        <v>51</v>
      </c>
      <c r="B513" s="514">
        <v>63.462174894358292</v>
      </c>
      <c r="C513" s="514">
        <v>55.082135031971845</v>
      </c>
      <c r="D513" s="514">
        <v>141.66257862605656</v>
      </c>
      <c r="E513" s="514">
        <v>9.1648372463242218</v>
      </c>
      <c r="F513" s="514">
        <v>184.98605454953693</v>
      </c>
      <c r="G513" s="514">
        <v>1813.1819091167386</v>
      </c>
      <c r="H513" s="514">
        <v>76.900000000000006</v>
      </c>
    </row>
    <row r="514" spans="1:8" s="428" customFormat="1" ht="8.65" customHeight="1" x14ac:dyDescent="0.25">
      <c r="A514" s="428" t="s">
        <v>52</v>
      </c>
      <c r="B514" s="514">
        <v>77.566820583982249</v>
      </c>
      <c r="C514" s="514">
        <v>48.687775823547994</v>
      </c>
      <c r="D514" s="514">
        <v>159.51241329770542</v>
      </c>
      <c r="E514" s="514">
        <v>6.6724146738909456</v>
      </c>
      <c r="F514" s="514">
        <v>227.07061187085125</v>
      </c>
      <c r="G514" s="514">
        <v>2590.5118263337272</v>
      </c>
      <c r="H514" s="514">
        <v>91.3</v>
      </c>
    </row>
    <row r="515" spans="1:8" s="428" customFormat="1" ht="8.65" customHeight="1" x14ac:dyDescent="0.25">
      <c r="A515" s="475" t="s">
        <v>53</v>
      </c>
      <c r="B515" s="515">
        <v>57.522215120714179</v>
      </c>
      <c r="C515" s="515">
        <v>61.920568487172616</v>
      </c>
      <c r="D515" s="515">
        <v>145.83290380663738</v>
      </c>
      <c r="E515" s="515">
        <v>7.6971183913022561</v>
      </c>
      <c r="F515" s="515">
        <v>180.26376375344481</v>
      </c>
      <c r="G515" s="515">
        <v>2102.8609914163385</v>
      </c>
      <c r="H515" s="515">
        <v>76.099999999999994</v>
      </c>
    </row>
    <row r="516" spans="1:8" s="428" customFormat="1" ht="7.5" customHeight="1" x14ac:dyDescent="0.25">
      <c r="B516" s="514"/>
      <c r="C516" s="514"/>
      <c r="D516" s="514"/>
      <c r="E516" s="514"/>
      <c r="F516" s="514"/>
      <c r="G516" s="514"/>
      <c r="H516" s="514"/>
    </row>
    <row r="517" spans="1:8" s="428" customFormat="1" ht="9" customHeight="1" x14ac:dyDescent="0.25">
      <c r="A517" s="470">
        <v>2009</v>
      </c>
      <c r="B517" s="471"/>
      <c r="C517" s="471"/>
      <c r="D517" s="471"/>
      <c r="E517" s="471"/>
      <c r="F517" s="471"/>
      <c r="G517" s="512"/>
      <c r="H517" s="512"/>
    </row>
    <row r="518" spans="1:8" s="473" customFormat="1" ht="9" customHeight="1" x14ac:dyDescent="0.25">
      <c r="A518" s="429" t="s">
        <v>21</v>
      </c>
      <c r="B518" s="513">
        <v>71.435880892172477</v>
      </c>
      <c r="C518" s="513">
        <v>57.898220090650909</v>
      </c>
      <c r="D518" s="513">
        <v>150.33365569625931</v>
      </c>
      <c r="E518" s="513">
        <v>8.0533800213035676</v>
      </c>
      <c r="F518" s="513">
        <v>216.14232831369574</v>
      </c>
      <c r="G518" s="513">
        <v>1893.6296370713146</v>
      </c>
      <c r="H518" s="513">
        <v>76.3</v>
      </c>
    </row>
    <row r="519" spans="1:8" s="473" customFormat="1" ht="3" customHeight="1" x14ac:dyDescent="0.25">
      <c r="A519" s="429"/>
      <c r="B519" s="513"/>
      <c r="C519" s="513"/>
      <c r="D519" s="513"/>
      <c r="E519" s="513"/>
      <c r="F519" s="513"/>
      <c r="G519" s="513"/>
      <c r="H519" s="513"/>
    </row>
    <row r="520" spans="1:8" s="428" customFormat="1" ht="8.65" customHeight="1" x14ac:dyDescent="0.25">
      <c r="A520" s="428" t="s">
        <v>23</v>
      </c>
      <c r="B520" s="514">
        <v>73.410596197073531</v>
      </c>
      <c r="C520" s="514">
        <v>63.107354625554443</v>
      </c>
      <c r="D520" s="514">
        <v>184.94318620876771</v>
      </c>
      <c r="E520" s="514">
        <v>8.586034642932578</v>
      </c>
      <c r="F520" s="514">
        <v>282.73812079176975</v>
      </c>
      <c r="G520" s="514">
        <v>2118.2803546375749</v>
      </c>
      <c r="H520" s="514">
        <v>88.455980132980855</v>
      </c>
    </row>
    <row r="521" spans="1:8" s="428" customFormat="1" ht="8.65" customHeight="1" x14ac:dyDescent="0.25">
      <c r="A521" s="428" t="s">
        <v>24</v>
      </c>
      <c r="B521" s="514">
        <v>62.860004281066544</v>
      </c>
      <c r="C521" s="514">
        <v>42.326381927312909</v>
      </c>
      <c r="D521" s="514">
        <v>123.78287437781671</v>
      </c>
      <c r="E521" s="514">
        <v>6.3279716687668426</v>
      </c>
      <c r="F521" s="514">
        <v>194.94027008170508</v>
      </c>
      <c r="G521" s="514">
        <v>1592.3033138877347</v>
      </c>
      <c r="H521" s="514">
        <v>60.435513716219546</v>
      </c>
    </row>
    <row r="522" spans="1:8" s="428" customFormat="1" ht="8.65" customHeight="1" x14ac:dyDescent="0.25">
      <c r="A522" s="428" t="s">
        <v>25</v>
      </c>
      <c r="B522" s="514">
        <v>80.99517846324926</v>
      </c>
      <c r="C522" s="514">
        <v>88.961917328486891</v>
      </c>
      <c r="D522" s="514">
        <v>205.80742068530552</v>
      </c>
      <c r="E522" s="514">
        <v>9.1285549497514538</v>
      </c>
      <c r="F522" s="514">
        <v>300.57841843636152</v>
      </c>
      <c r="G522" s="514">
        <v>2192.4614733487688</v>
      </c>
      <c r="H522" s="514">
        <v>69.670446889737264</v>
      </c>
    </row>
    <row r="523" spans="1:8" s="428" customFormat="1" ht="8.65" customHeight="1" x14ac:dyDescent="0.25">
      <c r="A523" s="475" t="s">
        <v>26</v>
      </c>
      <c r="B523" s="515">
        <v>84.556581116024162</v>
      </c>
      <c r="C523" s="515">
        <v>83.452068445422967</v>
      </c>
      <c r="D523" s="515">
        <v>225.81147932290921</v>
      </c>
      <c r="E523" s="515">
        <v>11.781468486412654</v>
      </c>
      <c r="F523" s="515">
        <v>287.05057072624163</v>
      </c>
      <c r="G523" s="515">
        <v>2272.5348197619405</v>
      </c>
      <c r="H523" s="515">
        <v>66.872378074239023</v>
      </c>
    </row>
    <row r="524" spans="1:8" s="428" customFormat="1" ht="8.65" customHeight="1" x14ac:dyDescent="0.25">
      <c r="A524" s="428" t="s">
        <v>27</v>
      </c>
      <c r="B524" s="514">
        <v>93.881301796183735</v>
      </c>
      <c r="C524" s="514">
        <v>57.44755472514418</v>
      </c>
      <c r="D524" s="514">
        <v>158.2475882883536</v>
      </c>
      <c r="E524" s="514">
        <v>5.9250841196337047</v>
      </c>
      <c r="F524" s="514">
        <v>262.72779832338523</v>
      </c>
      <c r="G524" s="514">
        <v>1863.285124248278</v>
      </c>
      <c r="H524" s="514">
        <v>69.182002223141069</v>
      </c>
    </row>
    <row r="525" spans="1:8" s="428" customFormat="1" ht="8.65" customHeight="1" x14ac:dyDescent="0.25">
      <c r="A525" s="428" t="s">
        <v>28</v>
      </c>
      <c r="B525" s="514">
        <v>90.451800417786117</v>
      </c>
      <c r="C525" s="514">
        <v>86.498487462463288</v>
      </c>
      <c r="D525" s="514">
        <v>216.95781498811635</v>
      </c>
      <c r="E525" s="514">
        <v>11.701806347755547</v>
      </c>
      <c r="F525" s="514">
        <v>315.31624131654809</v>
      </c>
      <c r="G525" s="514">
        <v>1979.1296702462598</v>
      </c>
      <c r="H525" s="514">
        <v>62.471501101638083</v>
      </c>
    </row>
    <row r="526" spans="1:8" s="428" customFormat="1" ht="8.65" customHeight="1" x14ac:dyDescent="0.25">
      <c r="A526" s="428" t="s">
        <v>29</v>
      </c>
      <c r="B526" s="514">
        <v>40.491383073287494</v>
      </c>
      <c r="C526" s="514">
        <v>48.886455165969089</v>
      </c>
      <c r="D526" s="514">
        <v>96.818924866860726</v>
      </c>
      <c r="E526" s="514">
        <v>6.1691060075008695</v>
      </c>
      <c r="F526" s="514">
        <v>137.50110503316373</v>
      </c>
      <c r="G526" s="514">
        <v>1892.7981093280064</v>
      </c>
      <c r="H526" s="514">
        <v>72.221042817184255</v>
      </c>
    </row>
    <row r="527" spans="1:8" s="428" customFormat="1" ht="8.65" customHeight="1" x14ac:dyDescent="0.25">
      <c r="A527" s="475" t="s">
        <v>30</v>
      </c>
      <c r="B527" s="515">
        <v>78.124084254451262</v>
      </c>
      <c r="C527" s="515">
        <v>54.974036782202013</v>
      </c>
      <c r="D527" s="515">
        <v>112.32168602674857</v>
      </c>
      <c r="E527" s="515">
        <v>4.9230480700479413</v>
      </c>
      <c r="F527" s="515">
        <v>195.77907235708508</v>
      </c>
      <c r="G527" s="515">
        <v>1825.3888621898186</v>
      </c>
      <c r="H527" s="515">
        <v>75.626920428737321</v>
      </c>
    </row>
    <row r="528" spans="1:8" s="428" customFormat="1" ht="8.65" customHeight="1" x14ac:dyDescent="0.25">
      <c r="A528" s="428" t="s">
        <v>63</v>
      </c>
      <c r="B528" s="514">
        <v>168.02467791169903</v>
      </c>
      <c r="C528" s="514">
        <v>91.135440235614752</v>
      </c>
      <c r="D528" s="514">
        <v>316.67049472789864</v>
      </c>
      <c r="E528" s="514">
        <v>14.872409265443878</v>
      </c>
      <c r="F528" s="514">
        <v>472.94261464111531</v>
      </c>
      <c r="G528" s="514">
        <v>1806.3219816221749</v>
      </c>
      <c r="H528" s="514">
        <v>70.905024897483628</v>
      </c>
    </row>
    <row r="529" spans="1:8" s="428" customFormat="1" ht="8.65" customHeight="1" x14ac:dyDescent="0.25">
      <c r="A529" s="428" t="s">
        <v>31</v>
      </c>
      <c r="B529" s="514">
        <v>87.94960924980893</v>
      </c>
      <c r="C529" s="514">
        <v>70.32270788649754</v>
      </c>
      <c r="D529" s="514">
        <v>190.56775879496092</v>
      </c>
      <c r="E529" s="514">
        <v>9.0599807706530573</v>
      </c>
      <c r="F529" s="514">
        <v>235.99092769272488</v>
      </c>
      <c r="G529" s="514">
        <v>2185.2581170031804</v>
      </c>
      <c r="H529" s="514">
        <v>74.846934367530309</v>
      </c>
    </row>
    <row r="530" spans="1:8" s="428" customFormat="1" ht="8.65" customHeight="1" x14ac:dyDescent="0.25">
      <c r="A530" s="428" t="s">
        <v>32</v>
      </c>
      <c r="B530" s="514">
        <v>56.829971481079625</v>
      </c>
      <c r="C530" s="514">
        <v>43.968060887876433</v>
      </c>
      <c r="D530" s="514">
        <v>120.48993300299443</v>
      </c>
      <c r="E530" s="514">
        <v>5.9205620190935342</v>
      </c>
      <c r="F530" s="514">
        <v>178.54484835009342</v>
      </c>
      <c r="G530" s="514">
        <v>1695.7985538980868</v>
      </c>
      <c r="H530" s="514">
        <v>78.050249188013922</v>
      </c>
    </row>
    <row r="531" spans="1:8" s="428" customFormat="1" ht="8.65" customHeight="1" x14ac:dyDescent="0.25">
      <c r="A531" s="475" t="s">
        <v>33</v>
      </c>
      <c r="B531" s="515">
        <v>46.232869070835356</v>
      </c>
      <c r="C531" s="515">
        <v>65.213931147536101</v>
      </c>
      <c r="D531" s="515">
        <v>131.9749081069663</v>
      </c>
      <c r="E531" s="515">
        <v>6.8129517485336528</v>
      </c>
      <c r="F531" s="515">
        <v>180.08208268067338</v>
      </c>
      <c r="G531" s="515">
        <v>2145.1256900344961</v>
      </c>
      <c r="H531" s="515">
        <v>78.810846071120039</v>
      </c>
    </row>
    <row r="532" spans="1:8" s="428" customFormat="1" ht="8.65" customHeight="1" x14ac:dyDescent="0.25">
      <c r="A532" s="428" t="s">
        <v>34</v>
      </c>
      <c r="B532" s="514">
        <v>51.891566584133997</v>
      </c>
      <c r="C532" s="514">
        <v>67.551151766328289</v>
      </c>
      <c r="D532" s="514">
        <v>138.51824245720385</v>
      </c>
      <c r="E532" s="514">
        <v>10.286198109872716</v>
      </c>
      <c r="F532" s="514">
        <v>203.72813271344916</v>
      </c>
      <c r="G532" s="514">
        <v>2279.3428194085204</v>
      </c>
      <c r="H532" s="514">
        <v>93.231539272108293</v>
      </c>
    </row>
    <row r="533" spans="1:8" s="428" customFormat="1" ht="8.65" customHeight="1" x14ac:dyDescent="0.25">
      <c r="A533" s="428" t="s">
        <v>35</v>
      </c>
      <c r="B533" s="514">
        <v>82.008156390555172</v>
      </c>
      <c r="C533" s="514">
        <v>50.896886226674603</v>
      </c>
      <c r="D533" s="514">
        <v>146.90442861869388</v>
      </c>
      <c r="E533" s="514">
        <v>6.0467475285462013</v>
      </c>
      <c r="F533" s="514">
        <v>218.58786644009874</v>
      </c>
      <c r="G533" s="514">
        <v>1629.3901820838848</v>
      </c>
      <c r="H533" s="514">
        <v>78.69028178272292</v>
      </c>
    </row>
    <row r="534" spans="1:8" s="428" customFormat="1" ht="8.65" customHeight="1" x14ac:dyDescent="0.25">
      <c r="A534" s="428" t="s">
        <v>36</v>
      </c>
      <c r="B534" s="514">
        <v>44.51747329117886</v>
      </c>
      <c r="C534" s="514">
        <v>38.351673539061302</v>
      </c>
      <c r="D534" s="514">
        <v>96.451199790136656</v>
      </c>
      <c r="E534" s="514">
        <v>6.0061673960756776</v>
      </c>
      <c r="F534" s="514">
        <v>139.59184401045431</v>
      </c>
      <c r="G534" s="514">
        <v>1841.2555324251227</v>
      </c>
      <c r="H534" s="514">
        <v>85.524684346147779</v>
      </c>
    </row>
    <row r="535" spans="1:8" s="428" customFormat="1" ht="8.65" customHeight="1" x14ac:dyDescent="0.25">
      <c r="A535" s="475" t="s">
        <v>37</v>
      </c>
      <c r="B535" s="515">
        <v>53.611333877897344</v>
      </c>
      <c r="C535" s="515">
        <v>55.541807071765227</v>
      </c>
      <c r="D535" s="515">
        <v>128.99282329146146</v>
      </c>
      <c r="E535" s="515">
        <v>7.5125643568593672</v>
      </c>
      <c r="F535" s="515">
        <v>159.85713568016851</v>
      </c>
      <c r="G535" s="515">
        <v>1780.9196681260735</v>
      </c>
      <c r="H535" s="515">
        <v>69.764954090274273</v>
      </c>
    </row>
    <row r="536" spans="1:8" s="428" customFormat="1" ht="8.65" customHeight="1" x14ac:dyDescent="0.25">
      <c r="A536" s="428" t="s">
        <v>38</v>
      </c>
      <c r="B536" s="514">
        <v>46.840440894218297</v>
      </c>
      <c r="C536" s="514">
        <v>57.350978850969717</v>
      </c>
      <c r="D536" s="514">
        <v>140.17858774928254</v>
      </c>
      <c r="E536" s="514">
        <v>7.8257809786681785</v>
      </c>
      <c r="F536" s="514">
        <v>207.9829820681083</v>
      </c>
      <c r="G536" s="514">
        <v>1697.7997559727273</v>
      </c>
      <c r="H536" s="514">
        <v>95.175743401269628</v>
      </c>
    </row>
    <row r="537" spans="1:8" s="428" customFormat="1" ht="8.65" customHeight="1" x14ac:dyDescent="0.25">
      <c r="A537" s="428" t="s">
        <v>39</v>
      </c>
      <c r="B537" s="514">
        <v>62.922435343890953</v>
      </c>
      <c r="C537" s="514">
        <v>75.110114261851805</v>
      </c>
      <c r="D537" s="514">
        <v>200.57707242504577</v>
      </c>
      <c r="E537" s="514">
        <v>12.187678917960859</v>
      </c>
      <c r="F537" s="514">
        <v>247.1547910805086</v>
      </c>
      <c r="G537" s="514">
        <v>2488.5492505049856</v>
      </c>
      <c r="H537" s="514">
        <v>78.034472828993373</v>
      </c>
    </row>
    <row r="538" spans="1:8" s="428" customFormat="1" ht="8.65" customHeight="1" x14ac:dyDescent="0.25">
      <c r="A538" s="428" t="s">
        <v>40</v>
      </c>
      <c r="B538" s="514">
        <v>78.697025182611583</v>
      </c>
      <c r="C538" s="514">
        <v>57.178648357859771</v>
      </c>
      <c r="D538" s="514">
        <v>131.18353254927294</v>
      </c>
      <c r="E538" s="514">
        <v>5.6523931010250692</v>
      </c>
      <c r="F538" s="514">
        <v>214.79093783895263</v>
      </c>
      <c r="G538" s="514">
        <v>1649.0088670552777</v>
      </c>
      <c r="H538" s="514">
        <v>80.31104931658804</v>
      </c>
    </row>
    <row r="539" spans="1:8" s="428" customFormat="1" ht="8.65" customHeight="1" x14ac:dyDescent="0.25">
      <c r="A539" s="475" t="s">
        <v>41</v>
      </c>
      <c r="B539" s="515">
        <v>47.392950378149621</v>
      </c>
      <c r="C539" s="515">
        <v>64.330363852219875</v>
      </c>
      <c r="D539" s="515">
        <v>123.46552732741662</v>
      </c>
      <c r="E539" s="515">
        <v>6.0168902325726865</v>
      </c>
      <c r="F539" s="515">
        <v>172.31631454605744</v>
      </c>
      <c r="G539" s="515">
        <v>2128.0325325568097</v>
      </c>
      <c r="H539" s="515">
        <v>82.432656063252736</v>
      </c>
    </row>
    <row r="540" spans="1:8" s="428" customFormat="1" ht="8.65" customHeight="1" x14ac:dyDescent="0.25">
      <c r="A540" s="428" t="s">
        <v>42</v>
      </c>
      <c r="B540" s="514">
        <v>61.255987347374408</v>
      </c>
      <c r="C540" s="514">
        <v>51.793256875628643</v>
      </c>
      <c r="D540" s="514">
        <v>126.74849989677811</v>
      </c>
      <c r="E540" s="514">
        <v>8.2646967055981335</v>
      </c>
      <c r="F540" s="514">
        <v>160.1545428832714</v>
      </c>
      <c r="G540" s="514">
        <v>1642.9873267126632</v>
      </c>
      <c r="H540" s="514">
        <v>73.106255241822765</v>
      </c>
    </row>
    <row r="541" spans="1:8" s="428" customFormat="1" ht="8.65" customHeight="1" x14ac:dyDescent="0.25">
      <c r="A541" s="428" t="s">
        <v>43</v>
      </c>
      <c r="B541" s="514">
        <v>45.794217439270625</v>
      </c>
      <c r="C541" s="514">
        <v>51.645075687039842</v>
      </c>
      <c r="D541" s="514">
        <v>135.58238824157519</v>
      </c>
      <c r="E541" s="514">
        <v>7.2573145573291287</v>
      </c>
      <c r="F541" s="514">
        <v>176.87594549025411</v>
      </c>
      <c r="G541" s="514">
        <v>1585.8852545432758</v>
      </c>
      <c r="H541" s="514">
        <v>83.719834404765919</v>
      </c>
    </row>
    <row r="542" spans="1:8" s="428" customFormat="1" ht="8.65" customHeight="1" x14ac:dyDescent="0.25">
      <c r="A542" s="428" t="s">
        <v>44</v>
      </c>
      <c r="B542" s="514">
        <v>61.830092163762544</v>
      </c>
      <c r="C542" s="514">
        <v>50.202578008442522</v>
      </c>
      <c r="D542" s="514">
        <v>125.38859859385643</v>
      </c>
      <c r="E542" s="514">
        <v>4.9495499444943327</v>
      </c>
      <c r="F542" s="514">
        <v>177.16246229896382</v>
      </c>
      <c r="G542" s="514">
        <v>1547.0431152938736</v>
      </c>
      <c r="H542" s="514">
        <v>73.215783885397983</v>
      </c>
    </row>
    <row r="543" spans="1:8" s="428" customFormat="1" ht="8.65" customHeight="1" x14ac:dyDescent="0.25">
      <c r="A543" s="475" t="s">
        <v>45</v>
      </c>
      <c r="B543" s="515">
        <v>57.4613126182713</v>
      </c>
      <c r="C543" s="515">
        <v>55.558877268071775</v>
      </c>
      <c r="D543" s="515">
        <v>143.03207816602125</v>
      </c>
      <c r="E543" s="515">
        <v>7.2214892885124744</v>
      </c>
      <c r="F543" s="515">
        <v>188.26344924729563</v>
      </c>
      <c r="G543" s="515">
        <v>1924.0893352580283</v>
      </c>
      <c r="H543" s="515">
        <v>89.928174750092566</v>
      </c>
    </row>
    <row r="544" spans="1:8" s="428" customFormat="1" ht="8.65" customHeight="1" x14ac:dyDescent="0.25">
      <c r="A544" s="428" t="s">
        <v>46</v>
      </c>
      <c r="B544" s="514">
        <v>75.424266026931647</v>
      </c>
      <c r="C544" s="514">
        <v>60.056707739848989</v>
      </c>
      <c r="D544" s="514">
        <v>169.6592932590423</v>
      </c>
      <c r="E544" s="514">
        <v>8.6261294158624366</v>
      </c>
      <c r="F544" s="514">
        <v>239.10325948085924</v>
      </c>
      <c r="G544" s="514">
        <v>2374.8756369472344</v>
      </c>
      <c r="H544" s="514">
        <v>78.740331637187083</v>
      </c>
    </row>
    <row r="545" spans="1:8" s="428" customFormat="1" ht="8.65" customHeight="1" x14ac:dyDescent="0.25">
      <c r="A545" s="428" t="s">
        <v>47</v>
      </c>
      <c r="B545" s="514">
        <v>99.305017770170423</v>
      </c>
      <c r="C545" s="514">
        <v>63.986374036668707</v>
      </c>
      <c r="D545" s="514">
        <v>171.08901444930055</v>
      </c>
      <c r="E545" s="514">
        <v>7.9505172040783103</v>
      </c>
      <c r="F545" s="514">
        <v>269.17087572653588</v>
      </c>
      <c r="G545" s="514">
        <v>2047.6824624586518</v>
      </c>
      <c r="H545" s="514">
        <v>70.341358473852395</v>
      </c>
    </row>
    <row r="546" spans="1:8" s="428" customFormat="1" ht="8.65" customHeight="1" x14ac:dyDescent="0.25">
      <c r="A546" s="428" t="s">
        <v>48</v>
      </c>
      <c r="B546" s="514">
        <v>71.291354805023616</v>
      </c>
      <c r="C546" s="514">
        <v>87.53957651474731</v>
      </c>
      <c r="D546" s="514">
        <v>208.35149467665354</v>
      </c>
      <c r="E546" s="514">
        <v>18.530275320639941</v>
      </c>
      <c r="F546" s="514">
        <v>269.00847965480745</v>
      </c>
      <c r="G546" s="514">
        <v>2570.2505101530846</v>
      </c>
      <c r="H546" s="514">
        <v>77.841895707996429</v>
      </c>
    </row>
    <row r="547" spans="1:8" s="428" customFormat="1" ht="8.65" customHeight="1" x14ac:dyDescent="0.25">
      <c r="A547" s="475" t="s">
        <v>49</v>
      </c>
      <c r="B547" s="515">
        <v>86.570237041517643</v>
      </c>
      <c r="C547" s="515">
        <v>59.22415432932884</v>
      </c>
      <c r="D547" s="515">
        <v>163.76819770817013</v>
      </c>
      <c r="E547" s="515">
        <v>8.6015299624584838</v>
      </c>
      <c r="F547" s="515">
        <v>245.92976527072159</v>
      </c>
      <c r="G547" s="515">
        <v>1875.5028734967748</v>
      </c>
      <c r="H547" s="515">
        <v>66.841704718417049</v>
      </c>
    </row>
    <row r="548" spans="1:8" s="428" customFormat="1" ht="8.65" customHeight="1" x14ac:dyDescent="0.25">
      <c r="A548" s="428" t="s">
        <v>50</v>
      </c>
      <c r="B548" s="514">
        <v>53.484067968832356</v>
      </c>
      <c r="C548" s="514">
        <v>50.287120448885993</v>
      </c>
      <c r="D548" s="514">
        <v>150.25653343747894</v>
      </c>
      <c r="E548" s="514">
        <v>10.886902365222742</v>
      </c>
      <c r="F548" s="514">
        <v>212.03538416076671</v>
      </c>
      <c r="G548" s="514">
        <v>2010.3494695659235</v>
      </c>
      <c r="H548" s="514">
        <v>78.822670237015075</v>
      </c>
    </row>
    <row r="549" spans="1:8" s="428" customFormat="1" ht="8.65" customHeight="1" x14ac:dyDescent="0.25">
      <c r="A549" s="428" t="s">
        <v>51</v>
      </c>
      <c r="B549" s="514">
        <v>61.708233269481816</v>
      </c>
      <c r="C549" s="514">
        <v>60.445929754913251</v>
      </c>
      <c r="D549" s="514">
        <v>143.2057039288145</v>
      </c>
      <c r="E549" s="514">
        <v>9.6645112834155409</v>
      </c>
      <c r="F549" s="514">
        <v>186.67628121176929</v>
      </c>
      <c r="G549" s="514">
        <v>1832.7938300708047</v>
      </c>
      <c r="H549" s="514">
        <v>78.779470444176553</v>
      </c>
    </row>
    <row r="550" spans="1:8" s="428" customFormat="1" ht="8.65" customHeight="1" x14ac:dyDescent="0.25">
      <c r="A550" s="428" t="s">
        <v>52</v>
      </c>
      <c r="B550" s="514">
        <v>86.329897650652356</v>
      </c>
      <c r="C550" s="514">
        <v>57.227038359113827</v>
      </c>
      <c r="D550" s="514">
        <v>162.10035077959606</v>
      </c>
      <c r="E550" s="514">
        <v>6.7477425967992</v>
      </c>
      <c r="F550" s="514">
        <v>224.52984717135658</v>
      </c>
      <c r="G550" s="514">
        <v>2666.2051416768395</v>
      </c>
      <c r="H550" s="514">
        <v>82.934253114068071</v>
      </c>
    </row>
    <row r="551" spans="1:8" s="428" customFormat="1" ht="8.65" customHeight="1" x14ac:dyDescent="0.25">
      <c r="A551" s="475" t="s">
        <v>53</v>
      </c>
      <c r="B551" s="515">
        <v>58.588775880660421</v>
      </c>
      <c r="C551" s="515">
        <v>74.641423145072579</v>
      </c>
      <c r="D551" s="515">
        <v>158.69769004437845</v>
      </c>
      <c r="E551" s="515">
        <v>8.737516865439531</v>
      </c>
      <c r="F551" s="515">
        <v>214.64489105874318</v>
      </c>
      <c r="G551" s="515">
        <v>2274.5172013936676</v>
      </c>
      <c r="H551" s="515">
        <v>78.151555942671621</v>
      </c>
    </row>
    <row r="552" spans="1:8" s="428" customFormat="1" ht="7.5" customHeight="1" x14ac:dyDescent="0.25">
      <c r="B552" s="514"/>
      <c r="C552" s="514"/>
      <c r="D552" s="514"/>
      <c r="E552" s="514"/>
      <c r="F552" s="514"/>
      <c r="G552" s="514"/>
      <c r="H552" s="514"/>
    </row>
    <row r="553" spans="1:8" s="428" customFormat="1" ht="9" customHeight="1" x14ac:dyDescent="0.25">
      <c r="A553" s="470">
        <v>2010</v>
      </c>
      <c r="B553" s="471"/>
      <c r="C553" s="471"/>
      <c r="D553" s="471"/>
      <c r="E553" s="471"/>
      <c r="F553" s="471"/>
      <c r="G553" s="512"/>
      <c r="H553" s="512"/>
    </row>
    <row r="554" spans="1:8" s="473" customFormat="1" ht="9" customHeight="1" x14ac:dyDescent="0.25">
      <c r="A554" s="429" t="s">
        <v>21</v>
      </c>
      <c r="B554" s="513">
        <v>74.927748843000458</v>
      </c>
      <c r="C554" s="513">
        <v>58.260807109226263</v>
      </c>
      <c r="D554" s="513">
        <v>150.64705346107496</v>
      </c>
      <c r="E554" s="513">
        <v>8.8266437603057195</v>
      </c>
      <c r="F554" s="513">
        <v>223.67648509852867</v>
      </c>
      <c r="G554" s="513">
        <v>1862.7906948740549</v>
      </c>
      <c r="H554" s="513">
        <v>70.480166730741985</v>
      </c>
    </row>
    <row r="555" spans="1:8" s="473" customFormat="1" ht="3" customHeight="1" x14ac:dyDescent="0.25">
      <c r="A555" s="429"/>
      <c r="B555" s="513"/>
      <c r="C555" s="513"/>
      <c r="D555" s="513"/>
      <c r="E555" s="513"/>
      <c r="F555" s="513"/>
      <c r="G555" s="513"/>
      <c r="H555" s="513"/>
    </row>
    <row r="556" spans="1:8" s="428" customFormat="1" ht="8.65" customHeight="1" x14ac:dyDescent="0.25">
      <c r="A556" s="428" t="s">
        <v>23</v>
      </c>
      <c r="B556" s="514">
        <v>73.849584311889444</v>
      </c>
      <c r="C556" s="514">
        <v>64.165773370193577</v>
      </c>
      <c r="D556" s="514">
        <v>184.75027135722402</v>
      </c>
      <c r="E556" s="514">
        <v>9.0943615800274351</v>
      </c>
      <c r="F556" s="514">
        <v>283.35672885918814</v>
      </c>
      <c r="G556" s="514">
        <v>2130.8762838417615</v>
      </c>
      <c r="H556" s="514">
        <v>87.065494134737037</v>
      </c>
    </row>
    <row r="557" spans="1:8" s="428" customFormat="1" ht="8.65" customHeight="1" x14ac:dyDescent="0.25">
      <c r="A557" s="428" t="s">
        <v>24</v>
      </c>
      <c r="B557" s="514">
        <v>60.947351982970147</v>
      </c>
      <c r="C557" s="514">
        <v>41.632605063055856</v>
      </c>
      <c r="D557" s="514">
        <v>126.32034155806468</v>
      </c>
      <c r="E557" s="514">
        <v>6.6068446910999796</v>
      </c>
      <c r="F557" s="514">
        <v>195.45512308646497</v>
      </c>
      <c r="G557" s="514">
        <v>1500.4675369999109</v>
      </c>
      <c r="H557" s="514">
        <v>84.784857613823689</v>
      </c>
    </row>
    <row r="558" spans="1:8" s="428" customFormat="1" ht="8.65" customHeight="1" x14ac:dyDescent="0.25">
      <c r="A558" s="428" t="s">
        <v>25</v>
      </c>
      <c r="B558" s="514">
        <v>83.223480456776201</v>
      </c>
      <c r="C558" s="514">
        <v>82.111716404872709</v>
      </c>
      <c r="D558" s="514">
        <v>190.11165287549832</v>
      </c>
      <c r="E558" s="514">
        <v>9.2117592872004206</v>
      </c>
      <c r="F558" s="514">
        <v>288.74100662293728</v>
      </c>
      <c r="G558" s="514">
        <v>2231.1420993281768</v>
      </c>
      <c r="H558" s="514">
        <v>57.026037854229848</v>
      </c>
    </row>
    <row r="559" spans="1:8" s="428" customFormat="1" ht="8.65" customHeight="1" x14ac:dyDescent="0.25">
      <c r="A559" s="475" t="s">
        <v>26</v>
      </c>
      <c r="B559" s="515">
        <v>120.48498836884373</v>
      </c>
      <c r="C559" s="515">
        <v>83.710453766305079</v>
      </c>
      <c r="D559" s="515">
        <v>238.79253718885295</v>
      </c>
      <c r="E559" s="515">
        <v>11.975917518589888</v>
      </c>
      <c r="F559" s="515">
        <v>332.78534438020995</v>
      </c>
      <c r="G559" s="515">
        <v>2221.5423772075305</v>
      </c>
      <c r="H559" s="515">
        <v>48.491225174671285</v>
      </c>
    </row>
    <row r="560" spans="1:8" s="428" customFormat="1" ht="8.65" customHeight="1" x14ac:dyDescent="0.25">
      <c r="A560" s="428" t="s">
        <v>27</v>
      </c>
      <c r="B560" s="514">
        <v>95.954815517553797</v>
      </c>
      <c r="C560" s="514">
        <v>57.797133508123245</v>
      </c>
      <c r="D560" s="514">
        <v>161.92601171205743</v>
      </c>
      <c r="E560" s="514">
        <v>7.3421890501558309</v>
      </c>
      <c r="F560" s="514">
        <v>268.04415295913725</v>
      </c>
      <c r="G560" s="514">
        <v>1905.1298753672452</v>
      </c>
      <c r="H560" s="514">
        <v>69.760467601939396</v>
      </c>
    </row>
    <row r="561" spans="1:8" s="428" customFormat="1" ht="8.65" customHeight="1" x14ac:dyDescent="0.25">
      <c r="A561" s="428" t="s">
        <v>28</v>
      </c>
      <c r="B561" s="514">
        <v>89.01962898220377</v>
      </c>
      <c r="C561" s="514">
        <v>80.548903040990609</v>
      </c>
      <c r="D561" s="514">
        <v>210.84406933674214</v>
      </c>
      <c r="E561" s="514">
        <v>11.705003118767278</v>
      </c>
      <c r="F561" s="514">
        <v>303.4060018943623</v>
      </c>
      <c r="G561" s="514">
        <v>1957.3198623122003</v>
      </c>
      <c r="H561" s="514">
        <v>62.69516992937384</v>
      </c>
    </row>
    <row r="562" spans="1:8" s="428" customFormat="1" ht="8.65" customHeight="1" x14ac:dyDescent="0.25">
      <c r="A562" s="428" t="s">
        <v>29</v>
      </c>
      <c r="B562" s="514">
        <v>45.196098775679602</v>
      </c>
      <c r="C562" s="514">
        <v>46.295912014940861</v>
      </c>
      <c r="D562" s="514">
        <v>92.488068063913673</v>
      </c>
      <c r="E562" s="514">
        <v>5.8933388669848519</v>
      </c>
      <c r="F562" s="514">
        <v>134.92425814484332</v>
      </c>
      <c r="G562" s="514">
        <v>1865.285951442208</v>
      </c>
      <c r="H562" s="514">
        <v>59.676957677366595</v>
      </c>
    </row>
    <row r="563" spans="1:8" s="428" customFormat="1" ht="8.65" customHeight="1" x14ac:dyDescent="0.25">
      <c r="A563" s="475" t="s">
        <v>30</v>
      </c>
      <c r="B563" s="515">
        <v>74.944590694723857</v>
      </c>
      <c r="C563" s="515">
        <v>52.830269826680102</v>
      </c>
      <c r="D563" s="515">
        <v>117.89461203896654</v>
      </c>
      <c r="E563" s="515">
        <v>5.8409704263821238</v>
      </c>
      <c r="F563" s="515">
        <v>226.98417910681974</v>
      </c>
      <c r="G563" s="515">
        <v>1882.332343080586</v>
      </c>
      <c r="H563" s="515">
        <v>77.751597465301941</v>
      </c>
    </row>
    <row r="564" spans="1:8" s="428" customFormat="1" ht="8.65" customHeight="1" x14ac:dyDescent="0.25">
      <c r="A564" s="428" t="s">
        <v>63</v>
      </c>
      <c r="B564" s="514">
        <v>173.85930976220808</v>
      </c>
      <c r="C564" s="514">
        <v>93.574387219204127</v>
      </c>
      <c r="D564" s="514">
        <v>315.02071948356337</v>
      </c>
      <c r="E564" s="514">
        <v>14.464038574349185</v>
      </c>
      <c r="F564" s="514">
        <v>499.54068567373332</v>
      </c>
      <c r="G564" s="514">
        <v>1756.5212342825232</v>
      </c>
      <c r="H564" s="514">
        <v>70.610843141038004</v>
      </c>
    </row>
    <row r="565" spans="1:8" s="428" customFormat="1" ht="8.65" customHeight="1" x14ac:dyDescent="0.25">
      <c r="A565" s="428" t="s">
        <v>31</v>
      </c>
      <c r="B565" s="514">
        <v>89.406867542205205</v>
      </c>
      <c r="C565" s="514">
        <v>70.004969075563395</v>
      </c>
      <c r="D565" s="514">
        <v>171.39357328839066</v>
      </c>
      <c r="E565" s="514">
        <v>9.366433742516735</v>
      </c>
      <c r="F565" s="514">
        <v>238.29667144922448</v>
      </c>
      <c r="G565" s="514">
        <v>2225.6015044682144</v>
      </c>
      <c r="H565" s="514">
        <v>69.284502842232783</v>
      </c>
    </row>
    <row r="566" spans="1:8" s="428" customFormat="1" ht="8.65" customHeight="1" x14ac:dyDescent="0.25">
      <c r="A566" s="428" t="s">
        <v>32</v>
      </c>
      <c r="B566" s="514">
        <v>53.23704877058757</v>
      </c>
      <c r="C566" s="514">
        <v>42.898522917186774</v>
      </c>
      <c r="D566" s="514">
        <v>121.15516764582864</v>
      </c>
      <c r="E566" s="514">
        <v>6.4138833501765911</v>
      </c>
      <c r="F566" s="514">
        <v>180.09748375906619</v>
      </c>
      <c r="G566" s="514">
        <v>1698.7395356493812</v>
      </c>
      <c r="H566" s="514">
        <v>78.744424208831518</v>
      </c>
    </row>
    <row r="567" spans="1:8" s="428" customFormat="1" ht="8.65" customHeight="1" x14ac:dyDescent="0.25">
      <c r="A567" s="475" t="s">
        <v>33</v>
      </c>
      <c r="B567" s="515">
        <v>49.172771479440684</v>
      </c>
      <c r="C567" s="515">
        <v>64.537429950059007</v>
      </c>
      <c r="D567" s="515">
        <v>128.69367562508359</v>
      </c>
      <c r="E567" s="515">
        <v>7.4184324295160957</v>
      </c>
      <c r="F567" s="515">
        <v>181.73693358948918</v>
      </c>
      <c r="G567" s="515">
        <v>2147.9464137010532</v>
      </c>
      <c r="H567" s="515">
        <v>77.013911011999582</v>
      </c>
    </row>
    <row r="568" spans="1:8" s="428" customFormat="1" ht="8.65" customHeight="1" x14ac:dyDescent="0.25">
      <c r="A568" s="428" t="s">
        <v>34</v>
      </c>
      <c r="B568" s="514">
        <v>50.405416952109981</v>
      </c>
      <c r="C568" s="514">
        <v>69.930489243596455</v>
      </c>
      <c r="D568" s="514">
        <v>135.70112623315259</v>
      </c>
      <c r="E568" s="514">
        <v>10.081083390421997</v>
      </c>
      <c r="F568" s="514">
        <v>202.97080908002056</v>
      </c>
      <c r="G568" s="514">
        <v>2218.4001133278666</v>
      </c>
      <c r="H568" s="514">
        <v>96.109589041095887</v>
      </c>
    </row>
    <row r="569" spans="1:8" s="428" customFormat="1" ht="8.65" customHeight="1" x14ac:dyDescent="0.25">
      <c r="A569" s="428" t="s">
        <v>35</v>
      </c>
      <c r="B569" s="514">
        <v>80.417664351408192</v>
      </c>
      <c r="C569" s="514">
        <v>48.293790374175643</v>
      </c>
      <c r="D569" s="514">
        <v>142.18188591435614</v>
      </c>
      <c r="E569" s="514">
        <v>6.3167953871196758</v>
      </c>
      <c r="F569" s="514">
        <v>218.92825038265204</v>
      </c>
      <c r="G569" s="514">
        <v>1590.7944854916168</v>
      </c>
      <c r="H569" s="514">
        <v>78.364993309329691</v>
      </c>
    </row>
    <row r="570" spans="1:8" s="428" customFormat="1" ht="8.65" customHeight="1" x14ac:dyDescent="0.25">
      <c r="A570" s="428" t="s">
        <v>36</v>
      </c>
      <c r="B570" s="514">
        <v>47.300030802000123</v>
      </c>
      <c r="C570" s="514">
        <v>39.597893413028622</v>
      </c>
      <c r="D570" s="514">
        <v>99.138821136787016</v>
      </c>
      <c r="E570" s="514">
        <v>6.2088658543749808</v>
      </c>
      <c r="F570" s="514">
        <v>147.57845389940027</v>
      </c>
      <c r="G570" s="514">
        <v>1778.2292668252896</v>
      </c>
      <c r="H570" s="514">
        <v>60.889936760962506</v>
      </c>
    </row>
    <row r="571" spans="1:8" s="428" customFormat="1" ht="8.65" customHeight="1" x14ac:dyDescent="0.25">
      <c r="A571" s="475" t="s">
        <v>37</v>
      </c>
      <c r="B571" s="515">
        <v>53.856089114089073</v>
      </c>
      <c r="C571" s="515">
        <v>56.122027415106849</v>
      </c>
      <c r="D571" s="515">
        <v>128.47183518800765</v>
      </c>
      <c r="E571" s="515">
        <v>8.3084404370651654</v>
      </c>
      <c r="F571" s="515">
        <v>163.87998217461868</v>
      </c>
      <c r="G571" s="515">
        <v>1788.843847325197</v>
      </c>
      <c r="H571" s="515">
        <v>70.126972853075927</v>
      </c>
    </row>
    <row r="572" spans="1:8" s="428" customFormat="1" ht="8.65" customHeight="1" x14ac:dyDescent="0.25">
      <c r="A572" s="428" t="s">
        <v>38</v>
      </c>
      <c r="B572" s="514">
        <v>51.978228579727151</v>
      </c>
      <c r="C572" s="514">
        <v>59.267516298566989</v>
      </c>
      <c r="D572" s="514">
        <v>134.90789424252807</v>
      </c>
      <c r="E572" s="514">
        <v>8.0742879347148975</v>
      </c>
      <c r="F572" s="514">
        <v>206.79148543908707</v>
      </c>
      <c r="G572" s="514">
        <v>1705.7381833637146</v>
      </c>
      <c r="H572" s="514">
        <v>90.560801525025497</v>
      </c>
    </row>
    <row r="573" spans="1:8" s="428" customFormat="1" ht="8.65" customHeight="1" x14ac:dyDescent="0.25">
      <c r="A573" s="428" t="s">
        <v>39</v>
      </c>
      <c r="B573" s="514">
        <v>61.56006852704634</v>
      </c>
      <c r="C573" s="514">
        <v>78.05595515330576</v>
      </c>
      <c r="D573" s="514">
        <v>194.72518682282771</v>
      </c>
      <c r="E573" s="514">
        <v>13.454745516390368</v>
      </c>
      <c r="F573" s="514">
        <v>245.50302777852013</v>
      </c>
      <c r="G573" s="514">
        <v>2334.0278808130724</v>
      </c>
      <c r="H573" s="514">
        <v>72.390698055942906</v>
      </c>
    </row>
    <row r="574" spans="1:8" s="428" customFormat="1" ht="8.65" customHeight="1" x14ac:dyDescent="0.25">
      <c r="A574" s="428" t="s">
        <v>40</v>
      </c>
      <c r="B574" s="514">
        <v>84.352928025259189</v>
      </c>
      <c r="C574" s="514">
        <v>56.53509265973198</v>
      </c>
      <c r="D574" s="514">
        <v>135.02036334076141</v>
      </c>
      <c r="E574" s="514">
        <v>5.674924073798854</v>
      </c>
      <c r="F574" s="514">
        <v>234.87761223179558</v>
      </c>
      <c r="G574" s="514">
        <v>1626.1544187528616</v>
      </c>
      <c r="H574" s="514">
        <v>71.97689421207663</v>
      </c>
    </row>
    <row r="575" spans="1:8" s="428" customFormat="1" ht="8.65" customHeight="1" x14ac:dyDescent="0.25">
      <c r="A575" s="475" t="s">
        <v>41</v>
      </c>
      <c r="B575" s="515">
        <v>48.906252206665791</v>
      </c>
      <c r="C575" s="515">
        <v>67.919538492358853</v>
      </c>
      <c r="D575" s="515">
        <v>130.08540025452172</v>
      </c>
      <c r="E575" s="515">
        <v>9.8858627455185388</v>
      </c>
      <c r="F575" s="515">
        <v>175.51329334702359</v>
      </c>
      <c r="G575" s="515">
        <v>2073.8761630926747</v>
      </c>
      <c r="H575" s="515">
        <v>77.826154497952274</v>
      </c>
    </row>
    <row r="576" spans="1:8" s="428" customFormat="1" ht="8.65" customHeight="1" x14ac:dyDescent="0.25">
      <c r="A576" s="428" t="s">
        <v>42</v>
      </c>
      <c r="B576" s="514">
        <v>60.744855477006702</v>
      </c>
      <c r="C576" s="514">
        <v>50.002968604519076</v>
      </c>
      <c r="D576" s="514">
        <v>125.11037889346211</v>
      </c>
      <c r="E576" s="514">
        <v>8.6827392291992638</v>
      </c>
      <c r="F576" s="514">
        <v>169.65660624326702</v>
      </c>
      <c r="G576" s="514">
        <v>1635.9118094519681</v>
      </c>
      <c r="H576" s="514">
        <v>73.954415292933987</v>
      </c>
    </row>
    <row r="577" spans="1:9" s="428" customFormat="1" ht="8.65" customHeight="1" x14ac:dyDescent="0.25">
      <c r="A577" s="428" t="s">
        <v>43</v>
      </c>
      <c r="B577" s="514">
        <v>45.659147067400134</v>
      </c>
      <c r="C577" s="514">
        <v>45.275456755909374</v>
      </c>
      <c r="D577" s="514">
        <v>128.86513175925296</v>
      </c>
      <c r="E577" s="514">
        <v>7.2901159183243909</v>
      </c>
      <c r="F577" s="514">
        <v>173.59245949874696</v>
      </c>
      <c r="G577" s="514">
        <v>1614.3024400511295</v>
      </c>
      <c r="H577" s="514">
        <v>83.56361722771301</v>
      </c>
    </row>
    <row r="578" spans="1:9" s="428" customFormat="1" ht="8.65" customHeight="1" x14ac:dyDescent="0.25">
      <c r="A578" s="428" t="s">
        <v>44</v>
      </c>
      <c r="B578" s="514">
        <v>59.447757629065705</v>
      </c>
      <c r="C578" s="514">
        <v>43.372598678348957</v>
      </c>
      <c r="D578" s="514">
        <v>128.22214049840574</v>
      </c>
      <c r="E578" s="514">
        <v>5.6111403884577324</v>
      </c>
      <c r="F578" s="514">
        <v>202.3801850918066</v>
      </c>
      <c r="G578" s="514">
        <v>1600.9720921591895</v>
      </c>
      <c r="H578" s="514">
        <v>60.625174727425211</v>
      </c>
    </row>
    <row r="579" spans="1:9" s="428" customFormat="1" ht="8.65" customHeight="1" x14ac:dyDescent="0.25">
      <c r="A579" s="475" t="s">
        <v>45</v>
      </c>
      <c r="B579" s="515">
        <v>63.081793242991608</v>
      </c>
      <c r="C579" s="515">
        <v>56.132429532108176</v>
      </c>
      <c r="D579" s="515">
        <v>139.8319482598755</v>
      </c>
      <c r="E579" s="515">
        <v>8.7922888938801442</v>
      </c>
      <c r="F579" s="515">
        <v>180.22272518722008</v>
      </c>
      <c r="G579" s="515">
        <v>1959.654912259484</v>
      </c>
      <c r="H579" s="515">
        <v>74.957770199851595</v>
      </c>
    </row>
    <row r="580" spans="1:9" s="428" customFormat="1" ht="8.65" customHeight="1" x14ac:dyDescent="0.25">
      <c r="A580" s="428" t="s">
        <v>46</v>
      </c>
      <c r="B580" s="514">
        <v>77.116060388911947</v>
      </c>
      <c r="C580" s="514">
        <v>58.842282577945376</v>
      </c>
      <c r="D580" s="514">
        <v>165.54104024826489</v>
      </c>
      <c r="E580" s="514">
        <v>10.1600768575708</v>
      </c>
      <c r="F580" s="514">
        <v>232.74833310117137</v>
      </c>
      <c r="G580" s="514">
        <v>2263.7624164755521</v>
      </c>
      <c r="H580" s="514">
        <v>75.128057957705167</v>
      </c>
    </row>
    <row r="581" spans="1:9" s="428" customFormat="1" ht="8.65" customHeight="1" x14ac:dyDescent="0.25">
      <c r="A581" s="428" t="s">
        <v>47</v>
      </c>
      <c r="B581" s="514">
        <v>100.7385368205538</v>
      </c>
      <c r="C581" s="514">
        <v>62.34766904822515</v>
      </c>
      <c r="D581" s="514">
        <v>175.68320935657431</v>
      </c>
      <c r="E581" s="514">
        <v>8.7729131432860399</v>
      </c>
      <c r="F581" s="514">
        <v>274.8846118229626</v>
      </c>
      <c r="G581" s="514">
        <v>2103.200201252127</v>
      </c>
      <c r="H581" s="514">
        <v>69.875555057073385</v>
      </c>
    </row>
    <row r="582" spans="1:9" s="428" customFormat="1" ht="8.65" customHeight="1" x14ac:dyDescent="0.25">
      <c r="A582" s="428" t="s">
        <v>48</v>
      </c>
      <c r="B582" s="514">
        <v>72.367983153448264</v>
      </c>
      <c r="C582" s="514">
        <v>87.779683269460392</v>
      </c>
      <c r="D582" s="514">
        <v>204.01517226036927</v>
      </c>
      <c r="E582" s="514">
        <v>18.449368544675391</v>
      </c>
      <c r="F582" s="514">
        <v>260.03335181248292</v>
      </c>
      <c r="G582" s="514">
        <v>2461.8886524768832</v>
      </c>
      <c r="H582" s="514">
        <v>74.730424488415366</v>
      </c>
    </row>
    <row r="583" spans="1:9" s="428" customFormat="1" ht="8.65" customHeight="1" x14ac:dyDescent="0.25">
      <c r="A583" s="475" t="s">
        <v>49</v>
      </c>
      <c r="B583" s="515">
        <v>85.633465655688994</v>
      </c>
      <c r="C583" s="515">
        <v>61.032090046508458</v>
      </c>
      <c r="D583" s="515">
        <v>160.47151927026664</v>
      </c>
      <c r="E583" s="515">
        <v>8.4538719645886147</v>
      </c>
      <c r="F583" s="515">
        <v>244.00672174050018</v>
      </c>
      <c r="G583" s="515">
        <v>1839.6045047581918</v>
      </c>
      <c r="H583" s="515">
        <v>69.583768770889236</v>
      </c>
    </row>
    <row r="584" spans="1:9" s="428" customFormat="1" ht="8.65" customHeight="1" x14ac:dyDescent="0.25">
      <c r="A584" s="428" t="s">
        <v>50</v>
      </c>
      <c r="B584" s="514">
        <v>55.180411889040613</v>
      </c>
      <c r="C584" s="514">
        <v>50.844200785279334</v>
      </c>
      <c r="D584" s="514">
        <v>136.97325663057694</v>
      </c>
      <c r="E584" s="514">
        <v>10.032802161643747</v>
      </c>
      <c r="F584" s="514">
        <v>185.18172125474646</v>
      </c>
      <c r="G584" s="514">
        <v>1971.9668203329188</v>
      </c>
      <c r="H584" s="514">
        <v>71.758026046393823</v>
      </c>
    </row>
    <row r="585" spans="1:9" s="428" customFormat="1" ht="8.65" customHeight="1" x14ac:dyDescent="0.25">
      <c r="A585" s="428" t="s">
        <v>51</v>
      </c>
      <c r="B585" s="514">
        <v>60.771553037511708</v>
      </c>
      <c r="C585" s="514">
        <v>59.146645202284127</v>
      </c>
      <c r="D585" s="514">
        <v>140.67802074266348</v>
      </c>
      <c r="E585" s="514">
        <v>9.7884447994109767</v>
      </c>
      <c r="F585" s="514">
        <v>187.61835828671798</v>
      </c>
      <c r="G585" s="514">
        <v>1733.9062628367719</v>
      </c>
      <c r="H585" s="514">
        <v>76.838561277562079</v>
      </c>
    </row>
    <row r="586" spans="1:9" s="428" customFormat="1" ht="8.65" customHeight="1" x14ac:dyDescent="0.25">
      <c r="A586" s="428" t="s">
        <v>52</v>
      </c>
      <c r="B586" s="514">
        <v>75.947189215906349</v>
      </c>
      <c r="C586" s="514">
        <v>54.415244820243892</v>
      </c>
      <c r="D586" s="514">
        <v>156.5774490805147</v>
      </c>
      <c r="E586" s="514">
        <v>7.9408589260599127</v>
      </c>
      <c r="F586" s="514">
        <v>230.53942356490606</v>
      </c>
      <c r="G586" s="514">
        <v>2711.4286775975647</v>
      </c>
      <c r="H586" s="514">
        <v>82.372576584823619</v>
      </c>
    </row>
    <row r="587" spans="1:9" s="428" customFormat="1" ht="8.65" customHeight="1" x14ac:dyDescent="0.25">
      <c r="A587" s="475" t="s">
        <v>53</v>
      </c>
      <c r="B587" s="515">
        <v>62.35949917443768</v>
      </c>
      <c r="C587" s="515">
        <v>73.776495275967491</v>
      </c>
      <c r="D587" s="515">
        <v>157.43436729477949</v>
      </c>
      <c r="E587" s="515">
        <v>8.6128216204523138</v>
      </c>
      <c r="F587" s="515">
        <v>215.120242334088</v>
      </c>
      <c r="G587" s="515">
        <v>2220.0202034094755</v>
      </c>
      <c r="H587" s="515">
        <v>78.410724238068696</v>
      </c>
    </row>
    <row r="588" spans="1:9" s="428" customFormat="1" ht="8.65" customHeight="1" x14ac:dyDescent="0.25">
      <c r="A588" s="429"/>
      <c r="B588" s="513"/>
      <c r="C588" s="513"/>
      <c r="D588" s="513"/>
      <c r="E588" s="513"/>
      <c r="F588" s="513"/>
      <c r="G588" s="513"/>
      <c r="H588" s="513"/>
      <c r="I588" s="473"/>
    </row>
    <row r="589" spans="1:9" s="428" customFormat="1" ht="8.65" customHeight="1" x14ac:dyDescent="0.25">
      <c r="A589" s="470">
        <v>2011</v>
      </c>
      <c r="B589" s="471"/>
      <c r="C589" s="471"/>
      <c r="D589" s="471"/>
      <c r="E589" s="471"/>
      <c r="F589" s="471"/>
      <c r="G589" s="512"/>
      <c r="H589" s="512"/>
    </row>
    <row r="590" spans="1:9" s="428" customFormat="1" ht="8.65" customHeight="1" x14ac:dyDescent="0.25">
      <c r="A590" s="429" t="s">
        <v>21</v>
      </c>
      <c r="B590" s="513">
        <v>74.73390064484559</v>
      </c>
      <c r="C590" s="513">
        <v>61.278847897599334</v>
      </c>
      <c r="D590" s="513">
        <v>159.77144026819946</v>
      </c>
      <c r="E590" s="513">
        <v>8.7515022248195535</v>
      </c>
      <c r="F590" s="513">
        <v>233.54594929757604</v>
      </c>
      <c r="G590" s="513">
        <v>1894.9102328081169</v>
      </c>
      <c r="H590" s="513">
        <v>72.398478779836395</v>
      </c>
      <c r="I590" s="473"/>
    </row>
    <row r="591" spans="1:9" s="428" customFormat="1" ht="3" customHeight="1" x14ac:dyDescent="0.25">
      <c r="A591" s="429"/>
      <c r="B591" s="513"/>
      <c r="C591" s="513"/>
      <c r="D591" s="513"/>
      <c r="E591" s="513"/>
      <c r="F591" s="513"/>
      <c r="G591" s="513"/>
      <c r="H591" s="513"/>
      <c r="I591" s="473"/>
    </row>
    <row r="592" spans="1:9" s="428" customFormat="1" ht="8.85" customHeight="1" x14ac:dyDescent="0.25">
      <c r="A592" s="428" t="s">
        <v>23</v>
      </c>
      <c r="B592" s="514">
        <v>70.781649361270041</v>
      </c>
      <c r="C592" s="514">
        <v>64.331919629752434</v>
      </c>
      <c r="D592" s="514">
        <v>182.49427586486328</v>
      </c>
      <c r="E592" s="514">
        <v>9.3438392264293384</v>
      </c>
      <c r="F592" s="514">
        <v>277.5037561406802</v>
      </c>
      <c r="G592" s="514">
        <v>2230.2222758780936</v>
      </c>
      <c r="H592" s="514">
        <v>89.736589425169626</v>
      </c>
    </row>
    <row r="593" spans="1:8" s="428" customFormat="1" ht="8.85" customHeight="1" x14ac:dyDescent="0.25">
      <c r="A593" s="428" t="s">
        <v>24</v>
      </c>
      <c r="B593" s="514">
        <v>67.325879731071026</v>
      </c>
      <c r="C593" s="514">
        <v>47.349726264272022</v>
      </c>
      <c r="D593" s="514">
        <v>134.55812124276645</v>
      </c>
      <c r="E593" s="514">
        <v>6.8043772746284112</v>
      </c>
      <c r="F593" s="514">
        <v>210.37386619722704</v>
      </c>
      <c r="G593" s="514">
        <v>1566.0911037449043</v>
      </c>
      <c r="H593" s="514">
        <v>83.929989013152465</v>
      </c>
    </row>
    <row r="594" spans="1:8" s="428" customFormat="1" ht="8.85" customHeight="1" x14ac:dyDescent="0.25">
      <c r="A594" s="428" t="s">
        <v>25</v>
      </c>
      <c r="B594" s="514">
        <v>103.94703058501327</v>
      </c>
      <c r="C594" s="514">
        <v>87.763660553813594</v>
      </c>
      <c r="D594" s="514">
        <v>218.00866743952631</v>
      </c>
      <c r="E594" s="514">
        <v>9.4921689606074988</v>
      </c>
      <c r="F594" s="514">
        <v>313.86401300893976</v>
      </c>
      <c r="G594" s="514">
        <v>2241.5554708349218</v>
      </c>
      <c r="H594" s="514">
        <v>50.308014108768759</v>
      </c>
    </row>
    <row r="595" spans="1:8" s="428" customFormat="1" ht="8.85" customHeight="1" x14ac:dyDescent="0.25">
      <c r="A595" s="475" t="s">
        <v>26</v>
      </c>
      <c r="B595" s="515">
        <v>106.04958174615629</v>
      </c>
      <c r="C595" s="515">
        <v>83.460545275562467</v>
      </c>
      <c r="D595" s="515">
        <v>229.21927534371</v>
      </c>
      <c r="E595" s="515">
        <v>12.483414891643958</v>
      </c>
      <c r="F595" s="515">
        <v>309.70757897840485</v>
      </c>
      <c r="G595" s="515">
        <v>2241.4090327612362</v>
      </c>
      <c r="H595" s="515">
        <v>53.405000307144171</v>
      </c>
    </row>
    <row r="596" spans="1:8" s="428" customFormat="1" ht="8.85" customHeight="1" x14ac:dyDescent="0.25">
      <c r="A596" s="428" t="s">
        <v>27</v>
      </c>
      <c r="B596" s="514">
        <v>96.177890626502773</v>
      </c>
      <c r="C596" s="514">
        <v>67.039551910769717</v>
      </c>
      <c r="D596" s="514">
        <v>161.36512760668799</v>
      </c>
      <c r="E596" s="514">
        <v>6.589966579964079</v>
      </c>
      <c r="F596" s="514">
        <v>264.56044210482821</v>
      </c>
      <c r="G596" s="514">
        <v>1921.682343662839</v>
      </c>
      <c r="H596" s="514">
        <v>74.198680872653483</v>
      </c>
    </row>
    <row r="597" spans="1:8" s="428" customFormat="1" ht="8.85" customHeight="1" x14ac:dyDescent="0.25">
      <c r="A597" s="428" t="s">
        <v>28</v>
      </c>
      <c r="B597" s="514">
        <v>81.087295920219788</v>
      </c>
      <c r="C597" s="514">
        <v>84.264223558885121</v>
      </c>
      <c r="D597" s="514">
        <v>215.72851489222651</v>
      </c>
      <c r="E597" s="514">
        <v>12.556428286153437</v>
      </c>
      <c r="F597" s="514">
        <v>306.34659372844231</v>
      </c>
      <c r="G597" s="514">
        <v>1933.8518280949327</v>
      </c>
      <c r="H597" s="514">
        <v>75.683398078102641</v>
      </c>
    </row>
    <row r="598" spans="1:8" s="428" customFormat="1" ht="8.85" customHeight="1" x14ac:dyDescent="0.25">
      <c r="A598" s="428" t="s">
        <v>29</v>
      </c>
      <c r="B598" s="514">
        <v>46.051365959075348</v>
      </c>
      <c r="C598" s="514">
        <v>51.912448899321305</v>
      </c>
      <c r="D598" s="514">
        <v>104.72346103686847</v>
      </c>
      <c r="E598" s="514">
        <v>6.637114827804651</v>
      </c>
      <c r="F598" s="514">
        <v>175.44447226359927</v>
      </c>
      <c r="G598" s="514">
        <v>1918.2840464589869</v>
      </c>
      <c r="H598" s="514">
        <v>66.006743006408897</v>
      </c>
    </row>
    <row r="599" spans="1:8" s="428" customFormat="1" ht="8.85" customHeight="1" x14ac:dyDescent="0.25">
      <c r="A599" s="475" t="s">
        <v>30</v>
      </c>
      <c r="B599" s="515">
        <v>78.909736220947266</v>
      </c>
      <c r="C599" s="515">
        <v>55.162155487787373</v>
      </c>
      <c r="D599" s="515">
        <v>137.00085571693575</v>
      </c>
      <c r="E599" s="515">
        <v>6.0876506837120887</v>
      </c>
      <c r="F599" s="515">
        <v>247.58360469323412</v>
      </c>
      <c r="G599" s="515">
        <v>1919.6240588549474</v>
      </c>
      <c r="H599" s="515">
        <v>78.099140595401877</v>
      </c>
    </row>
    <row r="600" spans="1:8" s="428" customFormat="1" ht="8.85" customHeight="1" x14ac:dyDescent="0.25">
      <c r="A600" s="428" t="s">
        <v>63</v>
      </c>
      <c r="B600" s="514">
        <v>174.59678791111168</v>
      </c>
      <c r="C600" s="514">
        <v>94.833670407672855</v>
      </c>
      <c r="D600" s="514">
        <v>341.24829168079992</v>
      </c>
      <c r="E600" s="514">
        <v>15.901649571746969</v>
      </c>
      <c r="F600" s="514">
        <v>500.91858344337976</v>
      </c>
      <c r="G600" s="514">
        <v>1792.5586042274454</v>
      </c>
      <c r="H600" s="514">
        <v>68.742223010499146</v>
      </c>
    </row>
    <row r="601" spans="1:8" s="428" customFormat="1" ht="8.85" customHeight="1" x14ac:dyDescent="0.25">
      <c r="A601" s="428" t="s">
        <v>31</v>
      </c>
      <c r="B601" s="514">
        <v>90.776670815030698</v>
      </c>
      <c r="C601" s="514">
        <v>73.280441192595745</v>
      </c>
      <c r="D601" s="514">
        <v>176.99952844066053</v>
      </c>
      <c r="E601" s="514">
        <v>10.06632389235984</v>
      </c>
      <c r="F601" s="514">
        <v>255.25321298483883</v>
      </c>
      <c r="G601" s="514">
        <v>2327.1447411546674</v>
      </c>
      <c r="H601" s="514">
        <v>70.088159500881602</v>
      </c>
    </row>
    <row r="602" spans="1:8" s="428" customFormat="1" ht="8.85" customHeight="1" x14ac:dyDescent="0.25">
      <c r="A602" s="428" t="s">
        <v>32</v>
      </c>
      <c r="B602" s="514">
        <v>55.21241372836424</v>
      </c>
      <c r="C602" s="514">
        <v>45.896886428315767</v>
      </c>
      <c r="D602" s="514">
        <v>129.62914527528994</v>
      </c>
      <c r="E602" s="514">
        <v>6.1446651229165914</v>
      </c>
      <c r="F602" s="514">
        <v>195.91270491025028</v>
      </c>
      <c r="G602" s="514">
        <v>1721.159037906672</v>
      </c>
      <c r="H602" s="514">
        <v>81.983234512369663</v>
      </c>
    </row>
    <row r="603" spans="1:8" s="428" customFormat="1" ht="8.85" customHeight="1" x14ac:dyDescent="0.25">
      <c r="A603" s="475" t="s">
        <v>33</v>
      </c>
      <c r="B603" s="515">
        <v>51.837611434194208</v>
      </c>
      <c r="C603" s="515">
        <v>66.246611927927162</v>
      </c>
      <c r="D603" s="515">
        <v>134.17475711266823</v>
      </c>
      <c r="E603" s="515">
        <v>8.1757306624400261</v>
      </c>
      <c r="F603" s="515">
        <v>184.15688357382641</v>
      </c>
      <c r="G603" s="515">
        <v>2154.9927186710784</v>
      </c>
      <c r="H603" s="515">
        <v>74.912353283687295</v>
      </c>
    </row>
    <row r="604" spans="1:8" s="428" customFormat="1" ht="8.85" customHeight="1" x14ac:dyDescent="0.25">
      <c r="A604" s="428" t="s">
        <v>34</v>
      </c>
      <c r="B604" s="514">
        <v>50.085850913208638</v>
      </c>
      <c r="C604" s="514">
        <v>71.603943088890759</v>
      </c>
      <c r="D604" s="514">
        <v>140.36587400363481</v>
      </c>
      <c r="E604" s="514">
        <v>5.6471150992784978</v>
      </c>
      <c r="F604" s="514">
        <v>219.97912412875718</v>
      </c>
      <c r="G604" s="514">
        <v>2281.9183803630985</v>
      </c>
      <c r="H604" s="514">
        <v>88.561795257467622</v>
      </c>
    </row>
    <row r="605" spans="1:8" s="428" customFormat="1" ht="8.85" customHeight="1" x14ac:dyDescent="0.25">
      <c r="A605" s="428" t="s">
        <v>35</v>
      </c>
      <c r="B605" s="514">
        <v>85.41825603307187</v>
      </c>
      <c r="C605" s="514">
        <v>52.083977895847219</v>
      </c>
      <c r="D605" s="514">
        <v>152.67232457819497</v>
      </c>
      <c r="E605" s="514">
        <v>6.4539420744726366</v>
      </c>
      <c r="F605" s="514">
        <v>233.20687598996486</v>
      </c>
      <c r="G605" s="514">
        <v>1597.5582541461254</v>
      </c>
      <c r="H605" s="514">
        <v>77.762934097616878</v>
      </c>
    </row>
    <row r="606" spans="1:8" s="428" customFormat="1" ht="8.85" customHeight="1" x14ac:dyDescent="0.25">
      <c r="A606" s="428" t="s">
        <v>36</v>
      </c>
      <c r="B606" s="514">
        <v>49.395250398083753</v>
      </c>
      <c r="C606" s="514">
        <v>43.693811692004282</v>
      </c>
      <c r="D606" s="514">
        <v>108.63726639839989</v>
      </c>
      <c r="E606" s="514">
        <v>7.102585024561062</v>
      </c>
      <c r="F606" s="514">
        <v>158.78797356727785</v>
      </c>
      <c r="G606" s="514">
        <v>1854.2987330473402</v>
      </c>
      <c r="H606" s="514">
        <v>67.560247112543649</v>
      </c>
    </row>
    <row r="607" spans="1:8" s="428" customFormat="1" ht="8.85" customHeight="1" x14ac:dyDescent="0.25">
      <c r="A607" s="475" t="s">
        <v>37</v>
      </c>
      <c r="B607" s="515">
        <v>54.622490369905854</v>
      </c>
      <c r="C607" s="515">
        <v>60.382926699238361</v>
      </c>
      <c r="D607" s="515">
        <v>145.72774415891757</v>
      </c>
      <c r="E607" s="515">
        <v>13.169938745101371</v>
      </c>
      <c r="F607" s="515">
        <v>179.61266374322642</v>
      </c>
      <c r="G607" s="515">
        <v>1801.7262333433032</v>
      </c>
      <c r="H607" s="515">
        <v>72.614750104807541</v>
      </c>
    </row>
    <row r="608" spans="1:8" s="428" customFormat="1" ht="8.85" customHeight="1" x14ac:dyDescent="0.25">
      <c r="A608" s="428" t="s">
        <v>38</v>
      </c>
      <c r="B608" s="514">
        <v>53.296337022838998</v>
      </c>
      <c r="C608" s="514">
        <v>64.728815534473895</v>
      </c>
      <c r="D608" s="514">
        <v>147.62809208502449</v>
      </c>
      <c r="E608" s="514">
        <v>8.8366983664810768</v>
      </c>
      <c r="F608" s="514">
        <v>221.30406471556049</v>
      </c>
      <c r="G608" s="514">
        <v>1675.3568231185702</v>
      </c>
      <c r="H608" s="514">
        <v>87.889275321172548</v>
      </c>
    </row>
    <row r="609" spans="1:8" s="428" customFormat="1" ht="8.85" customHeight="1" x14ac:dyDescent="0.25">
      <c r="A609" s="428" t="s">
        <v>39</v>
      </c>
      <c r="B609" s="514">
        <v>61.886010137345266</v>
      </c>
      <c r="C609" s="514">
        <v>83.088537768588012</v>
      </c>
      <c r="D609" s="514">
        <v>201.60523068168845</v>
      </c>
      <c r="E609" s="514">
        <v>11.326136555151036</v>
      </c>
      <c r="F609" s="514">
        <v>263.1288044492689</v>
      </c>
      <c r="G609" s="514">
        <v>2237.2408806478911</v>
      </c>
      <c r="H609" s="514">
        <v>75.384584528369999</v>
      </c>
    </row>
    <row r="610" spans="1:8" s="428" customFormat="1" ht="8.85" customHeight="1" x14ac:dyDescent="0.25">
      <c r="A610" s="428" t="s">
        <v>40</v>
      </c>
      <c r="B610" s="514">
        <v>85.185431293565273</v>
      </c>
      <c r="C610" s="514">
        <v>60.477240286421562</v>
      </c>
      <c r="D610" s="514">
        <v>138.05044592502</v>
      </c>
      <c r="E610" s="514">
        <v>5.4673443930700989</v>
      </c>
      <c r="F610" s="514">
        <v>235.97899530397174</v>
      </c>
      <c r="G610" s="514">
        <v>1668.6623174642962</v>
      </c>
      <c r="H610" s="514">
        <v>64.121153917686485</v>
      </c>
    </row>
    <row r="611" spans="1:8" s="428" customFormat="1" ht="8.85" customHeight="1" x14ac:dyDescent="0.25">
      <c r="A611" s="475" t="s">
        <v>41</v>
      </c>
      <c r="B611" s="515">
        <v>53.988019259948047</v>
      </c>
      <c r="C611" s="515">
        <v>69.856206826060117</v>
      </c>
      <c r="D611" s="515">
        <v>140.61695203129599</v>
      </c>
      <c r="E611" s="515">
        <v>9.6139507729538884</v>
      </c>
      <c r="F611" s="515">
        <v>198.0680610858027</v>
      </c>
      <c r="G611" s="515">
        <v>2154.1992418934624</v>
      </c>
      <c r="H611" s="515">
        <v>74.897473392919196</v>
      </c>
    </row>
    <row r="612" spans="1:8" s="428" customFormat="1" ht="8.85" customHeight="1" x14ac:dyDescent="0.25">
      <c r="A612" s="428" t="s">
        <v>42</v>
      </c>
      <c r="B612" s="514">
        <v>61.146774423052094</v>
      </c>
      <c r="C612" s="514">
        <v>52.43327447068026</v>
      </c>
      <c r="D612" s="514">
        <v>126.43880610499953</v>
      </c>
      <c r="E612" s="514">
        <v>8.7473387871383323</v>
      </c>
      <c r="F612" s="514">
        <v>179.70113202745887</v>
      </c>
      <c r="G612" s="514">
        <v>1716.6750502379803</v>
      </c>
      <c r="H612" s="514">
        <v>74.941513596288416</v>
      </c>
    </row>
    <row r="613" spans="1:8" s="428" customFormat="1" ht="8.85" customHeight="1" x14ac:dyDescent="0.25">
      <c r="A613" s="428" t="s">
        <v>43</v>
      </c>
      <c r="B613" s="514">
        <v>44.940751854477973</v>
      </c>
      <c r="C613" s="514">
        <v>48.219921547209019</v>
      </c>
      <c r="D613" s="514">
        <v>139.28407662075648</v>
      </c>
      <c r="E613" s="514">
        <v>7.9022613906797394</v>
      </c>
      <c r="F613" s="514">
        <v>175.89251204288507</v>
      </c>
      <c r="G613" s="514">
        <v>1674.4628478137345</v>
      </c>
      <c r="H613" s="514">
        <v>84.029625745559414</v>
      </c>
    </row>
    <row r="614" spans="1:8" s="428" customFormat="1" ht="8.85" customHeight="1" x14ac:dyDescent="0.25">
      <c r="A614" s="428" t="s">
        <v>44</v>
      </c>
      <c r="B614" s="514">
        <v>72.608970994275182</v>
      </c>
      <c r="C614" s="514">
        <v>62.437775670946237</v>
      </c>
      <c r="D614" s="514">
        <v>150.48914540429016</v>
      </c>
      <c r="E614" s="514">
        <v>6.5333225434521633</v>
      </c>
      <c r="F614" s="514">
        <v>225.1769008442092</v>
      </c>
      <c r="G614" s="514">
        <v>1620.4666722595866</v>
      </c>
      <c r="H614" s="514">
        <v>64.50486035241056</v>
      </c>
    </row>
    <row r="615" spans="1:8" s="428" customFormat="1" ht="8.85" customHeight="1" x14ac:dyDescent="0.25">
      <c r="A615" s="475" t="s">
        <v>45</v>
      </c>
      <c r="B615" s="515">
        <v>65.780818313379825</v>
      </c>
      <c r="C615" s="515">
        <v>58.425499147503345</v>
      </c>
      <c r="D615" s="515">
        <v>180.50863169452526</v>
      </c>
      <c r="E615" s="515">
        <v>3.146863354472925</v>
      </c>
      <c r="F615" s="515">
        <v>194.34724765094234</v>
      </c>
      <c r="G615" s="515">
        <v>1959.0733359443452</v>
      </c>
      <c r="H615" s="515">
        <v>66.583869566933799</v>
      </c>
    </row>
    <row r="616" spans="1:8" s="428" customFormat="1" ht="8.85" customHeight="1" x14ac:dyDescent="0.25">
      <c r="A616" s="428" t="s">
        <v>46</v>
      </c>
      <c r="B616" s="514">
        <v>80.484405792755481</v>
      </c>
      <c r="C616" s="514">
        <v>64.712857030203224</v>
      </c>
      <c r="D616" s="514">
        <v>172.24935879460102</v>
      </c>
      <c r="E616" s="514">
        <v>10.785476171700537</v>
      </c>
      <c r="F616" s="514">
        <v>241.41785516131006</v>
      </c>
      <c r="G616" s="514">
        <v>2299.0289181601606</v>
      </c>
      <c r="H616" s="514">
        <v>68.846450152875747</v>
      </c>
    </row>
    <row r="617" spans="1:8" s="428" customFormat="1" ht="8.85" customHeight="1" x14ac:dyDescent="0.25">
      <c r="A617" s="428" t="s">
        <v>47</v>
      </c>
      <c r="B617" s="514">
        <v>99.573231199366219</v>
      </c>
      <c r="C617" s="514">
        <v>65.889704918274973</v>
      </c>
      <c r="D617" s="514">
        <v>176.83851297572903</v>
      </c>
      <c r="E617" s="514">
        <v>7.7930088216121192</v>
      </c>
      <c r="F617" s="514">
        <v>266.73511710750103</v>
      </c>
      <c r="G617" s="514">
        <v>2091.4914009133704</v>
      </c>
      <c r="H617" s="514">
        <v>74.574305922523479</v>
      </c>
    </row>
    <row r="618" spans="1:8" s="428" customFormat="1" ht="8.85" customHeight="1" x14ac:dyDescent="0.25">
      <c r="A618" s="428" t="s">
        <v>48</v>
      </c>
      <c r="B618" s="514">
        <v>69.635216227910519</v>
      </c>
      <c r="C618" s="514">
        <v>92.128007310377185</v>
      </c>
      <c r="D618" s="514">
        <v>201.20263803905118</v>
      </c>
      <c r="E618" s="514">
        <v>16.550468585141818</v>
      </c>
      <c r="F618" s="514">
        <v>256.92841790285314</v>
      </c>
      <c r="G618" s="514">
        <v>2463.0953161733732</v>
      </c>
      <c r="H618" s="514">
        <v>79.490674194274632</v>
      </c>
    </row>
    <row r="619" spans="1:8" s="428" customFormat="1" ht="8.85" customHeight="1" x14ac:dyDescent="0.25">
      <c r="A619" s="475" t="s">
        <v>49</v>
      </c>
      <c r="B619" s="515">
        <v>88.203323215510821</v>
      </c>
      <c r="C619" s="515">
        <v>67.945669874078419</v>
      </c>
      <c r="D619" s="515">
        <v>175.14617022311029</v>
      </c>
      <c r="E619" s="515">
        <v>9.0034014850810635</v>
      </c>
      <c r="F619" s="515">
        <v>263.91970886600956</v>
      </c>
      <c r="G619" s="515">
        <v>1918.234408959705</v>
      </c>
      <c r="H619" s="515">
        <v>64.75653353344488</v>
      </c>
    </row>
    <row r="620" spans="1:8" s="428" customFormat="1" ht="8.85" customHeight="1" x14ac:dyDescent="0.25">
      <c r="A620" s="428" t="s">
        <v>50</v>
      </c>
      <c r="B620" s="514">
        <v>54.789157936648678</v>
      </c>
      <c r="C620" s="514">
        <v>55.374690922231181</v>
      </c>
      <c r="D620" s="514">
        <v>179.25674115761544</v>
      </c>
      <c r="E620" s="514">
        <v>13.049020821552968</v>
      </c>
      <c r="F620" s="514">
        <v>241.07229492125418</v>
      </c>
      <c r="G620" s="514">
        <v>2108.0049050934676</v>
      </c>
      <c r="H620" s="514">
        <v>71.706786573251065</v>
      </c>
    </row>
    <row r="621" spans="1:8" s="428" customFormat="1" ht="8.85" customHeight="1" x14ac:dyDescent="0.25">
      <c r="A621" s="428" t="s">
        <v>51</v>
      </c>
      <c r="B621" s="514">
        <v>62.620826410352763</v>
      </c>
      <c r="C621" s="514">
        <v>61.364821296104999</v>
      </c>
      <c r="D621" s="514">
        <v>143.05641923707685</v>
      </c>
      <c r="E621" s="514">
        <v>10.124939186282989</v>
      </c>
      <c r="F621" s="514">
        <v>194.50136340636789</v>
      </c>
      <c r="G621" s="514">
        <v>1740.6873628967887</v>
      </c>
      <c r="H621" s="514">
        <v>72.265741088600919</v>
      </c>
    </row>
    <row r="622" spans="1:8" s="428" customFormat="1" ht="8.85" customHeight="1" x14ac:dyDescent="0.25">
      <c r="A622" s="428" t="s">
        <v>52</v>
      </c>
      <c r="B622" s="514">
        <v>89.083085894242288</v>
      </c>
      <c r="C622" s="514">
        <v>56.247170722194625</v>
      </c>
      <c r="D622" s="514">
        <v>176.41158090142861</v>
      </c>
      <c r="E622" s="514">
        <v>8.4721674260703139</v>
      </c>
      <c r="F622" s="514">
        <v>259.98023829349495</v>
      </c>
      <c r="G622" s="514">
        <v>2639.2240296736409</v>
      </c>
      <c r="H622" s="514">
        <v>82.092490807193897</v>
      </c>
    </row>
    <row r="623" spans="1:8" s="428" customFormat="1" ht="8.85" customHeight="1" x14ac:dyDescent="0.25">
      <c r="A623" s="475" t="s">
        <v>53</v>
      </c>
      <c r="B623" s="515">
        <v>69.15488124789654</v>
      </c>
      <c r="C623" s="515">
        <v>80.483109414218632</v>
      </c>
      <c r="D623" s="515">
        <v>165.18137349497573</v>
      </c>
      <c r="E623" s="515">
        <v>7.5741060414362877</v>
      </c>
      <c r="F623" s="515">
        <v>236.7731410344648</v>
      </c>
      <c r="G623" s="515">
        <v>2231.7452518587847</v>
      </c>
      <c r="H623" s="515">
        <v>71.308545335942597</v>
      </c>
    </row>
    <row r="624" spans="1:8" s="428" customFormat="1" ht="7.5" customHeight="1" x14ac:dyDescent="0.25">
      <c r="B624" s="514"/>
      <c r="C624" s="514"/>
      <c r="D624" s="514"/>
      <c r="E624" s="514"/>
      <c r="F624" s="514"/>
      <c r="G624" s="514"/>
      <c r="H624" s="514"/>
    </row>
    <row r="625" spans="1:8" s="428" customFormat="1" ht="9" customHeight="1" x14ac:dyDescent="0.25">
      <c r="A625" s="470">
        <v>2012</v>
      </c>
      <c r="B625" s="471"/>
      <c r="C625" s="471"/>
      <c r="D625" s="471"/>
      <c r="E625" s="471"/>
      <c r="F625" s="471"/>
      <c r="G625" s="512"/>
      <c r="H625" s="512"/>
    </row>
    <row r="626" spans="1:8" s="473" customFormat="1" ht="9" customHeight="1" x14ac:dyDescent="0.25">
      <c r="A626" s="429" t="s">
        <v>21</v>
      </c>
      <c r="B626" s="513">
        <v>73.727156876974249</v>
      </c>
      <c r="C626" s="513">
        <v>59.577526589538692</v>
      </c>
      <c r="D626" s="513">
        <v>158.27978368065186</v>
      </c>
      <c r="E626" s="513">
        <v>8.8474998311667399</v>
      </c>
      <c r="F626" s="513">
        <v>238.36605416329397</v>
      </c>
      <c r="G626" s="513">
        <v>1923.4300662850658</v>
      </c>
      <c r="H626" s="513">
        <v>76.30458437765077</v>
      </c>
    </row>
    <row r="627" spans="1:8" s="473" customFormat="1" ht="3" customHeight="1" x14ac:dyDescent="0.25">
      <c r="A627" s="429"/>
      <c r="B627" s="513"/>
      <c r="C627" s="513"/>
      <c r="D627" s="513"/>
      <c r="E627" s="513"/>
      <c r="F627" s="513"/>
      <c r="G627" s="513"/>
      <c r="H627" s="513"/>
    </row>
    <row r="628" spans="1:8" s="428" customFormat="1" ht="8.65" customHeight="1" x14ac:dyDescent="0.25">
      <c r="A628" s="428" t="s">
        <v>23</v>
      </c>
      <c r="B628" s="514">
        <v>70.95557276017179</v>
      </c>
      <c r="C628" s="514">
        <v>65.298522540112529</v>
      </c>
      <c r="D628" s="514">
        <v>182.56109210162649</v>
      </c>
      <c r="E628" s="514">
        <v>9.293725361525917</v>
      </c>
      <c r="F628" s="514">
        <v>293.7625364273627</v>
      </c>
      <c r="G628" s="514">
        <v>2400.4941029292204</v>
      </c>
      <c r="H628" s="514">
        <v>91.1155490373514</v>
      </c>
    </row>
    <row r="629" spans="1:8" s="428" customFormat="1" ht="8.65" customHeight="1" x14ac:dyDescent="0.25">
      <c r="A629" s="428" t="s">
        <v>24</v>
      </c>
      <c r="B629" s="514">
        <v>66.825266120978412</v>
      </c>
      <c r="C629" s="514">
        <v>45.290623575990914</v>
      </c>
      <c r="D629" s="514">
        <v>143.55399965877774</v>
      </c>
      <c r="E629" s="514">
        <v>6.7565712282983723</v>
      </c>
      <c r="F629" s="514">
        <v>222.19555244842408</v>
      </c>
      <c r="G629" s="514">
        <v>1646.0516171189918</v>
      </c>
      <c r="H629" s="514">
        <v>87.525645404065315</v>
      </c>
    </row>
    <row r="630" spans="1:8" s="428" customFormat="1" ht="8.65" customHeight="1" x14ac:dyDescent="0.25">
      <c r="A630" s="428" t="s">
        <v>25</v>
      </c>
      <c r="B630" s="514">
        <v>101.95502162567509</v>
      </c>
      <c r="C630" s="514">
        <v>83.169846764480866</v>
      </c>
      <c r="D630" s="514">
        <v>223.90716487778275</v>
      </c>
      <c r="E630" s="514">
        <v>9.8470674675614873</v>
      </c>
      <c r="F630" s="514">
        <v>321.46887947946885</v>
      </c>
      <c r="G630" s="514">
        <v>2252.4939592028418</v>
      </c>
      <c r="H630" s="514">
        <v>59.334405341040927</v>
      </c>
    </row>
    <row r="631" spans="1:8" s="428" customFormat="1" ht="8.65" customHeight="1" x14ac:dyDescent="0.25">
      <c r="A631" s="475" t="s">
        <v>26</v>
      </c>
      <c r="B631" s="515">
        <v>100.15570718663784</v>
      </c>
      <c r="C631" s="515">
        <v>92.119958586779688</v>
      </c>
      <c r="D631" s="515">
        <v>213.00556795855883</v>
      </c>
      <c r="E631" s="515">
        <v>10.015570718663783</v>
      </c>
      <c r="F631" s="515">
        <v>298.25437919183662</v>
      </c>
      <c r="G631" s="515">
        <v>2242.8531333014234</v>
      </c>
      <c r="H631" s="515">
        <v>59.078368907295321</v>
      </c>
    </row>
    <row r="632" spans="1:8" s="428" customFormat="1" ht="8.65" customHeight="1" x14ac:dyDescent="0.25">
      <c r="A632" s="428" t="s">
        <v>27</v>
      </c>
      <c r="B632" s="514">
        <v>93.158003755059639</v>
      </c>
      <c r="C632" s="514">
        <v>61.719806099571116</v>
      </c>
      <c r="D632" s="514">
        <v>155.82411011850834</v>
      </c>
      <c r="E632" s="514">
        <v>6.6591500050644585</v>
      </c>
      <c r="F632" s="514">
        <v>251.29529229637984</v>
      </c>
      <c r="G632" s="514">
        <v>1915.1428019670427</v>
      </c>
      <c r="H632" s="514">
        <v>73.562571508086222</v>
      </c>
    </row>
    <row r="633" spans="1:8" s="428" customFormat="1" ht="8.65" customHeight="1" x14ac:dyDescent="0.25">
      <c r="A633" s="428" t="s">
        <v>28</v>
      </c>
      <c r="B633" s="514">
        <v>86.354762546621203</v>
      </c>
      <c r="C633" s="514">
        <v>81.762999872615623</v>
      </c>
      <c r="D633" s="514">
        <v>215.07223879535846</v>
      </c>
      <c r="E633" s="514">
        <v>11.257224620142729</v>
      </c>
      <c r="F633" s="514">
        <v>313.72107559818818</v>
      </c>
      <c r="G633" s="514">
        <v>2014.825468581975</v>
      </c>
      <c r="H633" s="514">
        <v>64.322000046993594</v>
      </c>
    </row>
    <row r="634" spans="1:8" s="428" customFormat="1" ht="8.65" customHeight="1" x14ac:dyDescent="0.25">
      <c r="A634" s="428" t="s">
        <v>29</v>
      </c>
      <c r="B634" s="514">
        <v>41.597745990984684</v>
      </c>
      <c r="C634" s="514">
        <v>70.577976346764572</v>
      </c>
      <c r="D634" s="514">
        <v>110.11285867040625</v>
      </c>
      <c r="E634" s="514">
        <v>6.5090358435580269</v>
      </c>
      <c r="F634" s="514">
        <v>179.86969511075273</v>
      </c>
      <c r="G634" s="514">
        <v>1928.5766501056767</v>
      </c>
      <c r="H634" s="514">
        <v>80.287031479808206</v>
      </c>
    </row>
    <row r="635" spans="1:8" s="428" customFormat="1" ht="8.65" customHeight="1" x14ac:dyDescent="0.25">
      <c r="A635" s="475" t="s">
        <v>30</v>
      </c>
      <c r="B635" s="515">
        <v>78.685388120582303</v>
      </c>
      <c r="C635" s="515">
        <v>53.802946991016157</v>
      </c>
      <c r="D635" s="515">
        <v>137.37951211078175</v>
      </c>
      <c r="E635" s="515">
        <v>6.2845937024389915</v>
      </c>
      <c r="F635" s="515">
        <v>257.01428906173578</v>
      </c>
      <c r="G635" s="515">
        <v>1974.9594487302277</v>
      </c>
      <c r="H635" s="515">
        <v>79.36036754112807</v>
      </c>
    </row>
    <row r="636" spans="1:8" s="428" customFormat="1" ht="8.65" customHeight="1" x14ac:dyDescent="0.25">
      <c r="A636" s="428" t="s">
        <v>63</v>
      </c>
      <c r="B636" s="514">
        <v>178.08353065110884</v>
      </c>
      <c r="C636" s="514">
        <v>92.585303636455308</v>
      </c>
      <c r="D636" s="514">
        <v>335.33702642628248</v>
      </c>
      <c r="E636" s="514">
        <v>14.948092968293237</v>
      </c>
      <c r="F636" s="514">
        <v>517.876238635248</v>
      </c>
      <c r="G636" s="514">
        <v>1813.7656678569124</v>
      </c>
      <c r="H636" s="514">
        <v>73.33904853756259</v>
      </c>
    </row>
    <row r="637" spans="1:8" s="428" customFormat="1" ht="8.65" customHeight="1" x14ac:dyDescent="0.25">
      <c r="A637" s="428" t="s">
        <v>31</v>
      </c>
      <c r="B637" s="514">
        <v>92.520357132116601</v>
      </c>
      <c r="C637" s="514">
        <v>76.599071965977984</v>
      </c>
      <c r="D637" s="514">
        <v>186.27903644382175</v>
      </c>
      <c r="E637" s="514">
        <v>10.673157833596624</v>
      </c>
      <c r="F637" s="514">
        <v>253.1484341416039</v>
      </c>
      <c r="G637" s="514">
        <v>2320.8634289848765</v>
      </c>
      <c r="H637" s="514">
        <v>67.218278809467677</v>
      </c>
    </row>
    <row r="638" spans="1:8" s="428" customFormat="1" ht="8.65" customHeight="1" x14ac:dyDescent="0.25">
      <c r="A638" s="428" t="s">
        <v>32</v>
      </c>
      <c r="B638" s="514">
        <v>54.084395663363473</v>
      </c>
      <c r="C638" s="514">
        <v>44.852627082443398</v>
      </c>
      <c r="D638" s="514">
        <v>129.12119917673101</v>
      </c>
      <c r="E638" s="514">
        <v>6.5134275456204698</v>
      </c>
      <c r="F638" s="514">
        <v>200.04518800682055</v>
      </c>
      <c r="G638" s="514">
        <v>1791.0990217502585</v>
      </c>
      <c r="H638" s="514">
        <v>83.560481419221006</v>
      </c>
    </row>
    <row r="639" spans="1:8" s="428" customFormat="1" ht="8.65" customHeight="1" x14ac:dyDescent="0.25">
      <c r="A639" s="475" t="s">
        <v>33</v>
      </c>
      <c r="B639" s="515">
        <v>51.901290466563012</v>
      </c>
      <c r="C639" s="515">
        <v>64.137012513467184</v>
      </c>
      <c r="D639" s="515">
        <v>135.33972367373821</v>
      </c>
      <c r="E639" s="515">
        <v>8.3869268490516884</v>
      </c>
      <c r="F639" s="515">
        <v>184.88578125803326</v>
      </c>
      <c r="G639" s="515">
        <v>2322.1700081772537</v>
      </c>
      <c r="H639" s="515">
        <v>78.736875620683648</v>
      </c>
    </row>
    <row r="640" spans="1:8" s="428" customFormat="1" ht="8.65" customHeight="1" x14ac:dyDescent="0.25">
      <c r="A640" s="428" t="s">
        <v>34</v>
      </c>
      <c r="B640" s="514">
        <v>47.930178801353371</v>
      </c>
      <c r="C640" s="514">
        <v>70.805945956544761</v>
      </c>
      <c r="D640" s="514">
        <v>145.78762718744986</v>
      </c>
      <c r="E640" s="514">
        <v>11.365262094563338</v>
      </c>
      <c r="F640" s="514">
        <v>229.77437231436679</v>
      </c>
      <c r="G640" s="514">
        <v>2334.3238903618949</v>
      </c>
      <c r="H640" s="514">
        <v>98.408675799086751</v>
      </c>
    </row>
    <row r="641" spans="1:8" s="428" customFormat="1" ht="8.65" customHeight="1" x14ac:dyDescent="0.25">
      <c r="A641" s="428" t="s">
        <v>35</v>
      </c>
      <c r="B641" s="514">
        <v>84.036314287419671</v>
      </c>
      <c r="C641" s="514">
        <v>50.964889323544405</v>
      </c>
      <c r="D641" s="514">
        <v>156.21361700508797</v>
      </c>
      <c r="E641" s="514">
        <v>6.5854245663884914</v>
      </c>
      <c r="F641" s="514">
        <v>238.46583220679284</v>
      </c>
      <c r="G641" s="514">
        <v>1596.9422378243435</v>
      </c>
      <c r="H641" s="514">
        <v>81.402366787985585</v>
      </c>
    </row>
    <row r="642" spans="1:8" s="428" customFormat="1" ht="8.65" customHeight="1" x14ac:dyDescent="0.25">
      <c r="A642" s="428" t="s">
        <v>36</v>
      </c>
      <c r="B642" s="514">
        <v>50.368927736211653</v>
      </c>
      <c r="C642" s="514">
        <v>42.248807484612655</v>
      </c>
      <c r="D642" s="514">
        <v>111.29528454562295</v>
      </c>
      <c r="E642" s="514">
        <v>7.5282933053617667</v>
      </c>
      <c r="F642" s="514">
        <v>170.49070663055545</v>
      </c>
      <c r="G642" s="514">
        <v>1940.5443649706413</v>
      </c>
      <c r="H642" s="514">
        <v>67.800275184105089</v>
      </c>
    </row>
    <row r="643" spans="1:8" s="428" customFormat="1" ht="8.65" customHeight="1" x14ac:dyDescent="0.25">
      <c r="A643" s="475" t="s">
        <v>37</v>
      </c>
      <c r="B643" s="515">
        <v>56.573797114981836</v>
      </c>
      <c r="C643" s="515">
        <v>59.184895443365619</v>
      </c>
      <c r="D643" s="515">
        <v>147.69443365165674</v>
      </c>
      <c r="E643" s="515">
        <v>10.801466589211522</v>
      </c>
      <c r="F643" s="515">
        <v>194.02469117067145</v>
      </c>
      <c r="G643" s="515">
        <v>1798.877807962868</v>
      </c>
      <c r="H643" s="515">
        <v>71.904568911945105</v>
      </c>
    </row>
    <row r="644" spans="1:8" s="428" customFormat="1" ht="8.65" customHeight="1" x14ac:dyDescent="0.25">
      <c r="A644" s="428" t="s">
        <v>38</v>
      </c>
      <c r="B644" s="514">
        <v>60.469684132907148</v>
      </c>
      <c r="C644" s="514">
        <v>62.590473414546878</v>
      </c>
      <c r="D644" s="514">
        <v>149.48845474942604</v>
      </c>
      <c r="E644" s="514">
        <v>8.4831571265589165</v>
      </c>
      <c r="F644" s="514">
        <v>232.90616649392206</v>
      </c>
      <c r="G644" s="514">
        <v>1721.4849005241067</v>
      </c>
      <c r="H644" s="514">
        <v>77.608406425544501</v>
      </c>
    </row>
    <row r="645" spans="1:8" s="428" customFormat="1" ht="8.65" customHeight="1" x14ac:dyDescent="0.25">
      <c r="A645" s="428" t="s">
        <v>39</v>
      </c>
      <c r="B645" s="514">
        <v>64.607118513627483</v>
      </c>
      <c r="C645" s="514">
        <v>80.692247056910247</v>
      </c>
      <c r="D645" s="514">
        <v>199.95325537229962</v>
      </c>
      <c r="E645" s="514">
        <v>11.730590981841578</v>
      </c>
      <c r="F645" s="514">
        <v>269.89246069585511</v>
      </c>
      <c r="G645" s="514">
        <v>2134.1490833698435</v>
      </c>
      <c r="H645" s="514">
        <v>68.552316707806526</v>
      </c>
    </row>
    <row r="646" spans="1:8" s="428" customFormat="1" ht="8.65" customHeight="1" x14ac:dyDescent="0.25">
      <c r="A646" s="428" t="s">
        <v>40</v>
      </c>
      <c r="B646" s="514">
        <v>70.830128280317737</v>
      </c>
      <c r="C646" s="514">
        <v>50.128469637087164</v>
      </c>
      <c r="D646" s="514">
        <v>127.99633872852306</v>
      </c>
      <c r="E646" s="514">
        <v>5.3503292716102884</v>
      </c>
      <c r="F646" s="514">
        <v>210.57661321687723</v>
      </c>
      <c r="G646" s="514">
        <v>1697.6714132318582</v>
      </c>
      <c r="H646" s="514">
        <v>74.436175208742924</v>
      </c>
    </row>
    <row r="647" spans="1:8" s="428" customFormat="1" ht="8.65" customHeight="1" x14ac:dyDescent="0.25">
      <c r="A647" s="475" t="s">
        <v>41</v>
      </c>
      <c r="B647" s="515">
        <v>53.436603151838263</v>
      </c>
      <c r="C647" s="515">
        <v>69.892415329344018</v>
      </c>
      <c r="D647" s="515">
        <v>143.77722054934262</v>
      </c>
      <c r="E647" s="515">
        <v>9.4435376259714179</v>
      </c>
      <c r="F647" s="515">
        <v>205.60807936871103</v>
      </c>
      <c r="G647" s="515">
        <v>2110.1661601961796</v>
      </c>
      <c r="H647" s="515">
        <v>78.946622579121396</v>
      </c>
    </row>
    <row r="648" spans="1:8" s="428" customFormat="1" ht="8.65" customHeight="1" x14ac:dyDescent="0.25">
      <c r="A648" s="428" t="s">
        <v>42</v>
      </c>
      <c r="B648" s="514">
        <v>60.426144378467747</v>
      </c>
      <c r="C648" s="514">
        <v>49.554774032231279</v>
      </c>
      <c r="D648" s="514">
        <v>130.37307475034197</v>
      </c>
      <c r="E648" s="514">
        <v>8.9205262810375956</v>
      </c>
      <c r="F648" s="514">
        <v>179.1941980230113</v>
      </c>
      <c r="G648" s="514">
        <v>1704.8779772048038</v>
      </c>
      <c r="H648" s="514">
        <v>83.453082947775854</v>
      </c>
    </row>
    <row r="649" spans="1:8" s="428" customFormat="1" ht="8.65" customHeight="1" x14ac:dyDescent="0.25">
      <c r="A649" s="428" t="s">
        <v>43</v>
      </c>
      <c r="B649" s="514">
        <v>46.4414135801822</v>
      </c>
      <c r="C649" s="514">
        <v>50.005765863988508</v>
      </c>
      <c r="D649" s="514">
        <v>150.75113482686683</v>
      </c>
      <c r="E649" s="514">
        <v>7.8101248571638235</v>
      </c>
      <c r="F649" s="514">
        <v>192.52744027089076</v>
      </c>
      <c r="G649" s="514">
        <v>1712.2729035842708</v>
      </c>
      <c r="H649" s="514">
        <v>83.764494882340216</v>
      </c>
    </row>
    <row r="650" spans="1:8" s="428" customFormat="1" ht="8.65" customHeight="1" x14ac:dyDescent="0.25">
      <c r="A650" s="428" t="s">
        <v>44</v>
      </c>
      <c r="B650" s="514">
        <v>69.798313159361513</v>
      </c>
      <c r="C650" s="514">
        <v>59.775621497015187</v>
      </c>
      <c r="D650" s="514">
        <v>145.94192751502862</v>
      </c>
      <c r="E650" s="514">
        <v>6.9942524550186649</v>
      </c>
      <c r="F650" s="514">
        <v>237.73247777522204</v>
      </c>
      <c r="G650" s="514">
        <v>1624.4353222728002</v>
      </c>
      <c r="H650" s="514">
        <v>72.705762481603074</v>
      </c>
    </row>
    <row r="651" spans="1:8" s="428" customFormat="1" ht="8.65" customHeight="1" x14ac:dyDescent="0.25">
      <c r="A651" s="475" t="s">
        <v>45</v>
      </c>
      <c r="B651" s="515">
        <v>75.097058167414332</v>
      </c>
      <c r="C651" s="515">
        <v>53.53899104496638</v>
      </c>
      <c r="D651" s="515">
        <v>150.60653153195375</v>
      </c>
      <c r="E651" s="515">
        <v>9.2231034993429475</v>
      </c>
      <c r="F651" s="515">
        <v>211.94391903164913</v>
      </c>
      <c r="G651" s="515">
        <v>1972.7850960646217</v>
      </c>
      <c r="H651" s="515">
        <v>58.937894528070913</v>
      </c>
    </row>
    <row r="652" spans="1:8" s="428" customFormat="1" ht="8.65" customHeight="1" x14ac:dyDescent="0.25">
      <c r="A652" s="428" t="s">
        <v>46</v>
      </c>
      <c r="B652" s="514">
        <v>71.4707695692572</v>
      </c>
      <c r="C652" s="514">
        <v>62.175740112368899</v>
      </c>
      <c r="D652" s="514">
        <v>161.14865676380495</v>
      </c>
      <c r="E652" s="514">
        <v>10.339414789122936</v>
      </c>
      <c r="F652" s="514">
        <v>230.56546851300067</v>
      </c>
      <c r="G652" s="514">
        <v>2360.4835225585489</v>
      </c>
      <c r="H652" s="514">
        <v>85.626914171709956</v>
      </c>
    </row>
    <row r="653" spans="1:8" s="428" customFormat="1" ht="8.65" customHeight="1" x14ac:dyDescent="0.25">
      <c r="A653" s="428" t="s">
        <v>47</v>
      </c>
      <c r="B653" s="514">
        <v>90.733805561273144</v>
      </c>
      <c r="C653" s="514">
        <v>57.204118696546153</v>
      </c>
      <c r="D653" s="514">
        <v>163.90271008603528</v>
      </c>
      <c r="E653" s="514">
        <v>5.7458682479683993</v>
      </c>
      <c r="F653" s="514">
        <v>255.32747448725399</v>
      </c>
      <c r="G653" s="514">
        <v>1802.2221236292648</v>
      </c>
      <c r="H653" s="514">
        <v>77.952946989870156</v>
      </c>
    </row>
    <row r="654" spans="1:8" s="428" customFormat="1" ht="8.65" customHeight="1" x14ac:dyDescent="0.25">
      <c r="A654" s="428" t="s">
        <v>48</v>
      </c>
      <c r="B654" s="514">
        <v>65.157756285730628</v>
      </c>
      <c r="C654" s="514">
        <v>82.616915716016166</v>
      </c>
      <c r="D654" s="514">
        <v>182.51969895730261</v>
      </c>
      <c r="E654" s="514">
        <v>16.072824190163605</v>
      </c>
      <c r="F654" s="514">
        <v>240.26922630363168</v>
      </c>
      <c r="G654" s="514">
        <v>2429.6018965066082</v>
      </c>
      <c r="H654" s="514">
        <v>90.904255319148945</v>
      </c>
    </row>
    <row r="655" spans="1:8" s="428" customFormat="1" ht="8.65" customHeight="1" x14ac:dyDescent="0.25">
      <c r="A655" s="475" t="s">
        <v>49</v>
      </c>
      <c r="B655" s="515">
        <v>89.559205603915231</v>
      </c>
      <c r="C655" s="515">
        <v>63.729381736031065</v>
      </c>
      <c r="D655" s="515">
        <v>174.10665433794247</v>
      </c>
      <c r="E655" s="515">
        <v>9.1041973908615805</v>
      </c>
      <c r="F655" s="515">
        <v>277.57422663994919</v>
      </c>
      <c r="G655" s="515">
        <v>2059.0631098811382</v>
      </c>
      <c r="H655" s="515">
        <v>68.180803773927252</v>
      </c>
    </row>
    <row r="656" spans="1:8" s="428" customFormat="1" ht="8.65" customHeight="1" x14ac:dyDescent="0.25">
      <c r="A656" s="428" t="s">
        <v>50</v>
      </c>
      <c r="B656" s="514">
        <v>42.264594415821236</v>
      </c>
      <c r="C656" s="514">
        <v>59.252499355772684</v>
      </c>
      <c r="D656" s="514">
        <v>175.3775500322524</v>
      </c>
      <c r="E656" s="514">
        <v>12.720411911557848</v>
      </c>
      <c r="F656" s="514">
        <v>240.94922175699253</v>
      </c>
      <c r="G656" s="514">
        <v>2148.4611584273962</v>
      </c>
      <c r="H656" s="514">
        <v>118.44394201356563</v>
      </c>
    </row>
    <row r="657" spans="1:8" s="428" customFormat="1" ht="8.65" customHeight="1" x14ac:dyDescent="0.25">
      <c r="A657" s="428" t="s">
        <v>51</v>
      </c>
      <c r="B657" s="514">
        <v>63.097665449602481</v>
      </c>
      <c r="C657" s="514">
        <v>56.522357627199014</v>
      </c>
      <c r="D657" s="514">
        <v>137.72740923388181</v>
      </c>
      <c r="E657" s="514">
        <v>9.6100652788973715</v>
      </c>
      <c r="F657" s="514">
        <v>200.00316120568385</v>
      </c>
      <c r="G657" s="514">
        <v>1767.5401077971137</v>
      </c>
      <c r="H657" s="514">
        <v>76.758064073352188</v>
      </c>
    </row>
    <row r="658" spans="1:8" s="428" customFormat="1" ht="8.65" customHeight="1" x14ac:dyDescent="0.25">
      <c r="A658" s="428" t="s">
        <v>52</v>
      </c>
      <c r="B658" s="514">
        <v>90.642416407412256</v>
      </c>
      <c r="C658" s="514">
        <v>54.474266583442095</v>
      </c>
      <c r="D658" s="514">
        <v>174.82094792131824</v>
      </c>
      <c r="E658" s="514">
        <v>8.0428491423016855</v>
      </c>
      <c r="F658" s="514">
        <v>263.39097375218648</v>
      </c>
      <c r="G658" s="514">
        <v>2579.3002721246198</v>
      </c>
      <c r="H658" s="514">
        <v>78.913803774766777</v>
      </c>
    </row>
    <row r="659" spans="1:8" s="428" customFormat="1" ht="8.65" customHeight="1" x14ac:dyDescent="0.25">
      <c r="A659" s="475" t="s">
        <v>53</v>
      </c>
      <c r="B659" s="515">
        <v>65.446855138877964</v>
      </c>
      <c r="C659" s="515">
        <v>76.625463961010055</v>
      </c>
      <c r="D659" s="515">
        <v>164.55952056766534</v>
      </c>
      <c r="E659" s="515">
        <v>9.8137786752438654</v>
      </c>
      <c r="F659" s="515">
        <v>234.88076908828697</v>
      </c>
      <c r="G659" s="515">
        <v>2233.9500849119327</v>
      </c>
      <c r="H659" s="515">
        <v>76.226687162465481</v>
      </c>
    </row>
    <row r="660" spans="1:8" s="428" customFormat="1" ht="7.5" customHeight="1" x14ac:dyDescent="0.25">
      <c r="B660" s="514"/>
      <c r="C660" s="514"/>
      <c r="D660" s="514"/>
      <c r="E660" s="514"/>
      <c r="F660" s="514"/>
      <c r="G660" s="514"/>
      <c r="H660" s="514"/>
    </row>
    <row r="661" spans="1:8" s="428" customFormat="1" ht="9" customHeight="1" x14ac:dyDescent="0.25">
      <c r="A661" s="470">
        <v>2013</v>
      </c>
      <c r="B661" s="471"/>
      <c r="C661" s="471"/>
      <c r="D661" s="471"/>
      <c r="E661" s="471"/>
      <c r="F661" s="471"/>
      <c r="G661" s="512"/>
      <c r="H661" s="512"/>
    </row>
    <row r="662" spans="1:8" s="473" customFormat="1" ht="9" customHeight="1" x14ac:dyDescent="0.25">
      <c r="A662" s="429" t="s">
        <v>21</v>
      </c>
      <c r="B662" s="513">
        <v>74.32518258132518</v>
      </c>
      <c r="C662" s="513">
        <v>60.980603831099835</v>
      </c>
      <c r="D662" s="513">
        <v>165.35296844142653</v>
      </c>
      <c r="E662" s="513">
        <v>9.1275049305903053</v>
      </c>
      <c r="F662" s="513">
        <v>244.51210890304665</v>
      </c>
      <c r="G662" s="513">
        <v>1895.4948183820677</v>
      </c>
      <c r="H662" s="513">
        <v>75.559289735924878</v>
      </c>
    </row>
    <row r="663" spans="1:8" s="473" customFormat="1" ht="3" customHeight="1" x14ac:dyDescent="0.25">
      <c r="A663" s="429"/>
      <c r="B663" s="513"/>
      <c r="C663" s="513"/>
      <c r="D663" s="513"/>
      <c r="E663" s="513"/>
      <c r="F663" s="513"/>
      <c r="G663" s="513"/>
      <c r="H663" s="513"/>
    </row>
    <row r="664" spans="1:8" s="428" customFormat="1" ht="8.65" customHeight="1" x14ac:dyDescent="0.25">
      <c r="A664" s="428" t="s">
        <v>23</v>
      </c>
      <c r="B664" s="514">
        <v>67.619775976868496</v>
      </c>
      <c r="C664" s="514">
        <v>63.428140740875477</v>
      </c>
      <c r="D664" s="514">
        <v>187.35818630315961</v>
      </c>
      <c r="E664" s="514">
        <v>9.0159701302491335</v>
      </c>
      <c r="F664" s="514">
        <v>294.5216909214717</v>
      </c>
      <c r="G664" s="514">
        <v>2302.4415088937799</v>
      </c>
      <c r="H664" s="514">
        <v>95.17744132019547</v>
      </c>
    </row>
    <row r="665" spans="1:8" s="428" customFormat="1" ht="8.65" customHeight="1" x14ac:dyDescent="0.25">
      <c r="A665" s="428" t="s">
        <v>24</v>
      </c>
      <c r="B665" s="514">
        <v>65.702440607527762</v>
      </c>
      <c r="C665" s="514">
        <v>46.864891418473562</v>
      </c>
      <c r="D665" s="514">
        <v>147.70836787138444</v>
      </c>
      <c r="E665" s="514">
        <v>6.7167922554164061</v>
      </c>
      <c r="F665" s="514">
        <v>218.93689665268658</v>
      </c>
      <c r="G665" s="514">
        <v>1606.090970402455</v>
      </c>
      <c r="H665" s="514">
        <v>93.460431837857101</v>
      </c>
    </row>
    <row r="666" spans="1:8" s="428" customFormat="1" ht="8.65" customHeight="1" x14ac:dyDescent="0.25">
      <c r="A666" s="428" t="s">
        <v>25</v>
      </c>
      <c r="B666" s="514">
        <v>99.545252474231219</v>
      </c>
      <c r="C666" s="514">
        <v>88.172871998688493</v>
      </c>
      <c r="D666" s="514">
        <v>228.18607577550034</v>
      </c>
      <c r="E666" s="514">
        <v>9.600061440393219</v>
      </c>
      <c r="F666" s="514">
        <v>315.47278825661408</v>
      </c>
      <c r="G666" s="514">
        <v>2252.2792761258288</v>
      </c>
      <c r="H666" s="514">
        <v>60.758912239339871</v>
      </c>
    </row>
    <row r="667" spans="1:8" s="428" customFormat="1" ht="8.65" customHeight="1" x14ac:dyDescent="0.25">
      <c r="A667" s="475" t="s">
        <v>26</v>
      </c>
      <c r="B667" s="515">
        <v>107.95496735647416</v>
      </c>
      <c r="C667" s="515">
        <v>94.589114255196407</v>
      </c>
      <c r="D667" s="515">
        <v>216.48112501642171</v>
      </c>
      <c r="E667" s="515">
        <v>11.081091887384119</v>
      </c>
      <c r="F667" s="515">
        <v>304.67290787271594</v>
      </c>
      <c r="G667" s="515">
        <v>2156.7825992585949</v>
      </c>
      <c r="H667" s="515">
        <v>57.38145973762412</v>
      </c>
    </row>
    <row r="668" spans="1:8" s="428" customFormat="1" ht="8.65" customHeight="1" x14ac:dyDescent="0.25">
      <c r="A668" s="428" t="s">
        <v>27</v>
      </c>
      <c r="B668" s="514">
        <v>92.915495583838023</v>
      </c>
      <c r="C668" s="514">
        <v>66.225165562913901</v>
      </c>
      <c r="D668" s="514">
        <v>170.77667824513671</v>
      </c>
      <c r="E668" s="514">
        <v>8.2522495148782191</v>
      </c>
      <c r="F668" s="514">
        <v>280.64553998715547</v>
      </c>
      <c r="G668" s="514">
        <v>1896.6107078979899</v>
      </c>
      <c r="H668" s="514">
        <v>75.104635950377457</v>
      </c>
    </row>
    <row r="669" spans="1:8" s="428" customFormat="1" ht="8.65" customHeight="1" x14ac:dyDescent="0.25">
      <c r="A669" s="428" t="s">
        <v>28</v>
      </c>
      <c r="B669" s="514">
        <v>80.458468035912944</v>
      </c>
      <c r="C669" s="514">
        <v>83.944033438190758</v>
      </c>
      <c r="D669" s="514">
        <v>216.9764462917941</v>
      </c>
      <c r="E669" s="514">
        <v>11.473319449164482</v>
      </c>
      <c r="F669" s="514">
        <v>309.6343932356794</v>
      </c>
      <c r="G669" s="514">
        <v>2036.6086029563405</v>
      </c>
      <c r="H669" s="514">
        <v>67.443746600069232</v>
      </c>
    </row>
    <row r="670" spans="1:8" s="428" customFormat="1" ht="8.65" customHeight="1" x14ac:dyDescent="0.25">
      <c r="A670" s="428" t="s">
        <v>29</v>
      </c>
      <c r="B670" s="514">
        <v>43.780890998168914</v>
      </c>
      <c r="C670" s="514">
        <v>56.388056824685663</v>
      </c>
      <c r="D670" s="514">
        <v>123.45581886590578</v>
      </c>
      <c r="E670" s="514">
        <v>7.4148229588093804</v>
      </c>
      <c r="F670" s="514">
        <v>201.43930170855617</v>
      </c>
      <c r="G670" s="514">
        <v>1907.8844939727521</v>
      </c>
      <c r="H670" s="514">
        <v>79.504855444374698</v>
      </c>
    </row>
    <row r="671" spans="1:8" s="428" customFormat="1" ht="8.65" customHeight="1" x14ac:dyDescent="0.25">
      <c r="A671" s="475" t="s">
        <v>30</v>
      </c>
      <c r="B671" s="515">
        <v>78.414145111000707</v>
      </c>
      <c r="C671" s="515">
        <v>56.731125481241797</v>
      </c>
      <c r="D671" s="515">
        <v>139.26194271960895</v>
      </c>
      <c r="E671" s="515">
        <v>6.2595973443517288</v>
      </c>
      <c r="F671" s="515">
        <v>264.42569322220953</v>
      </c>
      <c r="G671" s="515">
        <v>1913.9584509357533</v>
      </c>
      <c r="H671" s="515">
        <v>79.653913788772144</v>
      </c>
    </row>
    <row r="672" spans="1:8" s="428" customFormat="1" ht="8.65" customHeight="1" x14ac:dyDescent="0.25">
      <c r="A672" s="428" t="s">
        <v>63</v>
      </c>
      <c r="B672" s="514">
        <v>174.37522539712697</v>
      </c>
      <c r="C672" s="514">
        <v>95.311574076886586</v>
      </c>
      <c r="D672" s="514">
        <v>357.84089296197646</v>
      </c>
      <c r="E672" s="514">
        <v>15.750875493526511</v>
      </c>
      <c r="F672" s="514">
        <v>523.84363334922045</v>
      </c>
      <c r="G672" s="514">
        <v>1872.614849673578</v>
      </c>
      <c r="H672" s="514">
        <v>73.716279477392106</v>
      </c>
    </row>
    <row r="673" spans="1:8" s="428" customFormat="1" ht="8.65" customHeight="1" x14ac:dyDescent="0.25">
      <c r="A673" s="428" t="s">
        <v>31</v>
      </c>
      <c r="B673" s="514">
        <v>99.655360964501199</v>
      </c>
      <c r="C673" s="514">
        <v>73.62294014112129</v>
      </c>
      <c r="D673" s="514">
        <v>185.01613370902146</v>
      </c>
      <c r="E673" s="514">
        <v>9.5878335621823307</v>
      </c>
      <c r="F673" s="514">
        <v>253.87421111014913</v>
      </c>
      <c r="G673" s="514">
        <v>2363.3585541779421</v>
      </c>
      <c r="H673" s="514">
        <v>58.886217500698912</v>
      </c>
    </row>
    <row r="674" spans="1:8" s="428" customFormat="1" ht="8.65" customHeight="1" x14ac:dyDescent="0.25">
      <c r="A674" s="428" t="s">
        <v>32</v>
      </c>
      <c r="B674" s="514">
        <v>56.08911709182194</v>
      </c>
      <c r="C674" s="514">
        <v>45.432010708650559</v>
      </c>
      <c r="D674" s="514">
        <v>132.93521262929795</v>
      </c>
      <c r="E674" s="514">
        <v>6.4430218329630913</v>
      </c>
      <c r="F674" s="514">
        <v>200.84814546323324</v>
      </c>
      <c r="G674" s="514">
        <v>1726.0078845173664</v>
      </c>
      <c r="H674" s="514">
        <v>80.576184542365382</v>
      </c>
    </row>
    <row r="675" spans="1:8" s="428" customFormat="1" ht="8.65" customHeight="1" x14ac:dyDescent="0.25">
      <c r="A675" s="475" t="s">
        <v>33</v>
      </c>
      <c r="B675" s="515">
        <v>54.129064772263355</v>
      </c>
      <c r="C675" s="515">
        <v>67.518886058033772</v>
      </c>
      <c r="D675" s="515">
        <v>139.16867442763501</v>
      </c>
      <c r="E675" s="515">
        <v>9.3158969371211153</v>
      </c>
      <c r="F675" s="515">
        <v>190.99013170171239</v>
      </c>
      <c r="G675" s="515">
        <v>2380.5823090832273</v>
      </c>
      <c r="H675" s="515">
        <v>76.834462869502531</v>
      </c>
    </row>
    <row r="676" spans="1:8" s="428" customFormat="1" ht="8.65" customHeight="1" x14ac:dyDescent="0.25">
      <c r="A676" s="428" t="s">
        <v>34</v>
      </c>
      <c r="B676" s="514">
        <v>46.887003394747794</v>
      </c>
      <c r="C676" s="514">
        <v>69.06087227708467</v>
      </c>
      <c r="D676" s="514">
        <v>147.52775667683804</v>
      </c>
      <c r="E676" s="514">
        <v>11.194227355115226</v>
      </c>
      <c r="F676" s="514">
        <v>226.49534134167641</v>
      </c>
      <c r="G676" s="514">
        <v>2284.8412279459417</v>
      </c>
      <c r="H676" s="514">
        <v>107.48649467623794</v>
      </c>
    </row>
    <row r="677" spans="1:8" s="428" customFormat="1" ht="8.65" customHeight="1" x14ac:dyDescent="0.25">
      <c r="A677" s="428" t="s">
        <v>35</v>
      </c>
      <c r="B677" s="514">
        <v>83.039604310393827</v>
      </c>
      <c r="C677" s="514">
        <v>52.014671840769061</v>
      </c>
      <c r="D677" s="514">
        <v>164.25345090867702</v>
      </c>
      <c r="E677" s="514">
        <v>7.1994417583937267</v>
      </c>
      <c r="F677" s="514">
        <v>240.43027800333581</v>
      </c>
      <c r="G677" s="514">
        <v>1529.5049568027021</v>
      </c>
      <c r="H677" s="514">
        <v>83.002890105500597</v>
      </c>
    </row>
    <row r="678" spans="1:8" s="428" customFormat="1" ht="8.65" customHeight="1" x14ac:dyDescent="0.25">
      <c r="A678" s="428" t="s">
        <v>36</v>
      </c>
      <c r="B678" s="514">
        <v>49.77196066112635</v>
      </c>
      <c r="C678" s="514">
        <v>43.725486822768246</v>
      </c>
      <c r="D678" s="514">
        <v>117.48870037731756</v>
      </c>
      <c r="E678" s="514">
        <v>7.6412862526290857</v>
      </c>
      <c r="F678" s="514">
        <v>178.87642074868532</v>
      </c>
      <c r="G678" s="514">
        <v>1953.0161983966734</v>
      </c>
      <c r="H678" s="514">
        <v>71.662896533608915</v>
      </c>
    </row>
    <row r="679" spans="1:8" s="428" customFormat="1" ht="8.65" customHeight="1" x14ac:dyDescent="0.25">
      <c r="A679" s="475" t="s">
        <v>37</v>
      </c>
      <c r="B679" s="515">
        <v>54.968998809225788</v>
      </c>
      <c r="C679" s="515">
        <v>60.863264946600601</v>
      </c>
      <c r="D679" s="515">
        <v>153.64828582819737</v>
      </c>
      <c r="E679" s="515">
        <v>11.391166018297392</v>
      </c>
      <c r="F679" s="515">
        <v>201.72960285891776</v>
      </c>
      <c r="G679" s="515">
        <v>1756.8665992910103</v>
      </c>
      <c r="H679" s="515">
        <v>75.299774440226656</v>
      </c>
    </row>
    <row r="680" spans="1:8" s="428" customFormat="1" ht="8.65" customHeight="1" x14ac:dyDescent="0.25">
      <c r="A680" s="428" t="s">
        <v>38</v>
      </c>
      <c r="B680" s="514">
        <v>62.396909744799856</v>
      </c>
      <c r="C680" s="514">
        <v>64.594739039934566</v>
      </c>
      <c r="D680" s="514">
        <v>161.94249513663263</v>
      </c>
      <c r="E680" s="514">
        <v>8.8985283656673335</v>
      </c>
      <c r="F680" s="514">
        <v>254.0369031620331</v>
      </c>
      <c r="G680" s="514">
        <v>1704.0805113115841</v>
      </c>
      <c r="H680" s="514">
        <v>78.688979899260943</v>
      </c>
    </row>
    <row r="681" spans="1:8" s="428" customFormat="1" ht="8.65" customHeight="1" x14ac:dyDescent="0.25">
      <c r="A681" s="428" t="s">
        <v>39</v>
      </c>
      <c r="B681" s="514">
        <v>64.764860786098765</v>
      </c>
      <c r="C681" s="514">
        <v>85.189358662038273</v>
      </c>
      <c r="D681" s="514">
        <v>206.95078830706225</v>
      </c>
      <c r="E681" s="514">
        <v>11.25965908545383</v>
      </c>
      <c r="F681" s="514">
        <v>266.47859835574064</v>
      </c>
      <c r="G681" s="514">
        <v>2135.4886124695922</v>
      </c>
      <c r="H681" s="514">
        <v>70.672377506184688</v>
      </c>
    </row>
    <row r="682" spans="1:8" s="428" customFormat="1" ht="8.65" customHeight="1" x14ac:dyDescent="0.25">
      <c r="A682" s="428" t="s">
        <v>40</v>
      </c>
      <c r="B682" s="514">
        <v>82.213774769747999</v>
      </c>
      <c r="C682" s="514">
        <v>60.838596634861347</v>
      </c>
      <c r="D682" s="514">
        <v>155.6354951368445</v>
      </c>
      <c r="E682" s="514">
        <v>5.2228029593732481</v>
      </c>
      <c r="F682" s="514">
        <v>237.8694351689839</v>
      </c>
      <c r="G682" s="514">
        <v>1659.9493488939252</v>
      </c>
      <c r="H682" s="514">
        <v>81.41932162136861</v>
      </c>
    </row>
    <row r="683" spans="1:8" s="428" customFormat="1" ht="8.65" customHeight="1" x14ac:dyDescent="0.25">
      <c r="A683" s="475" t="s">
        <v>41</v>
      </c>
      <c r="B683" s="515">
        <v>55.441402370608394</v>
      </c>
      <c r="C683" s="515">
        <v>70.94469612275563</v>
      </c>
      <c r="D683" s="515">
        <v>145.87305365154583</v>
      </c>
      <c r="E683" s="515">
        <v>9.9210930557930812</v>
      </c>
      <c r="F683" s="515">
        <v>209.6370097876277</v>
      </c>
      <c r="G683" s="515">
        <v>2024.6499833295188</v>
      </c>
      <c r="H683" s="515">
        <v>74.149775869095009</v>
      </c>
    </row>
    <row r="684" spans="1:8" s="428" customFormat="1" ht="8.65" customHeight="1" x14ac:dyDescent="0.25">
      <c r="A684" s="428" t="s">
        <v>42</v>
      </c>
      <c r="B684" s="514">
        <v>57.779132684546504</v>
      </c>
      <c r="C684" s="514">
        <v>49.997375919230301</v>
      </c>
      <c r="D684" s="514">
        <v>126.13684803314864</v>
      </c>
      <c r="E684" s="514">
        <v>8.1436989404471873</v>
      </c>
      <c r="F684" s="514">
        <v>178.14135783265078</v>
      </c>
      <c r="G684" s="514">
        <v>1682.6106033592509</v>
      </c>
      <c r="H684" s="514">
        <v>81.41932162136861</v>
      </c>
    </row>
    <row r="685" spans="1:8" s="428" customFormat="1" ht="8.65" customHeight="1" x14ac:dyDescent="0.25">
      <c r="A685" s="428" t="s">
        <v>43</v>
      </c>
      <c r="B685" s="514">
        <v>44.987363617659611</v>
      </c>
      <c r="C685" s="514">
        <v>50.054199793027415</v>
      </c>
      <c r="D685" s="514">
        <v>153.13104885556035</v>
      </c>
      <c r="E685" s="514">
        <v>7.4723038545828251</v>
      </c>
      <c r="F685" s="514">
        <v>193.10275646123972</v>
      </c>
      <c r="G685" s="514">
        <v>1688.3476074809021</v>
      </c>
      <c r="H685" s="514">
        <v>83.090996929886074</v>
      </c>
    </row>
    <row r="686" spans="1:8" s="428" customFormat="1" ht="8.65" customHeight="1" x14ac:dyDescent="0.25">
      <c r="A686" s="428" t="s">
        <v>44</v>
      </c>
      <c r="B686" s="514">
        <v>65.012757087933437</v>
      </c>
      <c r="C686" s="514">
        <v>56.807263474893297</v>
      </c>
      <c r="D686" s="514">
        <v>146.22610412981794</v>
      </c>
      <c r="E686" s="514">
        <v>7.9950963409109086</v>
      </c>
      <c r="F686" s="514">
        <v>224.00296239359159</v>
      </c>
      <c r="G686" s="514">
        <v>1598.401401526362</v>
      </c>
      <c r="H686" s="514">
        <v>87.889938082782876</v>
      </c>
    </row>
    <row r="687" spans="1:8" s="428" customFormat="1" ht="8.65" customHeight="1" x14ac:dyDescent="0.25">
      <c r="A687" s="475" t="s">
        <v>45</v>
      </c>
      <c r="B687" s="515">
        <v>89.863100748376638</v>
      </c>
      <c r="C687" s="515">
        <v>54.303889465045444</v>
      </c>
      <c r="D687" s="515">
        <v>153.89195196314313</v>
      </c>
      <c r="E687" s="515">
        <v>9.4280163527830094</v>
      </c>
      <c r="F687" s="515">
        <v>209.7919229367306</v>
      </c>
      <c r="G687" s="515">
        <v>1972.6502153967674</v>
      </c>
      <c r="H687" s="515">
        <v>49.8529420085666</v>
      </c>
    </row>
    <row r="688" spans="1:8" s="428" customFormat="1" ht="8.65" customHeight="1" x14ac:dyDescent="0.25">
      <c r="A688" s="428" t="s">
        <v>46</v>
      </c>
      <c r="B688" s="514">
        <v>71.717303429391052</v>
      </c>
      <c r="C688" s="514">
        <v>62.280816136050127</v>
      </c>
      <c r="D688" s="514">
        <v>163.64584691615596</v>
      </c>
      <c r="E688" s="514">
        <v>10.740438264784402</v>
      </c>
      <c r="F688" s="514">
        <v>232.41210341017495</v>
      </c>
      <c r="G688" s="514">
        <v>2278.9782514703766</v>
      </c>
      <c r="H688" s="514">
        <v>84.844595923182794</v>
      </c>
    </row>
    <row r="689" spans="1:8" s="428" customFormat="1" ht="8.65" customHeight="1" x14ac:dyDescent="0.25">
      <c r="A689" s="428" t="s">
        <v>47</v>
      </c>
      <c r="B689" s="514">
        <v>97.80659391404923</v>
      </c>
      <c r="C689" s="514">
        <v>72.13594829731197</v>
      </c>
      <c r="D689" s="514">
        <v>174.89023647827423</v>
      </c>
      <c r="E689" s="514">
        <v>6.2383971191512337</v>
      </c>
      <c r="F689" s="514">
        <v>273.73656324551536</v>
      </c>
      <c r="G689" s="514">
        <v>1722.8086554533272</v>
      </c>
      <c r="H689" s="514">
        <v>71.093379664966051</v>
      </c>
    </row>
    <row r="690" spans="1:8" s="428" customFormat="1" ht="8.65" customHeight="1" x14ac:dyDescent="0.25">
      <c r="A690" s="428" t="s">
        <v>48</v>
      </c>
      <c r="B690" s="514">
        <v>66.172013080712773</v>
      </c>
      <c r="C690" s="514">
        <v>84.956326471366737</v>
      </c>
      <c r="D690" s="514">
        <v>183.06167231619122</v>
      </c>
      <c r="E690" s="514">
        <v>16.607040702191789</v>
      </c>
      <c r="F690" s="514">
        <v>244.92183164132209</v>
      </c>
      <c r="G690" s="514">
        <v>2285.3909271766324</v>
      </c>
      <c r="H690" s="514">
        <v>86.336897923110911</v>
      </c>
    </row>
    <row r="691" spans="1:8" s="428" customFormat="1" ht="8.65" customHeight="1" x14ac:dyDescent="0.25">
      <c r="A691" s="475" t="s">
        <v>49</v>
      </c>
      <c r="B691" s="515">
        <v>88.8407456285248</v>
      </c>
      <c r="C691" s="515">
        <v>66.542539988604432</v>
      </c>
      <c r="D691" s="515">
        <v>182.31717085061197</v>
      </c>
      <c r="E691" s="515">
        <v>9.3593784199139396</v>
      </c>
      <c r="F691" s="515">
        <v>285.76910912213725</v>
      </c>
      <c r="G691" s="515">
        <v>2090.8499313156585</v>
      </c>
      <c r="H691" s="515">
        <v>69.703045547492806</v>
      </c>
    </row>
    <row r="692" spans="1:8" s="428" customFormat="1" ht="8.65" customHeight="1" x14ac:dyDescent="0.25">
      <c r="A692" s="428" t="s">
        <v>50</v>
      </c>
      <c r="B692" s="514">
        <v>54.896422301006517</v>
      </c>
      <c r="C692" s="514">
        <v>60.942283787901509</v>
      </c>
      <c r="D692" s="514">
        <v>174.04019933608382</v>
      </c>
      <c r="E692" s="514">
        <v>11.849888514314182</v>
      </c>
      <c r="F692" s="514">
        <v>243.84974663809797</v>
      </c>
      <c r="G692" s="514">
        <v>2109.6614478790311</v>
      </c>
      <c r="H692" s="514">
        <v>82.543399110896544</v>
      </c>
    </row>
    <row r="693" spans="1:8" s="428" customFormat="1" ht="8.65" customHeight="1" x14ac:dyDescent="0.25">
      <c r="A693" s="428" t="s">
        <v>51</v>
      </c>
      <c r="B693" s="514">
        <v>62.977806006623787</v>
      </c>
      <c r="C693" s="514">
        <v>58.118947114006438</v>
      </c>
      <c r="D693" s="514">
        <v>140.33233845387113</v>
      </c>
      <c r="E693" s="514">
        <v>10.404702975707579</v>
      </c>
      <c r="F693" s="514">
        <v>201.63639872370644</v>
      </c>
      <c r="G693" s="514">
        <v>1681.5336507204913</v>
      </c>
      <c r="H693" s="514">
        <v>74.949492754016944</v>
      </c>
    </row>
    <row r="694" spans="1:8" s="428" customFormat="1" ht="8.65" customHeight="1" x14ac:dyDescent="0.25">
      <c r="A694" s="428" t="s">
        <v>52</v>
      </c>
      <c r="B694" s="514">
        <v>87.774282475633527</v>
      </c>
      <c r="C694" s="514">
        <v>56.457585570199733</v>
      </c>
      <c r="D694" s="514">
        <v>183.81539487972006</v>
      </c>
      <c r="E694" s="514">
        <v>7.4887753469515577</v>
      </c>
      <c r="F694" s="514">
        <v>263.37147583824441</v>
      </c>
      <c r="G694" s="514">
        <v>2550.5538532910005</v>
      </c>
      <c r="H694" s="514">
        <v>80.040526695252908</v>
      </c>
    </row>
    <row r="695" spans="1:8" s="428" customFormat="1" ht="8.65" customHeight="1" x14ac:dyDescent="0.25">
      <c r="A695" s="475" t="s">
        <v>53</v>
      </c>
      <c r="B695" s="515">
        <v>64.15113725389466</v>
      </c>
      <c r="C695" s="515">
        <v>73.655009439656837</v>
      </c>
      <c r="D695" s="515">
        <v>169.78539229158909</v>
      </c>
      <c r="E695" s="515">
        <v>10.017595006614181</v>
      </c>
      <c r="F695" s="515">
        <v>247.67861500327498</v>
      </c>
      <c r="G695" s="515">
        <v>2150.6074772356574</v>
      </c>
      <c r="H695" s="515">
        <v>74.405638515227551</v>
      </c>
    </row>
    <row r="696" spans="1:8" s="428" customFormat="1" ht="7.5" customHeight="1" x14ac:dyDescent="0.25">
      <c r="B696" s="514"/>
      <c r="C696" s="514"/>
      <c r="D696" s="514"/>
      <c r="E696" s="514"/>
      <c r="F696" s="514"/>
      <c r="G696" s="514"/>
      <c r="H696" s="514"/>
    </row>
    <row r="697" spans="1:8" s="428" customFormat="1" ht="9" customHeight="1" x14ac:dyDescent="0.25">
      <c r="A697" s="470" t="s">
        <v>195</v>
      </c>
      <c r="B697" s="471"/>
      <c r="C697" s="471"/>
      <c r="D697" s="471"/>
      <c r="E697" s="471"/>
      <c r="F697" s="471"/>
      <c r="G697" s="512"/>
      <c r="H697" s="512"/>
    </row>
    <row r="698" spans="1:8" s="473" customFormat="1" ht="9" customHeight="1" x14ac:dyDescent="0.25">
      <c r="A698" s="429" t="s">
        <v>21</v>
      </c>
      <c r="B698" s="513">
        <v>74.806083466480743</v>
      </c>
      <c r="C698" s="513">
        <v>62.185319718186051</v>
      </c>
      <c r="D698" s="513">
        <v>171.77273834504427</v>
      </c>
      <c r="E698" s="513">
        <v>9.6337545958503643</v>
      </c>
      <c r="F698" s="513">
        <v>252.49160684819452</v>
      </c>
      <c r="G698" s="513">
        <v>1900.7309826245148</v>
      </c>
      <c r="H698" s="513">
        <v>76.776884096044526</v>
      </c>
    </row>
    <row r="699" spans="1:8" s="473" customFormat="1" ht="3" customHeight="1" x14ac:dyDescent="0.25">
      <c r="A699" s="429"/>
      <c r="B699" s="513"/>
      <c r="C699" s="513"/>
      <c r="D699" s="513"/>
      <c r="E699" s="513"/>
      <c r="F699" s="513"/>
      <c r="G699" s="513"/>
      <c r="H699" s="513"/>
    </row>
    <row r="700" spans="1:8" s="428" customFormat="1" ht="8.65" customHeight="1" x14ac:dyDescent="0.25">
      <c r="A700" s="428" t="s">
        <v>23</v>
      </c>
      <c r="B700" s="514">
        <v>67.653866101078279</v>
      </c>
      <c r="C700" s="514">
        <v>64.325357814640796</v>
      </c>
      <c r="D700" s="514">
        <v>190.73126552981338</v>
      </c>
      <c r="E700" s="514">
        <v>9.2114531647921236</v>
      </c>
      <c r="F700" s="514">
        <v>289.88984959786978</v>
      </c>
      <c r="G700" s="514">
        <v>2623.6525346977637</v>
      </c>
      <c r="H700" s="514">
        <v>110.64483013057007</v>
      </c>
    </row>
    <row r="701" spans="1:8" s="428" customFormat="1" ht="8.65" customHeight="1" x14ac:dyDescent="0.25">
      <c r="A701" s="428" t="s">
        <v>24</v>
      </c>
      <c r="B701" s="514">
        <v>66.252735606570525</v>
      </c>
      <c r="C701" s="514">
        <v>48.156343163188971</v>
      </c>
      <c r="D701" s="514">
        <v>149.33300141508349</v>
      </c>
      <c r="E701" s="514">
        <v>6.4651552301897368</v>
      </c>
      <c r="F701" s="514">
        <v>222.29258029783216</v>
      </c>
      <c r="G701" s="514">
        <v>1560.6386244083174</v>
      </c>
      <c r="H701" s="514">
        <v>107.20361798749445</v>
      </c>
    </row>
    <row r="702" spans="1:8" s="428" customFormat="1" ht="8.65" customHeight="1" x14ac:dyDescent="0.25">
      <c r="A702" s="428" t="s">
        <v>25</v>
      </c>
      <c r="B702" s="514">
        <v>97.63993617401222</v>
      </c>
      <c r="C702" s="514">
        <v>87.271093394471109</v>
      </c>
      <c r="D702" s="514">
        <v>232.57890401331821</v>
      </c>
      <c r="E702" s="514">
        <v>9.6487842531840986</v>
      </c>
      <c r="F702" s="514">
        <v>313.94551749166175</v>
      </c>
      <c r="G702" s="514">
        <v>2186.4505146978345</v>
      </c>
      <c r="H702" s="514">
        <v>59.428617610215383</v>
      </c>
    </row>
    <row r="703" spans="1:8" s="428" customFormat="1" ht="8.65" customHeight="1" x14ac:dyDescent="0.25">
      <c r="A703" s="475" t="s">
        <v>26</v>
      </c>
      <c r="B703" s="515">
        <v>105.22706184527252</v>
      </c>
      <c r="C703" s="515">
        <v>85.279865883122881</v>
      </c>
      <c r="D703" s="515">
        <v>214.26426224511295</v>
      </c>
      <c r="E703" s="515">
        <v>10.421849575729865</v>
      </c>
      <c r="F703" s="515">
        <v>297.75112174961561</v>
      </c>
      <c r="G703" s="515">
        <v>2016.3006692396309</v>
      </c>
      <c r="H703" s="515">
        <v>55.84033552034137</v>
      </c>
    </row>
    <row r="704" spans="1:8" s="428" customFormat="1" ht="8.65" customHeight="1" x14ac:dyDescent="0.25">
      <c r="A704" s="428" t="s">
        <v>27</v>
      </c>
      <c r="B704" s="514">
        <v>91.374188186603376</v>
      </c>
      <c r="C704" s="514">
        <v>66.166342525295434</v>
      </c>
      <c r="D704" s="514">
        <v>169.41305181283872</v>
      </c>
      <c r="E704" s="514">
        <v>7.6542041481704235</v>
      </c>
      <c r="F704" s="514">
        <v>284.19209535029211</v>
      </c>
      <c r="G704" s="514">
        <v>1824.5370652284473</v>
      </c>
      <c r="H704" s="514">
        <v>76.714484415177822</v>
      </c>
    </row>
    <row r="705" spans="1:8" s="428" customFormat="1" ht="8.65" customHeight="1" x14ac:dyDescent="0.25">
      <c r="A705" s="428" t="s">
        <v>28</v>
      </c>
      <c r="B705" s="514">
        <v>80.182411425495161</v>
      </c>
      <c r="C705" s="514">
        <v>83.600489354823551</v>
      </c>
      <c r="D705" s="514">
        <v>218.61456756329497</v>
      </c>
      <c r="E705" s="514">
        <v>11.251173184039285</v>
      </c>
      <c r="F705" s="514">
        <v>312.32687079238167</v>
      </c>
      <c r="G705" s="514">
        <v>1932.1782128864386</v>
      </c>
      <c r="H705" s="514">
        <v>67.754933210053764</v>
      </c>
    </row>
    <row r="706" spans="1:8" s="428" customFormat="1" ht="8.65" customHeight="1" x14ac:dyDescent="0.25">
      <c r="A706" s="428" t="s">
        <v>29</v>
      </c>
      <c r="B706" s="514">
        <v>43.272790706704562</v>
      </c>
      <c r="C706" s="514">
        <v>58.147812512134252</v>
      </c>
      <c r="D706" s="514">
        <v>125.60700231026476</v>
      </c>
      <c r="E706" s="514">
        <v>7.4954655331256115</v>
      </c>
      <c r="F706" s="514">
        <v>207.3616676097173</v>
      </c>
      <c r="G706" s="514">
        <v>1913.2038614011151</v>
      </c>
      <c r="H706" s="514">
        <v>83.853840508806272</v>
      </c>
    </row>
    <row r="707" spans="1:8" s="428" customFormat="1" ht="8.65" customHeight="1" x14ac:dyDescent="0.25">
      <c r="A707" s="475" t="s">
        <v>30</v>
      </c>
      <c r="B707" s="515">
        <v>78.283445343896375</v>
      </c>
      <c r="C707" s="515">
        <v>57.929749554483323</v>
      </c>
      <c r="D707" s="515">
        <v>141.77691119246376</v>
      </c>
      <c r="E707" s="515">
        <v>6.5143009875456634</v>
      </c>
      <c r="F707" s="515">
        <v>275.1663103837958</v>
      </c>
      <c r="G707" s="515">
        <v>1904.8470313519606</v>
      </c>
      <c r="H707" s="515">
        <v>81.847553816046968</v>
      </c>
    </row>
    <row r="708" spans="1:8" s="428" customFormat="1" ht="8.65" customHeight="1" x14ac:dyDescent="0.25">
      <c r="A708" s="428" t="s">
        <v>63</v>
      </c>
      <c r="B708" s="514">
        <v>179.41753469559271</v>
      </c>
      <c r="C708" s="514">
        <v>100.59476267205997</v>
      </c>
      <c r="D708" s="514">
        <v>365.34570014771407</v>
      </c>
      <c r="E708" s="514">
        <v>16.751080488831398</v>
      </c>
      <c r="F708" s="514">
        <v>531.6536935911779</v>
      </c>
      <c r="G708" s="514">
        <v>1926.954143751637</v>
      </c>
      <c r="H708" s="514">
        <v>74.49454847533886</v>
      </c>
    </row>
    <row r="709" spans="1:8" s="428" customFormat="1" ht="8.65" customHeight="1" x14ac:dyDescent="0.25">
      <c r="A709" s="428" t="s">
        <v>31</v>
      </c>
      <c r="B709" s="514">
        <v>97.354868230185843</v>
      </c>
      <c r="C709" s="514">
        <v>74.505107980865759</v>
      </c>
      <c r="D709" s="514">
        <v>191.33094985708877</v>
      </c>
      <c r="E709" s="514">
        <v>9.7927543925657528</v>
      </c>
      <c r="F709" s="514">
        <v>257.81859810135097</v>
      </c>
      <c r="G709" s="514">
        <v>2359.8779971698368</v>
      </c>
      <c r="H709" s="514">
        <v>60.31974214343272</v>
      </c>
    </row>
    <row r="710" spans="1:8" s="428" customFormat="1" ht="8.65" customHeight="1" x14ac:dyDescent="0.25">
      <c r="A710" s="428" t="s">
        <v>32</v>
      </c>
      <c r="B710" s="514">
        <v>54.73299540662012</v>
      </c>
      <c r="C710" s="514">
        <v>48.428221610565636</v>
      </c>
      <c r="D710" s="514">
        <v>135.56122622524776</v>
      </c>
      <c r="E710" s="514">
        <v>6.6655374192619599</v>
      </c>
      <c r="F710" s="514">
        <v>209.294439120795</v>
      </c>
      <c r="G710" s="514">
        <v>1681.5816083392058</v>
      </c>
      <c r="H710" s="514">
        <v>84.889789571634438</v>
      </c>
    </row>
    <row r="711" spans="1:8" s="428" customFormat="1" ht="8.65" customHeight="1" x14ac:dyDescent="0.25">
      <c r="A711" s="475" t="s">
        <v>33</v>
      </c>
      <c r="B711" s="515">
        <v>52.67279091473479</v>
      </c>
      <c r="C711" s="515">
        <v>67.960333771425525</v>
      </c>
      <c r="D711" s="515">
        <v>162.76570583094014</v>
      </c>
      <c r="E711" s="515">
        <v>13.055165988523322</v>
      </c>
      <c r="F711" s="515">
        <v>215.97539751143671</v>
      </c>
      <c r="G711" s="515">
        <v>2437.239267565627</v>
      </c>
      <c r="H711" s="515">
        <v>74.335057910517961</v>
      </c>
    </row>
    <row r="712" spans="1:8" s="428" customFormat="1" ht="8.65" customHeight="1" x14ac:dyDescent="0.25">
      <c r="A712" s="428" t="s">
        <v>34</v>
      </c>
      <c r="B712" s="514">
        <v>47.449543029549403</v>
      </c>
      <c r="C712" s="514">
        <v>68.549970850410645</v>
      </c>
      <c r="D712" s="514">
        <v>150.97902110218914</v>
      </c>
      <c r="E712" s="514">
        <v>10.779183494463339</v>
      </c>
      <c r="F712" s="514">
        <v>226.96169691120031</v>
      </c>
      <c r="G712" s="514">
        <v>2272.4044096019279</v>
      </c>
      <c r="H712" s="514">
        <v>87.579537615623963</v>
      </c>
    </row>
    <row r="713" spans="1:8" s="428" customFormat="1" ht="8.65" customHeight="1" x14ac:dyDescent="0.25">
      <c r="A713" s="428" t="s">
        <v>35</v>
      </c>
      <c r="B713" s="514">
        <v>82.251116557309544</v>
      </c>
      <c r="C713" s="514">
        <v>40.65902125389303</v>
      </c>
      <c r="D713" s="514">
        <v>177.87203387902403</v>
      </c>
      <c r="E713" s="514">
        <v>7.4518105598930013</v>
      </c>
      <c r="F713" s="514">
        <v>244.58043750180545</v>
      </c>
      <c r="G713" s="514">
        <v>1496.40702581752</v>
      </c>
      <c r="H713" s="514">
        <v>82.531149216080721</v>
      </c>
    </row>
    <row r="714" spans="1:8" s="428" customFormat="1" ht="8.65" customHeight="1" x14ac:dyDescent="0.25">
      <c r="A714" s="428" t="s">
        <v>36</v>
      </c>
      <c r="B714" s="514">
        <v>50.779830905269108</v>
      </c>
      <c r="C714" s="514">
        <v>44.982084902910984</v>
      </c>
      <c r="D714" s="514">
        <v>122.27917076127316</v>
      </c>
      <c r="E714" s="514">
        <v>8.2010851571817884</v>
      </c>
      <c r="F714" s="514">
        <v>187.61530840323201</v>
      </c>
      <c r="G714" s="514">
        <v>1956.2248497216183</v>
      </c>
      <c r="H714" s="514">
        <v>74.5589468864775</v>
      </c>
    </row>
    <row r="715" spans="1:8" s="428" customFormat="1" ht="8.65" customHeight="1" x14ac:dyDescent="0.25">
      <c r="A715" s="475" t="s">
        <v>37</v>
      </c>
      <c r="B715" s="515">
        <v>54.883615286167938</v>
      </c>
      <c r="C715" s="515">
        <v>60.867742062296074</v>
      </c>
      <c r="D715" s="515">
        <v>150.95724188539307</v>
      </c>
      <c r="E715" s="515">
        <v>11.662495249826375</v>
      </c>
      <c r="F715" s="515">
        <v>205.14198105172122</v>
      </c>
      <c r="G715" s="515">
        <v>1709.3206050520009</v>
      </c>
      <c r="H715" s="515">
        <v>73.28358290315019</v>
      </c>
    </row>
    <row r="716" spans="1:8" s="428" customFormat="1" ht="8.65" customHeight="1" x14ac:dyDescent="0.25">
      <c r="A716" s="428" t="s">
        <v>38</v>
      </c>
      <c r="B716" s="514">
        <v>56.171462994472691</v>
      </c>
      <c r="C716" s="514">
        <v>68.642267572737552</v>
      </c>
      <c r="D716" s="514">
        <v>166.13648133078283</v>
      </c>
      <c r="E716" s="514">
        <v>9.0360490800139512</v>
      </c>
      <c r="F716" s="514">
        <v>248.46492850424326</v>
      </c>
      <c r="G716" s="514">
        <v>1822.8823411293477</v>
      </c>
      <c r="H716" s="514">
        <v>86.521733527493922</v>
      </c>
    </row>
    <row r="717" spans="1:8" s="428" customFormat="1" ht="8.65" customHeight="1" x14ac:dyDescent="0.25">
      <c r="A717" s="428" t="s">
        <v>39</v>
      </c>
      <c r="B717" s="514">
        <v>62.764627502225053</v>
      </c>
      <c r="C717" s="514">
        <v>85.315306509172032</v>
      </c>
      <c r="D717" s="514">
        <v>203.55631924901951</v>
      </c>
      <c r="E717" s="514">
        <v>11.06097943686753</v>
      </c>
      <c r="F717" s="514">
        <v>265.20627440489358</v>
      </c>
      <c r="G717" s="514">
        <v>2105.6735107548734</v>
      </c>
      <c r="H717" s="514">
        <v>67.936222771165518</v>
      </c>
    </row>
    <row r="718" spans="1:8" s="428" customFormat="1" ht="8.65" customHeight="1" x14ac:dyDescent="0.25">
      <c r="A718" s="428" t="s">
        <v>40</v>
      </c>
      <c r="B718" s="514">
        <v>82.450544001653753</v>
      </c>
      <c r="C718" s="514">
        <v>61.600753991647835</v>
      </c>
      <c r="D718" s="514">
        <v>160.11848214319241</v>
      </c>
      <c r="E718" s="514">
        <v>5.7312218984850407</v>
      </c>
      <c r="F718" s="514">
        <v>242.29234646698828</v>
      </c>
      <c r="G718" s="514">
        <v>1651.11285507143</v>
      </c>
      <c r="H718" s="514">
        <v>67.137477949596601</v>
      </c>
    </row>
    <row r="719" spans="1:8" s="428" customFormat="1" ht="8.65" customHeight="1" x14ac:dyDescent="0.25">
      <c r="A719" s="475" t="s">
        <v>41</v>
      </c>
      <c r="B719" s="515">
        <v>56.932493358924027</v>
      </c>
      <c r="C719" s="515">
        <v>72.203383093288537</v>
      </c>
      <c r="D719" s="515">
        <v>154.54542938748136</v>
      </c>
      <c r="E719" s="515">
        <v>10.440558879343115</v>
      </c>
      <c r="F719" s="515">
        <v>214.5975114236067</v>
      </c>
      <c r="G719" s="515">
        <v>2046.4700470428943</v>
      </c>
      <c r="H719" s="515">
        <v>73.631446030724263</v>
      </c>
    </row>
    <row r="720" spans="1:8" s="428" customFormat="1" ht="8.65" customHeight="1" x14ac:dyDescent="0.25">
      <c r="A720" s="428" t="s">
        <v>42</v>
      </c>
      <c r="B720" s="514">
        <v>64.884636188257318</v>
      </c>
      <c r="C720" s="514">
        <v>58.602335911836107</v>
      </c>
      <c r="D720" s="514">
        <v>146.89543979673269</v>
      </c>
      <c r="E720" s="514">
        <v>9.1231337347512174</v>
      </c>
      <c r="F720" s="514">
        <v>196.52074198024596</v>
      </c>
      <c r="G720" s="514">
        <v>1734.0647099655139</v>
      </c>
      <c r="H720" s="514">
        <v>74.968418094392703</v>
      </c>
    </row>
    <row r="721" spans="1:8" s="428" customFormat="1" ht="8.65" customHeight="1" x14ac:dyDescent="0.25">
      <c r="A721" s="428" t="s">
        <v>43</v>
      </c>
      <c r="B721" s="514">
        <v>43.082637697008103</v>
      </c>
      <c r="C721" s="514">
        <v>51.12939485387389</v>
      </c>
      <c r="D721" s="514">
        <v>148.64009804048968</v>
      </c>
      <c r="E721" s="514">
        <v>7.6968981500455316</v>
      </c>
      <c r="F721" s="514">
        <v>194.7215272245285</v>
      </c>
      <c r="G721" s="514">
        <v>1698.2226162856368</v>
      </c>
      <c r="H721" s="514">
        <v>87.423322632933917</v>
      </c>
    </row>
    <row r="722" spans="1:8" s="428" customFormat="1" ht="8.65" customHeight="1" x14ac:dyDescent="0.25">
      <c r="A722" s="428" t="s">
        <v>44</v>
      </c>
      <c r="B722" s="514">
        <v>62.151251996378718</v>
      </c>
      <c r="C722" s="514">
        <v>58.467204128316752</v>
      </c>
      <c r="D722" s="514">
        <v>154.73001045860255</v>
      </c>
      <c r="E722" s="514">
        <v>8.6643348008123997</v>
      </c>
      <c r="F722" s="514">
        <v>230.93522284055101</v>
      </c>
      <c r="G722" s="514">
        <v>1619.2918577766497</v>
      </c>
      <c r="H722" s="514">
        <v>86.578349848879</v>
      </c>
    </row>
    <row r="723" spans="1:8" s="428" customFormat="1" ht="8.65" customHeight="1" x14ac:dyDescent="0.25">
      <c r="A723" s="475" t="s">
        <v>45</v>
      </c>
      <c r="B723" s="515">
        <v>88.781619265023423</v>
      </c>
      <c r="C723" s="515">
        <v>56.590932809658973</v>
      </c>
      <c r="D723" s="515">
        <v>155.36783371379099</v>
      </c>
      <c r="E723" s="515">
        <v>9.7013027673701089</v>
      </c>
      <c r="F723" s="515">
        <v>207.62257816530726</v>
      </c>
      <c r="G723" s="515">
        <v>1958.9517301391547</v>
      </c>
      <c r="H723" s="515">
        <v>60.313343144468966</v>
      </c>
    </row>
    <row r="724" spans="1:8" s="428" customFormat="1" ht="8.65" customHeight="1" x14ac:dyDescent="0.25">
      <c r="A724" s="428" t="s">
        <v>46</v>
      </c>
      <c r="B724" s="514">
        <v>74.650391280347222</v>
      </c>
      <c r="C724" s="514">
        <v>64.604552490015053</v>
      </c>
      <c r="D724" s="514">
        <v>183.22662871121022</v>
      </c>
      <c r="E724" s="514">
        <v>11.229691846431935</v>
      </c>
      <c r="F724" s="514">
        <v>263.25509530355345</v>
      </c>
      <c r="G724" s="514">
        <v>2260.8505206247496</v>
      </c>
      <c r="H724" s="514">
        <v>85.99574206602901</v>
      </c>
    </row>
    <row r="725" spans="1:8" s="428" customFormat="1" ht="8.65" customHeight="1" x14ac:dyDescent="0.25">
      <c r="A725" s="428" t="s">
        <v>47</v>
      </c>
      <c r="B725" s="514">
        <v>102.54586638708396</v>
      </c>
      <c r="C725" s="514">
        <v>74.97407190865394</v>
      </c>
      <c r="D725" s="514">
        <v>188.65470145048849</v>
      </c>
      <c r="E725" s="514">
        <v>8.2008414346099539</v>
      </c>
      <c r="F725" s="514">
        <v>302.79486090029684</v>
      </c>
      <c r="G725" s="514">
        <v>2019.8067994873061</v>
      </c>
      <c r="H725" s="514">
        <v>70.460729176996125</v>
      </c>
    </row>
    <row r="726" spans="1:8" s="428" customFormat="1" ht="8.65" customHeight="1" x14ac:dyDescent="0.25">
      <c r="A726" s="428" t="s">
        <v>48</v>
      </c>
      <c r="B726" s="514">
        <v>66.930800031298872</v>
      </c>
      <c r="C726" s="514">
        <v>89.605659375654682</v>
      </c>
      <c r="D726" s="514">
        <v>198.85725439845996</v>
      </c>
      <c r="E726" s="514">
        <v>17.037695796779413</v>
      </c>
      <c r="F726" s="514">
        <v>253.84063317967153</v>
      </c>
      <c r="G726" s="514">
        <v>2170.159885102828</v>
      </c>
      <c r="H726" s="514">
        <v>84.557185949771707</v>
      </c>
    </row>
    <row r="727" spans="1:8" s="428" customFormat="1" ht="8.65" customHeight="1" x14ac:dyDescent="0.25">
      <c r="A727" s="475" t="s">
        <v>49</v>
      </c>
      <c r="B727" s="515">
        <v>88.565088808925822</v>
      </c>
      <c r="C727" s="515">
        <v>68.448534713683088</v>
      </c>
      <c r="D727" s="515">
        <v>186.82560195812735</v>
      </c>
      <c r="E727" s="515">
        <v>9.8695936398016322</v>
      </c>
      <c r="F727" s="515">
        <v>293.93972116656272</v>
      </c>
      <c r="G727" s="515">
        <v>2093.2688210247888</v>
      </c>
      <c r="H727" s="515">
        <v>69.251214566774635</v>
      </c>
    </row>
    <row r="728" spans="1:8" s="428" customFormat="1" ht="8.65" customHeight="1" x14ac:dyDescent="0.25">
      <c r="A728" s="428" t="s">
        <v>50</v>
      </c>
      <c r="B728" s="514">
        <v>53.922399253796343</v>
      </c>
      <c r="C728" s="514">
        <v>63.107418803635369</v>
      </c>
      <c r="D728" s="514">
        <v>177.04916994344879</v>
      </c>
      <c r="E728" s="514">
        <v>11.797999249362196</v>
      </c>
      <c r="F728" s="514">
        <v>245.38254814613049</v>
      </c>
      <c r="G728" s="514">
        <v>2167.7073716116383</v>
      </c>
      <c r="H728" s="514">
        <v>79.431537022509204</v>
      </c>
    </row>
    <row r="729" spans="1:8" s="428" customFormat="1" ht="8.65" customHeight="1" x14ac:dyDescent="0.25">
      <c r="A729" s="428" t="s">
        <v>51</v>
      </c>
      <c r="B729" s="514">
        <v>62.790958792893477</v>
      </c>
      <c r="C729" s="514">
        <v>60.113490123595405</v>
      </c>
      <c r="D729" s="514">
        <v>142.97929465357626</v>
      </c>
      <c r="E729" s="514">
        <v>10.635843285414458</v>
      </c>
      <c r="F729" s="514">
        <v>208.9042490317311</v>
      </c>
      <c r="G729" s="514">
        <v>1656.913236442693</v>
      </c>
      <c r="H729" s="514">
        <v>77.730234731757577</v>
      </c>
    </row>
    <row r="730" spans="1:8" s="428" customFormat="1" ht="8.65" customHeight="1" x14ac:dyDescent="0.25">
      <c r="A730" s="428" t="s">
        <v>52</v>
      </c>
      <c r="B730" s="514">
        <v>84.877316093956452</v>
      </c>
      <c r="C730" s="514">
        <v>60.387023307953207</v>
      </c>
      <c r="D730" s="514">
        <v>190.17119721107804</v>
      </c>
      <c r="E730" s="514">
        <v>8.4350127795236229</v>
      </c>
      <c r="F730" s="514">
        <v>271.21441658706919</v>
      </c>
      <c r="G730" s="514">
        <v>2540.622015095797</v>
      </c>
      <c r="H730" s="514">
        <v>78.923292312214286</v>
      </c>
    </row>
    <row r="731" spans="1:8" s="428" customFormat="1" ht="8.65" customHeight="1" x14ac:dyDescent="0.25">
      <c r="A731" s="475" t="s">
        <v>53</v>
      </c>
      <c r="B731" s="515">
        <v>63.388847750647692</v>
      </c>
      <c r="C731" s="515">
        <v>73.160501958455242</v>
      </c>
      <c r="D731" s="515">
        <v>178.49132004261457</v>
      </c>
      <c r="E731" s="515">
        <v>10.977247908770822</v>
      </c>
      <c r="F731" s="515">
        <v>276.71548052109569</v>
      </c>
      <c r="G731" s="515">
        <v>2101.0680925667534</v>
      </c>
      <c r="H731" s="515">
        <v>75.902752067135623</v>
      </c>
    </row>
    <row r="732" spans="1:8" s="428" customFormat="1" ht="7.5" customHeight="1" x14ac:dyDescent="0.25">
      <c r="B732" s="514"/>
      <c r="C732" s="514"/>
      <c r="D732" s="514"/>
      <c r="E732" s="514"/>
      <c r="F732" s="514"/>
      <c r="G732" s="514"/>
      <c r="H732" s="514"/>
    </row>
    <row r="733" spans="1:8" s="428" customFormat="1" ht="9" customHeight="1" x14ac:dyDescent="0.25">
      <c r="A733" s="470">
        <v>2015</v>
      </c>
      <c r="B733" s="471"/>
      <c r="C733" s="471"/>
      <c r="D733" s="471"/>
      <c r="E733" s="471"/>
      <c r="F733" s="471"/>
      <c r="G733" s="512"/>
      <c r="H733" s="512"/>
    </row>
    <row r="734" spans="1:8" s="473" customFormat="1" ht="9" customHeight="1" x14ac:dyDescent="0.25">
      <c r="A734" s="429" t="s">
        <v>21</v>
      </c>
      <c r="B734" s="513">
        <v>72.588155550797936</v>
      </c>
      <c r="C734" s="513">
        <v>59.024497574218714</v>
      </c>
      <c r="D734" s="513">
        <v>180.48077643434067</v>
      </c>
      <c r="E734" s="513">
        <v>9.8679445077392121</v>
      </c>
      <c r="F734" s="513">
        <v>260.83332843638175</v>
      </c>
      <c r="G734" s="513">
        <v>1814.3201943108174</v>
      </c>
      <c r="H734" s="513" t="s">
        <v>22</v>
      </c>
    </row>
    <row r="735" spans="1:8" s="473" customFormat="1" ht="3" customHeight="1" x14ac:dyDescent="0.25">
      <c r="A735" s="429"/>
      <c r="B735" s="513"/>
      <c r="C735" s="513"/>
      <c r="D735" s="513"/>
      <c r="E735" s="513"/>
      <c r="F735" s="513"/>
      <c r="G735" s="513"/>
      <c r="H735" s="513"/>
    </row>
    <row r="736" spans="1:8" s="428" customFormat="1" ht="8.65" customHeight="1" x14ac:dyDescent="0.25">
      <c r="A736" s="428" t="s">
        <v>23</v>
      </c>
      <c r="B736" s="514">
        <v>66.359617556252104</v>
      </c>
      <c r="C736" s="514">
        <v>60.444131648380484</v>
      </c>
      <c r="D736" s="514">
        <v>196.3486284035848</v>
      </c>
      <c r="E736" s="514">
        <v>9.2524266764145793</v>
      </c>
      <c r="F736" s="514">
        <v>299.18707572504519</v>
      </c>
      <c r="G736" s="514">
        <v>2039.0308310575142</v>
      </c>
      <c r="H736" s="514" t="s">
        <v>22</v>
      </c>
    </row>
    <row r="737" spans="1:8" s="428" customFormat="1" ht="8.65" customHeight="1" x14ac:dyDescent="0.25">
      <c r="A737" s="428" t="s">
        <v>24</v>
      </c>
      <c r="B737" s="514">
        <v>64.387223324929877</v>
      </c>
      <c r="C737" s="514">
        <v>45.71732213777549</v>
      </c>
      <c r="D737" s="514">
        <v>160.39958375694658</v>
      </c>
      <c r="E737" s="514">
        <v>6.7020158107733705</v>
      </c>
      <c r="F737" s="514">
        <v>229.78339922651554</v>
      </c>
      <c r="G737" s="514">
        <v>1503.2857829300856</v>
      </c>
      <c r="H737" s="514" t="s">
        <v>22</v>
      </c>
    </row>
    <row r="738" spans="1:8" s="428" customFormat="1" ht="8.65" customHeight="1" x14ac:dyDescent="0.25">
      <c r="A738" s="428" t="s">
        <v>25</v>
      </c>
      <c r="B738" s="514">
        <v>95.45244317486916</v>
      </c>
      <c r="C738" s="514">
        <v>81.254067975072715</v>
      </c>
      <c r="D738" s="514">
        <v>239.40428678468658</v>
      </c>
      <c r="E738" s="514">
        <v>11.105659809741773</v>
      </c>
      <c r="F738" s="514">
        <v>324.17280406663957</v>
      </c>
      <c r="G738" s="514">
        <v>2068.9928572332287</v>
      </c>
      <c r="H738" s="514" t="s">
        <v>22</v>
      </c>
    </row>
    <row r="739" spans="1:8" s="428" customFormat="1" ht="8.65" customHeight="1" x14ac:dyDescent="0.25">
      <c r="A739" s="475" t="s">
        <v>26</v>
      </c>
      <c r="B739" s="515">
        <v>85.724315443472022</v>
      </c>
      <c r="C739" s="515">
        <v>77.911187848495757</v>
      </c>
      <c r="D739" s="515">
        <v>206.33259493775358</v>
      </c>
      <c r="E739" s="515">
        <v>11.224493164613795</v>
      </c>
      <c r="F739" s="515">
        <v>305.70237265977568</v>
      </c>
      <c r="G739" s="515">
        <v>2006.2383972304115</v>
      </c>
      <c r="H739" s="515" t="s">
        <v>22</v>
      </c>
    </row>
    <row r="740" spans="1:8" s="428" customFormat="1" ht="8.65" customHeight="1" x14ac:dyDescent="0.25">
      <c r="A740" s="428" t="s">
        <v>27</v>
      </c>
      <c r="B740" s="514">
        <v>89.410417974412852</v>
      </c>
      <c r="C740" s="514">
        <v>62.771816896857949</v>
      </c>
      <c r="D740" s="514">
        <v>182.27647311631708</v>
      </c>
      <c r="E740" s="514">
        <v>6.5422257054448423</v>
      </c>
      <c r="F740" s="514">
        <v>286.71723527554678</v>
      </c>
      <c r="G740" s="514">
        <v>1747.7250668229642</v>
      </c>
      <c r="H740" s="514" t="s">
        <v>22</v>
      </c>
    </row>
    <row r="741" spans="1:8" s="428" customFormat="1" ht="8.65" customHeight="1" x14ac:dyDescent="0.25">
      <c r="A741" s="428" t="s">
        <v>28</v>
      </c>
      <c r="B741" s="514">
        <v>79.414458185072036</v>
      </c>
      <c r="C741" s="514">
        <v>78.575573063398735</v>
      </c>
      <c r="D741" s="514">
        <v>232.93043545128523</v>
      </c>
      <c r="E741" s="514">
        <v>10.625878207861751</v>
      </c>
      <c r="F741" s="514">
        <v>323.94947115283787</v>
      </c>
      <c r="G741" s="514">
        <v>1866.909477304662</v>
      </c>
      <c r="H741" s="514" t="s">
        <v>22</v>
      </c>
    </row>
    <row r="742" spans="1:8" s="428" customFormat="1" ht="8.65" customHeight="1" x14ac:dyDescent="0.25">
      <c r="A742" s="428" t="s">
        <v>29</v>
      </c>
      <c r="B742" s="514">
        <v>41.654945475328894</v>
      </c>
      <c r="C742" s="514">
        <v>55.160037236824031</v>
      </c>
      <c r="D742" s="514">
        <v>129.01066560348102</v>
      </c>
      <c r="E742" s="514">
        <v>8.0536693486272011</v>
      </c>
      <c r="F742" s="514">
        <v>209.8512711406446</v>
      </c>
      <c r="G742" s="514">
        <v>1922.5039465828986</v>
      </c>
      <c r="H742" s="514" t="s">
        <v>22</v>
      </c>
    </row>
    <row r="743" spans="1:8" s="428" customFormat="1" ht="8.65" customHeight="1" x14ac:dyDescent="0.25">
      <c r="A743" s="475" t="s">
        <v>30</v>
      </c>
      <c r="B743" s="515">
        <v>79.720476091904132</v>
      </c>
      <c r="C743" s="515">
        <v>55.274343325817277</v>
      </c>
      <c r="D743" s="515">
        <v>157.11010638091236</v>
      </c>
      <c r="E743" s="515">
        <v>6.7150557654858343</v>
      </c>
      <c r="F743" s="515">
        <v>290.93950289718583</v>
      </c>
      <c r="G743" s="515">
        <v>1815.7557961753039</v>
      </c>
      <c r="H743" s="515" t="s">
        <v>22</v>
      </c>
    </row>
    <row r="744" spans="1:8" s="428" customFormat="1" ht="8.65" customHeight="1" x14ac:dyDescent="0.25">
      <c r="A744" s="428" t="s">
        <v>63</v>
      </c>
      <c r="B744" s="514">
        <v>174.33553200477255</v>
      </c>
      <c r="C744" s="514">
        <v>96.77950472729809</v>
      </c>
      <c r="D744" s="514">
        <v>383.28877282705184</v>
      </c>
      <c r="E744" s="514">
        <v>17.513007297858845</v>
      </c>
      <c r="F744" s="514">
        <v>549.85545975451339</v>
      </c>
      <c r="G744" s="514">
        <v>1884.7987317360412</v>
      </c>
      <c r="H744" s="514" t="s">
        <v>22</v>
      </c>
    </row>
    <row r="745" spans="1:8" s="428" customFormat="1" ht="8.65" customHeight="1" x14ac:dyDescent="0.25">
      <c r="A745" s="428" t="s">
        <v>31</v>
      </c>
      <c r="B745" s="514">
        <v>86.834686417744336</v>
      </c>
      <c r="C745" s="514">
        <v>70.055309797009102</v>
      </c>
      <c r="D745" s="514">
        <v>197.96274639412894</v>
      </c>
      <c r="E745" s="514">
        <v>9.8303418586125666</v>
      </c>
      <c r="F745" s="514">
        <v>262.42493065089292</v>
      </c>
      <c r="G745" s="514">
        <v>2286.8697140726431</v>
      </c>
      <c r="H745" s="514" t="s">
        <v>22</v>
      </c>
    </row>
    <row r="746" spans="1:8" s="428" customFormat="1" ht="8.65" customHeight="1" x14ac:dyDescent="0.25">
      <c r="A746" s="428" t="s">
        <v>32</v>
      </c>
      <c r="B746" s="514">
        <v>56.761265949262622</v>
      </c>
      <c r="C746" s="514">
        <v>45.734719963900787</v>
      </c>
      <c r="D746" s="514">
        <v>141.73352570415099</v>
      </c>
      <c r="E746" s="514">
        <v>6.972169846128792</v>
      </c>
      <c r="F746" s="514">
        <v>223.95763092114916</v>
      </c>
      <c r="G746" s="514">
        <v>1589.6406448663372</v>
      </c>
      <c r="H746" s="514" t="s">
        <v>22</v>
      </c>
    </row>
    <row r="747" spans="1:8" s="428" customFormat="1" ht="8.65" customHeight="1" x14ac:dyDescent="0.25">
      <c r="A747" s="475" t="s">
        <v>33</v>
      </c>
      <c r="B747" s="515">
        <v>53.610789038038419</v>
      </c>
      <c r="C747" s="515">
        <v>65.477541399676426</v>
      </c>
      <c r="D747" s="515">
        <v>172.08193613779574</v>
      </c>
      <c r="E747" s="515">
        <v>14.391593289646105</v>
      </c>
      <c r="F747" s="515">
        <v>234.97852903328612</v>
      </c>
      <c r="G747" s="515">
        <v>2452.8927803856891</v>
      </c>
      <c r="H747" s="515" t="s">
        <v>22</v>
      </c>
    </row>
    <row r="748" spans="1:8" s="428" customFormat="1" ht="8.65" customHeight="1" x14ac:dyDescent="0.25">
      <c r="A748" s="428" t="s">
        <v>34</v>
      </c>
      <c r="B748" s="514">
        <v>46.847223529321887</v>
      </c>
      <c r="C748" s="514">
        <v>64.940183839756799</v>
      </c>
      <c r="D748" s="514">
        <v>156.41207915201318</v>
      </c>
      <c r="E748" s="514">
        <v>10.904394505713174</v>
      </c>
      <c r="F748" s="514">
        <v>229.27010358827508</v>
      </c>
      <c r="G748" s="514">
        <v>2168.0669321458427</v>
      </c>
      <c r="H748" s="514" t="s">
        <v>22</v>
      </c>
    </row>
    <row r="749" spans="1:8" s="428" customFormat="1" ht="8.65" customHeight="1" x14ac:dyDescent="0.25">
      <c r="A749" s="428" t="s">
        <v>35</v>
      </c>
      <c r="B749" s="514">
        <v>75.335146681256305</v>
      </c>
      <c r="C749" s="514">
        <v>38.204328367275828</v>
      </c>
      <c r="D749" s="514">
        <v>190.81956935575886</v>
      </c>
      <c r="E749" s="514">
        <v>8.1334173449671514</v>
      </c>
      <c r="F749" s="514">
        <v>260.48405704960794</v>
      </c>
      <c r="G749" s="514">
        <v>1468.485849432511</v>
      </c>
      <c r="H749" s="514" t="s">
        <v>22</v>
      </c>
    </row>
    <row r="750" spans="1:8" s="428" customFormat="1" ht="8.65" customHeight="1" x14ac:dyDescent="0.25">
      <c r="A750" s="428" t="s">
        <v>36</v>
      </c>
      <c r="B750" s="514">
        <v>50.82602534672052</v>
      </c>
      <c r="C750" s="514">
        <v>42.826934845756682</v>
      </c>
      <c r="D750" s="514">
        <v>129.73448462343029</v>
      </c>
      <c r="E750" s="514">
        <v>8.3537902326579516</v>
      </c>
      <c r="F750" s="514">
        <v>194.15529451422009</v>
      </c>
      <c r="G750" s="514">
        <v>1977.7739644159112</v>
      </c>
      <c r="H750" s="514" t="s">
        <v>22</v>
      </c>
    </row>
    <row r="751" spans="1:8" s="428" customFormat="1" ht="8.65" customHeight="1" x14ac:dyDescent="0.25">
      <c r="A751" s="475" t="s">
        <v>37</v>
      </c>
      <c r="B751" s="515">
        <v>54.156840285768169</v>
      </c>
      <c r="C751" s="515">
        <v>58.114788277898988</v>
      </c>
      <c r="D751" s="515">
        <v>154.81416244629736</v>
      </c>
      <c r="E751" s="515">
        <v>12.090125287437862</v>
      </c>
      <c r="F751" s="515">
        <v>209.77124358293349</v>
      </c>
      <c r="G751" s="515">
        <v>1636.6300949388442</v>
      </c>
      <c r="H751" s="515" t="s">
        <v>22</v>
      </c>
    </row>
    <row r="752" spans="1:8" s="428" customFormat="1" ht="8.65" customHeight="1" x14ac:dyDescent="0.25">
      <c r="A752" s="428" t="s">
        <v>38</v>
      </c>
      <c r="B752" s="514">
        <v>57.819621549982948</v>
      </c>
      <c r="C752" s="514">
        <v>65.014488794254945</v>
      </c>
      <c r="D752" s="514">
        <v>167.61955210387302</v>
      </c>
      <c r="E752" s="514">
        <v>9.0717891340820849</v>
      </c>
      <c r="F752" s="514">
        <v>249.26565431061178</v>
      </c>
      <c r="G752" s="514">
        <v>1862.1906598110356</v>
      </c>
      <c r="H752" s="514" t="s">
        <v>22</v>
      </c>
    </row>
    <row r="753" spans="1:8" s="428" customFormat="1" ht="8.65" customHeight="1" x14ac:dyDescent="0.25">
      <c r="A753" s="428" t="s">
        <v>39</v>
      </c>
      <c r="B753" s="514">
        <v>60.544529742711042</v>
      </c>
      <c r="C753" s="514">
        <v>80.697931704421265</v>
      </c>
      <c r="D753" s="514">
        <v>207.52101350530901</v>
      </c>
      <c r="E753" s="514">
        <v>10.287510624806055</v>
      </c>
      <c r="F753" s="514">
        <v>281.7260081760412</v>
      </c>
      <c r="G753" s="514">
        <v>1962.836789487176</v>
      </c>
      <c r="H753" s="514" t="s">
        <v>22</v>
      </c>
    </row>
    <row r="754" spans="1:8" s="428" customFormat="1" ht="8.65" customHeight="1" x14ac:dyDescent="0.25">
      <c r="A754" s="428" t="s">
        <v>40</v>
      </c>
      <c r="B754" s="514">
        <v>80.523150357254835</v>
      </c>
      <c r="C754" s="514">
        <v>58.98180192313248</v>
      </c>
      <c r="D754" s="514">
        <v>168.33662205675088</v>
      </c>
      <c r="E754" s="514">
        <v>5.6616325317405281</v>
      </c>
      <c r="F754" s="514">
        <v>244.57476971018841</v>
      </c>
      <c r="G754" s="514">
        <v>1577.165433872035</v>
      </c>
      <c r="H754" s="514" t="s">
        <v>22</v>
      </c>
    </row>
    <row r="755" spans="1:8" s="428" customFormat="1" ht="8.65" customHeight="1" x14ac:dyDescent="0.25">
      <c r="A755" s="475" t="s">
        <v>41</v>
      </c>
      <c r="B755" s="515">
        <v>54.904173616035315</v>
      </c>
      <c r="C755" s="515">
        <v>69.135814798909408</v>
      </c>
      <c r="D755" s="515">
        <v>154.50069410460506</v>
      </c>
      <c r="E755" s="515">
        <v>9.5127285801316308</v>
      </c>
      <c r="F755" s="515">
        <v>214.74797511210539</v>
      </c>
      <c r="G755" s="515">
        <v>1760.5281686624255</v>
      </c>
      <c r="H755" s="515" t="s">
        <v>22</v>
      </c>
    </row>
    <row r="756" spans="1:8" s="428" customFormat="1" ht="8.65" customHeight="1" x14ac:dyDescent="0.25">
      <c r="A756" s="428" t="s">
        <v>42</v>
      </c>
      <c r="B756" s="514">
        <v>63.585765830907718</v>
      </c>
      <c r="C756" s="514">
        <v>55.26478437194627</v>
      </c>
      <c r="D756" s="514">
        <v>152.21463963657033</v>
      </c>
      <c r="E756" s="514">
        <v>9.5074027074453547</v>
      </c>
      <c r="F756" s="514">
        <v>204.56146904602915</v>
      </c>
      <c r="G756" s="514">
        <v>1695.988854053352</v>
      </c>
      <c r="H756" s="514" t="s">
        <v>22</v>
      </c>
    </row>
    <row r="757" spans="1:8" s="428" customFormat="1" ht="8.65" customHeight="1" x14ac:dyDescent="0.25">
      <c r="A757" s="428" t="s">
        <v>43</v>
      </c>
      <c r="B757" s="514">
        <v>41.920506407534745</v>
      </c>
      <c r="C757" s="514">
        <v>48.223239888387873</v>
      </c>
      <c r="D757" s="514">
        <v>152.38934671923178</v>
      </c>
      <c r="E757" s="514">
        <v>7.963919049450074</v>
      </c>
      <c r="F757" s="514">
        <v>198.75596744271718</v>
      </c>
      <c r="G757" s="514">
        <v>1650.0028582163459</v>
      </c>
      <c r="H757" s="514" t="s">
        <v>22</v>
      </c>
    </row>
    <row r="758" spans="1:8" s="428" customFormat="1" ht="8.65" customHeight="1" x14ac:dyDescent="0.25">
      <c r="A758" s="428" t="s">
        <v>44</v>
      </c>
      <c r="B758" s="514">
        <v>60.393414260951367</v>
      </c>
      <c r="C758" s="514">
        <v>54.015231896758486</v>
      </c>
      <c r="D758" s="514">
        <v>155.60107392645557</v>
      </c>
      <c r="E758" s="514">
        <v>8.5706825518841878</v>
      </c>
      <c r="F758" s="514">
        <v>236.92289906991482</v>
      </c>
      <c r="G758" s="514">
        <v>1567.7505811786482</v>
      </c>
      <c r="H758" s="514" t="s">
        <v>22</v>
      </c>
    </row>
    <row r="759" spans="1:8" s="428" customFormat="1" ht="8.65" customHeight="1" x14ac:dyDescent="0.25">
      <c r="A759" s="475" t="s">
        <v>45</v>
      </c>
      <c r="B759" s="515">
        <v>67.727068652307793</v>
      </c>
      <c r="C759" s="515">
        <v>53.963180506838789</v>
      </c>
      <c r="D759" s="515">
        <v>158.8673121129134</v>
      </c>
      <c r="E759" s="515">
        <v>9.6492866628287981</v>
      </c>
      <c r="F759" s="515">
        <v>209.44413918713678</v>
      </c>
      <c r="G759" s="515">
        <v>1925.2879401758792</v>
      </c>
      <c r="H759" s="515" t="s">
        <v>22</v>
      </c>
    </row>
    <row r="760" spans="1:8" s="428" customFormat="1" ht="8.65" customHeight="1" x14ac:dyDescent="0.25">
      <c r="A760" s="428" t="s">
        <v>46</v>
      </c>
      <c r="B760" s="514">
        <v>74.088659429116845</v>
      </c>
      <c r="C760" s="514">
        <v>60.872844503923034</v>
      </c>
      <c r="D760" s="514">
        <v>185.95586051308067</v>
      </c>
      <c r="E760" s="514">
        <v>11.046552374341296</v>
      </c>
      <c r="F760" s="514">
        <v>262.28052903307628</v>
      </c>
      <c r="G760" s="514">
        <v>2152.9490290047092</v>
      </c>
      <c r="H760" s="514" t="s">
        <v>22</v>
      </c>
    </row>
    <row r="761" spans="1:8" s="428" customFormat="1" ht="8.65" customHeight="1" x14ac:dyDescent="0.25">
      <c r="A761" s="428" t="s">
        <v>47</v>
      </c>
      <c r="B761" s="514">
        <v>99.282902549261209</v>
      </c>
      <c r="C761" s="514">
        <v>71.165538018444437</v>
      </c>
      <c r="D761" s="514">
        <v>208.96155526004029</v>
      </c>
      <c r="E761" s="514">
        <v>8.3724162374640514</v>
      </c>
      <c r="F761" s="514">
        <v>303.39543340510357</v>
      </c>
      <c r="G761" s="514">
        <v>1569.7778100270848</v>
      </c>
      <c r="H761" s="514" t="s">
        <v>22</v>
      </c>
    </row>
    <row r="762" spans="1:8" s="428" customFormat="1" ht="8.65" customHeight="1" x14ac:dyDescent="0.25">
      <c r="A762" s="428" t="s">
        <v>48</v>
      </c>
      <c r="B762" s="514">
        <v>65.515464388050717</v>
      </c>
      <c r="C762" s="514">
        <v>85.099567739006972</v>
      </c>
      <c r="D762" s="514">
        <v>206.46292007279311</v>
      </c>
      <c r="E762" s="514">
        <v>16.721172988210537</v>
      </c>
      <c r="F762" s="514">
        <v>253.59754169712852</v>
      </c>
      <c r="G762" s="514">
        <v>2067.2855022036265</v>
      </c>
      <c r="H762" s="514" t="s">
        <v>22</v>
      </c>
    </row>
    <row r="763" spans="1:8" s="428" customFormat="1" ht="8.65" customHeight="1" x14ac:dyDescent="0.25">
      <c r="A763" s="475" t="s">
        <v>49</v>
      </c>
      <c r="B763" s="515">
        <v>87.590846397219167</v>
      </c>
      <c r="C763" s="515">
        <v>64.679817654658066</v>
      </c>
      <c r="D763" s="515">
        <v>203.03713426437773</v>
      </c>
      <c r="E763" s="515">
        <v>10.090051554126658</v>
      </c>
      <c r="F763" s="515">
        <v>300.45931294510495</v>
      </c>
      <c r="G763" s="515">
        <v>2074.1937876328739</v>
      </c>
      <c r="H763" s="515" t="s">
        <v>22</v>
      </c>
    </row>
    <row r="764" spans="1:8" s="428" customFormat="1" ht="8.65" customHeight="1" x14ac:dyDescent="0.25">
      <c r="A764" s="428" t="s">
        <v>50</v>
      </c>
      <c r="B764" s="514">
        <v>53.483554390906399</v>
      </c>
      <c r="C764" s="514">
        <v>59.088817733184797</v>
      </c>
      <c r="D764" s="514">
        <v>178.58991815537013</v>
      </c>
      <c r="E764" s="514">
        <v>13.078947798649599</v>
      </c>
      <c r="F764" s="514">
        <v>241.96053427501758</v>
      </c>
      <c r="G764" s="514">
        <v>2148.8789084061045</v>
      </c>
      <c r="H764" s="514" t="s">
        <v>22</v>
      </c>
    </row>
    <row r="765" spans="1:8" s="428" customFormat="1" ht="8.65" customHeight="1" x14ac:dyDescent="0.25">
      <c r="A765" s="428" t="s">
        <v>51</v>
      </c>
      <c r="B765" s="514">
        <v>61.778865333053233</v>
      </c>
      <c r="C765" s="514">
        <v>56.960016240131424</v>
      </c>
      <c r="D765" s="514">
        <v>155.86231901561771</v>
      </c>
      <c r="E765" s="514">
        <v>10.979656161087659</v>
      </c>
      <c r="F765" s="514">
        <v>217.76318052823856</v>
      </c>
      <c r="G765" s="514">
        <v>1261.2751919060904</v>
      </c>
      <c r="H765" s="514" t="s">
        <v>22</v>
      </c>
    </row>
    <row r="766" spans="1:8" s="428" customFormat="1" ht="8.65" customHeight="1" x14ac:dyDescent="0.25">
      <c r="A766" s="428" t="s">
        <v>52</v>
      </c>
      <c r="B766" s="514">
        <v>87.99095976813129</v>
      </c>
      <c r="C766" s="514">
        <v>57.447080128038436</v>
      </c>
      <c r="D766" s="514">
        <v>210.0246336862113</v>
      </c>
      <c r="E766" s="514">
        <v>8.9362124643615335</v>
      </c>
      <c r="F766" s="514">
        <v>326.33724036520272</v>
      </c>
      <c r="G766" s="514">
        <v>2608.2827814788725</v>
      </c>
      <c r="H766" s="514" t="s">
        <v>22</v>
      </c>
    </row>
    <row r="767" spans="1:8" s="428" customFormat="1" ht="8.65" customHeight="1" x14ac:dyDescent="0.25">
      <c r="A767" s="475" t="s">
        <v>53</v>
      </c>
      <c r="B767" s="515">
        <v>62.696514977500804</v>
      </c>
      <c r="C767" s="515">
        <v>68.909683128424305</v>
      </c>
      <c r="D767" s="515">
        <v>187.46195218998488</v>
      </c>
      <c r="E767" s="515">
        <v>10.857354445553192</v>
      </c>
      <c r="F767" s="515">
        <v>276.956677272984</v>
      </c>
      <c r="G767" s="515">
        <v>2017.5186238146341</v>
      </c>
      <c r="H767" s="515" t="s">
        <v>22</v>
      </c>
    </row>
    <row r="768" spans="1:8" s="428" customFormat="1" ht="7.5" customHeight="1" x14ac:dyDescent="0.25">
      <c r="B768" s="514"/>
      <c r="C768" s="514"/>
      <c r="D768" s="514"/>
      <c r="E768" s="514"/>
      <c r="F768" s="514"/>
      <c r="G768" s="514"/>
      <c r="H768" s="514"/>
    </row>
    <row r="769" spans="1:8" s="428" customFormat="1" ht="9" customHeight="1" x14ac:dyDescent="0.25">
      <c r="A769" s="470">
        <v>2016</v>
      </c>
      <c r="B769" s="471"/>
      <c r="C769" s="471"/>
      <c r="D769" s="471"/>
      <c r="E769" s="471"/>
      <c r="F769" s="471"/>
      <c r="G769" s="512"/>
      <c r="H769" s="512"/>
    </row>
    <row r="770" spans="1:8" s="473" customFormat="1" ht="9" customHeight="1" x14ac:dyDescent="0.25">
      <c r="A770" s="429" t="s">
        <v>21</v>
      </c>
      <c r="B770" s="513">
        <v>73.035714408625893</v>
      </c>
      <c r="C770" s="513">
        <v>61.91221417193092</v>
      </c>
      <c r="D770" s="513">
        <v>184.07897467204808</v>
      </c>
      <c r="E770" s="513">
        <v>9.5395793558455164</v>
      </c>
      <c r="F770" s="513">
        <v>269.15429047866729</v>
      </c>
      <c r="G770" s="513">
        <v>1792.0043280617583</v>
      </c>
      <c r="H770" s="513" t="s">
        <v>22</v>
      </c>
    </row>
    <row r="771" spans="1:8" s="473" customFormat="1" ht="3" customHeight="1" x14ac:dyDescent="0.25">
      <c r="A771" s="429"/>
      <c r="B771" s="513"/>
      <c r="C771" s="513"/>
      <c r="D771" s="513"/>
      <c r="E771" s="513"/>
      <c r="F771" s="513"/>
      <c r="G771" s="513"/>
      <c r="H771" s="513"/>
    </row>
    <row r="772" spans="1:8" s="428" customFormat="1" ht="8.65" customHeight="1" x14ac:dyDescent="0.25">
      <c r="A772" s="428" t="s">
        <v>23</v>
      </c>
      <c r="B772" s="514">
        <v>66.544680477723887</v>
      </c>
      <c r="C772" s="514">
        <v>61.34006859678459</v>
      </c>
      <c r="D772" s="514">
        <v>201.86458938214565</v>
      </c>
      <c r="E772" s="514">
        <v>9.0708949924942068</v>
      </c>
      <c r="F772" s="514">
        <v>289.37642058022499</v>
      </c>
      <c r="G772" s="514">
        <v>1987.5067009377967</v>
      </c>
      <c r="H772" s="514" t="s">
        <v>22</v>
      </c>
    </row>
    <row r="773" spans="1:8" s="428" customFormat="1" ht="8.65" customHeight="1" x14ac:dyDescent="0.25">
      <c r="A773" s="428" t="s">
        <v>24</v>
      </c>
      <c r="B773" s="514">
        <v>64.360098754657287</v>
      </c>
      <c r="C773" s="514">
        <v>48.825924757678742</v>
      </c>
      <c r="D773" s="514">
        <v>165.03577603278538</v>
      </c>
      <c r="E773" s="514">
        <v>6.3441092277736795</v>
      </c>
      <c r="F773" s="514">
        <v>227.8543155358341</v>
      </c>
      <c r="G773" s="514">
        <v>1502.8121598193766</v>
      </c>
      <c r="H773" s="514" t="s">
        <v>22</v>
      </c>
    </row>
    <row r="774" spans="1:8" s="428" customFormat="1" ht="8.65" customHeight="1" x14ac:dyDescent="0.25">
      <c r="A774" s="428" t="s">
        <v>25</v>
      </c>
      <c r="B774" s="514">
        <v>95.435439641547234</v>
      </c>
      <c r="C774" s="514">
        <v>82.115673245532733</v>
      </c>
      <c r="D774" s="514">
        <v>249.36799768208601</v>
      </c>
      <c r="E774" s="514">
        <v>9.886836912505613</v>
      </c>
      <c r="F774" s="514">
        <v>343.7048998889104</v>
      </c>
      <c r="G774" s="514">
        <v>2168.4071619148058</v>
      </c>
      <c r="H774" s="514" t="s">
        <v>22</v>
      </c>
    </row>
    <row r="775" spans="1:8" s="428" customFormat="1" ht="8.65" customHeight="1" x14ac:dyDescent="0.25">
      <c r="A775" s="475" t="s">
        <v>26</v>
      </c>
      <c r="B775" s="515">
        <v>85.313437677398426</v>
      </c>
      <c r="C775" s="515">
        <v>82.718352120671469</v>
      </c>
      <c r="D775" s="515">
        <v>214.31081555970047</v>
      </c>
      <c r="E775" s="515">
        <v>12.434784959316627</v>
      </c>
      <c r="F775" s="515">
        <v>304.0575243965074</v>
      </c>
      <c r="G775" s="515">
        <v>2111.1799529640743</v>
      </c>
      <c r="H775" s="515" t="s">
        <v>22</v>
      </c>
    </row>
    <row r="776" spans="1:8" s="428" customFormat="1" ht="8.65" customHeight="1" x14ac:dyDescent="0.25">
      <c r="A776" s="428" t="s">
        <v>27</v>
      </c>
      <c r="B776" s="514">
        <v>91.942347479829465</v>
      </c>
      <c r="C776" s="514">
        <v>63.071721983822513</v>
      </c>
      <c r="D776" s="514">
        <v>181.13668817506192</v>
      </c>
      <c r="E776" s="514">
        <v>6.5554860644602932</v>
      </c>
      <c r="F776" s="514">
        <v>298.70502663414527</v>
      </c>
      <c r="G776" s="514">
        <v>1701.9329744590977</v>
      </c>
      <c r="H776" s="514" t="s">
        <v>22</v>
      </c>
    </row>
    <row r="777" spans="1:8" s="428" customFormat="1" ht="8.65" customHeight="1" x14ac:dyDescent="0.25">
      <c r="A777" s="428" t="s">
        <v>28</v>
      </c>
      <c r="B777" s="514">
        <v>72.521097046413502</v>
      </c>
      <c r="C777" s="514">
        <v>78.015119549929679</v>
      </c>
      <c r="D777" s="514">
        <v>246.40690928270041</v>
      </c>
      <c r="E777" s="514">
        <v>9.4771888185654003</v>
      </c>
      <c r="F777" s="514">
        <v>322.49912095639945</v>
      </c>
      <c r="G777" s="514">
        <v>1776.6556236814347</v>
      </c>
      <c r="H777" s="514" t="s">
        <v>22</v>
      </c>
    </row>
    <row r="778" spans="1:8" s="428" customFormat="1" ht="8.65" customHeight="1" x14ac:dyDescent="0.25">
      <c r="A778" s="428" t="s">
        <v>29</v>
      </c>
      <c r="B778" s="514">
        <v>43.918485795266598</v>
      </c>
      <c r="C778" s="514">
        <v>56.645502317214067</v>
      </c>
      <c r="D778" s="514">
        <v>139.28701048175401</v>
      </c>
      <c r="E778" s="514">
        <v>7.849261291068923</v>
      </c>
      <c r="F778" s="514">
        <v>237.12244585972024</v>
      </c>
      <c r="G778" s="514">
        <v>1878.2874855489492</v>
      </c>
      <c r="H778" s="514" t="s">
        <v>22</v>
      </c>
    </row>
    <row r="779" spans="1:8" s="428" customFormat="1" ht="8.65" customHeight="1" x14ac:dyDescent="0.25">
      <c r="A779" s="475" t="s">
        <v>30</v>
      </c>
      <c r="B779" s="515">
        <v>77.541509783346712</v>
      </c>
      <c r="C779" s="515">
        <v>55.359237084130612</v>
      </c>
      <c r="D779" s="515">
        <v>165.38882079589445</v>
      </c>
      <c r="E779" s="515">
        <v>6.861348946714048</v>
      </c>
      <c r="F779" s="515">
        <v>298.0691227172926</v>
      </c>
      <c r="G779" s="515">
        <v>1797.6411839657164</v>
      </c>
      <c r="H779" s="515" t="s">
        <v>22</v>
      </c>
    </row>
    <row r="780" spans="1:8" s="428" customFormat="1" ht="8.65" customHeight="1" x14ac:dyDescent="0.25">
      <c r="A780" s="428" t="s">
        <v>63</v>
      </c>
      <c r="B780" s="514">
        <v>172.56871855993299</v>
      </c>
      <c r="C780" s="514">
        <v>100.24821316228781</v>
      </c>
      <c r="D780" s="514">
        <v>388.06151781625425</v>
      </c>
      <c r="E780" s="514">
        <v>15.813553783696426</v>
      </c>
      <c r="F780" s="514">
        <v>567.21185512973693</v>
      </c>
      <c r="G780" s="514">
        <v>1868.3921403545662</v>
      </c>
      <c r="H780" s="514" t="s">
        <v>22</v>
      </c>
    </row>
    <row r="781" spans="1:8" s="428" customFormat="1" ht="8.65" customHeight="1" x14ac:dyDescent="0.25">
      <c r="A781" s="428" t="s">
        <v>31</v>
      </c>
      <c r="B781" s="514">
        <v>81.036689598246525</v>
      </c>
      <c r="C781" s="514">
        <v>71.165048814427095</v>
      </c>
      <c r="D781" s="514">
        <v>201.44839836811181</v>
      </c>
      <c r="E781" s="514">
        <v>9.4812369110130135</v>
      </c>
      <c r="F781" s="514">
        <v>260.28783919822195</v>
      </c>
      <c r="G781" s="514">
        <v>2277.7137949208454</v>
      </c>
      <c r="H781" s="514" t="s">
        <v>22</v>
      </c>
    </row>
    <row r="782" spans="1:8" s="428" customFormat="1" ht="8.65" customHeight="1" x14ac:dyDescent="0.25">
      <c r="A782" s="428" t="s">
        <v>32</v>
      </c>
      <c r="B782" s="514">
        <v>55.981412830068251</v>
      </c>
      <c r="C782" s="514">
        <v>47.282504668749262</v>
      </c>
      <c r="D782" s="514">
        <v>144.39517111707724</v>
      </c>
      <c r="E782" s="514">
        <v>6.8719698384215517</v>
      </c>
      <c r="F782" s="514">
        <v>233.96543164518644</v>
      </c>
      <c r="G782" s="514">
        <v>1516.3462373283392</v>
      </c>
      <c r="H782" s="514" t="s">
        <v>22</v>
      </c>
    </row>
    <row r="783" spans="1:8" s="428" customFormat="1" ht="8.65" customHeight="1" x14ac:dyDescent="0.25">
      <c r="A783" s="475" t="s">
        <v>33</v>
      </c>
      <c r="B783" s="515">
        <v>57.795849121065586</v>
      </c>
      <c r="C783" s="515">
        <v>68.691787889791073</v>
      </c>
      <c r="D783" s="515">
        <v>176.2299661724295</v>
      </c>
      <c r="E783" s="515">
        <v>13.933425535454578</v>
      </c>
      <c r="F783" s="515">
        <v>248.62804525465148</v>
      </c>
      <c r="G783" s="515">
        <v>2421.9080265727143</v>
      </c>
      <c r="H783" s="515" t="s">
        <v>22</v>
      </c>
    </row>
    <row r="784" spans="1:8" s="428" customFormat="1" ht="8.65" customHeight="1" x14ac:dyDescent="0.25">
      <c r="A784" s="428" t="s">
        <v>34</v>
      </c>
      <c r="B784" s="514">
        <v>46.928801130127745</v>
      </c>
      <c r="C784" s="514">
        <v>66.488177367575148</v>
      </c>
      <c r="D784" s="514">
        <v>157.67392087735621</v>
      </c>
      <c r="E784" s="514">
        <v>10.755944200627818</v>
      </c>
      <c r="F784" s="514">
        <v>231.42407331032339</v>
      </c>
      <c r="G784" s="514">
        <v>2195.5375848315157</v>
      </c>
      <c r="H784" s="514" t="s">
        <v>22</v>
      </c>
    </row>
    <row r="785" spans="1:8" s="428" customFormat="1" ht="8.65" customHeight="1" x14ac:dyDescent="0.25">
      <c r="A785" s="428" t="s">
        <v>35</v>
      </c>
      <c r="B785" s="514">
        <v>80.863506371996849</v>
      </c>
      <c r="C785" s="514">
        <v>52.89342387149145</v>
      </c>
      <c r="D785" s="514">
        <v>190.10915449562262</v>
      </c>
      <c r="E785" s="514">
        <v>7.7292326195593031</v>
      </c>
      <c r="F785" s="514">
        <v>256.26339426690726</v>
      </c>
      <c r="G785" s="514">
        <v>1417.8846451364459</v>
      </c>
      <c r="H785" s="514" t="s">
        <v>22</v>
      </c>
    </row>
    <row r="786" spans="1:8" s="428" customFormat="1" ht="8.65" customHeight="1" x14ac:dyDescent="0.25">
      <c r="A786" s="428" t="s">
        <v>36</v>
      </c>
      <c r="B786" s="514">
        <v>53.22768977873119</v>
      </c>
      <c r="C786" s="514">
        <v>45.755759200395907</v>
      </c>
      <c r="D786" s="514">
        <v>136.38538442055963</v>
      </c>
      <c r="E786" s="514">
        <v>8.6920841570125038</v>
      </c>
      <c r="F786" s="514">
        <v>207.87309532969303</v>
      </c>
      <c r="G786" s="514">
        <v>1930.7683651385692</v>
      </c>
      <c r="H786" s="514" t="s">
        <v>22</v>
      </c>
    </row>
    <row r="787" spans="1:8" s="428" customFormat="1" ht="8.65" customHeight="1" x14ac:dyDescent="0.25">
      <c r="A787" s="475" t="s">
        <v>37</v>
      </c>
      <c r="B787" s="515">
        <v>53.796223762284988</v>
      </c>
      <c r="C787" s="515">
        <v>60.611840956072491</v>
      </c>
      <c r="D787" s="515">
        <v>154.23012995753098</v>
      </c>
      <c r="E787" s="515">
        <v>12.04521026071879</v>
      </c>
      <c r="F787" s="515">
        <v>206.63322441919902</v>
      </c>
      <c r="G787" s="515">
        <v>1619.2841244343092</v>
      </c>
      <c r="H787" s="515" t="s">
        <v>22</v>
      </c>
    </row>
    <row r="788" spans="1:8" s="428" customFormat="1" ht="8.65" customHeight="1" x14ac:dyDescent="0.25">
      <c r="A788" s="428" t="s">
        <v>38</v>
      </c>
      <c r="B788" s="514">
        <v>57.286562518014641</v>
      </c>
      <c r="C788" s="514">
        <v>67.580643833021767</v>
      </c>
      <c r="D788" s="514">
        <v>173.76409259732023</v>
      </c>
      <c r="E788" s="514">
        <v>8.3896762717308047</v>
      </c>
      <c r="F788" s="514">
        <v>251.38146571247393</v>
      </c>
      <c r="G788" s="514">
        <v>1782.3064300949525</v>
      </c>
      <c r="H788" s="514" t="s">
        <v>22</v>
      </c>
    </row>
    <row r="789" spans="1:8" s="428" customFormat="1" ht="8.65" customHeight="1" x14ac:dyDescent="0.25">
      <c r="A789" s="428" t="s">
        <v>39</v>
      </c>
      <c r="B789" s="514">
        <v>60.168471720818289</v>
      </c>
      <c r="C789" s="514">
        <v>81.663139549358888</v>
      </c>
      <c r="D789" s="514">
        <v>206.06664176936803</v>
      </c>
      <c r="E789" s="514">
        <v>8.2990995476990754</v>
      </c>
      <c r="F789" s="514">
        <v>288.55969127349681</v>
      </c>
      <c r="G789" s="514">
        <v>1915.667870036101</v>
      </c>
      <c r="H789" s="514" t="s">
        <v>22</v>
      </c>
    </row>
    <row r="790" spans="1:8" s="428" customFormat="1" ht="8.65" customHeight="1" x14ac:dyDescent="0.25">
      <c r="A790" s="428" t="s">
        <v>40</v>
      </c>
      <c r="B790" s="514">
        <v>79.056093467792778</v>
      </c>
      <c r="C790" s="514">
        <v>58.325998166462092</v>
      </c>
      <c r="D790" s="514">
        <v>170.67588105760416</v>
      </c>
      <c r="E790" s="514">
        <v>5.5584828539839854</v>
      </c>
      <c r="F790" s="514">
        <v>258.03162700600319</v>
      </c>
      <c r="G790" s="514">
        <v>1542.9956263115735</v>
      </c>
      <c r="H790" s="514" t="s">
        <v>22</v>
      </c>
    </row>
    <row r="791" spans="1:8" s="428" customFormat="1" ht="8.65" customHeight="1" x14ac:dyDescent="0.25">
      <c r="A791" s="475" t="s">
        <v>41</v>
      </c>
      <c r="B791" s="515">
        <v>56.903032026613268</v>
      </c>
      <c r="C791" s="515">
        <v>72.920181782252556</v>
      </c>
      <c r="D791" s="515">
        <v>163.66750083123057</v>
      </c>
      <c r="E791" s="515">
        <v>9.9177397867735539</v>
      </c>
      <c r="F791" s="515">
        <v>225.92611234270154</v>
      </c>
      <c r="G791" s="515">
        <v>1652.0229585758323</v>
      </c>
      <c r="H791" s="515" t="s">
        <v>22</v>
      </c>
    </row>
    <row r="792" spans="1:8" s="428" customFormat="1" ht="8.65" customHeight="1" x14ac:dyDescent="0.25">
      <c r="A792" s="428" t="s">
        <v>42</v>
      </c>
      <c r="B792" s="514">
        <v>64.801174469794887</v>
      </c>
      <c r="C792" s="514">
        <v>57.06939619564821</v>
      </c>
      <c r="D792" s="514">
        <v>154.55634644323939</v>
      </c>
      <c r="E792" s="514">
        <v>8.9042200616197373</v>
      </c>
      <c r="F792" s="514">
        <v>211.45146075156052</v>
      </c>
      <c r="G792" s="514">
        <v>1695.9776057281072</v>
      </c>
      <c r="H792" s="514" t="s">
        <v>22</v>
      </c>
    </row>
    <row r="793" spans="1:8" s="428" customFormat="1" ht="8.65" customHeight="1" x14ac:dyDescent="0.25">
      <c r="A793" s="428" t="s">
        <v>43</v>
      </c>
      <c r="B793" s="514">
        <v>43.063172862075966</v>
      </c>
      <c r="C793" s="514">
        <v>49.467684697279275</v>
      </c>
      <c r="D793" s="514">
        <v>152.2744381116249</v>
      </c>
      <c r="E793" s="514">
        <v>8.0773320906668573</v>
      </c>
      <c r="F793" s="514">
        <v>203.08037901327501</v>
      </c>
      <c r="G793" s="514">
        <v>1609.3826098385728</v>
      </c>
      <c r="H793" s="514" t="s">
        <v>22</v>
      </c>
    </row>
    <row r="794" spans="1:8" s="428" customFormat="1" ht="8.65" customHeight="1" x14ac:dyDescent="0.25">
      <c r="A794" s="428" t="s">
        <v>44</v>
      </c>
      <c r="B794" s="514">
        <v>57.041113629006148</v>
      </c>
      <c r="C794" s="514">
        <v>55.292975072839106</v>
      </c>
      <c r="D794" s="514">
        <v>163.28909032049208</v>
      </c>
      <c r="E794" s="514">
        <v>8.0284881838782773</v>
      </c>
      <c r="F794" s="514">
        <v>242.34380058271284</v>
      </c>
      <c r="G794" s="514">
        <v>1495.1142764648753</v>
      </c>
      <c r="H794" s="514" t="s">
        <v>22</v>
      </c>
    </row>
    <row r="795" spans="1:8" s="428" customFormat="1" ht="8.65" customHeight="1" x14ac:dyDescent="0.25">
      <c r="A795" s="475" t="s">
        <v>45</v>
      </c>
      <c r="B795" s="515">
        <v>67.326745540640985</v>
      </c>
      <c r="C795" s="515">
        <v>61.045322632291636</v>
      </c>
      <c r="D795" s="515">
        <v>166.9992090461154</v>
      </c>
      <c r="E795" s="515">
        <v>9.6748352841242813</v>
      </c>
      <c r="F795" s="515">
        <v>239.45217328207596</v>
      </c>
      <c r="G795" s="515">
        <v>1921.2858289294181</v>
      </c>
      <c r="H795" s="515" t="s">
        <v>22</v>
      </c>
    </row>
    <row r="796" spans="1:8" s="428" customFormat="1" ht="8.65" customHeight="1" x14ac:dyDescent="0.25">
      <c r="A796" s="428" t="s">
        <v>46</v>
      </c>
      <c r="B796" s="514">
        <v>75.879558745374496</v>
      </c>
      <c r="C796" s="514">
        <v>62.60145966835065</v>
      </c>
      <c r="D796" s="514">
        <v>199.43507124869814</v>
      </c>
      <c r="E796" s="514">
        <v>10.87288510029248</v>
      </c>
      <c r="F796" s="514">
        <v>269.74639489725621</v>
      </c>
      <c r="G796" s="514">
        <v>2098.9188727915275</v>
      </c>
      <c r="H796" s="514" t="s">
        <v>22</v>
      </c>
    </row>
    <row r="797" spans="1:8" s="428" customFormat="1" ht="8.65" customHeight="1" x14ac:dyDescent="0.25">
      <c r="A797" s="428" t="s">
        <v>47</v>
      </c>
      <c r="B797" s="514">
        <v>100.10844507401686</v>
      </c>
      <c r="C797" s="514">
        <v>71.757016892352766</v>
      </c>
      <c r="D797" s="514">
        <v>203.00724942229229</v>
      </c>
      <c r="E797" s="514">
        <v>7.9921401435553721</v>
      </c>
      <c r="F797" s="514">
        <v>312.52023871695837</v>
      </c>
      <c r="G797" s="514">
        <v>1521.6325186402889</v>
      </c>
      <c r="H797" s="514" t="s">
        <v>22</v>
      </c>
    </row>
    <row r="798" spans="1:8" s="428" customFormat="1" ht="8.65" customHeight="1" x14ac:dyDescent="0.25">
      <c r="A798" s="428" t="s">
        <v>48</v>
      </c>
      <c r="B798" s="514">
        <v>64.692587375937634</v>
      </c>
      <c r="C798" s="514">
        <v>88.809001277473868</v>
      </c>
      <c r="D798" s="514">
        <v>209.30918143404631</v>
      </c>
      <c r="E798" s="514">
        <v>15.804644763994888</v>
      </c>
      <c r="F798" s="514">
        <v>258.07429001932587</v>
      </c>
      <c r="G798" s="514">
        <v>1832.5330014084968</v>
      </c>
      <c r="H798" s="514" t="s">
        <v>22</v>
      </c>
    </row>
    <row r="799" spans="1:8" s="428" customFormat="1" ht="8.65" customHeight="1" x14ac:dyDescent="0.25">
      <c r="A799" s="475" t="s">
        <v>49</v>
      </c>
      <c r="B799" s="515">
        <v>86.764435696472603</v>
      </c>
      <c r="C799" s="515">
        <v>64.346966591704401</v>
      </c>
      <c r="D799" s="515">
        <v>199.99116973898035</v>
      </c>
      <c r="E799" s="515">
        <v>9.7702565475673353</v>
      </c>
      <c r="F799" s="515">
        <v>303.84643321545411</v>
      </c>
      <c r="G799" s="515">
        <v>2003.3369841240451</v>
      </c>
      <c r="H799" s="515" t="s">
        <v>22</v>
      </c>
    </row>
    <row r="800" spans="1:8" s="428" customFormat="1" ht="8.65" customHeight="1" x14ac:dyDescent="0.25">
      <c r="A800" s="428" t="s">
        <v>50</v>
      </c>
      <c r="B800" s="514">
        <v>52.612634690642302</v>
      </c>
      <c r="C800" s="514">
        <v>61.189949225361282</v>
      </c>
      <c r="D800" s="514">
        <v>178.89827458128153</v>
      </c>
      <c r="E800" s="514">
        <v>11.487474823284344</v>
      </c>
      <c r="F800" s="514">
        <v>242.46230193678824</v>
      </c>
      <c r="G800" s="514">
        <v>1986.7932331114976</v>
      </c>
      <c r="H800" s="514" t="s">
        <v>22</v>
      </c>
    </row>
    <row r="801" spans="1:8" s="428" customFormat="1" ht="8.65" customHeight="1" x14ac:dyDescent="0.25">
      <c r="A801" s="428" t="s">
        <v>51</v>
      </c>
      <c r="B801" s="514">
        <v>62.133293777872026</v>
      </c>
      <c r="C801" s="514">
        <v>58.246945565658585</v>
      </c>
      <c r="D801" s="514">
        <v>155.7677330025673</v>
      </c>
      <c r="E801" s="514">
        <v>10.367618367364427</v>
      </c>
      <c r="F801" s="514">
        <v>222.95810721807109</v>
      </c>
      <c r="G801" s="514">
        <v>1473.3772474588773</v>
      </c>
      <c r="H801" s="514" t="s">
        <v>22</v>
      </c>
    </row>
    <row r="802" spans="1:8" s="428" customFormat="1" ht="8.65" customHeight="1" x14ac:dyDescent="0.25">
      <c r="A802" s="428" t="s">
        <v>52</v>
      </c>
      <c r="B802" s="514">
        <v>81.772980097707503</v>
      </c>
      <c r="C802" s="514">
        <v>61.936498053457683</v>
      </c>
      <c r="D802" s="514">
        <v>219.83489512568627</v>
      </c>
      <c r="E802" s="514">
        <v>8.5880298732752181</v>
      </c>
      <c r="F802" s="514">
        <v>332.69280943861821</v>
      </c>
      <c r="G802" s="514">
        <v>2694.6418628183583</v>
      </c>
      <c r="H802" s="514" t="s">
        <v>22</v>
      </c>
    </row>
    <row r="803" spans="1:8" s="428" customFormat="1" ht="8.65" customHeight="1" x14ac:dyDescent="0.25">
      <c r="A803" s="475" t="s">
        <v>53</v>
      </c>
      <c r="B803" s="515">
        <v>62.488159239209772</v>
      </c>
      <c r="C803" s="515">
        <v>70.935862675126799</v>
      </c>
      <c r="D803" s="515">
        <v>186.7812075867831</v>
      </c>
      <c r="E803" s="515">
        <v>10.870206627099115</v>
      </c>
      <c r="F803" s="515">
        <v>277.28344219068828</v>
      </c>
      <c r="G803" s="515">
        <v>2032.968404967995</v>
      </c>
      <c r="H803" s="515" t="s">
        <v>22</v>
      </c>
    </row>
    <row r="804" spans="1:8" s="428" customFormat="1" ht="7.5" customHeight="1" x14ac:dyDescent="0.25">
      <c r="B804" s="514"/>
      <c r="C804" s="514"/>
      <c r="D804" s="514"/>
      <c r="E804" s="514"/>
      <c r="F804" s="514"/>
      <c r="G804" s="514"/>
      <c r="H804" s="514"/>
    </row>
    <row r="805" spans="1:8" s="428" customFormat="1" ht="9" customHeight="1" x14ac:dyDescent="0.25">
      <c r="A805" s="470" t="s">
        <v>56</v>
      </c>
      <c r="B805" s="471"/>
      <c r="C805" s="471"/>
      <c r="D805" s="471"/>
      <c r="E805" s="471"/>
      <c r="F805" s="471"/>
      <c r="G805" s="512"/>
      <c r="H805" s="512"/>
    </row>
    <row r="806" spans="1:8" s="473" customFormat="1" ht="9" customHeight="1" x14ac:dyDescent="0.25">
      <c r="A806" s="429" t="s">
        <v>21</v>
      </c>
      <c r="B806" s="513">
        <v>72.199078156723857</v>
      </c>
      <c r="C806" s="513">
        <v>61.509221942016694</v>
      </c>
      <c r="D806" s="513">
        <v>185.41916255358441</v>
      </c>
      <c r="E806" s="513">
        <v>9.7391965225273687</v>
      </c>
      <c r="F806" s="513">
        <v>273.26481873010636</v>
      </c>
      <c r="G806" s="513" t="s">
        <v>22</v>
      </c>
      <c r="H806" s="513" t="s">
        <v>22</v>
      </c>
    </row>
    <row r="807" spans="1:8" s="473" customFormat="1" ht="3" customHeight="1" x14ac:dyDescent="0.25">
      <c r="A807" s="429"/>
      <c r="B807" s="513"/>
      <c r="C807" s="513"/>
      <c r="D807" s="513"/>
      <c r="E807" s="513"/>
      <c r="F807" s="513"/>
      <c r="G807" s="513"/>
      <c r="H807" s="513"/>
    </row>
    <row r="808" spans="1:8" s="428" customFormat="1" ht="8.65" customHeight="1" x14ac:dyDescent="0.25">
      <c r="A808" s="428" t="s">
        <v>23</v>
      </c>
      <c r="B808" s="514">
        <v>64.075337951639597</v>
      </c>
      <c r="C808" s="514">
        <v>61.732011306551065</v>
      </c>
      <c r="D808" s="514">
        <v>220.49239151129925</v>
      </c>
      <c r="E808" s="514">
        <v>12.009549056078736</v>
      </c>
      <c r="F808" s="514">
        <v>306.24350093000777</v>
      </c>
      <c r="G808" s="514" t="s">
        <v>22</v>
      </c>
      <c r="H808" s="514" t="s">
        <v>22</v>
      </c>
    </row>
    <row r="809" spans="1:8" s="428" customFormat="1" ht="8.65" customHeight="1" x14ac:dyDescent="0.25">
      <c r="A809" s="428" t="s">
        <v>24</v>
      </c>
      <c r="B809" s="514">
        <v>63.582234139319951</v>
      </c>
      <c r="C809" s="514">
        <v>47.271628954702834</v>
      </c>
      <c r="D809" s="514">
        <v>164.94099492944062</v>
      </c>
      <c r="E809" s="514">
        <v>6.2912334283523172</v>
      </c>
      <c r="F809" s="514">
        <v>230.50380255546409</v>
      </c>
      <c r="G809" s="514" t="s">
        <v>22</v>
      </c>
      <c r="H809" s="514" t="s">
        <v>22</v>
      </c>
    </row>
    <row r="810" spans="1:8" s="428" customFormat="1" ht="8.65" customHeight="1" x14ac:dyDescent="0.25">
      <c r="A810" s="428" t="s">
        <v>25</v>
      </c>
      <c r="B810" s="514">
        <v>92.536340630293182</v>
      </c>
      <c r="C810" s="514">
        <v>82.612153374290727</v>
      </c>
      <c r="D810" s="514">
        <v>242.06970266330319</v>
      </c>
      <c r="E810" s="514">
        <v>10.192408533191713</v>
      </c>
      <c r="F810" s="514">
        <v>330.04628158137899</v>
      </c>
      <c r="G810" s="514" t="s">
        <v>22</v>
      </c>
      <c r="H810" s="514" t="s">
        <v>22</v>
      </c>
    </row>
    <row r="811" spans="1:8" s="428" customFormat="1" ht="8.65" customHeight="1" x14ac:dyDescent="0.25">
      <c r="A811" s="475" t="s">
        <v>26</v>
      </c>
      <c r="B811" s="515">
        <v>81.107822446059046</v>
      </c>
      <c r="C811" s="515">
        <v>84.292684583993307</v>
      </c>
      <c r="D811" s="515">
        <v>209.67009074733849</v>
      </c>
      <c r="E811" s="515">
        <v>11.571665767827795</v>
      </c>
      <c r="F811" s="515">
        <v>305.42827902789514</v>
      </c>
      <c r="G811" s="515" t="s">
        <v>22</v>
      </c>
      <c r="H811" s="515" t="s">
        <v>22</v>
      </c>
    </row>
    <row r="812" spans="1:8" s="428" customFormat="1" ht="8.65" customHeight="1" x14ac:dyDescent="0.25">
      <c r="A812" s="428" t="s">
        <v>27</v>
      </c>
      <c r="B812" s="514">
        <v>93.911691043258102</v>
      </c>
      <c r="C812" s="514">
        <v>62.04238845580997</v>
      </c>
      <c r="D812" s="514">
        <v>183.71331849796096</v>
      </c>
      <c r="E812" s="514">
        <v>7.1110623992463582</v>
      </c>
      <c r="F812" s="514">
        <v>304.34042286682808</v>
      </c>
      <c r="G812" s="514" t="s">
        <v>22</v>
      </c>
      <c r="H812" s="514" t="s">
        <v>22</v>
      </c>
    </row>
    <row r="813" spans="1:8" s="428" customFormat="1" ht="8.65" customHeight="1" x14ac:dyDescent="0.25">
      <c r="A813" s="428" t="s">
        <v>28</v>
      </c>
      <c r="B813" s="514">
        <v>87.161725478343826</v>
      </c>
      <c r="C813" s="514">
        <v>84.73307058885436</v>
      </c>
      <c r="D813" s="514">
        <v>249.88160307413739</v>
      </c>
      <c r="E813" s="514">
        <v>9.7146195579578247</v>
      </c>
      <c r="F813" s="514">
        <v>367.94121575765263</v>
      </c>
      <c r="G813" s="514" t="s">
        <v>22</v>
      </c>
      <c r="H813" s="514" t="s">
        <v>22</v>
      </c>
    </row>
    <row r="814" spans="1:8" s="428" customFormat="1" ht="8.65" customHeight="1" x14ac:dyDescent="0.25">
      <c r="A814" s="428" t="s">
        <v>29</v>
      </c>
      <c r="B814" s="514">
        <v>44.363140630787946</v>
      </c>
      <c r="C814" s="514">
        <v>55.545889181168988</v>
      </c>
      <c r="D814" s="514">
        <v>146.03786758227875</v>
      </c>
      <c r="E814" s="514">
        <v>8.203134627417672</v>
      </c>
      <c r="F814" s="514">
        <v>248.06205542596894</v>
      </c>
      <c r="G814" s="514" t="s">
        <v>22</v>
      </c>
      <c r="H814" s="514" t="s">
        <v>22</v>
      </c>
    </row>
    <row r="815" spans="1:8" s="428" customFormat="1" ht="8.65" customHeight="1" x14ac:dyDescent="0.25">
      <c r="A815" s="475" t="s">
        <v>30</v>
      </c>
      <c r="B815" s="515">
        <v>79.161719626901686</v>
      </c>
      <c r="C815" s="515">
        <v>54.336822353198613</v>
      </c>
      <c r="D815" s="515">
        <v>161.75695962316297</v>
      </c>
      <c r="E815" s="515">
        <v>7.085042032011855</v>
      </c>
      <c r="F815" s="515">
        <v>301.19603684548861</v>
      </c>
      <c r="G815" s="515" t="s">
        <v>22</v>
      </c>
      <c r="H815" s="515" t="s">
        <v>22</v>
      </c>
    </row>
    <row r="816" spans="1:8" s="428" customFormat="1" ht="8.65" customHeight="1" x14ac:dyDescent="0.25">
      <c r="A816" s="428" t="s">
        <v>63</v>
      </c>
      <c r="B816" s="514">
        <v>170.75137342895644</v>
      </c>
      <c r="C816" s="514">
        <v>99.101414959640834</v>
      </c>
      <c r="D816" s="514">
        <v>395.56609819137429</v>
      </c>
      <c r="E816" s="514">
        <v>17.288341813826541</v>
      </c>
      <c r="F816" s="514">
        <v>613.76375155028916</v>
      </c>
      <c r="G816" s="514" t="s">
        <v>22</v>
      </c>
      <c r="H816" s="514" t="s">
        <v>22</v>
      </c>
    </row>
    <row r="817" spans="1:8" s="428" customFormat="1" ht="8.65" customHeight="1" x14ac:dyDescent="0.25">
      <c r="A817" s="428" t="s">
        <v>31</v>
      </c>
      <c r="B817" s="514">
        <v>85.32107507868038</v>
      </c>
      <c r="C817" s="514">
        <v>69.637459983311302</v>
      </c>
      <c r="D817" s="514">
        <v>200.29743644684385</v>
      </c>
      <c r="E817" s="514">
        <v>9.3880794584955769</v>
      </c>
      <c r="F817" s="514">
        <v>270.04534442378451</v>
      </c>
      <c r="G817" s="514" t="s">
        <v>22</v>
      </c>
      <c r="H817" s="514" t="s">
        <v>22</v>
      </c>
    </row>
    <row r="818" spans="1:8" s="428" customFormat="1" ht="8.65" customHeight="1" x14ac:dyDescent="0.25">
      <c r="A818" s="428" t="s">
        <v>32</v>
      </c>
      <c r="B818" s="514">
        <v>55.319514568356837</v>
      </c>
      <c r="C818" s="514">
        <v>46.611045258495565</v>
      </c>
      <c r="D818" s="514">
        <v>150.99656405269934</v>
      </c>
      <c r="E818" s="514">
        <v>7.0663008114302883</v>
      </c>
      <c r="F818" s="514">
        <v>234.81350771504029</v>
      </c>
      <c r="G818" s="514" t="s">
        <v>22</v>
      </c>
      <c r="H818" s="514" t="s">
        <v>22</v>
      </c>
    </row>
    <row r="819" spans="1:8" s="428" customFormat="1" ht="8.65" customHeight="1" x14ac:dyDescent="0.25">
      <c r="A819" s="475" t="s">
        <v>33</v>
      </c>
      <c r="B819" s="515">
        <v>54.824956697435567</v>
      </c>
      <c r="C819" s="515">
        <v>68.940233864352464</v>
      </c>
      <c r="D819" s="515">
        <v>188.18520796600797</v>
      </c>
      <c r="E819" s="515">
        <v>16.001011641082609</v>
      </c>
      <c r="F819" s="515">
        <v>276.20463768662529</v>
      </c>
      <c r="G819" s="515" t="s">
        <v>22</v>
      </c>
      <c r="H819" s="515" t="s">
        <v>22</v>
      </c>
    </row>
    <row r="820" spans="1:8" s="428" customFormat="1" ht="8.65" customHeight="1" x14ac:dyDescent="0.25">
      <c r="A820" s="428" t="s">
        <v>34</v>
      </c>
      <c r="B820" s="514">
        <v>47.293935017660004</v>
      </c>
      <c r="C820" s="514">
        <v>66.63069758385123</v>
      </c>
      <c r="D820" s="514">
        <v>157.73659813609834</v>
      </c>
      <c r="E820" s="514">
        <v>10.682547151951796</v>
      </c>
      <c r="F820" s="514">
        <v>235.25267604567262</v>
      </c>
      <c r="G820" s="514" t="s">
        <v>22</v>
      </c>
      <c r="H820" s="514" t="s">
        <v>22</v>
      </c>
    </row>
    <row r="821" spans="1:8" s="428" customFormat="1" ht="8.65" customHeight="1" x14ac:dyDescent="0.25">
      <c r="A821" s="428" t="s">
        <v>35</v>
      </c>
      <c r="B821" s="514">
        <v>80.054388114582792</v>
      </c>
      <c r="C821" s="514">
        <v>52.485172290938898</v>
      </c>
      <c r="D821" s="514">
        <v>185.96262902707696</v>
      </c>
      <c r="E821" s="514">
        <v>7.6759410216233235</v>
      </c>
      <c r="F821" s="514">
        <v>256.66273531788084</v>
      </c>
      <c r="G821" s="514" t="s">
        <v>22</v>
      </c>
      <c r="H821" s="514" t="s">
        <v>22</v>
      </c>
    </row>
    <row r="822" spans="1:8" s="428" customFormat="1" ht="8.65" customHeight="1" x14ac:dyDescent="0.25">
      <c r="A822" s="428" t="s">
        <v>36</v>
      </c>
      <c r="B822" s="514">
        <v>50.156279736851054</v>
      </c>
      <c r="C822" s="514">
        <v>44.709308950631836</v>
      </c>
      <c r="D822" s="514">
        <v>126.527225010008</v>
      </c>
      <c r="E822" s="514">
        <v>7.9944587661925084</v>
      </c>
      <c r="F822" s="514">
        <v>199.72425083270642</v>
      </c>
      <c r="G822" s="514" t="s">
        <v>22</v>
      </c>
      <c r="H822" s="514" t="s">
        <v>22</v>
      </c>
    </row>
    <row r="823" spans="1:8" s="428" customFormat="1" ht="8.65" customHeight="1" x14ac:dyDescent="0.25">
      <c r="A823" s="475" t="s">
        <v>37</v>
      </c>
      <c r="B823" s="515">
        <v>55.5932555070275</v>
      </c>
      <c r="C823" s="515">
        <v>61.524620052519147</v>
      </c>
      <c r="D823" s="515">
        <v>155.55481856402301</v>
      </c>
      <c r="E823" s="515">
        <v>12.139100915683633</v>
      </c>
      <c r="F823" s="515">
        <v>213.74171734900744</v>
      </c>
      <c r="G823" s="515" t="s">
        <v>22</v>
      </c>
      <c r="H823" s="515" t="s">
        <v>22</v>
      </c>
    </row>
    <row r="824" spans="1:8" s="428" customFormat="1" ht="8.65" customHeight="1" x14ac:dyDescent="0.25">
      <c r="A824" s="428" t="s">
        <v>38</v>
      </c>
      <c r="B824" s="514">
        <v>51.767730702027379</v>
      </c>
      <c r="C824" s="514">
        <v>62.039913022076036</v>
      </c>
      <c r="D824" s="514">
        <v>176.30522823568657</v>
      </c>
      <c r="E824" s="514">
        <v>8.2889391988511427</v>
      </c>
      <c r="F824" s="514">
        <v>250.09204282177865</v>
      </c>
      <c r="G824" s="514" t="s">
        <v>22</v>
      </c>
      <c r="H824" s="514" t="s">
        <v>22</v>
      </c>
    </row>
    <row r="825" spans="1:8" s="428" customFormat="1" ht="8.65" customHeight="1" x14ac:dyDescent="0.25">
      <c r="A825" s="428" t="s">
        <v>39</v>
      </c>
      <c r="B825" s="514">
        <v>57.506238691733067</v>
      </c>
      <c r="C825" s="514">
        <v>82.338478126799615</v>
      </c>
      <c r="D825" s="514">
        <v>203.3139603746074</v>
      </c>
      <c r="E825" s="514">
        <v>9.4754597844332888</v>
      </c>
      <c r="F825" s="514">
        <v>286.71434347724869</v>
      </c>
      <c r="G825" s="514" t="s">
        <v>22</v>
      </c>
      <c r="H825" s="514" t="s">
        <v>22</v>
      </c>
    </row>
    <row r="826" spans="1:8" s="428" customFormat="1" ht="8.65" customHeight="1" x14ac:dyDescent="0.25">
      <c r="A826" s="428" t="s">
        <v>40</v>
      </c>
      <c r="B826" s="514">
        <v>78.030899711456243</v>
      </c>
      <c r="C826" s="514">
        <v>57.600037187918581</v>
      </c>
      <c r="D826" s="514">
        <v>174.05595357208327</v>
      </c>
      <c r="E826" s="514">
        <v>5.4169901553232895</v>
      </c>
      <c r="F826" s="514">
        <v>242.48997107064844</v>
      </c>
      <c r="G826" s="514" t="s">
        <v>22</v>
      </c>
      <c r="H826" s="514" t="s">
        <v>22</v>
      </c>
    </row>
    <row r="827" spans="1:8" s="428" customFormat="1" ht="8.65" customHeight="1" x14ac:dyDescent="0.25">
      <c r="A827" s="475" t="s">
        <v>41</v>
      </c>
      <c r="B827" s="515">
        <v>58.009112480284905</v>
      </c>
      <c r="C827" s="515">
        <v>75.695117898902552</v>
      </c>
      <c r="D827" s="515">
        <v>161.68654535906163</v>
      </c>
      <c r="E827" s="515">
        <v>10.468735797928273</v>
      </c>
      <c r="F827" s="515">
        <v>222.87322705801182</v>
      </c>
      <c r="G827" s="515" t="s">
        <v>22</v>
      </c>
      <c r="H827" s="515" t="s">
        <v>22</v>
      </c>
    </row>
    <row r="828" spans="1:8" s="428" customFormat="1" ht="8.65" customHeight="1" x14ac:dyDescent="0.25">
      <c r="A828" s="428" t="s">
        <v>42</v>
      </c>
      <c r="B828" s="514">
        <v>64.230233255430534</v>
      </c>
      <c r="C828" s="514">
        <v>57.067418077848359</v>
      </c>
      <c r="D828" s="514">
        <v>158.88283907035122</v>
      </c>
      <c r="E828" s="514">
        <v>8.7771914648709366</v>
      </c>
      <c r="F828" s="514">
        <v>215.37033556927062</v>
      </c>
      <c r="G828" s="514" t="s">
        <v>22</v>
      </c>
      <c r="H828" s="514" t="s">
        <v>22</v>
      </c>
    </row>
    <row r="829" spans="1:8" s="428" customFormat="1" ht="8.65" customHeight="1" x14ac:dyDescent="0.25">
      <c r="A829" s="428" t="s">
        <v>43</v>
      </c>
      <c r="B829" s="514">
        <v>41.91856838019158</v>
      </c>
      <c r="C829" s="514">
        <v>48.147808150655806</v>
      </c>
      <c r="D829" s="514">
        <v>158.30699567044419</v>
      </c>
      <c r="E829" s="514">
        <v>8.4773864545415378</v>
      </c>
      <c r="F829" s="514">
        <v>203.12942018423564</v>
      </c>
      <c r="G829" s="514" t="s">
        <v>22</v>
      </c>
      <c r="H829" s="514" t="s">
        <v>22</v>
      </c>
    </row>
    <row r="830" spans="1:8" s="428" customFormat="1" ht="8.65" customHeight="1" x14ac:dyDescent="0.25">
      <c r="A830" s="428" t="s">
        <v>44</v>
      </c>
      <c r="B830" s="514">
        <v>62.010163863277363</v>
      </c>
      <c r="C830" s="514">
        <v>55.071081437071356</v>
      </c>
      <c r="D830" s="514">
        <v>165.02399660868116</v>
      </c>
      <c r="E830" s="514">
        <v>8.5161466139801067</v>
      </c>
      <c r="F830" s="514">
        <v>244.94960964507223</v>
      </c>
      <c r="G830" s="514" t="s">
        <v>22</v>
      </c>
      <c r="H830" s="514" t="s">
        <v>22</v>
      </c>
    </row>
    <row r="831" spans="1:8" s="428" customFormat="1" ht="8.65" customHeight="1" x14ac:dyDescent="0.25">
      <c r="A831" s="475" t="s">
        <v>45</v>
      </c>
      <c r="B831" s="515">
        <v>69.466202365073542</v>
      </c>
      <c r="C831" s="515">
        <v>61.767628391624669</v>
      </c>
      <c r="D831" s="515">
        <v>166.11016122246193</v>
      </c>
      <c r="E831" s="515">
        <v>9.7753985802397292</v>
      </c>
      <c r="F831" s="515">
        <v>234.53795128414004</v>
      </c>
      <c r="G831" s="515" t="s">
        <v>22</v>
      </c>
      <c r="H831" s="515" t="s">
        <v>22</v>
      </c>
    </row>
    <row r="832" spans="1:8" s="428" customFormat="1" ht="8.65" customHeight="1" x14ac:dyDescent="0.25">
      <c r="A832" s="428" t="s">
        <v>46</v>
      </c>
      <c r="B832" s="514">
        <v>77.523352481873417</v>
      </c>
      <c r="C832" s="514">
        <v>63.977166679777639</v>
      </c>
      <c r="D832" s="514">
        <v>211.35313992426541</v>
      </c>
      <c r="E832" s="514">
        <v>11.783549577244759</v>
      </c>
      <c r="F832" s="514">
        <v>279.67161434302795</v>
      </c>
      <c r="G832" s="514" t="s">
        <v>22</v>
      </c>
      <c r="H832" s="514" t="s">
        <v>22</v>
      </c>
    </row>
    <row r="833" spans="1:8" s="428" customFormat="1" ht="8.65" customHeight="1" x14ac:dyDescent="0.25">
      <c r="A833" s="428" t="s">
        <v>47</v>
      </c>
      <c r="B833" s="514">
        <v>99.307970943072263</v>
      </c>
      <c r="C833" s="514">
        <v>71.575149488744074</v>
      </c>
      <c r="D833" s="514">
        <v>220.23122919613562</v>
      </c>
      <c r="E833" s="514">
        <v>7.9867806884401036</v>
      </c>
      <c r="F833" s="514">
        <v>315.73273444939815</v>
      </c>
      <c r="G833" s="514" t="s">
        <v>22</v>
      </c>
      <c r="H833" s="514" t="s">
        <v>22</v>
      </c>
    </row>
    <row r="834" spans="1:8" s="428" customFormat="1" ht="8.65" customHeight="1" x14ac:dyDescent="0.25">
      <c r="A834" s="428" t="s">
        <v>48</v>
      </c>
      <c r="B834" s="514">
        <v>62.856068098118563</v>
      </c>
      <c r="C834" s="514">
        <v>87.893330744666429</v>
      </c>
      <c r="D834" s="514">
        <v>214.94024830978253</v>
      </c>
      <c r="E834" s="514">
        <v>16.340959788700065</v>
      </c>
      <c r="F834" s="514">
        <v>257.16787707068073</v>
      </c>
      <c r="G834" s="514" t="s">
        <v>22</v>
      </c>
      <c r="H834" s="514" t="s">
        <v>22</v>
      </c>
    </row>
    <row r="835" spans="1:8" s="428" customFormat="1" ht="8.65" customHeight="1" x14ac:dyDescent="0.25">
      <c r="A835" s="475" t="s">
        <v>49</v>
      </c>
      <c r="B835" s="515">
        <v>84.465871187994281</v>
      </c>
      <c r="C835" s="515">
        <v>63.920881470366538</v>
      </c>
      <c r="D835" s="515">
        <v>203.92595563128856</v>
      </c>
      <c r="E835" s="515">
        <v>8.9461012918791134</v>
      </c>
      <c r="F835" s="515">
        <v>312.23868988438647</v>
      </c>
      <c r="G835" s="515" t="s">
        <v>22</v>
      </c>
      <c r="H835" s="515" t="s">
        <v>22</v>
      </c>
    </row>
    <row r="836" spans="1:8" s="428" customFormat="1" ht="8.65" customHeight="1" x14ac:dyDescent="0.25">
      <c r="A836" s="428" t="s">
        <v>50</v>
      </c>
      <c r="B836" s="514">
        <v>51.702517020634893</v>
      </c>
      <c r="C836" s="514">
        <v>62.587257446031714</v>
      </c>
      <c r="D836" s="514">
        <v>177.40615123893289</v>
      </c>
      <c r="E836" s="514">
        <v>11.338271276455021</v>
      </c>
      <c r="F836" s="514">
        <v>244.83107109625209</v>
      </c>
      <c r="G836" s="514" t="s">
        <v>22</v>
      </c>
      <c r="H836" s="514" t="s">
        <v>22</v>
      </c>
    </row>
    <row r="837" spans="1:8" s="428" customFormat="1" ht="8.65" customHeight="1" x14ac:dyDescent="0.25">
      <c r="A837" s="428" t="s">
        <v>51</v>
      </c>
      <c r="B837" s="514">
        <v>60.412052605804348</v>
      </c>
      <c r="C837" s="514">
        <v>57.608875863833653</v>
      </c>
      <c r="D837" s="514">
        <v>156.25913428318697</v>
      </c>
      <c r="E837" s="514">
        <v>10.541861251855607</v>
      </c>
      <c r="F837" s="514">
        <v>218.91133240501065</v>
      </c>
      <c r="G837" s="514" t="s">
        <v>22</v>
      </c>
      <c r="H837" s="514" t="s">
        <v>22</v>
      </c>
    </row>
    <row r="838" spans="1:8" s="428" customFormat="1" ht="8.65" customHeight="1" x14ac:dyDescent="0.25">
      <c r="A838" s="428" t="s">
        <v>52</v>
      </c>
      <c r="B838" s="514">
        <v>82.152600991916586</v>
      </c>
      <c r="C838" s="514">
        <v>62.605629712133968</v>
      </c>
      <c r="D838" s="514">
        <v>224.32915624392038</v>
      </c>
      <c r="E838" s="514">
        <v>8.9897627348056872</v>
      </c>
      <c r="F838" s="514">
        <v>321.18808704303194</v>
      </c>
      <c r="G838" s="514" t="s">
        <v>22</v>
      </c>
      <c r="H838" s="514" t="s">
        <v>22</v>
      </c>
    </row>
    <row r="839" spans="1:8" s="428" customFormat="1" ht="8.65" customHeight="1" x14ac:dyDescent="0.25">
      <c r="A839" s="475" t="s">
        <v>53</v>
      </c>
      <c r="B839" s="515">
        <v>61.60188304636096</v>
      </c>
      <c r="C839" s="515">
        <v>73.614250240401347</v>
      </c>
      <c r="D839" s="515">
        <v>188.31695647272545</v>
      </c>
      <c r="E839" s="515">
        <v>11.396348363576777</v>
      </c>
      <c r="F839" s="515">
        <v>283.79987519458496</v>
      </c>
      <c r="G839" s="515" t="s">
        <v>22</v>
      </c>
      <c r="H839" s="515" t="s">
        <v>22</v>
      </c>
    </row>
    <row r="840" spans="1:8" ht="3" customHeight="1" x14ac:dyDescent="0.25">
      <c r="A840" s="460"/>
      <c r="B840" s="508"/>
      <c r="C840" s="508"/>
      <c r="D840" s="508"/>
      <c r="E840" s="508"/>
      <c r="F840" s="508"/>
      <c r="G840" s="508"/>
      <c r="H840" s="508"/>
    </row>
    <row r="841" spans="1:8" ht="3" customHeight="1" x14ac:dyDescent="0.25"/>
    <row r="842" spans="1:8" s="258" customFormat="1" ht="9.6" customHeight="1" x14ac:dyDescent="0.15">
      <c r="A842" s="273" t="s">
        <v>242</v>
      </c>
    </row>
    <row r="843" spans="1:8" s="258" customFormat="1" ht="9.6" customHeight="1" x14ac:dyDescent="0.15">
      <c r="A843" s="273" t="s">
        <v>243</v>
      </c>
    </row>
    <row r="844" spans="1:8" s="258" customFormat="1" ht="9.6" customHeight="1" x14ac:dyDescent="0.15">
      <c r="A844" s="273" t="s">
        <v>396</v>
      </c>
    </row>
    <row r="845" spans="1:8" s="423" customFormat="1" ht="9.6" customHeight="1" x14ac:dyDescent="0.25">
      <c r="A845" s="423" t="s">
        <v>397</v>
      </c>
      <c r="B845" s="486"/>
      <c r="C845" s="486"/>
      <c r="D845" s="486"/>
      <c r="E845" s="486"/>
      <c r="F845" s="486"/>
      <c r="G845" s="486"/>
      <c r="H845" s="486"/>
    </row>
    <row r="846" spans="1:8" s="423" customFormat="1" ht="9.6" customHeight="1" x14ac:dyDescent="0.15">
      <c r="A846" s="485" t="s">
        <v>202</v>
      </c>
      <c r="B846" s="486"/>
      <c r="C846" s="486"/>
      <c r="D846" s="486"/>
      <c r="E846" s="486"/>
      <c r="F846" s="486"/>
      <c r="G846" s="486"/>
      <c r="H846" s="486"/>
    </row>
    <row r="847" spans="1:8" ht="9.6" customHeight="1" x14ac:dyDescent="0.15">
      <c r="A847" s="485" t="s">
        <v>398</v>
      </c>
    </row>
    <row r="848" spans="1:8" ht="9.6" customHeight="1" x14ac:dyDescent="0.15">
      <c r="A848" s="521" t="s">
        <v>399</v>
      </c>
      <c r="B848" s="522"/>
      <c r="C848" s="522"/>
      <c r="D848" s="522"/>
      <c r="E848" s="522"/>
      <c r="F848" s="522"/>
    </row>
    <row r="849" spans="1:9" s="258" customFormat="1" ht="9.6" customHeight="1" x14ac:dyDescent="0.25">
      <c r="A849" s="247" t="s">
        <v>400</v>
      </c>
      <c r="B849" s="250"/>
      <c r="C849" s="250"/>
      <c r="D849" s="250"/>
      <c r="E849" s="250"/>
      <c r="F849" s="250"/>
      <c r="G849" s="250"/>
      <c r="H849" s="250"/>
      <c r="I849" s="250"/>
    </row>
    <row r="850" spans="1:9" s="258" customFormat="1" ht="9.6" customHeight="1" x14ac:dyDescent="0.25">
      <c r="A850" s="247" t="s">
        <v>401</v>
      </c>
      <c r="B850" s="250"/>
      <c r="C850" s="250"/>
      <c r="D850" s="250"/>
      <c r="E850" s="250"/>
      <c r="F850" s="250"/>
      <c r="G850" s="250"/>
      <c r="H850" s="250"/>
      <c r="I850" s="250"/>
    </row>
    <row r="851" spans="1:9" s="258" customFormat="1" ht="9.6" customHeight="1" x14ac:dyDescent="0.25">
      <c r="A851" s="247" t="s">
        <v>519</v>
      </c>
      <c r="B851" s="250"/>
      <c r="C851" s="250"/>
      <c r="D851" s="250"/>
      <c r="E851" s="250"/>
      <c r="F851" s="250"/>
      <c r="G851" s="250"/>
      <c r="H851" s="250"/>
      <c r="I851" s="250"/>
    </row>
    <row r="852" spans="1:9" ht="11.25" hidden="1" customHeight="1" x14ac:dyDescent="0.25">
      <c r="I852" s="461" t="s">
        <v>74</v>
      </c>
    </row>
    <row r="853" spans="1:9" ht="11.25" hidden="1" customHeight="1" x14ac:dyDescent="0.15">
      <c r="A853" s="523"/>
    </row>
    <row r="854" spans="1:9" ht="11.25" hidden="1" customHeight="1" x14ac:dyDescent="0.15">
      <c r="A854" s="523"/>
    </row>
  </sheetData>
  <sheetProtection sheet="1" objects="1" scenarios="1"/>
  <mergeCells count="8">
    <mergeCell ref="G5:G10"/>
    <mergeCell ref="H5:H6"/>
    <mergeCell ref="A5:A10"/>
    <mergeCell ref="B5:B9"/>
    <mergeCell ref="C5:C8"/>
    <mergeCell ref="D5:D10"/>
    <mergeCell ref="E5:E8"/>
    <mergeCell ref="F5:F8"/>
  </mergeCells>
  <hyperlinks>
    <hyperlink ref="H1" location="Índice!A1" tooltip="Ir a Índice" display="Índice!A1"/>
    <hyperlink ref="A848:F848" r:id="rId1" display="                                            SSA. Boletín de Información Estadística. Servicios Otorgados y Programas Sustantivos (varios años). México, DF."/>
    <hyperlink ref="A851" r:id="rId2" display="Fuente: CONAPO. Proyecciones de población 2010-2030. En: www.conapo.gob.mx (28 de junio de 2013)."/>
  </hyperlinks>
  <printOptions horizontalCentered="1" verticalCentered="1" gridLinesSet="0"/>
  <pageMargins left="0.39370078740157483" right="0.39370078740157483" top="0.39370078740157483" bottom="0.39370078740157483" header="0.39370078740157483" footer="0.39370078740157483"/>
  <pageSetup orientation="portrait" r:id="rId3"/>
  <headerFooter>
    <oddHeader>&amp;L&amp;"Arial,Normal"&amp;10&amp;K000080INEGI. Anuario estadístico y geográfico por entidad federativa 2019.</oddHeader>
  </headerFooter>
  <rowBreaks count="11" manualBreakCount="11">
    <brk id="84" max="16383" man="1"/>
    <brk id="156" max="16383" man="1"/>
    <brk id="228" max="16383" man="1"/>
    <brk id="300" max="7" man="1"/>
    <brk id="372" max="7" man="1"/>
    <brk id="444" max="7" man="1"/>
    <brk id="516" max="7" man="1"/>
    <brk id="588" max="7" man="1"/>
    <brk id="660" max="16383" man="1"/>
    <brk id="732" max="7" man="1"/>
    <brk id="804" max="7" man="1"/>
  </row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882"/>
  <sheetViews>
    <sheetView showGridLines="0" showRowColHeaders="0" zoomScale="130" zoomScaleNormal="130" workbookViewId="0">
      <pane xSplit="1" ySplit="8" topLeftCell="B9" activePane="bottomRight" state="frozen"/>
      <selection activeCell="B5" sqref="B5"/>
      <selection pane="topRight" activeCell="B5" sqref="B5"/>
      <selection pane="bottomLeft" activeCell="B5" sqref="B5"/>
      <selection pane="bottomRight"/>
    </sheetView>
  </sheetViews>
  <sheetFormatPr baseColWidth="10" defaultColWidth="0" defaultRowHeight="11.25" customHeight="1" zeroHeight="1" x14ac:dyDescent="0.25"/>
  <cols>
    <col min="1" max="1" width="17.7109375" style="258" customWidth="1"/>
    <col min="2" max="2" width="11.42578125" style="258" customWidth="1"/>
    <col min="3" max="3" width="10.85546875" style="258" customWidth="1"/>
    <col min="4" max="6" width="10.5703125" style="258" customWidth="1"/>
    <col min="7" max="7" width="9.42578125" style="258" customWidth="1"/>
    <col min="8" max="8" width="10.5703125" style="258" customWidth="1"/>
    <col min="9" max="9" width="0.85546875" style="258" customWidth="1"/>
    <col min="10" max="10" width="0.85546875" style="258" hidden="1" customWidth="1"/>
    <col min="11" max="17" width="6.5703125" style="258" hidden="1" customWidth="1"/>
    <col min="18" max="24" width="6" style="258" hidden="1" customWidth="1"/>
    <col min="25" max="16384" width="11.5703125" style="258" hidden="1"/>
  </cols>
  <sheetData>
    <row r="1" spans="1:11" s="256" customFormat="1" ht="12" customHeight="1" x14ac:dyDescent="0.2">
      <c r="A1" s="312" t="s">
        <v>440</v>
      </c>
      <c r="B1" s="255"/>
      <c r="C1" s="255"/>
      <c r="D1" s="255"/>
      <c r="E1" s="255"/>
      <c r="F1" s="255"/>
      <c r="G1" s="255"/>
      <c r="H1" s="761" t="s">
        <v>441</v>
      </c>
    </row>
    <row r="2" spans="1:11" s="256" customFormat="1" ht="12" customHeight="1" x14ac:dyDescent="0.25">
      <c r="A2" s="56" t="s">
        <v>423</v>
      </c>
      <c r="B2" s="255"/>
      <c r="C2" s="255"/>
      <c r="D2" s="255"/>
      <c r="E2" s="255"/>
      <c r="F2" s="255"/>
      <c r="G2" s="255"/>
      <c r="H2" s="255"/>
    </row>
    <row r="3" spans="1:11" ht="3" customHeight="1" x14ac:dyDescent="0.25">
      <c r="A3" s="257"/>
      <c r="B3" s="257"/>
      <c r="C3" s="257"/>
      <c r="D3" s="257"/>
      <c r="E3" s="257"/>
      <c r="F3" s="257"/>
      <c r="G3" s="257"/>
      <c r="H3" s="257"/>
    </row>
    <row r="4" spans="1:11" ht="3" customHeight="1" x14ac:dyDescent="0.25">
      <c r="A4" s="259"/>
      <c r="B4" s="259"/>
      <c r="C4" s="259"/>
      <c r="D4" s="259"/>
      <c r="E4" s="259"/>
      <c r="F4" s="259"/>
      <c r="G4" s="259"/>
      <c r="H4" s="259"/>
    </row>
    <row r="5" spans="1:11" s="260" customFormat="1" ht="8.65" customHeight="1" x14ac:dyDescent="0.15">
      <c r="A5" s="812" t="s">
        <v>4</v>
      </c>
      <c r="B5" s="756" t="s">
        <v>13</v>
      </c>
      <c r="C5" s="756" t="s">
        <v>273</v>
      </c>
      <c r="D5" s="810" t="s">
        <v>277</v>
      </c>
      <c r="E5" s="756" t="s">
        <v>278</v>
      </c>
      <c r="F5" s="756" t="s">
        <v>442</v>
      </c>
      <c r="G5" s="810" t="s">
        <v>443</v>
      </c>
      <c r="H5" s="810" t="s">
        <v>444</v>
      </c>
      <c r="I5" s="766"/>
      <c r="J5" s="766"/>
      <c r="K5" s="596"/>
    </row>
    <row r="6" spans="1:11" s="260" customFormat="1" ht="8.65" customHeight="1" x14ac:dyDescent="0.15">
      <c r="A6" s="813"/>
      <c r="B6" s="756"/>
      <c r="C6" s="756"/>
      <c r="D6" s="811"/>
      <c r="E6" s="756"/>
      <c r="F6" s="756"/>
      <c r="G6" s="811"/>
      <c r="H6" s="811"/>
      <c r="I6" s="766"/>
      <c r="J6" s="766"/>
      <c r="K6" s="596"/>
    </row>
    <row r="7" spans="1:11" s="260" customFormat="1" ht="8.65" customHeight="1" x14ac:dyDescent="0.15">
      <c r="A7" s="813"/>
      <c r="B7" s="756"/>
      <c r="C7" s="756"/>
      <c r="D7" s="811"/>
      <c r="E7" s="756"/>
      <c r="F7" s="756"/>
      <c r="G7" s="756"/>
      <c r="H7" s="811"/>
      <c r="I7" s="766"/>
      <c r="J7" s="766"/>
      <c r="K7" s="596"/>
    </row>
    <row r="8" spans="1:11" ht="3" customHeight="1" x14ac:dyDescent="0.2">
      <c r="A8" s="257"/>
      <c r="B8" s="321"/>
      <c r="C8" s="321"/>
      <c r="D8" s="321"/>
      <c r="E8" s="321"/>
      <c r="F8" s="321"/>
      <c r="G8" s="321"/>
      <c r="H8" s="321"/>
    </row>
    <row r="9" spans="1:11" ht="3" customHeight="1" x14ac:dyDescent="0.25">
      <c r="A9" s="259"/>
      <c r="B9" s="259"/>
      <c r="C9" s="259"/>
      <c r="D9" s="259"/>
      <c r="E9" s="259"/>
      <c r="F9" s="259"/>
      <c r="G9" s="259"/>
      <c r="H9" s="259"/>
    </row>
    <row r="10" spans="1:11" s="263" customFormat="1" ht="9" customHeight="1" x14ac:dyDescent="0.25">
      <c r="A10" s="261">
        <v>1995</v>
      </c>
      <c r="B10" s="262"/>
      <c r="C10" s="262"/>
      <c r="D10" s="262"/>
      <c r="E10" s="262"/>
      <c r="F10" s="262"/>
      <c r="G10" s="262"/>
      <c r="H10" s="262"/>
    </row>
    <row r="11" spans="1:11" s="265" customFormat="1" ht="9" customHeight="1" x14ac:dyDescent="0.25">
      <c r="A11" s="265" t="s">
        <v>21</v>
      </c>
      <c r="B11" s="597">
        <f t="shared" ref="B11:H11" si="0">SUM(B13:B44)</f>
        <v>1895</v>
      </c>
      <c r="C11" s="597">
        <f t="shared" si="0"/>
        <v>1723</v>
      </c>
      <c r="D11" s="597">
        <f t="shared" si="0"/>
        <v>104</v>
      </c>
      <c r="E11" s="597">
        <f t="shared" si="0"/>
        <v>18</v>
      </c>
      <c r="F11" s="597">
        <f t="shared" si="0"/>
        <v>10</v>
      </c>
      <c r="G11" s="597">
        <f t="shared" si="0"/>
        <v>7</v>
      </c>
      <c r="H11" s="597">
        <f t="shared" si="0"/>
        <v>33</v>
      </c>
    </row>
    <row r="12" spans="1:11" s="265" customFormat="1" ht="3.95" customHeight="1" x14ac:dyDescent="0.25">
      <c r="B12" s="597"/>
      <c r="C12" s="597"/>
      <c r="D12" s="597"/>
      <c r="E12" s="597"/>
      <c r="F12" s="597"/>
      <c r="G12" s="597"/>
      <c r="H12" s="597"/>
    </row>
    <row r="13" spans="1:11" s="263" customFormat="1" ht="9" customHeight="1" x14ac:dyDescent="0.25">
      <c r="A13" s="263" t="s">
        <v>23</v>
      </c>
      <c r="B13" s="598">
        <f t="shared" ref="B13:B44" si="1">SUM(C13:H13)</f>
        <v>12</v>
      </c>
      <c r="C13" s="598">
        <v>7</v>
      </c>
      <c r="D13" s="598">
        <v>2</v>
      </c>
      <c r="E13" s="598">
        <v>0</v>
      </c>
      <c r="F13" s="598">
        <v>0</v>
      </c>
      <c r="G13" s="598">
        <v>2</v>
      </c>
      <c r="H13" s="598">
        <v>1</v>
      </c>
    </row>
    <row r="14" spans="1:11" s="263" customFormat="1" ht="9" customHeight="1" x14ac:dyDescent="0.25">
      <c r="A14" s="263" t="s">
        <v>24</v>
      </c>
      <c r="B14" s="598">
        <f t="shared" si="1"/>
        <v>72</v>
      </c>
      <c r="C14" s="598">
        <v>68</v>
      </c>
      <c r="D14" s="598">
        <v>1</v>
      </c>
      <c r="E14" s="598">
        <v>0</v>
      </c>
      <c r="F14" s="598">
        <v>0</v>
      </c>
      <c r="G14" s="598">
        <v>1</v>
      </c>
      <c r="H14" s="598">
        <v>2</v>
      </c>
    </row>
    <row r="15" spans="1:11" s="263" customFormat="1" ht="9" customHeight="1" x14ac:dyDescent="0.25">
      <c r="A15" s="263" t="s">
        <v>25</v>
      </c>
      <c r="B15" s="598">
        <f t="shared" si="1"/>
        <v>4</v>
      </c>
      <c r="C15" s="598">
        <v>4</v>
      </c>
      <c r="D15" s="598">
        <v>0</v>
      </c>
      <c r="E15" s="598">
        <v>0</v>
      </c>
      <c r="F15" s="598">
        <v>0</v>
      </c>
      <c r="G15" s="598">
        <v>0</v>
      </c>
      <c r="H15" s="598">
        <v>0</v>
      </c>
    </row>
    <row r="16" spans="1:11" s="263" customFormat="1" ht="9" customHeight="1" x14ac:dyDescent="0.25">
      <c r="A16" s="267" t="s">
        <v>26</v>
      </c>
      <c r="B16" s="599">
        <f t="shared" si="1"/>
        <v>9</v>
      </c>
      <c r="C16" s="599">
        <v>9</v>
      </c>
      <c r="D16" s="599">
        <v>0</v>
      </c>
      <c r="E16" s="599">
        <v>0</v>
      </c>
      <c r="F16" s="599">
        <v>0</v>
      </c>
      <c r="G16" s="599">
        <v>0</v>
      </c>
      <c r="H16" s="599">
        <v>0</v>
      </c>
    </row>
    <row r="17" spans="1:8" s="263" customFormat="1" ht="9" customHeight="1" x14ac:dyDescent="0.25">
      <c r="A17" s="263" t="s">
        <v>27</v>
      </c>
      <c r="B17" s="598">
        <f t="shared" si="1"/>
        <v>30</v>
      </c>
      <c r="C17" s="598">
        <v>24</v>
      </c>
      <c r="D17" s="598">
        <v>3</v>
      </c>
      <c r="E17" s="598">
        <v>1</v>
      </c>
      <c r="F17" s="598">
        <v>2</v>
      </c>
      <c r="G17" s="598">
        <v>0</v>
      </c>
      <c r="H17" s="598">
        <v>0</v>
      </c>
    </row>
    <row r="18" spans="1:8" s="263" customFormat="1" ht="9" customHeight="1" x14ac:dyDescent="0.25">
      <c r="A18" s="263" t="s">
        <v>28</v>
      </c>
      <c r="B18" s="598">
        <f t="shared" si="1"/>
        <v>8</v>
      </c>
      <c r="C18" s="598">
        <v>8</v>
      </c>
      <c r="D18" s="598">
        <v>0</v>
      </c>
      <c r="E18" s="598">
        <v>0</v>
      </c>
      <c r="F18" s="598">
        <v>0</v>
      </c>
      <c r="G18" s="598">
        <v>0</v>
      </c>
      <c r="H18" s="598">
        <v>0</v>
      </c>
    </row>
    <row r="19" spans="1:8" s="263" customFormat="1" ht="9" customHeight="1" x14ac:dyDescent="0.25">
      <c r="A19" s="263" t="s">
        <v>29</v>
      </c>
      <c r="B19" s="598">
        <f t="shared" si="1"/>
        <v>52</v>
      </c>
      <c r="C19" s="598">
        <v>50</v>
      </c>
      <c r="D19" s="598">
        <v>2</v>
      </c>
      <c r="E19" s="598">
        <v>0</v>
      </c>
      <c r="F19" s="598">
        <v>0</v>
      </c>
      <c r="G19" s="598">
        <v>0</v>
      </c>
      <c r="H19" s="598">
        <v>0</v>
      </c>
    </row>
    <row r="20" spans="1:8" s="263" customFormat="1" ht="9" customHeight="1" x14ac:dyDescent="0.25">
      <c r="A20" s="267" t="s">
        <v>30</v>
      </c>
      <c r="B20" s="599">
        <f t="shared" si="1"/>
        <v>45</v>
      </c>
      <c r="C20" s="599">
        <v>43</v>
      </c>
      <c r="D20" s="599">
        <v>2</v>
      </c>
      <c r="E20" s="599">
        <v>0</v>
      </c>
      <c r="F20" s="599">
        <v>0</v>
      </c>
      <c r="G20" s="599">
        <v>0</v>
      </c>
      <c r="H20" s="599">
        <v>0</v>
      </c>
    </row>
    <row r="21" spans="1:8" s="263" customFormat="1" ht="9" customHeight="1" x14ac:dyDescent="0.25">
      <c r="A21" s="263" t="s">
        <v>63</v>
      </c>
      <c r="B21" s="598">
        <f t="shared" si="1"/>
        <v>172</v>
      </c>
      <c r="C21" s="598">
        <v>145</v>
      </c>
      <c r="D21" s="598">
        <v>11</v>
      </c>
      <c r="E21" s="598">
        <v>5</v>
      </c>
      <c r="F21" s="598">
        <v>1</v>
      </c>
      <c r="G21" s="598">
        <v>1</v>
      </c>
      <c r="H21" s="598">
        <v>9</v>
      </c>
    </row>
    <row r="22" spans="1:8" s="263" customFormat="1" ht="9" customHeight="1" x14ac:dyDescent="0.25">
      <c r="A22" s="263" t="s">
        <v>31</v>
      </c>
      <c r="B22" s="598">
        <f t="shared" si="1"/>
        <v>26</v>
      </c>
      <c r="C22" s="598">
        <v>24</v>
      </c>
      <c r="D22" s="598">
        <v>1</v>
      </c>
      <c r="E22" s="598">
        <v>0</v>
      </c>
      <c r="F22" s="598">
        <v>1</v>
      </c>
      <c r="G22" s="598">
        <v>0</v>
      </c>
      <c r="H22" s="598">
        <v>0</v>
      </c>
    </row>
    <row r="23" spans="1:8" s="263" customFormat="1" ht="9" customHeight="1" x14ac:dyDescent="0.25">
      <c r="A23" s="263" t="s">
        <v>32</v>
      </c>
      <c r="B23" s="598">
        <f t="shared" si="1"/>
        <v>163</v>
      </c>
      <c r="C23" s="598">
        <v>153</v>
      </c>
      <c r="D23" s="598">
        <v>4</v>
      </c>
      <c r="E23" s="598">
        <v>0</v>
      </c>
      <c r="F23" s="598">
        <v>0</v>
      </c>
      <c r="G23" s="598">
        <v>1</v>
      </c>
      <c r="H23" s="598">
        <v>5</v>
      </c>
    </row>
    <row r="24" spans="1:8" s="263" customFormat="1" ht="9" customHeight="1" x14ac:dyDescent="0.25">
      <c r="A24" s="267" t="s">
        <v>33</v>
      </c>
      <c r="B24" s="599">
        <f t="shared" si="1"/>
        <v>72</v>
      </c>
      <c r="C24" s="599">
        <v>69</v>
      </c>
      <c r="D24" s="599">
        <v>3</v>
      </c>
      <c r="E24" s="599">
        <v>0</v>
      </c>
      <c r="F24" s="599">
        <v>0</v>
      </c>
      <c r="G24" s="599">
        <v>0</v>
      </c>
      <c r="H24" s="599">
        <v>0</v>
      </c>
    </row>
    <row r="25" spans="1:8" s="263" customFormat="1" ht="9" customHeight="1" x14ac:dyDescent="0.25">
      <c r="A25" s="263" t="s">
        <v>34</v>
      </c>
      <c r="B25" s="598">
        <f t="shared" si="1"/>
        <v>65</v>
      </c>
      <c r="C25" s="598">
        <v>53</v>
      </c>
      <c r="D25" s="598">
        <v>7</v>
      </c>
      <c r="E25" s="598">
        <v>2</v>
      </c>
      <c r="F25" s="598">
        <v>0</v>
      </c>
      <c r="G25" s="598">
        <v>0</v>
      </c>
      <c r="H25" s="598">
        <v>3</v>
      </c>
    </row>
    <row r="26" spans="1:8" s="263" customFormat="1" ht="9" customHeight="1" x14ac:dyDescent="0.25">
      <c r="A26" s="263" t="s">
        <v>35</v>
      </c>
      <c r="B26" s="598">
        <f t="shared" si="1"/>
        <v>95</v>
      </c>
      <c r="C26" s="598">
        <v>90</v>
      </c>
      <c r="D26" s="598">
        <v>2</v>
      </c>
      <c r="E26" s="598">
        <v>0</v>
      </c>
      <c r="F26" s="598">
        <v>1</v>
      </c>
      <c r="G26" s="598">
        <v>0</v>
      </c>
      <c r="H26" s="598">
        <v>2</v>
      </c>
    </row>
    <row r="27" spans="1:8" s="263" customFormat="1" ht="9" customHeight="1" x14ac:dyDescent="0.25">
      <c r="A27" s="263" t="s">
        <v>36</v>
      </c>
      <c r="B27" s="598">
        <f t="shared" si="1"/>
        <v>333</v>
      </c>
      <c r="C27" s="598">
        <v>302</v>
      </c>
      <c r="D27" s="598">
        <v>26</v>
      </c>
      <c r="E27" s="598">
        <v>2</v>
      </c>
      <c r="F27" s="598">
        <v>0</v>
      </c>
      <c r="G27" s="598">
        <v>1</v>
      </c>
      <c r="H27" s="598">
        <v>2</v>
      </c>
    </row>
    <row r="28" spans="1:8" s="263" customFormat="1" ht="9" customHeight="1" x14ac:dyDescent="0.25">
      <c r="A28" s="267" t="s">
        <v>37</v>
      </c>
      <c r="B28" s="599">
        <f t="shared" si="1"/>
        <v>38</v>
      </c>
      <c r="C28" s="599">
        <v>36</v>
      </c>
      <c r="D28" s="599">
        <v>2</v>
      </c>
      <c r="E28" s="599">
        <v>0</v>
      </c>
      <c r="F28" s="599">
        <v>0</v>
      </c>
      <c r="G28" s="599">
        <v>0</v>
      </c>
      <c r="H28" s="599">
        <v>0</v>
      </c>
    </row>
    <row r="29" spans="1:8" s="263" customFormat="1" ht="9" customHeight="1" x14ac:dyDescent="0.25">
      <c r="A29" s="263" t="s">
        <v>38</v>
      </c>
      <c r="B29" s="598">
        <f t="shared" si="1"/>
        <v>63</v>
      </c>
      <c r="C29" s="598">
        <v>54</v>
      </c>
      <c r="D29" s="598">
        <v>6</v>
      </c>
      <c r="E29" s="598">
        <v>2</v>
      </c>
      <c r="F29" s="598">
        <v>0</v>
      </c>
      <c r="G29" s="598">
        <v>0</v>
      </c>
      <c r="H29" s="598">
        <v>1</v>
      </c>
    </row>
    <row r="30" spans="1:8" s="263" customFormat="1" ht="9" customHeight="1" x14ac:dyDescent="0.25">
      <c r="A30" s="263" t="s">
        <v>39</v>
      </c>
      <c r="B30" s="598">
        <f t="shared" si="1"/>
        <v>16</v>
      </c>
      <c r="C30" s="598">
        <v>13</v>
      </c>
      <c r="D30" s="598">
        <v>0</v>
      </c>
      <c r="E30" s="598">
        <v>2</v>
      </c>
      <c r="F30" s="598">
        <v>0</v>
      </c>
      <c r="G30" s="598">
        <v>0</v>
      </c>
      <c r="H30" s="598">
        <v>1</v>
      </c>
    </row>
    <row r="31" spans="1:8" s="263" customFormat="1" ht="9" customHeight="1" x14ac:dyDescent="0.25">
      <c r="A31" s="263" t="s">
        <v>40</v>
      </c>
      <c r="B31" s="598">
        <f t="shared" si="1"/>
        <v>38</v>
      </c>
      <c r="C31" s="598">
        <v>31</v>
      </c>
      <c r="D31" s="598">
        <v>5</v>
      </c>
      <c r="E31" s="598">
        <v>1</v>
      </c>
      <c r="F31" s="598">
        <v>0</v>
      </c>
      <c r="G31" s="598">
        <v>0</v>
      </c>
      <c r="H31" s="598">
        <v>1</v>
      </c>
    </row>
    <row r="32" spans="1:8" s="263" customFormat="1" ht="9" customHeight="1" x14ac:dyDescent="0.25">
      <c r="A32" s="267" t="s">
        <v>41</v>
      </c>
      <c r="B32" s="599">
        <f t="shared" si="1"/>
        <v>35</v>
      </c>
      <c r="C32" s="599">
        <v>32</v>
      </c>
      <c r="D32" s="599">
        <v>3</v>
      </c>
      <c r="E32" s="599">
        <v>0</v>
      </c>
      <c r="F32" s="599">
        <v>0</v>
      </c>
      <c r="G32" s="599">
        <v>0</v>
      </c>
      <c r="H32" s="599">
        <v>0</v>
      </c>
    </row>
    <row r="33" spans="1:8" s="263" customFormat="1" ht="9" customHeight="1" x14ac:dyDescent="0.25">
      <c r="A33" s="263" t="s">
        <v>42</v>
      </c>
      <c r="B33" s="598">
        <f t="shared" si="1"/>
        <v>107</v>
      </c>
      <c r="C33" s="598">
        <v>103</v>
      </c>
      <c r="D33" s="598">
        <v>1</v>
      </c>
      <c r="E33" s="598">
        <v>0</v>
      </c>
      <c r="F33" s="598">
        <v>2</v>
      </c>
      <c r="G33" s="598">
        <v>0</v>
      </c>
      <c r="H33" s="598">
        <v>1</v>
      </c>
    </row>
    <row r="34" spans="1:8" s="263" customFormat="1" ht="9" customHeight="1" x14ac:dyDescent="0.25">
      <c r="A34" s="263" t="s">
        <v>43</v>
      </c>
      <c r="B34" s="598">
        <f t="shared" si="1"/>
        <v>18</v>
      </c>
      <c r="C34" s="598">
        <v>17</v>
      </c>
      <c r="D34" s="598">
        <v>1</v>
      </c>
      <c r="E34" s="598">
        <v>0</v>
      </c>
      <c r="F34" s="598">
        <v>0</v>
      </c>
      <c r="G34" s="598">
        <v>0</v>
      </c>
      <c r="H34" s="598">
        <v>0</v>
      </c>
    </row>
    <row r="35" spans="1:8" s="263" customFormat="1" ht="9" customHeight="1" x14ac:dyDescent="0.25">
      <c r="A35" s="263" t="s">
        <v>44</v>
      </c>
      <c r="B35" s="598">
        <f t="shared" si="1"/>
        <v>20</v>
      </c>
      <c r="C35" s="598">
        <v>18</v>
      </c>
      <c r="D35" s="598">
        <v>2</v>
      </c>
      <c r="E35" s="598">
        <v>0</v>
      </c>
      <c r="F35" s="598">
        <v>0</v>
      </c>
      <c r="G35" s="598">
        <v>0</v>
      </c>
      <c r="H35" s="598">
        <v>0</v>
      </c>
    </row>
    <row r="36" spans="1:8" s="263" customFormat="1" ht="9" customHeight="1" x14ac:dyDescent="0.25">
      <c r="A36" s="267" t="s">
        <v>45</v>
      </c>
      <c r="B36" s="599">
        <f t="shared" si="1"/>
        <v>35</v>
      </c>
      <c r="C36" s="599">
        <v>31</v>
      </c>
      <c r="D36" s="599">
        <v>2</v>
      </c>
      <c r="E36" s="599">
        <v>2</v>
      </c>
      <c r="F36" s="599">
        <v>0</v>
      </c>
      <c r="G36" s="599">
        <v>0</v>
      </c>
      <c r="H36" s="599">
        <v>0</v>
      </c>
    </row>
    <row r="37" spans="1:8" s="263" customFormat="1" ht="9" customHeight="1" x14ac:dyDescent="0.25">
      <c r="A37" s="263" t="s">
        <v>46</v>
      </c>
      <c r="B37" s="598">
        <f t="shared" si="1"/>
        <v>36</v>
      </c>
      <c r="C37" s="598">
        <v>33</v>
      </c>
      <c r="D37" s="598">
        <v>2</v>
      </c>
      <c r="E37" s="598">
        <v>0</v>
      </c>
      <c r="F37" s="598">
        <v>0</v>
      </c>
      <c r="G37" s="598">
        <v>0</v>
      </c>
      <c r="H37" s="598">
        <v>1</v>
      </c>
    </row>
    <row r="38" spans="1:8" s="263" customFormat="1" ht="9" customHeight="1" x14ac:dyDescent="0.25">
      <c r="A38" s="263" t="s">
        <v>47</v>
      </c>
      <c r="B38" s="598">
        <f t="shared" si="1"/>
        <v>37</v>
      </c>
      <c r="C38" s="598">
        <v>35</v>
      </c>
      <c r="D38" s="598">
        <v>2</v>
      </c>
      <c r="E38" s="598">
        <v>0</v>
      </c>
      <c r="F38" s="598">
        <v>0</v>
      </c>
      <c r="G38" s="598">
        <v>0</v>
      </c>
      <c r="H38" s="598">
        <v>0</v>
      </c>
    </row>
    <row r="39" spans="1:8" s="263" customFormat="1" ht="9" customHeight="1" x14ac:dyDescent="0.25">
      <c r="A39" s="263" t="s">
        <v>48</v>
      </c>
      <c r="B39" s="598">
        <f t="shared" si="1"/>
        <v>44</v>
      </c>
      <c r="C39" s="598">
        <v>41</v>
      </c>
      <c r="D39" s="598">
        <v>2</v>
      </c>
      <c r="E39" s="598">
        <v>1</v>
      </c>
      <c r="F39" s="598">
        <v>0</v>
      </c>
      <c r="G39" s="598">
        <v>0</v>
      </c>
      <c r="H39" s="598">
        <v>0</v>
      </c>
    </row>
    <row r="40" spans="1:8" s="263" customFormat="1" ht="9" customHeight="1" x14ac:dyDescent="0.25">
      <c r="A40" s="267" t="s">
        <v>49</v>
      </c>
      <c r="B40" s="599">
        <f t="shared" si="1"/>
        <v>61</v>
      </c>
      <c r="C40" s="599">
        <v>59</v>
      </c>
      <c r="D40" s="599">
        <v>1</v>
      </c>
      <c r="E40" s="599">
        <v>0</v>
      </c>
      <c r="F40" s="599">
        <v>1</v>
      </c>
      <c r="G40" s="599">
        <v>0</v>
      </c>
      <c r="H40" s="599">
        <v>0</v>
      </c>
    </row>
    <row r="41" spans="1:8" s="263" customFormat="1" ht="9" customHeight="1" x14ac:dyDescent="0.25">
      <c r="A41" s="263" t="s">
        <v>50</v>
      </c>
      <c r="B41" s="598">
        <f t="shared" si="1"/>
        <v>31</v>
      </c>
      <c r="C41" s="598">
        <v>27</v>
      </c>
      <c r="D41" s="598">
        <v>3</v>
      </c>
      <c r="E41" s="598">
        <v>0</v>
      </c>
      <c r="F41" s="598">
        <v>0</v>
      </c>
      <c r="G41" s="598">
        <v>1</v>
      </c>
      <c r="H41" s="598">
        <v>0</v>
      </c>
    </row>
    <row r="42" spans="1:8" s="263" customFormat="1" ht="9" customHeight="1" x14ac:dyDescent="0.25">
      <c r="A42" s="263" t="s">
        <v>51</v>
      </c>
      <c r="B42" s="598">
        <f t="shared" si="1"/>
        <v>109</v>
      </c>
      <c r="C42" s="598">
        <v>96</v>
      </c>
      <c r="D42" s="598">
        <v>7</v>
      </c>
      <c r="E42" s="598">
        <v>0</v>
      </c>
      <c r="F42" s="598">
        <v>2</v>
      </c>
      <c r="G42" s="598">
        <v>0</v>
      </c>
      <c r="H42" s="598">
        <v>4</v>
      </c>
    </row>
    <row r="43" spans="1:8" s="263" customFormat="1" ht="9" customHeight="1" x14ac:dyDescent="0.25">
      <c r="A43" s="263" t="s">
        <v>52</v>
      </c>
      <c r="B43" s="598">
        <f t="shared" si="1"/>
        <v>36</v>
      </c>
      <c r="C43" s="598">
        <v>35</v>
      </c>
      <c r="D43" s="598">
        <v>1</v>
      </c>
      <c r="E43" s="598">
        <v>0</v>
      </c>
      <c r="F43" s="598">
        <v>0</v>
      </c>
      <c r="G43" s="598">
        <v>0</v>
      </c>
      <c r="H43" s="598">
        <v>0</v>
      </c>
    </row>
    <row r="44" spans="1:8" s="263" customFormat="1" ht="9" customHeight="1" x14ac:dyDescent="0.25">
      <c r="A44" s="267" t="s">
        <v>53</v>
      </c>
      <c r="B44" s="599">
        <f t="shared" si="1"/>
        <v>13</v>
      </c>
      <c r="C44" s="599">
        <v>13</v>
      </c>
      <c r="D44" s="599">
        <v>0</v>
      </c>
      <c r="E44" s="599">
        <v>0</v>
      </c>
      <c r="F44" s="599">
        <v>0</v>
      </c>
      <c r="G44" s="599">
        <v>0</v>
      </c>
      <c r="H44" s="599">
        <v>0</v>
      </c>
    </row>
    <row r="45" spans="1:8" s="263" customFormat="1" ht="9" customHeight="1" x14ac:dyDescent="0.25">
      <c r="A45" s="550"/>
      <c r="B45" s="600"/>
      <c r="C45" s="600"/>
      <c r="D45" s="600"/>
      <c r="E45" s="600"/>
      <c r="F45" s="600"/>
      <c r="G45" s="600"/>
      <c r="H45" s="600"/>
    </row>
    <row r="46" spans="1:8" s="263" customFormat="1" ht="9" customHeight="1" x14ac:dyDescent="0.25">
      <c r="A46" s="601">
        <v>1996</v>
      </c>
      <c r="B46" s="266"/>
      <c r="C46" s="266"/>
      <c r="D46" s="266"/>
      <c r="E46" s="266"/>
      <c r="F46" s="266"/>
      <c r="G46" s="266"/>
      <c r="H46" s="266"/>
    </row>
    <row r="47" spans="1:8" s="265" customFormat="1" ht="9" customHeight="1" x14ac:dyDescent="0.25">
      <c r="A47" s="265" t="s">
        <v>21</v>
      </c>
      <c r="B47" s="602">
        <f t="shared" ref="B47:H47" si="2">SUM(B49:B80)</f>
        <v>2073</v>
      </c>
      <c r="C47" s="602">
        <f t="shared" si="2"/>
        <v>1899</v>
      </c>
      <c r="D47" s="602">
        <f t="shared" si="2"/>
        <v>104</v>
      </c>
      <c r="E47" s="602">
        <f t="shared" si="2"/>
        <v>17</v>
      </c>
      <c r="F47" s="602">
        <f t="shared" si="2"/>
        <v>6</v>
      </c>
      <c r="G47" s="602">
        <f t="shared" si="2"/>
        <v>4</v>
      </c>
      <c r="H47" s="602">
        <f t="shared" si="2"/>
        <v>43</v>
      </c>
    </row>
    <row r="48" spans="1:8" s="265" customFormat="1" ht="3.95" customHeight="1" x14ac:dyDescent="0.25">
      <c r="B48" s="602"/>
      <c r="C48" s="602"/>
      <c r="D48" s="602"/>
      <c r="E48" s="602"/>
      <c r="F48" s="602"/>
      <c r="G48" s="602"/>
      <c r="H48" s="602"/>
    </row>
    <row r="49" spans="1:8" s="263" customFormat="1" ht="9" customHeight="1" x14ac:dyDescent="0.25">
      <c r="A49" s="550" t="s">
        <v>23</v>
      </c>
      <c r="B49" s="600">
        <f t="shared" ref="B49:B80" si="3">SUM(C49:H49)</f>
        <v>13</v>
      </c>
      <c r="C49" s="600">
        <v>10</v>
      </c>
      <c r="D49" s="600">
        <v>1</v>
      </c>
      <c r="E49" s="600">
        <v>0</v>
      </c>
      <c r="F49" s="600">
        <v>0</v>
      </c>
      <c r="G49" s="600">
        <v>1</v>
      </c>
      <c r="H49" s="600">
        <v>1</v>
      </c>
    </row>
    <row r="50" spans="1:8" s="263" customFormat="1" ht="9" customHeight="1" x14ac:dyDescent="0.25">
      <c r="A50" s="550" t="s">
        <v>24</v>
      </c>
      <c r="B50" s="600">
        <f t="shared" si="3"/>
        <v>66</v>
      </c>
      <c r="C50" s="600">
        <v>60</v>
      </c>
      <c r="D50" s="600">
        <v>1</v>
      </c>
      <c r="E50" s="600">
        <v>0</v>
      </c>
      <c r="F50" s="600">
        <v>1</v>
      </c>
      <c r="G50" s="600">
        <v>0</v>
      </c>
      <c r="H50" s="600">
        <v>4</v>
      </c>
    </row>
    <row r="51" spans="1:8" s="263" customFormat="1" ht="9" customHeight="1" x14ac:dyDescent="0.25">
      <c r="A51" s="550" t="s">
        <v>25</v>
      </c>
      <c r="B51" s="600">
        <f t="shared" si="3"/>
        <v>4</v>
      </c>
      <c r="C51" s="600">
        <v>4</v>
      </c>
      <c r="D51" s="600">
        <v>0</v>
      </c>
      <c r="E51" s="600">
        <v>0</v>
      </c>
      <c r="F51" s="600">
        <v>0</v>
      </c>
      <c r="G51" s="600">
        <v>0</v>
      </c>
      <c r="H51" s="600">
        <v>0</v>
      </c>
    </row>
    <row r="52" spans="1:8" s="263" customFormat="1" ht="9" customHeight="1" x14ac:dyDescent="0.25">
      <c r="A52" s="603" t="s">
        <v>26</v>
      </c>
      <c r="B52" s="604">
        <f t="shared" si="3"/>
        <v>9</v>
      </c>
      <c r="C52" s="604">
        <v>9</v>
      </c>
      <c r="D52" s="604">
        <v>0</v>
      </c>
      <c r="E52" s="604">
        <v>0</v>
      </c>
      <c r="F52" s="604">
        <v>0</v>
      </c>
      <c r="G52" s="604">
        <v>0</v>
      </c>
      <c r="H52" s="604">
        <v>0</v>
      </c>
    </row>
    <row r="53" spans="1:8" s="263" customFormat="1" ht="9" customHeight="1" x14ac:dyDescent="0.25">
      <c r="A53" s="550" t="s">
        <v>27</v>
      </c>
      <c r="B53" s="600">
        <f t="shared" si="3"/>
        <v>32</v>
      </c>
      <c r="C53" s="600">
        <v>29</v>
      </c>
      <c r="D53" s="600">
        <v>2</v>
      </c>
      <c r="E53" s="600">
        <v>0</v>
      </c>
      <c r="F53" s="600">
        <v>1</v>
      </c>
      <c r="G53" s="600">
        <v>0</v>
      </c>
      <c r="H53" s="600">
        <v>0</v>
      </c>
    </row>
    <row r="54" spans="1:8" s="263" customFormat="1" ht="9" customHeight="1" x14ac:dyDescent="0.25">
      <c r="A54" s="550" t="s">
        <v>28</v>
      </c>
      <c r="B54" s="600">
        <f t="shared" si="3"/>
        <v>9</v>
      </c>
      <c r="C54" s="600">
        <v>9</v>
      </c>
      <c r="D54" s="600">
        <v>0</v>
      </c>
      <c r="E54" s="600">
        <v>0</v>
      </c>
      <c r="F54" s="600">
        <v>0</v>
      </c>
      <c r="G54" s="600">
        <v>0</v>
      </c>
      <c r="H54" s="600">
        <v>0</v>
      </c>
    </row>
    <row r="55" spans="1:8" s="263" customFormat="1" ht="9" customHeight="1" x14ac:dyDescent="0.25">
      <c r="A55" s="550" t="s">
        <v>29</v>
      </c>
      <c r="B55" s="600">
        <f t="shared" si="3"/>
        <v>57</v>
      </c>
      <c r="C55" s="600">
        <v>56</v>
      </c>
      <c r="D55" s="600">
        <v>1</v>
      </c>
      <c r="E55" s="600">
        <v>0</v>
      </c>
      <c r="F55" s="600">
        <v>0</v>
      </c>
      <c r="G55" s="600">
        <v>0</v>
      </c>
      <c r="H55" s="600">
        <v>0</v>
      </c>
    </row>
    <row r="56" spans="1:8" s="263" customFormat="1" ht="9" customHeight="1" x14ac:dyDescent="0.25">
      <c r="A56" s="603" t="s">
        <v>30</v>
      </c>
      <c r="B56" s="604">
        <f t="shared" si="3"/>
        <v>45</v>
      </c>
      <c r="C56" s="604">
        <v>42</v>
      </c>
      <c r="D56" s="604">
        <v>3</v>
      </c>
      <c r="E56" s="604">
        <v>0</v>
      </c>
      <c r="F56" s="604">
        <v>0</v>
      </c>
      <c r="G56" s="604">
        <v>0</v>
      </c>
      <c r="H56" s="604">
        <v>0</v>
      </c>
    </row>
    <row r="57" spans="1:8" s="263" customFormat="1" ht="9" customHeight="1" x14ac:dyDescent="0.25">
      <c r="A57" s="550" t="s">
        <v>63</v>
      </c>
      <c r="B57" s="600">
        <f t="shared" si="3"/>
        <v>235</v>
      </c>
      <c r="C57" s="600">
        <v>199</v>
      </c>
      <c r="D57" s="600">
        <v>16</v>
      </c>
      <c r="E57" s="600">
        <v>6</v>
      </c>
      <c r="F57" s="600">
        <v>1</v>
      </c>
      <c r="G57" s="600">
        <v>0</v>
      </c>
      <c r="H57" s="600">
        <v>13</v>
      </c>
    </row>
    <row r="58" spans="1:8" s="263" customFormat="1" ht="9" customHeight="1" x14ac:dyDescent="0.25">
      <c r="A58" s="550" t="s">
        <v>31</v>
      </c>
      <c r="B58" s="600">
        <f t="shared" si="3"/>
        <v>27</v>
      </c>
      <c r="C58" s="600">
        <v>25</v>
      </c>
      <c r="D58" s="600">
        <v>1</v>
      </c>
      <c r="E58" s="600">
        <v>0</v>
      </c>
      <c r="F58" s="600">
        <v>1</v>
      </c>
      <c r="G58" s="600">
        <v>0</v>
      </c>
      <c r="H58" s="600">
        <v>0</v>
      </c>
    </row>
    <row r="59" spans="1:8" s="263" customFormat="1" ht="9" customHeight="1" x14ac:dyDescent="0.25">
      <c r="A59" s="550" t="s">
        <v>32</v>
      </c>
      <c r="B59" s="600">
        <f t="shared" si="3"/>
        <v>160</v>
      </c>
      <c r="C59" s="600">
        <v>144</v>
      </c>
      <c r="D59" s="600">
        <v>9</v>
      </c>
      <c r="E59" s="600">
        <v>1</v>
      </c>
      <c r="F59" s="600">
        <v>1</v>
      </c>
      <c r="G59" s="600">
        <v>1</v>
      </c>
      <c r="H59" s="600">
        <v>4</v>
      </c>
    </row>
    <row r="60" spans="1:8" s="263" customFormat="1" ht="9" customHeight="1" x14ac:dyDescent="0.25">
      <c r="A60" s="603" t="s">
        <v>33</v>
      </c>
      <c r="B60" s="604">
        <f t="shared" si="3"/>
        <v>77</v>
      </c>
      <c r="C60" s="604">
        <v>75</v>
      </c>
      <c r="D60" s="604">
        <v>2</v>
      </c>
      <c r="E60" s="604">
        <v>0</v>
      </c>
      <c r="F60" s="604">
        <v>0</v>
      </c>
      <c r="G60" s="604">
        <v>0</v>
      </c>
      <c r="H60" s="604">
        <v>0</v>
      </c>
    </row>
    <row r="61" spans="1:8" s="263" customFormat="1" ht="9" customHeight="1" x14ac:dyDescent="0.25">
      <c r="A61" s="550" t="s">
        <v>34</v>
      </c>
      <c r="B61" s="600">
        <f t="shared" si="3"/>
        <v>68</v>
      </c>
      <c r="C61" s="600">
        <v>58</v>
      </c>
      <c r="D61" s="600">
        <v>8</v>
      </c>
      <c r="E61" s="600">
        <v>1</v>
      </c>
      <c r="F61" s="600">
        <v>0</v>
      </c>
      <c r="G61" s="600">
        <v>0</v>
      </c>
      <c r="H61" s="600">
        <v>1</v>
      </c>
    </row>
    <row r="62" spans="1:8" s="263" customFormat="1" ht="9" customHeight="1" x14ac:dyDescent="0.25">
      <c r="A62" s="550" t="s">
        <v>35</v>
      </c>
      <c r="B62" s="600">
        <f t="shared" si="3"/>
        <v>99</v>
      </c>
      <c r="C62" s="600">
        <v>96</v>
      </c>
      <c r="D62" s="600">
        <v>1</v>
      </c>
      <c r="E62" s="600">
        <v>0</v>
      </c>
      <c r="F62" s="600">
        <v>0</v>
      </c>
      <c r="G62" s="600">
        <v>0</v>
      </c>
      <c r="H62" s="600">
        <v>2</v>
      </c>
    </row>
    <row r="63" spans="1:8" s="263" customFormat="1" ht="9" customHeight="1" x14ac:dyDescent="0.25">
      <c r="A63" s="550" t="s">
        <v>36</v>
      </c>
      <c r="B63" s="600">
        <f t="shared" si="3"/>
        <v>420</v>
      </c>
      <c r="C63" s="600">
        <v>392</v>
      </c>
      <c r="D63" s="600">
        <v>21</v>
      </c>
      <c r="E63" s="600">
        <v>1</v>
      </c>
      <c r="F63" s="600">
        <v>0</v>
      </c>
      <c r="G63" s="600">
        <v>1</v>
      </c>
      <c r="H63" s="600">
        <v>5</v>
      </c>
    </row>
    <row r="64" spans="1:8" s="263" customFormat="1" ht="9" customHeight="1" x14ac:dyDescent="0.25">
      <c r="A64" s="603" t="s">
        <v>37</v>
      </c>
      <c r="B64" s="604">
        <f t="shared" si="3"/>
        <v>41</v>
      </c>
      <c r="C64" s="604">
        <v>40</v>
      </c>
      <c r="D64" s="604">
        <v>1</v>
      </c>
      <c r="E64" s="604">
        <v>0</v>
      </c>
      <c r="F64" s="604">
        <v>0</v>
      </c>
      <c r="G64" s="604">
        <v>0</v>
      </c>
      <c r="H64" s="604">
        <v>0</v>
      </c>
    </row>
    <row r="65" spans="1:8" s="263" customFormat="1" ht="9" customHeight="1" x14ac:dyDescent="0.25">
      <c r="A65" s="550" t="s">
        <v>38</v>
      </c>
      <c r="B65" s="600">
        <f t="shared" si="3"/>
        <v>65</v>
      </c>
      <c r="C65" s="600">
        <v>56</v>
      </c>
      <c r="D65" s="600">
        <v>4</v>
      </c>
      <c r="E65" s="600">
        <v>3</v>
      </c>
      <c r="F65" s="600">
        <v>0</v>
      </c>
      <c r="G65" s="600">
        <v>0</v>
      </c>
      <c r="H65" s="600">
        <v>2</v>
      </c>
    </row>
    <row r="66" spans="1:8" s="263" customFormat="1" ht="9" customHeight="1" x14ac:dyDescent="0.25">
      <c r="A66" s="550" t="s">
        <v>39</v>
      </c>
      <c r="B66" s="600">
        <f t="shared" si="3"/>
        <v>14</v>
      </c>
      <c r="C66" s="600">
        <v>12</v>
      </c>
      <c r="D66" s="600">
        <v>1</v>
      </c>
      <c r="E66" s="600">
        <v>1</v>
      </c>
      <c r="F66" s="600">
        <v>0</v>
      </c>
      <c r="G66" s="600">
        <v>0</v>
      </c>
      <c r="H66" s="600">
        <v>0</v>
      </c>
    </row>
    <row r="67" spans="1:8" s="263" customFormat="1" ht="9" customHeight="1" x14ac:dyDescent="0.25">
      <c r="A67" s="550" t="s">
        <v>40</v>
      </c>
      <c r="B67" s="600">
        <f t="shared" si="3"/>
        <v>43</v>
      </c>
      <c r="C67" s="600">
        <v>38</v>
      </c>
      <c r="D67" s="600">
        <v>4</v>
      </c>
      <c r="E67" s="600">
        <v>0</v>
      </c>
      <c r="F67" s="600">
        <v>0</v>
      </c>
      <c r="G67" s="600">
        <v>0</v>
      </c>
      <c r="H67" s="600">
        <v>1</v>
      </c>
    </row>
    <row r="68" spans="1:8" s="263" customFormat="1" ht="9" customHeight="1" x14ac:dyDescent="0.25">
      <c r="A68" s="603" t="s">
        <v>41</v>
      </c>
      <c r="B68" s="604">
        <f t="shared" si="3"/>
        <v>32</v>
      </c>
      <c r="C68" s="604">
        <v>32</v>
      </c>
      <c r="D68" s="604">
        <v>0</v>
      </c>
      <c r="E68" s="604">
        <v>0</v>
      </c>
      <c r="F68" s="604">
        <v>0</v>
      </c>
      <c r="G68" s="604">
        <v>0</v>
      </c>
      <c r="H68" s="604">
        <v>0</v>
      </c>
    </row>
    <row r="69" spans="1:8" s="263" customFormat="1" ht="9" customHeight="1" x14ac:dyDescent="0.25">
      <c r="A69" s="550" t="s">
        <v>42</v>
      </c>
      <c r="B69" s="600">
        <f t="shared" si="3"/>
        <v>109</v>
      </c>
      <c r="C69" s="600">
        <v>108</v>
      </c>
      <c r="D69" s="600">
        <v>1</v>
      </c>
      <c r="E69" s="600">
        <v>0</v>
      </c>
      <c r="F69" s="600">
        <v>0</v>
      </c>
      <c r="G69" s="600">
        <v>0</v>
      </c>
      <c r="H69" s="600">
        <v>0</v>
      </c>
    </row>
    <row r="70" spans="1:8" s="263" customFormat="1" ht="9" customHeight="1" x14ac:dyDescent="0.25">
      <c r="A70" s="550" t="s">
        <v>43</v>
      </c>
      <c r="B70" s="600">
        <f t="shared" si="3"/>
        <v>16</v>
      </c>
      <c r="C70" s="600">
        <v>14</v>
      </c>
      <c r="D70" s="600">
        <v>1</v>
      </c>
      <c r="E70" s="600">
        <v>1</v>
      </c>
      <c r="F70" s="600">
        <v>0</v>
      </c>
      <c r="G70" s="600">
        <v>0</v>
      </c>
      <c r="H70" s="600">
        <v>0</v>
      </c>
    </row>
    <row r="71" spans="1:8" s="263" customFormat="1" ht="9" customHeight="1" x14ac:dyDescent="0.25">
      <c r="A71" s="550" t="s">
        <v>44</v>
      </c>
      <c r="B71" s="600">
        <f t="shared" si="3"/>
        <v>22</v>
      </c>
      <c r="C71" s="600">
        <v>19</v>
      </c>
      <c r="D71" s="600">
        <v>2</v>
      </c>
      <c r="E71" s="600">
        <v>0</v>
      </c>
      <c r="F71" s="600">
        <v>0</v>
      </c>
      <c r="G71" s="600">
        <v>0</v>
      </c>
      <c r="H71" s="600">
        <v>1</v>
      </c>
    </row>
    <row r="72" spans="1:8" s="263" customFormat="1" ht="9" customHeight="1" x14ac:dyDescent="0.25">
      <c r="A72" s="603" t="s">
        <v>45</v>
      </c>
      <c r="B72" s="604">
        <f t="shared" si="3"/>
        <v>33</v>
      </c>
      <c r="C72" s="604">
        <v>30</v>
      </c>
      <c r="D72" s="604">
        <v>2</v>
      </c>
      <c r="E72" s="604">
        <v>1</v>
      </c>
      <c r="F72" s="604">
        <v>0</v>
      </c>
      <c r="G72" s="604">
        <v>0</v>
      </c>
      <c r="H72" s="604">
        <v>0</v>
      </c>
    </row>
    <row r="73" spans="1:8" s="263" customFormat="1" ht="9" customHeight="1" x14ac:dyDescent="0.25">
      <c r="A73" s="550" t="s">
        <v>46</v>
      </c>
      <c r="B73" s="600">
        <f t="shared" si="3"/>
        <v>47</v>
      </c>
      <c r="C73" s="600">
        <v>40</v>
      </c>
      <c r="D73" s="600">
        <v>4</v>
      </c>
      <c r="E73" s="600">
        <v>1</v>
      </c>
      <c r="F73" s="600">
        <v>0</v>
      </c>
      <c r="G73" s="600">
        <v>1</v>
      </c>
      <c r="H73" s="600">
        <v>1</v>
      </c>
    </row>
    <row r="74" spans="1:8" s="263" customFormat="1" ht="9" customHeight="1" x14ac:dyDescent="0.25">
      <c r="A74" s="550" t="s">
        <v>47</v>
      </c>
      <c r="B74" s="600">
        <f t="shared" si="3"/>
        <v>40</v>
      </c>
      <c r="C74" s="600">
        <v>35</v>
      </c>
      <c r="D74" s="600">
        <v>3</v>
      </c>
      <c r="E74" s="600">
        <v>0</v>
      </c>
      <c r="F74" s="600">
        <v>0</v>
      </c>
      <c r="G74" s="600">
        <v>0</v>
      </c>
      <c r="H74" s="600">
        <v>2</v>
      </c>
    </row>
    <row r="75" spans="1:8" s="263" customFormat="1" ht="9" customHeight="1" x14ac:dyDescent="0.25">
      <c r="A75" s="550" t="s">
        <v>48</v>
      </c>
      <c r="B75" s="600">
        <f t="shared" si="3"/>
        <v>44</v>
      </c>
      <c r="C75" s="600">
        <v>39</v>
      </c>
      <c r="D75" s="600">
        <v>2</v>
      </c>
      <c r="E75" s="600">
        <v>0</v>
      </c>
      <c r="F75" s="600">
        <v>0</v>
      </c>
      <c r="G75" s="600">
        <v>0</v>
      </c>
      <c r="H75" s="600">
        <v>3</v>
      </c>
    </row>
    <row r="76" spans="1:8" s="263" customFormat="1" ht="9" customHeight="1" x14ac:dyDescent="0.25">
      <c r="A76" s="603" t="s">
        <v>49</v>
      </c>
      <c r="B76" s="604">
        <f t="shared" si="3"/>
        <v>68</v>
      </c>
      <c r="C76" s="604">
        <v>67</v>
      </c>
      <c r="D76" s="604">
        <v>0</v>
      </c>
      <c r="E76" s="604">
        <v>0</v>
      </c>
      <c r="F76" s="604">
        <v>1</v>
      </c>
      <c r="G76" s="604">
        <v>0</v>
      </c>
      <c r="H76" s="604">
        <v>0</v>
      </c>
    </row>
    <row r="77" spans="1:8" s="263" customFormat="1" ht="9" customHeight="1" x14ac:dyDescent="0.25">
      <c r="A77" s="550" t="s">
        <v>50</v>
      </c>
      <c r="B77" s="600">
        <f t="shared" si="3"/>
        <v>35</v>
      </c>
      <c r="C77" s="600">
        <v>31</v>
      </c>
      <c r="D77" s="600">
        <v>4</v>
      </c>
      <c r="E77" s="600">
        <v>0</v>
      </c>
      <c r="F77" s="600">
        <v>0</v>
      </c>
      <c r="G77" s="600">
        <v>0</v>
      </c>
      <c r="H77" s="600">
        <v>0</v>
      </c>
    </row>
    <row r="78" spans="1:8" s="263" customFormat="1" ht="9" customHeight="1" x14ac:dyDescent="0.25">
      <c r="A78" s="550" t="s">
        <v>51</v>
      </c>
      <c r="B78" s="600">
        <f t="shared" si="3"/>
        <v>94</v>
      </c>
      <c r="C78" s="600">
        <v>82</v>
      </c>
      <c r="D78" s="600">
        <v>9</v>
      </c>
      <c r="E78" s="600">
        <v>0</v>
      </c>
      <c r="F78" s="600">
        <v>0</v>
      </c>
      <c r="G78" s="600">
        <v>0</v>
      </c>
      <c r="H78" s="600">
        <v>3</v>
      </c>
    </row>
    <row r="79" spans="1:8" s="263" customFormat="1" ht="9" customHeight="1" x14ac:dyDescent="0.25">
      <c r="A79" s="550" t="s">
        <v>52</v>
      </c>
      <c r="B79" s="600">
        <f t="shared" si="3"/>
        <v>36</v>
      </c>
      <c r="C79" s="600">
        <v>35</v>
      </c>
      <c r="D79" s="600">
        <v>0</v>
      </c>
      <c r="E79" s="600">
        <v>1</v>
      </c>
      <c r="F79" s="600">
        <v>0</v>
      </c>
      <c r="G79" s="600">
        <v>0</v>
      </c>
      <c r="H79" s="600">
        <v>0</v>
      </c>
    </row>
    <row r="80" spans="1:8" s="263" customFormat="1" ht="9" customHeight="1" x14ac:dyDescent="0.25">
      <c r="A80" s="603" t="s">
        <v>53</v>
      </c>
      <c r="B80" s="604">
        <f t="shared" si="3"/>
        <v>13</v>
      </c>
      <c r="C80" s="604">
        <v>13</v>
      </c>
      <c r="D80" s="604">
        <v>0</v>
      </c>
      <c r="E80" s="604">
        <v>0</v>
      </c>
      <c r="F80" s="604">
        <v>0</v>
      </c>
      <c r="G80" s="604">
        <v>0</v>
      </c>
      <c r="H80" s="604">
        <v>0</v>
      </c>
    </row>
    <row r="81" spans="1:8" s="263" customFormat="1" ht="9" customHeight="1" x14ac:dyDescent="0.25">
      <c r="A81" s="550"/>
      <c r="B81" s="600"/>
    </row>
    <row r="82" spans="1:8" s="263" customFormat="1" ht="9" customHeight="1" x14ac:dyDescent="0.25">
      <c r="A82" s="601">
        <v>1997</v>
      </c>
      <c r="B82" s="266"/>
      <c r="C82" s="266"/>
      <c r="D82" s="266"/>
      <c r="E82" s="266"/>
      <c r="F82" s="266"/>
      <c r="G82" s="266"/>
      <c r="H82" s="266"/>
    </row>
    <row r="83" spans="1:8" s="263" customFormat="1" ht="9" customHeight="1" x14ac:dyDescent="0.25">
      <c r="A83" s="265" t="s">
        <v>21</v>
      </c>
      <c r="B83" s="602">
        <f t="shared" ref="B83:G83" si="4">SUM(B85:B116)</f>
        <v>2172</v>
      </c>
      <c r="C83" s="602">
        <f t="shared" si="4"/>
        <v>1990</v>
      </c>
      <c r="D83" s="602">
        <f t="shared" si="4"/>
        <v>114</v>
      </c>
      <c r="E83" s="602">
        <f t="shared" si="4"/>
        <v>16</v>
      </c>
      <c r="F83" s="602">
        <f t="shared" si="4"/>
        <v>4</v>
      </c>
      <c r="G83" s="602">
        <f t="shared" si="4"/>
        <v>3</v>
      </c>
      <c r="H83" s="602">
        <f>SUM(H85:H116)</f>
        <v>45</v>
      </c>
    </row>
    <row r="84" spans="1:8" s="263" customFormat="1" ht="3.95" customHeight="1" x14ac:dyDescent="0.25">
      <c r="A84" s="265"/>
      <c r="B84" s="602"/>
      <c r="C84" s="602"/>
      <c r="D84" s="602"/>
      <c r="E84" s="602"/>
      <c r="F84" s="602"/>
      <c r="G84" s="602"/>
      <c r="H84" s="602"/>
    </row>
    <row r="85" spans="1:8" s="263" customFormat="1" ht="9" customHeight="1" x14ac:dyDescent="0.25">
      <c r="A85" s="550" t="s">
        <v>23</v>
      </c>
      <c r="B85" s="600">
        <f t="shared" ref="B85:B116" si="5">SUM(C85:H85)</f>
        <v>13</v>
      </c>
      <c r="C85" s="600">
        <v>9</v>
      </c>
      <c r="D85" s="600">
        <v>2</v>
      </c>
      <c r="E85" s="600">
        <v>0</v>
      </c>
      <c r="F85" s="600">
        <v>0</v>
      </c>
      <c r="G85" s="600">
        <v>1</v>
      </c>
      <c r="H85" s="600">
        <v>1</v>
      </c>
    </row>
    <row r="86" spans="1:8" s="263" customFormat="1" ht="9" customHeight="1" x14ac:dyDescent="0.25">
      <c r="A86" s="550" t="s">
        <v>24</v>
      </c>
      <c r="B86" s="600">
        <f t="shared" si="5"/>
        <v>64</v>
      </c>
      <c r="C86" s="600">
        <v>58</v>
      </c>
      <c r="D86" s="600">
        <v>1</v>
      </c>
      <c r="E86" s="600">
        <v>0</v>
      </c>
      <c r="F86" s="600">
        <v>0</v>
      </c>
      <c r="G86" s="600">
        <v>0</v>
      </c>
      <c r="H86" s="600">
        <v>5</v>
      </c>
    </row>
    <row r="87" spans="1:8" s="263" customFormat="1" ht="9" customHeight="1" x14ac:dyDescent="0.25">
      <c r="A87" s="550" t="s">
        <v>25</v>
      </c>
      <c r="B87" s="600">
        <f t="shared" si="5"/>
        <v>5</v>
      </c>
      <c r="C87" s="600">
        <v>5</v>
      </c>
      <c r="D87" s="600">
        <v>0</v>
      </c>
      <c r="E87" s="600">
        <v>0</v>
      </c>
      <c r="F87" s="600">
        <v>0</v>
      </c>
      <c r="G87" s="600">
        <v>0</v>
      </c>
      <c r="H87" s="600">
        <v>0</v>
      </c>
    </row>
    <row r="88" spans="1:8" s="263" customFormat="1" ht="9" customHeight="1" x14ac:dyDescent="0.25">
      <c r="A88" s="603" t="s">
        <v>26</v>
      </c>
      <c r="B88" s="604">
        <f t="shared" si="5"/>
        <v>8</v>
      </c>
      <c r="C88" s="604">
        <v>8</v>
      </c>
      <c r="D88" s="604">
        <v>0</v>
      </c>
      <c r="E88" s="604">
        <v>0</v>
      </c>
      <c r="F88" s="604">
        <v>0</v>
      </c>
      <c r="G88" s="604">
        <v>0</v>
      </c>
      <c r="H88" s="604">
        <v>0</v>
      </c>
    </row>
    <row r="89" spans="1:8" s="263" customFormat="1" ht="9" customHeight="1" x14ac:dyDescent="0.25">
      <c r="A89" s="550" t="s">
        <v>27</v>
      </c>
      <c r="B89" s="600">
        <f t="shared" si="5"/>
        <v>30</v>
      </c>
      <c r="C89" s="600">
        <v>27</v>
      </c>
      <c r="D89" s="600">
        <v>2</v>
      </c>
      <c r="E89" s="600">
        <v>0</v>
      </c>
      <c r="F89" s="600">
        <v>0</v>
      </c>
      <c r="G89" s="600">
        <v>0</v>
      </c>
      <c r="H89" s="600">
        <v>1</v>
      </c>
    </row>
    <row r="90" spans="1:8" s="263" customFormat="1" ht="9" customHeight="1" x14ac:dyDescent="0.25">
      <c r="A90" s="550" t="s">
        <v>28</v>
      </c>
      <c r="B90" s="600">
        <f t="shared" si="5"/>
        <v>15</v>
      </c>
      <c r="C90" s="600">
        <v>15</v>
      </c>
      <c r="D90" s="600">
        <v>0</v>
      </c>
      <c r="E90" s="600">
        <v>0</v>
      </c>
      <c r="F90" s="600">
        <v>0</v>
      </c>
      <c r="G90" s="600">
        <v>0</v>
      </c>
      <c r="H90" s="600">
        <v>0</v>
      </c>
    </row>
    <row r="91" spans="1:8" s="263" customFormat="1" ht="9" customHeight="1" x14ac:dyDescent="0.25">
      <c r="A91" s="550" t="s">
        <v>29</v>
      </c>
      <c r="B91" s="600">
        <f t="shared" si="5"/>
        <v>64</v>
      </c>
      <c r="C91" s="600">
        <v>61</v>
      </c>
      <c r="D91" s="600">
        <v>1</v>
      </c>
      <c r="E91" s="600">
        <v>1</v>
      </c>
      <c r="F91" s="600">
        <v>0</v>
      </c>
      <c r="G91" s="600">
        <v>0</v>
      </c>
      <c r="H91" s="600">
        <v>1</v>
      </c>
    </row>
    <row r="92" spans="1:8" s="263" customFormat="1" ht="9" customHeight="1" x14ac:dyDescent="0.25">
      <c r="A92" s="603" t="s">
        <v>30</v>
      </c>
      <c r="B92" s="604">
        <f t="shared" si="5"/>
        <v>44</v>
      </c>
      <c r="C92" s="604">
        <v>41</v>
      </c>
      <c r="D92" s="604">
        <v>3</v>
      </c>
      <c r="E92" s="604">
        <v>0</v>
      </c>
      <c r="F92" s="604">
        <v>0</v>
      </c>
      <c r="G92" s="604">
        <v>0</v>
      </c>
      <c r="H92" s="604">
        <v>0</v>
      </c>
    </row>
    <row r="93" spans="1:8" s="263" customFormat="1" ht="9" customHeight="1" x14ac:dyDescent="0.25">
      <c r="A93" s="550" t="s">
        <v>63</v>
      </c>
      <c r="B93" s="600">
        <f t="shared" si="5"/>
        <v>228</v>
      </c>
      <c r="C93" s="600">
        <v>202</v>
      </c>
      <c r="D93" s="600">
        <v>10</v>
      </c>
      <c r="E93" s="600">
        <v>4</v>
      </c>
      <c r="F93" s="600">
        <v>1</v>
      </c>
      <c r="G93" s="600">
        <v>0</v>
      </c>
      <c r="H93" s="600">
        <v>11</v>
      </c>
    </row>
    <row r="94" spans="1:8" s="263" customFormat="1" ht="9" customHeight="1" x14ac:dyDescent="0.25">
      <c r="A94" s="550" t="s">
        <v>31</v>
      </c>
      <c r="B94" s="600">
        <f t="shared" si="5"/>
        <v>23</v>
      </c>
      <c r="C94" s="600">
        <v>23</v>
      </c>
      <c r="D94" s="600">
        <v>0</v>
      </c>
      <c r="E94" s="600">
        <v>0</v>
      </c>
      <c r="F94" s="600">
        <v>0</v>
      </c>
      <c r="G94" s="600">
        <v>0</v>
      </c>
      <c r="H94" s="600">
        <v>0</v>
      </c>
    </row>
    <row r="95" spans="1:8" s="263" customFormat="1" ht="9" customHeight="1" x14ac:dyDescent="0.25">
      <c r="A95" s="550" t="s">
        <v>32</v>
      </c>
      <c r="B95" s="600">
        <f t="shared" si="5"/>
        <v>164</v>
      </c>
      <c r="C95" s="600">
        <v>149</v>
      </c>
      <c r="D95" s="600">
        <v>8</v>
      </c>
      <c r="E95" s="600">
        <v>0</v>
      </c>
      <c r="F95" s="600">
        <v>0</v>
      </c>
      <c r="G95" s="600">
        <v>1</v>
      </c>
      <c r="H95" s="600">
        <v>6</v>
      </c>
    </row>
    <row r="96" spans="1:8" s="263" customFormat="1" ht="9" customHeight="1" x14ac:dyDescent="0.25">
      <c r="A96" s="603" t="s">
        <v>33</v>
      </c>
      <c r="B96" s="604">
        <f t="shared" si="5"/>
        <v>80</v>
      </c>
      <c r="C96" s="604">
        <v>76</v>
      </c>
      <c r="D96" s="604">
        <v>2</v>
      </c>
      <c r="E96" s="604">
        <v>2</v>
      </c>
      <c r="F96" s="604">
        <v>0</v>
      </c>
      <c r="G96" s="604">
        <v>0</v>
      </c>
      <c r="H96" s="604">
        <v>0</v>
      </c>
    </row>
    <row r="97" spans="1:8" s="263" customFormat="1" ht="9" customHeight="1" x14ac:dyDescent="0.25">
      <c r="A97" s="550" t="s">
        <v>34</v>
      </c>
      <c r="B97" s="600">
        <f t="shared" si="5"/>
        <v>66</v>
      </c>
      <c r="C97" s="600">
        <v>57</v>
      </c>
      <c r="D97" s="600">
        <v>5</v>
      </c>
      <c r="E97" s="600">
        <v>2</v>
      </c>
      <c r="F97" s="600">
        <v>0</v>
      </c>
      <c r="G97" s="600">
        <v>0</v>
      </c>
      <c r="H97" s="600">
        <v>2</v>
      </c>
    </row>
    <row r="98" spans="1:8" s="263" customFormat="1" ht="9" customHeight="1" x14ac:dyDescent="0.25">
      <c r="A98" s="550" t="s">
        <v>35</v>
      </c>
      <c r="B98" s="600">
        <f t="shared" si="5"/>
        <v>103</v>
      </c>
      <c r="C98" s="600">
        <v>99</v>
      </c>
      <c r="D98" s="600">
        <v>2</v>
      </c>
      <c r="E98" s="600">
        <v>0</v>
      </c>
      <c r="F98" s="600">
        <v>0</v>
      </c>
      <c r="G98" s="600">
        <v>0</v>
      </c>
      <c r="H98" s="600">
        <v>2</v>
      </c>
    </row>
    <row r="99" spans="1:8" s="263" customFormat="1" ht="9" customHeight="1" x14ac:dyDescent="0.25">
      <c r="A99" s="550" t="s">
        <v>36</v>
      </c>
      <c r="B99" s="600">
        <f t="shared" si="5"/>
        <v>414</v>
      </c>
      <c r="C99" s="600">
        <v>395</v>
      </c>
      <c r="D99" s="600">
        <v>15</v>
      </c>
      <c r="E99" s="600">
        <v>1</v>
      </c>
      <c r="F99" s="600">
        <v>0</v>
      </c>
      <c r="G99" s="600">
        <v>0</v>
      </c>
      <c r="H99" s="600">
        <v>3</v>
      </c>
    </row>
    <row r="100" spans="1:8" s="263" customFormat="1" ht="9" customHeight="1" x14ac:dyDescent="0.25">
      <c r="A100" s="603" t="s">
        <v>37</v>
      </c>
      <c r="B100" s="604">
        <f t="shared" si="5"/>
        <v>47</v>
      </c>
      <c r="C100" s="604">
        <v>45</v>
      </c>
      <c r="D100" s="604">
        <v>2</v>
      </c>
      <c r="E100" s="604">
        <v>0</v>
      </c>
      <c r="F100" s="604">
        <v>0</v>
      </c>
      <c r="G100" s="604">
        <v>0</v>
      </c>
      <c r="H100" s="604">
        <v>0</v>
      </c>
    </row>
    <row r="101" spans="1:8" s="263" customFormat="1" ht="9" customHeight="1" x14ac:dyDescent="0.25">
      <c r="A101" s="550" t="s">
        <v>38</v>
      </c>
      <c r="B101" s="600">
        <f t="shared" si="5"/>
        <v>77</v>
      </c>
      <c r="C101" s="600">
        <v>67</v>
      </c>
      <c r="D101" s="600">
        <v>7</v>
      </c>
      <c r="E101" s="600">
        <v>2</v>
      </c>
      <c r="F101" s="600">
        <v>0</v>
      </c>
      <c r="G101" s="600">
        <v>0</v>
      </c>
      <c r="H101" s="600">
        <v>1</v>
      </c>
    </row>
    <row r="102" spans="1:8" s="263" customFormat="1" ht="9" customHeight="1" x14ac:dyDescent="0.25">
      <c r="A102" s="550" t="s">
        <v>39</v>
      </c>
      <c r="B102" s="600">
        <f t="shared" si="5"/>
        <v>14</v>
      </c>
      <c r="C102" s="600">
        <v>12</v>
      </c>
      <c r="D102" s="600">
        <v>1</v>
      </c>
      <c r="E102" s="600">
        <v>1</v>
      </c>
      <c r="F102" s="600">
        <v>0</v>
      </c>
      <c r="G102" s="600">
        <v>0</v>
      </c>
      <c r="H102" s="600">
        <v>0</v>
      </c>
    </row>
    <row r="103" spans="1:8" s="263" customFormat="1" ht="9" customHeight="1" x14ac:dyDescent="0.25">
      <c r="A103" s="550" t="s">
        <v>40</v>
      </c>
      <c r="B103" s="600">
        <f t="shared" si="5"/>
        <v>47</v>
      </c>
      <c r="C103" s="600">
        <v>37</v>
      </c>
      <c r="D103" s="600">
        <v>9</v>
      </c>
      <c r="E103" s="600">
        <v>0</v>
      </c>
      <c r="F103" s="600">
        <v>0</v>
      </c>
      <c r="G103" s="600">
        <v>0</v>
      </c>
      <c r="H103" s="600">
        <v>1</v>
      </c>
    </row>
    <row r="104" spans="1:8" s="263" customFormat="1" ht="9" customHeight="1" x14ac:dyDescent="0.25">
      <c r="A104" s="603" t="s">
        <v>41</v>
      </c>
      <c r="B104" s="604">
        <f t="shared" si="5"/>
        <v>48</v>
      </c>
      <c r="C104" s="604">
        <v>42</v>
      </c>
      <c r="D104" s="604">
        <v>6</v>
      </c>
      <c r="E104" s="604">
        <v>0</v>
      </c>
      <c r="F104" s="604">
        <v>0</v>
      </c>
      <c r="G104" s="604">
        <v>0</v>
      </c>
      <c r="H104" s="604">
        <v>0</v>
      </c>
    </row>
    <row r="105" spans="1:8" s="263" customFormat="1" ht="9" customHeight="1" x14ac:dyDescent="0.25">
      <c r="A105" s="550" t="s">
        <v>42</v>
      </c>
      <c r="B105" s="600">
        <f t="shared" si="5"/>
        <v>106</v>
      </c>
      <c r="C105" s="600">
        <v>106</v>
      </c>
      <c r="D105" s="600">
        <v>0</v>
      </c>
      <c r="E105" s="600">
        <v>0</v>
      </c>
      <c r="F105" s="600">
        <v>0</v>
      </c>
      <c r="G105" s="600">
        <v>0</v>
      </c>
      <c r="H105" s="600">
        <v>0</v>
      </c>
    </row>
    <row r="106" spans="1:8" s="263" customFormat="1" ht="9" customHeight="1" x14ac:dyDescent="0.25">
      <c r="A106" s="550" t="s">
        <v>43</v>
      </c>
      <c r="B106" s="600">
        <f t="shared" si="5"/>
        <v>20</v>
      </c>
      <c r="C106" s="600">
        <v>20</v>
      </c>
      <c r="D106" s="600">
        <v>0</v>
      </c>
      <c r="E106" s="600">
        <v>0</v>
      </c>
      <c r="F106" s="600">
        <v>0</v>
      </c>
      <c r="G106" s="600">
        <v>0</v>
      </c>
      <c r="H106" s="600">
        <v>0</v>
      </c>
    </row>
    <row r="107" spans="1:8" s="263" customFormat="1" ht="9" customHeight="1" x14ac:dyDescent="0.25">
      <c r="A107" s="550" t="s">
        <v>44</v>
      </c>
      <c r="B107" s="600">
        <f t="shared" si="5"/>
        <v>24</v>
      </c>
      <c r="C107" s="600">
        <v>20</v>
      </c>
      <c r="D107" s="600">
        <v>3</v>
      </c>
      <c r="E107" s="600">
        <v>0</v>
      </c>
      <c r="F107" s="600">
        <v>0</v>
      </c>
      <c r="G107" s="600">
        <v>0</v>
      </c>
      <c r="H107" s="600">
        <v>1</v>
      </c>
    </row>
    <row r="108" spans="1:8" s="263" customFormat="1" ht="9" customHeight="1" x14ac:dyDescent="0.25">
      <c r="A108" s="603" t="s">
        <v>45</v>
      </c>
      <c r="B108" s="604">
        <f t="shared" si="5"/>
        <v>36</v>
      </c>
      <c r="C108" s="604">
        <v>33</v>
      </c>
      <c r="D108" s="604">
        <v>2</v>
      </c>
      <c r="E108" s="604">
        <v>1</v>
      </c>
      <c r="F108" s="604">
        <v>0</v>
      </c>
      <c r="G108" s="604">
        <v>0</v>
      </c>
      <c r="H108" s="604">
        <v>0</v>
      </c>
    </row>
    <row r="109" spans="1:8" s="263" customFormat="1" ht="9" customHeight="1" x14ac:dyDescent="0.25">
      <c r="A109" s="550" t="s">
        <v>46</v>
      </c>
      <c r="B109" s="600">
        <f t="shared" si="5"/>
        <v>58</v>
      </c>
      <c r="C109" s="600">
        <v>45</v>
      </c>
      <c r="D109" s="600">
        <v>10</v>
      </c>
      <c r="E109" s="600">
        <v>0</v>
      </c>
      <c r="F109" s="600">
        <v>0</v>
      </c>
      <c r="G109" s="600">
        <v>1</v>
      </c>
      <c r="H109" s="600">
        <v>2</v>
      </c>
    </row>
    <row r="110" spans="1:8" s="263" customFormat="1" ht="9" customHeight="1" x14ac:dyDescent="0.25">
      <c r="A110" s="550" t="s">
        <v>47</v>
      </c>
      <c r="B110" s="600">
        <f t="shared" si="5"/>
        <v>43</v>
      </c>
      <c r="C110" s="600">
        <v>37</v>
      </c>
      <c r="D110" s="600">
        <v>4</v>
      </c>
      <c r="E110" s="600">
        <v>0</v>
      </c>
      <c r="F110" s="600">
        <v>0</v>
      </c>
      <c r="G110" s="600">
        <v>0</v>
      </c>
      <c r="H110" s="600">
        <v>2</v>
      </c>
    </row>
    <row r="111" spans="1:8" s="263" customFormat="1" ht="9" customHeight="1" x14ac:dyDescent="0.25">
      <c r="A111" s="550" t="s">
        <v>48</v>
      </c>
      <c r="B111" s="600">
        <f t="shared" si="5"/>
        <v>44</v>
      </c>
      <c r="C111" s="600">
        <v>43</v>
      </c>
      <c r="D111" s="600">
        <v>0</v>
      </c>
      <c r="E111" s="600">
        <v>0</v>
      </c>
      <c r="F111" s="600">
        <v>0</v>
      </c>
      <c r="G111" s="600">
        <v>0</v>
      </c>
      <c r="H111" s="600">
        <v>1</v>
      </c>
    </row>
    <row r="112" spans="1:8" s="263" customFormat="1" ht="9" customHeight="1" x14ac:dyDescent="0.25">
      <c r="A112" s="603" t="s">
        <v>49</v>
      </c>
      <c r="B112" s="604">
        <f t="shared" si="5"/>
        <v>76</v>
      </c>
      <c r="C112" s="604">
        <v>73</v>
      </c>
      <c r="D112" s="604">
        <v>1</v>
      </c>
      <c r="E112" s="604">
        <v>0</v>
      </c>
      <c r="F112" s="604">
        <v>2</v>
      </c>
      <c r="G112" s="604">
        <v>0</v>
      </c>
      <c r="H112" s="604">
        <v>0</v>
      </c>
    </row>
    <row r="113" spans="1:8" s="263" customFormat="1" ht="9" customHeight="1" x14ac:dyDescent="0.25">
      <c r="A113" s="550" t="s">
        <v>50</v>
      </c>
      <c r="B113" s="600">
        <f t="shared" si="5"/>
        <v>37</v>
      </c>
      <c r="C113" s="600">
        <v>31</v>
      </c>
      <c r="D113" s="600">
        <v>6</v>
      </c>
      <c r="E113" s="600">
        <v>0</v>
      </c>
      <c r="F113" s="600">
        <v>0</v>
      </c>
      <c r="G113" s="600">
        <v>0</v>
      </c>
      <c r="H113" s="600">
        <v>0</v>
      </c>
    </row>
    <row r="114" spans="1:8" s="263" customFormat="1" ht="9" customHeight="1" x14ac:dyDescent="0.25">
      <c r="A114" s="550" t="s">
        <v>51</v>
      </c>
      <c r="B114" s="600">
        <f t="shared" si="5"/>
        <v>115</v>
      </c>
      <c r="C114" s="600">
        <v>97</v>
      </c>
      <c r="D114" s="600">
        <v>12</v>
      </c>
      <c r="E114" s="600">
        <v>1</v>
      </c>
      <c r="F114" s="600">
        <v>1</v>
      </c>
      <c r="G114" s="600">
        <v>0</v>
      </c>
      <c r="H114" s="600">
        <v>4</v>
      </c>
    </row>
    <row r="115" spans="1:8" s="263" customFormat="1" ht="9" customHeight="1" x14ac:dyDescent="0.25">
      <c r="A115" s="550" t="s">
        <v>52</v>
      </c>
      <c r="B115" s="600">
        <f t="shared" si="5"/>
        <v>38</v>
      </c>
      <c r="C115" s="600">
        <v>36</v>
      </c>
      <c r="D115" s="600">
        <v>0</v>
      </c>
      <c r="E115" s="600">
        <v>1</v>
      </c>
      <c r="F115" s="600">
        <v>0</v>
      </c>
      <c r="G115" s="600">
        <v>0</v>
      </c>
      <c r="H115" s="600">
        <v>1</v>
      </c>
    </row>
    <row r="116" spans="1:8" s="263" customFormat="1" ht="9" customHeight="1" x14ac:dyDescent="0.25">
      <c r="A116" s="603" t="s">
        <v>53</v>
      </c>
      <c r="B116" s="604">
        <f t="shared" si="5"/>
        <v>21</v>
      </c>
      <c r="C116" s="604">
        <v>21</v>
      </c>
      <c r="D116" s="604">
        <v>0</v>
      </c>
      <c r="E116" s="604">
        <v>0</v>
      </c>
      <c r="F116" s="604">
        <v>0</v>
      </c>
      <c r="G116" s="604">
        <v>0</v>
      </c>
      <c r="H116" s="604">
        <v>0</v>
      </c>
    </row>
    <row r="117" spans="1:8" s="263" customFormat="1" ht="9" customHeight="1" x14ac:dyDescent="0.25">
      <c r="A117" s="550"/>
      <c r="B117" s="600"/>
      <c r="C117" s="600"/>
      <c r="D117" s="600"/>
      <c r="E117" s="600"/>
      <c r="F117" s="600"/>
      <c r="G117" s="600"/>
      <c r="H117" s="600"/>
    </row>
    <row r="118" spans="1:8" s="263" customFormat="1" ht="9" customHeight="1" x14ac:dyDescent="0.25">
      <c r="A118" s="601">
        <v>1998</v>
      </c>
      <c r="B118" s="266"/>
      <c r="C118" s="266"/>
      <c r="D118" s="266"/>
      <c r="E118" s="266"/>
      <c r="F118" s="266"/>
      <c r="G118" s="266"/>
      <c r="H118" s="266"/>
    </row>
    <row r="119" spans="1:8" s="265" customFormat="1" ht="9" customHeight="1" x14ac:dyDescent="0.25">
      <c r="A119" s="265" t="s">
        <v>21</v>
      </c>
      <c r="B119" s="602">
        <f t="shared" ref="B119:G119" si="6">SUM(B121:B152)</f>
        <v>2169</v>
      </c>
      <c r="C119" s="602">
        <f t="shared" si="6"/>
        <v>1964</v>
      </c>
      <c r="D119" s="602">
        <f t="shared" si="6"/>
        <v>117</v>
      </c>
      <c r="E119" s="602">
        <f t="shared" si="6"/>
        <v>13</v>
      </c>
      <c r="F119" s="602">
        <f t="shared" si="6"/>
        <v>12</v>
      </c>
      <c r="G119" s="602">
        <f t="shared" si="6"/>
        <v>2</v>
      </c>
      <c r="H119" s="602">
        <f>SUM(H121:H152)</f>
        <v>61</v>
      </c>
    </row>
    <row r="120" spans="1:8" s="265" customFormat="1" ht="3.95" customHeight="1" x14ac:dyDescent="0.25">
      <c r="B120" s="602"/>
      <c r="C120" s="602"/>
      <c r="D120" s="602"/>
      <c r="E120" s="602"/>
      <c r="F120" s="602"/>
      <c r="G120" s="602"/>
      <c r="H120" s="602"/>
    </row>
    <row r="121" spans="1:8" s="263" customFormat="1" ht="9" customHeight="1" x14ac:dyDescent="0.25">
      <c r="A121" s="550" t="s">
        <v>23</v>
      </c>
      <c r="B121" s="600">
        <f t="shared" ref="B121:B152" si="7">SUM(C121:H121)</f>
        <v>13</v>
      </c>
      <c r="C121" s="263">
        <v>11</v>
      </c>
      <c r="D121" s="263">
        <v>1</v>
      </c>
      <c r="E121" s="263">
        <v>0</v>
      </c>
      <c r="F121" s="263">
        <v>0</v>
      </c>
      <c r="G121" s="263">
        <v>1</v>
      </c>
      <c r="H121" s="263">
        <v>0</v>
      </c>
    </row>
    <row r="122" spans="1:8" s="263" customFormat="1" ht="9" customHeight="1" x14ac:dyDescent="0.25">
      <c r="A122" s="550" t="s">
        <v>24</v>
      </c>
      <c r="B122" s="600">
        <f t="shared" si="7"/>
        <v>62</v>
      </c>
      <c r="C122" s="263">
        <v>60</v>
      </c>
      <c r="D122" s="263">
        <v>0</v>
      </c>
      <c r="E122" s="263">
        <v>0</v>
      </c>
      <c r="F122" s="263">
        <v>0</v>
      </c>
      <c r="G122" s="263">
        <v>0</v>
      </c>
      <c r="H122" s="263">
        <v>2</v>
      </c>
    </row>
    <row r="123" spans="1:8" s="263" customFormat="1" ht="9" customHeight="1" x14ac:dyDescent="0.25">
      <c r="A123" s="550" t="s">
        <v>25</v>
      </c>
      <c r="B123" s="600">
        <f t="shared" si="7"/>
        <v>8</v>
      </c>
      <c r="C123" s="263">
        <v>8</v>
      </c>
      <c r="D123" s="263">
        <v>0</v>
      </c>
      <c r="E123" s="263">
        <v>0</v>
      </c>
      <c r="F123" s="263">
        <v>0</v>
      </c>
      <c r="G123" s="263">
        <v>0</v>
      </c>
      <c r="H123" s="263">
        <v>0</v>
      </c>
    </row>
    <row r="124" spans="1:8" s="263" customFormat="1" ht="9" customHeight="1" x14ac:dyDescent="0.25">
      <c r="A124" s="603" t="s">
        <v>26</v>
      </c>
      <c r="B124" s="604">
        <f t="shared" si="7"/>
        <v>8</v>
      </c>
      <c r="C124" s="267">
        <v>8</v>
      </c>
      <c r="D124" s="267">
        <v>0</v>
      </c>
      <c r="E124" s="267">
        <v>0</v>
      </c>
      <c r="F124" s="267">
        <v>0</v>
      </c>
      <c r="G124" s="267">
        <v>0</v>
      </c>
      <c r="H124" s="267">
        <v>0</v>
      </c>
    </row>
    <row r="125" spans="1:8" s="263" customFormat="1" ht="9" customHeight="1" x14ac:dyDescent="0.25">
      <c r="A125" s="550" t="s">
        <v>27</v>
      </c>
      <c r="B125" s="600">
        <f t="shared" si="7"/>
        <v>36</v>
      </c>
      <c r="C125" s="263">
        <v>29</v>
      </c>
      <c r="D125" s="263">
        <v>5</v>
      </c>
      <c r="E125" s="263">
        <v>0</v>
      </c>
      <c r="F125" s="263">
        <v>2</v>
      </c>
      <c r="G125" s="263">
        <v>0</v>
      </c>
      <c r="H125" s="263">
        <v>0</v>
      </c>
    </row>
    <row r="126" spans="1:8" s="263" customFormat="1" ht="9" customHeight="1" x14ac:dyDescent="0.25">
      <c r="A126" s="550" t="s">
        <v>28</v>
      </c>
      <c r="B126" s="600">
        <f t="shared" si="7"/>
        <v>14</v>
      </c>
      <c r="C126" s="263">
        <v>14</v>
      </c>
      <c r="D126" s="263">
        <v>0</v>
      </c>
      <c r="E126" s="263">
        <v>0</v>
      </c>
      <c r="F126" s="263">
        <v>0</v>
      </c>
      <c r="G126" s="263">
        <v>0</v>
      </c>
      <c r="H126" s="263">
        <v>0</v>
      </c>
    </row>
    <row r="127" spans="1:8" s="263" customFormat="1" ht="9" customHeight="1" x14ac:dyDescent="0.25">
      <c r="A127" s="550" t="s">
        <v>29</v>
      </c>
      <c r="B127" s="600">
        <f t="shared" si="7"/>
        <v>59</v>
      </c>
      <c r="C127" s="263">
        <v>54</v>
      </c>
      <c r="D127" s="263">
        <v>2</v>
      </c>
      <c r="E127" s="263">
        <v>1</v>
      </c>
      <c r="F127" s="263">
        <v>0</v>
      </c>
      <c r="G127" s="263">
        <v>0</v>
      </c>
      <c r="H127" s="263">
        <v>2</v>
      </c>
    </row>
    <row r="128" spans="1:8" s="263" customFormat="1" ht="9" customHeight="1" x14ac:dyDescent="0.25">
      <c r="A128" s="603" t="s">
        <v>30</v>
      </c>
      <c r="B128" s="604">
        <f t="shared" si="7"/>
        <v>46</v>
      </c>
      <c r="C128" s="267">
        <v>42</v>
      </c>
      <c r="D128" s="267">
        <v>3</v>
      </c>
      <c r="E128" s="267">
        <v>0</v>
      </c>
      <c r="F128" s="267">
        <v>0</v>
      </c>
      <c r="G128" s="267">
        <v>0</v>
      </c>
      <c r="H128" s="267">
        <v>1</v>
      </c>
    </row>
    <row r="129" spans="1:8" s="263" customFormat="1" ht="9" customHeight="1" x14ac:dyDescent="0.25">
      <c r="A129" s="550" t="s">
        <v>63</v>
      </c>
      <c r="B129" s="600">
        <f t="shared" si="7"/>
        <v>246</v>
      </c>
      <c r="C129" s="263">
        <v>200</v>
      </c>
      <c r="D129" s="263">
        <v>10</v>
      </c>
      <c r="E129" s="263">
        <v>5</v>
      </c>
      <c r="F129" s="263">
        <v>3</v>
      </c>
      <c r="G129" s="263">
        <v>1</v>
      </c>
      <c r="H129" s="263">
        <v>27</v>
      </c>
    </row>
    <row r="130" spans="1:8" s="263" customFormat="1" ht="9" customHeight="1" x14ac:dyDescent="0.25">
      <c r="A130" s="550" t="s">
        <v>31</v>
      </c>
      <c r="B130" s="600">
        <f t="shared" si="7"/>
        <v>33</v>
      </c>
      <c r="C130" s="263">
        <v>32</v>
      </c>
      <c r="D130" s="263">
        <v>0</v>
      </c>
      <c r="E130" s="263">
        <v>0</v>
      </c>
      <c r="F130" s="263">
        <v>1</v>
      </c>
      <c r="G130" s="263">
        <v>0</v>
      </c>
      <c r="H130" s="263">
        <v>0</v>
      </c>
    </row>
    <row r="131" spans="1:8" s="263" customFormat="1" ht="9" customHeight="1" x14ac:dyDescent="0.25">
      <c r="A131" s="550" t="s">
        <v>32</v>
      </c>
      <c r="B131" s="600">
        <f t="shared" si="7"/>
        <v>170</v>
      </c>
      <c r="C131" s="263">
        <v>154</v>
      </c>
      <c r="D131" s="263">
        <v>7</v>
      </c>
      <c r="E131" s="263">
        <v>0</v>
      </c>
      <c r="F131" s="263">
        <v>2</v>
      </c>
      <c r="G131" s="263">
        <v>0</v>
      </c>
      <c r="H131" s="263">
        <v>7</v>
      </c>
    </row>
    <row r="132" spans="1:8" s="263" customFormat="1" ht="9" customHeight="1" x14ac:dyDescent="0.25">
      <c r="A132" s="603" t="s">
        <v>33</v>
      </c>
      <c r="B132" s="604">
        <f t="shared" si="7"/>
        <v>74</v>
      </c>
      <c r="C132" s="267">
        <v>72</v>
      </c>
      <c r="D132" s="267">
        <v>0</v>
      </c>
      <c r="E132" s="267">
        <v>1</v>
      </c>
      <c r="F132" s="267">
        <v>0</v>
      </c>
      <c r="G132" s="267">
        <v>0</v>
      </c>
      <c r="H132" s="267">
        <v>1</v>
      </c>
    </row>
    <row r="133" spans="1:8" s="263" customFormat="1" ht="9" customHeight="1" x14ac:dyDescent="0.25">
      <c r="A133" s="550" t="s">
        <v>34</v>
      </c>
      <c r="B133" s="600">
        <f t="shared" si="7"/>
        <v>66</v>
      </c>
      <c r="C133" s="263">
        <v>56</v>
      </c>
      <c r="D133" s="263">
        <v>6</v>
      </c>
      <c r="E133" s="263">
        <v>1</v>
      </c>
      <c r="F133" s="263">
        <v>0</v>
      </c>
      <c r="G133" s="263">
        <v>0</v>
      </c>
      <c r="H133" s="263">
        <v>3</v>
      </c>
    </row>
    <row r="134" spans="1:8" s="263" customFormat="1" ht="9" customHeight="1" x14ac:dyDescent="0.25">
      <c r="A134" s="550" t="s">
        <v>35</v>
      </c>
      <c r="B134" s="600">
        <f t="shared" si="7"/>
        <v>107</v>
      </c>
      <c r="C134" s="263">
        <v>99</v>
      </c>
      <c r="D134" s="263">
        <v>5</v>
      </c>
      <c r="E134" s="263">
        <v>0</v>
      </c>
      <c r="F134" s="263">
        <v>1</v>
      </c>
      <c r="G134" s="263">
        <v>0</v>
      </c>
      <c r="H134" s="263">
        <v>2</v>
      </c>
    </row>
    <row r="135" spans="1:8" s="263" customFormat="1" ht="9" customHeight="1" x14ac:dyDescent="0.25">
      <c r="A135" s="550" t="s">
        <v>36</v>
      </c>
      <c r="B135" s="600">
        <f t="shared" si="7"/>
        <v>397</v>
      </c>
      <c r="C135" s="263">
        <v>380</v>
      </c>
      <c r="D135" s="263">
        <v>15</v>
      </c>
      <c r="E135" s="263">
        <v>0</v>
      </c>
      <c r="F135" s="263">
        <v>0</v>
      </c>
      <c r="G135" s="263">
        <v>0</v>
      </c>
      <c r="H135" s="263">
        <v>2</v>
      </c>
    </row>
    <row r="136" spans="1:8" s="263" customFormat="1" ht="9" customHeight="1" x14ac:dyDescent="0.25">
      <c r="A136" s="603" t="s">
        <v>37</v>
      </c>
      <c r="B136" s="604">
        <f t="shared" si="7"/>
        <v>51</v>
      </c>
      <c r="C136" s="267">
        <v>47</v>
      </c>
      <c r="D136" s="267">
        <v>4</v>
      </c>
      <c r="E136" s="267">
        <v>0</v>
      </c>
      <c r="F136" s="267">
        <v>0</v>
      </c>
      <c r="G136" s="267">
        <v>0</v>
      </c>
      <c r="H136" s="267">
        <v>0</v>
      </c>
    </row>
    <row r="137" spans="1:8" s="263" customFormat="1" ht="9" customHeight="1" x14ac:dyDescent="0.25">
      <c r="A137" s="550" t="s">
        <v>38</v>
      </c>
      <c r="B137" s="600">
        <f t="shared" si="7"/>
        <v>70</v>
      </c>
      <c r="C137" s="263">
        <v>58</v>
      </c>
      <c r="D137" s="263">
        <v>12</v>
      </c>
      <c r="E137" s="263">
        <v>0</v>
      </c>
      <c r="F137" s="263">
        <v>0</v>
      </c>
      <c r="G137" s="263">
        <v>0</v>
      </c>
      <c r="H137" s="263">
        <v>0</v>
      </c>
    </row>
    <row r="138" spans="1:8" s="263" customFormat="1" ht="9" customHeight="1" x14ac:dyDescent="0.25">
      <c r="A138" s="550" t="s">
        <v>39</v>
      </c>
      <c r="B138" s="600">
        <f t="shared" si="7"/>
        <v>13</v>
      </c>
      <c r="C138" s="263">
        <v>12</v>
      </c>
      <c r="D138" s="263">
        <v>1</v>
      </c>
      <c r="E138" s="263">
        <v>0</v>
      </c>
      <c r="F138" s="263">
        <v>0</v>
      </c>
      <c r="G138" s="263">
        <v>0</v>
      </c>
      <c r="H138" s="263">
        <v>0</v>
      </c>
    </row>
    <row r="139" spans="1:8" s="263" customFormat="1" ht="9" customHeight="1" x14ac:dyDescent="0.25">
      <c r="A139" s="550" t="s">
        <v>40</v>
      </c>
      <c r="B139" s="600">
        <f t="shared" si="7"/>
        <v>49</v>
      </c>
      <c r="C139" s="263">
        <v>41</v>
      </c>
      <c r="D139" s="263">
        <v>7</v>
      </c>
      <c r="E139" s="263">
        <v>0</v>
      </c>
      <c r="F139" s="263">
        <v>0</v>
      </c>
      <c r="G139" s="263">
        <v>0</v>
      </c>
      <c r="H139" s="263">
        <v>1</v>
      </c>
    </row>
    <row r="140" spans="1:8" s="263" customFormat="1" ht="9" customHeight="1" x14ac:dyDescent="0.25">
      <c r="A140" s="603" t="s">
        <v>41</v>
      </c>
      <c r="B140" s="604">
        <f t="shared" si="7"/>
        <v>46</v>
      </c>
      <c r="C140" s="267">
        <v>41</v>
      </c>
      <c r="D140" s="267">
        <v>5</v>
      </c>
      <c r="E140" s="267">
        <v>0</v>
      </c>
      <c r="F140" s="267">
        <v>0</v>
      </c>
      <c r="G140" s="267">
        <v>0</v>
      </c>
      <c r="H140" s="267">
        <v>0</v>
      </c>
    </row>
    <row r="141" spans="1:8" s="263" customFormat="1" ht="9" customHeight="1" x14ac:dyDescent="0.25">
      <c r="A141" s="550" t="s">
        <v>42</v>
      </c>
      <c r="B141" s="600">
        <f t="shared" si="7"/>
        <v>101</v>
      </c>
      <c r="C141" s="263">
        <v>97</v>
      </c>
      <c r="D141" s="263">
        <v>2</v>
      </c>
      <c r="E141" s="263">
        <v>0</v>
      </c>
      <c r="F141" s="263">
        <v>2</v>
      </c>
      <c r="G141" s="263">
        <v>0</v>
      </c>
      <c r="H141" s="263">
        <v>0</v>
      </c>
    </row>
    <row r="142" spans="1:8" s="263" customFormat="1" ht="9" customHeight="1" x14ac:dyDescent="0.25">
      <c r="A142" s="550" t="s">
        <v>43</v>
      </c>
      <c r="B142" s="600">
        <f t="shared" si="7"/>
        <v>20</v>
      </c>
      <c r="C142" s="263">
        <v>20</v>
      </c>
      <c r="D142" s="263">
        <v>0</v>
      </c>
      <c r="E142" s="263">
        <v>0</v>
      </c>
      <c r="F142" s="263">
        <v>0</v>
      </c>
      <c r="G142" s="263">
        <v>0</v>
      </c>
      <c r="H142" s="263">
        <v>0</v>
      </c>
    </row>
    <row r="143" spans="1:8" s="263" customFormat="1" ht="9" customHeight="1" x14ac:dyDescent="0.25">
      <c r="A143" s="550" t="s">
        <v>44</v>
      </c>
      <c r="B143" s="600">
        <f t="shared" si="7"/>
        <v>27</v>
      </c>
      <c r="C143" s="263">
        <v>24</v>
      </c>
      <c r="D143" s="263">
        <v>2</v>
      </c>
      <c r="E143" s="263">
        <v>0</v>
      </c>
      <c r="F143" s="263">
        <v>0</v>
      </c>
      <c r="G143" s="263">
        <v>0</v>
      </c>
      <c r="H143" s="263">
        <v>1</v>
      </c>
    </row>
    <row r="144" spans="1:8" s="263" customFormat="1" ht="9" customHeight="1" x14ac:dyDescent="0.25">
      <c r="A144" s="603" t="s">
        <v>45</v>
      </c>
      <c r="B144" s="604">
        <f t="shared" si="7"/>
        <v>38</v>
      </c>
      <c r="C144" s="267">
        <v>34</v>
      </c>
      <c r="D144" s="267">
        <v>3</v>
      </c>
      <c r="E144" s="267">
        <v>1</v>
      </c>
      <c r="F144" s="267">
        <v>0</v>
      </c>
      <c r="G144" s="267">
        <v>0</v>
      </c>
      <c r="H144" s="267">
        <v>0</v>
      </c>
    </row>
    <row r="145" spans="1:8" s="263" customFormat="1" ht="9" customHeight="1" x14ac:dyDescent="0.25">
      <c r="A145" s="550" t="s">
        <v>46</v>
      </c>
      <c r="B145" s="600">
        <f t="shared" si="7"/>
        <v>56</v>
      </c>
      <c r="C145" s="263">
        <v>47</v>
      </c>
      <c r="D145" s="263">
        <v>8</v>
      </c>
      <c r="E145" s="263">
        <v>0</v>
      </c>
      <c r="F145" s="263">
        <v>0</v>
      </c>
      <c r="G145" s="263">
        <v>0</v>
      </c>
      <c r="H145" s="263">
        <v>1</v>
      </c>
    </row>
    <row r="146" spans="1:8" s="263" customFormat="1" ht="9" customHeight="1" x14ac:dyDescent="0.25">
      <c r="A146" s="550" t="s">
        <v>47</v>
      </c>
      <c r="B146" s="600">
        <f t="shared" si="7"/>
        <v>40</v>
      </c>
      <c r="C146" s="263">
        <v>35</v>
      </c>
      <c r="D146" s="263">
        <v>4</v>
      </c>
      <c r="E146" s="263">
        <v>0</v>
      </c>
      <c r="F146" s="263">
        <v>0</v>
      </c>
      <c r="G146" s="263">
        <v>0</v>
      </c>
      <c r="H146" s="263">
        <v>1</v>
      </c>
    </row>
    <row r="147" spans="1:8" s="263" customFormat="1" ht="9" customHeight="1" x14ac:dyDescent="0.25">
      <c r="A147" s="550" t="s">
        <v>48</v>
      </c>
      <c r="B147" s="600">
        <f t="shared" si="7"/>
        <v>43</v>
      </c>
      <c r="C147" s="263">
        <v>39</v>
      </c>
      <c r="D147" s="263">
        <v>1</v>
      </c>
      <c r="E147" s="263">
        <v>1</v>
      </c>
      <c r="F147" s="263">
        <v>0</v>
      </c>
      <c r="G147" s="263">
        <v>0</v>
      </c>
      <c r="H147" s="263">
        <v>2</v>
      </c>
    </row>
    <row r="148" spans="1:8" s="263" customFormat="1" ht="9" customHeight="1" x14ac:dyDescent="0.25">
      <c r="A148" s="603" t="s">
        <v>49</v>
      </c>
      <c r="B148" s="604">
        <f t="shared" si="7"/>
        <v>73</v>
      </c>
      <c r="C148" s="267">
        <v>71</v>
      </c>
      <c r="D148" s="267">
        <v>0</v>
      </c>
      <c r="E148" s="267">
        <v>0</v>
      </c>
      <c r="F148" s="267">
        <v>1</v>
      </c>
      <c r="G148" s="267">
        <v>0</v>
      </c>
      <c r="H148" s="267">
        <v>1</v>
      </c>
    </row>
    <row r="149" spans="1:8" s="263" customFormat="1" ht="9" customHeight="1" x14ac:dyDescent="0.25">
      <c r="A149" s="550" t="s">
        <v>50</v>
      </c>
      <c r="B149" s="600">
        <f t="shared" si="7"/>
        <v>36</v>
      </c>
      <c r="C149" s="263">
        <v>34</v>
      </c>
      <c r="D149" s="263">
        <v>2</v>
      </c>
      <c r="E149" s="263">
        <v>0</v>
      </c>
      <c r="F149" s="263">
        <v>0</v>
      </c>
      <c r="G149" s="263">
        <v>0</v>
      </c>
      <c r="H149" s="263">
        <v>0</v>
      </c>
    </row>
    <row r="150" spans="1:8" s="263" customFormat="1" ht="9" customHeight="1" x14ac:dyDescent="0.25">
      <c r="A150" s="550" t="s">
        <v>51</v>
      </c>
      <c r="B150" s="600">
        <f t="shared" si="7"/>
        <v>110</v>
      </c>
      <c r="C150" s="263">
        <v>91</v>
      </c>
      <c r="D150" s="263">
        <v>12</v>
      </c>
      <c r="E150" s="263">
        <v>1</v>
      </c>
      <c r="F150" s="263">
        <v>0</v>
      </c>
      <c r="G150" s="263">
        <v>0</v>
      </c>
      <c r="H150" s="263">
        <v>6</v>
      </c>
    </row>
    <row r="151" spans="1:8" s="263" customFormat="1" ht="9" customHeight="1" x14ac:dyDescent="0.25">
      <c r="A151" s="550" t="s">
        <v>52</v>
      </c>
      <c r="B151" s="600">
        <f t="shared" si="7"/>
        <v>37</v>
      </c>
      <c r="C151" s="263">
        <v>34</v>
      </c>
      <c r="D151" s="263">
        <v>0</v>
      </c>
      <c r="E151" s="263">
        <v>2</v>
      </c>
      <c r="F151" s="263">
        <v>0</v>
      </c>
      <c r="G151" s="263">
        <v>0</v>
      </c>
      <c r="H151" s="263">
        <v>1</v>
      </c>
    </row>
    <row r="152" spans="1:8" s="263" customFormat="1" ht="9" customHeight="1" x14ac:dyDescent="0.25">
      <c r="A152" s="603" t="s">
        <v>53</v>
      </c>
      <c r="B152" s="604">
        <f t="shared" si="7"/>
        <v>20</v>
      </c>
      <c r="C152" s="267">
        <v>20</v>
      </c>
      <c r="D152" s="267">
        <v>0</v>
      </c>
      <c r="E152" s="267">
        <v>0</v>
      </c>
      <c r="F152" s="267">
        <v>0</v>
      </c>
      <c r="G152" s="267">
        <v>0</v>
      </c>
      <c r="H152" s="267">
        <v>0</v>
      </c>
    </row>
    <row r="153" spans="1:8" s="263" customFormat="1" ht="9" customHeight="1" x14ac:dyDescent="0.25">
      <c r="A153" s="550"/>
      <c r="B153" s="600"/>
    </row>
    <row r="154" spans="1:8" s="263" customFormat="1" ht="9" customHeight="1" x14ac:dyDescent="0.25">
      <c r="A154" s="601">
        <v>1999</v>
      </c>
      <c r="B154" s="266"/>
      <c r="C154" s="266"/>
      <c r="D154" s="266"/>
      <c r="E154" s="266"/>
      <c r="F154" s="266"/>
      <c r="G154" s="266"/>
      <c r="H154" s="266"/>
    </row>
    <row r="155" spans="1:8" s="265" customFormat="1" ht="9" customHeight="1" x14ac:dyDescent="0.25">
      <c r="A155" s="265" t="s">
        <v>21</v>
      </c>
      <c r="B155" s="602">
        <f t="shared" ref="B155:G155" si="8">SUM(B157:B188)</f>
        <v>2218</v>
      </c>
      <c r="C155" s="602">
        <f t="shared" si="8"/>
        <v>2021</v>
      </c>
      <c r="D155" s="602">
        <f t="shared" si="8"/>
        <v>114</v>
      </c>
      <c r="E155" s="602">
        <f t="shared" si="8"/>
        <v>12</v>
      </c>
      <c r="F155" s="602">
        <f t="shared" si="8"/>
        <v>10</v>
      </c>
      <c r="G155" s="602">
        <f t="shared" si="8"/>
        <v>3</v>
      </c>
      <c r="H155" s="602">
        <f>SUM(H157:H188)</f>
        <v>58</v>
      </c>
    </row>
    <row r="156" spans="1:8" s="265" customFormat="1" ht="3.95" customHeight="1" x14ac:dyDescent="0.25">
      <c r="B156" s="602"/>
      <c r="C156" s="602"/>
      <c r="D156" s="602"/>
      <c r="E156" s="602"/>
      <c r="F156" s="602"/>
      <c r="G156" s="602"/>
      <c r="H156" s="602"/>
    </row>
    <row r="157" spans="1:8" s="263" customFormat="1" ht="9" customHeight="1" x14ac:dyDescent="0.25">
      <c r="A157" s="550" t="s">
        <v>23</v>
      </c>
      <c r="B157" s="600">
        <f t="shared" ref="B157:B188" si="9">SUM(C157:H157)</f>
        <v>15</v>
      </c>
      <c r="C157" s="600">
        <v>13</v>
      </c>
      <c r="D157" s="600">
        <v>1</v>
      </c>
      <c r="E157" s="600">
        <v>0</v>
      </c>
      <c r="F157" s="600">
        <v>0</v>
      </c>
      <c r="G157" s="600">
        <v>1</v>
      </c>
      <c r="H157" s="600">
        <v>0</v>
      </c>
    </row>
    <row r="158" spans="1:8" s="263" customFormat="1" ht="9" customHeight="1" x14ac:dyDescent="0.25">
      <c r="A158" s="550" t="s">
        <v>24</v>
      </c>
      <c r="B158" s="600">
        <f t="shared" si="9"/>
        <v>101</v>
      </c>
      <c r="C158" s="600">
        <v>93</v>
      </c>
      <c r="D158" s="600">
        <v>3</v>
      </c>
      <c r="E158" s="600">
        <v>0</v>
      </c>
      <c r="F158" s="600">
        <v>0</v>
      </c>
      <c r="G158" s="600">
        <v>0</v>
      </c>
      <c r="H158" s="600">
        <v>5</v>
      </c>
    </row>
    <row r="159" spans="1:8" s="263" customFormat="1" ht="9" customHeight="1" x14ac:dyDescent="0.25">
      <c r="A159" s="550" t="s">
        <v>25</v>
      </c>
      <c r="B159" s="600">
        <f t="shared" si="9"/>
        <v>8</v>
      </c>
      <c r="C159" s="600">
        <v>8</v>
      </c>
      <c r="D159" s="600">
        <v>0</v>
      </c>
      <c r="E159" s="600">
        <v>0</v>
      </c>
      <c r="F159" s="600">
        <v>0</v>
      </c>
      <c r="G159" s="600">
        <v>0</v>
      </c>
      <c r="H159" s="600">
        <v>0</v>
      </c>
    </row>
    <row r="160" spans="1:8" s="263" customFormat="1" ht="9" customHeight="1" x14ac:dyDescent="0.25">
      <c r="A160" s="603" t="s">
        <v>26</v>
      </c>
      <c r="B160" s="604">
        <f t="shared" si="9"/>
        <v>8</v>
      </c>
      <c r="C160" s="604">
        <v>8</v>
      </c>
      <c r="D160" s="604">
        <v>0</v>
      </c>
      <c r="E160" s="604">
        <v>0</v>
      </c>
      <c r="F160" s="604">
        <v>0</v>
      </c>
      <c r="G160" s="604">
        <v>0</v>
      </c>
      <c r="H160" s="604">
        <v>0</v>
      </c>
    </row>
    <row r="161" spans="1:8" s="263" customFormat="1" ht="9" customHeight="1" x14ac:dyDescent="0.25">
      <c r="A161" s="550" t="s">
        <v>27</v>
      </c>
      <c r="B161" s="600">
        <f t="shared" si="9"/>
        <v>32</v>
      </c>
      <c r="C161" s="600">
        <v>28</v>
      </c>
      <c r="D161" s="600">
        <v>2</v>
      </c>
      <c r="E161" s="600">
        <v>0</v>
      </c>
      <c r="F161" s="600">
        <v>2</v>
      </c>
      <c r="G161" s="600">
        <v>0</v>
      </c>
      <c r="H161" s="600">
        <v>0</v>
      </c>
    </row>
    <row r="162" spans="1:8" s="263" customFormat="1" ht="9" customHeight="1" x14ac:dyDescent="0.25">
      <c r="A162" s="550" t="s">
        <v>28</v>
      </c>
      <c r="B162" s="600">
        <f t="shared" si="9"/>
        <v>12</v>
      </c>
      <c r="C162" s="600">
        <v>12</v>
      </c>
      <c r="D162" s="600">
        <v>0</v>
      </c>
      <c r="E162" s="600">
        <v>0</v>
      </c>
      <c r="F162" s="600">
        <v>0</v>
      </c>
      <c r="G162" s="600">
        <v>0</v>
      </c>
      <c r="H162" s="600">
        <v>0</v>
      </c>
    </row>
    <row r="163" spans="1:8" s="263" customFormat="1" ht="9" customHeight="1" x14ac:dyDescent="0.25">
      <c r="A163" s="550" t="s">
        <v>29</v>
      </c>
      <c r="B163" s="600">
        <f t="shared" si="9"/>
        <v>58</v>
      </c>
      <c r="C163" s="600">
        <v>52</v>
      </c>
      <c r="D163" s="600">
        <v>2</v>
      </c>
      <c r="E163" s="600">
        <v>1</v>
      </c>
      <c r="F163" s="600">
        <v>0</v>
      </c>
      <c r="G163" s="600">
        <v>0</v>
      </c>
      <c r="H163" s="600">
        <v>3</v>
      </c>
    </row>
    <row r="164" spans="1:8" s="263" customFormat="1" ht="9" customHeight="1" x14ac:dyDescent="0.25">
      <c r="A164" s="603" t="s">
        <v>30</v>
      </c>
      <c r="B164" s="604">
        <f t="shared" si="9"/>
        <v>42</v>
      </c>
      <c r="C164" s="604">
        <v>40</v>
      </c>
      <c r="D164" s="604">
        <v>2</v>
      </c>
      <c r="E164" s="604">
        <v>0</v>
      </c>
      <c r="F164" s="604">
        <v>0</v>
      </c>
      <c r="G164" s="604">
        <v>0</v>
      </c>
      <c r="H164" s="604">
        <v>0</v>
      </c>
    </row>
    <row r="165" spans="1:8" s="263" customFormat="1" ht="9" customHeight="1" x14ac:dyDescent="0.25">
      <c r="A165" s="550" t="s">
        <v>63</v>
      </c>
      <c r="B165" s="600">
        <f t="shared" si="9"/>
        <v>245</v>
      </c>
      <c r="C165" s="600">
        <v>204</v>
      </c>
      <c r="D165" s="600">
        <v>7</v>
      </c>
      <c r="E165" s="600">
        <v>2</v>
      </c>
      <c r="F165" s="600">
        <v>0</v>
      </c>
      <c r="G165" s="600">
        <v>0</v>
      </c>
      <c r="H165" s="600">
        <v>32</v>
      </c>
    </row>
    <row r="166" spans="1:8" s="263" customFormat="1" ht="9" customHeight="1" x14ac:dyDescent="0.25">
      <c r="A166" s="550" t="s">
        <v>31</v>
      </c>
      <c r="B166" s="600">
        <f t="shared" si="9"/>
        <v>30</v>
      </c>
      <c r="C166" s="600">
        <v>29</v>
      </c>
      <c r="D166" s="600">
        <v>0</v>
      </c>
      <c r="E166" s="600">
        <v>0</v>
      </c>
      <c r="F166" s="600">
        <v>1</v>
      </c>
      <c r="G166" s="600">
        <v>0</v>
      </c>
      <c r="H166" s="600">
        <v>0</v>
      </c>
    </row>
    <row r="167" spans="1:8" s="263" customFormat="1" ht="9" customHeight="1" x14ac:dyDescent="0.25">
      <c r="A167" s="550" t="s">
        <v>32</v>
      </c>
      <c r="B167" s="600">
        <f t="shared" si="9"/>
        <v>164</v>
      </c>
      <c r="C167" s="600">
        <v>151</v>
      </c>
      <c r="D167" s="600">
        <v>8</v>
      </c>
      <c r="E167" s="600">
        <v>0</v>
      </c>
      <c r="F167" s="600">
        <v>1</v>
      </c>
      <c r="G167" s="600">
        <v>0</v>
      </c>
      <c r="H167" s="600">
        <v>4</v>
      </c>
    </row>
    <row r="168" spans="1:8" s="263" customFormat="1" ht="9" customHeight="1" x14ac:dyDescent="0.25">
      <c r="A168" s="603" t="s">
        <v>33</v>
      </c>
      <c r="B168" s="604">
        <f t="shared" si="9"/>
        <v>75</v>
      </c>
      <c r="C168" s="604">
        <v>72</v>
      </c>
      <c r="D168" s="604">
        <v>1</v>
      </c>
      <c r="E168" s="604">
        <v>1</v>
      </c>
      <c r="F168" s="604">
        <v>0</v>
      </c>
      <c r="G168" s="604">
        <v>0</v>
      </c>
      <c r="H168" s="604">
        <v>1</v>
      </c>
    </row>
    <row r="169" spans="1:8" s="263" customFormat="1" ht="9" customHeight="1" x14ac:dyDescent="0.25">
      <c r="A169" s="550" t="s">
        <v>34</v>
      </c>
      <c r="B169" s="600">
        <f t="shared" si="9"/>
        <v>65</v>
      </c>
      <c r="C169" s="600">
        <v>56</v>
      </c>
      <c r="D169" s="600">
        <v>5</v>
      </c>
      <c r="E169" s="600">
        <v>2</v>
      </c>
      <c r="F169" s="600">
        <v>0</v>
      </c>
      <c r="G169" s="600">
        <v>0</v>
      </c>
      <c r="H169" s="600">
        <v>2</v>
      </c>
    </row>
    <row r="170" spans="1:8" s="263" customFormat="1" ht="9" customHeight="1" x14ac:dyDescent="0.25">
      <c r="A170" s="550" t="s">
        <v>35</v>
      </c>
      <c r="B170" s="600">
        <f t="shared" si="9"/>
        <v>112</v>
      </c>
      <c r="C170" s="600">
        <v>105</v>
      </c>
      <c r="D170" s="600">
        <v>4</v>
      </c>
      <c r="E170" s="600">
        <v>0</v>
      </c>
      <c r="F170" s="600">
        <v>1</v>
      </c>
      <c r="G170" s="600">
        <v>0</v>
      </c>
      <c r="H170" s="600">
        <v>2</v>
      </c>
    </row>
    <row r="171" spans="1:8" s="263" customFormat="1" ht="9" customHeight="1" x14ac:dyDescent="0.25">
      <c r="A171" s="550" t="s">
        <v>36</v>
      </c>
      <c r="B171" s="600">
        <f t="shared" si="9"/>
        <v>390</v>
      </c>
      <c r="C171" s="600">
        <v>373</v>
      </c>
      <c r="D171" s="600">
        <v>14</v>
      </c>
      <c r="E171" s="600">
        <v>2</v>
      </c>
      <c r="F171" s="600">
        <v>0</v>
      </c>
      <c r="G171" s="600">
        <v>1</v>
      </c>
      <c r="H171" s="600">
        <v>0</v>
      </c>
    </row>
    <row r="172" spans="1:8" s="263" customFormat="1" ht="9" customHeight="1" x14ac:dyDescent="0.25">
      <c r="A172" s="603" t="s">
        <v>37</v>
      </c>
      <c r="B172" s="604">
        <f t="shared" si="9"/>
        <v>67</v>
      </c>
      <c r="C172" s="604">
        <v>60</v>
      </c>
      <c r="D172" s="604">
        <v>6</v>
      </c>
      <c r="E172" s="604">
        <v>0</v>
      </c>
      <c r="F172" s="604">
        <v>1</v>
      </c>
      <c r="G172" s="604">
        <v>0</v>
      </c>
      <c r="H172" s="604">
        <v>0</v>
      </c>
    </row>
    <row r="173" spans="1:8" s="263" customFormat="1" ht="9" customHeight="1" x14ac:dyDescent="0.25">
      <c r="A173" s="550" t="s">
        <v>38</v>
      </c>
      <c r="B173" s="600">
        <f t="shared" si="9"/>
        <v>82</v>
      </c>
      <c r="C173" s="600">
        <v>68</v>
      </c>
      <c r="D173" s="600">
        <v>14</v>
      </c>
      <c r="E173" s="600">
        <v>0</v>
      </c>
      <c r="F173" s="600">
        <v>0</v>
      </c>
      <c r="G173" s="600">
        <v>0</v>
      </c>
      <c r="H173" s="600">
        <v>0</v>
      </c>
    </row>
    <row r="174" spans="1:8" s="263" customFormat="1" ht="9" customHeight="1" x14ac:dyDescent="0.25">
      <c r="A174" s="550" t="s">
        <v>39</v>
      </c>
      <c r="B174" s="600">
        <f t="shared" si="9"/>
        <v>15</v>
      </c>
      <c r="C174" s="600">
        <v>14</v>
      </c>
      <c r="D174" s="600">
        <v>1</v>
      </c>
      <c r="E174" s="600">
        <v>0</v>
      </c>
      <c r="F174" s="600">
        <v>0</v>
      </c>
      <c r="G174" s="600">
        <v>0</v>
      </c>
      <c r="H174" s="600">
        <v>0</v>
      </c>
    </row>
    <row r="175" spans="1:8" s="263" customFormat="1" ht="9" customHeight="1" x14ac:dyDescent="0.25">
      <c r="A175" s="550" t="s">
        <v>40</v>
      </c>
      <c r="B175" s="600">
        <f t="shared" si="9"/>
        <v>50</v>
      </c>
      <c r="C175" s="600">
        <v>39</v>
      </c>
      <c r="D175" s="600">
        <v>9</v>
      </c>
      <c r="E175" s="600">
        <v>0</v>
      </c>
      <c r="F175" s="600">
        <v>1</v>
      </c>
      <c r="G175" s="600">
        <v>0</v>
      </c>
      <c r="H175" s="600">
        <v>1</v>
      </c>
    </row>
    <row r="176" spans="1:8" s="263" customFormat="1" ht="9" customHeight="1" x14ac:dyDescent="0.25">
      <c r="A176" s="603" t="s">
        <v>41</v>
      </c>
      <c r="B176" s="604">
        <f t="shared" si="9"/>
        <v>48</v>
      </c>
      <c r="C176" s="604">
        <v>45</v>
      </c>
      <c r="D176" s="604">
        <v>3</v>
      </c>
      <c r="E176" s="604">
        <v>0</v>
      </c>
      <c r="F176" s="604">
        <v>0</v>
      </c>
      <c r="G176" s="604">
        <v>0</v>
      </c>
      <c r="H176" s="604">
        <v>0</v>
      </c>
    </row>
    <row r="177" spans="1:8" s="263" customFormat="1" ht="9" customHeight="1" x14ac:dyDescent="0.25">
      <c r="A177" s="550" t="s">
        <v>42</v>
      </c>
      <c r="B177" s="600">
        <f t="shared" si="9"/>
        <v>101</v>
      </c>
      <c r="C177" s="600">
        <v>98</v>
      </c>
      <c r="D177" s="600">
        <v>1</v>
      </c>
      <c r="E177" s="600">
        <v>0</v>
      </c>
      <c r="F177" s="600">
        <v>2</v>
      </c>
      <c r="G177" s="600">
        <v>0</v>
      </c>
      <c r="H177" s="600">
        <v>0</v>
      </c>
    </row>
    <row r="178" spans="1:8" s="263" customFormat="1" ht="9" customHeight="1" x14ac:dyDescent="0.25">
      <c r="A178" s="550" t="s">
        <v>43</v>
      </c>
      <c r="B178" s="600">
        <f t="shared" si="9"/>
        <v>25</v>
      </c>
      <c r="C178" s="600">
        <v>25</v>
      </c>
      <c r="D178" s="600">
        <v>0</v>
      </c>
      <c r="E178" s="600">
        <v>0</v>
      </c>
      <c r="F178" s="600">
        <v>0</v>
      </c>
      <c r="G178" s="600">
        <v>0</v>
      </c>
      <c r="H178" s="600">
        <v>0</v>
      </c>
    </row>
    <row r="179" spans="1:8" s="263" customFormat="1" ht="9" customHeight="1" x14ac:dyDescent="0.25">
      <c r="A179" s="550" t="s">
        <v>44</v>
      </c>
      <c r="B179" s="600">
        <f t="shared" si="9"/>
        <v>26</v>
      </c>
      <c r="C179" s="600">
        <v>25</v>
      </c>
      <c r="D179" s="600">
        <v>1</v>
      </c>
      <c r="E179" s="600">
        <v>0</v>
      </c>
      <c r="F179" s="600">
        <v>0</v>
      </c>
      <c r="G179" s="600">
        <v>0</v>
      </c>
      <c r="H179" s="600">
        <v>0</v>
      </c>
    </row>
    <row r="180" spans="1:8" s="263" customFormat="1" ht="9" customHeight="1" x14ac:dyDescent="0.25">
      <c r="A180" s="603" t="s">
        <v>45</v>
      </c>
      <c r="B180" s="604">
        <f t="shared" si="9"/>
        <v>39</v>
      </c>
      <c r="C180" s="604">
        <v>35</v>
      </c>
      <c r="D180" s="604">
        <v>3</v>
      </c>
      <c r="E180" s="604">
        <v>1</v>
      </c>
      <c r="F180" s="604">
        <v>0</v>
      </c>
      <c r="G180" s="604">
        <v>0</v>
      </c>
      <c r="H180" s="604">
        <v>0</v>
      </c>
    </row>
    <row r="181" spans="1:8" s="263" customFormat="1" ht="9" customHeight="1" x14ac:dyDescent="0.25">
      <c r="A181" s="550" t="s">
        <v>46</v>
      </c>
      <c r="B181" s="600">
        <f t="shared" si="9"/>
        <v>58</v>
      </c>
      <c r="C181" s="600">
        <v>47</v>
      </c>
      <c r="D181" s="600">
        <v>9</v>
      </c>
      <c r="E181" s="600">
        <v>1</v>
      </c>
      <c r="F181" s="600">
        <v>0</v>
      </c>
      <c r="G181" s="600">
        <v>0</v>
      </c>
      <c r="H181" s="600">
        <v>1</v>
      </c>
    </row>
    <row r="182" spans="1:8" s="263" customFormat="1" ht="9" customHeight="1" x14ac:dyDescent="0.25">
      <c r="A182" s="550" t="s">
        <v>47</v>
      </c>
      <c r="B182" s="600">
        <f t="shared" si="9"/>
        <v>38</v>
      </c>
      <c r="C182" s="600">
        <v>36</v>
      </c>
      <c r="D182" s="600">
        <v>2</v>
      </c>
      <c r="E182" s="600">
        <v>0</v>
      </c>
      <c r="F182" s="600">
        <v>0</v>
      </c>
      <c r="G182" s="600">
        <v>0</v>
      </c>
      <c r="H182" s="600">
        <v>0</v>
      </c>
    </row>
    <row r="183" spans="1:8" s="263" customFormat="1" ht="9" customHeight="1" x14ac:dyDescent="0.25">
      <c r="A183" s="550" t="s">
        <v>48</v>
      </c>
      <c r="B183" s="600">
        <f t="shared" si="9"/>
        <v>42</v>
      </c>
      <c r="C183" s="600">
        <v>39</v>
      </c>
      <c r="D183" s="600">
        <v>1</v>
      </c>
      <c r="E183" s="600">
        <v>0</v>
      </c>
      <c r="F183" s="600">
        <v>0</v>
      </c>
      <c r="G183" s="600">
        <v>0</v>
      </c>
      <c r="H183" s="600">
        <v>2</v>
      </c>
    </row>
    <row r="184" spans="1:8" s="263" customFormat="1" ht="9" customHeight="1" x14ac:dyDescent="0.25">
      <c r="A184" s="603" t="s">
        <v>49</v>
      </c>
      <c r="B184" s="604">
        <f t="shared" si="9"/>
        <v>64</v>
      </c>
      <c r="C184" s="604">
        <v>64</v>
      </c>
      <c r="D184" s="604">
        <v>0</v>
      </c>
      <c r="E184" s="604">
        <v>0</v>
      </c>
      <c r="F184" s="604">
        <v>0</v>
      </c>
      <c r="G184" s="604">
        <v>0</v>
      </c>
      <c r="H184" s="604">
        <v>0</v>
      </c>
    </row>
    <row r="185" spans="1:8" s="263" customFormat="1" ht="9" customHeight="1" x14ac:dyDescent="0.25">
      <c r="A185" s="550" t="s">
        <v>50</v>
      </c>
      <c r="B185" s="600">
        <f t="shared" si="9"/>
        <v>35</v>
      </c>
      <c r="C185" s="600">
        <v>33</v>
      </c>
      <c r="D185" s="600">
        <v>2</v>
      </c>
      <c r="E185" s="600">
        <v>0</v>
      </c>
      <c r="F185" s="600">
        <v>0</v>
      </c>
      <c r="G185" s="600">
        <v>0</v>
      </c>
      <c r="H185" s="600">
        <v>0</v>
      </c>
    </row>
    <row r="186" spans="1:8" s="263" customFormat="1" ht="9" customHeight="1" x14ac:dyDescent="0.25">
      <c r="A186" s="550" t="s">
        <v>51</v>
      </c>
      <c r="B186" s="600">
        <f t="shared" si="9"/>
        <v>114</v>
      </c>
      <c r="C186" s="600">
        <v>96</v>
      </c>
      <c r="D186" s="600">
        <v>13</v>
      </c>
      <c r="E186" s="600">
        <v>0</v>
      </c>
      <c r="F186" s="600">
        <v>0</v>
      </c>
      <c r="G186" s="600">
        <v>1</v>
      </c>
      <c r="H186" s="600">
        <v>4</v>
      </c>
    </row>
    <row r="187" spans="1:8" s="263" customFormat="1" ht="9" customHeight="1" x14ac:dyDescent="0.25">
      <c r="A187" s="550" t="s">
        <v>52</v>
      </c>
      <c r="B187" s="600">
        <f t="shared" si="9"/>
        <v>36</v>
      </c>
      <c r="C187" s="600">
        <v>32</v>
      </c>
      <c r="D187" s="600">
        <v>0</v>
      </c>
      <c r="E187" s="600">
        <v>2</v>
      </c>
      <c r="F187" s="600">
        <v>1</v>
      </c>
      <c r="G187" s="600">
        <v>0</v>
      </c>
      <c r="H187" s="600">
        <v>1</v>
      </c>
    </row>
    <row r="188" spans="1:8" s="263" customFormat="1" ht="9" customHeight="1" x14ac:dyDescent="0.25">
      <c r="A188" s="603" t="s">
        <v>53</v>
      </c>
      <c r="B188" s="604">
        <f t="shared" si="9"/>
        <v>21</v>
      </c>
      <c r="C188" s="604">
        <v>21</v>
      </c>
      <c r="D188" s="604">
        <v>0</v>
      </c>
      <c r="E188" s="604">
        <v>0</v>
      </c>
      <c r="F188" s="604">
        <v>0</v>
      </c>
      <c r="G188" s="604">
        <v>0</v>
      </c>
      <c r="H188" s="604">
        <v>0</v>
      </c>
    </row>
    <row r="189" spans="1:8" s="263" customFormat="1" ht="9" customHeight="1" x14ac:dyDescent="0.25">
      <c r="B189" s="598"/>
      <c r="C189" s="598"/>
      <c r="D189" s="598"/>
      <c r="E189" s="598"/>
      <c r="F189" s="598"/>
      <c r="G189" s="598"/>
      <c r="H189" s="598"/>
    </row>
    <row r="190" spans="1:8" s="263" customFormat="1" ht="9" customHeight="1" x14ac:dyDescent="0.25">
      <c r="A190" s="601">
        <v>2000</v>
      </c>
      <c r="B190" s="266"/>
      <c r="C190" s="266"/>
      <c r="D190" s="266"/>
      <c r="E190" s="266"/>
      <c r="F190" s="266"/>
      <c r="G190" s="266"/>
      <c r="H190" s="266"/>
    </row>
    <row r="191" spans="1:8" s="265" customFormat="1" ht="9" customHeight="1" x14ac:dyDescent="0.25">
      <c r="A191" s="265" t="s">
        <v>21</v>
      </c>
      <c r="B191" s="602">
        <f t="shared" ref="B191:G191" si="10">SUM(B193:B224)</f>
        <v>2179</v>
      </c>
      <c r="C191" s="602">
        <f t="shared" si="10"/>
        <v>1984</v>
      </c>
      <c r="D191" s="602">
        <f t="shared" si="10"/>
        <v>125</v>
      </c>
      <c r="E191" s="602">
        <f t="shared" si="10"/>
        <v>11</v>
      </c>
      <c r="F191" s="602">
        <f t="shared" si="10"/>
        <v>9</v>
      </c>
      <c r="G191" s="602">
        <f t="shared" si="10"/>
        <v>3</v>
      </c>
      <c r="H191" s="602">
        <f>SUM(H193:H224)</f>
        <v>47</v>
      </c>
    </row>
    <row r="192" spans="1:8" s="265" customFormat="1" ht="3.95" customHeight="1" x14ac:dyDescent="0.25">
      <c r="B192" s="602"/>
      <c r="C192" s="602"/>
      <c r="D192" s="602"/>
      <c r="E192" s="602"/>
      <c r="F192" s="602"/>
      <c r="G192" s="602"/>
      <c r="H192" s="602"/>
    </row>
    <row r="193" spans="1:8" s="263" customFormat="1" ht="9" customHeight="1" x14ac:dyDescent="0.25">
      <c r="A193" s="550" t="s">
        <v>23</v>
      </c>
      <c r="B193" s="600">
        <f t="shared" ref="B193:B224" si="11">SUM(C193:H193)</f>
        <v>16</v>
      </c>
      <c r="C193" s="600">
        <v>13</v>
      </c>
      <c r="D193" s="600">
        <v>1</v>
      </c>
      <c r="E193" s="600">
        <v>0</v>
      </c>
      <c r="F193" s="600">
        <v>0</v>
      </c>
      <c r="G193" s="600">
        <v>1</v>
      </c>
      <c r="H193" s="600">
        <v>1</v>
      </c>
    </row>
    <row r="194" spans="1:8" s="263" customFormat="1" ht="9" customHeight="1" x14ac:dyDescent="0.25">
      <c r="A194" s="550" t="s">
        <v>24</v>
      </c>
      <c r="B194" s="600">
        <f t="shared" si="11"/>
        <v>100</v>
      </c>
      <c r="C194" s="600">
        <v>91</v>
      </c>
      <c r="D194" s="600">
        <v>3</v>
      </c>
      <c r="E194" s="600">
        <v>0</v>
      </c>
      <c r="F194" s="600">
        <v>0</v>
      </c>
      <c r="G194" s="600">
        <v>0</v>
      </c>
      <c r="H194" s="600">
        <v>6</v>
      </c>
    </row>
    <row r="195" spans="1:8" s="263" customFormat="1" ht="9" customHeight="1" x14ac:dyDescent="0.25">
      <c r="A195" s="550" t="s">
        <v>25</v>
      </c>
      <c r="B195" s="600">
        <f t="shared" si="11"/>
        <v>8</v>
      </c>
      <c r="C195" s="600">
        <v>8</v>
      </c>
      <c r="D195" s="600">
        <v>0</v>
      </c>
      <c r="E195" s="600">
        <v>0</v>
      </c>
      <c r="F195" s="600">
        <v>0</v>
      </c>
      <c r="G195" s="600">
        <v>0</v>
      </c>
      <c r="H195" s="600">
        <v>0</v>
      </c>
    </row>
    <row r="196" spans="1:8" s="263" customFormat="1" ht="9" customHeight="1" x14ac:dyDescent="0.25">
      <c r="A196" s="603" t="s">
        <v>26</v>
      </c>
      <c r="B196" s="604">
        <f t="shared" si="11"/>
        <v>9</v>
      </c>
      <c r="C196" s="604">
        <v>9</v>
      </c>
      <c r="D196" s="604">
        <v>0</v>
      </c>
      <c r="E196" s="604">
        <v>0</v>
      </c>
      <c r="F196" s="604">
        <v>0</v>
      </c>
      <c r="G196" s="604">
        <v>0</v>
      </c>
      <c r="H196" s="604">
        <v>0</v>
      </c>
    </row>
    <row r="197" spans="1:8" s="263" customFormat="1" ht="9" customHeight="1" x14ac:dyDescent="0.25">
      <c r="A197" s="550" t="s">
        <v>27</v>
      </c>
      <c r="B197" s="600">
        <f t="shared" si="11"/>
        <v>30</v>
      </c>
      <c r="C197" s="600">
        <v>27</v>
      </c>
      <c r="D197" s="600">
        <v>1</v>
      </c>
      <c r="E197" s="600">
        <v>0</v>
      </c>
      <c r="F197" s="600">
        <v>2</v>
      </c>
      <c r="G197" s="600">
        <v>0</v>
      </c>
      <c r="H197" s="600">
        <v>0</v>
      </c>
    </row>
    <row r="198" spans="1:8" s="263" customFormat="1" ht="9" customHeight="1" x14ac:dyDescent="0.25">
      <c r="A198" s="550" t="s">
        <v>28</v>
      </c>
      <c r="B198" s="600">
        <f t="shared" si="11"/>
        <v>11</v>
      </c>
      <c r="C198" s="600">
        <v>11</v>
      </c>
      <c r="D198" s="600">
        <v>0</v>
      </c>
      <c r="E198" s="600">
        <v>0</v>
      </c>
      <c r="F198" s="600">
        <v>0</v>
      </c>
      <c r="G198" s="600">
        <v>0</v>
      </c>
      <c r="H198" s="600">
        <v>0</v>
      </c>
    </row>
    <row r="199" spans="1:8" s="263" customFormat="1" ht="9" customHeight="1" x14ac:dyDescent="0.25">
      <c r="A199" s="550" t="s">
        <v>29</v>
      </c>
      <c r="B199" s="600">
        <f t="shared" si="11"/>
        <v>57</v>
      </c>
      <c r="C199" s="600">
        <v>53</v>
      </c>
      <c r="D199" s="600">
        <v>3</v>
      </c>
      <c r="E199" s="600">
        <v>0</v>
      </c>
      <c r="F199" s="600">
        <v>0</v>
      </c>
      <c r="G199" s="600">
        <v>0</v>
      </c>
      <c r="H199" s="600">
        <v>1</v>
      </c>
    </row>
    <row r="200" spans="1:8" s="263" customFormat="1" ht="9" customHeight="1" x14ac:dyDescent="0.25">
      <c r="A200" s="603" t="s">
        <v>30</v>
      </c>
      <c r="B200" s="604">
        <f t="shared" si="11"/>
        <v>40</v>
      </c>
      <c r="C200" s="604">
        <v>38</v>
      </c>
      <c r="D200" s="604">
        <v>2</v>
      </c>
      <c r="E200" s="604">
        <v>0</v>
      </c>
      <c r="F200" s="604">
        <v>0</v>
      </c>
      <c r="G200" s="604">
        <v>0</v>
      </c>
      <c r="H200" s="604">
        <v>0</v>
      </c>
    </row>
    <row r="201" spans="1:8" s="263" customFormat="1" ht="9" customHeight="1" x14ac:dyDescent="0.25">
      <c r="A201" s="550" t="s">
        <v>63</v>
      </c>
      <c r="B201" s="600">
        <f t="shared" si="11"/>
        <v>247</v>
      </c>
      <c r="C201" s="600">
        <v>216</v>
      </c>
      <c r="D201" s="600">
        <v>9</v>
      </c>
      <c r="E201" s="600">
        <v>2</v>
      </c>
      <c r="F201" s="600">
        <v>1</v>
      </c>
      <c r="G201" s="600">
        <v>0</v>
      </c>
      <c r="H201" s="600">
        <v>19</v>
      </c>
    </row>
    <row r="202" spans="1:8" s="263" customFormat="1" ht="9" customHeight="1" x14ac:dyDescent="0.25">
      <c r="A202" s="550" t="s">
        <v>31</v>
      </c>
      <c r="B202" s="600">
        <f t="shared" si="11"/>
        <v>27</v>
      </c>
      <c r="C202" s="600">
        <v>26</v>
      </c>
      <c r="D202" s="600">
        <v>0</v>
      </c>
      <c r="E202" s="600">
        <v>0</v>
      </c>
      <c r="F202" s="600">
        <v>1</v>
      </c>
      <c r="G202" s="600">
        <v>0</v>
      </c>
      <c r="H202" s="600">
        <v>0</v>
      </c>
    </row>
    <row r="203" spans="1:8" s="263" customFormat="1" ht="9" customHeight="1" x14ac:dyDescent="0.25">
      <c r="A203" s="550" t="s">
        <v>32</v>
      </c>
      <c r="B203" s="600">
        <f t="shared" si="11"/>
        <v>157</v>
      </c>
      <c r="C203" s="600">
        <v>140</v>
      </c>
      <c r="D203" s="600">
        <v>10</v>
      </c>
      <c r="E203" s="600">
        <v>0</v>
      </c>
      <c r="F203" s="600">
        <v>1</v>
      </c>
      <c r="G203" s="600">
        <v>0</v>
      </c>
      <c r="H203" s="600">
        <v>6</v>
      </c>
    </row>
    <row r="204" spans="1:8" s="263" customFormat="1" ht="9" customHeight="1" x14ac:dyDescent="0.25">
      <c r="A204" s="603" t="s">
        <v>33</v>
      </c>
      <c r="B204" s="604">
        <f t="shared" si="11"/>
        <v>75</v>
      </c>
      <c r="C204" s="604">
        <v>71</v>
      </c>
      <c r="D204" s="604">
        <v>1</v>
      </c>
      <c r="E204" s="604">
        <v>2</v>
      </c>
      <c r="F204" s="604">
        <v>0</v>
      </c>
      <c r="G204" s="604">
        <v>0</v>
      </c>
      <c r="H204" s="604">
        <v>1</v>
      </c>
    </row>
    <row r="205" spans="1:8" s="263" customFormat="1" ht="9" customHeight="1" x14ac:dyDescent="0.25">
      <c r="A205" s="550" t="s">
        <v>34</v>
      </c>
      <c r="B205" s="600">
        <f t="shared" si="11"/>
        <v>63</v>
      </c>
      <c r="C205" s="600">
        <v>56</v>
      </c>
      <c r="D205" s="600">
        <v>4</v>
      </c>
      <c r="E205" s="600">
        <v>1</v>
      </c>
      <c r="F205" s="600">
        <v>0</v>
      </c>
      <c r="G205" s="600">
        <v>0</v>
      </c>
      <c r="H205" s="600">
        <v>2</v>
      </c>
    </row>
    <row r="206" spans="1:8" s="263" customFormat="1" ht="9" customHeight="1" x14ac:dyDescent="0.25">
      <c r="A206" s="550" t="s">
        <v>35</v>
      </c>
      <c r="B206" s="600">
        <f t="shared" si="11"/>
        <v>110</v>
      </c>
      <c r="C206" s="600">
        <v>101</v>
      </c>
      <c r="D206" s="600">
        <v>5</v>
      </c>
      <c r="E206" s="600">
        <v>0</v>
      </c>
      <c r="F206" s="600">
        <v>1</v>
      </c>
      <c r="G206" s="600">
        <v>0</v>
      </c>
      <c r="H206" s="600">
        <v>3</v>
      </c>
    </row>
    <row r="207" spans="1:8" s="263" customFormat="1" ht="9" customHeight="1" x14ac:dyDescent="0.25">
      <c r="A207" s="550" t="s">
        <v>36</v>
      </c>
      <c r="B207" s="600">
        <f t="shared" si="11"/>
        <v>378</v>
      </c>
      <c r="C207" s="600">
        <v>353</v>
      </c>
      <c r="D207" s="600">
        <v>23</v>
      </c>
      <c r="E207" s="600">
        <v>1</v>
      </c>
      <c r="F207" s="600">
        <v>0</v>
      </c>
      <c r="G207" s="600">
        <v>1</v>
      </c>
      <c r="H207" s="600">
        <v>0</v>
      </c>
    </row>
    <row r="208" spans="1:8" s="263" customFormat="1" ht="9" customHeight="1" x14ac:dyDescent="0.25">
      <c r="A208" s="603" t="s">
        <v>37</v>
      </c>
      <c r="B208" s="604">
        <f t="shared" si="11"/>
        <v>65</v>
      </c>
      <c r="C208" s="604">
        <v>58</v>
      </c>
      <c r="D208" s="604">
        <v>5</v>
      </c>
      <c r="E208" s="604">
        <v>1</v>
      </c>
      <c r="F208" s="604">
        <v>1</v>
      </c>
      <c r="G208" s="604">
        <v>0</v>
      </c>
      <c r="H208" s="604">
        <v>0</v>
      </c>
    </row>
    <row r="209" spans="1:8" s="263" customFormat="1" ht="9" customHeight="1" x14ac:dyDescent="0.25">
      <c r="A209" s="550" t="s">
        <v>38</v>
      </c>
      <c r="B209" s="600">
        <f t="shared" si="11"/>
        <v>79</v>
      </c>
      <c r="C209" s="600">
        <v>67</v>
      </c>
      <c r="D209" s="600">
        <v>12</v>
      </c>
      <c r="E209" s="600">
        <v>0</v>
      </c>
      <c r="F209" s="600">
        <v>0</v>
      </c>
      <c r="G209" s="600">
        <v>0</v>
      </c>
      <c r="H209" s="600">
        <v>0</v>
      </c>
    </row>
    <row r="210" spans="1:8" s="263" customFormat="1" ht="9" customHeight="1" x14ac:dyDescent="0.25">
      <c r="A210" s="550" t="s">
        <v>39</v>
      </c>
      <c r="B210" s="600">
        <f t="shared" si="11"/>
        <v>17</v>
      </c>
      <c r="C210" s="600">
        <v>16</v>
      </c>
      <c r="D210" s="600">
        <v>1</v>
      </c>
      <c r="E210" s="600">
        <v>0</v>
      </c>
      <c r="F210" s="600">
        <v>0</v>
      </c>
      <c r="G210" s="600">
        <v>0</v>
      </c>
      <c r="H210" s="600">
        <v>0</v>
      </c>
    </row>
    <row r="211" spans="1:8" s="263" customFormat="1" ht="9" customHeight="1" x14ac:dyDescent="0.25">
      <c r="A211" s="550" t="s">
        <v>40</v>
      </c>
      <c r="B211" s="600">
        <f t="shared" si="11"/>
        <v>50</v>
      </c>
      <c r="C211" s="600">
        <v>37</v>
      </c>
      <c r="D211" s="600">
        <v>11</v>
      </c>
      <c r="E211" s="600">
        <v>0</v>
      </c>
      <c r="F211" s="600">
        <v>1</v>
      </c>
      <c r="G211" s="600">
        <v>0</v>
      </c>
      <c r="H211" s="600">
        <v>1</v>
      </c>
    </row>
    <row r="212" spans="1:8" s="263" customFormat="1" ht="9" customHeight="1" x14ac:dyDescent="0.25">
      <c r="A212" s="603" t="s">
        <v>41</v>
      </c>
      <c r="B212" s="604">
        <f t="shared" si="11"/>
        <v>48</v>
      </c>
      <c r="C212" s="604">
        <v>46</v>
      </c>
      <c r="D212" s="604">
        <v>2</v>
      </c>
      <c r="E212" s="604">
        <v>0</v>
      </c>
      <c r="F212" s="604">
        <v>0</v>
      </c>
      <c r="G212" s="604">
        <v>0</v>
      </c>
      <c r="H212" s="604">
        <v>0</v>
      </c>
    </row>
    <row r="213" spans="1:8" s="263" customFormat="1" ht="9" customHeight="1" x14ac:dyDescent="0.25">
      <c r="A213" s="550" t="s">
        <v>42</v>
      </c>
      <c r="B213" s="600">
        <f t="shared" si="11"/>
        <v>101</v>
      </c>
      <c r="C213" s="600">
        <v>99</v>
      </c>
      <c r="D213" s="600">
        <v>1</v>
      </c>
      <c r="E213" s="600">
        <v>0</v>
      </c>
      <c r="F213" s="600">
        <v>1</v>
      </c>
      <c r="G213" s="600">
        <v>0</v>
      </c>
      <c r="H213" s="600">
        <v>0</v>
      </c>
    </row>
    <row r="214" spans="1:8" s="263" customFormat="1" ht="9" customHeight="1" x14ac:dyDescent="0.25">
      <c r="A214" s="550" t="s">
        <v>43</v>
      </c>
      <c r="B214" s="600">
        <f t="shared" si="11"/>
        <v>23</v>
      </c>
      <c r="C214" s="600">
        <v>23</v>
      </c>
      <c r="D214" s="600">
        <v>0</v>
      </c>
      <c r="E214" s="600">
        <v>0</v>
      </c>
      <c r="F214" s="600">
        <v>0</v>
      </c>
      <c r="G214" s="600">
        <v>0</v>
      </c>
      <c r="H214" s="600">
        <v>0</v>
      </c>
    </row>
    <row r="215" spans="1:8" s="263" customFormat="1" ht="9" customHeight="1" x14ac:dyDescent="0.25">
      <c r="A215" s="550" t="s">
        <v>44</v>
      </c>
      <c r="B215" s="600">
        <f t="shared" si="11"/>
        <v>33</v>
      </c>
      <c r="C215" s="600">
        <v>30</v>
      </c>
      <c r="D215" s="600">
        <v>2</v>
      </c>
      <c r="E215" s="600">
        <v>0</v>
      </c>
      <c r="F215" s="600">
        <v>0</v>
      </c>
      <c r="G215" s="600">
        <v>0</v>
      </c>
      <c r="H215" s="600">
        <v>1</v>
      </c>
    </row>
    <row r="216" spans="1:8" s="263" customFormat="1" ht="9" customHeight="1" x14ac:dyDescent="0.25">
      <c r="A216" s="603" t="s">
        <v>45</v>
      </c>
      <c r="B216" s="604">
        <f t="shared" si="11"/>
        <v>40</v>
      </c>
      <c r="C216" s="604">
        <v>37</v>
      </c>
      <c r="D216" s="604">
        <v>2</v>
      </c>
      <c r="E216" s="604">
        <v>1</v>
      </c>
      <c r="F216" s="604">
        <v>0</v>
      </c>
      <c r="G216" s="604">
        <v>0</v>
      </c>
      <c r="H216" s="604">
        <v>0</v>
      </c>
    </row>
    <row r="217" spans="1:8" s="263" customFormat="1" ht="9" customHeight="1" x14ac:dyDescent="0.25">
      <c r="A217" s="550" t="s">
        <v>46</v>
      </c>
      <c r="B217" s="600">
        <f t="shared" si="11"/>
        <v>60</v>
      </c>
      <c r="C217" s="600">
        <v>51</v>
      </c>
      <c r="D217" s="600">
        <v>9</v>
      </c>
      <c r="E217" s="600">
        <v>0</v>
      </c>
      <c r="F217" s="600">
        <v>0</v>
      </c>
      <c r="G217" s="600">
        <v>0</v>
      </c>
      <c r="H217" s="600">
        <v>0</v>
      </c>
    </row>
    <row r="218" spans="1:8" s="263" customFormat="1" ht="9" customHeight="1" x14ac:dyDescent="0.25">
      <c r="A218" s="550" t="s">
        <v>47</v>
      </c>
      <c r="B218" s="600">
        <f t="shared" si="11"/>
        <v>36</v>
      </c>
      <c r="C218" s="600">
        <v>33</v>
      </c>
      <c r="D218" s="600">
        <v>3</v>
      </c>
      <c r="E218" s="600">
        <v>0</v>
      </c>
      <c r="F218" s="600">
        <v>0</v>
      </c>
      <c r="G218" s="600">
        <v>0</v>
      </c>
      <c r="H218" s="600">
        <v>0</v>
      </c>
    </row>
    <row r="219" spans="1:8" s="263" customFormat="1" ht="9" customHeight="1" x14ac:dyDescent="0.25">
      <c r="A219" s="550" t="s">
        <v>48</v>
      </c>
      <c r="B219" s="600">
        <f t="shared" si="11"/>
        <v>38</v>
      </c>
      <c r="C219" s="600">
        <v>36</v>
      </c>
      <c r="D219" s="600">
        <v>1</v>
      </c>
      <c r="E219" s="600">
        <v>1</v>
      </c>
      <c r="F219" s="600">
        <v>0</v>
      </c>
      <c r="G219" s="600">
        <v>0</v>
      </c>
      <c r="H219" s="600">
        <v>0</v>
      </c>
    </row>
    <row r="220" spans="1:8" s="263" customFormat="1" ht="9" customHeight="1" x14ac:dyDescent="0.25">
      <c r="A220" s="603" t="s">
        <v>49</v>
      </c>
      <c r="B220" s="604">
        <f t="shared" si="11"/>
        <v>62</v>
      </c>
      <c r="C220" s="604">
        <v>61</v>
      </c>
      <c r="D220" s="604">
        <v>0</v>
      </c>
      <c r="E220" s="604">
        <v>0</v>
      </c>
      <c r="F220" s="604">
        <v>0</v>
      </c>
      <c r="G220" s="604">
        <v>0</v>
      </c>
      <c r="H220" s="604">
        <v>1</v>
      </c>
    </row>
    <row r="221" spans="1:8" s="263" customFormat="1" ht="9" customHeight="1" x14ac:dyDescent="0.25">
      <c r="A221" s="550" t="s">
        <v>50</v>
      </c>
      <c r="B221" s="600">
        <f t="shared" si="11"/>
        <v>35</v>
      </c>
      <c r="C221" s="600">
        <v>33</v>
      </c>
      <c r="D221" s="600">
        <v>2</v>
      </c>
      <c r="E221" s="600">
        <v>0</v>
      </c>
      <c r="F221" s="600">
        <v>0</v>
      </c>
      <c r="G221" s="600">
        <v>0</v>
      </c>
      <c r="H221" s="600">
        <v>0</v>
      </c>
    </row>
    <row r="222" spans="1:8" s="263" customFormat="1" ht="9" customHeight="1" x14ac:dyDescent="0.25">
      <c r="A222" s="550" t="s">
        <v>51</v>
      </c>
      <c r="B222" s="600">
        <f t="shared" si="11"/>
        <v>108</v>
      </c>
      <c r="C222" s="600">
        <v>91</v>
      </c>
      <c r="D222" s="600">
        <v>12</v>
      </c>
      <c r="E222" s="600">
        <v>0</v>
      </c>
      <c r="F222" s="600">
        <v>0</v>
      </c>
      <c r="G222" s="600">
        <v>1</v>
      </c>
      <c r="H222" s="600">
        <v>4</v>
      </c>
    </row>
    <row r="223" spans="1:8" s="263" customFormat="1" ht="9" customHeight="1" x14ac:dyDescent="0.25">
      <c r="A223" s="550" t="s">
        <v>52</v>
      </c>
      <c r="B223" s="600">
        <f t="shared" si="11"/>
        <v>36</v>
      </c>
      <c r="C223" s="600">
        <v>33</v>
      </c>
      <c r="D223" s="600">
        <v>0</v>
      </c>
      <c r="E223" s="600">
        <v>2</v>
      </c>
      <c r="F223" s="600">
        <v>0</v>
      </c>
      <c r="G223" s="600">
        <v>0</v>
      </c>
      <c r="H223" s="600">
        <v>1</v>
      </c>
    </row>
    <row r="224" spans="1:8" s="263" customFormat="1" ht="9" customHeight="1" x14ac:dyDescent="0.25">
      <c r="A224" s="603" t="s">
        <v>53</v>
      </c>
      <c r="B224" s="604">
        <f t="shared" si="11"/>
        <v>20</v>
      </c>
      <c r="C224" s="604">
        <v>20</v>
      </c>
      <c r="D224" s="604">
        <v>0</v>
      </c>
      <c r="E224" s="604">
        <v>0</v>
      </c>
      <c r="F224" s="604">
        <v>0</v>
      </c>
      <c r="G224" s="604">
        <v>0</v>
      </c>
      <c r="H224" s="604">
        <v>0</v>
      </c>
    </row>
    <row r="225" spans="1:8" s="263" customFormat="1" ht="9" customHeight="1" x14ac:dyDescent="0.25">
      <c r="B225" s="266"/>
      <c r="C225" s="266"/>
      <c r="D225" s="266"/>
      <c r="E225" s="266"/>
      <c r="F225" s="266"/>
      <c r="G225" s="266"/>
      <c r="H225" s="266"/>
    </row>
    <row r="226" spans="1:8" s="263" customFormat="1" ht="9" customHeight="1" x14ac:dyDescent="0.25">
      <c r="A226" s="601">
        <v>2001</v>
      </c>
      <c r="B226" s="266"/>
      <c r="C226" s="266"/>
      <c r="D226" s="266"/>
      <c r="E226" s="266"/>
      <c r="F226" s="266"/>
      <c r="G226" s="266"/>
      <c r="H226" s="266"/>
    </row>
    <row r="227" spans="1:8" s="265" customFormat="1" ht="9" customHeight="1" x14ac:dyDescent="0.25">
      <c r="A227" s="265" t="s">
        <v>21</v>
      </c>
      <c r="B227" s="602">
        <f t="shared" ref="B227:G227" si="12">SUM(B229:B260)</f>
        <v>2822</v>
      </c>
      <c r="C227" s="602">
        <f t="shared" si="12"/>
        <v>2500</v>
      </c>
      <c r="D227" s="602">
        <f t="shared" si="12"/>
        <v>206</v>
      </c>
      <c r="E227" s="602">
        <f t="shared" si="12"/>
        <v>30</v>
      </c>
      <c r="F227" s="602">
        <f t="shared" si="12"/>
        <v>13</v>
      </c>
      <c r="G227" s="602">
        <f t="shared" si="12"/>
        <v>4</v>
      </c>
      <c r="H227" s="602">
        <f>SUM(H229:H260)</f>
        <v>69</v>
      </c>
    </row>
    <row r="228" spans="1:8" s="265" customFormat="1" ht="3.95" customHeight="1" x14ac:dyDescent="0.25">
      <c r="B228" s="602"/>
      <c r="C228" s="602"/>
      <c r="D228" s="602"/>
      <c r="E228" s="602"/>
      <c r="F228" s="602"/>
      <c r="G228" s="602"/>
      <c r="H228" s="602"/>
    </row>
    <row r="229" spans="1:8" s="263" customFormat="1" ht="9" customHeight="1" x14ac:dyDescent="0.25">
      <c r="A229" s="550" t="s">
        <v>23</v>
      </c>
      <c r="B229" s="600">
        <f>SUM(C229:H229)</f>
        <v>17</v>
      </c>
      <c r="C229" s="600">
        <v>7</v>
      </c>
      <c r="D229" s="600">
        <v>6</v>
      </c>
      <c r="E229" s="600">
        <v>1</v>
      </c>
      <c r="F229" s="600">
        <v>0</v>
      </c>
      <c r="G229" s="600">
        <v>1</v>
      </c>
      <c r="H229" s="600">
        <v>2</v>
      </c>
    </row>
    <row r="230" spans="1:8" s="263" customFormat="1" ht="9" customHeight="1" x14ac:dyDescent="0.25">
      <c r="A230" s="550" t="s">
        <v>24</v>
      </c>
      <c r="B230" s="598" t="s">
        <v>22</v>
      </c>
      <c r="C230" s="598" t="s">
        <v>22</v>
      </c>
      <c r="D230" s="598" t="s">
        <v>22</v>
      </c>
      <c r="E230" s="598" t="s">
        <v>22</v>
      </c>
      <c r="F230" s="598" t="s">
        <v>22</v>
      </c>
      <c r="G230" s="598" t="s">
        <v>22</v>
      </c>
      <c r="H230" s="598" t="s">
        <v>22</v>
      </c>
    </row>
    <row r="231" spans="1:8" s="263" customFormat="1" ht="9" customHeight="1" x14ac:dyDescent="0.25">
      <c r="A231" s="550" t="s">
        <v>25</v>
      </c>
      <c r="B231" s="600">
        <f t="shared" ref="B231:B260" si="13">SUM(C231:H231)</f>
        <v>11</v>
      </c>
      <c r="C231" s="600">
        <v>10</v>
      </c>
      <c r="D231" s="600">
        <v>0</v>
      </c>
      <c r="E231" s="600">
        <v>0</v>
      </c>
      <c r="F231" s="600">
        <v>0</v>
      </c>
      <c r="G231" s="600">
        <v>0</v>
      </c>
      <c r="H231" s="600">
        <v>1</v>
      </c>
    </row>
    <row r="232" spans="1:8" s="263" customFormat="1" ht="9" customHeight="1" x14ac:dyDescent="0.25">
      <c r="A232" s="603" t="s">
        <v>26</v>
      </c>
      <c r="B232" s="604">
        <f t="shared" si="13"/>
        <v>8</v>
      </c>
      <c r="C232" s="604">
        <v>8</v>
      </c>
      <c r="D232" s="604">
        <v>0</v>
      </c>
      <c r="E232" s="604">
        <v>0</v>
      </c>
      <c r="F232" s="604">
        <v>0</v>
      </c>
      <c r="G232" s="604">
        <v>0</v>
      </c>
      <c r="H232" s="604">
        <v>0</v>
      </c>
    </row>
    <row r="233" spans="1:8" s="263" customFormat="1" ht="9" customHeight="1" x14ac:dyDescent="0.25">
      <c r="A233" s="550" t="s">
        <v>27</v>
      </c>
      <c r="B233" s="600">
        <f t="shared" si="13"/>
        <v>34</v>
      </c>
      <c r="C233" s="600">
        <v>28</v>
      </c>
      <c r="D233" s="600">
        <v>6</v>
      </c>
      <c r="E233" s="600">
        <v>0</v>
      </c>
      <c r="F233" s="600">
        <v>0</v>
      </c>
      <c r="G233" s="600">
        <v>0</v>
      </c>
      <c r="H233" s="600">
        <v>0</v>
      </c>
    </row>
    <row r="234" spans="1:8" s="263" customFormat="1" ht="9" customHeight="1" x14ac:dyDescent="0.25">
      <c r="A234" s="550" t="s">
        <v>28</v>
      </c>
      <c r="B234" s="600">
        <f t="shared" si="13"/>
        <v>14</v>
      </c>
      <c r="C234" s="600">
        <v>14</v>
      </c>
      <c r="D234" s="600">
        <v>0</v>
      </c>
      <c r="E234" s="600">
        <v>0</v>
      </c>
      <c r="F234" s="600">
        <v>0</v>
      </c>
      <c r="G234" s="600">
        <v>0</v>
      </c>
      <c r="H234" s="600">
        <v>0</v>
      </c>
    </row>
    <row r="235" spans="1:8" s="263" customFormat="1" ht="9" customHeight="1" x14ac:dyDescent="0.25">
      <c r="A235" s="550" t="s">
        <v>29</v>
      </c>
      <c r="B235" s="600">
        <f t="shared" si="13"/>
        <v>72</v>
      </c>
      <c r="C235" s="600">
        <v>53</v>
      </c>
      <c r="D235" s="600">
        <v>8</v>
      </c>
      <c r="E235" s="600">
        <v>1</v>
      </c>
      <c r="F235" s="600">
        <v>0</v>
      </c>
      <c r="G235" s="600">
        <v>0</v>
      </c>
      <c r="H235" s="600">
        <v>10</v>
      </c>
    </row>
    <row r="236" spans="1:8" s="263" customFormat="1" ht="9" customHeight="1" x14ac:dyDescent="0.25">
      <c r="A236" s="603" t="s">
        <v>30</v>
      </c>
      <c r="B236" s="604">
        <f t="shared" si="13"/>
        <v>54</v>
      </c>
      <c r="C236" s="604">
        <v>48</v>
      </c>
      <c r="D236" s="604">
        <v>3</v>
      </c>
      <c r="E236" s="604">
        <v>0</v>
      </c>
      <c r="F236" s="604">
        <v>0</v>
      </c>
      <c r="G236" s="604">
        <v>0</v>
      </c>
      <c r="H236" s="604">
        <v>3</v>
      </c>
    </row>
    <row r="237" spans="1:8" s="263" customFormat="1" ht="9" customHeight="1" x14ac:dyDescent="0.25">
      <c r="A237" s="550" t="s">
        <v>63</v>
      </c>
      <c r="B237" s="600">
        <f t="shared" si="13"/>
        <v>292</v>
      </c>
      <c r="C237" s="600">
        <v>258</v>
      </c>
      <c r="D237" s="600">
        <v>17</v>
      </c>
      <c r="E237" s="600">
        <v>3</v>
      </c>
      <c r="F237" s="600">
        <v>1</v>
      </c>
      <c r="G237" s="600">
        <v>0</v>
      </c>
      <c r="H237" s="600">
        <v>13</v>
      </c>
    </row>
    <row r="238" spans="1:8" s="263" customFormat="1" ht="9" customHeight="1" x14ac:dyDescent="0.25">
      <c r="A238" s="550" t="s">
        <v>31</v>
      </c>
      <c r="B238" s="600">
        <f t="shared" si="13"/>
        <v>32</v>
      </c>
      <c r="C238" s="600">
        <v>31</v>
      </c>
      <c r="D238" s="600">
        <v>0</v>
      </c>
      <c r="E238" s="600">
        <v>0</v>
      </c>
      <c r="F238" s="600">
        <v>0</v>
      </c>
      <c r="G238" s="600">
        <v>0</v>
      </c>
      <c r="H238" s="600">
        <v>1</v>
      </c>
    </row>
    <row r="239" spans="1:8" s="263" customFormat="1" ht="9" customHeight="1" x14ac:dyDescent="0.25">
      <c r="A239" s="550" t="s">
        <v>32</v>
      </c>
      <c r="B239" s="600">
        <f t="shared" si="13"/>
        <v>209</v>
      </c>
      <c r="C239" s="600">
        <v>177</v>
      </c>
      <c r="D239" s="600">
        <v>20</v>
      </c>
      <c r="E239" s="600">
        <v>1</v>
      </c>
      <c r="F239" s="600">
        <v>0</v>
      </c>
      <c r="G239" s="600">
        <v>0</v>
      </c>
      <c r="H239" s="600">
        <v>11</v>
      </c>
    </row>
    <row r="240" spans="1:8" s="263" customFormat="1" ht="9" customHeight="1" x14ac:dyDescent="0.25">
      <c r="A240" s="603" t="s">
        <v>33</v>
      </c>
      <c r="B240" s="604">
        <f t="shared" si="13"/>
        <v>102</v>
      </c>
      <c r="C240" s="604">
        <v>96</v>
      </c>
      <c r="D240" s="604">
        <v>2</v>
      </c>
      <c r="E240" s="604">
        <v>3</v>
      </c>
      <c r="F240" s="604">
        <v>0</v>
      </c>
      <c r="G240" s="604">
        <v>0</v>
      </c>
      <c r="H240" s="604">
        <v>1</v>
      </c>
    </row>
    <row r="241" spans="1:8" s="263" customFormat="1" ht="9" customHeight="1" x14ac:dyDescent="0.25">
      <c r="A241" s="550" t="s">
        <v>34</v>
      </c>
      <c r="B241" s="600">
        <f t="shared" si="13"/>
        <v>74</v>
      </c>
      <c r="C241" s="600">
        <v>60</v>
      </c>
      <c r="D241" s="600">
        <v>12</v>
      </c>
      <c r="E241" s="600">
        <v>1</v>
      </c>
      <c r="F241" s="600">
        <v>0</v>
      </c>
      <c r="G241" s="600">
        <v>0</v>
      </c>
      <c r="H241" s="600">
        <v>1</v>
      </c>
    </row>
    <row r="242" spans="1:8" s="263" customFormat="1" ht="9" customHeight="1" x14ac:dyDescent="0.25">
      <c r="A242" s="550" t="s">
        <v>35</v>
      </c>
      <c r="B242" s="600">
        <f t="shared" si="13"/>
        <v>152</v>
      </c>
      <c r="C242" s="600">
        <v>131</v>
      </c>
      <c r="D242" s="600">
        <v>7</v>
      </c>
      <c r="E242" s="600">
        <v>0</v>
      </c>
      <c r="F242" s="600">
        <v>2</v>
      </c>
      <c r="G242" s="600">
        <v>0</v>
      </c>
      <c r="H242" s="600">
        <v>12</v>
      </c>
    </row>
    <row r="243" spans="1:8" s="263" customFormat="1" ht="9" customHeight="1" x14ac:dyDescent="0.25">
      <c r="A243" s="550" t="s">
        <v>36</v>
      </c>
      <c r="B243" s="600">
        <f t="shared" si="13"/>
        <v>565</v>
      </c>
      <c r="C243" s="600">
        <v>513</v>
      </c>
      <c r="D243" s="600">
        <v>37</v>
      </c>
      <c r="E243" s="600">
        <v>10</v>
      </c>
      <c r="F243" s="600">
        <v>1</v>
      </c>
      <c r="G243" s="600">
        <v>2</v>
      </c>
      <c r="H243" s="600">
        <v>2</v>
      </c>
    </row>
    <row r="244" spans="1:8" s="263" customFormat="1" ht="9" customHeight="1" x14ac:dyDescent="0.25">
      <c r="A244" s="603" t="s">
        <v>37</v>
      </c>
      <c r="B244" s="604">
        <f t="shared" si="13"/>
        <v>193</v>
      </c>
      <c r="C244" s="604">
        <v>175</v>
      </c>
      <c r="D244" s="604">
        <v>13</v>
      </c>
      <c r="E244" s="604">
        <v>2</v>
      </c>
      <c r="F244" s="604">
        <v>1</v>
      </c>
      <c r="G244" s="604">
        <v>0</v>
      </c>
      <c r="H244" s="604">
        <v>2</v>
      </c>
    </row>
    <row r="245" spans="1:8" s="263" customFormat="1" ht="9" customHeight="1" x14ac:dyDescent="0.25">
      <c r="A245" s="550" t="s">
        <v>38</v>
      </c>
      <c r="B245" s="600">
        <f t="shared" si="13"/>
        <v>72</v>
      </c>
      <c r="C245" s="600">
        <v>61</v>
      </c>
      <c r="D245" s="600">
        <v>11</v>
      </c>
      <c r="E245" s="600">
        <v>0</v>
      </c>
      <c r="F245" s="600">
        <v>0</v>
      </c>
      <c r="G245" s="600">
        <v>0</v>
      </c>
      <c r="H245" s="600">
        <v>0</v>
      </c>
    </row>
    <row r="246" spans="1:8" s="263" customFormat="1" ht="9" customHeight="1" x14ac:dyDescent="0.25">
      <c r="A246" s="550" t="s">
        <v>39</v>
      </c>
      <c r="B246" s="600">
        <f t="shared" si="13"/>
        <v>21</v>
      </c>
      <c r="C246" s="600">
        <v>17</v>
      </c>
      <c r="D246" s="600">
        <v>4</v>
      </c>
      <c r="E246" s="600">
        <v>0</v>
      </c>
      <c r="F246" s="600">
        <v>0</v>
      </c>
      <c r="G246" s="600">
        <v>0</v>
      </c>
      <c r="H246" s="600">
        <v>0</v>
      </c>
    </row>
    <row r="247" spans="1:8" s="263" customFormat="1" ht="9" customHeight="1" x14ac:dyDescent="0.25">
      <c r="A247" s="550" t="s">
        <v>40</v>
      </c>
      <c r="B247" s="600">
        <f t="shared" si="13"/>
        <v>48</v>
      </c>
      <c r="C247" s="600">
        <v>36</v>
      </c>
      <c r="D247" s="600">
        <v>8</v>
      </c>
      <c r="E247" s="600">
        <v>2</v>
      </c>
      <c r="F247" s="600">
        <v>2</v>
      </c>
      <c r="G247" s="600">
        <v>0</v>
      </c>
      <c r="H247" s="600">
        <v>0</v>
      </c>
    </row>
    <row r="248" spans="1:8" s="263" customFormat="1" ht="9" customHeight="1" x14ac:dyDescent="0.25">
      <c r="A248" s="603" t="s">
        <v>41</v>
      </c>
      <c r="B248" s="604">
        <f t="shared" si="13"/>
        <v>87</v>
      </c>
      <c r="C248" s="604">
        <v>84</v>
      </c>
      <c r="D248" s="604">
        <v>2</v>
      </c>
      <c r="E248" s="604">
        <v>0</v>
      </c>
      <c r="F248" s="604">
        <v>0</v>
      </c>
      <c r="G248" s="604">
        <v>0</v>
      </c>
      <c r="H248" s="604">
        <v>1</v>
      </c>
    </row>
    <row r="249" spans="1:8" s="263" customFormat="1" ht="9" customHeight="1" x14ac:dyDescent="0.25">
      <c r="A249" s="550" t="s">
        <v>42</v>
      </c>
      <c r="B249" s="600">
        <f t="shared" si="13"/>
        <v>122</v>
      </c>
      <c r="C249" s="600">
        <v>116</v>
      </c>
      <c r="D249" s="600">
        <v>3</v>
      </c>
      <c r="E249" s="600">
        <v>0</v>
      </c>
      <c r="F249" s="600">
        <v>2</v>
      </c>
      <c r="G249" s="600">
        <v>0</v>
      </c>
      <c r="H249" s="600">
        <v>1</v>
      </c>
    </row>
    <row r="250" spans="1:8" s="263" customFormat="1" ht="9" customHeight="1" x14ac:dyDescent="0.25">
      <c r="A250" s="550" t="s">
        <v>43</v>
      </c>
      <c r="B250" s="600">
        <f t="shared" si="13"/>
        <v>40</v>
      </c>
      <c r="C250" s="600">
        <v>37</v>
      </c>
      <c r="D250" s="600">
        <v>1</v>
      </c>
      <c r="E250" s="600">
        <v>1</v>
      </c>
      <c r="F250" s="600">
        <v>0</v>
      </c>
      <c r="G250" s="600">
        <v>0</v>
      </c>
      <c r="H250" s="600">
        <v>1</v>
      </c>
    </row>
    <row r="251" spans="1:8" s="263" customFormat="1" ht="9" customHeight="1" x14ac:dyDescent="0.25">
      <c r="A251" s="550" t="s">
        <v>44</v>
      </c>
      <c r="B251" s="600">
        <f t="shared" si="13"/>
        <v>38</v>
      </c>
      <c r="C251" s="600">
        <v>33</v>
      </c>
      <c r="D251" s="600">
        <v>3</v>
      </c>
      <c r="E251" s="600">
        <v>0</v>
      </c>
      <c r="F251" s="600">
        <v>0</v>
      </c>
      <c r="G251" s="600">
        <v>0</v>
      </c>
      <c r="H251" s="600">
        <v>2</v>
      </c>
    </row>
    <row r="252" spans="1:8" s="263" customFormat="1" ht="9" customHeight="1" x14ac:dyDescent="0.25">
      <c r="A252" s="603" t="s">
        <v>45</v>
      </c>
      <c r="B252" s="604">
        <f t="shared" si="13"/>
        <v>39</v>
      </c>
      <c r="C252" s="604">
        <v>36</v>
      </c>
      <c r="D252" s="604">
        <v>2</v>
      </c>
      <c r="E252" s="604">
        <v>1</v>
      </c>
      <c r="F252" s="604">
        <v>0</v>
      </c>
      <c r="G252" s="604">
        <v>0</v>
      </c>
      <c r="H252" s="604">
        <v>0</v>
      </c>
    </row>
    <row r="253" spans="1:8" s="263" customFormat="1" ht="9" customHeight="1" x14ac:dyDescent="0.25">
      <c r="A253" s="550" t="s">
        <v>46</v>
      </c>
      <c r="B253" s="600">
        <f t="shared" si="13"/>
        <v>70</v>
      </c>
      <c r="C253" s="600">
        <v>58</v>
      </c>
      <c r="D253" s="600">
        <v>11</v>
      </c>
      <c r="E253" s="600">
        <v>0</v>
      </c>
      <c r="F253" s="600">
        <v>0</v>
      </c>
      <c r="G253" s="600">
        <v>0</v>
      </c>
      <c r="H253" s="600">
        <v>1</v>
      </c>
    </row>
    <row r="254" spans="1:8" s="263" customFormat="1" ht="9" customHeight="1" x14ac:dyDescent="0.25">
      <c r="A254" s="550" t="s">
        <v>47</v>
      </c>
      <c r="B254" s="600">
        <f t="shared" si="13"/>
        <v>50</v>
      </c>
      <c r="C254" s="600">
        <v>43</v>
      </c>
      <c r="D254" s="600">
        <v>7</v>
      </c>
      <c r="E254" s="600">
        <v>0</v>
      </c>
      <c r="F254" s="600">
        <v>0</v>
      </c>
      <c r="G254" s="600">
        <v>0</v>
      </c>
      <c r="H254" s="600">
        <v>0</v>
      </c>
    </row>
    <row r="255" spans="1:8" s="263" customFormat="1" ht="9" customHeight="1" x14ac:dyDescent="0.25">
      <c r="A255" s="550" t="s">
        <v>48</v>
      </c>
      <c r="B255" s="600">
        <f t="shared" si="13"/>
        <v>50</v>
      </c>
      <c r="C255" s="600">
        <v>47</v>
      </c>
      <c r="D255" s="600">
        <v>1</v>
      </c>
      <c r="E255" s="600">
        <v>1</v>
      </c>
      <c r="F255" s="600">
        <v>1</v>
      </c>
      <c r="G255" s="600">
        <v>0</v>
      </c>
      <c r="H255" s="600">
        <v>0</v>
      </c>
    </row>
    <row r="256" spans="1:8" s="263" customFormat="1" ht="9" customHeight="1" x14ac:dyDescent="0.25">
      <c r="A256" s="603" t="s">
        <v>49</v>
      </c>
      <c r="B256" s="604">
        <f t="shared" si="13"/>
        <v>76</v>
      </c>
      <c r="C256" s="604">
        <v>73</v>
      </c>
      <c r="D256" s="604">
        <v>1</v>
      </c>
      <c r="E256" s="604">
        <v>1</v>
      </c>
      <c r="F256" s="604">
        <v>1</v>
      </c>
      <c r="G256" s="604">
        <v>0</v>
      </c>
      <c r="H256" s="604">
        <v>0</v>
      </c>
    </row>
    <row r="257" spans="1:8" s="263" customFormat="1" ht="9" customHeight="1" x14ac:dyDescent="0.25">
      <c r="A257" s="550" t="s">
        <v>50</v>
      </c>
      <c r="B257" s="600">
        <f t="shared" si="13"/>
        <v>44</v>
      </c>
      <c r="C257" s="600">
        <v>41</v>
      </c>
      <c r="D257" s="600">
        <v>3</v>
      </c>
      <c r="E257" s="600">
        <v>0</v>
      </c>
      <c r="F257" s="600">
        <v>0</v>
      </c>
      <c r="G257" s="600">
        <v>0</v>
      </c>
      <c r="H257" s="600">
        <v>0</v>
      </c>
    </row>
    <row r="258" spans="1:8" s="263" customFormat="1" ht="9" customHeight="1" x14ac:dyDescent="0.25">
      <c r="A258" s="550" t="s">
        <v>51</v>
      </c>
      <c r="B258" s="600">
        <f t="shared" si="13"/>
        <v>162</v>
      </c>
      <c r="C258" s="600">
        <v>141</v>
      </c>
      <c r="D258" s="600">
        <v>15</v>
      </c>
      <c r="E258" s="600">
        <v>0</v>
      </c>
      <c r="F258" s="600">
        <v>2</v>
      </c>
      <c r="G258" s="600">
        <v>1</v>
      </c>
      <c r="H258" s="600">
        <v>3</v>
      </c>
    </row>
    <row r="259" spans="1:8" s="263" customFormat="1" ht="9" customHeight="1" x14ac:dyDescent="0.25">
      <c r="A259" s="550" t="s">
        <v>52</v>
      </c>
      <c r="B259" s="600">
        <f t="shared" si="13"/>
        <v>41</v>
      </c>
      <c r="C259" s="600">
        <v>35</v>
      </c>
      <c r="D259" s="600">
        <v>3</v>
      </c>
      <c r="E259" s="600">
        <v>2</v>
      </c>
      <c r="F259" s="600">
        <v>0</v>
      </c>
      <c r="G259" s="600">
        <v>0</v>
      </c>
      <c r="H259" s="600">
        <v>1</v>
      </c>
    </row>
    <row r="260" spans="1:8" s="263" customFormat="1" ht="9" customHeight="1" x14ac:dyDescent="0.25">
      <c r="A260" s="603" t="s">
        <v>53</v>
      </c>
      <c r="B260" s="604">
        <f t="shared" si="13"/>
        <v>33</v>
      </c>
      <c r="C260" s="604">
        <v>33</v>
      </c>
      <c r="D260" s="604">
        <v>0</v>
      </c>
      <c r="E260" s="604">
        <v>0</v>
      </c>
      <c r="F260" s="604">
        <v>0</v>
      </c>
      <c r="G260" s="604">
        <v>0</v>
      </c>
      <c r="H260" s="604">
        <v>0</v>
      </c>
    </row>
    <row r="261" spans="1:8" s="263" customFormat="1" ht="9" customHeight="1" x14ac:dyDescent="0.25">
      <c r="A261" s="550"/>
      <c r="B261" s="600"/>
      <c r="C261" s="600"/>
      <c r="D261" s="600"/>
      <c r="E261" s="600"/>
      <c r="F261" s="600"/>
      <c r="G261" s="600"/>
      <c r="H261" s="600"/>
    </row>
    <row r="262" spans="1:8" s="263" customFormat="1" ht="9" customHeight="1" x14ac:dyDescent="0.25">
      <c r="A262" s="601">
        <v>2002</v>
      </c>
      <c r="B262" s="266"/>
      <c r="C262" s="266"/>
      <c r="D262" s="266"/>
      <c r="E262" s="266"/>
      <c r="F262" s="266"/>
      <c r="G262" s="266"/>
      <c r="H262" s="266"/>
    </row>
    <row r="263" spans="1:8" s="265" customFormat="1" ht="9" customHeight="1" x14ac:dyDescent="0.25">
      <c r="A263" s="265" t="s">
        <v>21</v>
      </c>
      <c r="B263" s="602">
        <f t="shared" ref="B263:G263" si="14">SUM(B265:B296)</f>
        <v>3055</v>
      </c>
      <c r="C263" s="602">
        <f t="shared" si="14"/>
        <v>2710</v>
      </c>
      <c r="D263" s="602">
        <f t="shared" si="14"/>
        <v>220</v>
      </c>
      <c r="E263" s="602">
        <f t="shared" si="14"/>
        <v>36</v>
      </c>
      <c r="F263" s="602">
        <f t="shared" si="14"/>
        <v>14</v>
      </c>
      <c r="G263" s="602">
        <f t="shared" si="14"/>
        <v>3</v>
      </c>
      <c r="H263" s="602">
        <f>SUM(H265:H296)</f>
        <v>72</v>
      </c>
    </row>
    <row r="264" spans="1:8" s="265" customFormat="1" ht="3.95" customHeight="1" x14ac:dyDescent="0.25">
      <c r="B264" s="602"/>
      <c r="C264" s="602"/>
      <c r="D264" s="602"/>
      <c r="E264" s="602"/>
      <c r="F264" s="602"/>
      <c r="G264" s="602"/>
      <c r="H264" s="602"/>
    </row>
    <row r="265" spans="1:8" s="263" customFormat="1" ht="9" customHeight="1" x14ac:dyDescent="0.25">
      <c r="A265" s="550" t="s">
        <v>23</v>
      </c>
      <c r="B265" s="600">
        <f t="shared" ref="B265:B296" si="15">SUM(C265:H265)</f>
        <v>18</v>
      </c>
      <c r="C265" s="600">
        <v>11</v>
      </c>
      <c r="D265" s="600">
        <v>3</v>
      </c>
      <c r="E265" s="600">
        <v>0</v>
      </c>
      <c r="F265" s="600">
        <v>0</v>
      </c>
      <c r="G265" s="600">
        <v>1</v>
      </c>
      <c r="H265" s="600">
        <v>3</v>
      </c>
    </row>
    <row r="266" spans="1:8" s="263" customFormat="1" ht="9" customHeight="1" x14ac:dyDescent="0.25">
      <c r="A266" s="550" t="s">
        <v>24</v>
      </c>
      <c r="B266" s="600">
        <f t="shared" si="15"/>
        <v>149</v>
      </c>
      <c r="C266" s="598">
        <v>142</v>
      </c>
      <c r="D266" s="598">
        <v>3</v>
      </c>
      <c r="E266" s="598">
        <v>0</v>
      </c>
      <c r="F266" s="598">
        <v>0</v>
      </c>
      <c r="G266" s="598">
        <v>0</v>
      </c>
      <c r="H266" s="598">
        <v>4</v>
      </c>
    </row>
    <row r="267" spans="1:8" s="263" customFormat="1" ht="9" customHeight="1" x14ac:dyDescent="0.25">
      <c r="A267" s="550" t="s">
        <v>25</v>
      </c>
      <c r="B267" s="600">
        <f t="shared" si="15"/>
        <v>11</v>
      </c>
      <c r="C267" s="600">
        <v>10</v>
      </c>
      <c r="D267" s="600">
        <v>0</v>
      </c>
      <c r="E267" s="600">
        <v>0</v>
      </c>
      <c r="F267" s="600">
        <v>0</v>
      </c>
      <c r="G267" s="600">
        <v>0</v>
      </c>
      <c r="H267" s="600">
        <v>1</v>
      </c>
    </row>
    <row r="268" spans="1:8" s="263" customFormat="1" ht="9" customHeight="1" x14ac:dyDescent="0.25">
      <c r="A268" s="603" t="s">
        <v>26</v>
      </c>
      <c r="B268" s="604">
        <f t="shared" si="15"/>
        <v>8</v>
      </c>
      <c r="C268" s="604">
        <v>8</v>
      </c>
      <c r="D268" s="604">
        <v>0</v>
      </c>
      <c r="E268" s="604">
        <v>0</v>
      </c>
      <c r="F268" s="604">
        <v>0</v>
      </c>
      <c r="G268" s="604">
        <v>0</v>
      </c>
      <c r="H268" s="604">
        <v>0</v>
      </c>
    </row>
    <row r="269" spans="1:8" s="263" customFormat="1" ht="9" customHeight="1" x14ac:dyDescent="0.25">
      <c r="A269" s="550" t="s">
        <v>27</v>
      </c>
      <c r="B269" s="600">
        <f t="shared" si="15"/>
        <v>35</v>
      </c>
      <c r="C269" s="600">
        <v>26</v>
      </c>
      <c r="D269" s="600">
        <v>7</v>
      </c>
      <c r="E269" s="600">
        <v>0</v>
      </c>
      <c r="F269" s="600">
        <v>1</v>
      </c>
      <c r="G269" s="600">
        <v>0</v>
      </c>
      <c r="H269" s="600">
        <v>1</v>
      </c>
    </row>
    <row r="270" spans="1:8" s="263" customFormat="1" ht="9" customHeight="1" x14ac:dyDescent="0.25">
      <c r="A270" s="550" t="s">
        <v>28</v>
      </c>
      <c r="B270" s="600">
        <f t="shared" si="15"/>
        <v>13</v>
      </c>
      <c r="C270" s="600">
        <v>13</v>
      </c>
      <c r="D270" s="600">
        <v>0</v>
      </c>
      <c r="E270" s="600">
        <v>0</v>
      </c>
      <c r="F270" s="600">
        <v>0</v>
      </c>
      <c r="G270" s="600">
        <v>0</v>
      </c>
      <c r="H270" s="600">
        <v>0</v>
      </c>
    </row>
    <row r="271" spans="1:8" s="263" customFormat="1" ht="9" customHeight="1" x14ac:dyDescent="0.25">
      <c r="A271" s="550" t="s">
        <v>29</v>
      </c>
      <c r="B271" s="600">
        <f t="shared" si="15"/>
        <v>66</v>
      </c>
      <c r="C271" s="600">
        <v>50</v>
      </c>
      <c r="D271" s="600">
        <v>8</v>
      </c>
      <c r="E271" s="600">
        <v>0</v>
      </c>
      <c r="F271" s="600">
        <v>0</v>
      </c>
      <c r="G271" s="600">
        <v>0</v>
      </c>
      <c r="H271" s="600">
        <v>8</v>
      </c>
    </row>
    <row r="272" spans="1:8" s="263" customFormat="1" ht="9" customHeight="1" x14ac:dyDescent="0.25">
      <c r="A272" s="603" t="s">
        <v>30</v>
      </c>
      <c r="B272" s="604">
        <f t="shared" si="15"/>
        <v>55</v>
      </c>
      <c r="C272" s="604">
        <v>47</v>
      </c>
      <c r="D272" s="604">
        <v>4</v>
      </c>
      <c r="E272" s="604">
        <v>0</v>
      </c>
      <c r="F272" s="604">
        <v>0</v>
      </c>
      <c r="G272" s="604">
        <v>0</v>
      </c>
      <c r="H272" s="604">
        <v>4</v>
      </c>
    </row>
    <row r="273" spans="1:8" s="263" customFormat="1" ht="9" customHeight="1" x14ac:dyDescent="0.25">
      <c r="A273" s="550" t="s">
        <v>63</v>
      </c>
      <c r="B273" s="600">
        <f t="shared" si="15"/>
        <v>314</v>
      </c>
      <c r="C273" s="600">
        <v>281</v>
      </c>
      <c r="D273" s="600">
        <v>16</v>
      </c>
      <c r="E273" s="600">
        <v>3</v>
      </c>
      <c r="F273" s="600">
        <v>2</v>
      </c>
      <c r="G273" s="600">
        <v>1</v>
      </c>
      <c r="H273" s="600">
        <v>11</v>
      </c>
    </row>
    <row r="274" spans="1:8" s="263" customFormat="1" ht="9" customHeight="1" x14ac:dyDescent="0.25">
      <c r="A274" s="550" t="s">
        <v>31</v>
      </c>
      <c r="B274" s="600">
        <f t="shared" si="15"/>
        <v>34</v>
      </c>
      <c r="C274" s="600">
        <v>31</v>
      </c>
      <c r="D274" s="600">
        <v>2</v>
      </c>
      <c r="E274" s="600">
        <v>0</v>
      </c>
      <c r="F274" s="600">
        <v>0</v>
      </c>
      <c r="G274" s="600">
        <v>0</v>
      </c>
      <c r="H274" s="600">
        <v>1</v>
      </c>
    </row>
    <row r="275" spans="1:8" s="263" customFormat="1" ht="9" customHeight="1" x14ac:dyDescent="0.25">
      <c r="A275" s="550" t="s">
        <v>32</v>
      </c>
      <c r="B275" s="600">
        <f t="shared" si="15"/>
        <v>225</v>
      </c>
      <c r="C275" s="600">
        <v>188</v>
      </c>
      <c r="D275" s="600">
        <v>20</v>
      </c>
      <c r="E275" s="600">
        <v>1</v>
      </c>
      <c r="F275" s="600">
        <v>1</v>
      </c>
      <c r="G275" s="600">
        <v>0</v>
      </c>
      <c r="H275" s="600">
        <v>15</v>
      </c>
    </row>
    <row r="276" spans="1:8" s="263" customFormat="1" ht="9" customHeight="1" x14ac:dyDescent="0.25">
      <c r="A276" s="603" t="s">
        <v>33</v>
      </c>
      <c r="B276" s="604">
        <f t="shared" si="15"/>
        <v>104</v>
      </c>
      <c r="C276" s="604">
        <v>96</v>
      </c>
      <c r="D276" s="604">
        <v>5</v>
      </c>
      <c r="E276" s="604">
        <v>2</v>
      </c>
      <c r="F276" s="604">
        <v>0</v>
      </c>
      <c r="G276" s="604">
        <v>0</v>
      </c>
      <c r="H276" s="604">
        <v>1</v>
      </c>
    </row>
    <row r="277" spans="1:8" s="263" customFormat="1" ht="9" customHeight="1" x14ac:dyDescent="0.25">
      <c r="A277" s="550" t="s">
        <v>34</v>
      </c>
      <c r="B277" s="600">
        <f t="shared" si="15"/>
        <v>77</v>
      </c>
      <c r="C277" s="600">
        <v>67</v>
      </c>
      <c r="D277" s="600">
        <v>8</v>
      </c>
      <c r="E277" s="600">
        <v>2</v>
      </c>
      <c r="F277" s="600">
        <v>0</v>
      </c>
      <c r="G277" s="600">
        <v>0</v>
      </c>
      <c r="H277" s="600">
        <v>0</v>
      </c>
    </row>
    <row r="278" spans="1:8" s="263" customFormat="1" ht="9" customHeight="1" x14ac:dyDescent="0.25">
      <c r="A278" s="550" t="s">
        <v>35</v>
      </c>
      <c r="B278" s="600">
        <f t="shared" si="15"/>
        <v>170</v>
      </c>
      <c r="C278" s="600">
        <v>150</v>
      </c>
      <c r="D278" s="600">
        <v>11</v>
      </c>
      <c r="E278" s="600">
        <v>0</v>
      </c>
      <c r="F278" s="600">
        <v>2</v>
      </c>
      <c r="G278" s="600">
        <v>0</v>
      </c>
      <c r="H278" s="600">
        <v>7</v>
      </c>
    </row>
    <row r="279" spans="1:8" s="263" customFormat="1" ht="9" customHeight="1" x14ac:dyDescent="0.25">
      <c r="A279" s="550" t="s">
        <v>36</v>
      </c>
      <c r="B279" s="600">
        <f t="shared" si="15"/>
        <v>568</v>
      </c>
      <c r="C279" s="600">
        <v>506</v>
      </c>
      <c r="D279" s="600">
        <v>43</v>
      </c>
      <c r="E279" s="600">
        <v>19</v>
      </c>
      <c r="F279" s="600">
        <v>0</v>
      </c>
      <c r="G279" s="600">
        <v>0</v>
      </c>
      <c r="H279" s="600">
        <v>0</v>
      </c>
    </row>
    <row r="280" spans="1:8" s="263" customFormat="1" ht="9" customHeight="1" x14ac:dyDescent="0.25">
      <c r="A280" s="603" t="s">
        <v>37</v>
      </c>
      <c r="B280" s="604">
        <f t="shared" si="15"/>
        <v>195</v>
      </c>
      <c r="C280" s="604">
        <v>174</v>
      </c>
      <c r="D280" s="604">
        <v>16</v>
      </c>
      <c r="E280" s="604">
        <v>2</v>
      </c>
      <c r="F280" s="604">
        <v>1</v>
      </c>
      <c r="G280" s="604">
        <v>0</v>
      </c>
      <c r="H280" s="604">
        <v>2</v>
      </c>
    </row>
    <row r="281" spans="1:8" s="263" customFormat="1" ht="9" customHeight="1" x14ac:dyDescent="0.25">
      <c r="A281" s="550" t="s">
        <v>38</v>
      </c>
      <c r="B281" s="600">
        <f t="shared" si="15"/>
        <v>72</v>
      </c>
      <c r="C281" s="600">
        <v>62</v>
      </c>
      <c r="D281" s="600">
        <v>10</v>
      </c>
      <c r="E281" s="600">
        <v>0</v>
      </c>
      <c r="F281" s="600">
        <v>0</v>
      </c>
      <c r="G281" s="600">
        <v>0</v>
      </c>
      <c r="H281" s="600">
        <v>0</v>
      </c>
    </row>
    <row r="282" spans="1:8" s="263" customFormat="1" ht="9" customHeight="1" x14ac:dyDescent="0.25">
      <c r="A282" s="550" t="s">
        <v>39</v>
      </c>
      <c r="B282" s="600">
        <f t="shared" si="15"/>
        <v>21</v>
      </c>
      <c r="C282" s="600">
        <v>18</v>
      </c>
      <c r="D282" s="600">
        <v>3</v>
      </c>
      <c r="E282" s="600">
        <v>0</v>
      </c>
      <c r="F282" s="600">
        <v>0</v>
      </c>
      <c r="G282" s="600">
        <v>0</v>
      </c>
      <c r="H282" s="600">
        <v>0</v>
      </c>
    </row>
    <row r="283" spans="1:8" s="263" customFormat="1" ht="9" customHeight="1" x14ac:dyDescent="0.25">
      <c r="A283" s="550" t="s">
        <v>40</v>
      </c>
      <c r="B283" s="600">
        <f t="shared" si="15"/>
        <v>53</v>
      </c>
      <c r="C283" s="600">
        <v>40</v>
      </c>
      <c r="D283" s="600">
        <v>9</v>
      </c>
      <c r="E283" s="600">
        <v>2</v>
      </c>
      <c r="F283" s="600">
        <v>2</v>
      </c>
      <c r="G283" s="600">
        <v>0</v>
      </c>
      <c r="H283" s="600">
        <v>0</v>
      </c>
    </row>
    <row r="284" spans="1:8" s="263" customFormat="1" ht="9" customHeight="1" x14ac:dyDescent="0.25">
      <c r="A284" s="603" t="s">
        <v>41</v>
      </c>
      <c r="B284" s="604">
        <f t="shared" si="15"/>
        <v>83</v>
      </c>
      <c r="C284" s="604">
        <v>80</v>
      </c>
      <c r="D284" s="604">
        <v>2</v>
      </c>
      <c r="E284" s="604">
        <v>0</v>
      </c>
      <c r="F284" s="604">
        <v>0</v>
      </c>
      <c r="G284" s="604">
        <v>0</v>
      </c>
      <c r="H284" s="604">
        <v>1</v>
      </c>
    </row>
    <row r="285" spans="1:8" s="263" customFormat="1" ht="9" customHeight="1" x14ac:dyDescent="0.25">
      <c r="A285" s="550" t="s">
        <v>42</v>
      </c>
      <c r="B285" s="600">
        <f t="shared" si="15"/>
        <v>130</v>
      </c>
      <c r="C285" s="600">
        <v>125</v>
      </c>
      <c r="D285" s="600">
        <v>2</v>
      </c>
      <c r="E285" s="600">
        <v>0</v>
      </c>
      <c r="F285" s="600">
        <v>2</v>
      </c>
      <c r="G285" s="600">
        <v>0</v>
      </c>
      <c r="H285" s="600">
        <v>1</v>
      </c>
    </row>
    <row r="286" spans="1:8" s="263" customFormat="1" ht="9" customHeight="1" x14ac:dyDescent="0.25">
      <c r="A286" s="550" t="s">
        <v>43</v>
      </c>
      <c r="B286" s="600">
        <f t="shared" si="15"/>
        <v>51</v>
      </c>
      <c r="C286" s="600">
        <v>46</v>
      </c>
      <c r="D286" s="600">
        <v>4</v>
      </c>
      <c r="E286" s="600">
        <v>0</v>
      </c>
      <c r="F286" s="600">
        <v>0</v>
      </c>
      <c r="G286" s="600">
        <v>0</v>
      </c>
      <c r="H286" s="600">
        <v>1</v>
      </c>
    </row>
    <row r="287" spans="1:8" s="263" customFormat="1" ht="9" customHeight="1" x14ac:dyDescent="0.25">
      <c r="A287" s="550" t="s">
        <v>44</v>
      </c>
      <c r="B287" s="600">
        <f t="shared" si="15"/>
        <v>37</v>
      </c>
      <c r="C287" s="600">
        <v>31</v>
      </c>
      <c r="D287" s="600">
        <v>3</v>
      </c>
      <c r="E287" s="600">
        <v>0</v>
      </c>
      <c r="F287" s="600">
        <v>0</v>
      </c>
      <c r="G287" s="600">
        <v>0</v>
      </c>
      <c r="H287" s="600">
        <v>3</v>
      </c>
    </row>
    <row r="288" spans="1:8" s="263" customFormat="1" ht="9" customHeight="1" x14ac:dyDescent="0.25">
      <c r="A288" s="603" t="s">
        <v>45</v>
      </c>
      <c r="B288" s="604">
        <f t="shared" si="15"/>
        <v>41</v>
      </c>
      <c r="C288" s="604">
        <v>38</v>
      </c>
      <c r="D288" s="604">
        <v>1</v>
      </c>
      <c r="E288" s="604">
        <v>1</v>
      </c>
      <c r="F288" s="604">
        <v>0</v>
      </c>
      <c r="G288" s="604">
        <v>0</v>
      </c>
      <c r="H288" s="604">
        <v>1</v>
      </c>
    </row>
    <row r="289" spans="1:9" s="263" customFormat="1" ht="9" customHeight="1" x14ac:dyDescent="0.25">
      <c r="A289" s="550" t="s">
        <v>46</v>
      </c>
      <c r="B289" s="600">
        <f t="shared" si="15"/>
        <v>69</v>
      </c>
      <c r="C289" s="600">
        <v>59</v>
      </c>
      <c r="D289" s="600">
        <v>9</v>
      </c>
      <c r="E289" s="600">
        <v>0</v>
      </c>
      <c r="F289" s="600">
        <v>0</v>
      </c>
      <c r="G289" s="600">
        <v>0</v>
      </c>
      <c r="H289" s="600">
        <v>1</v>
      </c>
    </row>
    <row r="290" spans="1:9" s="263" customFormat="1" ht="9" customHeight="1" x14ac:dyDescent="0.25">
      <c r="A290" s="550" t="s">
        <v>47</v>
      </c>
      <c r="B290" s="600">
        <f t="shared" si="15"/>
        <v>53</v>
      </c>
      <c r="C290" s="600">
        <v>47</v>
      </c>
      <c r="D290" s="600">
        <v>6</v>
      </c>
      <c r="E290" s="600">
        <v>0</v>
      </c>
      <c r="F290" s="600">
        <v>0</v>
      </c>
      <c r="G290" s="600">
        <v>0</v>
      </c>
      <c r="H290" s="600">
        <v>0</v>
      </c>
    </row>
    <row r="291" spans="1:9" s="263" customFormat="1" ht="9" customHeight="1" x14ac:dyDescent="0.25">
      <c r="A291" s="550" t="s">
        <v>48</v>
      </c>
      <c r="B291" s="600">
        <f t="shared" si="15"/>
        <v>56</v>
      </c>
      <c r="C291" s="600">
        <v>54</v>
      </c>
      <c r="D291" s="600">
        <v>2</v>
      </c>
      <c r="E291" s="600">
        <v>0</v>
      </c>
      <c r="F291" s="600">
        <v>0</v>
      </c>
      <c r="G291" s="600">
        <v>0</v>
      </c>
      <c r="H291" s="600">
        <v>0</v>
      </c>
    </row>
    <row r="292" spans="1:9" s="263" customFormat="1" ht="9" customHeight="1" x14ac:dyDescent="0.25">
      <c r="A292" s="603" t="s">
        <v>49</v>
      </c>
      <c r="B292" s="604">
        <f t="shared" si="15"/>
        <v>72</v>
      </c>
      <c r="C292" s="604">
        <v>68</v>
      </c>
      <c r="D292" s="604">
        <v>1</v>
      </c>
      <c r="E292" s="604">
        <v>1</v>
      </c>
      <c r="F292" s="604">
        <v>1</v>
      </c>
      <c r="G292" s="604">
        <v>0</v>
      </c>
      <c r="H292" s="604">
        <v>1</v>
      </c>
    </row>
    <row r="293" spans="1:9" s="263" customFormat="1" ht="9" customHeight="1" x14ac:dyDescent="0.25">
      <c r="A293" s="550" t="s">
        <v>50</v>
      </c>
      <c r="B293" s="600">
        <f t="shared" si="15"/>
        <v>41</v>
      </c>
      <c r="C293" s="600">
        <v>38</v>
      </c>
      <c r="D293" s="600">
        <v>3</v>
      </c>
      <c r="E293" s="600">
        <v>0</v>
      </c>
      <c r="F293" s="600">
        <v>0</v>
      </c>
      <c r="G293" s="600">
        <v>0</v>
      </c>
      <c r="H293" s="600">
        <v>0</v>
      </c>
    </row>
    <row r="294" spans="1:9" s="263" customFormat="1" ht="9" customHeight="1" x14ac:dyDescent="0.25">
      <c r="A294" s="550" t="s">
        <v>51</v>
      </c>
      <c r="B294" s="600">
        <f t="shared" si="15"/>
        <v>163</v>
      </c>
      <c r="C294" s="600">
        <v>137</v>
      </c>
      <c r="D294" s="600">
        <v>17</v>
      </c>
      <c r="E294" s="600">
        <v>1</v>
      </c>
      <c r="F294" s="600">
        <v>2</v>
      </c>
      <c r="G294" s="600">
        <v>1</v>
      </c>
      <c r="H294" s="600">
        <v>5</v>
      </c>
    </row>
    <row r="295" spans="1:9" s="263" customFormat="1" ht="9" customHeight="1" x14ac:dyDescent="0.25">
      <c r="A295" s="550" t="s">
        <v>52</v>
      </c>
      <c r="B295" s="600">
        <f t="shared" si="15"/>
        <v>39</v>
      </c>
      <c r="C295" s="600">
        <v>35</v>
      </c>
      <c r="D295" s="600">
        <v>2</v>
      </c>
      <c r="E295" s="600">
        <v>2</v>
      </c>
      <c r="F295" s="600">
        <v>0</v>
      </c>
      <c r="G295" s="600">
        <v>0</v>
      </c>
      <c r="H295" s="600">
        <v>0</v>
      </c>
    </row>
    <row r="296" spans="1:9" s="263" customFormat="1" ht="9" customHeight="1" x14ac:dyDescent="0.25">
      <c r="A296" s="603" t="s">
        <v>53</v>
      </c>
      <c r="B296" s="604">
        <f t="shared" si="15"/>
        <v>32</v>
      </c>
      <c r="C296" s="604">
        <v>32</v>
      </c>
      <c r="D296" s="604">
        <v>0</v>
      </c>
      <c r="E296" s="604">
        <v>0</v>
      </c>
      <c r="F296" s="604">
        <v>0</v>
      </c>
      <c r="G296" s="604">
        <v>0</v>
      </c>
      <c r="H296" s="604">
        <v>0</v>
      </c>
    </row>
    <row r="297" spans="1:9" s="263" customFormat="1" ht="9" customHeight="1" x14ac:dyDescent="0.25">
      <c r="A297" s="269"/>
      <c r="B297" s="605"/>
      <c r="C297" s="605"/>
      <c r="D297" s="605"/>
      <c r="E297" s="605"/>
      <c r="F297" s="605"/>
      <c r="G297" s="605"/>
      <c r="H297" s="605"/>
      <c r="I297" s="286"/>
    </row>
    <row r="298" spans="1:9" s="263" customFormat="1" ht="9" customHeight="1" x14ac:dyDescent="0.25">
      <c r="A298" s="601">
        <v>2003</v>
      </c>
      <c r="B298" s="266"/>
      <c r="C298" s="266"/>
      <c r="D298" s="266"/>
      <c r="E298" s="266"/>
      <c r="F298" s="266"/>
      <c r="G298" s="266"/>
      <c r="H298" s="266"/>
    </row>
    <row r="299" spans="1:9" s="265" customFormat="1" ht="9" customHeight="1" x14ac:dyDescent="0.25">
      <c r="A299" s="265" t="s">
        <v>21</v>
      </c>
      <c r="B299" s="602">
        <f>SUM(B301:B332)</f>
        <v>3039</v>
      </c>
      <c r="C299" s="602">
        <f t="shared" ref="C299:H299" si="16">SUM(C301:C332)</f>
        <v>2702</v>
      </c>
      <c r="D299" s="602">
        <f t="shared" si="16"/>
        <v>224</v>
      </c>
      <c r="E299" s="602">
        <f t="shared" si="16"/>
        <v>19</v>
      </c>
      <c r="F299" s="602">
        <f t="shared" si="16"/>
        <v>16</v>
      </c>
      <c r="G299" s="602">
        <f t="shared" si="16"/>
        <v>5</v>
      </c>
      <c r="H299" s="602">
        <f t="shared" si="16"/>
        <v>73</v>
      </c>
    </row>
    <row r="300" spans="1:9" s="265" customFormat="1" ht="3.95" customHeight="1" x14ac:dyDescent="0.25">
      <c r="B300" s="602"/>
      <c r="C300" s="602"/>
      <c r="D300" s="602"/>
      <c r="E300" s="602"/>
      <c r="F300" s="602"/>
      <c r="G300" s="602"/>
      <c r="H300" s="602"/>
    </row>
    <row r="301" spans="1:9" s="263" customFormat="1" ht="9" customHeight="1" x14ac:dyDescent="0.25">
      <c r="A301" s="550" t="s">
        <v>23</v>
      </c>
      <c r="B301" s="600">
        <f t="shared" ref="B301:B332" si="17">SUM(C301:H301)</f>
        <v>17</v>
      </c>
      <c r="C301" s="600">
        <v>11</v>
      </c>
      <c r="D301" s="600">
        <v>2</v>
      </c>
      <c r="E301" s="600">
        <v>0</v>
      </c>
      <c r="F301" s="600">
        <v>0</v>
      </c>
      <c r="G301" s="600">
        <v>1</v>
      </c>
      <c r="H301" s="600">
        <v>3</v>
      </c>
    </row>
    <row r="302" spans="1:9" s="263" customFormat="1" ht="9" customHeight="1" x14ac:dyDescent="0.25">
      <c r="A302" s="550" t="s">
        <v>24</v>
      </c>
      <c r="B302" s="600">
        <f t="shared" si="17"/>
        <v>137</v>
      </c>
      <c r="C302" s="598">
        <v>128</v>
      </c>
      <c r="D302" s="598">
        <v>2</v>
      </c>
      <c r="E302" s="598">
        <v>1</v>
      </c>
      <c r="F302" s="598">
        <v>0</v>
      </c>
      <c r="G302" s="598">
        <v>0</v>
      </c>
      <c r="H302" s="598">
        <v>6</v>
      </c>
    </row>
    <row r="303" spans="1:9" s="263" customFormat="1" ht="9" customHeight="1" x14ac:dyDescent="0.25">
      <c r="A303" s="550" t="s">
        <v>25</v>
      </c>
      <c r="B303" s="600">
        <f t="shared" si="17"/>
        <v>11</v>
      </c>
      <c r="C303" s="600">
        <v>10</v>
      </c>
      <c r="D303" s="600">
        <v>0</v>
      </c>
      <c r="E303" s="600">
        <v>0</v>
      </c>
      <c r="F303" s="600">
        <v>0</v>
      </c>
      <c r="G303" s="600">
        <v>0</v>
      </c>
      <c r="H303" s="600">
        <v>1</v>
      </c>
    </row>
    <row r="304" spans="1:9" s="263" customFormat="1" ht="9" customHeight="1" x14ac:dyDescent="0.25">
      <c r="A304" s="603" t="s">
        <v>26</v>
      </c>
      <c r="B304" s="604">
        <f t="shared" si="17"/>
        <v>9</v>
      </c>
      <c r="C304" s="604">
        <v>9</v>
      </c>
      <c r="D304" s="604">
        <v>0</v>
      </c>
      <c r="E304" s="604">
        <v>0</v>
      </c>
      <c r="F304" s="604">
        <v>0</v>
      </c>
      <c r="G304" s="604">
        <v>0</v>
      </c>
      <c r="H304" s="604">
        <v>0</v>
      </c>
    </row>
    <row r="305" spans="1:8" s="263" customFormat="1" ht="9" customHeight="1" x14ac:dyDescent="0.25">
      <c r="A305" s="550" t="s">
        <v>27</v>
      </c>
      <c r="B305" s="600">
        <f t="shared" si="17"/>
        <v>36</v>
      </c>
      <c r="C305" s="600">
        <v>28</v>
      </c>
      <c r="D305" s="600">
        <v>6</v>
      </c>
      <c r="E305" s="600">
        <v>0</v>
      </c>
      <c r="F305" s="600">
        <v>1</v>
      </c>
      <c r="G305" s="600">
        <v>0</v>
      </c>
      <c r="H305" s="600">
        <v>1</v>
      </c>
    </row>
    <row r="306" spans="1:8" s="263" customFormat="1" ht="9" customHeight="1" x14ac:dyDescent="0.25">
      <c r="A306" s="550" t="s">
        <v>28</v>
      </c>
      <c r="B306" s="600">
        <f t="shared" si="17"/>
        <v>11</v>
      </c>
      <c r="C306" s="600">
        <v>11</v>
      </c>
      <c r="D306" s="600">
        <v>0</v>
      </c>
      <c r="E306" s="600">
        <v>0</v>
      </c>
      <c r="F306" s="600">
        <v>0</v>
      </c>
      <c r="G306" s="600">
        <v>0</v>
      </c>
      <c r="H306" s="600">
        <v>0</v>
      </c>
    </row>
    <row r="307" spans="1:8" s="263" customFormat="1" ht="9" customHeight="1" x14ac:dyDescent="0.25">
      <c r="A307" s="550" t="s">
        <v>29</v>
      </c>
      <c r="B307" s="600">
        <f t="shared" si="17"/>
        <v>67</v>
      </c>
      <c r="C307" s="600">
        <v>47</v>
      </c>
      <c r="D307" s="600">
        <v>8</v>
      </c>
      <c r="E307" s="600">
        <v>0</v>
      </c>
      <c r="F307" s="600">
        <v>0</v>
      </c>
      <c r="G307" s="600">
        <v>0</v>
      </c>
      <c r="H307" s="600">
        <v>12</v>
      </c>
    </row>
    <row r="308" spans="1:8" s="263" customFormat="1" ht="9" customHeight="1" x14ac:dyDescent="0.25">
      <c r="A308" s="603" t="s">
        <v>30</v>
      </c>
      <c r="B308" s="604">
        <f t="shared" si="17"/>
        <v>57</v>
      </c>
      <c r="C308" s="604">
        <v>51</v>
      </c>
      <c r="D308" s="604">
        <v>3</v>
      </c>
      <c r="E308" s="604">
        <v>0</v>
      </c>
      <c r="F308" s="604">
        <v>0</v>
      </c>
      <c r="G308" s="604">
        <v>0</v>
      </c>
      <c r="H308" s="604">
        <v>3</v>
      </c>
    </row>
    <row r="309" spans="1:8" s="263" customFormat="1" ht="9" customHeight="1" x14ac:dyDescent="0.25">
      <c r="A309" s="550" t="s">
        <v>63</v>
      </c>
      <c r="B309" s="600">
        <f t="shared" si="17"/>
        <v>314</v>
      </c>
      <c r="C309" s="600">
        <v>283</v>
      </c>
      <c r="D309" s="600">
        <v>13</v>
      </c>
      <c r="E309" s="600">
        <v>4</v>
      </c>
      <c r="F309" s="600">
        <v>3</v>
      </c>
      <c r="G309" s="600">
        <v>0</v>
      </c>
      <c r="H309" s="600">
        <v>11</v>
      </c>
    </row>
    <row r="310" spans="1:8" s="263" customFormat="1" ht="9" customHeight="1" x14ac:dyDescent="0.25">
      <c r="A310" s="550" t="s">
        <v>31</v>
      </c>
      <c r="B310" s="600">
        <f t="shared" si="17"/>
        <v>35</v>
      </c>
      <c r="C310" s="600">
        <v>32</v>
      </c>
      <c r="D310" s="600">
        <v>2</v>
      </c>
      <c r="E310" s="600">
        <v>0</v>
      </c>
      <c r="F310" s="600">
        <v>0</v>
      </c>
      <c r="G310" s="600">
        <v>0</v>
      </c>
      <c r="H310" s="600">
        <v>1</v>
      </c>
    </row>
    <row r="311" spans="1:8" s="263" customFormat="1" ht="9" customHeight="1" x14ac:dyDescent="0.25">
      <c r="A311" s="550" t="s">
        <v>32</v>
      </c>
      <c r="B311" s="600">
        <f t="shared" si="17"/>
        <v>226</v>
      </c>
      <c r="C311" s="600">
        <v>190</v>
      </c>
      <c r="D311" s="600">
        <v>21</v>
      </c>
      <c r="E311" s="600">
        <v>1</v>
      </c>
      <c r="F311" s="600">
        <v>1</v>
      </c>
      <c r="G311" s="600">
        <v>0</v>
      </c>
      <c r="H311" s="600">
        <v>13</v>
      </c>
    </row>
    <row r="312" spans="1:8" s="263" customFormat="1" ht="9" customHeight="1" x14ac:dyDescent="0.25">
      <c r="A312" s="603" t="s">
        <v>33</v>
      </c>
      <c r="B312" s="604">
        <f t="shared" si="17"/>
        <v>99</v>
      </c>
      <c r="C312" s="604">
        <v>82</v>
      </c>
      <c r="D312" s="604">
        <v>17</v>
      </c>
      <c r="E312" s="604">
        <v>0</v>
      </c>
      <c r="F312" s="604">
        <v>0</v>
      </c>
      <c r="G312" s="604">
        <v>0</v>
      </c>
      <c r="H312" s="604">
        <v>0</v>
      </c>
    </row>
    <row r="313" spans="1:8" s="263" customFormat="1" ht="9" customHeight="1" x14ac:dyDescent="0.25">
      <c r="A313" s="550" t="s">
        <v>34</v>
      </c>
      <c r="B313" s="600">
        <f t="shared" si="17"/>
        <v>93</v>
      </c>
      <c r="C313" s="600">
        <v>79</v>
      </c>
      <c r="D313" s="600">
        <v>13</v>
      </c>
      <c r="E313" s="600">
        <v>1</v>
      </c>
      <c r="F313" s="600">
        <v>0</v>
      </c>
      <c r="G313" s="600">
        <v>0</v>
      </c>
      <c r="H313" s="600">
        <v>0</v>
      </c>
    </row>
    <row r="314" spans="1:8" s="263" customFormat="1" ht="9" customHeight="1" x14ac:dyDescent="0.25">
      <c r="A314" s="550" t="s">
        <v>35</v>
      </c>
      <c r="B314" s="600">
        <f t="shared" si="17"/>
        <v>168</v>
      </c>
      <c r="C314" s="600">
        <v>155</v>
      </c>
      <c r="D314" s="600">
        <v>8</v>
      </c>
      <c r="E314" s="600">
        <v>0</v>
      </c>
      <c r="F314" s="600">
        <v>0</v>
      </c>
      <c r="G314" s="600">
        <v>0</v>
      </c>
      <c r="H314" s="600">
        <v>5</v>
      </c>
    </row>
    <row r="315" spans="1:8" s="263" customFormat="1" ht="9" customHeight="1" x14ac:dyDescent="0.25">
      <c r="A315" s="550" t="s">
        <v>36</v>
      </c>
      <c r="B315" s="600">
        <f t="shared" si="17"/>
        <v>560</v>
      </c>
      <c r="C315" s="600">
        <v>516</v>
      </c>
      <c r="D315" s="600">
        <v>34</v>
      </c>
      <c r="E315" s="600">
        <v>2</v>
      </c>
      <c r="F315" s="600">
        <v>1</v>
      </c>
      <c r="G315" s="600">
        <v>2</v>
      </c>
      <c r="H315" s="600">
        <v>5</v>
      </c>
    </row>
    <row r="316" spans="1:8" s="263" customFormat="1" ht="9" customHeight="1" x14ac:dyDescent="0.25">
      <c r="A316" s="603" t="s">
        <v>37</v>
      </c>
      <c r="B316" s="604">
        <f t="shared" si="17"/>
        <v>193</v>
      </c>
      <c r="C316" s="604">
        <v>174</v>
      </c>
      <c r="D316" s="604">
        <v>14</v>
      </c>
      <c r="E316" s="604">
        <v>2</v>
      </c>
      <c r="F316" s="604">
        <v>2</v>
      </c>
      <c r="G316" s="604">
        <v>0</v>
      </c>
      <c r="H316" s="604">
        <v>1</v>
      </c>
    </row>
    <row r="317" spans="1:8" s="263" customFormat="1" ht="9" customHeight="1" x14ac:dyDescent="0.25">
      <c r="A317" s="550" t="s">
        <v>38</v>
      </c>
      <c r="B317" s="600">
        <f t="shared" si="17"/>
        <v>73</v>
      </c>
      <c r="C317" s="600">
        <v>63</v>
      </c>
      <c r="D317" s="600">
        <v>10</v>
      </c>
      <c r="E317" s="600">
        <v>0</v>
      </c>
      <c r="F317" s="600">
        <v>0</v>
      </c>
      <c r="G317" s="600">
        <v>0</v>
      </c>
      <c r="H317" s="600">
        <v>0</v>
      </c>
    </row>
    <row r="318" spans="1:8" s="263" customFormat="1" ht="9" customHeight="1" x14ac:dyDescent="0.25">
      <c r="A318" s="550" t="s">
        <v>39</v>
      </c>
      <c r="B318" s="600">
        <f t="shared" si="17"/>
        <v>20</v>
      </c>
      <c r="C318" s="600">
        <v>16</v>
      </c>
      <c r="D318" s="600">
        <v>4</v>
      </c>
      <c r="E318" s="600">
        <v>0</v>
      </c>
      <c r="F318" s="600">
        <v>0</v>
      </c>
      <c r="G318" s="600">
        <v>0</v>
      </c>
      <c r="H318" s="600">
        <v>0</v>
      </c>
    </row>
    <row r="319" spans="1:8" s="263" customFormat="1" ht="9" customHeight="1" x14ac:dyDescent="0.25">
      <c r="A319" s="550" t="s">
        <v>40</v>
      </c>
      <c r="B319" s="600">
        <f t="shared" si="17"/>
        <v>51</v>
      </c>
      <c r="C319" s="600">
        <v>38</v>
      </c>
      <c r="D319" s="600">
        <v>9</v>
      </c>
      <c r="E319" s="600">
        <v>2</v>
      </c>
      <c r="F319" s="600">
        <v>2</v>
      </c>
      <c r="G319" s="600">
        <v>0</v>
      </c>
      <c r="H319" s="600">
        <v>0</v>
      </c>
    </row>
    <row r="320" spans="1:8" s="263" customFormat="1" ht="9" customHeight="1" x14ac:dyDescent="0.25">
      <c r="A320" s="603" t="s">
        <v>41</v>
      </c>
      <c r="B320" s="604">
        <f t="shared" si="17"/>
        <v>83</v>
      </c>
      <c r="C320" s="604">
        <v>79</v>
      </c>
      <c r="D320" s="604">
        <v>3</v>
      </c>
      <c r="E320" s="604">
        <v>0</v>
      </c>
      <c r="F320" s="604">
        <v>0</v>
      </c>
      <c r="G320" s="604">
        <v>1</v>
      </c>
      <c r="H320" s="604">
        <v>0</v>
      </c>
    </row>
    <row r="321" spans="1:24" s="263" customFormat="1" ht="9" customHeight="1" x14ac:dyDescent="0.25">
      <c r="A321" s="550" t="s">
        <v>42</v>
      </c>
      <c r="B321" s="600">
        <f t="shared" si="17"/>
        <v>131</v>
      </c>
      <c r="C321" s="600">
        <v>125</v>
      </c>
      <c r="D321" s="600">
        <v>3</v>
      </c>
      <c r="E321" s="600">
        <v>0</v>
      </c>
      <c r="F321" s="600">
        <v>2</v>
      </c>
      <c r="G321" s="600">
        <v>0</v>
      </c>
      <c r="H321" s="600">
        <v>1</v>
      </c>
    </row>
    <row r="322" spans="1:24" s="263" customFormat="1" ht="9" customHeight="1" x14ac:dyDescent="0.25">
      <c r="A322" s="550" t="s">
        <v>43</v>
      </c>
      <c r="B322" s="600">
        <f t="shared" si="17"/>
        <v>51</v>
      </c>
      <c r="C322" s="600">
        <v>43</v>
      </c>
      <c r="D322" s="600">
        <v>5</v>
      </c>
      <c r="E322" s="600">
        <v>1</v>
      </c>
      <c r="F322" s="600">
        <v>0</v>
      </c>
      <c r="G322" s="600">
        <v>0</v>
      </c>
      <c r="H322" s="600">
        <v>2</v>
      </c>
    </row>
    <row r="323" spans="1:24" s="263" customFormat="1" ht="9" customHeight="1" x14ac:dyDescent="0.25">
      <c r="A323" s="550" t="s">
        <v>44</v>
      </c>
      <c r="B323" s="600">
        <f t="shared" si="17"/>
        <v>36</v>
      </c>
      <c r="C323" s="600">
        <v>32</v>
      </c>
      <c r="D323" s="600">
        <v>3</v>
      </c>
      <c r="E323" s="600">
        <v>0</v>
      </c>
      <c r="F323" s="600">
        <v>0</v>
      </c>
      <c r="G323" s="600">
        <v>0</v>
      </c>
      <c r="H323" s="600">
        <v>1</v>
      </c>
    </row>
    <row r="324" spans="1:24" s="263" customFormat="1" ht="9" customHeight="1" x14ac:dyDescent="0.25">
      <c r="A324" s="603" t="s">
        <v>45</v>
      </c>
      <c r="B324" s="604">
        <f t="shared" si="17"/>
        <v>41</v>
      </c>
      <c r="C324" s="604">
        <v>37</v>
      </c>
      <c r="D324" s="604">
        <v>1</v>
      </c>
      <c r="E324" s="604">
        <v>1</v>
      </c>
      <c r="F324" s="604">
        <v>0</v>
      </c>
      <c r="G324" s="604">
        <v>0</v>
      </c>
      <c r="H324" s="604">
        <v>2</v>
      </c>
    </row>
    <row r="325" spans="1:24" s="263" customFormat="1" ht="9" customHeight="1" x14ac:dyDescent="0.25">
      <c r="A325" s="550" t="s">
        <v>46</v>
      </c>
      <c r="B325" s="600">
        <f t="shared" si="17"/>
        <v>68</v>
      </c>
      <c r="C325" s="600">
        <v>57</v>
      </c>
      <c r="D325" s="600">
        <v>10</v>
      </c>
      <c r="E325" s="600">
        <v>0</v>
      </c>
      <c r="F325" s="600">
        <v>0</v>
      </c>
      <c r="G325" s="600">
        <v>0</v>
      </c>
      <c r="H325" s="600">
        <v>1</v>
      </c>
    </row>
    <row r="326" spans="1:24" s="263" customFormat="1" ht="9" customHeight="1" x14ac:dyDescent="0.25">
      <c r="A326" s="550" t="s">
        <v>47</v>
      </c>
      <c r="B326" s="600">
        <f t="shared" si="17"/>
        <v>50</v>
      </c>
      <c r="C326" s="600">
        <v>43</v>
      </c>
      <c r="D326" s="600">
        <v>7</v>
      </c>
      <c r="E326" s="600">
        <v>0</v>
      </c>
      <c r="F326" s="600">
        <v>0</v>
      </c>
      <c r="G326" s="600">
        <v>0</v>
      </c>
      <c r="H326" s="600">
        <v>0</v>
      </c>
    </row>
    <row r="327" spans="1:24" s="263" customFormat="1" ht="9" customHeight="1" x14ac:dyDescent="0.25">
      <c r="A327" s="550" t="s">
        <v>48</v>
      </c>
      <c r="B327" s="600">
        <f t="shared" si="17"/>
        <v>54</v>
      </c>
      <c r="C327" s="600">
        <v>52</v>
      </c>
      <c r="D327" s="600">
        <v>1</v>
      </c>
      <c r="E327" s="600">
        <v>0</v>
      </c>
      <c r="F327" s="600">
        <v>0</v>
      </c>
      <c r="G327" s="600">
        <v>0</v>
      </c>
      <c r="H327" s="600">
        <v>1</v>
      </c>
    </row>
    <row r="328" spans="1:24" s="263" customFormat="1" ht="9" customHeight="1" x14ac:dyDescent="0.25">
      <c r="A328" s="603" t="s">
        <v>49</v>
      </c>
      <c r="B328" s="604">
        <f t="shared" si="17"/>
        <v>72</v>
      </c>
      <c r="C328" s="604">
        <v>69</v>
      </c>
      <c r="D328" s="604">
        <v>1</v>
      </c>
      <c r="E328" s="604">
        <v>1</v>
      </c>
      <c r="F328" s="604">
        <v>1</v>
      </c>
      <c r="G328" s="604">
        <v>0</v>
      </c>
      <c r="H328" s="604">
        <v>0</v>
      </c>
    </row>
    <row r="329" spans="1:24" s="263" customFormat="1" ht="9" customHeight="1" x14ac:dyDescent="0.25">
      <c r="A329" s="550" t="s">
        <v>50</v>
      </c>
      <c r="B329" s="600">
        <f t="shared" si="17"/>
        <v>44</v>
      </c>
      <c r="C329" s="600">
        <v>40</v>
      </c>
      <c r="D329" s="600">
        <v>4</v>
      </c>
      <c r="E329" s="600">
        <v>0</v>
      </c>
      <c r="F329" s="600">
        <v>0</v>
      </c>
      <c r="G329" s="600">
        <v>0</v>
      </c>
      <c r="H329" s="600">
        <v>0</v>
      </c>
    </row>
    <row r="330" spans="1:24" s="263" customFormat="1" ht="9" customHeight="1" x14ac:dyDescent="0.25">
      <c r="A330" s="550" t="s">
        <v>51</v>
      </c>
      <c r="B330" s="600">
        <f t="shared" si="17"/>
        <v>165</v>
      </c>
      <c r="C330" s="600">
        <v>140</v>
      </c>
      <c r="D330" s="600">
        <v>17</v>
      </c>
      <c r="E330" s="600">
        <v>1</v>
      </c>
      <c r="F330" s="600">
        <v>3</v>
      </c>
      <c r="G330" s="600">
        <v>1</v>
      </c>
      <c r="H330" s="600">
        <v>3</v>
      </c>
    </row>
    <row r="331" spans="1:24" s="263" customFormat="1" ht="9" customHeight="1" x14ac:dyDescent="0.25">
      <c r="A331" s="550" t="s">
        <v>52</v>
      </c>
      <c r="B331" s="600">
        <f t="shared" si="17"/>
        <v>37</v>
      </c>
      <c r="C331" s="600">
        <v>33</v>
      </c>
      <c r="D331" s="600">
        <v>2</v>
      </c>
      <c r="E331" s="600">
        <v>2</v>
      </c>
      <c r="F331" s="600">
        <v>0</v>
      </c>
      <c r="G331" s="600">
        <v>0</v>
      </c>
      <c r="H331" s="600">
        <v>0</v>
      </c>
    </row>
    <row r="332" spans="1:24" s="263" customFormat="1" ht="9" customHeight="1" x14ac:dyDescent="0.25">
      <c r="A332" s="603" t="s">
        <v>53</v>
      </c>
      <c r="B332" s="604">
        <f t="shared" si="17"/>
        <v>30</v>
      </c>
      <c r="C332" s="604">
        <v>29</v>
      </c>
      <c r="D332" s="604">
        <v>1</v>
      </c>
      <c r="E332" s="604">
        <v>0</v>
      </c>
      <c r="F332" s="604">
        <v>0</v>
      </c>
      <c r="G332" s="604">
        <v>0</v>
      </c>
      <c r="H332" s="604">
        <v>0</v>
      </c>
    </row>
    <row r="333" spans="1:24" s="263" customFormat="1" ht="9" customHeight="1" x14ac:dyDescent="0.25">
      <c r="A333" s="269"/>
      <c r="B333" s="605"/>
      <c r="C333" s="605"/>
      <c r="D333" s="605"/>
      <c r="E333" s="605"/>
      <c r="F333" s="605"/>
      <c r="G333" s="605"/>
      <c r="H333" s="605"/>
      <c r="I333" s="286"/>
    </row>
    <row r="334" spans="1:24" s="263" customFormat="1" ht="9" customHeight="1" x14ac:dyDescent="0.25">
      <c r="A334" s="601">
        <v>2004</v>
      </c>
      <c r="B334" s="266"/>
      <c r="C334" s="266"/>
      <c r="D334" s="266"/>
      <c r="E334" s="266"/>
      <c r="F334" s="266"/>
      <c r="G334" s="266"/>
      <c r="H334" s="266"/>
    </row>
    <row r="335" spans="1:24" s="265" customFormat="1" ht="9" customHeight="1" x14ac:dyDescent="0.25">
      <c r="A335" s="265" t="s">
        <v>21</v>
      </c>
      <c r="B335" s="602">
        <f t="shared" ref="B335:G335" si="18">SUM(B337:B368)</f>
        <v>3020</v>
      </c>
      <c r="C335" s="602">
        <f t="shared" si="18"/>
        <v>2693</v>
      </c>
      <c r="D335" s="602">
        <f t="shared" si="18"/>
        <v>224</v>
      </c>
      <c r="E335" s="602">
        <f t="shared" si="18"/>
        <v>14</v>
      </c>
      <c r="F335" s="602">
        <f t="shared" si="18"/>
        <v>16</v>
      </c>
      <c r="G335" s="602">
        <f t="shared" si="18"/>
        <v>4</v>
      </c>
      <c r="H335" s="602">
        <f>SUM(H337:H368)</f>
        <v>69</v>
      </c>
      <c r="R335" s="602"/>
      <c r="S335" s="602"/>
      <c r="T335" s="602"/>
      <c r="U335" s="602"/>
      <c r="V335" s="602"/>
      <c r="W335" s="602"/>
      <c r="X335" s="602"/>
    </row>
    <row r="336" spans="1:24" s="265" customFormat="1" ht="3.95" customHeight="1" x14ac:dyDescent="0.25">
      <c r="B336" s="602"/>
      <c r="C336" s="602"/>
      <c r="D336" s="602"/>
      <c r="E336" s="602"/>
      <c r="F336" s="602"/>
      <c r="G336" s="602"/>
      <c r="H336" s="602"/>
      <c r="R336" s="602"/>
      <c r="S336" s="602"/>
      <c r="T336" s="602"/>
      <c r="U336" s="602"/>
      <c r="V336" s="602"/>
      <c r="W336" s="602"/>
      <c r="X336" s="602"/>
    </row>
    <row r="337" spans="1:24" s="263" customFormat="1" ht="9" customHeight="1" x14ac:dyDescent="0.25">
      <c r="A337" s="550" t="s">
        <v>23</v>
      </c>
      <c r="B337" s="600">
        <f t="shared" ref="B337:B368" si="19">SUM(C337:H337)</f>
        <v>18</v>
      </c>
      <c r="C337" s="600">
        <v>12</v>
      </c>
      <c r="D337" s="600">
        <v>2</v>
      </c>
      <c r="E337" s="600">
        <v>0</v>
      </c>
      <c r="F337" s="600">
        <v>0</v>
      </c>
      <c r="G337" s="600">
        <v>1</v>
      </c>
      <c r="H337" s="600">
        <v>3</v>
      </c>
      <c r="R337" s="602"/>
      <c r="S337" s="602"/>
      <c r="T337" s="602"/>
      <c r="U337" s="602"/>
      <c r="V337" s="602"/>
      <c r="W337" s="602"/>
      <c r="X337" s="602"/>
    </row>
    <row r="338" spans="1:24" s="263" customFormat="1" ht="9" customHeight="1" x14ac:dyDescent="0.25">
      <c r="A338" s="550" t="s">
        <v>24</v>
      </c>
      <c r="B338" s="600">
        <f t="shared" si="19"/>
        <v>129</v>
      </c>
      <c r="C338" s="598">
        <v>129</v>
      </c>
      <c r="D338" s="598">
        <v>0</v>
      </c>
      <c r="E338" s="598">
        <v>0</v>
      </c>
      <c r="F338" s="598">
        <v>0</v>
      </c>
      <c r="G338" s="598">
        <v>0</v>
      </c>
      <c r="H338" s="598">
        <v>0</v>
      </c>
      <c r="R338" s="602"/>
      <c r="S338" s="602"/>
      <c r="T338" s="602"/>
      <c r="U338" s="602"/>
      <c r="V338" s="602"/>
      <c r="W338" s="602"/>
      <c r="X338" s="602"/>
    </row>
    <row r="339" spans="1:24" s="263" customFormat="1" ht="9" customHeight="1" x14ac:dyDescent="0.25">
      <c r="A339" s="550" t="s">
        <v>25</v>
      </c>
      <c r="B339" s="600">
        <f t="shared" si="19"/>
        <v>14</v>
      </c>
      <c r="C339" s="600">
        <v>12</v>
      </c>
      <c r="D339" s="600">
        <v>0</v>
      </c>
      <c r="E339" s="600">
        <v>0</v>
      </c>
      <c r="F339" s="600">
        <v>0</v>
      </c>
      <c r="G339" s="600">
        <v>0</v>
      </c>
      <c r="H339" s="600">
        <v>2</v>
      </c>
      <c r="R339" s="602"/>
      <c r="S339" s="602"/>
      <c r="T339" s="602"/>
      <c r="U339" s="602"/>
      <c r="V339" s="602"/>
      <c r="W339" s="602"/>
      <c r="X339" s="602"/>
    </row>
    <row r="340" spans="1:24" s="263" customFormat="1" ht="9" customHeight="1" x14ac:dyDescent="0.25">
      <c r="A340" s="603" t="s">
        <v>26</v>
      </c>
      <c r="B340" s="604">
        <f t="shared" si="19"/>
        <v>8</v>
      </c>
      <c r="C340" s="604">
        <v>8</v>
      </c>
      <c r="D340" s="604">
        <v>0</v>
      </c>
      <c r="E340" s="604">
        <v>0</v>
      </c>
      <c r="F340" s="604">
        <v>0</v>
      </c>
      <c r="G340" s="604">
        <v>0</v>
      </c>
      <c r="H340" s="604">
        <v>0</v>
      </c>
      <c r="R340" s="602"/>
      <c r="S340" s="602"/>
      <c r="T340" s="602"/>
      <c r="U340" s="602"/>
      <c r="V340" s="602"/>
      <c r="W340" s="602"/>
      <c r="X340" s="602"/>
    </row>
    <row r="341" spans="1:24" s="263" customFormat="1" ht="9" customHeight="1" x14ac:dyDescent="0.25">
      <c r="A341" s="550" t="s">
        <v>27</v>
      </c>
      <c r="B341" s="600">
        <f t="shared" si="19"/>
        <v>34</v>
      </c>
      <c r="C341" s="600">
        <v>24</v>
      </c>
      <c r="D341" s="600">
        <v>8</v>
      </c>
      <c r="E341" s="600">
        <v>0</v>
      </c>
      <c r="F341" s="600">
        <v>1</v>
      </c>
      <c r="G341" s="600">
        <v>0</v>
      </c>
      <c r="H341" s="600">
        <v>1</v>
      </c>
      <c r="R341" s="602"/>
      <c r="S341" s="602"/>
      <c r="T341" s="602"/>
      <c r="U341" s="602"/>
      <c r="V341" s="602"/>
      <c r="W341" s="602"/>
      <c r="X341" s="602"/>
    </row>
    <row r="342" spans="1:24" s="263" customFormat="1" ht="9" customHeight="1" x14ac:dyDescent="0.25">
      <c r="A342" s="550" t="s">
        <v>28</v>
      </c>
      <c r="B342" s="600">
        <f t="shared" si="19"/>
        <v>12</v>
      </c>
      <c r="C342" s="600">
        <v>12</v>
      </c>
      <c r="D342" s="600">
        <v>0</v>
      </c>
      <c r="E342" s="600">
        <v>0</v>
      </c>
      <c r="F342" s="600">
        <v>0</v>
      </c>
      <c r="G342" s="600">
        <v>0</v>
      </c>
      <c r="H342" s="600">
        <v>0</v>
      </c>
      <c r="R342" s="602"/>
      <c r="S342" s="602"/>
      <c r="T342" s="602"/>
      <c r="U342" s="602"/>
      <c r="V342" s="602"/>
      <c r="W342" s="602"/>
      <c r="X342" s="602"/>
    </row>
    <row r="343" spans="1:24" s="263" customFormat="1" ht="9" customHeight="1" x14ac:dyDescent="0.25">
      <c r="A343" s="550" t="s">
        <v>29</v>
      </c>
      <c r="B343" s="600">
        <f t="shared" si="19"/>
        <v>66</v>
      </c>
      <c r="C343" s="600">
        <v>47</v>
      </c>
      <c r="D343" s="600">
        <v>8</v>
      </c>
      <c r="E343" s="600">
        <v>0</v>
      </c>
      <c r="F343" s="600">
        <v>0</v>
      </c>
      <c r="G343" s="600">
        <v>0</v>
      </c>
      <c r="H343" s="600">
        <v>11</v>
      </c>
      <c r="R343" s="602"/>
      <c r="S343" s="602"/>
      <c r="T343" s="602"/>
      <c r="U343" s="602"/>
      <c r="V343" s="602"/>
      <c r="W343" s="602"/>
      <c r="X343" s="602"/>
    </row>
    <row r="344" spans="1:24" s="263" customFormat="1" ht="9" customHeight="1" x14ac:dyDescent="0.25">
      <c r="A344" s="603" t="s">
        <v>30</v>
      </c>
      <c r="B344" s="604">
        <f t="shared" si="19"/>
        <v>54</v>
      </c>
      <c r="C344" s="604">
        <v>48</v>
      </c>
      <c r="D344" s="604">
        <v>3</v>
      </c>
      <c r="E344" s="604">
        <v>0</v>
      </c>
      <c r="F344" s="604">
        <v>0</v>
      </c>
      <c r="G344" s="604">
        <v>0</v>
      </c>
      <c r="H344" s="604">
        <v>3</v>
      </c>
      <c r="R344" s="602"/>
      <c r="S344" s="602"/>
      <c r="T344" s="602"/>
      <c r="U344" s="602"/>
      <c r="V344" s="602"/>
      <c r="W344" s="602"/>
      <c r="X344" s="602"/>
    </row>
    <row r="345" spans="1:24" s="263" customFormat="1" ht="9" customHeight="1" x14ac:dyDescent="0.25">
      <c r="A345" s="550" t="s">
        <v>63</v>
      </c>
      <c r="B345" s="600">
        <f t="shared" si="19"/>
        <v>309</v>
      </c>
      <c r="C345" s="600">
        <v>283</v>
      </c>
      <c r="D345" s="600">
        <v>13</v>
      </c>
      <c r="E345" s="600">
        <v>2</v>
      </c>
      <c r="F345" s="600">
        <v>3</v>
      </c>
      <c r="G345" s="600">
        <v>0</v>
      </c>
      <c r="H345" s="600">
        <v>8</v>
      </c>
      <c r="R345" s="602"/>
      <c r="S345" s="602"/>
      <c r="T345" s="602"/>
      <c r="U345" s="602"/>
      <c r="V345" s="602"/>
      <c r="W345" s="602"/>
      <c r="X345" s="602"/>
    </row>
    <row r="346" spans="1:24" s="263" customFormat="1" ht="9" customHeight="1" x14ac:dyDescent="0.25">
      <c r="A346" s="550" t="s">
        <v>31</v>
      </c>
      <c r="B346" s="600">
        <f t="shared" si="19"/>
        <v>39</v>
      </c>
      <c r="C346" s="600">
        <v>35</v>
      </c>
      <c r="D346" s="600">
        <v>3</v>
      </c>
      <c r="E346" s="600">
        <v>0</v>
      </c>
      <c r="F346" s="600">
        <v>0</v>
      </c>
      <c r="G346" s="600">
        <v>0</v>
      </c>
      <c r="H346" s="600">
        <v>1</v>
      </c>
      <c r="R346" s="602"/>
      <c r="S346" s="602"/>
      <c r="T346" s="602"/>
      <c r="U346" s="602"/>
      <c r="V346" s="602"/>
      <c r="W346" s="602"/>
      <c r="X346" s="602"/>
    </row>
    <row r="347" spans="1:24" s="263" customFormat="1" ht="9" customHeight="1" x14ac:dyDescent="0.25">
      <c r="A347" s="550" t="s">
        <v>32</v>
      </c>
      <c r="B347" s="600">
        <f t="shared" si="19"/>
        <v>217</v>
      </c>
      <c r="C347" s="600">
        <v>183</v>
      </c>
      <c r="D347" s="600">
        <v>19</v>
      </c>
      <c r="E347" s="600">
        <v>1</v>
      </c>
      <c r="F347" s="600">
        <v>1</v>
      </c>
      <c r="G347" s="600">
        <v>0</v>
      </c>
      <c r="H347" s="600">
        <v>13</v>
      </c>
      <c r="R347" s="602"/>
      <c r="S347" s="602"/>
      <c r="T347" s="602"/>
      <c r="U347" s="602"/>
      <c r="V347" s="602"/>
      <c r="W347" s="602"/>
      <c r="X347" s="602"/>
    </row>
    <row r="348" spans="1:24" s="263" customFormat="1" ht="9" customHeight="1" x14ac:dyDescent="0.25">
      <c r="A348" s="603" t="s">
        <v>33</v>
      </c>
      <c r="B348" s="604">
        <f t="shared" si="19"/>
        <v>98</v>
      </c>
      <c r="C348" s="604">
        <v>83</v>
      </c>
      <c r="D348" s="604">
        <v>15</v>
      </c>
      <c r="E348" s="604">
        <v>0</v>
      </c>
      <c r="F348" s="604">
        <v>0</v>
      </c>
      <c r="G348" s="604">
        <v>0</v>
      </c>
      <c r="H348" s="604">
        <v>0</v>
      </c>
      <c r="R348" s="602"/>
      <c r="S348" s="602"/>
      <c r="T348" s="602"/>
      <c r="U348" s="602"/>
      <c r="V348" s="602"/>
      <c r="W348" s="602"/>
      <c r="X348" s="602"/>
    </row>
    <row r="349" spans="1:24" s="263" customFormat="1" ht="9" customHeight="1" x14ac:dyDescent="0.25">
      <c r="A349" s="550" t="s">
        <v>34</v>
      </c>
      <c r="B349" s="600">
        <f t="shared" si="19"/>
        <v>89</v>
      </c>
      <c r="C349" s="600">
        <v>81</v>
      </c>
      <c r="D349" s="600">
        <v>7</v>
      </c>
      <c r="E349" s="600">
        <v>1</v>
      </c>
      <c r="F349" s="600">
        <v>0</v>
      </c>
      <c r="G349" s="600">
        <v>0</v>
      </c>
      <c r="H349" s="600">
        <v>0</v>
      </c>
      <c r="R349" s="602"/>
      <c r="S349" s="602"/>
      <c r="T349" s="602"/>
      <c r="U349" s="602"/>
      <c r="V349" s="602"/>
      <c r="W349" s="602"/>
      <c r="X349" s="602"/>
    </row>
    <row r="350" spans="1:24" s="263" customFormat="1" ht="9" customHeight="1" x14ac:dyDescent="0.25">
      <c r="A350" s="550" t="s">
        <v>35</v>
      </c>
      <c r="B350" s="600">
        <f t="shared" si="19"/>
        <v>175</v>
      </c>
      <c r="C350" s="600">
        <v>168</v>
      </c>
      <c r="D350" s="600">
        <v>3</v>
      </c>
      <c r="E350" s="600">
        <v>0</v>
      </c>
      <c r="F350" s="600">
        <v>1</v>
      </c>
      <c r="G350" s="600">
        <v>0</v>
      </c>
      <c r="H350" s="600">
        <v>3</v>
      </c>
      <c r="R350" s="602"/>
      <c r="S350" s="602"/>
      <c r="T350" s="602"/>
      <c r="U350" s="602"/>
      <c r="V350" s="602"/>
      <c r="W350" s="602"/>
      <c r="X350" s="602"/>
    </row>
    <row r="351" spans="1:24" s="263" customFormat="1" ht="9" customHeight="1" x14ac:dyDescent="0.25">
      <c r="A351" s="550" t="s">
        <v>36</v>
      </c>
      <c r="B351" s="600">
        <f t="shared" si="19"/>
        <v>539</v>
      </c>
      <c r="C351" s="600">
        <v>479</v>
      </c>
      <c r="D351" s="600">
        <v>42</v>
      </c>
      <c r="E351" s="600">
        <v>3</v>
      </c>
      <c r="F351" s="600">
        <v>1</v>
      </c>
      <c r="G351" s="600">
        <v>2</v>
      </c>
      <c r="H351" s="600">
        <v>12</v>
      </c>
      <c r="R351" s="602"/>
      <c r="S351" s="602"/>
      <c r="T351" s="602"/>
      <c r="U351" s="602"/>
      <c r="V351" s="602"/>
      <c r="W351" s="602"/>
      <c r="X351" s="602"/>
    </row>
    <row r="352" spans="1:24" s="263" customFormat="1" ht="9" customHeight="1" x14ac:dyDescent="0.25">
      <c r="A352" s="603" t="s">
        <v>37</v>
      </c>
      <c r="B352" s="604">
        <f t="shared" si="19"/>
        <v>198</v>
      </c>
      <c r="C352" s="604">
        <v>177</v>
      </c>
      <c r="D352" s="604">
        <v>15</v>
      </c>
      <c r="E352" s="604">
        <v>2</v>
      </c>
      <c r="F352" s="604">
        <v>2</v>
      </c>
      <c r="G352" s="604">
        <v>0</v>
      </c>
      <c r="H352" s="604">
        <v>2</v>
      </c>
      <c r="R352" s="602"/>
      <c r="S352" s="602"/>
      <c r="T352" s="602"/>
      <c r="U352" s="602"/>
      <c r="V352" s="602"/>
      <c r="W352" s="602"/>
      <c r="X352" s="602"/>
    </row>
    <row r="353" spans="1:24" s="263" customFormat="1" ht="9" customHeight="1" x14ac:dyDescent="0.25">
      <c r="A353" s="550" t="s">
        <v>38</v>
      </c>
      <c r="B353" s="600">
        <f t="shared" si="19"/>
        <v>72</v>
      </c>
      <c r="C353" s="600">
        <v>59</v>
      </c>
      <c r="D353" s="600">
        <v>13</v>
      </c>
      <c r="E353" s="600">
        <v>0</v>
      </c>
      <c r="F353" s="600">
        <v>0</v>
      </c>
      <c r="G353" s="600">
        <v>0</v>
      </c>
      <c r="H353" s="600">
        <v>0</v>
      </c>
      <c r="R353" s="602"/>
      <c r="S353" s="602"/>
      <c r="T353" s="602"/>
      <c r="U353" s="602"/>
      <c r="V353" s="602"/>
      <c r="W353" s="602"/>
      <c r="X353" s="602"/>
    </row>
    <row r="354" spans="1:24" s="263" customFormat="1" ht="9" customHeight="1" x14ac:dyDescent="0.25">
      <c r="A354" s="550" t="s">
        <v>39</v>
      </c>
      <c r="B354" s="600">
        <f t="shared" si="19"/>
        <v>20</v>
      </c>
      <c r="C354" s="600">
        <v>17</v>
      </c>
      <c r="D354" s="600">
        <v>3</v>
      </c>
      <c r="E354" s="600">
        <v>0</v>
      </c>
      <c r="F354" s="600">
        <v>0</v>
      </c>
      <c r="G354" s="600">
        <v>0</v>
      </c>
      <c r="H354" s="600">
        <v>0</v>
      </c>
      <c r="R354" s="602"/>
      <c r="S354" s="602"/>
      <c r="T354" s="602"/>
      <c r="U354" s="602"/>
      <c r="V354" s="602"/>
      <c r="W354" s="602"/>
      <c r="X354" s="602"/>
    </row>
    <row r="355" spans="1:24" s="263" customFormat="1" ht="9" customHeight="1" x14ac:dyDescent="0.25">
      <c r="A355" s="550" t="s">
        <v>40</v>
      </c>
      <c r="B355" s="600">
        <f t="shared" si="19"/>
        <v>51</v>
      </c>
      <c r="C355" s="600">
        <v>40</v>
      </c>
      <c r="D355" s="600">
        <v>9</v>
      </c>
      <c r="E355" s="600">
        <v>1</v>
      </c>
      <c r="F355" s="600">
        <v>1</v>
      </c>
      <c r="G355" s="600">
        <v>0</v>
      </c>
      <c r="H355" s="600">
        <v>0</v>
      </c>
      <c r="R355" s="602"/>
      <c r="S355" s="602"/>
      <c r="T355" s="602"/>
      <c r="U355" s="602"/>
      <c r="V355" s="602"/>
      <c r="W355" s="602"/>
      <c r="X355" s="602"/>
    </row>
    <row r="356" spans="1:24" s="263" customFormat="1" ht="9" customHeight="1" x14ac:dyDescent="0.25">
      <c r="A356" s="603" t="s">
        <v>41</v>
      </c>
      <c r="B356" s="604">
        <f t="shared" si="19"/>
        <v>85</v>
      </c>
      <c r="C356" s="604">
        <v>81</v>
      </c>
      <c r="D356" s="604">
        <v>3</v>
      </c>
      <c r="E356" s="604">
        <v>0</v>
      </c>
      <c r="F356" s="604">
        <v>0</v>
      </c>
      <c r="G356" s="604">
        <v>1</v>
      </c>
      <c r="H356" s="604">
        <v>0</v>
      </c>
      <c r="R356" s="602"/>
      <c r="S356" s="602"/>
      <c r="T356" s="602"/>
      <c r="U356" s="602"/>
      <c r="V356" s="602"/>
      <c r="W356" s="602"/>
      <c r="X356" s="602"/>
    </row>
    <row r="357" spans="1:24" s="263" customFormat="1" ht="9" customHeight="1" x14ac:dyDescent="0.25">
      <c r="A357" s="550" t="s">
        <v>42</v>
      </c>
      <c r="B357" s="600">
        <f t="shared" si="19"/>
        <v>128</v>
      </c>
      <c r="C357" s="600">
        <v>121</v>
      </c>
      <c r="D357" s="600">
        <v>3</v>
      </c>
      <c r="E357" s="600">
        <v>1</v>
      </c>
      <c r="F357" s="600">
        <v>2</v>
      </c>
      <c r="G357" s="600">
        <v>0</v>
      </c>
      <c r="H357" s="600">
        <v>1</v>
      </c>
      <c r="R357" s="602"/>
      <c r="S357" s="602"/>
      <c r="T357" s="602"/>
      <c r="U357" s="602"/>
      <c r="V357" s="602"/>
      <c r="W357" s="602"/>
      <c r="X357" s="602"/>
    </row>
    <row r="358" spans="1:24" s="263" customFormat="1" ht="9" customHeight="1" x14ac:dyDescent="0.25">
      <c r="A358" s="550" t="s">
        <v>43</v>
      </c>
      <c r="B358" s="600">
        <f t="shared" si="19"/>
        <v>56</v>
      </c>
      <c r="C358" s="600">
        <v>49</v>
      </c>
      <c r="D358" s="600">
        <v>5</v>
      </c>
      <c r="E358" s="600">
        <v>0</v>
      </c>
      <c r="F358" s="600">
        <v>0</v>
      </c>
      <c r="G358" s="600">
        <v>0</v>
      </c>
      <c r="H358" s="600">
        <v>2</v>
      </c>
      <c r="R358" s="602"/>
      <c r="S358" s="602"/>
      <c r="T358" s="602"/>
      <c r="U358" s="602"/>
      <c r="V358" s="602"/>
      <c r="W358" s="602"/>
      <c r="X358" s="602"/>
    </row>
    <row r="359" spans="1:24" s="263" customFormat="1" ht="9" customHeight="1" x14ac:dyDescent="0.25">
      <c r="A359" s="550" t="s">
        <v>44</v>
      </c>
      <c r="B359" s="600">
        <f t="shared" si="19"/>
        <v>31</v>
      </c>
      <c r="C359" s="600">
        <v>29</v>
      </c>
      <c r="D359" s="600">
        <v>2</v>
      </c>
      <c r="E359" s="600">
        <v>0</v>
      </c>
      <c r="F359" s="600">
        <v>0</v>
      </c>
      <c r="G359" s="600">
        <v>0</v>
      </c>
      <c r="H359" s="600">
        <v>0</v>
      </c>
      <c r="R359" s="602"/>
      <c r="S359" s="602"/>
      <c r="T359" s="602"/>
      <c r="U359" s="602"/>
      <c r="V359" s="602"/>
      <c r="W359" s="602"/>
      <c r="X359" s="602"/>
    </row>
    <row r="360" spans="1:24" s="263" customFormat="1" ht="9" customHeight="1" x14ac:dyDescent="0.25">
      <c r="A360" s="603" t="s">
        <v>45</v>
      </c>
      <c r="B360" s="604">
        <f t="shared" si="19"/>
        <v>44</v>
      </c>
      <c r="C360" s="604">
        <v>41</v>
      </c>
      <c r="D360" s="604">
        <v>0</v>
      </c>
      <c r="E360" s="604">
        <v>1</v>
      </c>
      <c r="F360" s="604">
        <v>0</v>
      </c>
      <c r="G360" s="604">
        <v>0</v>
      </c>
      <c r="H360" s="604">
        <v>2</v>
      </c>
      <c r="R360" s="602"/>
      <c r="S360" s="602"/>
      <c r="T360" s="602"/>
      <c r="U360" s="602"/>
      <c r="V360" s="602"/>
      <c r="W360" s="602"/>
      <c r="X360" s="602"/>
    </row>
    <row r="361" spans="1:24" s="263" customFormat="1" ht="9" customHeight="1" x14ac:dyDescent="0.25">
      <c r="A361" s="550" t="s">
        <v>46</v>
      </c>
      <c r="B361" s="600">
        <f t="shared" si="19"/>
        <v>72</v>
      </c>
      <c r="C361" s="600">
        <v>60</v>
      </c>
      <c r="D361" s="600">
        <v>11</v>
      </c>
      <c r="E361" s="600">
        <v>0</v>
      </c>
      <c r="F361" s="600">
        <v>0</v>
      </c>
      <c r="G361" s="600">
        <v>0</v>
      </c>
      <c r="H361" s="600">
        <v>1</v>
      </c>
      <c r="R361" s="602"/>
      <c r="S361" s="602"/>
      <c r="T361" s="602"/>
      <c r="U361" s="602"/>
      <c r="V361" s="602"/>
      <c r="W361" s="602"/>
      <c r="X361" s="602"/>
    </row>
    <row r="362" spans="1:24" s="263" customFormat="1" ht="9" customHeight="1" x14ac:dyDescent="0.25">
      <c r="A362" s="550" t="s">
        <v>47</v>
      </c>
      <c r="B362" s="600">
        <f t="shared" si="19"/>
        <v>53</v>
      </c>
      <c r="C362" s="600">
        <v>45</v>
      </c>
      <c r="D362" s="600">
        <v>8</v>
      </c>
      <c r="E362" s="600">
        <v>0</v>
      </c>
      <c r="F362" s="600">
        <v>0</v>
      </c>
      <c r="G362" s="600">
        <v>0</v>
      </c>
      <c r="H362" s="600">
        <v>0</v>
      </c>
      <c r="R362" s="602"/>
      <c r="S362" s="602"/>
      <c r="T362" s="602"/>
      <c r="U362" s="602"/>
      <c r="V362" s="602"/>
      <c r="W362" s="602"/>
      <c r="X362" s="602"/>
    </row>
    <row r="363" spans="1:24" s="263" customFormat="1" ht="9" customHeight="1" x14ac:dyDescent="0.25">
      <c r="A363" s="550" t="s">
        <v>48</v>
      </c>
      <c r="B363" s="600">
        <f t="shared" si="19"/>
        <v>55</v>
      </c>
      <c r="C363" s="600">
        <v>50</v>
      </c>
      <c r="D363" s="600">
        <v>5</v>
      </c>
      <c r="E363" s="600">
        <v>0</v>
      </c>
      <c r="F363" s="600">
        <v>0</v>
      </c>
      <c r="G363" s="600">
        <v>0</v>
      </c>
      <c r="H363" s="600">
        <v>0</v>
      </c>
      <c r="R363" s="602"/>
      <c r="S363" s="602"/>
      <c r="T363" s="602"/>
      <c r="U363" s="602"/>
      <c r="V363" s="602"/>
      <c r="W363" s="602"/>
      <c r="X363" s="602"/>
    </row>
    <row r="364" spans="1:24" s="263" customFormat="1" ht="9" customHeight="1" x14ac:dyDescent="0.25">
      <c r="A364" s="603" t="s">
        <v>49</v>
      </c>
      <c r="B364" s="604">
        <f t="shared" si="19"/>
        <v>67</v>
      </c>
      <c r="C364" s="604">
        <v>66</v>
      </c>
      <c r="D364" s="604">
        <v>0</v>
      </c>
      <c r="E364" s="604">
        <v>0</v>
      </c>
      <c r="F364" s="604">
        <v>1</v>
      </c>
      <c r="G364" s="604">
        <v>0</v>
      </c>
      <c r="H364" s="604">
        <v>0</v>
      </c>
      <c r="R364" s="602"/>
      <c r="S364" s="602"/>
      <c r="T364" s="602"/>
      <c r="U364" s="602"/>
      <c r="V364" s="602"/>
      <c r="W364" s="602"/>
      <c r="X364" s="602"/>
    </row>
    <row r="365" spans="1:24" s="263" customFormat="1" ht="9" customHeight="1" x14ac:dyDescent="0.25">
      <c r="A365" s="550" t="s">
        <v>50</v>
      </c>
      <c r="B365" s="600">
        <f t="shared" si="19"/>
        <v>47</v>
      </c>
      <c r="C365" s="600">
        <v>43</v>
      </c>
      <c r="D365" s="600">
        <v>3</v>
      </c>
      <c r="E365" s="600">
        <v>0</v>
      </c>
      <c r="F365" s="600">
        <v>0</v>
      </c>
      <c r="G365" s="600">
        <v>0</v>
      </c>
      <c r="H365" s="600">
        <v>1</v>
      </c>
      <c r="R365" s="602"/>
      <c r="S365" s="602"/>
      <c r="T365" s="602"/>
      <c r="U365" s="602"/>
      <c r="V365" s="602"/>
      <c r="W365" s="602"/>
      <c r="X365" s="602"/>
    </row>
    <row r="366" spans="1:24" s="263" customFormat="1" ht="9" customHeight="1" x14ac:dyDescent="0.25">
      <c r="A366" s="550" t="s">
        <v>51</v>
      </c>
      <c r="B366" s="600">
        <f t="shared" si="19"/>
        <v>169</v>
      </c>
      <c r="C366" s="600">
        <v>144</v>
      </c>
      <c r="D366" s="600">
        <v>19</v>
      </c>
      <c r="E366" s="600">
        <v>0</v>
      </c>
      <c r="F366" s="600">
        <v>3</v>
      </c>
      <c r="G366" s="600">
        <v>0</v>
      </c>
      <c r="H366" s="600">
        <v>3</v>
      </c>
      <c r="R366" s="602"/>
      <c r="S366" s="602"/>
      <c r="T366" s="602"/>
      <c r="U366" s="602"/>
      <c r="V366" s="602"/>
      <c r="W366" s="602"/>
      <c r="X366" s="602"/>
    </row>
    <row r="367" spans="1:24" s="263" customFormat="1" ht="9" customHeight="1" x14ac:dyDescent="0.25">
      <c r="A367" s="550" t="s">
        <v>52</v>
      </c>
      <c r="B367" s="600">
        <f t="shared" si="19"/>
        <v>36</v>
      </c>
      <c r="C367" s="600">
        <v>33</v>
      </c>
      <c r="D367" s="600">
        <v>1</v>
      </c>
      <c r="E367" s="600">
        <v>2</v>
      </c>
      <c r="F367" s="600">
        <v>0</v>
      </c>
      <c r="G367" s="600">
        <v>0</v>
      </c>
      <c r="H367" s="600">
        <v>0</v>
      </c>
      <c r="R367" s="602"/>
      <c r="S367" s="602"/>
      <c r="T367" s="602"/>
      <c r="U367" s="602"/>
      <c r="V367" s="602"/>
      <c r="W367" s="602"/>
      <c r="X367" s="602"/>
    </row>
    <row r="368" spans="1:24" s="263" customFormat="1" ht="9" customHeight="1" x14ac:dyDescent="0.25">
      <c r="A368" s="603" t="s">
        <v>53</v>
      </c>
      <c r="B368" s="604">
        <f t="shared" si="19"/>
        <v>35</v>
      </c>
      <c r="C368" s="604">
        <v>34</v>
      </c>
      <c r="D368" s="604">
        <v>1</v>
      </c>
      <c r="E368" s="604">
        <v>0</v>
      </c>
      <c r="F368" s="604">
        <v>0</v>
      </c>
      <c r="G368" s="604">
        <v>0</v>
      </c>
      <c r="H368" s="604">
        <v>0</v>
      </c>
      <c r="R368" s="602"/>
      <c r="S368" s="602"/>
      <c r="T368" s="602"/>
      <c r="U368" s="602"/>
      <c r="V368" s="602"/>
      <c r="W368" s="602"/>
      <c r="X368" s="602"/>
    </row>
    <row r="369" spans="1:24" s="263" customFormat="1" ht="9" customHeight="1" x14ac:dyDescent="0.25">
      <c r="A369" s="269"/>
      <c r="B369" s="605"/>
      <c r="C369" s="605"/>
      <c r="D369" s="605"/>
      <c r="E369" s="605"/>
      <c r="F369" s="605"/>
      <c r="G369" s="605"/>
      <c r="H369" s="605"/>
      <c r="I369" s="286"/>
      <c r="R369" s="602"/>
      <c r="S369" s="602"/>
      <c r="T369" s="602"/>
      <c r="U369" s="602"/>
      <c r="V369" s="602"/>
      <c r="W369" s="602"/>
      <c r="X369" s="602"/>
    </row>
    <row r="370" spans="1:24" s="263" customFormat="1" ht="9" customHeight="1" x14ac:dyDescent="0.25">
      <c r="A370" s="601">
        <v>2005</v>
      </c>
      <c r="B370" s="266"/>
      <c r="C370" s="266"/>
      <c r="D370" s="266"/>
      <c r="E370" s="266"/>
      <c r="F370" s="266"/>
      <c r="G370" s="266"/>
      <c r="H370" s="266"/>
      <c r="R370" s="602"/>
      <c r="S370" s="602"/>
      <c r="T370" s="602"/>
      <c r="U370" s="602"/>
      <c r="V370" s="602"/>
      <c r="W370" s="602"/>
      <c r="X370" s="602"/>
    </row>
    <row r="371" spans="1:24" s="265" customFormat="1" ht="9" customHeight="1" x14ac:dyDescent="0.25">
      <c r="A371" s="265" t="s">
        <v>21</v>
      </c>
      <c r="B371" s="602">
        <f t="shared" ref="B371:G371" si="20">SUM(B373:B404)</f>
        <v>3172</v>
      </c>
      <c r="C371" s="602">
        <f t="shared" si="20"/>
        <v>2799</v>
      </c>
      <c r="D371" s="602">
        <f t="shared" si="20"/>
        <v>223</v>
      </c>
      <c r="E371" s="602">
        <f t="shared" si="20"/>
        <v>22</v>
      </c>
      <c r="F371" s="602">
        <f t="shared" si="20"/>
        <v>19</v>
      </c>
      <c r="G371" s="602">
        <f t="shared" si="20"/>
        <v>11</v>
      </c>
      <c r="H371" s="602">
        <f>SUM(H373:H404)</f>
        <v>98</v>
      </c>
      <c r="R371" s="602"/>
      <c r="S371" s="602"/>
      <c r="T371" s="602"/>
      <c r="U371" s="602"/>
      <c r="V371" s="602"/>
      <c r="W371" s="602"/>
      <c r="X371" s="602"/>
    </row>
    <row r="372" spans="1:24" s="265" customFormat="1" ht="3.95" customHeight="1" x14ac:dyDescent="0.25">
      <c r="B372" s="602"/>
      <c r="C372" s="602"/>
      <c r="D372" s="602"/>
      <c r="E372" s="602"/>
      <c r="F372" s="602"/>
      <c r="G372" s="602"/>
      <c r="H372" s="602"/>
      <c r="R372" s="602"/>
      <c r="S372" s="602"/>
      <c r="T372" s="602"/>
      <c r="U372" s="602"/>
      <c r="V372" s="602"/>
      <c r="W372" s="602"/>
      <c r="X372" s="602"/>
    </row>
    <row r="373" spans="1:24" s="263" customFormat="1" ht="9" customHeight="1" x14ac:dyDescent="0.25">
      <c r="A373" s="550" t="s">
        <v>23</v>
      </c>
      <c r="B373" s="600">
        <f t="shared" ref="B373:B404" si="21">SUM(C373:H373)</f>
        <v>19</v>
      </c>
      <c r="C373" s="600">
        <v>13</v>
      </c>
      <c r="D373" s="600">
        <v>2</v>
      </c>
      <c r="E373" s="600">
        <v>0</v>
      </c>
      <c r="F373" s="600">
        <v>0</v>
      </c>
      <c r="G373" s="600">
        <v>1</v>
      </c>
      <c r="H373" s="600">
        <v>3</v>
      </c>
      <c r="R373" s="602"/>
      <c r="S373" s="602"/>
      <c r="T373" s="602"/>
      <c r="U373" s="602"/>
      <c r="V373" s="602"/>
      <c r="W373" s="602"/>
      <c r="X373" s="602"/>
    </row>
    <row r="374" spans="1:24" s="263" customFormat="1" ht="9" customHeight="1" x14ac:dyDescent="0.25">
      <c r="A374" s="550" t="s">
        <v>24</v>
      </c>
      <c r="B374" s="600">
        <f t="shared" si="21"/>
        <v>141</v>
      </c>
      <c r="C374" s="598">
        <v>126</v>
      </c>
      <c r="D374" s="598">
        <v>3</v>
      </c>
      <c r="E374" s="598">
        <v>0</v>
      </c>
      <c r="F374" s="598">
        <v>0</v>
      </c>
      <c r="G374" s="598">
        <v>0</v>
      </c>
      <c r="H374" s="598">
        <v>12</v>
      </c>
      <c r="R374" s="602"/>
      <c r="S374" s="602"/>
      <c r="T374" s="602"/>
      <c r="U374" s="602"/>
      <c r="V374" s="602"/>
      <c r="W374" s="602"/>
      <c r="X374" s="602"/>
    </row>
    <row r="375" spans="1:24" s="263" customFormat="1" ht="9" customHeight="1" x14ac:dyDescent="0.25">
      <c r="A375" s="550" t="s">
        <v>25</v>
      </c>
      <c r="B375" s="600">
        <f t="shared" si="21"/>
        <v>14</v>
      </c>
      <c r="C375" s="600">
        <v>11</v>
      </c>
      <c r="D375" s="600">
        <v>0</v>
      </c>
      <c r="E375" s="600">
        <v>0</v>
      </c>
      <c r="F375" s="600">
        <v>0</v>
      </c>
      <c r="G375" s="600">
        <v>0</v>
      </c>
      <c r="H375" s="600">
        <v>3</v>
      </c>
      <c r="R375" s="602"/>
      <c r="S375" s="602"/>
      <c r="T375" s="602"/>
      <c r="U375" s="602"/>
      <c r="V375" s="602"/>
      <c r="W375" s="602"/>
      <c r="X375" s="602"/>
    </row>
    <row r="376" spans="1:24" s="263" customFormat="1" ht="9" customHeight="1" x14ac:dyDescent="0.25">
      <c r="A376" s="603" t="s">
        <v>26</v>
      </c>
      <c r="B376" s="604">
        <f t="shared" si="21"/>
        <v>10</v>
      </c>
      <c r="C376" s="604">
        <v>9</v>
      </c>
      <c r="D376" s="604">
        <v>0</v>
      </c>
      <c r="E376" s="604">
        <v>0</v>
      </c>
      <c r="F376" s="604">
        <v>1</v>
      </c>
      <c r="G376" s="604">
        <v>0</v>
      </c>
      <c r="H376" s="604">
        <v>0</v>
      </c>
      <c r="R376" s="602"/>
      <c r="S376" s="602"/>
      <c r="T376" s="602"/>
      <c r="U376" s="602"/>
      <c r="V376" s="602"/>
      <c r="W376" s="602"/>
      <c r="X376" s="602"/>
    </row>
    <row r="377" spans="1:24" s="263" customFormat="1" ht="9" customHeight="1" x14ac:dyDescent="0.25">
      <c r="A377" s="550" t="s">
        <v>27</v>
      </c>
      <c r="B377" s="600">
        <f t="shared" si="21"/>
        <v>31</v>
      </c>
      <c r="C377" s="600">
        <v>24</v>
      </c>
      <c r="D377" s="600">
        <v>4</v>
      </c>
      <c r="E377" s="600">
        <v>0</v>
      </c>
      <c r="F377" s="600">
        <v>0</v>
      </c>
      <c r="G377" s="600">
        <v>1</v>
      </c>
      <c r="H377" s="600">
        <v>2</v>
      </c>
      <c r="R377" s="602"/>
      <c r="S377" s="602"/>
      <c r="T377" s="602"/>
      <c r="U377" s="602"/>
      <c r="V377" s="602"/>
      <c r="W377" s="602"/>
      <c r="X377" s="602"/>
    </row>
    <row r="378" spans="1:24" s="263" customFormat="1" ht="9" customHeight="1" x14ac:dyDescent="0.25">
      <c r="A378" s="550" t="s">
        <v>28</v>
      </c>
      <c r="B378" s="600">
        <f t="shared" si="21"/>
        <v>12</v>
      </c>
      <c r="C378" s="600">
        <v>12</v>
      </c>
      <c r="D378" s="600">
        <v>0</v>
      </c>
      <c r="E378" s="600">
        <v>0</v>
      </c>
      <c r="F378" s="600">
        <v>0</v>
      </c>
      <c r="G378" s="600">
        <v>0</v>
      </c>
      <c r="H378" s="600">
        <v>0</v>
      </c>
      <c r="R378" s="602"/>
      <c r="S378" s="602"/>
      <c r="T378" s="602"/>
      <c r="U378" s="602"/>
      <c r="V378" s="602"/>
      <c r="W378" s="602"/>
      <c r="X378" s="602"/>
    </row>
    <row r="379" spans="1:24" s="263" customFormat="1" ht="9" customHeight="1" x14ac:dyDescent="0.25">
      <c r="A379" s="550" t="s">
        <v>29</v>
      </c>
      <c r="B379" s="600">
        <f t="shared" si="21"/>
        <v>76</v>
      </c>
      <c r="C379" s="600">
        <v>52</v>
      </c>
      <c r="D379" s="600">
        <v>8</v>
      </c>
      <c r="E379" s="600">
        <v>0</v>
      </c>
      <c r="F379" s="600">
        <v>0</v>
      </c>
      <c r="G379" s="600">
        <v>1</v>
      </c>
      <c r="H379" s="600">
        <v>15</v>
      </c>
      <c r="R379" s="602"/>
      <c r="S379" s="602"/>
      <c r="T379" s="602"/>
      <c r="U379" s="602"/>
      <c r="V379" s="602"/>
      <c r="W379" s="602"/>
      <c r="X379" s="602"/>
    </row>
    <row r="380" spans="1:24" s="263" customFormat="1" ht="9" customHeight="1" x14ac:dyDescent="0.25">
      <c r="A380" s="603" t="s">
        <v>30</v>
      </c>
      <c r="B380" s="604">
        <f t="shared" si="21"/>
        <v>66</v>
      </c>
      <c r="C380" s="604">
        <v>62</v>
      </c>
      <c r="D380" s="604">
        <v>3</v>
      </c>
      <c r="E380" s="604">
        <v>0</v>
      </c>
      <c r="F380" s="604">
        <v>0</v>
      </c>
      <c r="G380" s="604">
        <v>0</v>
      </c>
      <c r="H380" s="604">
        <v>1</v>
      </c>
      <c r="R380" s="602"/>
      <c r="S380" s="602"/>
      <c r="T380" s="602"/>
      <c r="U380" s="602"/>
      <c r="V380" s="602"/>
      <c r="W380" s="602"/>
      <c r="X380" s="602"/>
    </row>
    <row r="381" spans="1:24" s="263" customFormat="1" ht="9" customHeight="1" x14ac:dyDescent="0.25">
      <c r="A381" s="550" t="s">
        <v>63</v>
      </c>
      <c r="B381" s="600">
        <f t="shared" si="21"/>
        <v>328</v>
      </c>
      <c r="C381" s="600">
        <v>290</v>
      </c>
      <c r="D381" s="600">
        <v>19</v>
      </c>
      <c r="E381" s="600">
        <v>4</v>
      </c>
      <c r="F381" s="600">
        <v>3</v>
      </c>
      <c r="G381" s="600">
        <v>0</v>
      </c>
      <c r="H381" s="600">
        <v>12</v>
      </c>
      <c r="R381" s="602"/>
      <c r="S381" s="602"/>
      <c r="T381" s="602"/>
      <c r="U381" s="602"/>
      <c r="V381" s="602"/>
      <c r="W381" s="602"/>
      <c r="X381" s="602"/>
    </row>
    <row r="382" spans="1:24" s="263" customFormat="1" ht="9" customHeight="1" x14ac:dyDescent="0.25">
      <c r="A382" s="550" t="s">
        <v>31</v>
      </c>
      <c r="B382" s="600">
        <f t="shared" si="21"/>
        <v>37</v>
      </c>
      <c r="C382" s="600">
        <v>33</v>
      </c>
      <c r="D382" s="600">
        <v>3</v>
      </c>
      <c r="E382" s="600">
        <v>0</v>
      </c>
      <c r="F382" s="600">
        <v>0</v>
      </c>
      <c r="G382" s="600">
        <v>0</v>
      </c>
      <c r="H382" s="600">
        <v>1</v>
      </c>
      <c r="R382" s="602"/>
      <c r="S382" s="602"/>
      <c r="T382" s="602"/>
      <c r="U382" s="602"/>
      <c r="V382" s="602"/>
      <c r="W382" s="602"/>
      <c r="X382" s="602"/>
    </row>
    <row r="383" spans="1:24" s="263" customFormat="1" ht="9" customHeight="1" x14ac:dyDescent="0.25">
      <c r="A383" s="550" t="s">
        <v>32</v>
      </c>
      <c r="B383" s="600">
        <f t="shared" si="21"/>
        <v>219</v>
      </c>
      <c r="C383" s="600">
        <v>185</v>
      </c>
      <c r="D383" s="600">
        <v>17</v>
      </c>
      <c r="E383" s="600">
        <v>1</v>
      </c>
      <c r="F383" s="600">
        <v>1</v>
      </c>
      <c r="G383" s="600">
        <v>0</v>
      </c>
      <c r="H383" s="600">
        <v>15</v>
      </c>
      <c r="R383" s="602"/>
      <c r="S383" s="602"/>
      <c r="T383" s="602"/>
      <c r="U383" s="602"/>
      <c r="V383" s="602"/>
      <c r="W383" s="602"/>
      <c r="X383" s="602"/>
    </row>
    <row r="384" spans="1:24" s="263" customFormat="1" ht="9" customHeight="1" x14ac:dyDescent="0.25">
      <c r="A384" s="603" t="s">
        <v>33</v>
      </c>
      <c r="B384" s="604">
        <f t="shared" si="21"/>
        <v>109</v>
      </c>
      <c r="C384" s="604">
        <v>95</v>
      </c>
      <c r="D384" s="604">
        <v>11</v>
      </c>
      <c r="E384" s="604">
        <v>2</v>
      </c>
      <c r="F384" s="604">
        <v>0</v>
      </c>
      <c r="G384" s="604">
        <v>0</v>
      </c>
      <c r="H384" s="604">
        <v>1</v>
      </c>
      <c r="R384" s="602"/>
      <c r="S384" s="602"/>
      <c r="T384" s="602"/>
      <c r="U384" s="602"/>
      <c r="V384" s="602"/>
      <c r="W384" s="602"/>
      <c r="X384" s="602"/>
    </row>
    <row r="385" spans="1:24" s="263" customFormat="1" ht="9" customHeight="1" x14ac:dyDescent="0.25">
      <c r="A385" s="550" t="s">
        <v>34</v>
      </c>
      <c r="B385" s="600">
        <f t="shared" si="21"/>
        <v>90</v>
      </c>
      <c r="C385" s="600">
        <v>78</v>
      </c>
      <c r="D385" s="600">
        <v>10</v>
      </c>
      <c r="E385" s="600">
        <v>2</v>
      </c>
      <c r="F385" s="600">
        <v>0</v>
      </c>
      <c r="G385" s="600">
        <v>0</v>
      </c>
      <c r="H385" s="600">
        <v>0</v>
      </c>
      <c r="R385" s="602"/>
      <c r="S385" s="602"/>
      <c r="T385" s="602"/>
      <c r="U385" s="602"/>
      <c r="V385" s="602"/>
      <c r="W385" s="602"/>
      <c r="X385" s="602"/>
    </row>
    <row r="386" spans="1:24" s="263" customFormat="1" ht="9" customHeight="1" x14ac:dyDescent="0.25">
      <c r="A386" s="550" t="s">
        <v>35</v>
      </c>
      <c r="B386" s="600">
        <f t="shared" si="21"/>
        <v>190</v>
      </c>
      <c r="C386" s="600">
        <v>174</v>
      </c>
      <c r="D386" s="600">
        <v>8</v>
      </c>
      <c r="E386" s="600">
        <v>0</v>
      </c>
      <c r="F386" s="600">
        <v>1</v>
      </c>
      <c r="G386" s="600">
        <v>0</v>
      </c>
      <c r="H386" s="600">
        <v>7</v>
      </c>
      <c r="R386" s="602"/>
      <c r="S386" s="602"/>
      <c r="T386" s="602"/>
      <c r="U386" s="602"/>
      <c r="V386" s="602"/>
      <c r="W386" s="602"/>
      <c r="X386" s="602"/>
    </row>
    <row r="387" spans="1:24" s="263" customFormat="1" ht="9" customHeight="1" x14ac:dyDescent="0.25">
      <c r="A387" s="550" t="s">
        <v>36</v>
      </c>
      <c r="B387" s="600">
        <f t="shared" si="21"/>
        <v>554</v>
      </c>
      <c r="C387" s="600">
        <v>495</v>
      </c>
      <c r="D387" s="600">
        <v>44</v>
      </c>
      <c r="E387" s="600">
        <v>4</v>
      </c>
      <c r="F387" s="600">
        <v>2</v>
      </c>
      <c r="G387" s="600">
        <v>3</v>
      </c>
      <c r="H387" s="600">
        <v>6</v>
      </c>
      <c r="R387" s="602"/>
      <c r="S387" s="602"/>
      <c r="T387" s="602"/>
      <c r="U387" s="602"/>
      <c r="V387" s="602"/>
      <c r="W387" s="602"/>
      <c r="X387" s="602"/>
    </row>
    <row r="388" spans="1:24" s="263" customFormat="1" ht="9" customHeight="1" x14ac:dyDescent="0.25">
      <c r="A388" s="603" t="s">
        <v>37</v>
      </c>
      <c r="B388" s="604">
        <f t="shared" si="21"/>
        <v>217</v>
      </c>
      <c r="C388" s="604">
        <v>194</v>
      </c>
      <c r="D388" s="604">
        <v>15</v>
      </c>
      <c r="E388" s="604">
        <v>3</v>
      </c>
      <c r="F388" s="604">
        <v>2</v>
      </c>
      <c r="G388" s="604">
        <v>1</v>
      </c>
      <c r="H388" s="604">
        <v>2</v>
      </c>
      <c r="R388" s="602"/>
      <c r="S388" s="602"/>
      <c r="T388" s="602"/>
      <c r="U388" s="602"/>
      <c r="V388" s="602"/>
      <c r="W388" s="602"/>
      <c r="X388" s="602"/>
    </row>
    <row r="389" spans="1:24" s="263" customFormat="1" ht="9" customHeight="1" x14ac:dyDescent="0.25">
      <c r="A389" s="550" t="s">
        <v>38</v>
      </c>
      <c r="B389" s="600">
        <f t="shared" si="21"/>
        <v>70</v>
      </c>
      <c r="C389" s="600">
        <v>61</v>
      </c>
      <c r="D389" s="600">
        <v>9</v>
      </c>
      <c r="E389" s="600">
        <v>0</v>
      </c>
      <c r="F389" s="600">
        <v>0</v>
      </c>
      <c r="G389" s="600">
        <v>0</v>
      </c>
      <c r="H389" s="600">
        <v>0</v>
      </c>
      <c r="R389" s="602"/>
      <c r="S389" s="602"/>
      <c r="T389" s="602"/>
      <c r="U389" s="602"/>
      <c r="V389" s="602"/>
      <c r="W389" s="602"/>
      <c r="X389" s="602"/>
    </row>
    <row r="390" spans="1:24" s="263" customFormat="1" ht="9" customHeight="1" x14ac:dyDescent="0.25">
      <c r="A390" s="550" t="s">
        <v>39</v>
      </c>
      <c r="B390" s="600">
        <f t="shared" si="21"/>
        <v>20</v>
      </c>
      <c r="C390" s="600">
        <v>18</v>
      </c>
      <c r="D390" s="600">
        <v>2</v>
      </c>
      <c r="E390" s="600">
        <v>0</v>
      </c>
      <c r="F390" s="600">
        <v>0</v>
      </c>
      <c r="G390" s="600">
        <v>0</v>
      </c>
      <c r="H390" s="600">
        <v>0</v>
      </c>
      <c r="R390" s="602"/>
      <c r="S390" s="602"/>
      <c r="T390" s="602"/>
      <c r="U390" s="602"/>
      <c r="V390" s="602"/>
      <c r="W390" s="602"/>
      <c r="X390" s="602"/>
    </row>
    <row r="391" spans="1:24" s="263" customFormat="1" ht="9" customHeight="1" x14ac:dyDescent="0.25">
      <c r="A391" s="550" t="s">
        <v>40</v>
      </c>
      <c r="B391" s="600">
        <f t="shared" si="21"/>
        <v>52</v>
      </c>
      <c r="C391" s="600">
        <v>43</v>
      </c>
      <c r="D391" s="600">
        <v>8</v>
      </c>
      <c r="E391" s="600">
        <v>0</v>
      </c>
      <c r="F391" s="600">
        <v>1</v>
      </c>
      <c r="G391" s="600">
        <v>0</v>
      </c>
      <c r="H391" s="600">
        <v>0</v>
      </c>
      <c r="R391" s="602"/>
      <c r="S391" s="602"/>
      <c r="T391" s="602"/>
      <c r="U391" s="602"/>
      <c r="V391" s="602"/>
      <c r="W391" s="602"/>
      <c r="X391" s="602"/>
    </row>
    <row r="392" spans="1:24" s="263" customFormat="1" ht="9" customHeight="1" x14ac:dyDescent="0.25">
      <c r="A392" s="603" t="s">
        <v>41</v>
      </c>
      <c r="B392" s="604">
        <f t="shared" si="21"/>
        <v>95</v>
      </c>
      <c r="C392" s="604">
        <v>90</v>
      </c>
      <c r="D392" s="604">
        <v>3</v>
      </c>
      <c r="E392" s="604">
        <v>0</v>
      </c>
      <c r="F392" s="604">
        <v>1</v>
      </c>
      <c r="G392" s="604">
        <v>1</v>
      </c>
      <c r="H392" s="604">
        <v>0</v>
      </c>
      <c r="R392" s="602"/>
      <c r="S392" s="602"/>
      <c r="T392" s="602"/>
      <c r="U392" s="602"/>
      <c r="V392" s="602"/>
      <c r="W392" s="602"/>
      <c r="X392" s="602"/>
    </row>
    <row r="393" spans="1:24" s="263" customFormat="1" ht="9" customHeight="1" x14ac:dyDescent="0.25">
      <c r="A393" s="550" t="s">
        <v>42</v>
      </c>
      <c r="B393" s="600">
        <f t="shared" si="21"/>
        <v>147</v>
      </c>
      <c r="C393" s="600">
        <v>137</v>
      </c>
      <c r="D393" s="600">
        <v>4</v>
      </c>
      <c r="E393" s="600">
        <v>1</v>
      </c>
      <c r="F393" s="600">
        <v>3</v>
      </c>
      <c r="G393" s="600">
        <v>0</v>
      </c>
      <c r="H393" s="600">
        <v>2</v>
      </c>
      <c r="R393" s="602"/>
      <c r="S393" s="602"/>
      <c r="T393" s="602"/>
      <c r="U393" s="602"/>
      <c r="V393" s="602"/>
      <c r="W393" s="602"/>
      <c r="X393" s="602"/>
    </row>
    <row r="394" spans="1:24" s="263" customFormat="1" ht="9" customHeight="1" x14ac:dyDescent="0.25">
      <c r="A394" s="550" t="s">
        <v>43</v>
      </c>
      <c r="B394" s="600">
        <f t="shared" si="21"/>
        <v>54</v>
      </c>
      <c r="C394" s="600">
        <v>48</v>
      </c>
      <c r="D394" s="600">
        <v>4</v>
      </c>
      <c r="E394" s="600">
        <v>1</v>
      </c>
      <c r="F394" s="600">
        <v>0</v>
      </c>
      <c r="G394" s="600">
        <v>0</v>
      </c>
      <c r="H394" s="600">
        <v>1</v>
      </c>
      <c r="R394" s="602"/>
      <c r="S394" s="602"/>
      <c r="T394" s="602"/>
      <c r="U394" s="602"/>
      <c r="V394" s="602"/>
      <c r="W394" s="602"/>
      <c r="X394" s="602"/>
    </row>
    <row r="395" spans="1:24" s="263" customFormat="1" ht="9" customHeight="1" x14ac:dyDescent="0.25">
      <c r="A395" s="550" t="s">
        <v>44</v>
      </c>
      <c r="B395" s="600">
        <f t="shared" si="21"/>
        <v>34</v>
      </c>
      <c r="C395" s="600">
        <v>29</v>
      </c>
      <c r="D395" s="600">
        <v>3</v>
      </c>
      <c r="E395" s="600">
        <v>0</v>
      </c>
      <c r="F395" s="600">
        <v>0</v>
      </c>
      <c r="G395" s="600">
        <v>0</v>
      </c>
      <c r="H395" s="600">
        <v>2</v>
      </c>
      <c r="R395" s="602"/>
      <c r="S395" s="602"/>
      <c r="T395" s="602"/>
      <c r="U395" s="602"/>
      <c r="V395" s="602"/>
      <c r="W395" s="602"/>
      <c r="X395" s="602"/>
    </row>
    <row r="396" spans="1:24" s="263" customFormat="1" ht="9" customHeight="1" x14ac:dyDescent="0.25">
      <c r="A396" s="603" t="s">
        <v>45</v>
      </c>
      <c r="B396" s="604">
        <f t="shared" si="21"/>
        <v>52</v>
      </c>
      <c r="C396" s="604">
        <v>47</v>
      </c>
      <c r="D396" s="604">
        <v>2</v>
      </c>
      <c r="E396" s="604">
        <v>1</v>
      </c>
      <c r="F396" s="604">
        <v>0</v>
      </c>
      <c r="G396" s="604">
        <v>0</v>
      </c>
      <c r="H396" s="604">
        <v>2</v>
      </c>
      <c r="R396" s="602"/>
      <c r="S396" s="602"/>
      <c r="T396" s="602"/>
      <c r="U396" s="602"/>
      <c r="V396" s="602"/>
      <c r="W396" s="602"/>
      <c r="X396" s="602"/>
    </row>
    <row r="397" spans="1:24" s="263" customFormat="1" ht="9" customHeight="1" x14ac:dyDescent="0.25">
      <c r="A397" s="550" t="s">
        <v>46</v>
      </c>
      <c r="B397" s="600">
        <f t="shared" si="21"/>
        <v>75</v>
      </c>
      <c r="C397" s="600">
        <v>63</v>
      </c>
      <c r="D397" s="600">
        <v>8</v>
      </c>
      <c r="E397" s="600">
        <v>0</v>
      </c>
      <c r="F397" s="600">
        <v>0</v>
      </c>
      <c r="G397" s="600">
        <v>2</v>
      </c>
      <c r="H397" s="600">
        <v>2</v>
      </c>
      <c r="R397" s="602"/>
      <c r="S397" s="602"/>
      <c r="T397" s="602"/>
      <c r="U397" s="602"/>
      <c r="V397" s="602"/>
      <c r="W397" s="602"/>
      <c r="X397" s="602"/>
    </row>
    <row r="398" spans="1:24" s="263" customFormat="1" ht="9" customHeight="1" x14ac:dyDescent="0.25">
      <c r="A398" s="550" t="s">
        <v>47</v>
      </c>
      <c r="B398" s="600">
        <f t="shared" si="21"/>
        <v>53</v>
      </c>
      <c r="C398" s="600">
        <v>46</v>
      </c>
      <c r="D398" s="600">
        <v>7</v>
      </c>
      <c r="E398" s="600">
        <v>0</v>
      </c>
      <c r="F398" s="600">
        <v>0</v>
      </c>
      <c r="G398" s="600">
        <v>0</v>
      </c>
      <c r="H398" s="600">
        <v>0</v>
      </c>
      <c r="R398" s="602"/>
      <c r="S398" s="602"/>
      <c r="T398" s="602"/>
      <c r="U398" s="602"/>
      <c r="V398" s="602"/>
      <c r="W398" s="602"/>
      <c r="X398" s="602"/>
    </row>
    <row r="399" spans="1:24" s="263" customFormat="1" ht="9" customHeight="1" x14ac:dyDescent="0.25">
      <c r="A399" s="550" t="s">
        <v>48</v>
      </c>
      <c r="B399" s="600">
        <f t="shared" si="21"/>
        <v>53</v>
      </c>
      <c r="C399" s="600">
        <v>50</v>
      </c>
      <c r="D399" s="600">
        <v>3</v>
      </c>
      <c r="E399" s="600">
        <v>0</v>
      </c>
      <c r="F399" s="600">
        <v>0</v>
      </c>
      <c r="G399" s="600">
        <v>0</v>
      </c>
      <c r="H399" s="600">
        <v>0</v>
      </c>
      <c r="R399" s="602"/>
      <c r="S399" s="602"/>
      <c r="T399" s="602"/>
      <c r="U399" s="602"/>
      <c r="V399" s="602"/>
      <c r="W399" s="602"/>
      <c r="X399" s="602"/>
    </row>
    <row r="400" spans="1:24" s="263" customFormat="1" ht="9" customHeight="1" x14ac:dyDescent="0.25">
      <c r="A400" s="603" t="s">
        <v>49</v>
      </c>
      <c r="B400" s="604">
        <f t="shared" si="21"/>
        <v>63</v>
      </c>
      <c r="C400" s="604">
        <v>62</v>
      </c>
      <c r="D400" s="604">
        <v>0</v>
      </c>
      <c r="E400" s="604">
        <v>0</v>
      </c>
      <c r="F400" s="604">
        <v>1</v>
      </c>
      <c r="G400" s="604">
        <v>0</v>
      </c>
      <c r="H400" s="604">
        <v>0</v>
      </c>
      <c r="R400" s="602"/>
      <c r="S400" s="602"/>
      <c r="T400" s="602"/>
      <c r="U400" s="602"/>
      <c r="V400" s="602"/>
      <c r="W400" s="602"/>
      <c r="X400" s="602"/>
    </row>
    <row r="401" spans="1:24" s="263" customFormat="1" ht="9" customHeight="1" x14ac:dyDescent="0.25">
      <c r="A401" s="550" t="s">
        <v>50</v>
      </c>
      <c r="B401" s="600">
        <f t="shared" si="21"/>
        <v>50</v>
      </c>
      <c r="C401" s="600">
        <v>46</v>
      </c>
      <c r="D401" s="600">
        <v>3</v>
      </c>
      <c r="E401" s="600">
        <v>0</v>
      </c>
      <c r="F401" s="600">
        <v>0</v>
      </c>
      <c r="G401" s="600">
        <v>0</v>
      </c>
      <c r="H401" s="600">
        <v>1</v>
      </c>
      <c r="R401" s="602"/>
      <c r="S401" s="602"/>
      <c r="T401" s="602"/>
      <c r="U401" s="602"/>
      <c r="V401" s="602"/>
      <c r="W401" s="602"/>
      <c r="X401" s="602"/>
    </row>
    <row r="402" spans="1:24" s="263" customFormat="1" ht="9" customHeight="1" x14ac:dyDescent="0.25">
      <c r="A402" s="550" t="s">
        <v>51</v>
      </c>
      <c r="B402" s="600">
        <f t="shared" si="21"/>
        <v>163</v>
      </c>
      <c r="C402" s="600">
        <v>134</v>
      </c>
      <c r="D402" s="600">
        <v>18</v>
      </c>
      <c r="E402" s="600">
        <v>1</v>
      </c>
      <c r="F402" s="600">
        <v>3</v>
      </c>
      <c r="G402" s="600">
        <v>1</v>
      </c>
      <c r="H402" s="600">
        <v>6</v>
      </c>
      <c r="R402" s="602"/>
      <c r="S402" s="602"/>
      <c r="T402" s="602"/>
      <c r="U402" s="602"/>
      <c r="V402" s="602"/>
      <c r="W402" s="602"/>
      <c r="X402" s="602"/>
    </row>
    <row r="403" spans="1:24" s="263" customFormat="1" ht="9" customHeight="1" x14ac:dyDescent="0.25">
      <c r="A403" s="550" t="s">
        <v>52</v>
      </c>
      <c r="B403" s="600">
        <f t="shared" si="21"/>
        <v>41</v>
      </c>
      <c r="C403" s="600">
        <v>35</v>
      </c>
      <c r="D403" s="600">
        <v>2</v>
      </c>
      <c r="E403" s="600">
        <v>2</v>
      </c>
      <c r="F403" s="600">
        <v>0</v>
      </c>
      <c r="G403" s="600">
        <v>0</v>
      </c>
      <c r="H403" s="600">
        <v>2</v>
      </c>
      <c r="R403" s="602"/>
      <c r="S403" s="602"/>
      <c r="T403" s="602"/>
      <c r="U403" s="602"/>
      <c r="V403" s="602"/>
      <c r="W403" s="602"/>
      <c r="X403" s="602"/>
    </row>
    <row r="404" spans="1:24" s="263" customFormat="1" ht="9" customHeight="1" x14ac:dyDescent="0.25">
      <c r="A404" s="603" t="s">
        <v>53</v>
      </c>
      <c r="B404" s="604">
        <f t="shared" si="21"/>
        <v>37</v>
      </c>
      <c r="C404" s="604">
        <v>37</v>
      </c>
      <c r="D404" s="604">
        <v>0</v>
      </c>
      <c r="E404" s="604">
        <v>0</v>
      </c>
      <c r="F404" s="604">
        <v>0</v>
      </c>
      <c r="G404" s="604">
        <v>0</v>
      </c>
      <c r="H404" s="604">
        <v>0</v>
      </c>
      <c r="R404" s="602"/>
      <c r="S404" s="602"/>
      <c r="T404" s="602"/>
      <c r="U404" s="602"/>
      <c r="V404" s="602"/>
      <c r="W404" s="602"/>
      <c r="X404" s="602"/>
    </row>
    <row r="405" spans="1:24" s="263" customFormat="1" ht="9" customHeight="1" x14ac:dyDescent="0.25">
      <c r="A405" s="269"/>
      <c r="B405" s="605"/>
      <c r="C405" s="605"/>
      <c r="D405" s="605"/>
      <c r="E405" s="605"/>
      <c r="F405" s="605"/>
      <c r="G405" s="605"/>
      <c r="H405" s="605"/>
      <c r="I405" s="286"/>
      <c r="R405" s="602"/>
      <c r="S405" s="602"/>
      <c r="T405" s="602"/>
      <c r="U405" s="602"/>
      <c r="V405" s="602"/>
      <c r="W405" s="602"/>
      <c r="X405" s="602"/>
    </row>
    <row r="406" spans="1:24" s="263" customFormat="1" ht="9" customHeight="1" x14ac:dyDescent="0.25">
      <c r="A406" s="601">
        <v>2006</v>
      </c>
      <c r="B406" s="266"/>
      <c r="C406" s="266"/>
      <c r="D406" s="266"/>
      <c r="E406" s="266"/>
      <c r="F406" s="266"/>
      <c r="G406" s="266"/>
      <c r="H406" s="266"/>
      <c r="R406" s="602"/>
      <c r="S406" s="602"/>
      <c r="T406" s="602"/>
      <c r="U406" s="602"/>
      <c r="V406" s="602"/>
      <c r="W406" s="602"/>
      <c r="X406" s="602"/>
    </row>
    <row r="407" spans="1:24" s="265" customFormat="1" ht="9" customHeight="1" x14ac:dyDescent="0.25">
      <c r="A407" s="265" t="s">
        <v>21</v>
      </c>
      <c r="B407" s="602">
        <f t="shared" ref="B407:G407" si="22">SUM(B409:B440)</f>
        <v>3131</v>
      </c>
      <c r="C407" s="602">
        <f t="shared" si="22"/>
        <v>2761</v>
      </c>
      <c r="D407" s="602">
        <f t="shared" si="22"/>
        <v>230</v>
      </c>
      <c r="E407" s="602">
        <f t="shared" si="22"/>
        <v>21</v>
      </c>
      <c r="F407" s="602">
        <f t="shared" si="22"/>
        <v>15</v>
      </c>
      <c r="G407" s="602">
        <f t="shared" si="22"/>
        <v>9</v>
      </c>
      <c r="H407" s="602">
        <f>SUM(H409:H440)</f>
        <v>95</v>
      </c>
      <c r="R407" s="602"/>
      <c r="S407" s="602"/>
      <c r="T407" s="602"/>
      <c r="U407" s="602"/>
      <c r="V407" s="602"/>
      <c r="W407" s="602"/>
      <c r="X407" s="602"/>
    </row>
    <row r="408" spans="1:24" s="265" customFormat="1" ht="3.95" customHeight="1" x14ac:dyDescent="0.25">
      <c r="B408" s="602"/>
      <c r="C408" s="602"/>
      <c r="D408" s="602"/>
      <c r="E408" s="602"/>
      <c r="F408" s="602"/>
      <c r="G408" s="602"/>
      <c r="H408" s="602"/>
      <c r="R408" s="602"/>
      <c r="S408" s="602"/>
      <c r="T408" s="602"/>
      <c r="U408" s="602"/>
      <c r="V408" s="602"/>
      <c r="W408" s="602"/>
      <c r="X408" s="602"/>
    </row>
    <row r="409" spans="1:24" s="263" customFormat="1" ht="9" customHeight="1" x14ac:dyDescent="0.25">
      <c r="A409" s="550" t="s">
        <v>23</v>
      </c>
      <c r="B409" s="600">
        <f t="shared" ref="B409:B440" si="23">SUM(C409:H409)</f>
        <v>19</v>
      </c>
      <c r="C409" s="600">
        <v>11</v>
      </c>
      <c r="D409" s="600">
        <v>3</v>
      </c>
      <c r="E409" s="600">
        <v>0</v>
      </c>
      <c r="F409" s="600">
        <v>0</v>
      </c>
      <c r="G409" s="600">
        <v>1</v>
      </c>
      <c r="H409" s="600">
        <v>4</v>
      </c>
      <c r="R409" s="602"/>
      <c r="S409" s="602"/>
      <c r="T409" s="602"/>
      <c r="U409" s="602"/>
      <c r="V409" s="602"/>
      <c r="W409" s="602"/>
      <c r="X409" s="602"/>
    </row>
    <row r="410" spans="1:24" s="263" customFormat="1" ht="9" customHeight="1" x14ac:dyDescent="0.25">
      <c r="A410" s="550" t="s">
        <v>24</v>
      </c>
      <c r="B410" s="600">
        <f t="shared" si="23"/>
        <v>138</v>
      </c>
      <c r="C410" s="598">
        <v>124</v>
      </c>
      <c r="D410" s="598">
        <v>3</v>
      </c>
      <c r="E410" s="598">
        <v>0</v>
      </c>
      <c r="F410" s="598">
        <v>0</v>
      </c>
      <c r="G410" s="598">
        <v>0</v>
      </c>
      <c r="H410" s="598">
        <v>11</v>
      </c>
      <c r="R410" s="602"/>
      <c r="S410" s="602"/>
      <c r="T410" s="602"/>
      <c r="U410" s="602"/>
      <c r="V410" s="602"/>
      <c r="W410" s="602"/>
      <c r="X410" s="602"/>
    </row>
    <row r="411" spans="1:24" s="263" customFormat="1" ht="9" customHeight="1" x14ac:dyDescent="0.25">
      <c r="A411" s="550" t="s">
        <v>25</v>
      </c>
      <c r="B411" s="600">
        <f t="shared" si="23"/>
        <v>14</v>
      </c>
      <c r="C411" s="600">
        <v>11</v>
      </c>
      <c r="D411" s="600">
        <v>0</v>
      </c>
      <c r="E411" s="600">
        <v>0</v>
      </c>
      <c r="F411" s="600">
        <v>0</v>
      </c>
      <c r="G411" s="600">
        <v>0</v>
      </c>
      <c r="H411" s="600">
        <v>3</v>
      </c>
      <c r="R411" s="602"/>
      <c r="S411" s="602"/>
      <c r="T411" s="602"/>
      <c r="U411" s="602"/>
      <c r="V411" s="602"/>
      <c r="W411" s="602"/>
      <c r="X411" s="602"/>
    </row>
    <row r="412" spans="1:24" s="263" customFormat="1" ht="9" customHeight="1" x14ac:dyDescent="0.25">
      <c r="A412" s="603" t="s">
        <v>26</v>
      </c>
      <c r="B412" s="604">
        <f t="shared" si="23"/>
        <v>10</v>
      </c>
      <c r="C412" s="604">
        <v>7</v>
      </c>
      <c r="D412" s="604">
        <v>2</v>
      </c>
      <c r="E412" s="604">
        <v>0</v>
      </c>
      <c r="F412" s="604">
        <v>0</v>
      </c>
      <c r="G412" s="604">
        <v>0</v>
      </c>
      <c r="H412" s="604">
        <v>1</v>
      </c>
      <c r="R412" s="602"/>
      <c r="S412" s="602"/>
      <c r="T412" s="602"/>
      <c r="U412" s="602"/>
      <c r="V412" s="602"/>
      <c r="W412" s="602"/>
      <c r="X412" s="602"/>
    </row>
    <row r="413" spans="1:24" s="263" customFormat="1" ht="9" customHeight="1" x14ac:dyDescent="0.25">
      <c r="A413" s="550" t="s">
        <v>27</v>
      </c>
      <c r="B413" s="600">
        <f t="shared" si="23"/>
        <v>30</v>
      </c>
      <c r="C413" s="600">
        <v>26</v>
      </c>
      <c r="D413" s="600">
        <v>2</v>
      </c>
      <c r="E413" s="600">
        <v>0</v>
      </c>
      <c r="F413" s="600">
        <v>1</v>
      </c>
      <c r="G413" s="600">
        <v>0</v>
      </c>
      <c r="H413" s="600">
        <v>1</v>
      </c>
      <c r="R413" s="602"/>
      <c r="S413" s="602"/>
      <c r="T413" s="602"/>
      <c r="U413" s="602"/>
      <c r="V413" s="602"/>
      <c r="W413" s="602"/>
      <c r="X413" s="602"/>
    </row>
    <row r="414" spans="1:24" s="263" customFormat="1" ht="9" customHeight="1" x14ac:dyDescent="0.25">
      <c r="A414" s="550" t="s">
        <v>28</v>
      </c>
      <c r="B414" s="600">
        <f t="shared" si="23"/>
        <v>12</v>
      </c>
      <c r="C414" s="600">
        <v>12</v>
      </c>
      <c r="D414" s="600">
        <v>0</v>
      </c>
      <c r="E414" s="600">
        <v>0</v>
      </c>
      <c r="F414" s="600">
        <v>0</v>
      </c>
      <c r="G414" s="600">
        <v>0</v>
      </c>
      <c r="H414" s="600">
        <v>0</v>
      </c>
      <c r="R414" s="602"/>
      <c r="S414" s="602"/>
      <c r="T414" s="602"/>
      <c r="U414" s="602"/>
      <c r="V414" s="602"/>
      <c r="W414" s="602"/>
      <c r="X414" s="602"/>
    </row>
    <row r="415" spans="1:24" s="263" customFormat="1" ht="9" customHeight="1" x14ac:dyDescent="0.25">
      <c r="A415" s="550" t="s">
        <v>29</v>
      </c>
      <c r="B415" s="600">
        <f t="shared" si="23"/>
        <v>73</v>
      </c>
      <c r="C415" s="600">
        <v>57</v>
      </c>
      <c r="D415" s="600">
        <v>6</v>
      </c>
      <c r="E415" s="600">
        <v>0</v>
      </c>
      <c r="F415" s="600">
        <v>0</v>
      </c>
      <c r="G415" s="600">
        <v>0</v>
      </c>
      <c r="H415" s="600">
        <v>10</v>
      </c>
      <c r="R415" s="602"/>
      <c r="S415" s="602"/>
      <c r="T415" s="602"/>
      <c r="U415" s="602"/>
      <c r="V415" s="602"/>
      <c r="W415" s="602"/>
      <c r="X415" s="602"/>
    </row>
    <row r="416" spans="1:24" s="263" customFormat="1" ht="9" customHeight="1" x14ac:dyDescent="0.25">
      <c r="A416" s="603" t="s">
        <v>30</v>
      </c>
      <c r="B416" s="604">
        <f t="shared" si="23"/>
        <v>65</v>
      </c>
      <c r="C416" s="604">
        <v>62</v>
      </c>
      <c r="D416" s="604">
        <v>3</v>
      </c>
      <c r="E416" s="604">
        <v>0</v>
      </c>
      <c r="F416" s="604">
        <v>0</v>
      </c>
      <c r="G416" s="604">
        <v>0</v>
      </c>
      <c r="H416" s="604">
        <v>0</v>
      </c>
      <c r="R416" s="602"/>
      <c r="S416" s="602"/>
      <c r="T416" s="602"/>
      <c r="U416" s="602"/>
      <c r="V416" s="602"/>
      <c r="W416" s="602"/>
      <c r="X416" s="602"/>
    </row>
    <row r="417" spans="1:24" s="263" customFormat="1" ht="9" customHeight="1" x14ac:dyDescent="0.25">
      <c r="A417" s="550" t="s">
        <v>63</v>
      </c>
      <c r="B417" s="600">
        <f t="shared" si="23"/>
        <v>318</v>
      </c>
      <c r="C417" s="600">
        <v>283</v>
      </c>
      <c r="D417" s="600">
        <v>15</v>
      </c>
      <c r="E417" s="600">
        <v>4</v>
      </c>
      <c r="F417" s="600">
        <v>3</v>
      </c>
      <c r="G417" s="600">
        <v>0</v>
      </c>
      <c r="H417" s="600">
        <v>13</v>
      </c>
      <c r="R417" s="602"/>
      <c r="S417" s="602"/>
      <c r="T417" s="602"/>
      <c r="U417" s="602"/>
      <c r="V417" s="602"/>
      <c r="W417" s="602"/>
      <c r="X417" s="602"/>
    </row>
    <row r="418" spans="1:24" s="263" customFormat="1" ht="9" customHeight="1" x14ac:dyDescent="0.25">
      <c r="A418" s="550" t="s">
        <v>31</v>
      </c>
      <c r="B418" s="600">
        <f t="shared" si="23"/>
        <v>36</v>
      </c>
      <c r="C418" s="600">
        <v>34</v>
      </c>
      <c r="D418" s="600">
        <v>1</v>
      </c>
      <c r="E418" s="600">
        <v>0</v>
      </c>
      <c r="F418" s="600">
        <v>0</v>
      </c>
      <c r="G418" s="600">
        <v>0</v>
      </c>
      <c r="H418" s="600">
        <v>1</v>
      </c>
      <c r="R418" s="602"/>
      <c r="S418" s="602"/>
      <c r="T418" s="602"/>
      <c r="U418" s="602"/>
      <c r="V418" s="602"/>
      <c r="W418" s="602"/>
      <c r="X418" s="602"/>
    </row>
    <row r="419" spans="1:24" s="263" customFormat="1" ht="9" customHeight="1" x14ac:dyDescent="0.25">
      <c r="A419" s="550" t="s">
        <v>32</v>
      </c>
      <c r="B419" s="600">
        <f t="shared" si="23"/>
        <v>213</v>
      </c>
      <c r="C419" s="600">
        <v>176</v>
      </c>
      <c r="D419" s="600">
        <v>24</v>
      </c>
      <c r="E419" s="600">
        <v>0</v>
      </c>
      <c r="F419" s="600">
        <v>0</v>
      </c>
      <c r="G419" s="600">
        <v>1</v>
      </c>
      <c r="H419" s="600">
        <v>12</v>
      </c>
      <c r="R419" s="602"/>
      <c r="S419" s="602"/>
      <c r="T419" s="602"/>
      <c r="U419" s="602"/>
      <c r="V419" s="602"/>
      <c r="W419" s="602"/>
      <c r="X419" s="602"/>
    </row>
    <row r="420" spans="1:24" s="263" customFormat="1" ht="9" customHeight="1" x14ac:dyDescent="0.25">
      <c r="A420" s="603" t="s">
        <v>33</v>
      </c>
      <c r="B420" s="604">
        <f t="shared" si="23"/>
        <v>107</v>
      </c>
      <c r="C420" s="604">
        <v>91</v>
      </c>
      <c r="D420" s="604">
        <v>8</v>
      </c>
      <c r="E420" s="604">
        <v>3</v>
      </c>
      <c r="F420" s="604">
        <v>0</v>
      </c>
      <c r="G420" s="604">
        <v>0</v>
      </c>
      <c r="H420" s="604">
        <v>5</v>
      </c>
      <c r="R420" s="602"/>
      <c r="S420" s="602"/>
      <c r="T420" s="602"/>
      <c r="U420" s="602"/>
      <c r="V420" s="602"/>
      <c r="W420" s="602"/>
      <c r="X420" s="602"/>
    </row>
    <row r="421" spans="1:24" s="263" customFormat="1" ht="9" customHeight="1" x14ac:dyDescent="0.25">
      <c r="A421" s="550" t="s">
        <v>34</v>
      </c>
      <c r="B421" s="600">
        <f t="shared" si="23"/>
        <v>88</v>
      </c>
      <c r="C421" s="600">
        <v>76</v>
      </c>
      <c r="D421" s="600">
        <v>10</v>
      </c>
      <c r="E421" s="600">
        <v>2</v>
      </c>
      <c r="F421" s="600">
        <v>0</v>
      </c>
      <c r="G421" s="600">
        <v>0</v>
      </c>
      <c r="H421" s="600">
        <v>0</v>
      </c>
      <c r="R421" s="602"/>
      <c r="S421" s="602"/>
      <c r="T421" s="602"/>
      <c r="U421" s="602"/>
      <c r="V421" s="602"/>
      <c r="W421" s="602"/>
      <c r="X421" s="602"/>
    </row>
    <row r="422" spans="1:24" s="263" customFormat="1" ht="9" customHeight="1" x14ac:dyDescent="0.25">
      <c r="A422" s="550" t="s">
        <v>35</v>
      </c>
      <c r="B422" s="600">
        <f t="shared" si="23"/>
        <v>189</v>
      </c>
      <c r="C422" s="600">
        <v>173</v>
      </c>
      <c r="D422" s="600">
        <v>8</v>
      </c>
      <c r="E422" s="600">
        <v>0</v>
      </c>
      <c r="F422" s="600">
        <v>1</v>
      </c>
      <c r="G422" s="600">
        <v>0</v>
      </c>
      <c r="H422" s="600">
        <v>7</v>
      </c>
      <c r="R422" s="602"/>
      <c r="S422" s="602"/>
      <c r="T422" s="602"/>
      <c r="U422" s="602"/>
      <c r="V422" s="602"/>
      <c r="W422" s="602"/>
      <c r="X422" s="602"/>
    </row>
    <row r="423" spans="1:24" s="263" customFormat="1" ht="9" customHeight="1" x14ac:dyDescent="0.25">
      <c r="A423" s="550" t="s">
        <v>36</v>
      </c>
      <c r="B423" s="600">
        <f t="shared" si="23"/>
        <v>556</v>
      </c>
      <c r="C423" s="600">
        <v>497</v>
      </c>
      <c r="D423" s="600">
        <v>46</v>
      </c>
      <c r="E423" s="600">
        <v>3</v>
      </c>
      <c r="F423" s="600">
        <v>2</v>
      </c>
      <c r="G423" s="600">
        <v>3</v>
      </c>
      <c r="H423" s="600">
        <v>5</v>
      </c>
      <c r="R423" s="602"/>
      <c r="S423" s="602"/>
      <c r="T423" s="602"/>
      <c r="U423" s="602"/>
      <c r="V423" s="602"/>
      <c r="W423" s="602"/>
      <c r="X423" s="602"/>
    </row>
    <row r="424" spans="1:24" s="263" customFormat="1" ht="9" customHeight="1" x14ac:dyDescent="0.25">
      <c r="A424" s="603" t="s">
        <v>37</v>
      </c>
      <c r="B424" s="604">
        <f t="shared" si="23"/>
        <v>205</v>
      </c>
      <c r="C424" s="604">
        <v>179</v>
      </c>
      <c r="D424" s="604">
        <v>17</v>
      </c>
      <c r="E424" s="604">
        <v>3</v>
      </c>
      <c r="F424" s="604">
        <v>1</v>
      </c>
      <c r="G424" s="604">
        <v>0</v>
      </c>
      <c r="H424" s="604">
        <v>5</v>
      </c>
      <c r="R424" s="602"/>
      <c r="S424" s="602"/>
      <c r="T424" s="602"/>
      <c r="U424" s="602"/>
      <c r="V424" s="602"/>
      <c r="W424" s="602"/>
      <c r="X424" s="602"/>
    </row>
    <row r="425" spans="1:24" s="263" customFormat="1" ht="9" customHeight="1" x14ac:dyDescent="0.25">
      <c r="A425" s="550" t="s">
        <v>38</v>
      </c>
      <c r="B425" s="600">
        <f t="shared" si="23"/>
        <v>71</v>
      </c>
      <c r="C425" s="600">
        <v>58</v>
      </c>
      <c r="D425" s="600">
        <v>13</v>
      </c>
      <c r="E425" s="600">
        <v>0</v>
      </c>
      <c r="F425" s="600">
        <v>0</v>
      </c>
      <c r="G425" s="600">
        <v>0</v>
      </c>
      <c r="H425" s="600">
        <v>0</v>
      </c>
      <c r="R425" s="602"/>
      <c r="S425" s="602"/>
      <c r="T425" s="602"/>
      <c r="U425" s="602"/>
      <c r="V425" s="602"/>
      <c r="W425" s="602"/>
      <c r="X425" s="602"/>
    </row>
    <row r="426" spans="1:24" s="263" customFormat="1" ht="9" customHeight="1" x14ac:dyDescent="0.25">
      <c r="A426" s="550" t="s">
        <v>39</v>
      </c>
      <c r="B426" s="600">
        <f t="shared" si="23"/>
        <v>19</v>
      </c>
      <c r="C426" s="600">
        <v>17</v>
      </c>
      <c r="D426" s="600">
        <v>2</v>
      </c>
      <c r="E426" s="600">
        <v>0</v>
      </c>
      <c r="F426" s="600">
        <v>0</v>
      </c>
      <c r="G426" s="600">
        <v>0</v>
      </c>
      <c r="H426" s="600">
        <v>0</v>
      </c>
      <c r="R426" s="602"/>
      <c r="S426" s="602"/>
      <c r="T426" s="602"/>
      <c r="U426" s="602"/>
      <c r="V426" s="602"/>
      <c r="W426" s="602"/>
      <c r="X426" s="602"/>
    </row>
    <row r="427" spans="1:24" s="263" customFormat="1" ht="9" customHeight="1" x14ac:dyDescent="0.25">
      <c r="A427" s="550" t="s">
        <v>40</v>
      </c>
      <c r="B427" s="600">
        <f t="shared" si="23"/>
        <v>54</v>
      </c>
      <c r="C427" s="600">
        <v>45</v>
      </c>
      <c r="D427" s="600">
        <v>8</v>
      </c>
      <c r="E427" s="600">
        <v>0</v>
      </c>
      <c r="F427" s="600">
        <v>1</v>
      </c>
      <c r="G427" s="600">
        <v>0</v>
      </c>
      <c r="H427" s="600">
        <v>0</v>
      </c>
      <c r="R427" s="602"/>
      <c r="S427" s="602"/>
      <c r="T427" s="602"/>
      <c r="U427" s="602"/>
      <c r="V427" s="602"/>
      <c r="W427" s="602"/>
      <c r="X427" s="602"/>
    </row>
    <row r="428" spans="1:24" s="263" customFormat="1" ht="9" customHeight="1" x14ac:dyDescent="0.25">
      <c r="A428" s="603" t="s">
        <v>41</v>
      </c>
      <c r="B428" s="604">
        <f t="shared" si="23"/>
        <v>100</v>
      </c>
      <c r="C428" s="604">
        <v>94</v>
      </c>
      <c r="D428" s="604">
        <v>5</v>
      </c>
      <c r="E428" s="604">
        <v>0</v>
      </c>
      <c r="F428" s="604">
        <v>0</v>
      </c>
      <c r="G428" s="604">
        <v>1</v>
      </c>
      <c r="H428" s="604">
        <v>0</v>
      </c>
      <c r="R428" s="602"/>
      <c r="S428" s="602"/>
      <c r="T428" s="602"/>
      <c r="U428" s="602"/>
      <c r="V428" s="602"/>
      <c r="W428" s="602"/>
      <c r="X428" s="602"/>
    </row>
    <row r="429" spans="1:24" s="263" customFormat="1" ht="9" customHeight="1" x14ac:dyDescent="0.25">
      <c r="A429" s="550" t="s">
        <v>42</v>
      </c>
      <c r="B429" s="600">
        <f t="shared" si="23"/>
        <v>156</v>
      </c>
      <c r="C429" s="600">
        <v>146</v>
      </c>
      <c r="D429" s="600">
        <v>4</v>
      </c>
      <c r="E429" s="600">
        <v>1</v>
      </c>
      <c r="F429" s="600">
        <v>3</v>
      </c>
      <c r="G429" s="600">
        <v>0</v>
      </c>
      <c r="H429" s="600">
        <v>2</v>
      </c>
      <c r="R429" s="602"/>
      <c r="S429" s="602"/>
      <c r="T429" s="602"/>
      <c r="U429" s="602"/>
      <c r="V429" s="602"/>
      <c r="W429" s="602"/>
      <c r="X429" s="602"/>
    </row>
    <row r="430" spans="1:24" s="263" customFormat="1" ht="9" customHeight="1" x14ac:dyDescent="0.25">
      <c r="A430" s="550" t="s">
        <v>43</v>
      </c>
      <c r="B430" s="600">
        <f t="shared" si="23"/>
        <v>52</v>
      </c>
      <c r="C430" s="600">
        <v>48</v>
      </c>
      <c r="D430" s="600">
        <v>3</v>
      </c>
      <c r="E430" s="600">
        <v>1</v>
      </c>
      <c r="F430" s="600">
        <v>0</v>
      </c>
      <c r="G430" s="600">
        <v>0</v>
      </c>
      <c r="H430" s="600">
        <v>0</v>
      </c>
      <c r="R430" s="602"/>
      <c r="S430" s="602"/>
      <c r="T430" s="602"/>
      <c r="U430" s="602"/>
      <c r="V430" s="602"/>
      <c r="W430" s="602"/>
      <c r="X430" s="602"/>
    </row>
    <row r="431" spans="1:24" s="263" customFormat="1" ht="9" customHeight="1" x14ac:dyDescent="0.25">
      <c r="A431" s="550" t="s">
        <v>44</v>
      </c>
      <c r="B431" s="600">
        <f t="shared" si="23"/>
        <v>32</v>
      </c>
      <c r="C431" s="600">
        <v>26</v>
      </c>
      <c r="D431" s="600">
        <v>4</v>
      </c>
      <c r="E431" s="600">
        <v>0</v>
      </c>
      <c r="F431" s="600">
        <v>0</v>
      </c>
      <c r="G431" s="600">
        <v>0</v>
      </c>
      <c r="H431" s="600">
        <v>2</v>
      </c>
      <c r="R431" s="602"/>
      <c r="S431" s="602"/>
      <c r="T431" s="602"/>
      <c r="U431" s="602"/>
      <c r="V431" s="602"/>
      <c r="W431" s="602"/>
      <c r="X431" s="602"/>
    </row>
    <row r="432" spans="1:24" s="263" customFormat="1" ht="9" customHeight="1" x14ac:dyDescent="0.25">
      <c r="A432" s="603" t="s">
        <v>45</v>
      </c>
      <c r="B432" s="604">
        <f t="shared" si="23"/>
        <v>55</v>
      </c>
      <c r="C432" s="604">
        <v>50</v>
      </c>
      <c r="D432" s="604">
        <v>2</v>
      </c>
      <c r="E432" s="604">
        <v>1</v>
      </c>
      <c r="F432" s="604">
        <v>0</v>
      </c>
      <c r="G432" s="604">
        <v>0</v>
      </c>
      <c r="H432" s="604">
        <v>2</v>
      </c>
      <c r="R432" s="602"/>
      <c r="S432" s="602"/>
      <c r="T432" s="602"/>
      <c r="U432" s="602"/>
      <c r="V432" s="602"/>
      <c r="W432" s="602"/>
      <c r="X432" s="602"/>
    </row>
    <row r="433" spans="1:24" s="263" customFormat="1" ht="9" customHeight="1" x14ac:dyDescent="0.25">
      <c r="A433" s="550" t="s">
        <v>46</v>
      </c>
      <c r="B433" s="600">
        <f t="shared" si="23"/>
        <v>71</v>
      </c>
      <c r="C433" s="600">
        <v>60</v>
      </c>
      <c r="D433" s="600">
        <v>7</v>
      </c>
      <c r="E433" s="600">
        <v>0</v>
      </c>
      <c r="F433" s="600">
        <v>0</v>
      </c>
      <c r="G433" s="600">
        <v>2</v>
      </c>
      <c r="H433" s="600">
        <v>2</v>
      </c>
      <c r="R433" s="602"/>
      <c r="S433" s="602"/>
      <c r="T433" s="602"/>
      <c r="U433" s="602"/>
      <c r="V433" s="602"/>
      <c r="W433" s="602"/>
      <c r="X433" s="602"/>
    </row>
    <row r="434" spans="1:24" s="263" customFormat="1" ht="9" customHeight="1" x14ac:dyDescent="0.25">
      <c r="A434" s="550" t="s">
        <v>47</v>
      </c>
      <c r="B434" s="600">
        <f t="shared" si="23"/>
        <v>51</v>
      </c>
      <c r="C434" s="600">
        <v>44</v>
      </c>
      <c r="D434" s="600">
        <v>7</v>
      </c>
      <c r="E434" s="600">
        <v>0</v>
      </c>
      <c r="F434" s="600">
        <v>0</v>
      </c>
      <c r="G434" s="600">
        <v>0</v>
      </c>
      <c r="H434" s="600">
        <v>0</v>
      </c>
      <c r="R434" s="602"/>
      <c r="S434" s="602"/>
      <c r="T434" s="602"/>
      <c r="U434" s="602"/>
      <c r="V434" s="602"/>
      <c r="W434" s="602"/>
      <c r="X434" s="602"/>
    </row>
    <row r="435" spans="1:24" s="263" customFormat="1" ht="9" customHeight="1" x14ac:dyDescent="0.25">
      <c r="A435" s="550" t="s">
        <v>48</v>
      </c>
      <c r="B435" s="600">
        <f t="shared" si="23"/>
        <v>52</v>
      </c>
      <c r="C435" s="600">
        <v>48</v>
      </c>
      <c r="D435" s="600">
        <v>4</v>
      </c>
      <c r="E435" s="600">
        <v>0</v>
      </c>
      <c r="F435" s="600">
        <v>0</v>
      </c>
      <c r="G435" s="600">
        <v>0</v>
      </c>
      <c r="H435" s="600">
        <v>0</v>
      </c>
      <c r="R435" s="602"/>
      <c r="S435" s="602"/>
      <c r="T435" s="602"/>
      <c r="U435" s="602"/>
      <c r="V435" s="602"/>
      <c r="W435" s="602"/>
      <c r="X435" s="602"/>
    </row>
    <row r="436" spans="1:24" s="263" customFormat="1" ht="9" customHeight="1" x14ac:dyDescent="0.25">
      <c r="A436" s="603" t="s">
        <v>49</v>
      </c>
      <c r="B436" s="604">
        <f t="shared" si="23"/>
        <v>62</v>
      </c>
      <c r="C436" s="604">
        <v>61</v>
      </c>
      <c r="D436" s="604">
        <v>0</v>
      </c>
      <c r="E436" s="604">
        <v>0</v>
      </c>
      <c r="F436" s="604">
        <v>1</v>
      </c>
      <c r="G436" s="604">
        <v>0</v>
      </c>
      <c r="H436" s="604">
        <v>0</v>
      </c>
      <c r="R436" s="602"/>
      <c r="S436" s="602"/>
      <c r="T436" s="602"/>
      <c r="U436" s="602"/>
      <c r="V436" s="602"/>
      <c r="W436" s="602"/>
      <c r="X436" s="602"/>
    </row>
    <row r="437" spans="1:24" s="263" customFormat="1" ht="9" customHeight="1" x14ac:dyDescent="0.25">
      <c r="A437" s="550" t="s">
        <v>50</v>
      </c>
      <c r="B437" s="600">
        <f t="shared" si="23"/>
        <v>50</v>
      </c>
      <c r="C437" s="600">
        <v>46</v>
      </c>
      <c r="D437" s="600">
        <v>2</v>
      </c>
      <c r="E437" s="600">
        <v>0</v>
      </c>
      <c r="F437" s="600">
        <v>0</v>
      </c>
      <c r="G437" s="600">
        <v>0</v>
      </c>
      <c r="H437" s="600">
        <v>2</v>
      </c>
      <c r="R437" s="602"/>
      <c r="S437" s="602"/>
      <c r="T437" s="602"/>
      <c r="U437" s="602"/>
      <c r="V437" s="602"/>
      <c r="W437" s="602"/>
      <c r="X437" s="602"/>
    </row>
    <row r="438" spans="1:24" s="263" customFormat="1" ht="9" customHeight="1" x14ac:dyDescent="0.25">
      <c r="A438" s="550" t="s">
        <v>51</v>
      </c>
      <c r="B438" s="600">
        <f t="shared" si="23"/>
        <v>154</v>
      </c>
      <c r="C438" s="600">
        <v>126</v>
      </c>
      <c r="D438" s="600">
        <v>19</v>
      </c>
      <c r="E438" s="600">
        <v>1</v>
      </c>
      <c r="F438" s="600">
        <v>2</v>
      </c>
      <c r="G438" s="600">
        <v>1</v>
      </c>
      <c r="H438" s="600">
        <v>5</v>
      </c>
      <c r="R438" s="602"/>
      <c r="S438" s="602"/>
      <c r="T438" s="602"/>
      <c r="U438" s="602"/>
      <c r="V438" s="602"/>
      <c r="W438" s="602"/>
      <c r="X438" s="602"/>
    </row>
    <row r="439" spans="1:24" s="263" customFormat="1" ht="9" customHeight="1" x14ac:dyDescent="0.25">
      <c r="A439" s="550" t="s">
        <v>52</v>
      </c>
      <c r="B439" s="600">
        <f t="shared" si="23"/>
        <v>42</v>
      </c>
      <c r="C439" s="600">
        <v>37</v>
      </c>
      <c r="D439" s="600">
        <v>1</v>
      </c>
      <c r="E439" s="600">
        <v>2</v>
      </c>
      <c r="F439" s="600">
        <v>0</v>
      </c>
      <c r="G439" s="600">
        <v>0</v>
      </c>
      <c r="H439" s="600">
        <v>2</v>
      </c>
      <c r="R439" s="602"/>
      <c r="S439" s="602"/>
      <c r="T439" s="602"/>
      <c r="U439" s="602"/>
      <c r="V439" s="602"/>
      <c r="W439" s="602"/>
      <c r="X439" s="602"/>
    </row>
    <row r="440" spans="1:24" s="263" customFormat="1" ht="9" customHeight="1" x14ac:dyDescent="0.25">
      <c r="A440" s="603" t="s">
        <v>53</v>
      </c>
      <c r="B440" s="604">
        <f t="shared" si="23"/>
        <v>37</v>
      </c>
      <c r="C440" s="604">
        <v>36</v>
      </c>
      <c r="D440" s="604">
        <v>1</v>
      </c>
      <c r="E440" s="604">
        <v>0</v>
      </c>
      <c r="F440" s="604">
        <v>0</v>
      </c>
      <c r="G440" s="604">
        <v>0</v>
      </c>
      <c r="H440" s="604">
        <v>0</v>
      </c>
      <c r="R440" s="602"/>
      <c r="S440" s="602"/>
      <c r="T440" s="602"/>
      <c r="U440" s="602"/>
      <c r="V440" s="602"/>
      <c r="W440" s="602"/>
      <c r="X440" s="602"/>
    </row>
    <row r="441" spans="1:24" s="263" customFormat="1" ht="9" customHeight="1" x14ac:dyDescent="0.25">
      <c r="A441" s="269"/>
      <c r="B441" s="605"/>
      <c r="C441" s="605"/>
      <c r="D441" s="605"/>
      <c r="E441" s="605"/>
      <c r="F441" s="605"/>
      <c r="G441" s="605"/>
      <c r="H441" s="605"/>
      <c r="I441" s="286"/>
      <c r="R441" s="602"/>
      <c r="S441" s="602"/>
      <c r="T441" s="602"/>
      <c r="U441" s="602"/>
      <c r="V441" s="602"/>
      <c r="W441" s="602"/>
      <c r="X441" s="602"/>
    </row>
    <row r="442" spans="1:24" s="263" customFormat="1" ht="9" customHeight="1" x14ac:dyDescent="0.25">
      <c r="A442" s="601">
        <v>2007</v>
      </c>
      <c r="B442" s="266"/>
      <c r="C442" s="266"/>
      <c r="D442" s="266"/>
      <c r="E442" s="266"/>
      <c r="F442" s="266"/>
      <c r="G442" s="266"/>
      <c r="H442" s="266"/>
      <c r="R442" s="602"/>
      <c r="S442" s="602"/>
      <c r="T442" s="602"/>
      <c r="U442" s="602"/>
      <c r="V442" s="602"/>
      <c r="W442" s="602"/>
      <c r="X442" s="602"/>
    </row>
    <row r="443" spans="1:24" s="265" customFormat="1" ht="9" customHeight="1" x14ac:dyDescent="0.25">
      <c r="A443" s="265" t="s">
        <v>21</v>
      </c>
      <c r="B443" s="602">
        <f t="shared" ref="B443:G443" si="24">SUM(B445:B476)</f>
        <v>3141</v>
      </c>
      <c r="C443" s="602">
        <f t="shared" si="24"/>
        <v>2808</v>
      </c>
      <c r="D443" s="602">
        <f t="shared" si="24"/>
        <v>212</v>
      </c>
      <c r="E443" s="602">
        <f t="shared" si="24"/>
        <v>16</v>
      </c>
      <c r="F443" s="602">
        <f t="shared" si="24"/>
        <v>16</v>
      </c>
      <c r="G443" s="602">
        <f t="shared" si="24"/>
        <v>8</v>
      </c>
      <c r="H443" s="602">
        <f>SUM(H445:H476)</f>
        <v>81</v>
      </c>
      <c r="R443" s="602"/>
      <c r="S443" s="602"/>
      <c r="T443" s="602"/>
      <c r="U443" s="602"/>
      <c r="V443" s="602"/>
      <c r="W443" s="602"/>
      <c r="X443" s="602"/>
    </row>
    <row r="444" spans="1:24" s="265" customFormat="1" ht="3.95" customHeight="1" x14ac:dyDescent="0.25">
      <c r="B444" s="602"/>
      <c r="C444" s="602"/>
      <c r="D444" s="602"/>
      <c r="E444" s="602"/>
      <c r="F444" s="602"/>
      <c r="G444" s="602"/>
      <c r="H444" s="602"/>
      <c r="R444" s="602"/>
      <c r="S444" s="602"/>
      <c r="T444" s="602"/>
      <c r="U444" s="602"/>
      <c r="V444" s="602"/>
      <c r="W444" s="602"/>
      <c r="X444" s="602"/>
    </row>
    <row r="445" spans="1:24" s="263" customFormat="1" ht="9" customHeight="1" x14ac:dyDescent="0.25">
      <c r="A445" s="550" t="s">
        <v>23</v>
      </c>
      <c r="B445" s="600">
        <f t="shared" ref="B445:B476" si="25">SUM(C445:H445)</f>
        <v>17</v>
      </c>
      <c r="C445" s="600">
        <v>14</v>
      </c>
      <c r="D445" s="600">
        <v>2</v>
      </c>
      <c r="E445" s="600">
        <v>0</v>
      </c>
      <c r="F445" s="600">
        <v>0</v>
      </c>
      <c r="G445" s="600">
        <v>0</v>
      </c>
      <c r="H445" s="600">
        <v>1</v>
      </c>
      <c r="R445" s="602"/>
      <c r="S445" s="602"/>
      <c r="T445" s="602"/>
      <c r="U445" s="602"/>
      <c r="V445" s="602"/>
      <c r="W445" s="602"/>
      <c r="X445" s="602"/>
    </row>
    <row r="446" spans="1:24" s="263" customFormat="1" ht="9" customHeight="1" x14ac:dyDescent="0.25">
      <c r="A446" s="550" t="s">
        <v>24</v>
      </c>
      <c r="B446" s="600">
        <f t="shared" si="25"/>
        <v>134</v>
      </c>
      <c r="C446" s="600">
        <v>127</v>
      </c>
      <c r="D446" s="600">
        <v>1</v>
      </c>
      <c r="E446" s="600">
        <v>0</v>
      </c>
      <c r="F446" s="600">
        <v>0</v>
      </c>
      <c r="G446" s="600">
        <v>0</v>
      </c>
      <c r="H446" s="600">
        <v>6</v>
      </c>
      <c r="R446" s="602"/>
      <c r="S446" s="602"/>
      <c r="T446" s="602"/>
      <c r="U446" s="602"/>
      <c r="V446" s="602"/>
      <c r="W446" s="602"/>
      <c r="X446" s="602"/>
    </row>
    <row r="447" spans="1:24" s="263" customFormat="1" ht="9" customHeight="1" x14ac:dyDescent="0.25">
      <c r="A447" s="550" t="s">
        <v>25</v>
      </c>
      <c r="B447" s="600">
        <f t="shared" si="25"/>
        <v>14</v>
      </c>
      <c r="C447" s="600">
        <v>12</v>
      </c>
      <c r="D447" s="600">
        <v>0</v>
      </c>
      <c r="E447" s="600">
        <v>0</v>
      </c>
      <c r="F447" s="600">
        <v>0</v>
      </c>
      <c r="G447" s="600">
        <v>0</v>
      </c>
      <c r="H447" s="600">
        <v>2</v>
      </c>
      <c r="R447" s="602"/>
      <c r="S447" s="602"/>
      <c r="T447" s="602"/>
      <c r="U447" s="602"/>
      <c r="V447" s="602"/>
      <c r="W447" s="602"/>
      <c r="X447" s="602"/>
    </row>
    <row r="448" spans="1:24" s="263" customFormat="1" ht="9" customHeight="1" x14ac:dyDescent="0.25">
      <c r="A448" s="603" t="s">
        <v>26</v>
      </c>
      <c r="B448" s="604">
        <f t="shared" si="25"/>
        <v>9</v>
      </c>
      <c r="C448" s="604">
        <v>9</v>
      </c>
      <c r="D448" s="604">
        <v>0</v>
      </c>
      <c r="E448" s="604">
        <v>0</v>
      </c>
      <c r="F448" s="604">
        <v>0</v>
      </c>
      <c r="G448" s="604">
        <v>0</v>
      </c>
      <c r="H448" s="604">
        <v>0</v>
      </c>
      <c r="R448" s="602"/>
      <c r="S448" s="602"/>
      <c r="T448" s="602"/>
      <c r="U448" s="602"/>
      <c r="V448" s="602"/>
      <c r="W448" s="602"/>
      <c r="X448" s="602"/>
    </row>
    <row r="449" spans="1:24" s="263" customFormat="1" ht="9" customHeight="1" x14ac:dyDescent="0.25">
      <c r="A449" s="550" t="s">
        <v>27</v>
      </c>
      <c r="B449" s="600">
        <f t="shared" si="25"/>
        <v>29</v>
      </c>
      <c r="C449" s="600">
        <v>24</v>
      </c>
      <c r="D449" s="600">
        <v>3</v>
      </c>
      <c r="E449" s="600">
        <v>0</v>
      </c>
      <c r="F449" s="600">
        <v>1</v>
      </c>
      <c r="G449" s="600">
        <v>0</v>
      </c>
      <c r="H449" s="600">
        <v>1</v>
      </c>
      <c r="R449" s="602"/>
      <c r="S449" s="602"/>
      <c r="T449" s="602"/>
      <c r="U449" s="602"/>
      <c r="V449" s="602"/>
      <c r="W449" s="602"/>
      <c r="X449" s="602"/>
    </row>
    <row r="450" spans="1:24" s="263" customFormat="1" ht="9" customHeight="1" x14ac:dyDescent="0.25">
      <c r="A450" s="550" t="s">
        <v>28</v>
      </c>
      <c r="B450" s="600">
        <f t="shared" si="25"/>
        <v>12</v>
      </c>
      <c r="C450" s="600">
        <v>12</v>
      </c>
      <c r="D450" s="600">
        <v>0</v>
      </c>
      <c r="E450" s="600">
        <v>0</v>
      </c>
      <c r="F450" s="600">
        <v>0</v>
      </c>
      <c r="G450" s="600">
        <v>0</v>
      </c>
      <c r="H450" s="600">
        <v>0</v>
      </c>
      <c r="R450" s="602"/>
      <c r="S450" s="602"/>
      <c r="T450" s="602"/>
      <c r="U450" s="602"/>
      <c r="V450" s="602"/>
      <c r="W450" s="602"/>
      <c r="X450" s="602"/>
    </row>
    <row r="451" spans="1:24" s="263" customFormat="1" ht="9" customHeight="1" x14ac:dyDescent="0.25">
      <c r="A451" s="550" t="s">
        <v>29</v>
      </c>
      <c r="B451" s="600">
        <f t="shared" si="25"/>
        <v>76</v>
      </c>
      <c r="C451" s="600">
        <v>66</v>
      </c>
      <c r="D451" s="600">
        <v>9</v>
      </c>
      <c r="E451" s="600">
        <v>0</v>
      </c>
      <c r="F451" s="600">
        <v>0</v>
      </c>
      <c r="G451" s="600">
        <v>0</v>
      </c>
      <c r="H451" s="600">
        <v>1</v>
      </c>
      <c r="R451" s="602"/>
      <c r="S451" s="602"/>
      <c r="T451" s="602"/>
      <c r="U451" s="602"/>
      <c r="V451" s="602"/>
      <c r="W451" s="602"/>
      <c r="X451" s="602"/>
    </row>
    <row r="452" spans="1:24" s="263" customFormat="1" ht="9" customHeight="1" x14ac:dyDescent="0.25">
      <c r="A452" s="603" t="s">
        <v>30</v>
      </c>
      <c r="B452" s="604">
        <f t="shared" si="25"/>
        <v>100</v>
      </c>
      <c r="C452" s="604">
        <v>93</v>
      </c>
      <c r="D452" s="604">
        <v>4</v>
      </c>
      <c r="E452" s="604">
        <v>0</v>
      </c>
      <c r="F452" s="604">
        <v>0</v>
      </c>
      <c r="G452" s="604">
        <v>0</v>
      </c>
      <c r="H452" s="604">
        <v>3</v>
      </c>
      <c r="R452" s="602"/>
      <c r="S452" s="602"/>
      <c r="T452" s="602"/>
      <c r="U452" s="602"/>
      <c r="V452" s="602"/>
      <c r="W452" s="602"/>
      <c r="X452" s="602"/>
    </row>
    <row r="453" spans="1:24" s="263" customFormat="1" ht="9" customHeight="1" x14ac:dyDescent="0.25">
      <c r="A453" s="550" t="s">
        <v>63</v>
      </c>
      <c r="B453" s="600">
        <f t="shared" si="25"/>
        <v>302</v>
      </c>
      <c r="C453" s="600">
        <v>272</v>
      </c>
      <c r="D453" s="600">
        <v>12</v>
      </c>
      <c r="E453" s="600">
        <v>4</v>
      </c>
      <c r="F453" s="600">
        <v>3</v>
      </c>
      <c r="G453" s="600">
        <v>0</v>
      </c>
      <c r="H453" s="600">
        <v>11</v>
      </c>
      <c r="R453" s="602"/>
      <c r="S453" s="602"/>
      <c r="T453" s="602"/>
      <c r="U453" s="602"/>
      <c r="V453" s="602"/>
      <c r="W453" s="602"/>
      <c r="X453" s="602"/>
    </row>
    <row r="454" spans="1:24" s="263" customFormat="1" ht="9" customHeight="1" x14ac:dyDescent="0.25">
      <c r="A454" s="550" t="s">
        <v>31</v>
      </c>
      <c r="B454" s="600">
        <f t="shared" si="25"/>
        <v>39</v>
      </c>
      <c r="C454" s="600">
        <v>38</v>
      </c>
      <c r="D454" s="600">
        <v>1</v>
      </c>
      <c r="E454" s="600">
        <v>0</v>
      </c>
      <c r="F454" s="600">
        <v>0</v>
      </c>
      <c r="G454" s="600">
        <v>0</v>
      </c>
      <c r="H454" s="600">
        <v>0</v>
      </c>
      <c r="R454" s="602"/>
      <c r="S454" s="602"/>
      <c r="T454" s="602"/>
      <c r="U454" s="602"/>
      <c r="V454" s="602"/>
      <c r="W454" s="602"/>
      <c r="X454" s="602"/>
    </row>
    <row r="455" spans="1:24" s="263" customFormat="1" ht="9" customHeight="1" x14ac:dyDescent="0.25">
      <c r="A455" s="550" t="s">
        <v>32</v>
      </c>
      <c r="B455" s="600">
        <f t="shared" si="25"/>
        <v>209</v>
      </c>
      <c r="C455" s="600">
        <v>173</v>
      </c>
      <c r="D455" s="600">
        <v>24</v>
      </c>
      <c r="E455" s="600">
        <v>0</v>
      </c>
      <c r="F455" s="600">
        <v>0</v>
      </c>
      <c r="G455" s="600">
        <v>0</v>
      </c>
      <c r="H455" s="600">
        <v>12</v>
      </c>
      <c r="R455" s="602"/>
      <c r="S455" s="602"/>
      <c r="T455" s="602"/>
      <c r="U455" s="602"/>
      <c r="V455" s="602"/>
      <c r="W455" s="602"/>
      <c r="X455" s="602"/>
    </row>
    <row r="456" spans="1:24" s="263" customFormat="1" ht="9" customHeight="1" x14ac:dyDescent="0.25">
      <c r="A456" s="603" t="s">
        <v>33</v>
      </c>
      <c r="B456" s="604">
        <f t="shared" si="25"/>
        <v>102</v>
      </c>
      <c r="C456" s="604">
        <v>93</v>
      </c>
      <c r="D456" s="604">
        <v>5</v>
      </c>
      <c r="E456" s="604">
        <v>1</v>
      </c>
      <c r="F456" s="604">
        <v>0</v>
      </c>
      <c r="G456" s="604">
        <v>0</v>
      </c>
      <c r="H456" s="604">
        <v>3</v>
      </c>
      <c r="R456" s="602"/>
      <c r="S456" s="602"/>
      <c r="T456" s="602"/>
      <c r="U456" s="602"/>
      <c r="V456" s="602"/>
      <c r="W456" s="602"/>
      <c r="X456" s="602"/>
    </row>
    <row r="457" spans="1:24" s="263" customFormat="1" ht="9" customHeight="1" x14ac:dyDescent="0.25">
      <c r="A457" s="550" t="s">
        <v>34</v>
      </c>
      <c r="B457" s="600">
        <f t="shared" si="25"/>
        <v>86</v>
      </c>
      <c r="C457" s="600">
        <v>75</v>
      </c>
      <c r="D457" s="600">
        <v>9</v>
      </c>
      <c r="E457" s="600">
        <v>2</v>
      </c>
      <c r="F457" s="600">
        <v>0</v>
      </c>
      <c r="G457" s="600">
        <v>0</v>
      </c>
      <c r="H457" s="600">
        <v>0</v>
      </c>
      <c r="R457" s="602"/>
      <c r="S457" s="602"/>
      <c r="T457" s="602"/>
      <c r="U457" s="602"/>
      <c r="V457" s="602"/>
      <c r="W457" s="602"/>
      <c r="X457" s="602"/>
    </row>
    <row r="458" spans="1:24" s="263" customFormat="1" ht="9" customHeight="1" x14ac:dyDescent="0.25">
      <c r="A458" s="550" t="s">
        <v>35</v>
      </c>
      <c r="B458" s="600">
        <f t="shared" si="25"/>
        <v>193</v>
      </c>
      <c r="C458" s="600">
        <v>179</v>
      </c>
      <c r="D458" s="600">
        <v>8</v>
      </c>
      <c r="E458" s="600">
        <v>0</v>
      </c>
      <c r="F458" s="600">
        <v>1</v>
      </c>
      <c r="G458" s="600">
        <v>0</v>
      </c>
      <c r="H458" s="600">
        <v>5</v>
      </c>
      <c r="R458" s="602"/>
      <c r="S458" s="602"/>
      <c r="T458" s="602"/>
      <c r="U458" s="602"/>
      <c r="V458" s="602"/>
      <c r="W458" s="602"/>
      <c r="X458" s="602"/>
    </row>
    <row r="459" spans="1:24" s="263" customFormat="1" ht="9" customHeight="1" x14ac:dyDescent="0.25">
      <c r="A459" s="550" t="s">
        <v>36</v>
      </c>
      <c r="B459" s="600">
        <f t="shared" si="25"/>
        <v>539</v>
      </c>
      <c r="C459" s="600">
        <v>485</v>
      </c>
      <c r="D459" s="600">
        <v>42</v>
      </c>
      <c r="E459" s="600">
        <v>2</v>
      </c>
      <c r="F459" s="600">
        <v>2</v>
      </c>
      <c r="G459" s="600">
        <v>3</v>
      </c>
      <c r="H459" s="600">
        <v>5</v>
      </c>
      <c r="R459" s="602"/>
      <c r="S459" s="602"/>
      <c r="T459" s="602"/>
      <c r="U459" s="602"/>
      <c r="V459" s="602"/>
      <c r="W459" s="602"/>
      <c r="X459" s="602"/>
    </row>
    <row r="460" spans="1:24" s="263" customFormat="1" ht="9" customHeight="1" x14ac:dyDescent="0.25">
      <c r="A460" s="603" t="s">
        <v>37</v>
      </c>
      <c r="B460" s="604">
        <f t="shared" si="25"/>
        <v>196</v>
      </c>
      <c r="C460" s="604">
        <v>172</v>
      </c>
      <c r="D460" s="604">
        <v>16</v>
      </c>
      <c r="E460" s="604">
        <v>2</v>
      </c>
      <c r="F460" s="604">
        <v>1</v>
      </c>
      <c r="G460" s="604">
        <v>0</v>
      </c>
      <c r="H460" s="604">
        <v>5</v>
      </c>
      <c r="R460" s="602"/>
      <c r="S460" s="602"/>
      <c r="T460" s="602"/>
      <c r="U460" s="602"/>
      <c r="V460" s="602"/>
      <c r="W460" s="602"/>
      <c r="X460" s="602"/>
    </row>
    <row r="461" spans="1:24" s="263" customFormat="1" ht="9" customHeight="1" x14ac:dyDescent="0.25">
      <c r="A461" s="550" t="s">
        <v>38</v>
      </c>
      <c r="B461" s="600">
        <f t="shared" si="25"/>
        <v>71</v>
      </c>
      <c r="C461" s="600">
        <v>60</v>
      </c>
      <c r="D461" s="600">
        <v>11</v>
      </c>
      <c r="E461" s="600">
        <v>0</v>
      </c>
      <c r="F461" s="600">
        <v>0</v>
      </c>
      <c r="G461" s="600">
        <v>0</v>
      </c>
      <c r="H461" s="600">
        <v>0</v>
      </c>
      <c r="R461" s="602"/>
      <c r="S461" s="602"/>
      <c r="T461" s="602"/>
      <c r="U461" s="602"/>
      <c r="V461" s="602"/>
      <c r="W461" s="602"/>
      <c r="X461" s="602"/>
    </row>
    <row r="462" spans="1:24" s="263" customFormat="1" ht="9" customHeight="1" x14ac:dyDescent="0.25">
      <c r="A462" s="550" t="s">
        <v>39</v>
      </c>
      <c r="B462" s="600">
        <f t="shared" si="25"/>
        <v>18</v>
      </c>
      <c r="C462" s="600">
        <v>16</v>
      </c>
      <c r="D462" s="600">
        <v>2</v>
      </c>
      <c r="E462" s="600">
        <v>0</v>
      </c>
      <c r="F462" s="600">
        <v>0</v>
      </c>
      <c r="G462" s="600">
        <v>0</v>
      </c>
      <c r="H462" s="600">
        <v>0</v>
      </c>
      <c r="R462" s="602"/>
      <c r="S462" s="602"/>
      <c r="T462" s="602"/>
      <c r="U462" s="602"/>
      <c r="V462" s="602"/>
      <c r="W462" s="602"/>
      <c r="X462" s="602"/>
    </row>
    <row r="463" spans="1:24" s="263" customFormat="1" ht="9" customHeight="1" x14ac:dyDescent="0.25">
      <c r="A463" s="550" t="s">
        <v>40</v>
      </c>
      <c r="B463" s="600">
        <f t="shared" si="25"/>
        <v>64</v>
      </c>
      <c r="C463" s="600">
        <v>55</v>
      </c>
      <c r="D463" s="600">
        <v>8</v>
      </c>
      <c r="E463" s="600">
        <v>0</v>
      </c>
      <c r="F463" s="600">
        <v>1</v>
      </c>
      <c r="G463" s="600">
        <v>0</v>
      </c>
      <c r="H463" s="600">
        <v>0</v>
      </c>
      <c r="R463" s="602"/>
      <c r="S463" s="602"/>
      <c r="T463" s="602"/>
      <c r="U463" s="602"/>
      <c r="V463" s="602"/>
      <c r="W463" s="602"/>
      <c r="X463" s="602"/>
    </row>
    <row r="464" spans="1:24" s="263" customFormat="1" ht="9" customHeight="1" x14ac:dyDescent="0.25">
      <c r="A464" s="603" t="s">
        <v>41</v>
      </c>
      <c r="B464" s="604">
        <f t="shared" si="25"/>
        <v>101</v>
      </c>
      <c r="C464" s="604">
        <v>95</v>
      </c>
      <c r="D464" s="604">
        <v>5</v>
      </c>
      <c r="E464" s="604">
        <v>0</v>
      </c>
      <c r="F464" s="604">
        <v>0</v>
      </c>
      <c r="G464" s="604">
        <v>1</v>
      </c>
      <c r="H464" s="604">
        <v>0</v>
      </c>
      <c r="R464" s="602"/>
      <c r="S464" s="602"/>
      <c r="T464" s="602"/>
      <c r="U464" s="602"/>
      <c r="V464" s="602"/>
      <c r="W464" s="602"/>
      <c r="X464" s="602"/>
    </row>
    <row r="465" spans="1:24" s="263" customFormat="1" ht="9" customHeight="1" x14ac:dyDescent="0.25">
      <c r="A465" s="550" t="s">
        <v>42</v>
      </c>
      <c r="B465" s="600">
        <f t="shared" si="25"/>
        <v>154</v>
      </c>
      <c r="C465" s="600">
        <v>143</v>
      </c>
      <c r="D465" s="600">
        <v>5</v>
      </c>
      <c r="E465" s="600">
        <v>1</v>
      </c>
      <c r="F465" s="600">
        <v>3</v>
      </c>
      <c r="G465" s="600">
        <v>0</v>
      </c>
      <c r="H465" s="600">
        <v>2</v>
      </c>
      <c r="R465" s="602"/>
      <c r="S465" s="602"/>
      <c r="T465" s="602"/>
      <c r="U465" s="602"/>
      <c r="V465" s="602"/>
      <c r="W465" s="602"/>
      <c r="X465" s="602"/>
    </row>
    <row r="466" spans="1:24" s="263" customFormat="1" ht="9" customHeight="1" x14ac:dyDescent="0.25">
      <c r="A466" s="550" t="s">
        <v>43</v>
      </c>
      <c r="B466" s="600">
        <f t="shared" si="25"/>
        <v>53</v>
      </c>
      <c r="C466" s="600">
        <v>50</v>
      </c>
      <c r="D466" s="600">
        <v>2</v>
      </c>
      <c r="E466" s="600">
        <v>0</v>
      </c>
      <c r="F466" s="600">
        <v>0</v>
      </c>
      <c r="G466" s="600">
        <v>0</v>
      </c>
      <c r="H466" s="600">
        <v>1</v>
      </c>
      <c r="R466" s="602"/>
      <c r="S466" s="602"/>
      <c r="T466" s="602"/>
      <c r="U466" s="602"/>
      <c r="V466" s="602"/>
      <c r="W466" s="602"/>
      <c r="X466" s="602"/>
    </row>
    <row r="467" spans="1:24" s="263" customFormat="1" ht="9" customHeight="1" x14ac:dyDescent="0.25">
      <c r="A467" s="550" t="s">
        <v>44</v>
      </c>
      <c r="B467" s="600">
        <f t="shared" si="25"/>
        <v>33</v>
      </c>
      <c r="C467" s="600">
        <v>25</v>
      </c>
      <c r="D467" s="600">
        <v>4</v>
      </c>
      <c r="E467" s="600">
        <v>0</v>
      </c>
      <c r="F467" s="600">
        <v>1</v>
      </c>
      <c r="G467" s="600">
        <v>0</v>
      </c>
      <c r="H467" s="600">
        <v>3</v>
      </c>
      <c r="R467" s="602"/>
      <c r="S467" s="602"/>
      <c r="T467" s="602"/>
      <c r="U467" s="602"/>
      <c r="V467" s="602"/>
      <c r="W467" s="602"/>
      <c r="X467" s="602"/>
    </row>
    <row r="468" spans="1:24" s="263" customFormat="1" ht="9" customHeight="1" x14ac:dyDescent="0.25">
      <c r="A468" s="603" t="s">
        <v>45</v>
      </c>
      <c r="B468" s="604">
        <f t="shared" si="25"/>
        <v>55</v>
      </c>
      <c r="C468" s="604">
        <v>50</v>
      </c>
      <c r="D468" s="604">
        <v>2</v>
      </c>
      <c r="E468" s="604">
        <v>1</v>
      </c>
      <c r="F468" s="604">
        <v>0</v>
      </c>
      <c r="G468" s="604">
        <v>0</v>
      </c>
      <c r="H468" s="604">
        <v>2</v>
      </c>
      <c r="R468" s="602"/>
      <c r="S468" s="602"/>
      <c r="T468" s="602"/>
      <c r="U468" s="602"/>
      <c r="V468" s="602"/>
      <c r="W468" s="602"/>
      <c r="X468" s="602"/>
    </row>
    <row r="469" spans="1:24" s="263" customFormat="1" ht="9" customHeight="1" x14ac:dyDescent="0.25">
      <c r="A469" s="550" t="s">
        <v>46</v>
      </c>
      <c r="B469" s="600">
        <f t="shared" si="25"/>
        <v>69</v>
      </c>
      <c r="C469" s="600">
        <v>59</v>
      </c>
      <c r="D469" s="600">
        <v>6</v>
      </c>
      <c r="E469" s="600">
        <v>0</v>
      </c>
      <c r="F469" s="600">
        <v>0</v>
      </c>
      <c r="G469" s="600">
        <v>2</v>
      </c>
      <c r="H469" s="600">
        <v>2</v>
      </c>
      <c r="R469" s="602"/>
      <c r="S469" s="602"/>
      <c r="T469" s="602"/>
      <c r="U469" s="602"/>
      <c r="V469" s="602"/>
      <c r="W469" s="602"/>
      <c r="X469" s="602"/>
    </row>
    <row r="470" spans="1:24" s="263" customFormat="1" ht="9" customHeight="1" x14ac:dyDescent="0.25">
      <c r="A470" s="550" t="s">
        <v>47</v>
      </c>
      <c r="B470" s="600">
        <f t="shared" si="25"/>
        <v>53</v>
      </c>
      <c r="C470" s="600">
        <v>47</v>
      </c>
      <c r="D470" s="600">
        <v>6</v>
      </c>
      <c r="E470" s="600">
        <v>0</v>
      </c>
      <c r="F470" s="600">
        <v>0</v>
      </c>
      <c r="G470" s="600">
        <v>0</v>
      </c>
      <c r="H470" s="600">
        <v>0</v>
      </c>
      <c r="R470" s="602"/>
      <c r="S470" s="602"/>
      <c r="T470" s="602"/>
      <c r="U470" s="602"/>
      <c r="V470" s="602"/>
      <c r="W470" s="602"/>
      <c r="X470" s="602"/>
    </row>
    <row r="471" spans="1:24" s="263" customFormat="1" ht="9" customHeight="1" x14ac:dyDescent="0.25">
      <c r="A471" s="550" t="s">
        <v>48</v>
      </c>
      <c r="B471" s="600">
        <f t="shared" si="25"/>
        <v>53</v>
      </c>
      <c r="C471" s="600">
        <v>49</v>
      </c>
      <c r="D471" s="600">
        <v>4</v>
      </c>
      <c r="E471" s="600">
        <v>0</v>
      </c>
      <c r="F471" s="600">
        <v>0</v>
      </c>
      <c r="G471" s="600">
        <v>0</v>
      </c>
      <c r="H471" s="600">
        <v>0</v>
      </c>
      <c r="R471" s="602"/>
      <c r="S471" s="602"/>
      <c r="T471" s="602"/>
      <c r="U471" s="602"/>
      <c r="V471" s="602"/>
      <c r="W471" s="602"/>
      <c r="X471" s="602"/>
    </row>
    <row r="472" spans="1:24" s="263" customFormat="1" ht="9" customHeight="1" x14ac:dyDescent="0.25">
      <c r="A472" s="603" t="s">
        <v>49</v>
      </c>
      <c r="B472" s="604">
        <f t="shared" si="25"/>
        <v>61</v>
      </c>
      <c r="C472" s="604">
        <v>60</v>
      </c>
      <c r="D472" s="604">
        <v>0</v>
      </c>
      <c r="E472" s="604">
        <v>0</v>
      </c>
      <c r="F472" s="604">
        <v>1</v>
      </c>
      <c r="G472" s="604">
        <v>0</v>
      </c>
      <c r="H472" s="604">
        <v>0</v>
      </c>
      <c r="R472" s="602"/>
      <c r="S472" s="602"/>
      <c r="T472" s="602"/>
      <c r="U472" s="602"/>
      <c r="V472" s="602"/>
      <c r="W472" s="602"/>
      <c r="X472" s="602"/>
    </row>
    <row r="473" spans="1:24" s="263" customFormat="1" ht="9" customHeight="1" x14ac:dyDescent="0.25">
      <c r="A473" s="550" t="s">
        <v>50</v>
      </c>
      <c r="B473" s="600">
        <f t="shared" si="25"/>
        <v>53</v>
      </c>
      <c r="C473" s="600">
        <v>52</v>
      </c>
      <c r="D473" s="600">
        <v>1</v>
      </c>
      <c r="E473" s="600">
        <v>0</v>
      </c>
      <c r="F473" s="600">
        <v>0</v>
      </c>
      <c r="G473" s="600">
        <v>0</v>
      </c>
      <c r="H473" s="600">
        <v>0</v>
      </c>
      <c r="R473" s="602"/>
      <c r="S473" s="602"/>
      <c r="T473" s="602"/>
      <c r="U473" s="602"/>
      <c r="V473" s="602"/>
      <c r="W473" s="602"/>
      <c r="X473" s="602"/>
    </row>
    <row r="474" spans="1:24" s="263" customFormat="1" ht="9" customHeight="1" x14ac:dyDescent="0.25">
      <c r="A474" s="550" t="s">
        <v>51</v>
      </c>
      <c r="B474" s="600">
        <f t="shared" si="25"/>
        <v>175</v>
      </c>
      <c r="C474" s="600">
        <v>137</v>
      </c>
      <c r="D474" s="600">
        <v>18</v>
      </c>
      <c r="E474" s="600">
        <v>2</v>
      </c>
      <c r="F474" s="600">
        <v>2</v>
      </c>
      <c r="G474" s="600">
        <v>2</v>
      </c>
      <c r="H474" s="600">
        <v>14</v>
      </c>
      <c r="R474" s="602"/>
      <c r="S474" s="602"/>
      <c r="T474" s="602"/>
      <c r="U474" s="602"/>
      <c r="V474" s="602"/>
      <c r="W474" s="602"/>
      <c r="X474" s="602"/>
    </row>
    <row r="475" spans="1:24" s="263" customFormat="1" ht="9" customHeight="1" x14ac:dyDescent="0.25">
      <c r="A475" s="550" t="s">
        <v>52</v>
      </c>
      <c r="B475" s="600">
        <f t="shared" si="25"/>
        <v>35</v>
      </c>
      <c r="C475" s="600">
        <v>31</v>
      </c>
      <c r="D475" s="600">
        <v>1</v>
      </c>
      <c r="E475" s="600">
        <v>1</v>
      </c>
      <c r="F475" s="600">
        <v>0</v>
      </c>
      <c r="G475" s="600">
        <v>0</v>
      </c>
      <c r="H475" s="600">
        <v>2</v>
      </c>
      <c r="R475" s="602"/>
      <c r="S475" s="602"/>
      <c r="T475" s="602"/>
      <c r="U475" s="602"/>
      <c r="V475" s="602"/>
      <c r="W475" s="602"/>
      <c r="X475" s="602"/>
    </row>
    <row r="476" spans="1:24" s="263" customFormat="1" ht="9" customHeight="1" x14ac:dyDescent="0.25">
      <c r="A476" s="603" t="s">
        <v>53</v>
      </c>
      <c r="B476" s="604">
        <f t="shared" si="25"/>
        <v>36</v>
      </c>
      <c r="C476" s="604">
        <v>35</v>
      </c>
      <c r="D476" s="604">
        <v>1</v>
      </c>
      <c r="E476" s="604">
        <v>0</v>
      </c>
      <c r="F476" s="604">
        <v>0</v>
      </c>
      <c r="G476" s="604">
        <v>0</v>
      </c>
      <c r="H476" s="604">
        <v>0</v>
      </c>
      <c r="R476" s="602"/>
      <c r="S476" s="602"/>
      <c r="T476" s="602"/>
      <c r="U476" s="602"/>
      <c r="V476" s="602"/>
      <c r="W476" s="602"/>
      <c r="X476" s="602"/>
    </row>
    <row r="477" spans="1:24" s="263" customFormat="1" ht="9" customHeight="1" x14ac:dyDescent="0.25">
      <c r="A477" s="269"/>
      <c r="B477" s="605"/>
      <c r="C477" s="605"/>
      <c r="D477" s="605"/>
      <c r="E477" s="605"/>
      <c r="F477" s="605"/>
      <c r="G477" s="605"/>
      <c r="H477" s="605"/>
      <c r="I477" s="286"/>
      <c r="R477" s="602"/>
      <c r="S477" s="602"/>
      <c r="T477" s="602"/>
      <c r="U477" s="602"/>
      <c r="V477" s="602"/>
      <c r="W477" s="602"/>
      <c r="X477" s="602"/>
    </row>
    <row r="478" spans="1:24" s="263" customFormat="1" ht="9" customHeight="1" x14ac:dyDescent="0.25">
      <c r="A478" s="601">
        <v>2008</v>
      </c>
      <c r="B478" s="266"/>
      <c r="C478" s="266"/>
      <c r="D478" s="266"/>
      <c r="E478" s="266"/>
      <c r="F478" s="266"/>
      <c r="G478" s="266"/>
      <c r="H478" s="266"/>
      <c r="R478" s="602"/>
      <c r="S478" s="602"/>
      <c r="T478" s="602"/>
      <c r="U478" s="602"/>
      <c r="V478" s="602"/>
      <c r="W478" s="602"/>
      <c r="X478" s="602"/>
    </row>
    <row r="479" spans="1:24" s="265" customFormat="1" ht="9" customHeight="1" x14ac:dyDescent="0.25">
      <c r="A479" s="265" t="s">
        <v>21</v>
      </c>
      <c r="B479" s="602">
        <f t="shared" ref="B479:G479" si="26">SUM(B481:B512)</f>
        <v>3111</v>
      </c>
      <c r="C479" s="602">
        <f t="shared" si="26"/>
        <v>2810</v>
      </c>
      <c r="D479" s="602">
        <f t="shared" si="26"/>
        <v>185</v>
      </c>
      <c r="E479" s="602">
        <f t="shared" si="26"/>
        <v>16</v>
      </c>
      <c r="F479" s="602">
        <f t="shared" si="26"/>
        <v>11</v>
      </c>
      <c r="G479" s="602">
        <f t="shared" si="26"/>
        <v>11</v>
      </c>
      <c r="H479" s="602">
        <f>SUM(H481:H512)</f>
        <v>78</v>
      </c>
      <c r="R479" s="602"/>
      <c r="S479" s="602"/>
      <c r="T479" s="602"/>
      <c r="U479" s="602"/>
      <c r="V479" s="602"/>
      <c r="W479" s="602"/>
      <c r="X479" s="602"/>
    </row>
    <row r="480" spans="1:24" s="265" customFormat="1" ht="3.95" customHeight="1" x14ac:dyDescent="0.25">
      <c r="B480" s="602"/>
      <c r="C480" s="602"/>
      <c r="D480" s="602"/>
      <c r="E480" s="602"/>
      <c r="F480" s="602"/>
      <c r="G480" s="602"/>
      <c r="H480" s="602"/>
      <c r="R480" s="602"/>
      <c r="S480" s="602"/>
      <c r="T480" s="602"/>
      <c r="U480" s="602"/>
      <c r="V480" s="602"/>
      <c r="W480" s="602"/>
      <c r="X480" s="602"/>
    </row>
    <row r="481" spans="1:24" s="263" customFormat="1" ht="9" customHeight="1" x14ac:dyDescent="0.25">
      <c r="A481" s="550" t="s">
        <v>23</v>
      </c>
      <c r="B481" s="600">
        <f t="shared" ref="B481:B512" si="27">SUM(C481:H481)</f>
        <v>17</v>
      </c>
      <c r="C481" s="600">
        <v>13</v>
      </c>
      <c r="D481" s="600">
        <v>3</v>
      </c>
      <c r="E481" s="600">
        <v>0</v>
      </c>
      <c r="F481" s="600">
        <v>0</v>
      </c>
      <c r="G481" s="600">
        <v>0</v>
      </c>
      <c r="H481" s="600">
        <v>1</v>
      </c>
      <c r="R481" s="602"/>
      <c r="S481" s="602"/>
      <c r="T481" s="602"/>
      <c r="U481" s="602"/>
      <c r="V481" s="602"/>
      <c r="W481" s="602"/>
      <c r="X481" s="602"/>
    </row>
    <row r="482" spans="1:24" s="263" customFormat="1" ht="9" customHeight="1" x14ac:dyDescent="0.25">
      <c r="A482" s="550" t="s">
        <v>24</v>
      </c>
      <c r="B482" s="600">
        <f t="shared" si="27"/>
        <v>127</v>
      </c>
      <c r="C482" s="600">
        <v>120</v>
      </c>
      <c r="D482" s="600">
        <v>2</v>
      </c>
      <c r="E482" s="600">
        <v>0</v>
      </c>
      <c r="F482" s="600">
        <v>0</v>
      </c>
      <c r="G482" s="600">
        <v>0</v>
      </c>
      <c r="H482" s="600">
        <v>5</v>
      </c>
      <c r="R482" s="602"/>
      <c r="S482" s="602"/>
      <c r="T482" s="602"/>
      <c r="U482" s="602"/>
      <c r="V482" s="602"/>
      <c r="W482" s="602"/>
      <c r="X482" s="602"/>
    </row>
    <row r="483" spans="1:24" s="263" customFormat="1" ht="9" customHeight="1" x14ac:dyDescent="0.25">
      <c r="A483" s="550" t="s">
        <v>25</v>
      </c>
      <c r="B483" s="600">
        <f t="shared" si="27"/>
        <v>14</v>
      </c>
      <c r="C483" s="600">
        <v>13</v>
      </c>
      <c r="D483" s="600">
        <v>0</v>
      </c>
      <c r="E483" s="600">
        <v>0</v>
      </c>
      <c r="F483" s="600">
        <v>0</v>
      </c>
      <c r="G483" s="600">
        <v>0</v>
      </c>
      <c r="H483" s="600">
        <v>1</v>
      </c>
      <c r="R483" s="602"/>
      <c r="S483" s="602"/>
      <c r="T483" s="602"/>
      <c r="U483" s="602"/>
      <c r="V483" s="602"/>
      <c r="W483" s="602"/>
      <c r="X483" s="602"/>
    </row>
    <row r="484" spans="1:24" s="263" customFormat="1" ht="9" customHeight="1" x14ac:dyDescent="0.25">
      <c r="A484" s="603" t="s">
        <v>26</v>
      </c>
      <c r="B484" s="604">
        <f t="shared" si="27"/>
        <v>9</v>
      </c>
      <c r="C484" s="604">
        <v>9</v>
      </c>
      <c r="D484" s="604">
        <v>0</v>
      </c>
      <c r="E484" s="604">
        <v>0</v>
      </c>
      <c r="F484" s="604">
        <v>0</v>
      </c>
      <c r="G484" s="604">
        <v>0</v>
      </c>
      <c r="H484" s="604">
        <v>0</v>
      </c>
      <c r="R484" s="602"/>
      <c r="S484" s="602"/>
      <c r="T484" s="602"/>
      <c r="U484" s="602"/>
      <c r="V484" s="602"/>
      <c r="W484" s="602"/>
      <c r="X484" s="602"/>
    </row>
    <row r="485" spans="1:24" s="263" customFormat="1" ht="9" customHeight="1" x14ac:dyDescent="0.25">
      <c r="A485" s="550" t="s">
        <v>27</v>
      </c>
      <c r="B485" s="600">
        <f t="shared" si="27"/>
        <v>29</v>
      </c>
      <c r="C485" s="600">
        <v>24</v>
      </c>
      <c r="D485" s="600">
        <v>3</v>
      </c>
      <c r="E485" s="600">
        <v>0</v>
      </c>
      <c r="F485" s="600">
        <v>0</v>
      </c>
      <c r="G485" s="600">
        <v>0</v>
      </c>
      <c r="H485" s="600">
        <v>2</v>
      </c>
      <c r="R485" s="602"/>
      <c r="S485" s="602"/>
      <c r="T485" s="602"/>
      <c r="U485" s="602"/>
      <c r="V485" s="602"/>
      <c r="W485" s="602"/>
      <c r="X485" s="602"/>
    </row>
    <row r="486" spans="1:24" s="263" customFormat="1" ht="9" customHeight="1" x14ac:dyDescent="0.25">
      <c r="A486" s="550" t="s">
        <v>28</v>
      </c>
      <c r="B486" s="600">
        <f t="shared" si="27"/>
        <v>11</v>
      </c>
      <c r="C486" s="600">
        <v>11</v>
      </c>
      <c r="D486" s="600">
        <v>0</v>
      </c>
      <c r="E486" s="600">
        <v>0</v>
      </c>
      <c r="F486" s="600">
        <v>0</v>
      </c>
      <c r="G486" s="600">
        <v>0</v>
      </c>
      <c r="H486" s="600">
        <v>0</v>
      </c>
      <c r="R486" s="602"/>
      <c r="S486" s="602"/>
      <c r="T486" s="602"/>
      <c r="U486" s="602"/>
      <c r="V486" s="602"/>
      <c r="W486" s="602"/>
      <c r="X486" s="602"/>
    </row>
    <row r="487" spans="1:24" s="263" customFormat="1" ht="9" customHeight="1" x14ac:dyDescent="0.25">
      <c r="A487" s="550" t="s">
        <v>29</v>
      </c>
      <c r="B487" s="600">
        <f t="shared" si="27"/>
        <v>74</v>
      </c>
      <c r="C487" s="600">
        <v>63</v>
      </c>
      <c r="D487" s="600">
        <v>8</v>
      </c>
      <c r="E487" s="600">
        <v>0</v>
      </c>
      <c r="F487" s="600">
        <v>0</v>
      </c>
      <c r="G487" s="600">
        <v>1</v>
      </c>
      <c r="H487" s="600">
        <v>2</v>
      </c>
      <c r="R487" s="602"/>
      <c r="S487" s="602"/>
      <c r="T487" s="602"/>
      <c r="U487" s="602"/>
      <c r="V487" s="602"/>
      <c r="W487" s="602"/>
      <c r="X487" s="602"/>
    </row>
    <row r="488" spans="1:24" s="263" customFormat="1" ht="9" customHeight="1" x14ac:dyDescent="0.25">
      <c r="A488" s="603" t="s">
        <v>30</v>
      </c>
      <c r="B488" s="604">
        <f t="shared" si="27"/>
        <v>95</v>
      </c>
      <c r="C488" s="604">
        <v>94</v>
      </c>
      <c r="D488" s="604">
        <v>0</v>
      </c>
      <c r="E488" s="604">
        <v>0</v>
      </c>
      <c r="F488" s="604">
        <v>0</v>
      </c>
      <c r="G488" s="604">
        <v>0</v>
      </c>
      <c r="H488" s="604">
        <v>1</v>
      </c>
      <c r="R488" s="602"/>
      <c r="S488" s="602"/>
      <c r="T488" s="602"/>
      <c r="U488" s="602"/>
      <c r="V488" s="602"/>
      <c r="W488" s="602"/>
      <c r="X488" s="602"/>
    </row>
    <row r="489" spans="1:24" s="263" customFormat="1" ht="9" customHeight="1" x14ac:dyDescent="0.25">
      <c r="A489" s="550" t="s">
        <v>63</v>
      </c>
      <c r="B489" s="600">
        <f t="shared" si="27"/>
        <v>299</v>
      </c>
      <c r="C489" s="600">
        <v>265</v>
      </c>
      <c r="D489" s="600">
        <v>16</v>
      </c>
      <c r="E489" s="600">
        <v>3</v>
      </c>
      <c r="F489" s="600">
        <v>2</v>
      </c>
      <c r="G489" s="600">
        <v>4</v>
      </c>
      <c r="H489" s="600">
        <v>9</v>
      </c>
      <c r="R489" s="602"/>
      <c r="S489" s="602"/>
      <c r="T489" s="602"/>
      <c r="U489" s="602"/>
      <c r="V489" s="602"/>
      <c r="W489" s="602"/>
      <c r="X489" s="602"/>
    </row>
    <row r="490" spans="1:24" s="263" customFormat="1" ht="9" customHeight="1" x14ac:dyDescent="0.25">
      <c r="A490" s="550" t="s">
        <v>31</v>
      </c>
      <c r="B490" s="600">
        <f t="shared" si="27"/>
        <v>38</v>
      </c>
      <c r="C490" s="600">
        <v>37</v>
      </c>
      <c r="D490" s="600">
        <v>0</v>
      </c>
      <c r="E490" s="600">
        <v>0</v>
      </c>
      <c r="F490" s="600">
        <v>0</v>
      </c>
      <c r="G490" s="600">
        <v>0</v>
      </c>
      <c r="H490" s="600">
        <v>1</v>
      </c>
      <c r="R490" s="602"/>
      <c r="S490" s="602"/>
      <c r="T490" s="602"/>
      <c r="U490" s="602"/>
      <c r="V490" s="602"/>
      <c r="W490" s="602"/>
      <c r="X490" s="602"/>
    </row>
    <row r="491" spans="1:24" s="263" customFormat="1" ht="9" customHeight="1" x14ac:dyDescent="0.25">
      <c r="A491" s="550" t="s">
        <v>32</v>
      </c>
      <c r="B491" s="600">
        <f t="shared" si="27"/>
        <v>203</v>
      </c>
      <c r="C491" s="600">
        <v>166</v>
      </c>
      <c r="D491" s="600">
        <v>24</v>
      </c>
      <c r="E491" s="600">
        <v>0</v>
      </c>
      <c r="F491" s="600">
        <v>0</v>
      </c>
      <c r="G491" s="600">
        <v>0</v>
      </c>
      <c r="H491" s="600">
        <v>13</v>
      </c>
      <c r="R491" s="602"/>
      <c r="S491" s="602"/>
      <c r="T491" s="602"/>
      <c r="U491" s="602"/>
      <c r="V491" s="602"/>
      <c r="W491" s="602"/>
      <c r="X491" s="602"/>
    </row>
    <row r="492" spans="1:24" s="263" customFormat="1" ht="9" customHeight="1" x14ac:dyDescent="0.25">
      <c r="A492" s="603" t="s">
        <v>33</v>
      </c>
      <c r="B492" s="604">
        <f t="shared" si="27"/>
        <v>104</v>
      </c>
      <c r="C492" s="604">
        <v>96</v>
      </c>
      <c r="D492" s="604">
        <v>5</v>
      </c>
      <c r="E492" s="604">
        <v>1</v>
      </c>
      <c r="F492" s="604">
        <v>0</v>
      </c>
      <c r="G492" s="604">
        <v>0</v>
      </c>
      <c r="H492" s="604">
        <v>2</v>
      </c>
      <c r="R492" s="602"/>
      <c r="S492" s="602"/>
      <c r="T492" s="602"/>
      <c r="U492" s="602"/>
      <c r="V492" s="602"/>
      <c r="W492" s="602"/>
      <c r="X492" s="602"/>
    </row>
    <row r="493" spans="1:24" s="263" customFormat="1" ht="9" customHeight="1" x14ac:dyDescent="0.25">
      <c r="A493" s="550" t="s">
        <v>34</v>
      </c>
      <c r="B493" s="600">
        <f t="shared" si="27"/>
        <v>86</v>
      </c>
      <c r="C493" s="600">
        <v>76</v>
      </c>
      <c r="D493" s="600">
        <v>8</v>
      </c>
      <c r="E493" s="600">
        <v>2</v>
      </c>
      <c r="F493" s="600">
        <v>0</v>
      </c>
      <c r="G493" s="600">
        <v>0</v>
      </c>
      <c r="H493" s="600">
        <v>0</v>
      </c>
      <c r="R493" s="602"/>
      <c r="S493" s="602"/>
      <c r="T493" s="602"/>
      <c r="U493" s="602"/>
      <c r="V493" s="602"/>
      <c r="W493" s="602"/>
      <c r="X493" s="602"/>
    </row>
    <row r="494" spans="1:24" s="263" customFormat="1" ht="9" customHeight="1" x14ac:dyDescent="0.25">
      <c r="A494" s="550" t="s">
        <v>35</v>
      </c>
      <c r="B494" s="600">
        <f t="shared" si="27"/>
        <v>187</v>
      </c>
      <c r="C494" s="600">
        <v>174</v>
      </c>
      <c r="D494" s="600">
        <v>4</v>
      </c>
      <c r="E494" s="600">
        <v>0</v>
      </c>
      <c r="F494" s="600">
        <v>1</v>
      </c>
      <c r="G494" s="600">
        <v>0</v>
      </c>
      <c r="H494" s="600">
        <v>8</v>
      </c>
      <c r="R494" s="602"/>
      <c r="S494" s="602"/>
      <c r="T494" s="602"/>
      <c r="U494" s="602"/>
      <c r="V494" s="602"/>
      <c r="W494" s="602"/>
      <c r="X494" s="602"/>
    </row>
    <row r="495" spans="1:24" s="263" customFormat="1" ht="9" customHeight="1" x14ac:dyDescent="0.25">
      <c r="A495" s="550" t="s">
        <v>36</v>
      </c>
      <c r="B495" s="600">
        <f t="shared" si="27"/>
        <v>526</v>
      </c>
      <c r="C495" s="600">
        <v>506</v>
      </c>
      <c r="D495" s="600">
        <v>16</v>
      </c>
      <c r="E495" s="600">
        <v>0</v>
      </c>
      <c r="F495" s="600">
        <v>1</v>
      </c>
      <c r="G495" s="600">
        <v>2</v>
      </c>
      <c r="H495" s="600">
        <v>1</v>
      </c>
      <c r="R495" s="602"/>
      <c r="S495" s="602"/>
      <c r="T495" s="602"/>
      <c r="U495" s="602"/>
      <c r="V495" s="602"/>
      <c r="W495" s="602"/>
      <c r="X495" s="602"/>
    </row>
    <row r="496" spans="1:24" s="263" customFormat="1" ht="9" customHeight="1" x14ac:dyDescent="0.25">
      <c r="A496" s="603" t="s">
        <v>37</v>
      </c>
      <c r="B496" s="604">
        <f t="shared" si="27"/>
        <v>188</v>
      </c>
      <c r="C496" s="604">
        <v>166</v>
      </c>
      <c r="D496" s="604">
        <v>13</v>
      </c>
      <c r="E496" s="604">
        <v>3</v>
      </c>
      <c r="F496" s="604">
        <v>1</v>
      </c>
      <c r="G496" s="604">
        <v>0</v>
      </c>
      <c r="H496" s="604">
        <v>5</v>
      </c>
      <c r="R496" s="602"/>
      <c r="S496" s="602"/>
      <c r="T496" s="602"/>
      <c r="U496" s="602"/>
      <c r="V496" s="602"/>
      <c r="W496" s="602"/>
      <c r="X496" s="602"/>
    </row>
    <row r="497" spans="1:24" s="263" customFormat="1" ht="9" customHeight="1" x14ac:dyDescent="0.25">
      <c r="A497" s="550" t="s">
        <v>38</v>
      </c>
      <c r="B497" s="600">
        <f t="shared" si="27"/>
        <v>71</v>
      </c>
      <c r="C497" s="600">
        <v>58</v>
      </c>
      <c r="D497" s="600">
        <v>11</v>
      </c>
      <c r="E497" s="600">
        <v>0</v>
      </c>
      <c r="F497" s="600">
        <v>0</v>
      </c>
      <c r="G497" s="600">
        <v>0</v>
      </c>
      <c r="H497" s="600">
        <v>2</v>
      </c>
      <c r="R497" s="602"/>
      <c r="S497" s="602"/>
      <c r="T497" s="602"/>
      <c r="U497" s="602"/>
      <c r="V497" s="602"/>
      <c r="W497" s="602"/>
      <c r="X497" s="602"/>
    </row>
    <row r="498" spans="1:24" s="263" customFormat="1" ht="9" customHeight="1" x14ac:dyDescent="0.25">
      <c r="A498" s="550" t="s">
        <v>39</v>
      </c>
      <c r="B498" s="600">
        <f t="shared" si="27"/>
        <v>19</v>
      </c>
      <c r="C498" s="600">
        <v>16</v>
      </c>
      <c r="D498" s="600">
        <v>3</v>
      </c>
      <c r="E498" s="600">
        <v>0</v>
      </c>
      <c r="F498" s="600">
        <v>0</v>
      </c>
      <c r="G498" s="600">
        <v>0</v>
      </c>
      <c r="H498" s="600">
        <v>0</v>
      </c>
      <c r="R498" s="602"/>
      <c r="S498" s="602"/>
      <c r="T498" s="602"/>
      <c r="U498" s="602"/>
      <c r="V498" s="602"/>
      <c r="W498" s="602"/>
      <c r="X498" s="602"/>
    </row>
    <row r="499" spans="1:24" s="263" customFormat="1" ht="9" customHeight="1" x14ac:dyDescent="0.25">
      <c r="A499" s="550" t="s">
        <v>40</v>
      </c>
      <c r="B499" s="600">
        <f t="shared" si="27"/>
        <v>66</v>
      </c>
      <c r="C499" s="600">
        <v>55</v>
      </c>
      <c r="D499" s="600">
        <v>9</v>
      </c>
      <c r="E499" s="600">
        <v>0</v>
      </c>
      <c r="F499" s="600">
        <v>1</v>
      </c>
      <c r="G499" s="600">
        <v>1</v>
      </c>
      <c r="H499" s="600">
        <v>0</v>
      </c>
      <c r="R499" s="602"/>
      <c r="S499" s="602"/>
      <c r="T499" s="602"/>
      <c r="U499" s="602"/>
      <c r="V499" s="602"/>
      <c r="W499" s="602"/>
      <c r="X499" s="602"/>
    </row>
    <row r="500" spans="1:24" s="263" customFormat="1" ht="9" customHeight="1" x14ac:dyDescent="0.25">
      <c r="A500" s="603" t="s">
        <v>41</v>
      </c>
      <c r="B500" s="604">
        <f t="shared" si="27"/>
        <v>110</v>
      </c>
      <c r="C500" s="604">
        <v>103</v>
      </c>
      <c r="D500" s="604">
        <v>7</v>
      </c>
      <c r="E500" s="604">
        <v>0</v>
      </c>
      <c r="F500" s="604">
        <v>0</v>
      </c>
      <c r="G500" s="604">
        <v>0</v>
      </c>
      <c r="H500" s="604">
        <v>0</v>
      </c>
      <c r="R500" s="602"/>
      <c r="S500" s="602"/>
      <c r="T500" s="602"/>
      <c r="U500" s="602"/>
      <c r="V500" s="602"/>
      <c r="W500" s="602"/>
      <c r="X500" s="602"/>
    </row>
    <row r="501" spans="1:24" s="263" customFormat="1" ht="9" customHeight="1" x14ac:dyDescent="0.25">
      <c r="A501" s="550" t="s">
        <v>42</v>
      </c>
      <c r="B501" s="600">
        <f t="shared" si="27"/>
        <v>155</v>
      </c>
      <c r="C501" s="600">
        <v>144</v>
      </c>
      <c r="D501" s="600">
        <v>5</v>
      </c>
      <c r="E501" s="600">
        <v>1</v>
      </c>
      <c r="F501" s="600">
        <v>3</v>
      </c>
      <c r="G501" s="600">
        <v>0</v>
      </c>
      <c r="H501" s="600">
        <v>2</v>
      </c>
      <c r="R501" s="602"/>
      <c r="S501" s="602"/>
      <c r="T501" s="602"/>
      <c r="U501" s="602"/>
      <c r="V501" s="602"/>
      <c r="W501" s="602"/>
      <c r="X501" s="602"/>
    </row>
    <row r="502" spans="1:24" s="263" customFormat="1" ht="9" customHeight="1" x14ac:dyDescent="0.25">
      <c r="A502" s="550" t="s">
        <v>43</v>
      </c>
      <c r="B502" s="600">
        <f t="shared" si="27"/>
        <v>66</v>
      </c>
      <c r="C502" s="600">
        <v>59</v>
      </c>
      <c r="D502" s="600">
        <v>5</v>
      </c>
      <c r="E502" s="600">
        <v>0</v>
      </c>
      <c r="F502" s="600">
        <v>0</v>
      </c>
      <c r="G502" s="600">
        <v>0</v>
      </c>
      <c r="H502" s="600">
        <v>2</v>
      </c>
      <c r="R502" s="602"/>
      <c r="S502" s="602"/>
      <c r="T502" s="602"/>
      <c r="U502" s="602"/>
      <c r="V502" s="602"/>
      <c r="W502" s="602"/>
      <c r="X502" s="602"/>
    </row>
    <row r="503" spans="1:24" s="263" customFormat="1" ht="9" customHeight="1" x14ac:dyDescent="0.25">
      <c r="A503" s="550" t="s">
        <v>44</v>
      </c>
      <c r="B503" s="600">
        <f t="shared" si="27"/>
        <v>38</v>
      </c>
      <c r="C503" s="600">
        <v>31</v>
      </c>
      <c r="D503" s="600">
        <v>5</v>
      </c>
      <c r="E503" s="600">
        <v>0</v>
      </c>
      <c r="F503" s="600">
        <v>0</v>
      </c>
      <c r="G503" s="600">
        <v>0</v>
      </c>
      <c r="H503" s="600">
        <v>2</v>
      </c>
      <c r="R503" s="602"/>
      <c r="S503" s="602"/>
      <c r="T503" s="602"/>
      <c r="U503" s="602"/>
      <c r="V503" s="602"/>
      <c r="W503" s="602"/>
      <c r="X503" s="602"/>
    </row>
    <row r="504" spans="1:24" s="263" customFormat="1" ht="9" customHeight="1" x14ac:dyDescent="0.25">
      <c r="A504" s="603" t="s">
        <v>45</v>
      </c>
      <c r="B504" s="604">
        <f t="shared" si="27"/>
        <v>53</v>
      </c>
      <c r="C504" s="604">
        <v>48</v>
      </c>
      <c r="D504" s="604">
        <v>2</v>
      </c>
      <c r="E504" s="604">
        <v>1</v>
      </c>
      <c r="F504" s="604">
        <v>0</v>
      </c>
      <c r="G504" s="604">
        <v>0</v>
      </c>
      <c r="H504" s="604">
        <v>2</v>
      </c>
      <c r="R504" s="602"/>
      <c r="S504" s="602"/>
      <c r="T504" s="602"/>
      <c r="U504" s="602"/>
      <c r="V504" s="602"/>
      <c r="W504" s="602"/>
      <c r="X504" s="602"/>
    </row>
    <row r="505" spans="1:24" s="263" customFormat="1" ht="9" customHeight="1" x14ac:dyDescent="0.25">
      <c r="A505" s="550" t="s">
        <v>46</v>
      </c>
      <c r="B505" s="600">
        <f t="shared" si="27"/>
        <v>72</v>
      </c>
      <c r="C505" s="600">
        <v>62</v>
      </c>
      <c r="D505" s="600">
        <v>6</v>
      </c>
      <c r="E505" s="600">
        <v>0</v>
      </c>
      <c r="F505" s="600">
        <v>0</v>
      </c>
      <c r="G505" s="600">
        <v>1</v>
      </c>
      <c r="H505" s="600">
        <v>3</v>
      </c>
      <c r="R505" s="602"/>
      <c r="S505" s="602"/>
      <c r="T505" s="602"/>
      <c r="U505" s="602"/>
      <c r="V505" s="602"/>
      <c r="W505" s="602"/>
      <c r="X505" s="602"/>
    </row>
    <row r="506" spans="1:24" s="263" customFormat="1" ht="9" customHeight="1" x14ac:dyDescent="0.25">
      <c r="A506" s="550" t="s">
        <v>47</v>
      </c>
      <c r="B506" s="600">
        <f t="shared" si="27"/>
        <v>53</v>
      </c>
      <c r="C506" s="600">
        <v>47</v>
      </c>
      <c r="D506" s="600">
        <v>6</v>
      </c>
      <c r="E506" s="600">
        <v>0</v>
      </c>
      <c r="F506" s="600">
        <v>0</v>
      </c>
      <c r="G506" s="600">
        <v>0</v>
      </c>
      <c r="H506" s="600">
        <v>0</v>
      </c>
      <c r="R506" s="602"/>
      <c r="S506" s="602"/>
      <c r="T506" s="602"/>
      <c r="U506" s="602"/>
      <c r="V506" s="602"/>
      <c r="W506" s="602"/>
      <c r="X506" s="602"/>
    </row>
    <row r="507" spans="1:24" s="263" customFormat="1" ht="9" customHeight="1" x14ac:dyDescent="0.25">
      <c r="A507" s="550" t="s">
        <v>48</v>
      </c>
      <c r="B507" s="600">
        <f t="shared" si="27"/>
        <v>50</v>
      </c>
      <c r="C507" s="600">
        <v>47</v>
      </c>
      <c r="D507" s="600">
        <v>3</v>
      </c>
      <c r="E507" s="600">
        <v>0</v>
      </c>
      <c r="F507" s="600">
        <v>0</v>
      </c>
      <c r="G507" s="600">
        <v>0</v>
      </c>
      <c r="H507" s="600">
        <v>0</v>
      </c>
      <c r="R507" s="602"/>
      <c r="S507" s="602"/>
      <c r="T507" s="602"/>
      <c r="U507" s="602"/>
      <c r="V507" s="602"/>
      <c r="W507" s="602"/>
      <c r="X507" s="602"/>
    </row>
    <row r="508" spans="1:24" s="263" customFormat="1" ht="9" customHeight="1" x14ac:dyDescent="0.25">
      <c r="A508" s="603" t="s">
        <v>49</v>
      </c>
      <c r="B508" s="604">
        <f t="shared" si="27"/>
        <v>63</v>
      </c>
      <c r="C508" s="604">
        <v>62</v>
      </c>
      <c r="D508" s="604">
        <v>0</v>
      </c>
      <c r="E508" s="604">
        <v>1</v>
      </c>
      <c r="F508" s="604">
        <v>0</v>
      </c>
      <c r="G508" s="604">
        <v>0</v>
      </c>
      <c r="H508" s="604">
        <v>0</v>
      </c>
      <c r="R508" s="602"/>
      <c r="S508" s="602"/>
      <c r="T508" s="602"/>
      <c r="U508" s="602"/>
      <c r="V508" s="602"/>
      <c r="W508" s="602"/>
      <c r="X508" s="602"/>
    </row>
    <row r="509" spans="1:24" s="263" customFormat="1" ht="9" customHeight="1" x14ac:dyDescent="0.25">
      <c r="A509" s="550" t="s">
        <v>50</v>
      </c>
      <c r="B509" s="600">
        <f t="shared" si="27"/>
        <v>51</v>
      </c>
      <c r="C509" s="600">
        <v>49</v>
      </c>
      <c r="D509" s="600">
        <v>2</v>
      </c>
      <c r="E509" s="600">
        <v>0</v>
      </c>
      <c r="F509" s="600">
        <v>0</v>
      </c>
      <c r="G509" s="600">
        <v>0</v>
      </c>
      <c r="H509" s="600">
        <v>0</v>
      </c>
      <c r="R509" s="602"/>
      <c r="S509" s="602"/>
      <c r="T509" s="602"/>
      <c r="U509" s="602"/>
      <c r="V509" s="602"/>
      <c r="W509" s="602"/>
      <c r="X509" s="602"/>
    </row>
    <row r="510" spans="1:24" s="263" customFormat="1" ht="9" customHeight="1" x14ac:dyDescent="0.25">
      <c r="A510" s="550" t="s">
        <v>51</v>
      </c>
      <c r="B510" s="600">
        <f t="shared" si="27"/>
        <v>171</v>
      </c>
      <c r="C510" s="600">
        <v>135</v>
      </c>
      <c r="D510" s="600">
        <v>17</v>
      </c>
      <c r="E510" s="600">
        <v>3</v>
      </c>
      <c r="F510" s="600">
        <v>2</v>
      </c>
      <c r="G510" s="600">
        <v>2</v>
      </c>
      <c r="H510" s="600">
        <v>12</v>
      </c>
      <c r="R510" s="602"/>
      <c r="S510" s="602"/>
      <c r="T510" s="602"/>
      <c r="U510" s="602"/>
      <c r="V510" s="602"/>
      <c r="W510" s="602"/>
      <c r="X510" s="602"/>
    </row>
    <row r="511" spans="1:24" s="263" customFormat="1" ht="9" customHeight="1" x14ac:dyDescent="0.25">
      <c r="A511" s="550" t="s">
        <v>52</v>
      </c>
      <c r="B511" s="600">
        <f t="shared" si="27"/>
        <v>33</v>
      </c>
      <c r="C511" s="600">
        <v>29</v>
      </c>
      <c r="D511" s="600">
        <v>1</v>
      </c>
      <c r="E511" s="600">
        <v>1</v>
      </c>
      <c r="F511" s="600">
        <v>0</v>
      </c>
      <c r="G511" s="600">
        <v>0</v>
      </c>
      <c r="H511" s="600">
        <v>2</v>
      </c>
      <c r="R511" s="602"/>
      <c r="S511" s="602"/>
      <c r="T511" s="602"/>
      <c r="U511" s="602"/>
      <c r="V511" s="602"/>
      <c r="W511" s="602"/>
      <c r="X511" s="602"/>
    </row>
    <row r="512" spans="1:24" s="263" customFormat="1" ht="9" customHeight="1" x14ac:dyDescent="0.25">
      <c r="A512" s="603" t="s">
        <v>53</v>
      </c>
      <c r="B512" s="604">
        <f t="shared" si="27"/>
        <v>33</v>
      </c>
      <c r="C512" s="604">
        <v>32</v>
      </c>
      <c r="D512" s="604">
        <v>1</v>
      </c>
      <c r="E512" s="604">
        <v>0</v>
      </c>
      <c r="F512" s="604">
        <v>0</v>
      </c>
      <c r="G512" s="604">
        <v>0</v>
      </c>
      <c r="H512" s="604">
        <v>0</v>
      </c>
      <c r="R512" s="602"/>
      <c r="S512" s="602"/>
      <c r="T512" s="602"/>
      <c r="U512" s="602"/>
      <c r="V512" s="602"/>
      <c r="W512" s="602"/>
      <c r="X512" s="602"/>
    </row>
    <row r="513" spans="1:24" s="263" customFormat="1" ht="9" customHeight="1" x14ac:dyDescent="0.25">
      <c r="A513" s="269"/>
      <c r="B513" s="605"/>
      <c r="C513" s="605"/>
      <c r="D513" s="605"/>
      <c r="E513" s="605"/>
      <c r="F513" s="605"/>
      <c r="G513" s="605"/>
      <c r="H513" s="605"/>
      <c r="I513" s="286"/>
      <c r="R513" s="602"/>
      <c r="S513" s="602"/>
      <c r="T513" s="602"/>
      <c r="U513" s="602"/>
      <c r="V513" s="602"/>
      <c r="W513" s="602"/>
      <c r="X513" s="602"/>
    </row>
    <row r="514" spans="1:24" s="263" customFormat="1" ht="9" customHeight="1" x14ac:dyDescent="0.25">
      <c r="A514" s="601">
        <v>2009</v>
      </c>
      <c r="B514" s="266"/>
      <c r="C514" s="266"/>
      <c r="D514" s="266"/>
      <c r="E514" s="266"/>
      <c r="F514" s="266"/>
      <c r="G514" s="266"/>
      <c r="H514" s="266"/>
      <c r="R514" s="602"/>
      <c r="S514" s="602"/>
      <c r="T514" s="602"/>
      <c r="U514" s="602"/>
      <c r="V514" s="602"/>
      <c r="W514" s="602"/>
      <c r="X514" s="602"/>
    </row>
    <row r="515" spans="1:24" s="265" customFormat="1" ht="9" customHeight="1" x14ac:dyDescent="0.25">
      <c r="A515" s="265" t="s">
        <v>21</v>
      </c>
      <c r="B515" s="602">
        <f t="shared" ref="B515:G515" si="28">SUM(B517:B548)</f>
        <v>3108</v>
      </c>
      <c r="C515" s="602">
        <f t="shared" si="28"/>
        <v>2812</v>
      </c>
      <c r="D515" s="602">
        <f t="shared" si="28"/>
        <v>177</v>
      </c>
      <c r="E515" s="602">
        <f t="shared" si="28"/>
        <v>14</v>
      </c>
      <c r="F515" s="602">
        <f t="shared" si="28"/>
        <v>13</v>
      </c>
      <c r="G515" s="602">
        <f t="shared" si="28"/>
        <v>13</v>
      </c>
      <c r="H515" s="602">
        <f>SUM(H517:H548)</f>
        <v>79</v>
      </c>
      <c r="R515" s="602"/>
      <c r="S515" s="602"/>
      <c r="T515" s="602"/>
      <c r="U515" s="602"/>
      <c r="V515" s="602"/>
      <c r="W515" s="602"/>
      <c r="X515" s="602"/>
    </row>
    <row r="516" spans="1:24" s="265" customFormat="1" ht="3.95" customHeight="1" x14ac:dyDescent="0.25">
      <c r="B516" s="602"/>
      <c r="C516" s="602"/>
      <c r="D516" s="602"/>
      <c r="E516" s="602"/>
      <c r="F516" s="602"/>
      <c r="G516" s="602"/>
      <c r="H516" s="602"/>
      <c r="R516" s="602"/>
      <c r="S516" s="602"/>
      <c r="T516" s="602"/>
      <c r="U516" s="602"/>
      <c r="V516" s="602"/>
      <c r="W516" s="602"/>
      <c r="X516" s="602"/>
    </row>
    <row r="517" spans="1:24" s="263" customFormat="1" ht="9" customHeight="1" x14ac:dyDescent="0.25">
      <c r="A517" s="550" t="s">
        <v>23</v>
      </c>
      <c r="B517" s="600">
        <f t="shared" ref="B517:B548" si="29">SUM(C517:H517)</f>
        <v>17</v>
      </c>
      <c r="C517" s="600">
        <v>13</v>
      </c>
      <c r="D517" s="600">
        <v>3</v>
      </c>
      <c r="E517" s="600">
        <v>0</v>
      </c>
      <c r="F517" s="600">
        <v>0</v>
      </c>
      <c r="G517" s="600">
        <v>0</v>
      </c>
      <c r="H517" s="600">
        <v>1</v>
      </c>
      <c r="R517" s="602"/>
      <c r="S517" s="602"/>
      <c r="T517" s="602"/>
      <c r="U517" s="602"/>
      <c r="V517" s="602"/>
      <c r="W517" s="602"/>
      <c r="X517" s="602"/>
    </row>
    <row r="518" spans="1:24" s="263" customFormat="1" ht="9" customHeight="1" x14ac:dyDescent="0.25">
      <c r="A518" s="550" t="s">
        <v>24</v>
      </c>
      <c r="B518" s="600">
        <f t="shared" si="29"/>
        <v>150</v>
      </c>
      <c r="C518" s="600">
        <v>137</v>
      </c>
      <c r="D518" s="600">
        <v>2</v>
      </c>
      <c r="E518" s="600">
        <v>0</v>
      </c>
      <c r="F518" s="600">
        <v>0</v>
      </c>
      <c r="G518" s="600">
        <v>0</v>
      </c>
      <c r="H518" s="600">
        <v>11</v>
      </c>
      <c r="R518" s="602"/>
      <c r="S518" s="602"/>
      <c r="T518" s="602"/>
      <c r="U518" s="602"/>
      <c r="V518" s="602"/>
      <c r="W518" s="602"/>
      <c r="X518" s="602"/>
    </row>
    <row r="519" spans="1:24" s="263" customFormat="1" ht="9" customHeight="1" x14ac:dyDescent="0.25">
      <c r="A519" s="550" t="s">
        <v>25</v>
      </c>
      <c r="B519" s="600">
        <f t="shared" si="29"/>
        <v>15</v>
      </c>
      <c r="C519" s="600">
        <v>14</v>
      </c>
      <c r="D519" s="600">
        <v>0</v>
      </c>
      <c r="E519" s="600">
        <v>0</v>
      </c>
      <c r="F519" s="600">
        <v>0</v>
      </c>
      <c r="G519" s="600">
        <v>0</v>
      </c>
      <c r="H519" s="600">
        <v>1</v>
      </c>
      <c r="R519" s="602"/>
      <c r="S519" s="602"/>
      <c r="T519" s="602"/>
      <c r="U519" s="602"/>
      <c r="V519" s="602"/>
      <c r="W519" s="602"/>
      <c r="X519" s="602"/>
    </row>
    <row r="520" spans="1:24" s="263" customFormat="1" ht="9" customHeight="1" x14ac:dyDescent="0.25">
      <c r="A520" s="603" t="s">
        <v>26</v>
      </c>
      <c r="B520" s="604">
        <f t="shared" si="29"/>
        <v>10</v>
      </c>
      <c r="C520" s="604">
        <v>10</v>
      </c>
      <c r="D520" s="604">
        <v>0</v>
      </c>
      <c r="E520" s="604">
        <v>0</v>
      </c>
      <c r="F520" s="604">
        <v>0</v>
      </c>
      <c r="G520" s="604">
        <v>0</v>
      </c>
      <c r="H520" s="604">
        <v>0</v>
      </c>
      <c r="R520" s="602"/>
      <c r="S520" s="602"/>
      <c r="T520" s="602"/>
      <c r="U520" s="602"/>
      <c r="V520" s="602"/>
      <c r="W520" s="602"/>
      <c r="X520" s="602"/>
    </row>
    <row r="521" spans="1:24" s="263" customFormat="1" ht="9" customHeight="1" x14ac:dyDescent="0.25">
      <c r="A521" s="550" t="s">
        <v>27</v>
      </c>
      <c r="B521" s="600">
        <f t="shared" si="29"/>
        <v>31</v>
      </c>
      <c r="C521" s="600">
        <v>23</v>
      </c>
      <c r="D521" s="600">
        <v>5</v>
      </c>
      <c r="E521" s="600">
        <v>0</v>
      </c>
      <c r="F521" s="600">
        <v>1</v>
      </c>
      <c r="G521" s="600">
        <v>1</v>
      </c>
      <c r="H521" s="600">
        <v>1</v>
      </c>
      <c r="R521" s="602"/>
      <c r="S521" s="602"/>
      <c r="T521" s="602"/>
      <c r="U521" s="602"/>
      <c r="V521" s="602"/>
      <c r="W521" s="602"/>
      <c r="X521" s="602"/>
    </row>
    <row r="522" spans="1:24" s="263" customFormat="1" ht="9" customHeight="1" x14ac:dyDescent="0.25">
      <c r="A522" s="550" t="s">
        <v>28</v>
      </c>
      <c r="B522" s="600">
        <f t="shared" si="29"/>
        <v>11</v>
      </c>
      <c r="C522" s="600">
        <v>11</v>
      </c>
      <c r="D522" s="600">
        <v>0</v>
      </c>
      <c r="E522" s="600">
        <v>0</v>
      </c>
      <c r="F522" s="600">
        <v>0</v>
      </c>
      <c r="G522" s="600">
        <v>0</v>
      </c>
      <c r="H522" s="600">
        <v>0</v>
      </c>
      <c r="R522" s="602"/>
      <c r="S522" s="602"/>
      <c r="T522" s="602"/>
      <c r="U522" s="602"/>
      <c r="V522" s="602"/>
      <c r="W522" s="602"/>
      <c r="X522" s="602"/>
    </row>
    <row r="523" spans="1:24" s="263" customFormat="1" ht="9" customHeight="1" x14ac:dyDescent="0.25">
      <c r="A523" s="550" t="s">
        <v>29</v>
      </c>
      <c r="B523" s="600">
        <f t="shared" si="29"/>
        <v>73</v>
      </c>
      <c r="C523" s="600">
        <v>62</v>
      </c>
      <c r="D523" s="600">
        <v>8</v>
      </c>
      <c r="E523" s="600">
        <v>0</v>
      </c>
      <c r="F523" s="600">
        <v>0</v>
      </c>
      <c r="G523" s="600">
        <v>1</v>
      </c>
      <c r="H523" s="600">
        <v>2</v>
      </c>
      <c r="R523" s="602"/>
      <c r="S523" s="602"/>
      <c r="T523" s="602"/>
      <c r="U523" s="602"/>
      <c r="V523" s="602"/>
      <c r="W523" s="602"/>
      <c r="X523" s="602"/>
    </row>
    <row r="524" spans="1:24" s="263" customFormat="1" ht="9" customHeight="1" x14ac:dyDescent="0.25">
      <c r="A524" s="603" t="s">
        <v>30</v>
      </c>
      <c r="B524" s="604">
        <f t="shared" si="29"/>
        <v>83</v>
      </c>
      <c r="C524" s="604">
        <v>83</v>
      </c>
      <c r="D524" s="604">
        <v>0</v>
      </c>
      <c r="E524" s="604">
        <v>0</v>
      </c>
      <c r="F524" s="604">
        <v>0</v>
      </c>
      <c r="G524" s="604">
        <v>0</v>
      </c>
      <c r="H524" s="604">
        <v>0</v>
      </c>
      <c r="R524" s="602"/>
      <c r="S524" s="602"/>
      <c r="T524" s="602"/>
      <c r="U524" s="602"/>
      <c r="V524" s="602"/>
      <c r="W524" s="602"/>
      <c r="X524" s="602"/>
    </row>
    <row r="525" spans="1:24" s="263" customFormat="1" ht="9" customHeight="1" x14ac:dyDescent="0.25">
      <c r="A525" s="550" t="s">
        <v>63</v>
      </c>
      <c r="B525" s="600">
        <f t="shared" si="29"/>
        <v>295</v>
      </c>
      <c r="C525" s="600">
        <v>262</v>
      </c>
      <c r="D525" s="600">
        <v>16</v>
      </c>
      <c r="E525" s="600">
        <v>3</v>
      </c>
      <c r="F525" s="600">
        <v>2</v>
      </c>
      <c r="G525" s="600">
        <v>4</v>
      </c>
      <c r="H525" s="600">
        <v>8</v>
      </c>
      <c r="R525" s="602"/>
      <c r="S525" s="602"/>
      <c r="T525" s="602"/>
      <c r="U525" s="602"/>
      <c r="V525" s="602"/>
      <c r="W525" s="602"/>
      <c r="X525" s="602"/>
    </row>
    <row r="526" spans="1:24" s="263" customFormat="1" ht="9" customHeight="1" x14ac:dyDescent="0.25">
      <c r="A526" s="550" t="s">
        <v>31</v>
      </c>
      <c r="B526" s="600">
        <f t="shared" si="29"/>
        <v>36</v>
      </c>
      <c r="C526" s="600">
        <v>35</v>
      </c>
      <c r="D526" s="600">
        <v>0</v>
      </c>
      <c r="E526" s="600">
        <v>0</v>
      </c>
      <c r="F526" s="600">
        <v>0</v>
      </c>
      <c r="G526" s="600">
        <v>0</v>
      </c>
      <c r="H526" s="600">
        <v>1</v>
      </c>
      <c r="R526" s="602"/>
      <c r="S526" s="602"/>
      <c r="T526" s="602"/>
      <c r="U526" s="602"/>
      <c r="V526" s="602"/>
      <c r="W526" s="602"/>
      <c r="X526" s="602"/>
    </row>
    <row r="527" spans="1:24" s="263" customFormat="1" ht="9" customHeight="1" x14ac:dyDescent="0.25">
      <c r="A527" s="550" t="s">
        <v>32</v>
      </c>
      <c r="B527" s="600">
        <f t="shared" si="29"/>
        <v>200</v>
      </c>
      <c r="C527" s="600">
        <v>167</v>
      </c>
      <c r="D527" s="600">
        <v>22</v>
      </c>
      <c r="E527" s="600">
        <v>0</v>
      </c>
      <c r="F527" s="600">
        <v>0</v>
      </c>
      <c r="G527" s="600">
        <v>0</v>
      </c>
      <c r="H527" s="600">
        <v>11</v>
      </c>
      <c r="R527" s="602"/>
      <c r="S527" s="602"/>
      <c r="T527" s="602"/>
      <c r="U527" s="602"/>
      <c r="V527" s="602"/>
      <c r="W527" s="602"/>
      <c r="X527" s="602"/>
    </row>
    <row r="528" spans="1:24" s="263" customFormat="1" ht="9" customHeight="1" x14ac:dyDescent="0.25">
      <c r="A528" s="603" t="s">
        <v>33</v>
      </c>
      <c r="B528" s="604">
        <f t="shared" si="29"/>
        <v>102</v>
      </c>
      <c r="C528" s="604">
        <v>94</v>
      </c>
      <c r="D528" s="604">
        <v>5</v>
      </c>
      <c r="E528" s="604">
        <v>1</v>
      </c>
      <c r="F528" s="604">
        <v>0</v>
      </c>
      <c r="G528" s="604">
        <v>0</v>
      </c>
      <c r="H528" s="604">
        <v>2</v>
      </c>
      <c r="R528" s="602"/>
      <c r="S528" s="602"/>
      <c r="T528" s="602"/>
      <c r="U528" s="602"/>
      <c r="V528" s="602"/>
      <c r="W528" s="602"/>
      <c r="X528" s="602"/>
    </row>
    <row r="529" spans="1:24" s="263" customFormat="1" ht="9" customHeight="1" x14ac:dyDescent="0.25">
      <c r="A529" s="550" t="s">
        <v>34</v>
      </c>
      <c r="B529" s="600">
        <f t="shared" si="29"/>
        <v>109</v>
      </c>
      <c r="C529" s="600">
        <v>100</v>
      </c>
      <c r="D529" s="600">
        <v>7</v>
      </c>
      <c r="E529" s="600">
        <v>2</v>
      </c>
      <c r="F529" s="600">
        <v>0</v>
      </c>
      <c r="G529" s="600">
        <v>0</v>
      </c>
      <c r="H529" s="600">
        <v>0</v>
      </c>
      <c r="R529" s="602"/>
      <c r="S529" s="602"/>
      <c r="T529" s="602"/>
      <c r="U529" s="602"/>
      <c r="V529" s="602"/>
      <c r="W529" s="602"/>
      <c r="X529" s="602"/>
    </row>
    <row r="530" spans="1:24" s="263" customFormat="1" ht="9" customHeight="1" x14ac:dyDescent="0.25">
      <c r="A530" s="550" t="s">
        <v>35</v>
      </c>
      <c r="B530" s="600">
        <f t="shared" si="29"/>
        <v>191</v>
      </c>
      <c r="C530" s="600">
        <v>181</v>
      </c>
      <c r="D530" s="600">
        <v>1</v>
      </c>
      <c r="E530" s="600">
        <v>0</v>
      </c>
      <c r="F530" s="600">
        <v>1</v>
      </c>
      <c r="G530" s="600">
        <v>0</v>
      </c>
      <c r="H530" s="600">
        <v>8</v>
      </c>
      <c r="R530" s="602"/>
      <c r="S530" s="602"/>
      <c r="T530" s="602"/>
      <c r="U530" s="602"/>
      <c r="V530" s="602"/>
      <c r="W530" s="602"/>
      <c r="X530" s="602"/>
    </row>
    <row r="531" spans="1:24" s="263" customFormat="1" ht="9" customHeight="1" x14ac:dyDescent="0.25">
      <c r="A531" s="550" t="s">
        <v>36</v>
      </c>
      <c r="B531" s="600">
        <f t="shared" si="29"/>
        <v>529</v>
      </c>
      <c r="C531" s="600">
        <v>509</v>
      </c>
      <c r="D531" s="600">
        <v>15</v>
      </c>
      <c r="E531" s="600">
        <v>0</v>
      </c>
      <c r="F531" s="600">
        <v>2</v>
      </c>
      <c r="G531" s="600">
        <v>2</v>
      </c>
      <c r="H531" s="600">
        <v>1</v>
      </c>
      <c r="R531" s="602"/>
      <c r="S531" s="602"/>
      <c r="T531" s="602"/>
      <c r="U531" s="602"/>
      <c r="V531" s="602"/>
      <c r="W531" s="602"/>
      <c r="X531" s="602"/>
    </row>
    <row r="532" spans="1:24" s="263" customFormat="1" ht="9" customHeight="1" x14ac:dyDescent="0.25">
      <c r="A532" s="603" t="s">
        <v>37</v>
      </c>
      <c r="B532" s="604">
        <f t="shared" si="29"/>
        <v>182</v>
      </c>
      <c r="C532" s="604">
        <v>162</v>
      </c>
      <c r="D532" s="604">
        <v>12</v>
      </c>
      <c r="E532" s="604">
        <v>3</v>
      </c>
      <c r="F532" s="604">
        <v>1</v>
      </c>
      <c r="G532" s="604">
        <v>0</v>
      </c>
      <c r="H532" s="604">
        <v>4</v>
      </c>
      <c r="R532" s="602"/>
      <c r="S532" s="602"/>
      <c r="T532" s="602"/>
      <c r="U532" s="602"/>
      <c r="V532" s="602"/>
      <c r="W532" s="602"/>
      <c r="X532" s="602"/>
    </row>
    <row r="533" spans="1:24" s="263" customFormat="1" ht="9" customHeight="1" x14ac:dyDescent="0.25">
      <c r="A533" s="550" t="s">
        <v>38</v>
      </c>
      <c r="B533" s="600">
        <f t="shared" si="29"/>
        <v>68</v>
      </c>
      <c r="C533" s="600">
        <v>55</v>
      </c>
      <c r="D533" s="600">
        <v>13</v>
      </c>
      <c r="E533" s="600">
        <v>0</v>
      </c>
      <c r="F533" s="600">
        <v>0</v>
      </c>
      <c r="G533" s="600">
        <v>0</v>
      </c>
      <c r="H533" s="600">
        <v>0</v>
      </c>
      <c r="R533" s="602"/>
      <c r="S533" s="602"/>
      <c r="T533" s="602"/>
      <c r="U533" s="602"/>
      <c r="V533" s="602"/>
      <c r="W533" s="602"/>
      <c r="X533" s="602"/>
    </row>
    <row r="534" spans="1:24" s="263" customFormat="1" ht="9" customHeight="1" x14ac:dyDescent="0.25">
      <c r="A534" s="550" t="s">
        <v>39</v>
      </c>
      <c r="B534" s="600">
        <f t="shared" si="29"/>
        <v>18</v>
      </c>
      <c r="C534" s="600">
        <v>15</v>
      </c>
      <c r="D534" s="600">
        <v>3</v>
      </c>
      <c r="E534" s="600">
        <v>0</v>
      </c>
      <c r="F534" s="600">
        <v>0</v>
      </c>
      <c r="G534" s="600">
        <v>0</v>
      </c>
      <c r="H534" s="600">
        <v>0</v>
      </c>
      <c r="R534" s="602"/>
      <c r="S534" s="602"/>
      <c r="T534" s="602"/>
      <c r="U534" s="602"/>
      <c r="V534" s="602"/>
      <c r="W534" s="602"/>
      <c r="X534" s="602"/>
    </row>
    <row r="535" spans="1:24" s="263" customFormat="1" ht="9" customHeight="1" x14ac:dyDescent="0.25">
      <c r="A535" s="550" t="s">
        <v>40</v>
      </c>
      <c r="B535" s="600">
        <f t="shared" si="29"/>
        <v>63</v>
      </c>
      <c r="C535" s="600">
        <v>53</v>
      </c>
      <c r="D535" s="600">
        <v>8</v>
      </c>
      <c r="E535" s="600">
        <v>0</v>
      </c>
      <c r="F535" s="600">
        <v>1</v>
      </c>
      <c r="G535" s="600">
        <v>1</v>
      </c>
      <c r="H535" s="600">
        <v>0</v>
      </c>
      <c r="R535" s="602"/>
      <c r="S535" s="602"/>
      <c r="T535" s="602"/>
      <c r="U535" s="602"/>
      <c r="V535" s="602"/>
      <c r="W535" s="602"/>
      <c r="X535" s="602"/>
    </row>
    <row r="536" spans="1:24" s="263" customFormat="1" ht="9" customHeight="1" x14ac:dyDescent="0.25">
      <c r="A536" s="603" t="s">
        <v>41</v>
      </c>
      <c r="B536" s="604">
        <f t="shared" si="29"/>
        <v>110</v>
      </c>
      <c r="C536" s="604">
        <v>106</v>
      </c>
      <c r="D536" s="604">
        <v>4</v>
      </c>
      <c r="E536" s="604">
        <v>0</v>
      </c>
      <c r="F536" s="604">
        <v>0</v>
      </c>
      <c r="G536" s="604">
        <v>0</v>
      </c>
      <c r="H536" s="604">
        <v>0</v>
      </c>
      <c r="R536" s="602"/>
      <c r="S536" s="602"/>
      <c r="T536" s="602"/>
      <c r="U536" s="602"/>
      <c r="V536" s="602"/>
      <c r="W536" s="602"/>
      <c r="X536" s="602"/>
    </row>
    <row r="537" spans="1:24" s="263" customFormat="1" ht="9" customHeight="1" x14ac:dyDescent="0.25">
      <c r="A537" s="550" t="s">
        <v>42</v>
      </c>
      <c r="B537" s="600">
        <f t="shared" si="29"/>
        <v>155</v>
      </c>
      <c r="C537" s="600">
        <v>144</v>
      </c>
      <c r="D537" s="600">
        <v>5</v>
      </c>
      <c r="E537" s="600">
        <v>1</v>
      </c>
      <c r="F537" s="600">
        <v>3</v>
      </c>
      <c r="G537" s="600">
        <v>0</v>
      </c>
      <c r="H537" s="600">
        <v>2</v>
      </c>
      <c r="R537" s="602"/>
      <c r="S537" s="602"/>
      <c r="T537" s="602"/>
      <c r="U537" s="602"/>
      <c r="V537" s="602"/>
      <c r="W537" s="602"/>
      <c r="X537" s="602"/>
    </row>
    <row r="538" spans="1:24" s="263" customFormat="1" ht="9" customHeight="1" x14ac:dyDescent="0.25">
      <c r="A538" s="550" t="s">
        <v>43</v>
      </c>
      <c r="B538" s="600">
        <f t="shared" si="29"/>
        <v>67</v>
      </c>
      <c r="C538" s="600">
        <v>59</v>
      </c>
      <c r="D538" s="600">
        <v>5</v>
      </c>
      <c r="E538" s="600">
        <v>0</v>
      </c>
      <c r="F538" s="600">
        <v>0</v>
      </c>
      <c r="G538" s="600">
        <v>0</v>
      </c>
      <c r="H538" s="600">
        <v>3</v>
      </c>
      <c r="R538" s="602"/>
      <c r="S538" s="602"/>
      <c r="T538" s="602"/>
      <c r="U538" s="602"/>
      <c r="V538" s="602"/>
      <c r="W538" s="602"/>
      <c r="X538" s="602"/>
    </row>
    <row r="539" spans="1:24" s="263" customFormat="1" ht="9" customHeight="1" x14ac:dyDescent="0.25">
      <c r="A539" s="550" t="s">
        <v>44</v>
      </c>
      <c r="B539" s="600">
        <f t="shared" si="29"/>
        <v>40</v>
      </c>
      <c r="C539" s="600">
        <v>34</v>
      </c>
      <c r="D539" s="600">
        <v>4</v>
      </c>
      <c r="E539" s="600">
        <v>0</v>
      </c>
      <c r="F539" s="600">
        <v>0</v>
      </c>
      <c r="G539" s="600">
        <v>0</v>
      </c>
      <c r="H539" s="600">
        <v>2</v>
      </c>
      <c r="R539" s="602"/>
      <c r="S539" s="602"/>
      <c r="T539" s="602"/>
      <c r="U539" s="602"/>
      <c r="V539" s="602"/>
      <c r="W539" s="602"/>
      <c r="X539" s="602"/>
    </row>
    <row r="540" spans="1:24" s="263" customFormat="1" ht="9" customHeight="1" x14ac:dyDescent="0.25">
      <c r="A540" s="603" t="s">
        <v>45</v>
      </c>
      <c r="B540" s="604">
        <f t="shared" si="29"/>
        <v>46</v>
      </c>
      <c r="C540" s="604">
        <v>42</v>
      </c>
      <c r="D540" s="604">
        <v>2</v>
      </c>
      <c r="E540" s="604">
        <v>0</v>
      </c>
      <c r="F540" s="604">
        <v>0</v>
      </c>
      <c r="G540" s="604">
        <v>0</v>
      </c>
      <c r="H540" s="604">
        <v>2</v>
      </c>
      <c r="R540" s="602"/>
      <c r="S540" s="602"/>
      <c r="T540" s="602"/>
      <c r="U540" s="602"/>
      <c r="V540" s="602"/>
      <c r="W540" s="602"/>
      <c r="X540" s="602"/>
    </row>
    <row r="541" spans="1:24" s="263" customFormat="1" ht="9" customHeight="1" x14ac:dyDescent="0.25">
      <c r="A541" s="550" t="s">
        <v>46</v>
      </c>
      <c r="B541" s="600">
        <f t="shared" si="29"/>
        <v>68</v>
      </c>
      <c r="C541" s="600">
        <v>57</v>
      </c>
      <c r="D541" s="600">
        <v>6</v>
      </c>
      <c r="E541" s="600">
        <v>0</v>
      </c>
      <c r="F541" s="600">
        <v>0</v>
      </c>
      <c r="G541" s="600">
        <v>2</v>
      </c>
      <c r="H541" s="600">
        <v>3</v>
      </c>
      <c r="R541" s="602"/>
      <c r="S541" s="602"/>
      <c r="T541" s="602"/>
      <c r="U541" s="602"/>
      <c r="V541" s="602"/>
      <c r="W541" s="602"/>
      <c r="X541" s="602"/>
    </row>
    <row r="542" spans="1:24" s="263" customFormat="1" ht="9" customHeight="1" x14ac:dyDescent="0.25">
      <c r="A542" s="550" t="s">
        <v>47</v>
      </c>
      <c r="B542" s="600">
        <f t="shared" si="29"/>
        <v>51</v>
      </c>
      <c r="C542" s="600">
        <v>46</v>
      </c>
      <c r="D542" s="600">
        <v>5</v>
      </c>
      <c r="E542" s="600">
        <v>0</v>
      </c>
      <c r="F542" s="600">
        <v>0</v>
      </c>
      <c r="G542" s="600">
        <v>0</v>
      </c>
      <c r="H542" s="600">
        <v>0</v>
      </c>
      <c r="R542" s="602"/>
      <c r="S542" s="602"/>
      <c r="T542" s="602"/>
      <c r="U542" s="602"/>
      <c r="V542" s="602"/>
      <c r="W542" s="602"/>
      <c r="X542" s="602"/>
    </row>
    <row r="543" spans="1:24" s="263" customFormat="1" ht="9" customHeight="1" x14ac:dyDescent="0.25">
      <c r="A543" s="550" t="s">
        <v>48</v>
      </c>
      <c r="B543" s="600">
        <f t="shared" si="29"/>
        <v>48</v>
      </c>
      <c r="C543" s="600">
        <v>44</v>
      </c>
      <c r="D543" s="600">
        <v>4</v>
      </c>
      <c r="E543" s="600">
        <v>0</v>
      </c>
      <c r="F543" s="600">
        <v>0</v>
      </c>
      <c r="G543" s="600">
        <v>0</v>
      </c>
      <c r="H543" s="600">
        <v>0</v>
      </c>
      <c r="R543" s="602"/>
      <c r="S543" s="602"/>
      <c r="T543" s="602"/>
      <c r="U543" s="602"/>
      <c r="V543" s="602"/>
      <c r="W543" s="602"/>
      <c r="X543" s="602"/>
    </row>
    <row r="544" spans="1:24" s="263" customFormat="1" ht="9" customHeight="1" x14ac:dyDescent="0.25">
      <c r="A544" s="603" t="s">
        <v>49</v>
      </c>
      <c r="B544" s="604">
        <f t="shared" si="29"/>
        <v>62</v>
      </c>
      <c r="C544" s="604">
        <v>61</v>
      </c>
      <c r="D544" s="604">
        <v>0</v>
      </c>
      <c r="E544" s="604">
        <v>1</v>
      </c>
      <c r="F544" s="604">
        <v>0</v>
      </c>
      <c r="G544" s="604">
        <v>0</v>
      </c>
      <c r="H544" s="604">
        <v>0</v>
      </c>
      <c r="R544" s="602"/>
      <c r="S544" s="602"/>
      <c r="T544" s="602"/>
      <c r="U544" s="602"/>
      <c r="V544" s="602"/>
      <c r="W544" s="602"/>
      <c r="X544" s="602"/>
    </row>
    <row r="545" spans="1:24" s="263" customFormat="1" ht="9" customHeight="1" x14ac:dyDescent="0.25">
      <c r="A545" s="550" t="s">
        <v>50</v>
      </c>
      <c r="B545" s="600">
        <f t="shared" si="29"/>
        <v>45</v>
      </c>
      <c r="C545" s="600">
        <v>43</v>
      </c>
      <c r="D545" s="600">
        <v>2</v>
      </c>
      <c r="E545" s="600">
        <v>0</v>
      </c>
      <c r="F545" s="600">
        <v>0</v>
      </c>
      <c r="G545" s="600">
        <v>0</v>
      </c>
      <c r="H545" s="600">
        <v>0</v>
      </c>
      <c r="R545" s="602"/>
      <c r="S545" s="602"/>
      <c r="T545" s="602"/>
      <c r="U545" s="602"/>
      <c r="V545" s="602"/>
      <c r="W545" s="602"/>
      <c r="X545" s="602"/>
    </row>
    <row r="546" spans="1:24" s="263" customFormat="1" ht="9" customHeight="1" x14ac:dyDescent="0.25">
      <c r="A546" s="550" t="s">
        <v>51</v>
      </c>
      <c r="B546" s="600">
        <f t="shared" si="29"/>
        <v>164</v>
      </c>
      <c r="C546" s="600">
        <v>127</v>
      </c>
      <c r="D546" s="600">
        <v>19</v>
      </c>
      <c r="E546" s="600">
        <v>2</v>
      </c>
      <c r="F546" s="600">
        <v>2</v>
      </c>
      <c r="G546" s="600">
        <v>2</v>
      </c>
      <c r="H546" s="600">
        <v>12</v>
      </c>
      <c r="R546" s="602"/>
      <c r="S546" s="602"/>
      <c r="T546" s="602"/>
      <c r="U546" s="602"/>
      <c r="V546" s="602"/>
      <c r="W546" s="602"/>
      <c r="X546" s="602"/>
    </row>
    <row r="547" spans="1:24" s="263" customFormat="1" ht="9" customHeight="1" x14ac:dyDescent="0.25">
      <c r="A547" s="550" t="s">
        <v>52</v>
      </c>
      <c r="B547" s="600">
        <f t="shared" si="29"/>
        <v>32</v>
      </c>
      <c r="C547" s="600">
        <v>28</v>
      </c>
      <c r="D547" s="600">
        <v>1</v>
      </c>
      <c r="E547" s="600">
        <v>1</v>
      </c>
      <c r="F547" s="600">
        <v>0</v>
      </c>
      <c r="G547" s="600">
        <v>0</v>
      </c>
      <c r="H547" s="600">
        <v>2</v>
      </c>
      <c r="R547" s="602"/>
      <c r="S547" s="602"/>
      <c r="T547" s="602"/>
      <c r="U547" s="602"/>
      <c r="V547" s="602"/>
      <c r="W547" s="602"/>
      <c r="X547" s="602"/>
    </row>
    <row r="548" spans="1:24" s="263" customFormat="1" ht="9" customHeight="1" x14ac:dyDescent="0.25">
      <c r="A548" s="603" t="s">
        <v>53</v>
      </c>
      <c r="B548" s="604">
        <f t="shared" si="29"/>
        <v>37</v>
      </c>
      <c r="C548" s="604">
        <v>35</v>
      </c>
      <c r="D548" s="604">
        <v>0</v>
      </c>
      <c r="E548" s="604">
        <v>0</v>
      </c>
      <c r="F548" s="604">
        <v>0</v>
      </c>
      <c r="G548" s="604">
        <v>0</v>
      </c>
      <c r="H548" s="604">
        <v>2</v>
      </c>
      <c r="R548" s="602"/>
      <c r="S548" s="602"/>
      <c r="T548" s="602"/>
      <c r="U548" s="602"/>
      <c r="V548" s="602"/>
      <c r="W548" s="602"/>
      <c r="X548" s="602"/>
    </row>
    <row r="549" spans="1:24" s="263" customFormat="1" ht="9" customHeight="1" x14ac:dyDescent="0.25">
      <c r="A549" s="269"/>
      <c r="B549" s="605"/>
      <c r="C549" s="605"/>
      <c r="D549" s="605"/>
      <c r="E549" s="605"/>
      <c r="F549" s="605"/>
      <c r="G549" s="605"/>
      <c r="H549" s="605"/>
      <c r="I549" s="286"/>
      <c r="R549" s="602"/>
      <c r="S549" s="602"/>
      <c r="T549" s="602"/>
      <c r="U549" s="602"/>
      <c r="V549" s="602"/>
      <c r="W549" s="602"/>
      <c r="X549" s="602"/>
    </row>
    <row r="550" spans="1:24" s="263" customFormat="1" ht="9" customHeight="1" x14ac:dyDescent="0.25">
      <c r="A550" s="601">
        <v>2010</v>
      </c>
      <c r="B550" s="266"/>
      <c r="C550" s="266"/>
      <c r="D550" s="266"/>
      <c r="E550" s="266"/>
      <c r="F550" s="266"/>
      <c r="G550" s="266"/>
      <c r="H550" s="266"/>
      <c r="R550" s="602"/>
      <c r="S550" s="602"/>
      <c r="T550" s="602"/>
      <c r="U550" s="602"/>
      <c r="V550" s="602"/>
      <c r="W550" s="602"/>
      <c r="X550" s="602"/>
    </row>
    <row r="551" spans="1:24" s="265" customFormat="1" ht="9" customHeight="1" x14ac:dyDescent="0.25">
      <c r="A551" s="265" t="s">
        <v>21</v>
      </c>
      <c r="B551" s="602">
        <f t="shared" ref="B551:G551" si="30">SUM(B553:B584)</f>
        <v>3144</v>
      </c>
      <c r="C551" s="602">
        <f t="shared" si="30"/>
        <v>2835</v>
      </c>
      <c r="D551" s="602">
        <f t="shared" si="30"/>
        <v>176</v>
      </c>
      <c r="E551" s="602">
        <f t="shared" si="30"/>
        <v>16</v>
      </c>
      <c r="F551" s="602">
        <f t="shared" si="30"/>
        <v>15</v>
      </c>
      <c r="G551" s="602">
        <f t="shared" si="30"/>
        <v>12</v>
      </c>
      <c r="H551" s="602">
        <f>SUM(H553:H584)</f>
        <v>90</v>
      </c>
      <c r="R551" s="602"/>
      <c r="S551" s="602"/>
      <c r="T551" s="602"/>
      <c r="U551" s="602"/>
      <c r="V551" s="602"/>
      <c r="W551" s="602"/>
      <c r="X551" s="602"/>
    </row>
    <row r="552" spans="1:24" s="265" customFormat="1" ht="3.95" customHeight="1" x14ac:dyDescent="0.25">
      <c r="B552" s="602"/>
      <c r="C552" s="602"/>
      <c r="D552" s="602"/>
      <c r="E552" s="602"/>
      <c r="F552" s="602"/>
      <c r="G552" s="602"/>
      <c r="H552" s="602"/>
      <c r="R552" s="602"/>
      <c r="S552" s="602"/>
      <c r="T552" s="602"/>
      <c r="U552" s="602"/>
      <c r="V552" s="602"/>
      <c r="W552" s="602"/>
      <c r="X552" s="602"/>
    </row>
    <row r="553" spans="1:24" s="263" customFormat="1" ht="9" customHeight="1" x14ac:dyDescent="0.25">
      <c r="A553" s="550" t="s">
        <v>23</v>
      </c>
      <c r="B553" s="600">
        <f t="shared" ref="B553:B584" si="31">SUM(C553:H553)</f>
        <v>17</v>
      </c>
      <c r="C553" s="600">
        <v>14</v>
      </c>
      <c r="D553" s="600">
        <v>3</v>
      </c>
      <c r="E553" s="600">
        <v>0</v>
      </c>
      <c r="F553" s="600">
        <v>0</v>
      </c>
      <c r="G553" s="600">
        <v>0</v>
      </c>
      <c r="H553" s="600">
        <v>0</v>
      </c>
      <c r="R553" s="602"/>
      <c r="S553" s="602"/>
      <c r="T553" s="602"/>
      <c r="U553" s="602"/>
      <c r="V553" s="602"/>
      <c r="W553" s="602"/>
      <c r="X553" s="602"/>
    </row>
    <row r="554" spans="1:24" s="263" customFormat="1" ht="9" customHeight="1" x14ac:dyDescent="0.25">
      <c r="A554" s="550" t="s">
        <v>24</v>
      </c>
      <c r="B554" s="600">
        <f t="shared" si="31"/>
        <v>152</v>
      </c>
      <c r="C554" s="600">
        <v>135</v>
      </c>
      <c r="D554" s="600">
        <v>1</v>
      </c>
      <c r="E554" s="600">
        <v>0</v>
      </c>
      <c r="F554" s="600">
        <v>0</v>
      </c>
      <c r="G554" s="600">
        <v>0</v>
      </c>
      <c r="H554" s="600">
        <v>16</v>
      </c>
      <c r="R554" s="602"/>
      <c r="S554" s="602"/>
      <c r="T554" s="602"/>
      <c r="U554" s="602"/>
      <c r="V554" s="602"/>
      <c r="W554" s="602"/>
      <c r="X554" s="602"/>
    </row>
    <row r="555" spans="1:24" s="263" customFormat="1" ht="9" customHeight="1" x14ac:dyDescent="0.25">
      <c r="A555" s="550" t="s">
        <v>25</v>
      </c>
      <c r="B555" s="600">
        <f t="shared" si="31"/>
        <v>14</v>
      </c>
      <c r="C555" s="600">
        <v>13</v>
      </c>
      <c r="D555" s="600">
        <v>0</v>
      </c>
      <c r="E555" s="600">
        <v>0</v>
      </c>
      <c r="F555" s="600">
        <v>0</v>
      </c>
      <c r="G555" s="600">
        <v>0</v>
      </c>
      <c r="H555" s="600">
        <v>1</v>
      </c>
      <c r="R555" s="602"/>
      <c r="S555" s="602"/>
      <c r="T555" s="602"/>
      <c r="U555" s="602"/>
      <c r="V555" s="602"/>
      <c r="W555" s="602"/>
      <c r="X555" s="602"/>
    </row>
    <row r="556" spans="1:24" s="263" customFormat="1" ht="9" customHeight="1" x14ac:dyDescent="0.25">
      <c r="A556" s="603" t="s">
        <v>26</v>
      </c>
      <c r="B556" s="604">
        <f t="shared" si="31"/>
        <v>10</v>
      </c>
      <c r="C556" s="604">
        <v>10</v>
      </c>
      <c r="D556" s="604">
        <v>0</v>
      </c>
      <c r="E556" s="604">
        <v>0</v>
      </c>
      <c r="F556" s="604">
        <v>0</v>
      </c>
      <c r="G556" s="604">
        <v>0</v>
      </c>
      <c r="H556" s="604">
        <v>0</v>
      </c>
      <c r="R556" s="602"/>
      <c r="S556" s="602"/>
      <c r="T556" s="602"/>
      <c r="U556" s="602"/>
      <c r="V556" s="602"/>
      <c r="W556" s="602"/>
      <c r="X556" s="602"/>
    </row>
    <row r="557" spans="1:24" s="263" customFormat="1" ht="9" customHeight="1" x14ac:dyDescent="0.25">
      <c r="A557" s="550" t="s">
        <v>27</v>
      </c>
      <c r="B557" s="600">
        <f t="shared" si="31"/>
        <v>34</v>
      </c>
      <c r="C557" s="600">
        <v>25</v>
      </c>
      <c r="D557" s="600">
        <v>5</v>
      </c>
      <c r="E557" s="600">
        <v>0</v>
      </c>
      <c r="F557" s="600">
        <v>3</v>
      </c>
      <c r="G557" s="600">
        <v>0</v>
      </c>
      <c r="H557" s="600">
        <v>1</v>
      </c>
      <c r="R557" s="602"/>
      <c r="S557" s="602"/>
      <c r="T557" s="602"/>
      <c r="U557" s="602"/>
      <c r="V557" s="602"/>
      <c r="W557" s="602"/>
      <c r="X557" s="602"/>
    </row>
    <row r="558" spans="1:24" s="263" customFormat="1" ht="9" customHeight="1" x14ac:dyDescent="0.25">
      <c r="A558" s="550" t="s">
        <v>28</v>
      </c>
      <c r="B558" s="600">
        <f t="shared" si="31"/>
        <v>12</v>
      </c>
      <c r="C558" s="600">
        <v>12</v>
      </c>
      <c r="D558" s="600">
        <v>0</v>
      </c>
      <c r="E558" s="600">
        <v>0</v>
      </c>
      <c r="F558" s="600">
        <v>0</v>
      </c>
      <c r="G558" s="600">
        <v>0</v>
      </c>
      <c r="H558" s="600">
        <v>0</v>
      </c>
      <c r="R558" s="602"/>
      <c r="S558" s="602"/>
      <c r="T558" s="602"/>
      <c r="U558" s="602"/>
      <c r="V558" s="602"/>
      <c r="W558" s="602"/>
      <c r="X558" s="602"/>
    </row>
    <row r="559" spans="1:24" s="263" customFormat="1" ht="9" customHeight="1" x14ac:dyDescent="0.25">
      <c r="A559" s="550" t="s">
        <v>29</v>
      </c>
      <c r="B559" s="600">
        <f t="shared" si="31"/>
        <v>72</v>
      </c>
      <c r="C559" s="600">
        <v>62</v>
      </c>
      <c r="D559" s="600">
        <v>7</v>
      </c>
      <c r="E559" s="600">
        <v>0</v>
      </c>
      <c r="F559" s="600">
        <v>0</v>
      </c>
      <c r="G559" s="600">
        <v>1</v>
      </c>
      <c r="H559" s="600">
        <v>2</v>
      </c>
      <c r="R559" s="602"/>
      <c r="S559" s="602"/>
      <c r="T559" s="602"/>
      <c r="U559" s="602"/>
      <c r="V559" s="602"/>
      <c r="W559" s="602"/>
      <c r="X559" s="602"/>
    </row>
    <row r="560" spans="1:24" s="263" customFormat="1" ht="9" customHeight="1" x14ac:dyDescent="0.25">
      <c r="A560" s="603" t="s">
        <v>30</v>
      </c>
      <c r="B560" s="604">
        <f t="shared" si="31"/>
        <v>78</v>
      </c>
      <c r="C560" s="604">
        <v>76</v>
      </c>
      <c r="D560" s="604">
        <v>0</v>
      </c>
      <c r="E560" s="604">
        <v>0</v>
      </c>
      <c r="F560" s="604">
        <v>0</v>
      </c>
      <c r="G560" s="604">
        <v>0</v>
      </c>
      <c r="H560" s="604">
        <v>2</v>
      </c>
      <c r="R560" s="602"/>
      <c r="S560" s="602"/>
      <c r="T560" s="602"/>
      <c r="U560" s="602"/>
      <c r="V560" s="602"/>
      <c r="W560" s="602"/>
      <c r="X560" s="602"/>
    </row>
    <row r="561" spans="1:24" s="263" customFormat="1" ht="9" customHeight="1" x14ac:dyDescent="0.25">
      <c r="A561" s="550" t="s">
        <v>63</v>
      </c>
      <c r="B561" s="600">
        <f t="shared" si="31"/>
        <v>291</v>
      </c>
      <c r="C561" s="600">
        <v>256</v>
      </c>
      <c r="D561" s="600">
        <v>18</v>
      </c>
      <c r="E561" s="600">
        <v>3</v>
      </c>
      <c r="F561" s="600">
        <v>2</v>
      </c>
      <c r="G561" s="600">
        <v>4</v>
      </c>
      <c r="H561" s="600">
        <v>8</v>
      </c>
      <c r="R561" s="602"/>
      <c r="S561" s="602"/>
      <c r="T561" s="602"/>
      <c r="U561" s="602"/>
      <c r="V561" s="602"/>
      <c r="W561" s="602"/>
      <c r="X561" s="602"/>
    </row>
    <row r="562" spans="1:24" s="263" customFormat="1" ht="9" customHeight="1" x14ac:dyDescent="0.25">
      <c r="A562" s="550" t="s">
        <v>31</v>
      </c>
      <c r="B562" s="600">
        <f t="shared" si="31"/>
        <v>34</v>
      </c>
      <c r="C562" s="600">
        <v>32</v>
      </c>
      <c r="D562" s="600">
        <v>1</v>
      </c>
      <c r="E562" s="600">
        <v>0</v>
      </c>
      <c r="F562" s="600">
        <v>0</v>
      </c>
      <c r="G562" s="600">
        <v>0</v>
      </c>
      <c r="H562" s="600">
        <v>1</v>
      </c>
      <c r="R562" s="602"/>
      <c r="S562" s="602"/>
      <c r="T562" s="602"/>
      <c r="U562" s="602"/>
      <c r="V562" s="602"/>
      <c r="W562" s="602"/>
      <c r="X562" s="602"/>
    </row>
    <row r="563" spans="1:24" s="263" customFormat="1" ht="9" customHeight="1" x14ac:dyDescent="0.25">
      <c r="A563" s="550" t="s">
        <v>32</v>
      </c>
      <c r="B563" s="600">
        <f t="shared" si="31"/>
        <v>229</v>
      </c>
      <c r="C563" s="600">
        <v>193</v>
      </c>
      <c r="D563" s="600">
        <v>23</v>
      </c>
      <c r="E563" s="600">
        <v>0</v>
      </c>
      <c r="F563" s="600">
        <v>0</v>
      </c>
      <c r="G563" s="600">
        <v>0</v>
      </c>
      <c r="H563" s="600">
        <v>13</v>
      </c>
      <c r="R563" s="602"/>
      <c r="S563" s="602"/>
      <c r="T563" s="602"/>
      <c r="U563" s="602"/>
      <c r="V563" s="602"/>
      <c r="W563" s="602"/>
      <c r="X563" s="602"/>
    </row>
    <row r="564" spans="1:24" s="263" customFormat="1" ht="9" customHeight="1" x14ac:dyDescent="0.25">
      <c r="A564" s="603" t="s">
        <v>33</v>
      </c>
      <c r="B564" s="604">
        <f t="shared" si="31"/>
        <v>101</v>
      </c>
      <c r="C564" s="604">
        <v>90</v>
      </c>
      <c r="D564" s="604">
        <v>6</v>
      </c>
      <c r="E564" s="604">
        <v>3</v>
      </c>
      <c r="F564" s="604">
        <v>0</v>
      </c>
      <c r="G564" s="604">
        <v>0</v>
      </c>
      <c r="H564" s="604">
        <v>2</v>
      </c>
      <c r="R564" s="602"/>
      <c r="S564" s="602"/>
      <c r="T564" s="602"/>
      <c r="U564" s="602"/>
      <c r="V564" s="602"/>
      <c r="W564" s="602"/>
      <c r="X564" s="602"/>
    </row>
    <row r="565" spans="1:24" s="263" customFormat="1" ht="9" customHeight="1" x14ac:dyDescent="0.25">
      <c r="A565" s="550" t="s">
        <v>34</v>
      </c>
      <c r="B565" s="600">
        <f t="shared" si="31"/>
        <v>111</v>
      </c>
      <c r="C565" s="600">
        <v>103</v>
      </c>
      <c r="D565" s="600">
        <v>6</v>
      </c>
      <c r="E565" s="600">
        <v>2</v>
      </c>
      <c r="F565" s="600">
        <v>0</v>
      </c>
      <c r="G565" s="600">
        <v>0</v>
      </c>
      <c r="H565" s="600">
        <v>0</v>
      </c>
      <c r="R565" s="602"/>
      <c r="S565" s="602"/>
      <c r="T565" s="602"/>
      <c r="U565" s="602"/>
      <c r="V565" s="602"/>
      <c r="W565" s="602"/>
      <c r="X565" s="602"/>
    </row>
    <row r="566" spans="1:24" s="263" customFormat="1" ht="9" customHeight="1" x14ac:dyDescent="0.25">
      <c r="A566" s="550" t="s">
        <v>35</v>
      </c>
      <c r="B566" s="600">
        <f t="shared" si="31"/>
        <v>209</v>
      </c>
      <c r="C566" s="600">
        <v>193</v>
      </c>
      <c r="D566" s="600">
        <v>4</v>
      </c>
      <c r="E566" s="600">
        <v>0</v>
      </c>
      <c r="F566" s="600">
        <v>2</v>
      </c>
      <c r="G566" s="600">
        <v>0</v>
      </c>
      <c r="H566" s="600">
        <v>10</v>
      </c>
      <c r="R566" s="602"/>
      <c r="S566" s="602"/>
      <c r="T566" s="602"/>
      <c r="U566" s="602"/>
      <c r="V566" s="602"/>
      <c r="W566" s="602"/>
      <c r="X566" s="602"/>
    </row>
    <row r="567" spans="1:24" s="263" customFormat="1" ht="9" customHeight="1" x14ac:dyDescent="0.25">
      <c r="A567" s="550" t="s">
        <v>36</v>
      </c>
      <c r="B567" s="600">
        <f t="shared" si="31"/>
        <v>531</v>
      </c>
      <c r="C567" s="600">
        <v>514</v>
      </c>
      <c r="D567" s="600">
        <v>14</v>
      </c>
      <c r="E567" s="600">
        <v>0</v>
      </c>
      <c r="F567" s="600">
        <v>0</v>
      </c>
      <c r="G567" s="600">
        <v>2</v>
      </c>
      <c r="H567" s="600">
        <v>1</v>
      </c>
      <c r="R567" s="602"/>
      <c r="S567" s="602"/>
      <c r="T567" s="602"/>
      <c r="U567" s="602"/>
      <c r="V567" s="602"/>
      <c r="W567" s="602"/>
      <c r="X567" s="602"/>
    </row>
    <row r="568" spans="1:24" s="263" customFormat="1" ht="9" customHeight="1" x14ac:dyDescent="0.25">
      <c r="A568" s="603" t="s">
        <v>37</v>
      </c>
      <c r="B568" s="604">
        <f t="shared" si="31"/>
        <v>180</v>
      </c>
      <c r="C568" s="604">
        <v>160</v>
      </c>
      <c r="D568" s="604">
        <v>12</v>
      </c>
      <c r="E568" s="604">
        <v>3</v>
      </c>
      <c r="F568" s="604">
        <v>1</v>
      </c>
      <c r="G568" s="604">
        <v>0</v>
      </c>
      <c r="H568" s="604">
        <v>4</v>
      </c>
      <c r="R568" s="602"/>
      <c r="S568" s="602"/>
      <c r="T568" s="602"/>
      <c r="U568" s="602"/>
      <c r="V568" s="602"/>
      <c r="W568" s="602"/>
      <c r="X568" s="602"/>
    </row>
    <row r="569" spans="1:24" s="263" customFormat="1" ht="9" customHeight="1" x14ac:dyDescent="0.25">
      <c r="A569" s="550" t="s">
        <v>38</v>
      </c>
      <c r="B569" s="600">
        <f t="shared" si="31"/>
        <v>68</v>
      </c>
      <c r="C569" s="600">
        <v>55</v>
      </c>
      <c r="D569" s="600">
        <v>11</v>
      </c>
      <c r="E569" s="600">
        <v>0</v>
      </c>
      <c r="F569" s="600">
        <v>0</v>
      </c>
      <c r="G569" s="600">
        <v>0</v>
      </c>
      <c r="H569" s="600">
        <v>2</v>
      </c>
      <c r="R569" s="602"/>
      <c r="S569" s="602"/>
      <c r="T569" s="602"/>
      <c r="U569" s="602"/>
      <c r="V569" s="602"/>
      <c r="W569" s="602"/>
      <c r="X569" s="602"/>
    </row>
    <row r="570" spans="1:24" s="263" customFormat="1" ht="9" customHeight="1" x14ac:dyDescent="0.25">
      <c r="A570" s="550" t="s">
        <v>39</v>
      </c>
      <c r="B570" s="600">
        <f t="shared" si="31"/>
        <v>18</v>
      </c>
      <c r="C570" s="600">
        <v>16</v>
      </c>
      <c r="D570" s="600">
        <v>2</v>
      </c>
      <c r="E570" s="600">
        <v>0</v>
      </c>
      <c r="F570" s="600">
        <v>0</v>
      </c>
      <c r="G570" s="600">
        <v>0</v>
      </c>
      <c r="H570" s="600">
        <v>0</v>
      </c>
      <c r="R570" s="602"/>
      <c r="S570" s="602"/>
      <c r="T570" s="602"/>
      <c r="U570" s="602"/>
      <c r="V570" s="602"/>
      <c r="W570" s="602"/>
      <c r="X570" s="602"/>
    </row>
    <row r="571" spans="1:24" s="263" customFormat="1" ht="9" customHeight="1" x14ac:dyDescent="0.25">
      <c r="A571" s="550" t="s">
        <v>40</v>
      </c>
      <c r="B571" s="600">
        <f t="shared" si="31"/>
        <v>61</v>
      </c>
      <c r="C571" s="600">
        <v>51</v>
      </c>
      <c r="D571" s="600">
        <v>8</v>
      </c>
      <c r="E571" s="600">
        <v>0</v>
      </c>
      <c r="F571" s="600">
        <v>1</v>
      </c>
      <c r="G571" s="600">
        <v>1</v>
      </c>
      <c r="H571" s="600">
        <v>0</v>
      </c>
      <c r="R571" s="602"/>
      <c r="S571" s="602"/>
      <c r="T571" s="602"/>
      <c r="U571" s="602"/>
      <c r="V571" s="602"/>
      <c r="W571" s="602"/>
      <c r="X571" s="602"/>
    </row>
    <row r="572" spans="1:24" s="263" customFormat="1" ht="9" customHeight="1" x14ac:dyDescent="0.25">
      <c r="A572" s="603" t="s">
        <v>41</v>
      </c>
      <c r="B572" s="604">
        <f t="shared" si="31"/>
        <v>116</v>
      </c>
      <c r="C572" s="604">
        <v>109</v>
      </c>
      <c r="D572" s="604">
        <v>6</v>
      </c>
      <c r="E572" s="604">
        <v>1</v>
      </c>
      <c r="F572" s="604">
        <v>0</v>
      </c>
      <c r="G572" s="604">
        <v>0</v>
      </c>
      <c r="H572" s="604">
        <v>0</v>
      </c>
      <c r="R572" s="602"/>
      <c r="S572" s="602"/>
      <c r="T572" s="602"/>
      <c r="U572" s="602"/>
      <c r="V572" s="602"/>
      <c r="W572" s="602"/>
      <c r="X572" s="602"/>
    </row>
    <row r="573" spans="1:24" s="263" customFormat="1" ht="9" customHeight="1" x14ac:dyDescent="0.25">
      <c r="A573" s="550" t="s">
        <v>42</v>
      </c>
      <c r="B573" s="600">
        <f t="shared" si="31"/>
        <v>156</v>
      </c>
      <c r="C573" s="600">
        <v>145</v>
      </c>
      <c r="D573" s="600">
        <v>5</v>
      </c>
      <c r="E573" s="600">
        <v>1</v>
      </c>
      <c r="F573" s="600">
        <v>3</v>
      </c>
      <c r="G573" s="600">
        <v>0</v>
      </c>
      <c r="H573" s="600">
        <v>2</v>
      </c>
      <c r="R573" s="602"/>
      <c r="S573" s="602"/>
      <c r="T573" s="602"/>
      <c r="U573" s="602"/>
      <c r="V573" s="602"/>
      <c r="W573" s="602"/>
      <c r="X573" s="602"/>
    </row>
    <row r="574" spans="1:24" s="263" customFormat="1" ht="9" customHeight="1" x14ac:dyDescent="0.25">
      <c r="A574" s="550" t="s">
        <v>43</v>
      </c>
      <c r="B574" s="600">
        <f t="shared" si="31"/>
        <v>67</v>
      </c>
      <c r="C574" s="600">
        <v>62</v>
      </c>
      <c r="D574" s="600">
        <v>3</v>
      </c>
      <c r="E574" s="600">
        <v>0</v>
      </c>
      <c r="F574" s="600">
        <v>0</v>
      </c>
      <c r="G574" s="600">
        <v>0</v>
      </c>
      <c r="H574" s="600">
        <v>2</v>
      </c>
      <c r="R574" s="602"/>
      <c r="S574" s="602"/>
      <c r="T574" s="602"/>
      <c r="U574" s="602"/>
      <c r="V574" s="602"/>
      <c r="W574" s="602"/>
      <c r="X574" s="602"/>
    </row>
    <row r="575" spans="1:24" s="263" customFormat="1" ht="9" customHeight="1" x14ac:dyDescent="0.25">
      <c r="A575" s="550" t="s">
        <v>44</v>
      </c>
      <c r="B575" s="600">
        <f t="shared" si="31"/>
        <v>38</v>
      </c>
      <c r="C575" s="600">
        <v>32</v>
      </c>
      <c r="D575" s="600">
        <v>4</v>
      </c>
      <c r="E575" s="600">
        <v>0</v>
      </c>
      <c r="F575" s="600">
        <v>0</v>
      </c>
      <c r="G575" s="600">
        <v>0</v>
      </c>
      <c r="H575" s="600">
        <v>2</v>
      </c>
      <c r="R575" s="602"/>
      <c r="S575" s="602"/>
      <c r="T575" s="602"/>
      <c r="U575" s="602"/>
      <c r="V575" s="602"/>
      <c r="W575" s="602"/>
      <c r="X575" s="602"/>
    </row>
    <row r="576" spans="1:24" s="263" customFormat="1" ht="9" customHeight="1" x14ac:dyDescent="0.25">
      <c r="A576" s="603" t="s">
        <v>45</v>
      </c>
      <c r="B576" s="604">
        <f t="shared" si="31"/>
        <v>46</v>
      </c>
      <c r="C576" s="604">
        <v>42</v>
      </c>
      <c r="D576" s="604">
        <v>2</v>
      </c>
      <c r="E576" s="604">
        <v>0</v>
      </c>
      <c r="F576" s="604">
        <v>0</v>
      </c>
      <c r="G576" s="604">
        <v>0</v>
      </c>
      <c r="H576" s="604">
        <v>2</v>
      </c>
      <c r="R576" s="602"/>
      <c r="S576" s="602"/>
      <c r="T576" s="602"/>
      <c r="U576" s="602"/>
      <c r="V576" s="602"/>
      <c r="W576" s="602"/>
      <c r="X576" s="602"/>
    </row>
    <row r="577" spans="1:24" s="263" customFormat="1" ht="9" customHeight="1" x14ac:dyDescent="0.25">
      <c r="A577" s="550" t="s">
        <v>46</v>
      </c>
      <c r="B577" s="600">
        <f t="shared" si="31"/>
        <v>67</v>
      </c>
      <c r="C577" s="600">
        <v>57</v>
      </c>
      <c r="D577" s="600">
        <v>6</v>
      </c>
      <c r="E577" s="600">
        <v>0</v>
      </c>
      <c r="F577" s="600">
        <v>0</v>
      </c>
      <c r="G577" s="600">
        <v>2</v>
      </c>
      <c r="H577" s="600">
        <v>2</v>
      </c>
      <c r="R577" s="602"/>
      <c r="S577" s="602"/>
      <c r="T577" s="602"/>
      <c r="U577" s="602"/>
      <c r="V577" s="602"/>
      <c r="W577" s="602"/>
      <c r="X577" s="602"/>
    </row>
    <row r="578" spans="1:24" s="263" customFormat="1" ht="9" customHeight="1" x14ac:dyDescent="0.25">
      <c r="A578" s="550" t="s">
        <v>47</v>
      </c>
      <c r="B578" s="600">
        <f t="shared" si="31"/>
        <v>51</v>
      </c>
      <c r="C578" s="600">
        <v>46</v>
      </c>
      <c r="D578" s="600">
        <v>5</v>
      </c>
      <c r="E578" s="600">
        <v>0</v>
      </c>
      <c r="F578" s="600">
        <v>0</v>
      </c>
      <c r="G578" s="600">
        <v>0</v>
      </c>
      <c r="H578" s="600">
        <v>0</v>
      </c>
      <c r="R578" s="602"/>
      <c r="S578" s="602"/>
      <c r="T578" s="602"/>
      <c r="U578" s="602"/>
      <c r="V578" s="602"/>
      <c r="W578" s="602"/>
      <c r="X578" s="602"/>
    </row>
    <row r="579" spans="1:24" s="263" customFormat="1" ht="9" customHeight="1" x14ac:dyDescent="0.25">
      <c r="A579" s="550" t="s">
        <v>48</v>
      </c>
      <c r="B579" s="600">
        <f t="shared" si="31"/>
        <v>47</v>
      </c>
      <c r="C579" s="600">
        <v>44</v>
      </c>
      <c r="D579" s="600">
        <v>3</v>
      </c>
      <c r="E579" s="600">
        <v>0</v>
      </c>
      <c r="F579" s="600">
        <v>0</v>
      </c>
      <c r="G579" s="600">
        <v>0</v>
      </c>
      <c r="H579" s="600">
        <v>0</v>
      </c>
      <c r="R579" s="602"/>
      <c r="S579" s="602"/>
      <c r="T579" s="602"/>
      <c r="U579" s="602"/>
      <c r="V579" s="602"/>
      <c r="W579" s="602"/>
      <c r="X579" s="602"/>
    </row>
    <row r="580" spans="1:24" s="263" customFormat="1" ht="9" customHeight="1" x14ac:dyDescent="0.25">
      <c r="A580" s="603" t="s">
        <v>49</v>
      </c>
      <c r="B580" s="604">
        <f t="shared" si="31"/>
        <v>57</v>
      </c>
      <c r="C580" s="604">
        <v>55</v>
      </c>
      <c r="D580" s="604">
        <v>0</v>
      </c>
      <c r="E580" s="604">
        <v>1</v>
      </c>
      <c r="F580" s="604">
        <v>1</v>
      </c>
      <c r="G580" s="604">
        <v>0</v>
      </c>
      <c r="H580" s="604">
        <v>0</v>
      </c>
      <c r="R580" s="602"/>
      <c r="S580" s="602"/>
      <c r="T580" s="602"/>
      <c r="U580" s="602"/>
      <c r="V580" s="602"/>
      <c r="W580" s="602"/>
      <c r="X580" s="602"/>
    </row>
    <row r="581" spans="1:24" s="263" customFormat="1" ht="9" customHeight="1" x14ac:dyDescent="0.25">
      <c r="A581" s="550" t="s">
        <v>50</v>
      </c>
      <c r="B581" s="600">
        <f t="shared" si="31"/>
        <v>48</v>
      </c>
      <c r="C581" s="600">
        <v>46</v>
      </c>
      <c r="D581" s="600">
        <v>2</v>
      </c>
      <c r="E581" s="600">
        <v>0</v>
      </c>
      <c r="F581" s="600">
        <v>0</v>
      </c>
      <c r="G581" s="600">
        <v>0</v>
      </c>
      <c r="H581" s="600">
        <v>0</v>
      </c>
      <c r="R581" s="602"/>
      <c r="S581" s="602"/>
      <c r="T581" s="602"/>
      <c r="U581" s="602"/>
      <c r="V581" s="602"/>
      <c r="W581" s="602"/>
      <c r="X581" s="602"/>
    </row>
    <row r="582" spans="1:24" s="263" customFormat="1" ht="9" customHeight="1" x14ac:dyDescent="0.25">
      <c r="A582" s="550" t="s">
        <v>51</v>
      </c>
      <c r="B582" s="600">
        <f t="shared" si="31"/>
        <v>164</v>
      </c>
      <c r="C582" s="600">
        <v>126</v>
      </c>
      <c r="D582" s="600">
        <v>18</v>
      </c>
      <c r="E582" s="600">
        <v>2</v>
      </c>
      <c r="F582" s="600">
        <v>2</v>
      </c>
      <c r="G582" s="600">
        <v>2</v>
      </c>
      <c r="H582" s="600">
        <v>14</v>
      </c>
      <c r="R582" s="602"/>
      <c r="S582" s="602"/>
      <c r="T582" s="602"/>
      <c r="U582" s="602"/>
      <c r="V582" s="602"/>
      <c r="W582" s="602"/>
      <c r="X582" s="602"/>
    </row>
    <row r="583" spans="1:24" s="263" customFormat="1" ht="9" customHeight="1" x14ac:dyDescent="0.25">
      <c r="A583" s="550" t="s">
        <v>52</v>
      </c>
      <c r="B583" s="600">
        <f t="shared" si="31"/>
        <v>31</v>
      </c>
      <c r="C583" s="600">
        <v>28</v>
      </c>
      <c r="D583" s="600">
        <v>1</v>
      </c>
      <c r="E583" s="600">
        <v>0</v>
      </c>
      <c r="F583" s="600">
        <v>0</v>
      </c>
      <c r="G583" s="600">
        <v>0</v>
      </c>
      <c r="H583" s="600">
        <v>2</v>
      </c>
      <c r="R583" s="602"/>
      <c r="S583" s="602"/>
      <c r="T583" s="602"/>
      <c r="U583" s="602"/>
      <c r="V583" s="602"/>
      <c r="W583" s="602"/>
      <c r="X583" s="602"/>
    </row>
    <row r="584" spans="1:24" s="263" customFormat="1" ht="9" customHeight="1" x14ac:dyDescent="0.25">
      <c r="A584" s="603" t="s">
        <v>53</v>
      </c>
      <c r="B584" s="604">
        <f t="shared" si="31"/>
        <v>34</v>
      </c>
      <c r="C584" s="604">
        <v>33</v>
      </c>
      <c r="D584" s="604">
        <v>0</v>
      </c>
      <c r="E584" s="604">
        <v>0</v>
      </c>
      <c r="F584" s="604">
        <v>0</v>
      </c>
      <c r="G584" s="604">
        <v>0</v>
      </c>
      <c r="H584" s="604">
        <v>1</v>
      </c>
      <c r="R584" s="602"/>
      <c r="S584" s="602"/>
      <c r="T584" s="602"/>
      <c r="U584" s="602"/>
      <c r="V584" s="602"/>
      <c r="W584" s="602"/>
      <c r="X584" s="602"/>
    </row>
    <row r="585" spans="1:24" s="263" customFormat="1" ht="9" customHeight="1" x14ac:dyDescent="0.25">
      <c r="A585" s="269"/>
      <c r="B585" s="605"/>
      <c r="C585" s="605"/>
      <c r="D585" s="605"/>
      <c r="E585" s="605"/>
      <c r="F585" s="605"/>
      <c r="G585" s="605"/>
      <c r="H585" s="605"/>
      <c r="I585" s="286"/>
      <c r="R585" s="602"/>
      <c r="S585" s="602"/>
      <c r="T585" s="602"/>
      <c r="U585" s="602"/>
      <c r="V585" s="602"/>
      <c r="W585" s="602"/>
      <c r="X585" s="602"/>
    </row>
    <row r="586" spans="1:24" s="263" customFormat="1" ht="9" customHeight="1" x14ac:dyDescent="0.25">
      <c r="A586" s="601">
        <v>2011</v>
      </c>
      <c r="B586" s="266"/>
      <c r="C586" s="266"/>
      <c r="D586" s="266"/>
      <c r="E586" s="266"/>
      <c r="F586" s="266"/>
      <c r="G586" s="266"/>
      <c r="H586" s="266"/>
      <c r="R586" s="602"/>
      <c r="S586" s="602"/>
      <c r="T586" s="602"/>
      <c r="U586" s="602"/>
      <c r="V586" s="602"/>
      <c r="W586" s="602"/>
      <c r="X586" s="602"/>
    </row>
    <row r="587" spans="1:24" s="265" customFormat="1" ht="9" customHeight="1" x14ac:dyDescent="0.25">
      <c r="A587" s="265" t="s">
        <v>21</v>
      </c>
      <c r="B587" s="602">
        <f t="shared" ref="B587:G587" si="32">SUM(B589:B620)</f>
        <v>3088</v>
      </c>
      <c r="C587" s="602">
        <f t="shared" si="32"/>
        <v>2785</v>
      </c>
      <c r="D587" s="602">
        <f t="shared" si="32"/>
        <v>176</v>
      </c>
      <c r="E587" s="602">
        <f t="shared" si="32"/>
        <v>13</v>
      </c>
      <c r="F587" s="602">
        <f t="shared" si="32"/>
        <v>12</v>
      </c>
      <c r="G587" s="602">
        <f t="shared" si="32"/>
        <v>10</v>
      </c>
      <c r="H587" s="602">
        <f>SUM(H589:H620)</f>
        <v>92</v>
      </c>
      <c r="R587" s="602"/>
      <c r="S587" s="602"/>
      <c r="T587" s="602"/>
      <c r="U587" s="602"/>
      <c r="V587" s="602"/>
      <c r="W587" s="602"/>
      <c r="X587" s="602"/>
    </row>
    <row r="588" spans="1:24" s="265" customFormat="1" ht="3.95" customHeight="1" x14ac:dyDescent="0.25">
      <c r="B588" s="602"/>
      <c r="C588" s="602"/>
      <c r="D588" s="602"/>
      <c r="E588" s="602"/>
      <c r="F588" s="602"/>
      <c r="G588" s="602"/>
      <c r="H588" s="602"/>
      <c r="R588" s="602"/>
      <c r="S588" s="602"/>
      <c r="T588" s="602"/>
      <c r="U588" s="602"/>
      <c r="V588" s="602"/>
      <c r="W588" s="602"/>
      <c r="X588" s="602"/>
    </row>
    <row r="589" spans="1:24" s="263" customFormat="1" ht="9" customHeight="1" x14ac:dyDescent="0.25">
      <c r="A589" s="550" t="s">
        <v>23</v>
      </c>
      <c r="B589" s="600">
        <f t="shared" ref="B589:B620" si="33">SUM(C589:H589)</f>
        <v>17</v>
      </c>
      <c r="C589" s="600">
        <v>15</v>
      </c>
      <c r="D589" s="600">
        <v>2</v>
      </c>
      <c r="E589" s="600">
        <v>0</v>
      </c>
      <c r="F589" s="600">
        <v>0</v>
      </c>
      <c r="G589" s="600">
        <v>0</v>
      </c>
      <c r="H589" s="600">
        <v>0</v>
      </c>
      <c r="R589" s="602"/>
      <c r="S589" s="602"/>
      <c r="T589" s="602"/>
      <c r="U589" s="602"/>
      <c r="V589" s="602"/>
      <c r="W589" s="602"/>
      <c r="X589" s="602"/>
    </row>
    <row r="590" spans="1:24" s="263" customFormat="1" ht="9" customHeight="1" x14ac:dyDescent="0.25">
      <c r="A590" s="550" t="s">
        <v>24</v>
      </c>
      <c r="B590" s="600">
        <f t="shared" si="33"/>
        <v>143</v>
      </c>
      <c r="C590" s="600">
        <v>126</v>
      </c>
      <c r="D590" s="600">
        <v>2</v>
      </c>
      <c r="E590" s="600">
        <v>0</v>
      </c>
      <c r="F590" s="600">
        <v>0</v>
      </c>
      <c r="G590" s="600">
        <v>0</v>
      </c>
      <c r="H590" s="600">
        <v>15</v>
      </c>
      <c r="R590" s="602"/>
      <c r="S590" s="602"/>
      <c r="T590" s="602"/>
      <c r="U590" s="602"/>
      <c r="V590" s="602"/>
      <c r="W590" s="602"/>
      <c r="X590" s="602"/>
    </row>
    <row r="591" spans="1:24" s="263" customFormat="1" ht="9" customHeight="1" x14ac:dyDescent="0.25">
      <c r="A591" s="550" t="s">
        <v>25</v>
      </c>
      <c r="B591" s="600">
        <f t="shared" si="33"/>
        <v>14</v>
      </c>
      <c r="C591" s="600">
        <v>13</v>
      </c>
      <c r="D591" s="600">
        <v>0</v>
      </c>
      <c r="E591" s="600">
        <v>0</v>
      </c>
      <c r="F591" s="600">
        <v>0</v>
      </c>
      <c r="G591" s="600">
        <v>0</v>
      </c>
      <c r="H591" s="600">
        <v>1</v>
      </c>
      <c r="R591" s="602"/>
      <c r="S591" s="602"/>
      <c r="T591" s="602"/>
      <c r="U591" s="602"/>
      <c r="V591" s="602"/>
      <c r="W591" s="602"/>
      <c r="X591" s="602"/>
    </row>
    <row r="592" spans="1:24" s="263" customFormat="1" ht="9" customHeight="1" x14ac:dyDescent="0.25">
      <c r="A592" s="603" t="s">
        <v>26</v>
      </c>
      <c r="B592" s="604">
        <f t="shared" si="33"/>
        <v>11</v>
      </c>
      <c r="C592" s="604">
        <v>11</v>
      </c>
      <c r="D592" s="604">
        <v>0</v>
      </c>
      <c r="E592" s="604">
        <v>0</v>
      </c>
      <c r="F592" s="604">
        <v>0</v>
      </c>
      <c r="G592" s="604">
        <v>0</v>
      </c>
      <c r="H592" s="604">
        <v>0</v>
      </c>
      <c r="R592" s="602"/>
      <c r="S592" s="602"/>
      <c r="T592" s="602"/>
      <c r="U592" s="602"/>
      <c r="V592" s="602"/>
      <c r="W592" s="602"/>
      <c r="X592" s="602"/>
    </row>
    <row r="593" spans="1:24" s="263" customFormat="1" ht="9" customHeight="1" x14ac:dyDescent="0.25">
      <c r="A593" s="550" t="s">
        <v>27</v>
      </c>
      <c r="B593" s="600">
        <f t="shared" si="33"/>
        <v>33</v>
      </c>
      <c r="C593" s="600">
        <v>24</v>
      </c>
      <c r="D593" s="600">
        <v>5</v>
      </c>
      <c r="E593" s="600">
        <v>0</v>
      </c>
      <c r="F593" s="600">
        <v>3</v>
      </c>
      <c r="G593" s="600">
        <v>0</v>
      </c>
      <c r="H593" s="600">
        <v>1</v>
      </c>
      <c r="R593" s="602"/>
      <c r="S593" s="602"/>
      <c r="T593" s="602"/>
      <c r="U593" s="602"/>
      <c r="V593" s="602"/>
      <c r="W593" s="602"/>
      <c r="X593" s="602"/>
    </row>
    <row r="594" spans="1:24" s="263" customFormat="1" ht="9" customHeight="1" x14ac:dyDescent="0.25">
      <c r="A594" s="550" t="s">
        <v>28</v>
      </c>
      <c r="B594" s="600">
        <f t="shared" si="33"/>
        <v>12</v>
      </c>
      <c r="C594" s="600">
        <v>12</v>
      </c>
      <c r="D594" s="600">
        <v>0</v>
      </c>
      <c r="E594" s="600">
        <v>0</v>
      </c>
      <c r="F594" s="600">
        <v>0</v>
      </c>
      <c r="G594" s="600">
        <v>0</v>
      </c>
      <c r="H594" s="600">
        <v>0</v>
      </c>
      <c r="R594" s="602"/>
      <c r="S594" s="602"/>
      <c r="T594" s="602"/>
      <c r="U594" s="602"/>
      <c r="V594" s="602"/>
      <c r="W594" s="602"/>
      <c r="X594" s="602"/>
    </row>
    <row r="595" spans="1:24" s="263" customFormat="1" ht="9" customHeight="1" x14ac:dyDescent="0.25">
      <c r="A595" s="550" t="s">
        <v>29</v>
      </c>
      <c r="B595" s="600">
        <f t="shared" si="33"/>
        <v>72</v>
      </c>
      <c r="C595" s="600">
        <v>62</v>
      </c>
      <c r="D595" s="600">
        <v>7</v>
      </c>
      <c r="E595" s="600">
        <v>0</v>
      </c>
      <c r="F595" s="600">
        <v>0</v>
      </c>
      <c r="G595" s="600">
        <v>1</v>
      </c>
      <c r="H595" s="600">
        <v>2</v>
      </c>
      <c r="R595" s="602"/>
      <c r="S595" s="602"/>
      <c r="T595" s="602"/>
      <c r="U595" s="602"/>
      <c r="V595" s="602"/>
      <c r="W595" s="602"/>
      <c r="X595" s="602"/>
    </row>
    <row r="596" spans="1:24" s="263" customFormat="1" ht="9" customHeight="1" x14ac:dyDescent="0.25">
      <c r="A596" s="603" t="s">
        <v>30</v>
      </c>
      <c r="B596" s="604">
        <f t="shared" si="33"/>
        <v>75</v>
      </c>
      <c r="C596" s="604">
        <v>74</v>
      </c>
      <c r="D596" s="604">
        <v>0</v>
      </c>
      <c r="E596" s="604">
        <v>0</v>
      </c>
      <c r="F596" s="604">
        <v>0</v>
      </c>
      <c r="G596" s="604">
        <v>0</v>
      </c>
      <c r="H596" s="604">
        <v>1</v>
      </c>
      <c r="R596" s="602"/>
      <c r="S596" s="602"/>
      <c r="T596" s="602"/>
      <c r="U596" s="602"/>
      <c r="V596" s="602"/>
      <c r="W596" s="602"/>
      <c r="X596" s="602"/>
    </row>
    <row r="597" spans="1:24" s="263" customFormat="1" ht="9" customHeight="1" x14ac:dyDescent="0.25">
      <c r="A597" s="550" t="s">
        <v>63</v>
      </c>
      <c r="B597" s="600">
        <f t="shared" si="33"/>
        <v>287</v>
      </c>
      <c r="C597" s="600">
        <v>253</v>
      </c>
      <c r="D597" s="600">
        <v>18</v>
      </c>
      <c r="E597" s="600">
        <v>3</v>
      </c>
      <c r="F597" s="600">
        <v>1</v>
      </c>
      <c r="G597" s="600">
        <v>3</v>
      </c>
      <c r="H597" s="600">
        <v>9</v>
      </c>
      <c r="R597" s="602"/>
      <c r="S597" s="602"/>
      <c r="T597" s="602"/>
      <c r="U597" s="602"/>
      <c r="V597" s="602"/>
      <c r="W597" s="602"/>
      <c r="X597" s="602"/>
    </row>
    <row r="598" spans="1:24" s="263" customFormat="1" ht="9" customHeight="1" x14ac:dyDescent="0.25">
      <c r="A598" s="550" t="s">
        <v>31</v>
      </c>
      <c r="B598" s="600">
        <f t="shared" si="33"/>
        <v>33</v>
      </c>
      <c r="C598" s="600">
        <v>31</v>
      </c>
      <c r="D598" s="600">
        <v>1</v>
      </c>
      <c r="E598" s="600">
        <v>0</v>
      </c>
      <c r="F598" s="600">
        <v>0</v>
      </c>
      <c r="G598" s="600">
        <v>0</v>
      </c>
      <c r="H598" s="600">
        <v>1</v>
      </c>
      <c r="R598" s="602"/>
      <c r="S598" s="602"/>
      <c r="T598" s="602"/>
      <c r="U598" s="602"/>
      <c r="V598" s="602"/>
      <c r="W598" s="602"/>
      <c r="X598" s="602"/>
    </row>
    <row r="599" spans="1:24" s="263" customFormat="1" ht="9" customHeight="1" x14ac:dyDescent="0.25">
      <c r="A599" s="550" t="s">
        <v>32</v>
      </c>
      <c r="B599" s="600">
        <f t="shared" si="33"/>
        <v>232</v>
      </c>
      <c r="C599" s="600">
        <v>199</v>
      </c>
      <c r="D599" s="600">
        <v>20</v>
      </c>
      <c r="E599" s="600">
        <v>0</v>
      </c>
      <c r="F599" s="600">
        <v>0</v>
      </c>
      <c r="G599" s="600">
        <v>0</v>
      </c>
      <c r="H599" s="600">
        <v>13</v>
      </c>
      <c r="R599" s="602"/>
      <c r="S599" s="602"/>
      <c r="T599" s="602"/>
      <c r="U599" s="602"/>
      <c r="V599" s="602"/>
      <c r="W599" s="602"/>
      <c r="X599" s="602"/>
    </row>
    <row r="600" spans="1:24" s="263" customFormat="1" ht="9" customHeight="1" x14ac:dyDescent="0.25">
      <c r="A600" s="603" t="s">
        <v>33</v>
      </c>
      <c r="B600" s="604">
        <f t="shared" si="33"/>
        <v>95</v>
      </c>
      <c r="C600" s="604">
        <v>82</v>
      </c>
      <c r="D600" s="604">
        <v>10</v>
      </c>
      <c r="E600" s="604">
        <v>1</v>
      </c>
      <c r="F600" s="604">
        <v>0</v>
      </c>
      <c r="G600" s="604">
        <v>0</v>
      </c>
      <c r="H600" s="604">
        <v>2</v>
      </c>
      <c r="R600" s="602"/>
      <c r="S600" s="602"/>
      <c r="T600" s="602"/>
      <c r="U600" s="602"/>
      <c r="V600" s="602"/>
      <c r="W600" s="602"/>
      <c r="X600" s="602"/>
    </row>
    <row r="601" spans="1:24" s="263" customFormat="1" ht="9" customHeight="1" x14ac:dyDescent="0.25">
      <c r="A601" s="550" t="s">
        <v>34</v>
      </c>
      <c r="B601" s="600">
        <f t="shared" si="33"/>
        <v>117</v>
      </c>
      <c r="C601" s="600">
        <v>108</v>
      </c>
      <c r="D601" s="600">
        <v>6</v>
      </c>
      <c r="E601" s="600">
        <v>2</v>
      </c>
      <c r="F601" s="600">
        <v>0</v>
      </c>
      <c r="G601" s="600">
        <v>0</v>
      </c>
      <c r="H601" s="600">
        <v>1</v>
      </c>
      <c r="R601" s="602"/>
      <c r="S601" s="602"/>
      <c r="T601" s="602"/>
      <c r="U601" s="602"/>
      <c r="V601" s="602"/>
      <c r="W601" s="602"/>
      <c r="X601" s="602"/>
    </row>
    <row r="602" spans="1:24" s="263" customFormat="1" ht="9" customHeight="1" x14ac:dyDescent="0.25">
      <c r="A602" s="550" t="s">
        <v>35</v>
      </c>
      <c r="B602" s="600">
        <f t="shared" si="33"/>
        <v>214</v>
      </c>
      <c r="C602" s="600">
        <v>194</v>
      </c>
      <c r="D602" s="600">
        <v>6</v>
      </c>
      <c r="E602" s="600">
        <v>0</v>
      </c>
      <c r="F602" s="600">
        <v>2</v>
      </c>
      <c r="G602" s="600">
        <v>0</v>
      </c>
      <c r="H602" s="600">
        <v>12</v>
      </c>
      <c r="R602" s="602"/>
      <c r="S602" s="602"/>
      <c r="T602" s="602"/>
      <c r="U602" s="602"/>
      <c r="V602" s="602"/>
      <c r="W602" s="602"/>
      <c r="X602" s="602"/>
    </row>
    <row r="603" spans="1:24" s="263" customFormat="1" ht="9" customHeight="1" x14ac:dyDescent="0.25">
      <c r="A603" s="550" t="s">
        <v>36</v>
      </c>
      <c r="B603" s="600">
        <f t="shared" si="33"/>
        <v>516</v>
      </c>
      <c r="C603" s="600">
        <v>501</v>
      </c>
      <c r="D603" s="600">
        <v>12</v>
      </c>
      <c r="E603" s="600">
        <v>1</v>
      </c>
      <c r="F603" s="600">
        <v>0</v>
      </c>
      <c r="G603" s="600">
        <v>1</v>
      </c>
      <c r="H603" s="600">
        <v>1</v>
      </c>
      <c r="R603" s="602"/>
      <c r="S603" s="602"/>
      <c r="T603" s="602"/>
      <c r="U603" s="602"/>
      <c r="V603" s="602"/>
      <c r="W603" s="602"/>
      <c r="X603" s="602"/>
    </row>
    <row r="604" spans="1:24" s="263" customFormat="1" ht="9" customHeight="1" x14ac:dyDescent="0.25">
      <c r="A604" s="603" t="s">
        <v>37</v>
      </c>
      <c r="B604" s="604">
        <f t="shared" si="33"/>
        <v>173</v>
      </c>
      <c r="C604" s="604">
        <v>158</v>
      </c>
      <c r="D604" s="604">
        <v>10</v>
      </c>
      <c r="E604" s="604">
        <v>2</v>
      </c>
      <c r="F604" s="604">
        <v>0</v>
      </c>
      <c r="G604" s="604">
        <v>0</v>
      </c>
      <c r="H604" s="604">
        <v>3</v>
      </c>
      <c r="R604" s="602"/>
      <c r="S604" s="602"/>
      <c r="T604" s="602"/>
      <c r="U604" s="602"/>
      <c r="V604" s="602"/>
      <c r="W604" s="602"/>
      <c r="X604" s="602"/>
    </row>
    <row r="605" spans="1:24" s="263" customFormat="1" ht="9" customHeight="1" x14ac:dyDescent="0.25">
      <c r="A605" s="550" t="s">
        <v>38</v>
      </c>
      <c r="B605" s="600">
        <f t="shared" si="33"/>
        <v>66</v>
      </c>
      <c r="C605" s="600">
        <v>54</v>
      </c>
      <c r="D605" s="600">
        <v>10</v>
      </c>
      <c r="E605" s="600">
        <v>0</v>
      </c>
      <c r="F605" s="600">
        <v>0</v>
      </c>
      <c r="G605" s="600">
        <v>0</v>
      </c>
      <c r="H605" s="600">
        <v>2</v>
      </c>
      <c r="R605" s="602"/>
      <c r="S605" s="602"/>
      <c r="T605" s="602"/>
      <c r="U605" s="602"/>
      <c r="V605" s="602"/>
      <c r="W605" s="602"/>
      <c r="X605" s="602"/>
    </row>
    <row r="606" spans="1:24" s="263" customFormat="1" ht="9" customHeight="1" x14ac:dyDescent="0.25">
      <c r="A606" s="550" t="s">
        <v>39</v>
      </c>
      <c r="B606" s="600">
        <f t="shared" si="33"/>
        <v>18</v>
      </c>
      <c r="C606" s="600">
        <v>17</v>
      </c>
      <c r="D606" s="600">
        <v>1</v>
      </c>
      <c r="E606" s="600">
        <v>0</v>
      </c>
      <c r="F606" s="600">
        <v>0</v>
      </c>
      <c r="G606" s="600">
        <v>0</v>
      </c>
      <c r="H606" s="600">
        <v>0</v>
      </c>
      <c r="R606" s="602"/>
      <c r="S606" s="602"/>
      <c r="T606" s="602"/>
      <c r="U606" s="602"/>
      <c r="V606" s="602"/>
      <c r="W606" s="602"/>
      <c r="X606" s="602"/>
    </row>
    <row r="607" spans="1:24" s="263" customFormat="1" ht="9" customHeight="1" x14ac:dyDescent="0.25">
      <c r="A607" s="550" t="s">
        <v>40</v>
      </c>
      <c r="B607" s="600">
        <f t="shared" si="33"/>
        <v>61</v>
      </c>
      <c r="C607" s="600">
        <v>52</v>
      </c>
      <c r="D607" s="600">
        <v>7</v>
      </c>
      <c r="E607" s="600">
        <v>0</v>
      </c>
      <c r="F607" s="600">
        <v>1</v>
      </c>
      <c r="G607" s="600">
        <v>1</v>
      </c>
      <c r="H607" s="600">
        <v>0</v>
      </c>
      <c r="R607" s="602"/>
      <c r="S607" s="602"/>
      <c r="T607" s="602"/>
      <c r="U607" s="602"/>
      <c r="V607" s="602"/>
      <c r="W607" s="602"/>
      <c r="X607" s="602"/>
    </row>
    <row r="608" spans="1:24" s="263" customFormat="1" ht="9" customHeight="1" x14ac:dyDescent="0.25">
      <c r="A608" s="603" t="s">
        <v>41</v>
      </c>
      <c r="B608" s="604">
        <f t="shared" si="33"/>
        <v>116</v>
      </c>
      <c r="C608" s="604">
        <v>109</v>
      </c>
      <c r="D608" s="604">
        <v>6</v>
      </c>
      <c r="E608" s="604">
        <v>1</v>
      </c>
      <c r="F608" s="604">
        <v>0</v>
      </c>
      <c r="G608" s="604">
        <v>0</v>
      </c>
      <c r="H608" s="604">
        <v>0</v>
      </c>
      <c r="R608" s="602"/>
      <c r="S608" s="602"/>
      <c r="T608" s="602"/>
      <c r="U608" s="602"/>
      <c r="V608" s="602"/>
      <c r="W608" s="602"/>
      <c r="X608" s="602"/>
    </row>
    <row r="609" spans="1:24" s="263" customFormat="1" ht="9" customHeight="1" x14ac:dyDescent="0.25">
      <c r="A609" s="550" t="s">
        <v>42</v>
      </c>
      <c r="B609" s="600">
        <f t="shared" si="33"/>
        <v>154</v>
      </c>
      <c r="C609" s="600">
        <v>143</v>
      </c>
      <c r="D609" s="600">
        <v>5</v>
      </c>
      <c r="E609" s="600">
        <v>1</v>
      </c>
      <c r="F609" s="600">
        <v>3</v>
      </c>
      <c r="G609" s="600">
        <v>0</v>
      </c>
      <c r="H609" s="600">
        <v>2</v>
      </c>
      <c r="R609" s="602"/>
      <c r="S609" s="602"/>
      <c r="T609" s="602"/>
      <c r="U609" s="602"/>
      <c r="V609" s="602"/>
      <c r="W609" s="602"/>
      <c r="X609" s="602"/>
    </row>
    <row r="610" spans="1:24" s="263" customFormat="1" ht="9" customHeight="1" x14ac:dyDescent="0.25">
      <c r="A610" s="550" t="s">
        <v>43</v>
      </c>
      <c r="B610" s="600">
        <f t="shared" si="33"/>
        <v>65</v>
      </c>
      <c r="C610" s="600">
        <v>59</v>
      </c>
      <c r="D610" s="600">
        <v>4</v>
      </c>
      <c r="E610" s="600">
        <v>0</v>
      </c>
      <c r="F610" s="600">
        <v>0</v>
      </c>
      <c r="G610" s="600">
        <v>0</v>
      </c>
      <c r="H610" s="600">
        <v>2</v>
      </c>
      <c r="R610" s="602"/>
      <c r="S610" s="602"/>
      <c r="T610" s="602"/>
      <c r="U610" s="602"/>
      <c r="V610" s="602"/>
      <c r="W610" s="602"/>
      <c r="X610" s="602"/>
    </row>
    <row r="611" spans="1:24" s="263" customFormat="1" ht="9" customHeight="1" x14ac:dyDescent="0.25">
      <c r="A611" s="550" t="s">
        <v>44</v>
      </c>
      <c r="B611" s="600">
        <f t="shared" si="33"/>
        <v>42</v>
      </c>
      <c r="C611" s="600">
        <v>33</v>
      </c>
      <c r="D611" s="600">
        <v>7</v>
      </c>
      <c r="E611" s="600">
        <v>0</v>
      </c>
      <c r="F611" s="600">
        <v>0</v>
      </c>
      <c r="G611" s="600">
        <v>0</v>
      </c>
      <c r="H611" s="600">
        <v>2</v>
      </c>
      <c r="R611" s="602"/>
      <c r="S611" s="602"/>
      <c r="T611" s="602"/>
      <c r="U611" s="602"/>
      <c r="V611" s="602"/>
      <c r="W611" s="602"/>
      <c r="X611" s="602"/>
    </row>
    <row r="612" spans="1:24" s="263" customFormat="1" ht="9" customHeight="1" x14ac:dyDescent="0.25">
      <c r="A612" s="603" t="s">
        <v>45</v>
      </c>
      <c r="B612" s="604">
        <f t="shared" si="33"/>
        <v>42</v>
      </c>
      <c r="C612" s="604">
        <v>39</v>
      </c>
      <c r="D612" s="604">
        <v>1</v>
      </c>
      <c r="E612" s="604">
        <v>0</v>
      </c>
      <c r="F612" s="604">
        <v>0</v>
      </c>
      <c r="G612" s="604">
        <v>0</v>
      </c>
      <c r="H612" s="604">
        <v>2</v>
      </c>
      <c r="R612" s="602"/>
      <c r="S612" s="602"/>
      <c r="T612" s="602"/>
      <c r="U612" s="602"/>
      <c r="V612" s="602"/>
      <c r="W612" s="602"/>
      <c r="X612" s="602"/>
    </row>
    <row r="613" spans="1:24" s="263" customFormat="1" ht="9" customHeight="1" x14ac:dyDescent="0.25">
      <c r="A613" s="550" t="s">
        <v>46</v>
      </c>
      <c r="B613" s="600">
        <f t="shared" si="33"/>
        <v>63</v>
      </c>
      <c r="C613" s="600">
        <v>54</v>
      </c>
      <c r="D613" s="600">
        <v>5</v>
      </c>
      <c r="E613" s="600">
        <v>0</v>
      </c>
      <c r="F613" s="600">
        <v>0</v>
      </c>
      <c r="G613" s="600">
        <v>2</v>
      </c>
      <c r="H613" s="600">
        <v>2</v>
      </c>
      <c r="R613" s="602"/>
      <c r="S613" s="602"/>
      <c r="T613" s="602"/>
      <c r="U613" s="602"/>
      <c r="V613" s="602"/>
      <c r="W613" s="602"/>
      <c r="X613" s="602"/>
    </row>
    <row r="614" spans="1:24" s="263" customFormat="1" ht="9" customHeight="1" x14ac:dyDescent="0.25">
      <c r="A614" s="550" t="s">
        <v>47</v>
      </c>
      <c r="B614" s="600">
        <f t="shared" si="33"/>
        <v>49</v>
      </c>
      <c r="C614" s="600">
        <v>44</v>
      </c>
      <c r="D614" s="600">
        <v>4</v>
      </c>
      <c r="E614" s="600">
        <v>0</v>
      </c>
      <c r="F614" s="600">
        <v>0</v>
      </c>
      <c r="G614" s="600">
        <v>0</v>
      </c>
      <c r="H614" s="600">
        <v>1</v>
      </c>
      <c r="R614" s="602"/>
      <c r="S614" s="602"/>
      <c r="T614" s="602"/>
      <c r="U614" s="602"/>
      <c r="V614" s="602"/>
      <c r="W614" s="602"/>
      <c r="X614" s="602"/>
    </row>
    <row r="615" spans="1:24" s="263" customFormat="1" ht="9" customHeight="1" x14ac:dyDescent="0.25">
      <c r="A615" s="550" t="s">
        <v>48</v>
      </c>
      <c r="B615" s="600">
        <f t="shared" si="33"/>
        <v>47</v>
      </c>
      <c r="C615" s="600">
        <v>43</v>
      </c>
      <c r="D615" s="600">
        <v>4</v>
      </c>
      <c r="E615" s="600">
        <v>0</v>
      </c>
      <c r="F615" s="600">
        <v>0</v>
      </c>
      <c r="G615" s="600">
        <v>0</v>
      </c>
      <c r="H615" s="600">
        <v>0</v>
      </c>
      <c r="R615" s="602"/>
      <c r="S615" s="602"/>
      <c r="T615" s="602"/>
      <c r="U615" s="602"/>
      <c r="V615" s="602"/>
      <c r="W615" s="602"/>
      <c r="X615" s="602"/>
    </row>
    <row r="616" spans="1:24" s="263" customFormat="1" ht="9" customHeight="1" x14ac:dyDescent="0.25">
      <c r="A616" s="603" t="s">
        <v>49</v>
      </c>
      <c r="B616" s="604">
        <f t="shared" si="33"/>
        <v>54</v>
      </c>
      <c r="C616" s="604">
        <v>53</v>
      </c>
      <c r="D616" s="604">
        <v>0</v>
      </c>
      <c r="E616" s="604">
        <v>1</v>
      </c>
      <c r="F616" s="604">
        <v>0</v>
      </c>
      <c r="G616" s="604">
        <v>0</v>
      </c>
      <c r="H616" s="604">
        <v>0</v>
      </c>
      <c r="R616" s="602"/>
      <c r="S616" s="602"/>
      <c r="T616" s="602"/>
      <c r="U616" s="602"/>
      <c r="V616" s="602"/>
      <c r="W616" s="602"/>
      <c r="X616" s="602"/>
    </row>
    <row r="617" spans="1:24" s="263" customFormat="1" ht="9" customHeight="1" x14ac:dyDescent="0.25">
      <c r="A617" s="550" t="s">
        <v>50</v>
      </c>
      <c r="B617" s="600">
        <f t="shared" si="33"/>
        <v>44</v>
      </c>
      <c r="C617" s="600">
        <v>42</v>
      </c>
      <c r="D617" s="600">
        <v>2</v>
      </c>
      <c r="E617" s="600">
        <v>0</v>
      </c>
      <c r="F617" s="600">
        <v>0</v>
      </c>
      <c r="G617" s="600">
        <v>0</v>
      </c>
      <c r="H617" s="600">
        <v>0</v>
      </c>
      <c r="R617" s="602"/>
      <c r="S617" s="602"/>
      <c r="T617" s="602"/>
      <c r="U617" s="602"/>
      <c r="V617" s="602"/>
      <c r="W617" s="602"/>
      <c r="X617" s="602"/>
    </row>
    <row r="618" spans="1:24" s="263" customFormat="1" ht="9" customHeight="1" x14ac:dyDescent="0.25">
      <c r="A618" s="550" t="s">
        <v>51</v>
      </c>
      <c r="B618" s="600">
        <f t="shared" si="33"/>
        <v>157</v>
      </c>
      <c r="C618" s="600">
        <v>119</v>
      </c>
      <c r="D618" s="600">
        <v>20</v>
      </c>
      <c r="E618" s="600">
        <v>1</v>
      </c>
      <c r="F618" s="600">
        <v>2</v>
      </c>
      <c r="G618" s="600">
        <v>2</v>
      </c>
      <c r="H618" s="600">
        <v>13</v>
      </c>
      <c r="R618" s="602"/>
      <c r="S618" s="602"/>
      <c r="T618" s="602"/>
      <c r="U618" s="602"/>
      <c r="V618" s="602"/>
      <c r="W618" s="602"/>
      <c r="X618" s="602"/>
    </row>
    <row r="619" spans="1:24" s="263" customFormat="1" ht="9" customHeight="1" x14ac:dyDescent="0.25">
      <c r="A619" s="550" t="s">
        <v>52</v>
      </c>
      <c r="B619" s="600">
        <f t="shared" si="33"/>
        <v>31</v>
      </c>
      <c r="C619" s="600">
        <v>28</v>
      </c>
      <c r="D619" s="600">
        <v>1</v>
      </c>
      <c r="E619" s="600">
        <v>0</v>
      </c>
      <c r="F619" s="600">
        <v>0</v>
      </c>
      <c r="G619" s="600">
        <v>0</v>
      </c>
      <c r="H619" s="600">
        <v>2</v>
      </c>
      <c r="R619" s="602"/>
      <c r="S619" s="602"/>
      <c r="T619" s="602"/>
      <c r="U619" s="602"/>
      <c r="V619" s="602"/>
      <c r="W619" s="602"/>
      <c r="X619" s="602"/>
    </row>
    <row r="620" spans="1:24" s="263" customFormat="1" ht="9" customHeight="1" x14ac:dyDescent="0.25">
      <c r="A620" s="603" t="s">
        <v>53</v>
      </c>
      <c r="B620" s="604">
        <f t="shared" si="33"/>
        <v>35</v>
      </c>
      <c r="C620" s="604">
        <v>33</v>
      </c>
      <c r="D620" s="604">
        <v>0</v>
      </c>
      <c r="E620" s="604">
        <v>0</v>
      </c>
      <c r="F620" s="604">
        <v>0</v>
      </c>
      <c r="G620" s="604">
        <v>0</v>
      </c>
      <c r="H620" s="604">
        <v>2</v>
      </c>
      <c r="R620" s="602"/>
      <c r="S620" s="602"/>
      <c r="T620" s="602"/>
      <c r="U620" s="602"/>
      <c r="V620" s="602"/>
      <c r="W620" s="602"/>
      <c r="X620" s="602"/>
    </row>
    <row r="621" spans="1:24" s="263" customFormat="1" ht="9" customHeight="1" x14ac:dyDescent="0.25">
      <c r="A621" s="269"/>
      <c r="B621" s="605"/>
      <c r="C621" s="605"/>
      <c r="D621" s="605"/>
      <c r="E621" s="605"/>
      <c r="F621" s="605"/>
      <c r="G621" s="605"/>
      <c r="H621" s="605"/>
      <c r="I621" s="286"/>
      <c r="R621" s="602"/>
      <c r="S621" s="602"/>
      <c r="T621" s="602"/>
      <c r="U621" s="602"/>
      <c r="V621" s="602"/>
      <c r="W621" s="602"/>
      <c r="X621" s="602"/>
    </row>
    <row r="622" spans="1:24" s="263" customFormat="1" ht="9" customHeight="1" x14ac:dyDescent="0.25">
      <c r="A622" s="601">
        <v>2012</v>
      </c>
      <c r="B622" s="266"/>
      <c r="C622" s="266"/>
      <c r="D622" s="266"/>
      <c r="E622" s="266"/>
      <c r="F622" s="266"/>
      <c r="G622" s="266"/>
      <c r="H622" s="266"/>
      <c r="R622" s="602"/>
      <c r="S622" s="602"/>
      <c r="T622" s="602"/>
      <c r="U622" s="602"/>
      <c r="V622" s="602"/>
      <c r="W622" s="602"/>
      <c r="X622" s="602"/>
    </row>
    <row r="623" spans="1:24" s="265" customFormat="1" ht="9" customHeight="1" x14ac:dyDescent="0.25">
      <c r="A623" s="265" t="s">
        <v>21</v>
      </c>
      <c r="B623" s="602">
        <f t="shared" ref="B623:G623" si="34">SUM(B625:B656)</f>
        <v>3064</v>
      </c>
      <c r="C623" s="602">
        <f t="shared" si="34"/>
        <v>2746</v>
      </c>
      <c r="D623" s="602">
        <f t="shared" si="34"/>
        <v>179</v>
      </c>
      <c r="E623" s="602">
        <f t="shared" si="34"/>
        <v>12</v>
      </c>
      <c r="F623" s="602">
        <f t="shared" si="34"/>
        <v>15</v>
      </c>
      <c r="G623" s="602">
        <f t="shared" si="34"/>
        <v>11</v>
      </c>
      <c r="H623" s="602">
        <f>SUM(H625:H656)</f>
        <v>101</v>
      </c>
      <c r="R623" s="602"/>
      <c r="S623" s="602"/>
      <c r="T623" s="602"/>
      <c r="U623" s="602"/>
      <c r="V623" s="602"/>
      <c r="W623" s="602"/>
      <c r="X623" s="602"/>
    </row>
    <row r="624" spans="1:24" s="265" customFormat="1" ht="3.95" customHeight="1" x14ac:dyDescent="0.25">
      <c r="B624" s="602"/>
      <c r="C624" s="602"/>
      <c r="D624" s="602"/>
      <c r="E624" s="602"/>
      <c r="F624" s="602"/>
      <c r="G624" s="602"/>
      <c r="H624" s="602"/>
      <c r="R624" s="602"/>
      <c r="S624" s="602"/>
      <c r="T624" s="602"/>
      <c r="U624" s="602"/>
      <c r="V624" s="602"/>
      <c r="W624" s="602"/>
      <c r="X624" s="602"/>
    </row>
    <row r="625" spans="1:24" s="263" customFormat="1" ht="9" customHeight="1" x14ac:dyDescent="0.25">
      <c r="A625" s="550" t="s">
        <v>23</v>
      </c>
      <c r="B625" s="600">
        <f t="shared" ref="B625:B656" si="35">SUM(C625:H625)</f>
        <v>18</v>
      </c>
      <c r="C625" s="600">
        <v>15</v>
      </c>
      <c r="D625" s="600">
        <v>2</v>
      </c>
      <c r="E625" s="600">
        <v>0</v>
      </c>
      <c r="F625" s="600">
        <v>0</v>
      </c>
      <c r="G625" s="600">
        <v>0</v>
      </c>
      <c r="H625" s="600">
        <v>1</v>
      </c>
      <c r="R625" s="602"/>
      <c r="S625" s="602"/>
      <c r="T625" s="602"/>
      <c r="U625" s="602"/>
      <c r="V625" s="602"/>
      <c r="W625" s="602"/>
      <c r="X625" s="602"/>
    </row>
    <row r="626" spans="1:24" s="263" customFormat="1" ht="9" customHeight="1" x14ac:dyDescent="0.25">
      <c r="A626" s="550" t="s">
        <v>24</v>
      </c>
      <c r="B626" s="600">
        <f t="shared" si="35"/>
        <v>150</v>
      </c>
      <c r="C626" s="600">
        <v>114</v>
      </c>
      <c r="D626" s="600">
        <v>9</v>
      </c>
      <c r="E626" s="600">
        <v>0</v>
      </c>
      <c r="F626" s="600">
        <v>0</v>
      </c>
      <c r="G626" s="600">
        <v>0</v>
      </c>
      <c r="H626" s="600">
        <v>27</v>
      </c>
      <c r="R626" s="602"/>
      <c r="S626" s="602"/>
      <c r="T626" s="602"/>
      <c r="U626" s="602"/>
      <c r="V626" s="602"/>
      <c r="W626" s="602"/>
      <c r="X626" s="602"/>
    </row>
    <row r="627" spans="1:24" s="263" customFormat="1" ht="9" customHeight="1" x14ac:dyDescent="0.25">
      <c r="A627" s="550" t="s">
        <v>25</v>
      </c>
      <c r="B627" s="600">
        <f t="shared" si="35"/>
        <v>13</v>
      </c>
      <c r="C627" s="600">
        <v>12</v>
      </c>
      <c r="D627" s="600">
        <v>0</v>
      </c>
      <c r="E627" s="600">
        <v>0</v>
      </c>
      <c r="F627" s="600">
        <v>0</v>
      </c>
      <c r="G627" s="600">
        <v>0</v>
      </c>
      <c r="H627" s="600">
        <v>1</v>
      </c>
      <c r="R627" s="602"/>
      <c r="S627" s="602"/>
      <c r="T627" s="602"/>
      <c r="U627" s="602"/>
      <c r="V627" s="602"/>
      <c r="W627" s="602"/>
      <c r="X627" s="602"/>
    </row>
    <row r="628" spans="1:24" s="263" customFormat="1" ht="9" customHeight="1" x14ac:dyDescent="0.25">
      <c r="A628" s="603" t="s">
        <v>26</v>
      </c>
      <c r="B628" s="604">
        <f t="shared" si="35"/>
        <v>10</v>
      </c>
      <c r="C628" s="604">
        <v>10</v>
      </c>
      <c r="D628" s="604">
        <v>0</v>
      </c>
      <c r="E628" s="604">
        <v>0</v>
      </c>
      <c r="F628" s="604">
        <v>0</v>
      </c>
      <c r="G628" s="604">
        <v>0</v>
      </c>
      <c r="H628" s="604">
        <v>0</v>
      </c>
      <c r="R628" s="602"/>
      <c r="S628" s="602"/>
      <c r="T628" s="602"/>
      <c r="U628" s="602"/>
      <c r="V628" s="602"/>
      <c r="W628" s="602"/>
      <c r="X628" s="602"/>
    </row>
    <row r="629" spans="1:24" s="263" customFormat="1" ht="9" customHeight="1" x14ac:dyDescent="0.25">
      <c r="A629" s="550" t="s">
        <v>27</v>
      </c>
      <c r="B629" s="600">
        <f t="shared" si="35"/>
        <v>33</v>
      </c>
      <c r="C629" s="600">
        <v>24</v>
      </c>
      <c r="D629" s="600">
        <v>5</v>
      </c>
      <c r="E629" s="600">
        <v>0</v>
      </c>
      <c r="F629" s="600">
        <v>3</v>
      </c>
      <c r="G629" s="600">
        <v>0</v>
      </c>
      <c r="H629" s="600">
        <v>1</v>
      </c>
      <c r="R629" s="602"/>
      <c r="S629" s="602"/>
      <c r="T629" s="602"/>
      <c r="U629" s="602"/>
      <c r="V629" s="602"/>
      <c r="W629" s="602"/>
      <c r="X629" s="602"/>
    </row>
    <row r="630" spans="1:24" s="263" customFormat="1" ht="9" customHeight="1" x14ac:dyDescent="0.25">
      <c r="A630" s="550" t="s">
        <v>28</v>
      </c>
      <c r="B630" s="600">
        <f t="shared" si="35"/>
        <v>12</v>
      </c>
      <c r="C630" s="600">
        <v>11</v>
      </c>
      <c r="D630" s="600">
        <v>1</v>
      </c>
      <c r="E630" s="600">
        <v>0</v>
      </c>
      <c r="F630" s="600">
        <v>0</v>
      </c>
      <c r="G630" s="600">
        <v>0</v>
      </c>
      <c r="H630" s="600">
        <v>0</v>
      </c>
      <c r="R630" s="602"/>
      <c r="S630" s="602"/>
      <c r="T630" s="602"/>
      <c r="U630" s="602"/>
      <c r="V630" s="602"/>
      <c r="W630" s="602"/>
      <c r="X630" s="602"/>
    </row>
    <row r="631" spans="1:24" s="263" customFormat="1" ht="9" customHeight="1" x14ac:dyDescent="0.25">
      <c r="A631" s="550" t="s">
        <v>29</v>
      </c>
      <c r="B631" s="600">
        <f t="shared" si="35"/>
        <v>68</v>
      </c>
      <c r="C631" s="600">
        <v>59</v>
      </c>
      <c r="D631" s="600">
        <v>6</v>
      </c>
      <c r="E631" s="600">
        <v>0</v>
      </c>
      <c r="F631" s="600">
        <v>0</v>
      </c>
      <c r="G631" s="600">
        <v>1</v>
      </c>
      <c r="H631" s="600">
        <v>2</v>
      </c>
      <c r="R631" s="602"/>
      <c r="S631" s="602"/>
      <c r="T631" s="602"/>
      <c r="U631" s="602"/>
      <c r="V631" s="602"/>
      <c r="W631" s="602"/>
      <c r="X631" s="602"/>
    </row>
    <row r="632" spans="1:24" s="263" customFormat="1" ht="9" customHeight="1" x14ac:dyDescent="0.25">
      <c r="A632" s="603" t="s">
        <v>30</v>
      </c>
      <c r="B632" s="604">
        <f t="shared" si="35"/>
        <v>73</v>
      </c>
      <c r="C632" s="604">
        <v>71</v>
      </c>
      <c r="D632" s="604">
        <v>0</v>
      </c>
      <c r="E632" s="604">
        <v>0</v>
      </c>
      <c r="F632" s="604">
        <v>0</v>
      </c>
      <c r="G632" s="604">
        <v>0</v>
      </c>
      <c r="H632" s="604">
        <v>2</v>
      </c>
      <c r="R632" s="602"/>
      <c r="S632" s="602"/>
      <c r="T632" s="602"/>
      <c r="U632" s="602"/>
      <c r="V632" s="602"/>
      <c r="W632" s="602"/>
      <c r="X632" s="602"/>
    </row>
    <row r="633" spans="1:24" s="263" customFormat="1" ht="9" customHeight="1" x14ac:dyDescent="0.25">
      <c r="A633" s="550" t="s">
        <v>63</v>
      </c>
      <c r="B633" s="600">
        <f t="shared" si="35"/>
        <v>287</v>
      </c>
      <c r="C633" s="600">
        <v>252</v>
      </c>
      <c r="D633" s="600">
        <v>18</v>
      </c>
      <c r="E633" s="600">
        <v>3</v>
      </c>
      <c r="F633" s="600">
        <v>1</v>
      </c>
      <c r="G633" s="600">
        <v>4</v>
      </c>
      <c r="H633" s="600">
        <v>9</v>
      </c>
      <c r="R633" s="602"/>
      <c r="S633" s="602"/>
      <c r="T633" s="602"/>
      <c r="U633" s="602"/>
      <c r="V633" s="602"/>
      <c r="W633" s="602"/>
      <c r="X633" s="602"/>
    </row>
    <row r="634" spans="1:24" s="263" customFormat="1" ht="9" customHeight="1" x14ac:dyDescent="0.25">
      <c r="A634" s="550" t="s">
        <v>31</v>
      </c>
      <c r="B634" s="600">
        <f t="shared" si="35"/>
        <v>31</v>
      </c>
      <c r="C634" s="600">
        <v>29</v>
      </c>
      <c r="D634" s="600">
        <v>1</v>
      </c>
      <c r="E634" s="600">
        <v>0</v>
      </c>
      <c r="F634" s="600">
        <v>0</v>
      </c>
      <c r="G634" s="600">
        <v>0</v>
      </c>
      <c r="H634" s="600">
        <v>1</v>
      </c>
      <c r="R634" s="602"/>
      <c r="S634" s="602"/>
      <c r="T634" s="602"/>
      <c r="U634" s="602"/>
      <c r="V634" s="602"/>
      <c r="W634" s="602"/>
      <c r="X634" s="602"/>
    </row>
    <row r="635" spans="1:24" s="263" customFormat="1" ht="9" customHeight="1" x14ac:dyDescent="0.25">
      <c r="A635" s="550" t="s">
        <v>32</v>
      </c>
      <c r="B635" s="600">
        <f t="shared" si="35"/>
        <v>226</v>
      </c>
      <c r="C635" s="600">
        <v>193</v>
      </c>
      <c r="D635" s="600">
        <v>22</v>
      </c>
      <c r="E635" s="600">
        <v>0</v>
      </c>
      <c r="F635" s="600">
        <v>0</v>
      </c>
      <c r="G635" s="600">
        <v>0</v>
      </c>
      <c r="H635" s="600">
        <v>11</v>
      </c>
      <c r="R635" s="602"/>
      <c r="S635" s="602"/>
      <c r="T635" s="602"/>
      <c r="U635" s="602"/>
      <c r="V635" s="602"/>
      <c r="W635" s="602"/>
      <c r="X635" s="602"/>
    </row>
    <row r="636" spans="1:24" s="263" customFormat="1" ht="9" customHeight="1" x14ac:dyDescent="0.25">
      <c r="A636" s="603" t="s">
        <v>33</v>
      </c>
      <c r="B636" s="604">
        <f t="shared" si="35"/>
        <v>99</v>
      </c>
      <c r="C636" s="604">
        <v>89</v>
      </c>
      <c r="D636" s="604">
        <v>6</v>
      </c>
      <c r="E636" s="604">
        <v>1</v>
      </c>
      <c r="F636" s="604">
        <v>0</v>
      </c>
      <c r="G636" s="604">
        <v>0</v>
      </c>
      <c r="H636" s="604">
        <v>3</v>
      </c>
      <c r="R636" s="602"/>
      <c r="S636" s="602"/>
      <c r="T636" s="602"/>
      <c r="U636" s="602"/>
      <c r="V636" s="602"/>
      <c r="W636" s="602"/>
      <c r="X636" s="602"/>
    </row>
    <row r="637" spans="1:24" s="263" customFormat="1" ht="9" customHeight="1" x14ac:dyDescent="0.25">
      <c r="A637" s="550" t="s">
        <v>34</v>
      </c>
      <c r="B637" s="600">
        <f t="shared" si="35"/>
        <v>117</v>
      </c>
      <c r="C637" s="600">
        <v>108</v>
      </c>
      <c r="D637" s="600">
        <v>6</v>
      </c>
      <c r="E637" s="600">
        <v>2</v>
      </c>
      <c r="F637" s="600">
        <v>0</v>
      </c>
      <c r="G637" s="600">
        <v>0</v>
      </c>
      <c r="H637" s="600">
        <v>1</v>
      </c>
      <c r="R637" s="602"/>
      <c r="S637" s="602"/>
      <c r="T637" s="602"/>
      <c r="U637" s="602"/>
      <c r="V637" s="602"/>
      <c r="W637" s="602"/>
      <c r="X637" s="602"/>
    </row>
    <row r="638" spans="1:24" s="263" customFormat="1" ht="9" customHeight="1" x14ac:dyDescent="0.25">
      <c r="A638" s="550" t="s">
        <v>35</v>
      </c>
      <c r="B638" s="600">
        <f t="shared" si="35"/>
        <v>212</v>
      </c>
      <c r="C638" s="600">
        <v>197</v>
      </c>
      <c r="D638" s="600">
        <v>4</v>
      </c>
      <c r="E638" s="600">
        <v>0</v>
      </c>
      <c r="F638" s="600">
        <v>2</v>
      </c>
      <c r="G638" s="600">
        <v>0</v>
      </c>
      <c r="H638" s="600">
        <v>9</v>
      </c>
      <c r="R638" s="602"/>
      <c r="S638" s="602"/>
      <c r="T638" s="602"/>
      <c r="U638" s="602"/>
      <c r="V638" s="602"/>
      <c r="W638" s="602"/>
      <c r="X638" s="602"/>
    </row>
    <row r="639" spans="1:24" s="263" customFormat="1" ht="9" customHeight="1" x14ac:dyDescent="0.25">
      <c r="A639" s="550" t="s">
        <v>36</v>
      </c>
      <c r="B639" s="600">
        <f t="shared" si="35"/>
        <v>503</v>
      </c>
      <c r="C639" s="600">
        <v>488</v>
      </c>
      <c r="D639" s="600">
        <v>12</v>
      </c>
      <c r="E639" s="600">
        <v>1</v>
      </c>
      <c r="F639" s="600">
        <v>1</v>
      </c>
      <c r="G639" s="600">
        <v>0</v>
      </c>
      <c r="H639" s="600">
        <v>1</v>
      </c>
      <c r="R639" s="602"/>
      <c r="S639" s="602"/>
      <c r="T639" s="602"/>
      <c r="U639" s="602"/>
      <c r="V639" s="602"/>
      <c r="W639" s="602"/>
      <c r="X639" s="602"/>
    </row>
    <row r="640" spans="1:24" s="263" customFormat="1" ht="9" customHeight="1" x14ac:dyDescent="0.25">
      <c r="A640" s="603" t="s">
        <v>37</v>
      </c>
      <c r="B640" s="604">
        <f t="shared" si="35"/>
        <v>168</v>
      </c>
      <c r="C640" s="604">
        <v>154</v>
      </c>
      <c r="D640" s="604">
        <v>9</v>
      </c>
      <c r="E640" s="604">
        <v>2</v>
      </c>
      <c r="F640" s="604">
        <v>1</v>
      </c>
      <c r="G640" s="604">
        <v>0</v>
      </c>
      <c r="H640" s="604">
        <v>2</v>
      </c>
      <c r="R640" s="602"/>
      <c r="S640" s="602"/>
      <c r="T640" s="602"/>
      <c r="U640" s="602"/>
      <c r="V640" s="602"/>
      <c r="W640" s="602"/>
      <c r="X640" s="602"/>
    </row>
    <row r="641" spans="1:24" s="263" customFormat="1" ht="9" customHeight="1" x14ac:dyDescent="0.25">
      <c r="A641" s="550" t="s">
        <v>38</v>
      </c>
      <c r="B641" s="600">
        <f t="shared" si="35"/>
        <v>66</v>
      </c>
      <c r="C641" s="600">
        <v>54</v>
      </c>
      <c r="D641" s="600">
        <v>10</v>
      </c>
      <c r="E641" s="600">
        <v>0</v>
      </c>
      <c r="F641" s="600">
        <v>0</v>
      </c>
      <c r="G641" s="600">
        <v>0</v>
      </c>
      <c r="H641" s="600">
        <v>2</v>
      </c>
      <c r="R641" s="602"/>
      <c r="S641" s="602"/>
      <c r="T641" s="602"/>
      <c r="U641" s="602"/>
      <c r="V641" s="602"/>
      <c r="W641" s="602"/>
      <c r="X641" s="602"/>
    </row>
    <row r="642" spans="1:24" s="263" customFormat="1" ht="9" customHeight="1" x14ac:dyDescent="0.25">
      <c r="A642" s="550" t="s">
        <v>39</v>
      </c>
      <c r="B642" s="600">
        <f t="shared" si="35"/>
        <v>17</v>
      </c>
      <c r="C642" s="600">
        <v>15</v>
      </c>
      <c r="D642" s="600">
        <v>2</v>
      </c>
      <c r="E642" s="600">
        <v>0</v>
      </c>
      <c r="F642" s="600">
        <v>0</v>
      </c>
      <c r="G642" s="600">
        <v>0</v>
      </c>
      <c r="H642" s="600">
        <v>0</v>
      </c>
      <c r="R642" s="602"/>
      <c r="S642" s="602"/>
      <c r="T642" s="602"/>
      <c r="U642" s="602"/>
      <c r="V642" s="602"/>
      <c r="W642" s="602"/>
      <c r="X642" s="602"/>
    </row>
    <row r="643" spans="1:24" s="263" customFormat="1" ht="9" customHeight="1" x14ac:dyDescent="0.25">
      <c r="A643" s="550" t="s">
        <v>40</v>
      </c>
      <c r="B643" s="600">
        <f t="shared" si="35"/>
        <v>67</v>
      </c>
      <c r="C643" s="600">
        <v>56</v>
      </c>
      <c r="D643" s="600">
        <v>7</v>
      </c>
      <c r="E643" s="600">
        <v>0</v>
      </c>
      <c r="F643" s="600">
        <v>2</v>
      </c>
      <c r="G643" s="600">
        <v>1</v>
      </c>
      <c r="H643" s="600">
        <v>1</v>
      </c>
      <c r="R643" s="602"/>
      <c r="S643" s="602"/>
      <c r="T643" s="602"/>
      <c r="U643" s="602"/>
      <c r="V643" s="602"/>
      <c r="W643" s="602"/>
      <c r="X643" s="602"/>
    </row>
    <row r="644" spans="1:24" s="263" customFormat="1" ht="9" customHeight="1" x14ac:dyDescent="0.25">
      <c r="A644" s="603" t="s">
        <v>41</v>
      </c>
      <c r="B644" s="604">
        <f t="shared" si="35"/>
        <v>111</v>
      </c>
      <c r="C644" s="604">
        <v>104</v>
      </c>
      <c r="D644" s="604">
        <v>6</v>
      </c>
      <c r="E644" s="604">
        <v>1</v>
      </c>
      <c r="F644" s="604">
        <v>0</v>
      </c>
      <c r="G644" s="604">
        <v>0</v>
      </c>
      <c r="H644" s="604">
        <v>0</v>
      </c>
      <c r="R644" s="602"/>
      <c r="S644" s="602"/>
      <c r="T644" s="602"/>
      <c r="U644" s="602"/>
      <c r="V644" s="602"/>
      <c r="W644" s="602"/>
      <c r="X644" s="602"/>
    </row>
    <row r="645" spans="1:24" s="263" customFormat="1" ht="9" customHeight="1" x14ac:dyDescent="0.25">
      <c r="A645" s="550" t="s">
        <v>42</v>
      </c>
      <c r="B645" s="600">
        <f t="shared" si="35"/>
        <v>151</v>
      </c>
      <c r="C645" s="600">
        <v>140</v>
      </c>
      <c r="D645" s="600">
        <v>5</v>
      </c>
      <c r="E645" s="600">
        <v>1</v>
      </c>
      <c r="F645" s="600">
        <v>3</v>
      </c>
      <c r="G645" s="600">
        <v>0</v>
      </c>
      <c r="H645" s="600">
        <v>2</v>
      </c>
      <c r="R645" s="602"/>
      <c r="S645" s="602"/>
      <c r="T645" s="602"/>
      <c r="U645" s="602"/>
      <c r="V645" s="602"/>
      <c r="W645" s="602"/>
      <c r="X645" s="602"/>
    </row>
    <row r="646" spans="1:24" s="263" customFormat="1" ht="9" customHeight="1" x14ac:dyDescent="0.25">
      <c r="A646" s="550" t="s">
        <v>43</v>
      </c>
      <c r="B646" s="600">
        <f t="shared" si="35"/>
        <v>74</v>
      </c>
      <c r="C646" s="600">
        <v>64</v>
      </c>
      <c r="D646" s="600">
        <v>6</v>
      </c>
      <c r="E646" s="600">
        <v>0</v>
      </c>
      <c r="F646" s="600">
        <v>0</v>
      </c>
      <c r="G646" s="600">
        <v>1</v>
      </c>
      <c r="H646" s="600">
        <v>3</v>
      </c>
      <c r="R646" s="602"/>
      <c r="S646" s="602"/>
      <c r="T646" s="602"/>
      <c r="U646" s="602"/>
      <c r="V646" s="602"/>
      <c r="W646" s="602"/>
      <c r="X646" s="602"/>
    </row>
    <row r="647" spans="1:24" s="263" customFormat="1" ht="9" customHeight="1" x14ac:dyDescent="0.25">
      <c r="A647" s="550" t="s">
        <v>44</v>
      </c>
      <c r="B647" s="600">
        <f t="shared" si="35"/>
        <v>41</v>
      </c>
      <c r="C647" s="600">
        <v>32</v>
      </c>
      <c r="D647" s="600">
        <v>7</v>
      </c>
      <c r="E647" s="600">
        <v>0</v>
      </c>
      <c r="F647" s="600">
        <v>0</v>
      </c>
      <c r="G647" s="600">
        <v>0</v>
      </c>
      <c r="H647" s="600">
        <v>2</v>
      </c>
      <c r="R647" s="602"/>
      <c r="S647" s="602"/>
      <c r="T647" s="602"/>
      <c r="U647" s="602"/>
      <c r="V647" s="602"/>
      <c r="W647" s="602"/>
      <c r="X647" s="602"/>
    </row>
    <row r="648" spans="1:24" s="263" customFormat="1" ht="9" customHeight="1" x14ac:dyDescent="0.25">
      <c r="A648" s="603" t="s">
        <v>45</v>
      </c>
      <c r="B648" s="604">
        <f t="shared" si="35"/>
        <v>45</v>
      </c>
      <c r="C648" s="604">
        <v>42</v>
      </c>
      <c r="D648" s="604">
        <v>1</v>
      </c>
      <c r="E648" s="604">
        <v>0</v>
      </c>
      <c r="F648" s="604">
        <v>0</v>
      </c>
      <c r="G648" s="604">
        <v>0</v>
      </c>
      <c r="H648" s="604">
        <v>2</v>
      </c>
      <c r="R648" s="602"/>
      <c r="S648" s="602"/>
      <c r="T648" s="602"/>
      <c r="U648" s="602"/>
      <c r="V648" s="602"/>
      <c r="W648" s="602"/>
      <c r="X648" s="602"/>
    </row>
    <row r="649" spans="1:24" s="263" customFormat="1" ht="9" customHeight="1" x14ac:dyDescent="0.25">
      <c r="A649" s="550" t="s">
        <v>46</v>
      </c>
      <c r="B649" s="600">
        <f t="shared" si="35"/>
        <v>62</v>
      </c>
      <c r="C649" s="600">
        <v>52</v>
      </c>
      <c r="D649" s="600">
        <v>6</v>
      </c>
      <c r="E649" s="600">
        <v>0</v>
      </c>
      <c r="F649" s="600">
        <v>0</v>
      </c>
      <c r="G649" s="600">
        <v>2</v>
      </c>
      <c r="H649" s="600">
        <v>2</v>
      </c>
      <c r="R649" s="602"/>
      <c r="S649" s="602"/>
      <c r="T649" s="602"/>
      <c r="U649" s="602"/>
      <c r="V649" s="602"/>
      <c r="W649" s="602"/>
      <c r="X649" s="602"/>
    </row>
    <row r="650" spans="1:24" s="263" customFormat="1" ht="9" customHeight="1" x14ac:dyDescent="0.25">
      <c r="A650" s="550" t="s">
        <v>47</v>
      </c>
      <c r="B650" s="600">
        <f t="shared" si="35"/>
        <v>49</v>
      </c>
      <c r="C650" s="600">
        <v>43</v>
      </c>
      <c r="D650" s="600">
        <v>5</v>
      </c>
      <c r="E650" s="600">
        <v>0</v>
      </c>
      <c r="F650" s="600">
        <v>0</v>
      </c>
      <c r="G650" s="600">
        <v>0</v>
      </c>
      <c r="H650" s="600">
        <v>1</v>
      </c>
      <c r="R650" s="602"/>
      <c r="S650" s="602"/>
      <c r="T650" s="602"/>
      <c r="U650" s="602"/>
      <c r="V650" s="602"/>
      <c r="W650" s="602"/>
      <c r="X650" s="602"/>
    </row>
    <row r="651" spans="1:24" s="263" customFormat="1" ht="9" customHeight="1" x14ac:dyDescent="0.25">
      <c r="A651" s="550" t="s">
        <v>48</v>
      </c>
      <c r="B651" s="600">
        <f t="shared" si="35"/>
        <v>49</v>
      </c>
      <c r="C651" s="600">
        <v>44</v>
      </c>
      <c r="D651" s="600">
        <v>5</v>
      </c>
      <c r="E651" s="600">
        <v>0</v>
      </c>
      <c r="F651" s="600">
        <v>0</v>
      </c>
      <c r="G651" s="600">
        <v>0</v>
      </c>
      <c r="H651" s="600">
        <v>0</v>
      </c>
      <c r="R651" s="602"/>
      <c r="S651" s="602"/>
      <c r="T651" s="602"/>
      <c r="U651" s="602"/>
      <c r="V651" s="602"/>
      <c r="W651" s="602"/>
      <c r="X651" s="602"/>
    </row>
    <row r="652" spans="1:24" s="263" customFormat="1" ht="9" customHeight="1" x14ac:dyDescent="0.25">
      <c r="A652" s="603" t="s">
        <v>49</v>
      </c>
      <c r="B652" s="604">
        <f t="shared" si="35"/>
        <v>53</v>
      </c>
      <c r="C652" s="604">
        <v>52</v>
      </c>
      <c r="D652" s="604">
        <v>0</v>
      </c>
      <c r="E652" s="604">
        <v>1</v>
      </c>
      <c r="F652" s="604">
        <v>0</v>
      </c>
      <c r="G652" s="604">
        <v>0</v>
      </c>
      <c r="H652" s="604">
        <v>0</v>
      </c>
      <c r="R652" s="602"/>
      <c r="S652" s="602"/>
      <c r="T652" s="602"/>
      <c r="U652" s="602"/>
      <c r="V652" s="602"/>
      <c r="W652" s="602"/>
      <c r="X652" s="602"/>
    </row>
    <row r="653" spans="1:24" s="263" customFormat="1" ht="9" customHeight="1" x14ac:dyDescent="0.25">
      <c r="A653" s="550" t="s">
        <v>50</v>
      </c>
      <c r="B653" s="600">
        <f t="shared" si="35"/>
        <v>43</v>
      </c>
      <c r="C653" s="600">
        <v>41</v>
      </c>
      <c r="D653" s="600">
        <v>2</v>
      </c>
      <c r="E653" s="600">
        <v>0</v>
      </c>
      <c r="F653" s="600">
        <v>0</v>
      </c>
      <c r="G653" s="600">
        <v>0</v>
      </c>
      <c r="H653" s="600">
        <v>0</v>
      </c>
      <c r="R653" s="602"/>
      <c r="S653" s="602"/>
      <c r="T653" s="602"/>
      <c r="U653" s="602"/>
      <c r="V653" s="602"/>
      <c r="W653" s="602"/>
      <c r="X653" s="602"/>
    </row>
    <row r="654" spans="1:24" s="263" customFormat="1" ht="9" customHeight="1" x14ac:dyDescent="0.25">
      <c r="A654" s="550" t="s">
        <v>51</v>
      </c>
      <c r="B654" s="600">
        <f t="shared" si="35"/>
        <v>153</v>
      </c>
      <c r="C654" s="600">
        <v>123</v>
      </c>
      <c r="D654" s="600">
        <v>15</v>
      </c>
      <c r="E654" s="600">
        <v>0</v>
      </c>
      <c r="F654" s="600">
        <v>2</v>
      </c>
      <c r="G654" s="600">
        <v>2</v>
      </c>
      <c r="H654" s="600">
        <v>11</v>
      </c>
      <c r="R654" s="602"/>
      <c r="S654" s="602"/>
      <c r="T654" s="602"/>
      <c r="U654" s="602"/>
      <c r="V654" s="602"/>
      <c r="W654" s="602"/>
      <c r="X654" s="602"/>
    </row>
    <row r="655" spans="1:24" s="263" customFormat="1" ht="9" customHeight="1" x14ac:dyDescent="0.25">
      <c r="A655" s="550" t="s">
        <v>52</v>
      </c>
      <c r="B655" s="600">
        <f t="shared" si="35"/>
        <v>29</v>
      </c>
      <c r="C655" s="600">
        <v>26</v>
      </c>
      <c r="D655" s="600">
        <v>1</v>
      </c>
      <c r="E655" s="600">
        <v>0</v>
      </c>
      <c r="F655" s="600">
        <v>0</v>
      </c>
      <c r="G655" s="600">
        <v>0</v>
      </c>
      <c r="H655" s="600">
        <v>2</v>
      </c>
      <c r="R655" s="602"/>
      <c r="S655" s="602"/>
      <c r="T655" s="602"/>
      <c r="U655" s="602"/>
      <c r="V655" s="602"/>
      <c r="W655" s="602"/>
      <c r="X655" s="602"/>
    </row>
    <row r="656" spans="1:24" s="263" customFormat="1" ht="9" customHeight="1" x14ac:dyDescent="0.25">
      <c r="A656" s="603" t="s">
        <v>53</v>
      </c>
      <c r="B656" s="604">
        <f t="shared" si="35"/>
        <v>34</v>
      </c>
      <c r="C656" s="604">
        <v>32</v>
      </c>
      <c r="D656" s="604">
        <v>0</v>
      </c>
      <c r="E656" s="604">
        <v>0</v>
      </c>
      <c r="F656" s="604">
        <v>0</v>
      </c>
      <c r="G656" s="604">
        <v>0</v>
      </c>
      <c r="H656" s="604">
        <v>2</v>
      </c>
      <c r="R656" s="602"/>
      <c r="S656" s="602"/>
      <c r="T656" s="602"/>
      <c r="U656" s="602"/>
      <c r="V656" s="602"/>
      <c r="W656" s="602"/>
      <c r="X656" s="602"/>
    </row>
    <row r="657" spans="1:24" s="263" customFormat="1" ht="9" customHeight="1" x14ac:dyDescent="0.25">
      <c r="A657" s="269"/>
      <c r="B657" s="605"/>
      <c r="C657" s="605"/>
      <c r="D657" s="605"/>
      <c r="E657" s="605"/>
      <c r="F657" s="605"/>
      <c r="G657" s="605"/>
      <c r="H657" s="605"/>
      <c r="I657" s="286"/>
      <c r="R657" s="602"/>
      <c r="S657" s="602"/>
      <c r="T657" s="602"/>
      <c r="U657" s="602"/>
      <c r="V657" s="602"/>
      <c r="W657" s="602"/>
      <c r="X657" s="602"/>
    </row>
    <row r="658" spans="1:24" s="263" customFormat="1" ht="9" customHeight="1" x14ac:dyDescent="0.25">
      <c r="A658" s="601">
        <v>2013</v>
      </c>
      <c r="B658" s="266"/>
      <c r="C658" s="266"/>
      <c r="D658" s="266"/>
      <c r="E658" s="266"/>
      <c r="F658" s="266"/>
      <c r="G658" s="266"/>
      <c r="H658" s="266"/>
      <c r="R658" s="602"/>
      <c r="S658" s="602"/>
      <c r="T658" s="602"/>
      <c r="U658" s="602"/>
      <c r="V658" s="602"/>
      <c r="W658" s="602"/>
      <c r="X658" s="602"/>
    </row>
    <row r="659" spans="1:24" s="265" customFormat="1" ht="9" customHeight="1" x14ac:dyDescent="0.25">
      <c r="A659" s="265" t="s">
        <v>21</v>
      </c>
      <c r="B659" s="602">
        <f t="shared" ref="B659:G659" si="36">SUM(B661:B692)</f>
        <v>3071</v>
      </c>
      <c r="C659" s="602">
        <f t="shared" si="36"/>
        <v>2752</v>
      </c>
      <c r="D659" s="602">
        <f t="shared" si="36"/>
        <v>172</v>
      </c>
      <c r="E659" s="602">
        <f t="shared" si="36"/>
        <v>13</v>
      </c>
      <c r="F659" s="602">
        <f t="shared" si="36"/>
        <v>14</v>
      </c>
      <c r="G659" s="602">
        <f t="shared" si="36"/>
        <v>12</v>
      </c>
      <c r="H659" s="602">
        <f>SUM(H661:H692)</f>
        <v>108</v>
      </c>
      <c r="R659" s="602"/>
      <c r="S659" s="602"/>
      <c r="T659" s="602"/>
      <c r="U659" s="602"/>
      <c r="V659" s="602"/>
      <c r="W659" s="602"/>
      <c r="X659" s="602"/>
    </row>
    <row r="660" spans="1:24" s="265" customFormat="1" ht="3.95" customHeight="1" x14ac:dyDescent="0.25">
      <c r="B660" s="602"/>
      <c r="C660" s="602"/>
      <c r="D660" s="602"/>
      <c r="E660" s="602"/>
      <c r="F660" s="602"/>
      <c r="G660" s="602"/>
      <c r="H660" s="602"/>
      <c r="R660" s="602"/>
      <c r="S660" s="602"/>
      <c r="T660" s="602"/>
      <c r="U660" s="602"/>
      <c r="V660" s="602"/>
      <c r="W660" s="602"/>
      <c r="X660" s="602"/>
    </row>
    <row r="661" spans="1:24" s="263" customFormat="1" ht="9" customHeight="1" x14ac:dyDescent="0.25">
      <c r="A661" s="550" t="s">
        <v>23</v>
      </c>
      <c r="B661" s="600">
        <f t="shared" ref="B661:B692" si="37">SUM(C661:H661)</f>
        <v>19</v>
      </c>
      <c r="C661" s="600">
        <v>15</v>
      </c>
      <c r="D661" s="600">
        <v>2</v>
      </c>
      <c r="E661" s="600">
        <v>0</v>
      </c>
      <c r="F661" s="600">
        <v>0</v>
      </c>
      <c r="G661" s="600">
        <v>0</v>
      </c>
      <c r="H661" s="600">
        <v>2</v>
      </c>
      <c r="R661" s="602"/>
      <c r="S661" s="602"/>
      <c r="T661" s="602"/>
      <c r="U661" s="602"/>
      <c r="V661" s="602"/>
      <c r="W661" s="602"/>
      <c r="X661" s="602"/>
    </row>
    <row r="662" spans="1:24" s="263" customFormat="1" ht="9" customHeight="1" x14ac:dyDescent="0.25">
      <c r="A662" s="550" t="s">
        <v>24</v>
      </c>
      <c r="B662" s="600">
        <f t="shared" si="37"/>
        <v>167</v>
      </c>
      <c r="C662" s="600">
        <v>133</v>
      </c>
      <c r="D662" s="600">
        <v>4</v>
      </c>
      <c r="E662" s="600">
        <v>0</v>
      </c>
      <c r="F662" s="600">
        <v>0</v>
      </c>
      <c r="G662" s="600">
        <v>0</v>
      </c>
      <c r="H662" s="600">
        <v>30</v>
      </c>
      <c r="R662" s="602"/>
      <c r="S662" s="602"/>
      <c r="T662" s="602"/>
      <c r="U662" s="602"/>
      <c r="V662" s="602"/>
      <c r="W662" s="602"/>
      <c r="X662" s="602"/>
    </row>
    <row r="663" spans="1:24" s="263" customFormat="1" ht="9" customHeight="1" x14ac:dyDescent="0.25">
      <c r="A663" s="550" t="s">
        <v>25</v>
      </c>
      <c r="B663" s="600">
        <f t="shared" si="37"/>
        <v>12</v>
      </c>
      <c r="C663" s="600">
        <v>11</v>
      </c>
      <c r="D663" s="600">
        <v>0</v>
      </c>
      <c r="E663" s="600">
        <v>0</v>
      </c>
      <c r="F663" s="600">
        <v>0</v>
      </c>
      <c r="G663" s="600">
        <v>0</v>
      </c>
      <c r="H663" s="600">
        <v>1</v>
      </c>
      <c r="R663" s="602"/>
      <c r="S663" s="602"/>
      <c r="T663" s="602"/>
      <c r="U663" s="602"/>
      <c r="V663" s="602"/>
      <c r="W663" s="602"/>
      <c r="X663" s="602"/>
    </row>
    <row r="664" spans="1:24" s="263" customFormat="1" ht="9" customHeight="1" x14ac:dyDescent="0.25">
      <c r="A664" s="603" t="s">
        <v>26</v>
      </c>
      <c r="B664" s="604">
        <f t="shared" si="37"/>
        <v>9</v>
      </c>
      <c r="C664" s="604">
        <v>9</v>
      </c>
      <c r="D664" s="604">
        <v>0</v>
      </c>
      <c r="E664" s="604">
        <v>0</v>
      </c>
      <c r="F664" s="604">
        <v>0</v>
      </c>
      <c r="G664" s="604">
        <v>0</v>
      </c>
      <c r="H664" s="604">
        <v>0</v>
      </c>
      <c r="R664" s="602"/>
      <c r="S664" s="602"/>
      <c r="T664" s="602"/>
      <c r="U664" s="602"/>
      <c r="V664" s="602"/>
      <c r="W664" s="602"/>
      <c r="X664" s="602"/>
    </row>
    <row r="665" spans="1:24" s="263" customFormat="1" ht="9" customHeight="1" x14ac:dyDescent="0.25">
      <c r="A665" s="550" t="s">
        <v>27</v>
      </c>
      <c r="B665" s="600">
        <f t="shared" si="37"/>
        <v>34</v>
      </c>
      <c r="C665" s="600">
        <v>25</v>
      </c>
      <c r="D665" s="600">
        <v>5</v>
      </c>
      <c r="E665" s="600">
        <v>0</v>
      </c>
      <c r="F665" s="600">
        <v>3</v>
      </c>
      <c r="G665" s="600">
        <v>0</v>
      </c>
      <c r="H665" s="600">
        <v>1</v>
      </c>
      <c r="R665" s="602"/>
      <c r="S665" s="602"/>
      <c r="T665" s="602"/>
      <c r="U665" s="602"/>
      <c r="V665" s="602"/>
      <c r="W665" s="602"/>
      <c r="X665" s="602"/>
    </row>
    <row r="666" spans="1:24" s="263" customFormat="1" ht="9" customHeight="1" x14ac:dyDescent="0.25">
      <c r="A666" s="550" t="s">
        <v>28</v>
      </c>
      <c r="B666" s="600">
        <f t="shared" si="37"/>
        <v>13</v>
      </c>
      <c r="C666" s="600">
        <v>11</v>
      </c>
      <c r="D666" s="600">
        <v>1</v>
      </c>
      <c r="E666" s="600">
        <v>1</v>
      </c>
      <c r="F666" s="600">
        <v>0</v>
      </c>
      <c r="G666" s="600">
        <v>0</v>
      </c>
      <c r="H666" s="600">
        <v>0</v>
      </c>
      <c r="R666" s="602"/>
      <c r="S666" s="602"/>
      <c r="T666" s="602"/>
      <c r="U666" s="602"/>
      <c r="V666" s="602"/>
      <c r="W666" s="602"/>
      <c r="X666" s="602"/>
    </row>
    <row r="667" spans="1:24" s="263" customFormat="1" ht="9" customHeight="1" x14ac:dyDescent="0.25">
      <c r="A667" s="550" t="s">
        <v>29</v>
      </c>
      <c r="B667" s="600">
        <f t="shared" si="37"/>
        <v>70</v>
      </c>
      <c r="C667" s="600">
        <v>61</v>
      </c>
      <c r="D667" s="600">
        <v>6</v>
      </c>
      <c r="E667" s="600">
        <v>0</v>
      </c>
      <c r="F667" s="600">
        <v>0</v>
      </c>
      <c r="G667" s="600">
        <v>1</v>
      </c>
      <c r="H667" s="600">
        <v>2</v>
      </c>
      <c r="R667" s="602"/>
      <c r="S667" s="602"/>
      <c r="T667" s="602"/>
      <c r="U667" s="602"/>
      <c r="V667" s="602"/>
      <c r="W667" s="602"/>
      <c r="X667" s="602"/>
    </row>
    <row r="668" spans="1:24" s="263" customFormat="1" ht="9" customHeight="1" x14ac:dyDescent="0.25">
      <c r="A668" s="603" t="s">
        <v>30</v>
      </c>
      <c r="B668" s="604">
        <f t="shared" si="37"/>
        <v>74</v>
      </c>
      <c r="C668" s="604">
        <v>73</v>
      </c>
      <c r="D668" s="604">
        <v>0</v>
      </c>
      <c r="E668" s="604">
        <v>0</v>
      </c>
      <c r="F668" s="604">
        <v>0</v>
      </c>
      <c r="G668" s="604">
        <v>0</v>
      </c>
      <c r="H668" s="604">
        <v>1</v>
      </c>
      <c r="R668" s="602"/>
      <c r="S668" s="602"/>
      <c r="T668" s="602"/>
      <c r="U668" s="602"/>
      <c r="V668" s="602"/>
      <c r="W668" s="602"/>
      <c r="X668" s="602"/>
    </row>
    <row r="669" spans="1:24" s="263" customFormat="1" ht="9" customHeight="1" x14ac:dyDescent="0.25">
      <c r="A669" s="550" t="s">
        <v>63</v>
      </c>
      <c r="B669" s="600">
        <f t="shared" si="37"/>
        <v>289</v>
      </c>
      <c r="C669" s="600">
        <v>257</v>
      </c>
      <c r="D669" s="600">
        <v>15</v>
      </c>
      <c r="E669" s="600">
        <v>3</v>
      </c>
      <c r="F669" s="600">
        <v>1</v>
      </c>
      <c r="G669" s="600">
        <v>4</v>
      </c>
      <c r="H669" s="600">
        <v>9</v>
      </c>
      <c r="R669" s="602"/>
      <c r="S669" s="602"/>
      <c r="T669" s="602"/>
      <c r="U669" s="602"/>
      <c r="V669" s="602"/>
      <c r="W669" s="602"/>
      <c r="X669" s="602"/>
    </row>
    <row r="670" spans="1:24" s="263" customFormat="1" ht="9" customHeight="1" x14ac:dyDescent="0.25">
      <c r="A670" s="550" t="s">
        <v>31</v>
      </c>
      <c r="B670" s="600">
        <f t="shared" si="37"/>
        <v>32</v>
      </c>
      <c r="C670" s="600">
        <v>30</v>
      </c>
      <c r="D670" s="600">
        <v>1</v>
      </c>
      <c r="E670" s="600">
        <v>0</v>
      </c>
      <c r="F670" s="600">
        <v>0</v>
      </c>
      <c r="G670" s="600">
        <v>0</v>
      </c>
      <c r="H670" s="600">
        <v>1</v>
      </c>
      <c r="R670" s="602"/>
      <c r="S670" s="602"/>
      <c r="T670" s="602"/>
      <c r="U670" s="602"/>
      <c r="V670" s="602"/>
      <c r="W670" s="602"/>
      <c r="X670" s="602"/>
    </row>
    <row r="671" spans="1:24" s="263" customFormat="1" ht="9" customHeight="1" x14ac:dyDescent="0.25">
      <c r="A671" s="550" t="s">
        <v>32</v>
      </c>
      <c r="B671" s="600">
        <f t="shared" si="37"/>
        <v>229</v>
      </c>
      <c r="C671" s="600">
        <v>192</v>
      </c>
      <c r="D671" s="600">
        <v>23</v>
      </c>
      <c r="E671" s="600">
        <v>0</v>
      </c>
      <c r="F671" s="600">
        <v>0</v>
      </c>
      <c r="G671" s="600">
        <v>0</v>
      </c>
      <c r="H671" s="600">
        <v>14</v>
      </c>
      <c r="R671" s="602"/>
      <c r="S671" s="602"/>
      <c r="T671" s="602"/>
      <c r="U671" s="602"/>
      <c r="V671" s="602"/>
      <c r="W671" s="602"/>
      <c r="X671" s="602"/>
    </row>
    <row r="672" spans="1:24" s="263" customFormat="1" ht="9" customHeight="1" x14ac:dyDescent="0.25">
      <c r="A672" s="603" t="s">
        <v>33</v>
      </c>
      <c r="B672" s="604">
        <f t="shared" si="37"/>
        <v>109</v>
      </c>
      <c r="C672" s="604">
        <v>98</v>
      </c>
      <c r="D672" s="604">
        <v>8</v>
      </c>
      <c r="E672" s="604">
        <v>1</v>
      </c>
      <c r="F672" s="604">
        <v>0</v>
      </c>
      <c r="G672" s="604">
        <v>0</v>
      </c>
      <c r="H672" s="604">
        <v>2</v>
      </c>
      <c r="R672" s="602"/>
      <c r="S672" s="602"/>
      <c r="T672" s="602"/>
      <c r="U672" s="602"/>
      <c r="V672" s="602"/>
      <c r="W672" s="602"/>
      <c r="X672" s="602"/>
    </row>
    <row r="673" spans="1:24" s="263" customFormat="1" ht="9" customHeight="1" x14ac:dyDescent="0.25">
      <c r="A673" s="550" t="s">
        <v>34</v>
      </c>
      <c r="B673" s="600">
        <f t="shared" si="37"/>
        <v>111</v>
      </c>
      <c r="C673" s="600">
        <v>102</v>
      </c>
      <c r="D673" s="600">
        <v>6</v>
      </c>
      <c r="E673" s="600">
        <v>2</v>
      </c>
      <c r="F673" s="600">
        <v>0</v>
      </c>
      <c r="G673" s="600">
        <v>0</v>
      </c>
      <c r="H673" s="600">
        <v>1</v>
      </c>
      <c r="R673" s="602"/>
      <c r="S673" s="602"/>
      <c r="T673" s="602"/>
      <c r="U673" s="602"/>
      <c r="V673" s="602"/>
      <c r="W673" s="602"/>
      <c r="X673" s="602"/>
    </row>
    <row r="674" spans="1:24" s="263" customFormat="1" ht="9" customHeight="1" x14ac:dyDescent="0.25">
      <c r="A674" s="550" t="s">
        <v>35</v>
      </c>
      <c r="B674" s="600">
        <f t="shared" si="37"/>
        <v>214</v>
      </c>
      <c r="C674" s="600">
        <v>196</v>
      </c>
      <c r="D674" s="600">
        <v>5</v>
      </c>
      <c r="E674" s="600">
        <v>0</v>
      </c>
      <c r="F674" s="600">
        <v>2</v>
      </c>
      <c r="G674" s="600">
        <v>0</v>
      </c>
      <c r="H674" s="600">
        <v>11</v>
      </c>
      <c r="R674" s="602"/>
      <c r="S674" s="602"/>
      <c r="T674" s="602"/>
      <c r="U674" s="602"/>
      <c r="V674" s="602"/>
      <c r="W674" s="602"/>
      <c r="X674" s="602"/>
    </row>
    <row r="675" spans="1:24" s="263" customFormat="1" ht="9" customHeight="1" x14ac:dyDescent="0.25">
      <c r="A675" s="550" t="s">
        <v>36</v>
      </c>
      <c r="B675" s="600">
        <f t="shared" si="37"/>
        <v>493</v>
      </c>
      <c r="C675" s="600">
        <v>480</v>
      </c>
      <c r="D675" s="600">
        <v>11</v>
      </c>
      <c r="E675" s="600">
        <v>1</v>
      </c>
      <c r="F675" s="600">
        <v>0</v>
      </c>
      <c r="G675" s="600">
        <v>0</v>
      </c>
      <c r="H675" s="600">
        <v>1</v>
      </c>
      <c r="R675" s="602"/>
      <c r="S675" s="602"/>
      <c r="T675" s="602"/>
      <c r="U675" s="602"/>
      <c r="V675" s="602"/>
      <c r="W675" s="602"/>
      <c r="X675" s="602"/>
    </row>
    <row r="676" spans="1:24" s="263" customFormat="1" ht="9" customHeight="1" x14ac:dyDescent="0.25">
      <c r="A676" s="603" t="s">
        <v>37</v>
      </c>
      <c r="B676" s="604">
        <f t="shared" si="37"/>
        <v>158</v>
      </c>
      <c r="C676" s="604">
        <v>145</v>
      </c>
      <c r="D676" s="604">
        <v>8</v>
      </c>
      <c r="E676" s="604">
        <v>1</v>
      </c>
      <c r="F676" s="604">
        <v>1</v>
      </c>
      <c r="G676" s="604">
        <v>0</v>
      </c>
      <c r="H676" s="604">
        <v>3</v>
      </c>
      <c r="R676" s="602"/>
      <c r="S676" s="602"/>
      <c r="T676" s="602"/>
      <c r="U676" s="602"/>
      <c r="V676" s="602"/>
      <c r="W676" s="602"/>
      <c r="X676" s="602"/>
    </row>
    <row r="677" spans="1:24" s="263" customFormat="1" ht="9" customHeight="1" x14ac:dyDescent="0.25">
      <c r="A677" s="550" t="s">
        <v>38</v>
      </c>
      <c r="B677" s="600">
        <f t="shared" si="37"/>
        <v>65</v>
      </c>
      <c r="C677" s="600">
        <v>53</v>
      </c>
      <c r="D677" s="600">
        <v>10</v>
      </c>
      <c r="E677" s="600">
        <v>0</v>
      </c>
      <c r="F677" s="600">
        <v>0</v>
      </c>
      <c r="G677" s="600">
        <v>0</v>
      </c>
      <c r="H677" s="600">
        <v>2</v>
      </c>
      <c r="R677" s="602"/>
      <c r="S677" s="602"/>
      <c r="T677" s="602"/>
      <c r="U677" s="602"/>
      <c r="V677" s="602"/>
      <c r="W677" s="602"/>
      <c r="X677" s="602"/>
    </row>
    <row r="678" spans="1:24" s="263" customFormat="1" ht="9" customHeight="1" x14ac:dyDescent="0.25">
      <c r="A678" s="550" t="s">
        <v>39</v>
      </c>
      <c r="B678" s="600">
        <f t="shared" si="37"/>
        <v>16</v>
      </c>
      <c r="C678" s="600">
        <v>16</v>
      </c>
      <c r="D678" s="600">
        <v>0</v>
      </c>
      <c r="E678" s="600">
        <v>0</v>
      </c>
      <c r="F678" s="600">
        <v>0</v>
      </c>
      <c r="G678" s="600">
        <v>0</v>
      </c>
      <c r="H678" s="600">
        <v>0</v>
      </c>
      <c r="R678" s="602"/>
      <c r="S678" s="602"/>
      <c r="T678" s="602"/>
      <c r="U678" s="602"/>
      <c r="V678" s="602"/>
      <c r="W678" s="602"/>
      <c r="X678" s="602"/>
    </row>
    <row r="679" spans="1:24" s="263" customFormat="1" ht="9" customHeight="1" x14ac:dyDescent="0.25">
      <c r="A679" s="550" t="s">
        <v>40</v>
      </c>
      <c r="B679" s="600">
        <f t="shared" si="37"/>
        <v>73</v>
      </c>
      <c r="C679" s="600">
        <v>62</v>
      </c>
      <c r="D679" s="600">
        <v>6</v>
      </c>
      <c r="E679" s="600">
        <v>0</v>
      </c>
      <c r="F679" s="600">
        <v>2</v>
      </c>
      <c r="G679" s="600">
        <v>2</v>
      </c>
      <c r="H679" s="600">
        <v>1</v>
      </c>
      <c r="R679" s="602"/>
      <c r="S679" s="602"/>
      <c r="T679" s="602"/>
      <c r="U679" s="602"/>
      <c r="V679" s="602"/>
      <c r="W679" s="602"/>
      <c r="X679" s="602"/>
    </row>
    <row r="680" spans="1:24" s="263" customFormat="1" ht="9" customHeight="1" x14ac:dyDescent="0.25">
      <c r="A680" s="603" t="s">
        <v>41</v>
      </c>
      <c r="B680" s="604">
        <f t="shared" si="37"/>
        <v>113</v>
      </c>
      <c r="C680" s="604">
        <v>104</v>
      </c>
      <c r="D680" s="604">
        <v>7</v>
      </c>
      <c r="E680" s="604">
        <v>2</v>
      </c>
      <c r="F680" s="604">
        <v>0</v>
      </c>
      <c r="G680" s="604">
        <v>0</v>
      </c>
      <c r="H680" s="604">
        <v>0</v>
      </c>
      <c r="R680" s="602"/>
      <c r="S680" s="602"/>
      <c r="T680" s="602"/>
      <c r="U680" s="602"/>
      <c r="V680" s="602"/>
      <c r="W680" s="602"/>
      <c r="X680" s="602"/>
    </row>
    <row r="681" spans="1:24" s="263" customFormat="1" ht="9" customHeight="1" x14ac:dyDescent="0.25">
      <c r="A681" s="550" t="s">
        <v>42</v>
      </c>
      <c r="B681" s="600">
        <f t="shared" si="37"/>
        <v>152</v>
      </c>
      <c r="C681" s="600">
        <v>141</v>
      </c>
      <c r="D681" s="600">
        <v>5</v>
      </c>
      <c r="E681" s="600">
        <v>1</v>
      </c>
      <c r="F681" s="600">
        <v>3</v>
      </c>
      <c r="G681" s="600">
        <v>0</v>
      </c>
      <c r="H681" s="600">
        <v>2</v>
      </c>
      <c r="R681" s="602"/>
      <c r="S681" s="602"/>
      <c r="T681" s="602"/>
      <c r="U681" s="602"/>
      <c r="V681" s="602"/>
      <c r="W681" s="602"/>
      <c r="X681" s="602"/>
    </row>
    <row r="682" spans="1:24" s="263" customFormat="1" ht="9" customHeight="1" x14ac:dyDescent="0.25">
      <c r="A682" s="550" t="s">
        <v>43</v>
      </c>
      <c r="B682" s="600">
        <f t="shared" si="37"/>
        <v>72</v>
      </c>
      <c r="C682" s="600">
        <v>61</v>
      </c>
      <c r="D682" s="600">
        <v>7</v>
      </c>
      <c r="E682" s="600">
        <v>0</v>
      </c>
      <c r="F682" s="600">
        <v>0</v>
      </c>
      <c r="G682" s="600">
        <v>1</v>
      </c>
      <c r="H682" s="600">
        <v>3</v>
      </c>
      <c r="R682" s="602"/>
      <c r="S682" s="602"/>
      <c r="T682" s="602"/>
      <c r="U682" s="602"/>
      <c r="V682" s="602"/>
      <c r="W682" s="602"/>
      <c r="X682" s="602"/>
    </row>
    <row r="683" spans="1:24" s="263" customFormat="1" ht="9" customHeight="1" x14ac:dyDescent="0.25">
      <c r="A683" s="550" t="s">
        <v>44</v>
      </c>
      <c r="B683" s="600">
        <f t="shared" si="37"/>
        <v>40</v>
      </c>
      <c r="C683" s="600">
        <v>31</v>
      </c>
      <c r="D683" s="600">
        <v>7</v>
      </c>
      <c r="E683" s="600">
        <v>0</v>
      </c>
      <c r="F683" s="600">
        <v>0</v>
      </c>
      <c r="G683" s="600">
        <v>0</v>
      </c>
      <c r="H683" s="600">
        <v>2</v>
      </c>
      <c r="R683" s="602"/>
      <c r="S683" s="602"/>
      <c r="T683" s="602"/>
      <c r="U683" s="602"/>
      <c r="V683" s="602"/>
      <c r="W683" s="602"/>
      <c r="X683" s="602"/>
    </row>
    <row r="684" spans="1:24" s="263" customFormat="1" ht="9" customHeight="1" x14ac:dyDescent="0.25">
      <c r="A684" s="603" t="s">
        <v>45</v>
      </c>
      <c r="B684" s="604">
        <f t="shared" si="37"/>
        <v>45</v>
      </c>
      <c r="C684" s="604">
        <v>42</v>
      </c>
      <c r="D684" s="604">
        <v>1</v>
      </c>
      <c r="E684" s="604">
        <v>0</v>
      </c>
      <c r="F684" s="604">
        <v>0</v>
      </c>
      <c r="G684" s="604">
        <v>0</v>
      </c>
      <c r="H684" s="604">
        <v>2</v>
      </c>
      <c r="R684" s="602"/>
      <c r="S684" s="602"/>
      <c r="T684" s="602"/>
      <c r="U684" s="602"/>
      <c r="V684" s="602"/>
      <c r="W684" s="602"/>
      <c r="X684" s="602"/>
    </row>
    <row r="685" spans="1:24" s="263" customFormat="1" ht="9" customHeight="1" x14ac:dyDescent="0.25">
      <c r="A685" s="550" t="s">
        <v>46</v>
      </c>
      <c r="B685" s="600">
        <f t="shared" si="37"/>
        <v>61</v>
      </c>
      <c r="C685" s="600">
        <v>51</v>
      </c>
      <c r="D685" s="600">
        <v>6</v>
      </c>
      <c r="E685" s="600">
        <v>0</v>
      </c>
      <c r="F685" s="600">
        <v>0</v>
      </c>
      <c r="G685" s="600">
        <v>2</v>
      </c>
      <c r="H685" s="600">
        <v>2</v>
      </c>
      <c r="R685" s="602"/>
      <c r="S685" s="602"/>
      <c r="T685" s="602"/>
      <c r="U685" s="602"/>
      <c r="V685" s="602"/>
      <c r="W685" s="602"/>
      <c r="X685" s="602"/>
    </row>
    <row r="686" spans="1:24" s="263" customFormat="1" ht="9" customHeight="1" x14ac:dyDescent="0.25">
      <c r="A686" s="550" t="s">
        <v>47</v>
      </c>
      <c r="B686" s="600">
        <f t="shared" si="37"/>
        <v>48</v>
      </c>
      <c r="C686" s="600">
        <v>42</v>
      </c>
      <c r="D686" s="600">
        <v>5</v>
      </c>
      <c r="E686" s="600">
        <v>0</v>
      </c>
      <c r="F686" s="600">
        <v>0</v>
      </c>
      <c r="G686" s="600">
        <v>0</v>
      </c>
      <c r="H686" s="600">
        <v>1</v>
      </c>
      <c r="R686" s="602"/>
      <c r="S686" s="602"/>
      <c r="T686" s="602"/>
      <c r="U686" s="602"/>
      <c r="V686" s="602"/>
      <c r="W686" s="602"/>
      <c r="X686" s="602"/>
    </row>
    <row r="687" spans="1:24" s="263" customFormat="1" ht="9" customHeight="1" x14ac:dyDescent="0.25">
      <c r="A687" s="550" t="s">
        <v>48</v>
      </c>
      <c r="B687" s="600">
        <f t="shared" si="37"/>
        <v>49</v>
      </c>
      <c r="C687" s="600">
        <v>44</v>
      </c>
      <c r="D687" s="600">
        <v>5</v>
      </c>
      <c r="E687" s="600">
        <v>0</v>
      </c>
      <c r="F687" s="600">
        <v>0</v>
      </c>
      <c r="G687" s="600">
        <v>0</v>
      </c>
      <c r="H687" s="600">
        <v>0</v>
      </c>
      <c r="R687" s="602"/>
      <c r="S687" s="602"/>
      <c r="T687" s="602"/>
      <c r="U687" s="602"/>
      <c r="V687" s="602"/>
      <c r="W687" s="602"/>
      <c r="X687" s="602"/>
    </row>
    <row r="688" spans="1:24" s="263" customFormat="1" ht="9" customHeight="1" x14ac:dyDescent="0.25">
      <c r="A688" s="603" t="s">
        <v>49</v>
      </c>
      <c r="B688" s="604">
        <f t="shared" si="37"/>
        <v>51</v>
      </c>
      <c r="C688" s="604">
        <v>50</v>
      </c>
      <c r="D688" s="604">
        <v>0</v>
      </c>
      <c r="E688" s="604">
        <v>1</v>
      </c>
      <c r="F688" s="604">
        <v>0</v>
      </c>
      <c r="G688" s="604">
        <v>0</v>
      </c>
      <c r="H688" s="604">
        <v>0</v>
      </c>
      <c r="R688" s="602"/>
      <c r="S688" s="602"/>
      <c r="T688" s="602"/>
      <c r="U688" s="602"/>
      <c r="V688" s="602"/>
      <c r="W688" s="602"/>
      <c r="X688" s="602"/>
    </row>
    <row r="689" spans="1:24" s="263" customFormat="1" ht="9" customHeight="1" x14ac:dyDescent="0.25">
      <c r="A689" s="550" t="s">
        <v>50</v>
      </c>
      <c r="B689" s="600">
        <f t="shared" si="37"/>
        <v>43</v>
      </c>
      <c r="C689" s="600">
        <v>42</v>
      </c>
      <c r="D689" s="600">
        <v>1</v>
      </c>
      <c r="E689" s="600">
        <v>0</v>
      </c>
      <c r="F689" s="600">
        <v>0</v>
      </c>
      <c r="G689" s="600">
        <v>0</v>
      </c>
      <c r="H689" s="600">
        <v>0</v>
      </c>
      <c r="R689" s="602"/>
      <c r="S689" s="602"/>
      <c r="T689" s="602"/>
      <c r="U689" s="602"/>
      <c r="V689" s="602"/>
      <c r="W689" s="602"/>
      <c r="X689" s="602"/>
    </row>
    <row r="690" spans="1:24" s="263" customFormat="1" ht="9" customHeight="1" x14ac:dyDescent="0.25">
      <c r="A690" s="550" t="s">
        <v>51</v>
      </c>
      <c r="B690" s="600">
        <f t="shared" si="37"/>
        <v>151</v>
      </c>
      <c r="C690" s="600">
        <v>121</v>
      </c>
      <c r="D690" s="600">
        <v>16</v>
      </c>
      <c r="E690" s="600">
        <v>0</v>
      </c>
      <c r="F690" s="600">
        <v>2</v>
      </c>
      <c r="G690" s="600">
        <v>2</v>
      </c>
      <c r="H690" s="600">
        <v>10</v>
      </c>
      <c r="R690" s="602"/>
      <c r="S690" s="602"/>
      <c r="T690" s="602"/>
      <c r="U690" s="602"/>
      <c r="V690" s="602"/>
      <c r="W690" s="602"/>
      <c r="X690" s="602"/>
    </row>
    <row r="691" spans="1:24" s="263" customFormat="1" ht="9" customHeight="1" x14ac:dyDescent="0.25">
      <c r="A691" s="550" t="s">
        <v>52</v>
      </c>
      <c r="B691" s="600">
        <f t="shared" si="37"/>
        <v>27</v>
      </c>
      <c r="C691" s="600">
        <v>24</v>
      </c>
      <c r="D691" s="600">
        <v>1</v>
      </c>
      <c r="E691" s="600">
        <v>0</v>
      </c>
      <c r="F691" s="600">
        <v>0</v>
      </c>
      <c r="G691" s="600">
        <v>0</v>
      </c>
      <c r="H691" s="600">
        <v>2</v>
      </c>
      <c r="R691" s="602"/>
      <c r="S691" s="602"/>
      <c r="T691" s="602"/>
      <c r="U691" s="602"/>
      <c r="V691" s="602"/>
      <c r="W691" s="602"/>
      <c r="X691" s="602"/>
    </row>
    <row r="692" spans="1:24" s="263" customFormat="1" ht="9" customHeight="1" x14ac:dyDescent="0.25">
      <c r="A692" s="603" t="s">
        <v>53</v>
      </c>
      <c r="B692" s="604">
        <f t="shared" si="37"/>
        <v>32</v>
      </c>
      <c r="C692" s="604">
        <v>30</v>
      </c>
      <c r="D692" s="604">
        <v>0</v>
      </c>
      <c r="E692" s="604">
        <v>0</v>
      </c>
      <c r="F692" s="604">
        <v>0</v>
      </c>
      <c r="G692" s="604">
        <v>0</v>
      </c>
      <c r="H692" s="604">
        <v>2</v>
      </c>
      <c r="R692" s="602"/>
      <c r="S692" s="602"/>
      <c r="T692" s="602"/>
      <c r="U692" s="602"/>
      <c r="V692" s="602"/>
      <c r="W692" s="602"/>
      <c r="X692" s="602"/>
    </row>
    <row r="693" spans="1:24" s="263" customFormat="1" ht="9" customHeight="1" x14ac:dyDescent="0.25">
      <c r="A693" s="269"/>
      <c r="B693" s="605"/>
      <c r="C693" s="605"/>
      <c r="D693" s="605"/>
      <c r="E693" s="605"/>
      <c r="F693" s="605"/>
      <c r="G693" s="605"/>
      <c r="H693" s="605"/>
      <c r="I693" s="286"/>
      <c r="R693" s="602"/>
      <c r="S693" s="602"/>
      <c r="T693" s="602"/>
      <c r="U693" s="602"/>
      <c r="V693" s="602"/>
      <c r="W693" s="602"/>
      <c r="X693" s="602"/>
    </row>
    <row r="694" spans="1:24" s="263" customFormat="1" ht="9" customHeight="1" x14ac:dyDescent="0.25">
      <c r="A694" s="601">
        <v>2014</v>
      </c>
      <c r="B694" s="266"/>
      <c r="C694" s="266"/>
      <c r="D694" s="266"/>
      <c r="E694" s="266"/>
      <c r="F694" s="266"/>
      <c r="G694" s="266"/>
      <c r="H694" s="266"/>
      <c r="R694" s="602"/>
      <c r="S694" s="602"/>
      <c r="T694" s="602"/>
      <c r="U694" s="602"/>
      <c r="V694" s="602"/>
      <c r="W694" s="602"/>
      <c r="X694" s="602"/>
    </row>
    <row r="695" spans="1:24" s="265" customFormat="1" ht="9" customHeight="1" x14ac:dyDescent="0.25">
      <c r="A695" s="265" t="s">
        <v>21</v>
      </c>
      <c r="B695" s="602">
        <f t="shared" ref="B695:G695" si="38">SUM(B697:B728)</f>
        <v>3014</v>
      </c>
      <c r="C695" s="602">
        <f t="shared" si="38"/>
        <v>2687</v>
      </c>
      <c r="D695" s="602">
        <f t="shared" si="38"/>
        <v>177</v>
      </c>
      <c r="E695" s="602">
        <f t="shared" si="38"/>
        <v>12</v>
      </c>
      <c r="F695" s="602">
        <f t="shared" si="38"/>
        <v>12</v>
      </c>
      <c r="G695" s="602">
        <f t="shared" si="38"/>
        <v>12</v>
      </c>
      <c r="H695" s="602">
        <f>SUM(H697:H728)</f>
        <v>114</v>
      </c>
      <c r="R695" s="602"/>
      <c r="S695" s="602"/>
      <c r="T695" s="602"/>
      <c r="U695" s="602"/>
      <c r="V695" s="602"/>
      <c r="W695" s="602"/>
      <c r="X695" s="602"/>
    </row>
    <row r="696" spans="1:24" s="265" customFormat="1" ht="3.95" customHeight="1" x14ac:dyDescent="0.25">
      <c r="B696" s="602"/>
      <c r="C696" s="602"/>
      <c r="D696" s="602"/>
      <c r="E696" s="602"/>
      <c r="F696" s="602"/>
      <c r="G696" s="602"/>
      <c r="H696" s="602"/>
      <c r="R696" s="602"/>
      <c r="S696" s="602"/>
      <c r="T696" s="602"/>
      <c r="U696" s="602"/>
      <c r="V696" s="602"/>
      <c r="W696" s="602"/>
      <c r="X696" s="602"/>
    </row>
    <row r="697" spans="1:24" s="263" customFormat="1" ht="9" customHeight="1" x14ac:dyDescent="0.25">
      <c r="A697" s="550" t="s">
        <v>23</v>
      </c>
      <c r="B697" s="600">
        <f>SUM(C697:H697)</f>
        <v>19</v>
      </c>
      <c r="C697" s="600">
        <v>14</v>
      </c>
      <c r="D697" s="600">
        <v>3</v>
      </c>
      <c r="E697" s="600">
        <v>0</v>
      </c>
      <c r="F697" s="600">
        <v>0</v>
      </c>
      <c r="G697" s="600">
        <v>0</v>
      </c>
      <c r="H697" s="600">
        <v>2</v>
      </c>
      <c r="L697" s="600"/>
      <c r="R697" s="602"/>
      <c r="S697" s="602"/>
      <c r="T697" s="602"/>
      <c r="U697" s="602"/>
      <c r="V697" s="602"/>
      <c r="W697" s="602"/>
      <c r="X697" s="602"/>
    </row>
    <row r="698" spans="1:24" s="263" customFormat="1" ht="9" customHeight="1" x14ac:dyDescent="0.25">
      <c r="A698" s="550" t="s">
        <v>24</v>
      </c>
      <c r="B698" s="600">
        <f t="shared" ref="B698:B728" si="39">SUM(C698:H698)</f>
        <v>161</v>
      </c>
      <c r="C698" s="600">
        <v>126</v>
      </c>
      <c r="D698" s="600">
        <v>6</v>
      </c>
      <c r="E698" s="600">
        <v>0</v>
      </c>
      <c r="F698" s="600">
        <v>0</v>
      </c>
      <c r="G698" s="600">
        <v>0</v>
      </c>
      <c r="H698" s="600">
        <v>29</v>
      </c>
      <c r="L698" s="600"/>
      <c r="R698" s="602"/>
      <c r="S698" s="602"/>
      <c r="T698" s="602"/>
      <c r="U698" s="602"/>
      <c r="V698" s="602"/>
      <c r="W698" s="602"/>
      <c r="X698" s="602"/>
    </row>
    <row r="699" spans="1:24" s="263" customFormat="1" ht="9" customHeight="1" x14ac:dyDescent="0.25">
      <c r="A699" s="550" t="s">
        <v>25</v>
      </c>
      <c r="B699" s="600">
        <f t="shared" si="39"/>
        <v>12</v>
      </c>
      <c r="C699" s="600">
        <v>11</v>
      </c>
      <c r="D699" s="600">
        <v>0</v>
      </c>
      <c r="E699" s="600">
        <v>0</v>
      </c>
      <c r="F699" s="600">
        <v>0</v>
      </c>
      <c r="G699" s="600">
        <v>0</v>
      </c>
      <c r="H699" s="600">
        <v>1</v>
      </c>
      <c r="L699" s="600"/>
      <c r="R699" s="602"/>
      <c r="S699" s="602"/>
      <c r="T699" s="602"/>
      <c r="U699" s="602"/>
      <c r="V699" s="602"/>
      <c r="W699" s="602"/>
      <c r="X699" s="602"/>
    </row>
    <row r="700" spans="1:24" s="263" customFormat="1" ht="9" customHeight="1" x14ac:dyDescent="0.25">
      <c r="A700" s="603" t="s">
        <v>26</v>
      </c>
      <c r="B700" s="604">
        <f t="shared" si="39"/>
        <v>9</v>
      </c>
      <c r="C700" s="604">
        <v>9</v>
      </c>
      <c r="D700" s="604">
        <v>0</v>
      </c>
      <c r="E700" s="604">
        <v>0</v>
      </c>
      <c r="F700" s="604">
        <v>0</v>
      </c>
      <c r="G700" s="604">
        <v>0</v>
      </c>
      <c r="H700" s="604">
        <v>0</v>
      </c>
      <c r="L700" s="600"/>
      <c r="R700" s="602"/>
      <c r="S700" s="602"/>
      <c r="T700" s="602"/>
      <c r="U700" s="602"/>
      <c r="V700" s="602"/>
      <c r="W700" s="602"/>
      <c r="X700" s="602"/>
    </row>
    <row r="701" spans="1:24" s="263" customFormat="1" ht="9" customHeight="1" x14ac:dyDescent="0.25">
      <c r="A701" s="550" t="s">
        <v>27</v>
      </c>
      <c r="B701" s="600">
        <f t="shared" si="39"/>
        <v>34</v>
      </c>
      <c r="C701" s="600">
        <v>25</v>
      </c>
      <c r="D701" s="600">
        <v>5</v>
      </c>
      <c r="E701" s="600">
        <v>0</v>
      </c>
      <c r="F701" s="600">
        <v>3</v>
      </c>
      <c r="G701" s="600">
        <v>0</v>
      </c>
      <c r="H701" s="600">
        <v>1</v>
      </c>
      <c r="L701" s="600"/>
      <c r="R701" s="602"/>
      <c r="S701" s="602"/>
      <c r="T701" s="602"/>
      <c r="U701" s="602"/>
      <c r="V701" s="602"/>
      <c r="W701" s="602"/>
      <c r="X701" s="602"/>
    </row>
    <row r="702" spans="1:24" s="263" customFormat="1" ht="9" customHeight="1" x14ac:dyDescent="0.25">
      <c r="A702" s="550" t="s">
        <v>28</v>
      </c>
      <c r="B702" s="600">
        <f t="shared" si="39"/>
        <v>13</v>
      </c>
      <c r="C702" s="600">
        <v>12</v>
      </c>
      <c r="D702" s="600">
        <v>1</v>
      </c>
      <c r="E702" s="600">
        <v>0</v>
      </c>
      <c r="F702" s="600">
        <v>0</v>
      </c>
      <c r="G702" s="600">
        <v>0</v>
      </c>
      <c r="H702" s="600">
        <v>0</v>
      </c>
      <c r="L702" s="600"/>
      <c r="R702" s="602"/>
      <c r="S702" s="602"/>
      <c r="T702" s="602"/>
      <c r="U702" s="602"/>
      <c r="V702" s="602"/>
      <c r="W702" s="602"/>
      <c r="X702" s="602"/>
    </row>
    <row r="703" spans="1:24" s="263" customFormat="1" ht="9" customHeight="1" x14ac:dyDescent="0.25">
      <c r="A703" s="550" t="s">
        <v>29</v>
      </c>
      <c r="B703" s="600">
        <f t="shared" si="39"/>
        <v>70</v>
      </c>
      <c r="C703" s="600">
        <v>61</v>
      </c>
      <c r="D703" s="600">
        <v>6</v>
      </c>
      <c r="E703" s="600">
        <v>0</v>
      </c>
      <c r="F703" s="600">
        <v>0</v>
      </c>
      <c r="G703" s="600">
        <v>1</v>
      </c>
      <c r="H703" s="600">
        <v>2</v>
      </c>
      <c r="L703" s="600"/>
      <c r="R703" s="602"/>
      <c r="S703" s="602"/>
      <c r="T703" s="602"/>
      <c r="U703" s="602"/>
      <c r="V703" s="602"/>
      <c r="W703" s="602"/>
      <c r="X703" s="602"/>
    </row>
    <row r="704" spans="1:24" s="263" customFormat="1" ht="9" customHeight="1" x14ac:dyDescent="0.25">
      <c r="A704" s="603" t="s">
        <v>30</v>
      </c>
      <c r="B704" s="604">
        <f t="shared" si="39"/>
        <v>73</v>
      </c>
      <c r="C704" s="604">
        <v>73</v>
      </c>
      <c r="D704" s="604">
        <v>0</v>
      </c>
      <c r="E704" s="604">
        <v>0</v>
      </c>
      <c r="F704" s="604">
        <v>0</v>
      </c>
      <c r="G704" s="604">
        <v>0</v>
      </c>
      <c r="H704" s="604">
        <v>0</v>
      </c>
      <c r="L704" s="600"/>
      <c r="R704" s="602"/>
      <c r="S704" s="602"/>
      <c r="T704" s="602"/>
      <c r="U704" s="602"/>
      <c r="V704" s="602"/>
      <c r="W704" s="602"/>
      <c r="X704" s="602"/>
    </row>
    <row r="705" spans="1:24" s="263" customFormat="1" ht="9" customHeight="1" x14ac:dyDescent="0.25">
      <c r="A705" s="550" t="s">
        <v>63</v>
      </c>
      <c r="B705" s="600">
        <f t="shared" si="39"/>
        <v>282</v>
      </c>
      <c r="C705" s="600">
        <v>250</v>
      </c>
      <c r="D705" s="600">
        <v>14</v>
      </c>
      <c r="E705" s="600">
        <v>3</v>
      </c>
      <c r="F705" s="600">
        <v>1</v>
      </c>
      <c r="G705" s="600">
        <v>5</v>
      </c>
      <c r="H705" s="600">
        <v>9</v>
      </c>
      <c r="L705" s="600"/>
      <c r="R705" s="602"/>
      <c r="S705" s="602"/>
      <c r="T705" s="602"/>
      <c r="U705" s="602"/>
      <c r="V705" s="602"/>
      <c r="W705" s="602"/>
      <c r="X705" s="602"/>
    </row>
    <row r="706" spans="1:24" s="263" customFormat="1" ht="9" customHeight="1" x14ac:dyDescent="0.25">
      <c r="A706" s="550" t="s">
        <v>31</v>
      </c>
      <c r="B706" s="600">
        <f t="shared" si="39"/>
        <v>33</v>
      </c>
      <c r="C706" s="600">
        <v>32</v>
      </c>
      <c r="D706" s="600">
        <v>0</v>
      </c>
      <c r="E706" s="600">
        <v>0</v>
      </c>
      <c r="F706" s="600">
        <v>0</v>
      </c>
      <c r="G706" s="600">
        <v>0</v>
      </c>
      <c r="H706" s="600">
        <v>1</v>
      </c>
      <c r="L706" s="600"/>
      <c r="R706" s="602"/>
      <c r="S706" s="602"/>
      <c r="T706" s="602"/>
      <c r="U706" s="602"/>
      <c r="V706" s="602"/>
      <c r="W706" s="602"/>
      <c r="X706" s="602"/>
    </row>
    <row r="707" spans="1:24" s="263" customFormat="1" ht="9" customHeight="1" x14ac:dyDescent="0.25">
      <c r="A707" s="550" t="s">
        <v>32</v>
      </c>
      <c r="B707" s="600">
        <f t="shared" si="39"/>
        <v>223</v>
      </c>
      <c r="C707" s="600">
        <v>187</v>
      </c>
      <c r="D707" s="600">
        <v>22</v>
      </c>
      <c r="E707" s="600">
        <v>0</v>
      </c>
      <c r="F707" s="600">
        <v>0</v>
      </c>
      <c r="G707" s="600">
        <v>0</v>
      </c>
      <c r="H707" s="600">
        <v>14</v>
      </c>
      <c r="L707" s="600"/>
      <c r="R707" s="602"/>
      <c r="S707" s="602"/>
      <c r="T707" s="602"/>
      <c r="U707" s="602"/>
      <c r="V707" s="602"/>
      <c r="W707" s="602"/>
      <c r="X707" s="602"/>
    </row>
    <row r="708" spans="1:24" s="263" customFormat="1" ht="9" customHeight="1" x14ac:dyDescent="0.25">
      <c r="A708" s="603" t="s">
        <v>33</v>
      </c>
      <c r="B708" s="604">
        <f t="shared" si="39"/>
        <v>106</v>
      </c>
      <c r="C708" s="604">
        <v>95</v>
      </c>
      <c r="D708" s="604">
        <v>8</v>
      </c>
      <c r="E708" s="604">
        <v>1</v>
      </c>
      <c r="F708" s="604">
        <v>0</v>
      </c>
      <c r="G708" s="604">
        <v>0</v>
      </c>
      <c r="H708" s="604">
        <v>2</v>
      </c>
      <c r="L708" s="600"/>
      <c r="R708" s="602"/>
      <c r="S708" s="602"/>
      <c r="T708" s="602"/>
      <c r="U708" s="602"/>
      <c r="V708" s="602"/>
      <c r="W708" s="602"/>
      <c r="X708" s="602"/>
    </row>
    <row r="709" spans="1:24" s="263" customFormat="1" ht="9" customHeight="1" x14ac:dyDescent="0.25">
      <c r="A709" s="550" t="s">
        <v>34</v>
      </c>
      <c r="B709" s="600">
        <f t="shared" si="39"/>
        <v>122</v>
      </c>
      <c r="C709" s="600">
        <v>110</v>
      </c>
      <c r="D709" s="600">
        <v>9</v>
      </c>
      <c r="E709" s="600">
        <v>2</v>
      </c>
      <c r="F709" s="600">
        <v>0</v>
      </c>
      <c r="G709" s="600">
        <v>0</v>
      </c>
      <c r="H709" s="600">
        <v>1</v>
      </c>
      <c r="L709" s="600"/>
      <c r="R709" s="602"/>
      <c r="S709" s="602"/>
      <c r="T709" s="602"/>
      <c r="U709" s="602"/>
      <c r="V709" s="602"/>
      <c r="W709" s="602"/>
      <c r="X709" s="602"/>
    </row>
    <row r="710" spans="1:24" s="263" customFormat="1" ht="9" customHeight="1" x14ac:dyDescent="0.25">
      <c r="A710" s="550" t="s">
        <v>35</v>
      </c>
      <c r="B710" s="600">
        <f t="shared" si="39"/>
        <v>210</v>
      </c>
      <c r="C710" s="600">
        <v>194</v>
      </c>
      <c r="D710" s="600">
        <v>3</v>
      </c>
      <c r="E710" s="600">
        <v>0</v>
      </c>
      <c r="F710" s="600">
        <v>1</v>
      </c>
      <c r="G710" s="600">
        <v>0</v>
      </c>
      <c r="H710" s="600">
        <v>12</v>
      </c>
      <c r="L710" s="600"/>
      <c r="R710" s="602"/>
      <c r="S710" s="602"/>
      <c r="T710" s="602"/>
      <c r="U710" s="602"/>
      <c r="V710" s="602"/>
      <c r="W710" s="602"/>
      <c r="X710" s="602"/>
    </row>
    <row r="711" spans="1:24" s="263" customFormat="1" ht="9" customHeight="1" x14ac:dyDescent="0.25">
      <c r="A711" s="550" t="s">
        <v>36</v>
      </c>
      <c r="B711" s="600">
        <f t="shared" si="39"/>
        <v>474</v>
      </c>
      <c r="C711" s="600">
        <v>460</v>
      </c>
      <c r="D711" s="600">
        <v>11</v>
      </c>
      <c r="E711" s="600">
        <v>1</v>
      </c>
      <c r="F711" s="600">
        <v>0</v>
      </c>
      <c r="G711" s="600">
        <v>0</v>
      </c>
      <c r="H711" s="600">
        <v>2</v>
      </c>
      <c r="L711" s="600"/>
      <c r="R711" s="602"/>
      <c r="S711" s="602"/>
      <c r="T711" s="602"/>
      <c r="U711" s="602"/>
      <c r="V711" s="602"/>
      <c r="W711" s="602"/>
      <c r="X711" s="602"/>
    </row>
    <row r="712" spans="1:24" s="263" customFormat="1" ht="9" customHeight="1" x14ac:dyDescent="0.25">
      <c r="A712" s="603" t="s">
        <v>37</v>
      </c>
      <c r="B712" s="604">
        <f t="shared" si="39"/>
        <v>152</v>
      </c>
      <c r="C712" s="604">
        <v>140</v>
      </c>
      <c r="D712" s="604">
        <v>7</v>
      </c>
      <c r="E712" s="604">
        <v>1</v>
      </c>
      <c r="F712" s="604">
        <v>1</v>
      </c>
      <c r="G712" s="604">
        <v>0</v>
      </c>
      <c r="H712" s="604">
        <v>3</v>
      </c>
      <c r="L712" s="600"/>
      <c r="R712" s="602"/>
      <c r="S712" s="602"/>
      <c r="T712" s="602"/>
      <c r="U712" s="602"/>
      <c r="V712" s="602"/>
      <c r="W712" s="602"/>
      <c r="X712" s="602"/>
    </row>
    <row r="713" spans="1:24" s="263" customFormat="1" ht="9" customHeight="1" x14ac:dyDescent="0.25">
      <c r="A713" s="550" t="s">
        <v>38</v>
      </c>
      <c r="B713" s="600">
        <f t="shared" si="39"/>
        <v>65</v>
      </c>
      <c r="C713" s="600">
        <v>53</v>
      </c>
      <c r="D713" s="600">
        <v>10</v>
      </c>
      <c r="E713" s="600">
        <v>0</v>
      </c>
      <c r="F713" s="600">
        <v>0</v>
      </c>
      <c r="G713" s="600">
        <v>0</v>
      </c>
      <c r="H713" s="600">
        <v>2</v>
      </c>
      <c r="L713" s="600"/>
      <c r="R713" s="602"/>
      <c r="S713" s="602"/>
      <c r="T713" s="602"/>
      <c r="U713" s="602"/>
      <c r="V713" s="602"/>
      <c r="W713" s="602"/>
      <c r="X713" s="602"/>
    </row>
    <row r="714" spans="1:24" s="263" customFormat="1" ht="9" customHeight="1" x14ac:dyDescent="0.25">
      <c r="A714" s="550" t="s">
        <v>39</v>
      </c>
      <c r="B714" s="600">
        <f t="shared" si="39"/>
        <v>15</v>
      </c>
      <c r="C714" s="600">
        <v>15</v>
      </c>
      <c r="D714" s="600">
        <v>0</v>
      </c>
      <c r="E714" s="600">
        <v>0</v>
      </c>
      <c r="F714" s="600">
        <v>0</v>
      </c>
      <c r="G714" s="600">
        <v>0</v>
      </c>
      <c r="H714" s="600">
        <v>0</v>
      </c>
      <c r="L714" s="600"/>
      <c r="R714" s="602"/>
      <c r="S714" s="602"/>
      <c r="T714" s="602"/>
      <c r="U714" s="602"/>
      <c r="V714" s="602"/>
      <c r="W714" s="602"/>
      <c r="X714" s="602"/>
    </row>
    <row r="715" spans="1:24" s="263" customFormat="1" ht="9" customHeight="1" x14ac:dyDescent="0.25">
      <c r="A715" s="550" t="s">
        <v>40</v>
      </c>
      <c r="B715" s="600">
        <f t="shared" si="39"/>
        <v>73</v>
      </c>
      <c r="C715" s="600">
        <v>63</v>
      </c>
      <c r="D715" s="600">
        <v>6</v>
      </c>
      <c r="E715" s="600">
        <v>0</v>
      </c>
      <c r="F715" s="600">
        <v>2</v>
      </c>
      <c r="G715" s="600">
        <v>1</v>
      </c>
      <c r="H715" s="600">
        <v>1</v>
      </c>
      <c r="L715" s="600"/>
      <c r="R715" s="602"/>
      <c r="S715" s="602"/>
      <c r="T715" s="602"/>
      <c r="U715" s="602"/>
      <c r="V715" s="602"/>
      <c r="W715" s="602"/>
      <c r="X715" s="602"/>
    </row>
    <row r="716" spans="1:24" s="263" customFormat="1" ht="9" customHeight="1" x14ac:dyDescent="0.25">
      <c r="A716" s="603" t="s">
        <v>41</v>
      </c>
      <c r="B716" s="604">
        <f t="shared" si="39"/>
        <v>116</v>
      </c>
      <c r="C716" s="604">
        <v>106</v>
      </c>
      <c r="D716" s="604">
        <v>8</v>
      </c>
      <c r="E716" s="604">
        <v>2</v>
      </c>
      <c r="F716" s="604">
        <v>0</v>
      </c>
      <c r="G716" s="604">
        <v>0</v>
      </c>
      <c r="H716" s="604">
        <v>0</v>
      </c>
      <c r="L716" s="600"/>
      <c r="R716" s="602"/>
      <c r="S716" s="602"/>
      <c r="T716" s="602"/>
      <c r="U716" s="602"/>
      <c r="V716" s="602"/>
      <c r="W716" s="602"/>
      <c r="X716" s="602"/>
    </row>
    <row r="717" spans="1:24" s="263" customFormat="1" ht="9" customHeight="1" x14ac:dyDescent="0.25">
      <c r="A717" s="550" t="s">
        <v>42</v>
      </c>
      <c r="B717" s="600">
        <f t="shared" si="39"/>
        <v>150</v>
      </c>
      <c r="C717" s="600">
        <v>139</v>
      </c>
      <c r="D717" s="600">
        <v>6</v>
      </c>
      <c r="E717" s="600">
        <v>1</v>
      </c>
      <c r="F717" s="600">
        <v>2</v>
      </c>
      <c r="G717" s="600">
        <v>0</v>
      </c>
      <c r="H717" s="600">
        <v>2</v>
      </c>
      <c r="L717" s="600"/>
      <c r="R717" s="602"/>
      <c r="S717" s="602"/>
      <c r="T717" s="602"/>
      <c r="U717" s="602"/>
      <c r="V717" s="602"/>
      <c r="W717" s="602"/>
      <c r="X717" s="602"/>
    </row>
    <row r="718" spans="1:24" s="263" customFormat="1" ht="9" customHeight="1" x14ac:dyDescent="0.25">
      <c r="A718" s="550" t="s">
        <v>43</v>
      </c>
      <c r="B718" s="600">
        <f t="shared" si="39"/>
        <v>69</v>
      </c>
      <c r="C718" s="600">
        <v>60</v>
      </c>
      <c r="D718" s="600">
        <v>7</v>
      </c>
      <c r="E718" s="600">
        <v>0</v>
      </c>
      <c r="F718" s="600">
        <v>0</v>
      </c>
      <c r="G718" s="600">
        <v>1</v>
      </c>
      <c r="H718" s="600">
        <v>1</v>
      </c>
      <c r="L718" s="600"/>
      <c r="R718" s="602"/>
      <c r="S718" s="602"/>
      <c r="T718" s="602"/>
      <c r="U718" s="602"/>
      <c r="V718" s="602"/>
      <c r="W718" s="602"/>
      <c r="X718" s="602"/>
    </row>
    <row r="719" spans="1:24" s="263" customFormat="1" ht="9" customHeight="1" x14ac:dyDescent="0.25">
      <c r="A719" s="550" t="s">
        <v>44</v>
      </c>
      <c r="B719" s="600">
        <f t="shared" si="39"/>
        <v>39</v>
      </c>
      <c r="C719" s="600">
        <v>29</v>
      </c>
      <c r="D719" s="600">
        <v>8</v>
      </c>
      <c r="E719" s="600">
        <v>0</v>
      </c>
      <c r="F719" s="600">
        <v>0</v>
      </c>
      <c r="G719" s="600">
        <v>0</v>
      </c>
      <c r="H719" s="600">
        <v>2</v>
      </c>
      <c r="L719" s="600"/>
      <c r="R719" s="602"/>
      <c r="S719" s="602"/>
      <c r="T719" s="602"/>
      <c r="U719" s="602"/>
      <c r="V719" s="602"/>
      <c r="W719" s="602"/>
      <c r="X719" s="602"/>
    </row>
    <row r="720" spans="1:24" s="263" customFormat="1" ht="9" customHeight="1" x14ac:dyDescent="0.25">
      <c r="A720" s="603" t="s">
        <v>45</v>
      </c>
      <c r="B720" s="604">
        <f t="shared" si="39"/>
        <v>42</v>
      </c>
      <c r="C720" s="604">
        <v>39</v>
      </c>
      <c r="D720" s="604">
        <v>1</v>
      </c>
      <c r="E720" s="604">
        <v>0</v>
      </c>
      <c r="F720" s="604">
        <v>0</v>
      </c>
      <c r="G720" s="604">
        <v>0</v>
      </c>
      <c r="H720" s="604">
        <v>2</v>
      </c>
      <c r="L720" s="600"/>
      <c r="R720" s="602"/>
      <c r="S720" s="602"/>
      <c r="T720" s="602"/>
      <c r="U720" s="602"/>
      <c r="V720" s="602"/>
      <c r="W720" s="602"/>
      <c r="X720" s="602"/>
    </row>
    <row r="721" spans="1:24" s="263" customFormat="1" ht="9" customHeight="1" x14ac:dyDescent="0.25">
      <c r="A721" s="550" t="s">
        <v>46</v>
      </c>
      <c r="B721" s="600">
        <f t="shared" si="39"/>
        <v>61</v>
      </c>
      <c r="C721" s="600">
        <v>51</v>
      </c>
      <c r="D721" s="600">
        <v>6</v>
      </c>
      <c r="E721" s="600">
        <v>0</v>
      </c>
      <c r="F721" s="600">
        <v>0</v>
      </c>
      <c r="G721" s="600">
        <v>2</v>
      </c>
      <c r="H721" s="600">
        <v>2</v>
      </c>
      <c r="L721" s="600"/>
      <c r="R721" s="602"/>
      <c r="S721" s="602"/>
      <c r="T721" s="602"/>
      <c r="U721" s="602"/>
      <c r="V721" s="602"/>
      <c r="W721" s="602"/>
      <c r="X721" s="602"/>
    </row>
    <row r="722" spans="1:24" s="263" customFormat="1" ht="9" customHeight="1" x14ac:dyDescent="0.25">
      <c r="A722" s="550" t="s">
        <v>47</v>
      </c>
      <c r="B722" s="600">
        <f t="shared" si="39"/>
        <v>47</v>
      </c>
      <c r="C722" s="600">
        <v>41</v>
      </c>
      <c r="D722" s="600">
        <v>5</v>
      </c>
      <c r="E722" s="600">
        <v>0</v>
      </c>
      <c r="F722" s="600">
        <v>0</v>
      </c>
      <c r="G722" s="600">
        <v>0</v>
      </c>
      <c r="H722" s="600">
        <v>1</v>
      </c>
      <c r="L722" s="600"/>
      <c r="R722" s="602"/>
      <c r="S722" s="602"/>
      <c r="T722" s="602"/>
      <c r="U722" s="602"/>
      <c r="V722" s="602"/>
      <c r="W722" s="602"/>
      <c r="X722" s="602"/>
    </row>
    <row r="723" spans="1:24" s="263" customFormat="1" ht="9" customHeight="1" x14ac:dyDescent="0.25">
      <c r="A723" s="550" t="s">
        <v>48</v>
      </c>
      <c r="B723" s="600">
        <f t="shared" si="39"/>
        <v>49</v>
      </c>
      <c r="C723" s="600">
        <v>44</v>
      </c>
      <c r="D723" s="600">
        <v>5</v>
      </c>
      <c r="E723" s="600">
        <v>0</v>
      </c>
      <c r="F723" s="600">
        <v>0</v>
      </c>
      <c r="G723" s="600">
        <v>0</v>
      </c>
      <c r="H723" s="600">
        <v>0</v>
      </c>
      <c r="L723" s="600"/>
      <c r="R723" s="602"/>
      <c r="S723" s="602"/>
      <c r="T723" s="602"/>
      <c r="U723" s="602"/>
      <c r="V723" s="602"/>
      <c r="W723" s="602"/>
      <c r="X723" s="602"/>
    </row>
    <row r="724" spans="1:24" s="263" customFormat="1" ht="9" customHeight="1" x14ac:dyDescent="0.25">
      <c r="A724" s="603" t="s">
        <v>49</v>
      </c>
      <c r="B724" s="604">
        <f t="shared" si="39"/>
        <v>51</v>
      </c>
      <c r="C724" s="604">
        <v>32</v>
      </c>
      <c r="D724" s="604">
        <v>4</v>
      </c>
      <c r="E724" s="604">
        <v>1</v>
      </c>
      <c r="F724" s="604">
        <v>0</v>
      </c>
      <c r="G724" s="604">
        <v>0</v>
      </c>
      <c r="H724" s="604">
        <v>14</v>
      </c>
      <c r="L724" s="600"/>
      <c r="R724" s="602"/>
      <c r="S724" s="602"/>
      <c r="T724" s="602"/>
      <c r="U724" s="602"/>
      <c r="V724" s="602"/>
      <c r="W724" s="602"/>
      <c r="X724" s="602"/>
    </row>
    <row r="725" spans="1:24" s="263" customFormat="1" ht="9" customHeight="1" x14ac:dyDescent="0.25">
      <c r="A725" s="550" t="s">
        <v>50</v>
      </c>
      <c r="B725" s="600">
        <f t="shared" si="39"/>
        <v>41</v>
      </c>
      <c r="C725" s="600">
        <v>40</v>
      </c>
      <c r="D725" s="600">
        <v>1</v>
      </c>
      <c r="E725" s="600">
        <v>0</v>
      </c>
      <c r="F725" s="600">
        <v>0</v>
      </c>
      <c r="G725" s="600">
        <v>0</v>
      </c>
      <c r="H725" s="600">
        <v>0</v>
      </c>
      <c r="L725" s="600"/>
      <c r="R725" s="602"/>
      <c r="S725" s="602"/>
      <c r="T725" s="602"/>
      <c r="U725" s="602"/>
      <c r="V725" s="602"/>
      <c r="W725" s="602"/>
      <c r="X725" s="602"/>
    </row>
    <row r="726" spans="1:24" s="263" customFormat="1" ht="9" customHeight="1" x14ac:dyDescent="0.25">
      <c r="A726" s="550" t="s">
        <v>51</v>
      </c>
      <c r="B726" s="600">
        <f t="shared" si="39"/>
        <v>144</v>
      </c>
      <c r="C726" s="600">
        <v>121</v>
      </c>
      <c r="D726" s="600">
        <v>14</v>
      </c>
      <c r="E726" s="600">
        <v>0</v>
      </c>
      <c r="F726" s="600">
        <v>2</v>
      </c>
      <c r="G726" s="600">
        <v>2</v>
      </c>
      <c r="H726" s="600">
        <v>5</v>
      </c>
      <c r="L726" s="600"/>
      <c r="R726" s="602"/>
      <c r="S726" s="602"/>
      <c r="T726" s="602"/>
      <c r="U726" s="602"/>
      <c r="V726" s="602"/>
      <c r="W726" s="602"/>
      <c r="X726" s="602"/>
    </row>
    <row r="727" spans="1:24" s="263" customFormat="1" ht="9" customHeight="1" x14ac:dyDescent="0.25">
      <c r="A727" s="550" t="s">
        <v>52</v>
      </c>
      <c r="B727" s="600">
        <f t="shared" si="39"/>
        <v>27</v>
      </c>
      <c r="C727" s="600">
        <v>24</v>
      </c>
      <c r="D727" s="600">
        <v>1</v>
      </c>
      <c r="E727" s="600">
        <v>0</v>
      </c>
      <c r="F727" s="600">
        <v>0</v>
      </c>
      <c r="G727" s="600">
        <v>0</v>
      </c>
      <c r="H727" s="600">
        <v>2</v>
      </c>
      <c r="L727" s="600"/>
      <c r="R727" s="602"/>
      <c r="S727" s="602"/>
      <c r="T727" s="602"/>
      <c r="U727" s="602"/>
      <c r="V727" s="602"/>
      <c r="W727" s="602"/>
      <c r="X727" s="602"/>
    </row>
    <row r="728" spans="1:24" s="263" customFormat="1" ht="9" customHeight="1" x14ac:dyDescent="0.25">
      <c r="A728" s="603" t="s">
        <v>53</v>
      </c>
      <c r="B728" s="604">
        <f t="shared" si="39"/>
        <v>32</v>
      </c>
      <c r="C728" s="604">
        <v>31</v>
      </c>
      <c r="D728" s="604">
        <v>0</v>
      </c>
      <c r="E728" s="604">
        <v>0</v>
      </c>
      <c r="F728" s="604">
        <v>0</v>
      </c>
      <c r="G728" s="604">
        <v>0</v>
      </c>
      <c r="H728" s="604">
        <v>1</v>
      </c>
      <c r="L728" s="600"/>
      <c r="R728" s="602"/>
      <c r="S728" s="602"/>
      <c r="T728" s="602"/>
      <c r="U728" s="602"/>
      <c r="V728" s="602"/>
      <c r="W728" s="602"/>
      <c r="X728" s="602"/>
    </row>
    <row r="729" spans="1:24" s="263" customFormat="1" ht="9" customHeight="1" x14ac:dyDescent="0.25">
      <c r="A729" s="269"/>
      <c r="B729" s="605"/>
      <c r="C729" s="605"/>
      <c r="D729" s="605"/>
      <c r="E729" s="605"/>
      <c r="F729" s="605"/>
      <c r="G729" s="605"/>
      <c r="H729" s="605"/>
      <c r="I729" s="286"/>
    </row>
    <row r="730" spans="1:24" s="263" customFormat="1" ht="9" customHeight="1" x14ac:dyDescent="0.25">
      <c r="A730" s="601">
        <v>2015</v>
      </c>
      <c r="B730" s="266"/>
      <c r="C730" s="266"/>
      <c r="D730" s="266"/>
      <c r="E730" s="266"/>
      <c r="F730" s="266"/>
      <c r="G730" s="266"/>
      <c r="H730" s="266"/>
    </row>
    <row r="731" spans="1:24" s="265" customFormat="1" ht="9" customHeight="1" x14ac:dyDescent="0.25">
      <c r="A731" s="265" t="s">
        <v>21</v>
      </c>
      <c r="B731" s="602">
        <f>SUM(B733:B764)</f>
        <v>2960</v>
      </c>
      <c r="C731" s="602">
        <f t="shared" ref="C731:G731" si="40">SUM(C733:C764)</f>
        <v>2636</v>
      </c>
      <c r="D731" s="602">
        <f t="shared" si="40"/>
        <v>170</v>
      </c>
      <c r="E731" s="602">
        <f t="shared" si="40"/>
        <v>13</v>
      </c>
      <c r="F731" s="602">
        <f t="shared" si="40"/>
        <v>13</v>
      </c>
      <c r="G731" s="602">
        <f t="shared" si="40"/>
        <v>10</v>
      </c>
      <c r="H731" s="602">
        <f>SUM(H733:H764)</f>
        <v>118</v>
      </c>
      <c r="K731" s="606"/>
    </row>
    <row r="732" spans="1:24" s="265" customFormat="1" ht="3.95" customHeight="1" x14ac:dyDescent="0.25">
      <c r="B732" s="602"/>
      <c r="C732" s="602"/>
      <c r="D732" s="602"/>
      <c r="E732" s="602"/>
      <c r="F732" s="602"/>
      <c r="G732" s="602"/>
      <c r="H732" s="602"/>
    </row>
    <row r="733" spans="1:24" s="263" customFormat="1" ht="9" customHeight="1" x14ac:dyDescent="0.25">
      <c r="A733" s="550" t="s">
        <v>23</v>
      </c>
      <c r="B733" s="600">
        <f>SUM(C733:H733)</f>
        <v>19</v>
      </c>
      <c r="C733" s="600">
        <v>14</v>
      </c>
      <c r="D733" s="600">
        <v>3</v>
      </c>
      <c r="E733" s="600">
        <v>0</v>
      </c>
      <c r="F733" s="600">
        <v>0</v>
      </c>
      <c r="G733" s="600">
        <v>0</v>
      </c>
      <c r="H733" s="600">
        <v>2</v>
      </c>
      <c r="L733" s="600"/>
    </row>
    <row r="734" spans="1:24" s="263" customFormat="1" ht="9" customHeight="1" x14ac:dyDescent="0.25">
      <c r="A734" s="550" t="s">
        <v>24</v>
      </c>
      <c r="B734" s="600">
        <f t="shared" ref="B734:B764" si="41">SUM(C734:H734)</f>
        <v>151</v>
      </c>
      <c r="C734" s="600">
        <v>118</v>
      </c>
      <c r="D734" s="600">
        <v>6</v>
      </c>
      <c r="E734" s="600">
        <v>0</v>
      </c>
      <c r="F734" s="600">
        <v>0</v>
      </c>
      <c r="G734" s="600">
        <v>0</v>
      </c>
      <c r="H734" s="600">
        <v>27</v>
      </c>
      <c r="L734" s="600"/>
    </row>
    <row r="735" spans="1:24" s="263" customFormat="1" ht="9" customHeight="1" x14ac:dyDescent="0.25">
      <c r="A735" s="550" t="s">
        <v>25</v>
      </c>
      <c r="B735" s="600">
        <f t="shared" si="41"/>
        <v>13</v>
      </c>
      <c r="C735" s="600">
        <v>12</v>
      </c>
      <c r="D735" s="600">
        <v>0</v>
      </c>
      <c r="E735" s="600">
        <v>0</v>
      </c>
      <c r="F735" s="600">
        <v>0</v>
      </c>
      <c r="G735" s="600">
        <v>0</v>
      </c>
      <c r="H735" s="600">
        <v>1</v>
      </c>
      <c r="L735" s="600"/>
    </row>
    <row r="736" spans="1:24" s="263" customFormat="1" ht="9" customHeight="1" x14ac:dyDescent="0.25">
      <c r="A736" s="603" t="s">
        <v>26</v>
      </c>
      <c r="B736" s="604">
        <f t="shared" si="41"/>
        <v>9</v>
      </c>
      <c r="C736" s="604">
        <v>9</v>
      </c>
      <c r="D736" s="604">
        <v>0</v>
      </c>
      <c r="E736" s="604">
        <v>0</v>
      </c>
      <c r="F736" s="604">
        <v>0</v>
      </c>
      <c r="G736" s="604">
        <v>0</v>
      </c>
      <c r="H736" s="604">
        <v>0</v>
      </c>
      <c r="L736" s="600"/>
    </row>
    <row r="737" spans="1:12" s="263" customFormat="1" ht="9" customHeight="1" x14ac:dyDescent="0.25">
      <c r="A737" s="550" t="s">
        <v>27</v>
      </c>
      <c r="B737" s="600">
        <f t="shared" si="41"/>
        <v>37</v>
      </c>
      <c r="C737" s="600">
        <v>28</v>
      </c>
      <c r="D737" s="600">
        <v>5</v>
      </c>
      <c r="E737" s="600">
        <v>0</v>
      </c>
      <c r="F737" s="600">
        <v>3</v>
      </c>
      <c r="G737" s="600">
        <v>0</v>
      </c>
      <c r="H737" s="600">
        <v>1</v>
      </c>
      <c r="L737" s="600"/>
    </row>
    <row r="738" spans="1:12" s="263" customFormat="1" ht="9" customHeight="1" x14ac:dyDescent="0.25">
      <c r="A738" s="550" t="s">
        <v>28</v>
      </c>
      <c r="B738" s="600">
        <f t="shared" si="41"/>
        <v>13</v>
      </c>
      <c r="C738" s="600">
        <v>11</v>
      </c>
      <c r="D738" s="600">
        <v>2</v>
      </c>
      <c r="E738" s="600">
        <v>0</v>
      </c>
      <c r="F738" s="600">
        <v>0</v>
      </c>
      <c r="G738" s="600">
        <v>0</v>
      </c>
      <c r="H738" s="600">
        <v>0</v>
      </c>
      <c r="L738" s="600"/>
    </row>
    <row r="739" spans="1:12" s="263" customFormat="1" ht="9" customHeight="1" x14ac:dyDescent="0.25">
      <c r="A739" s="550" t="s">
        <v>29</v>
      </c>
      <c r="B739" s="600">
        <f t="shared" si="41"/>
        <v>66</v>
      </c>
      <c r="C739" s="600">
        <v>58</v>
      </c>
      <c r="D739" s="600">
        <v>5</v>
      </c>
      <c r="E739" s="600">
        <v>0</v>
      </c>
      <c r="F739" s="600">
        <v>0</v>
      </c>
      <c r="G739" s="600">
        <v>1</v>
      </c>
      <c r="H739" s="600">
        <v>2</v>
      </c>
      <c r="L739" s="600"/>
    </row>
    <row r="740" spans="1:12" s="263" customFormat="1" ht="9" customHeight="1" x14ac:dyDescent="0.25">
      <c r="A740" s="603" t="s">
        <v>30</v>
      </c>
      <c r="B740" s="604">
        <f t="shared" si="41"/>
        <v>70</v>
      </c>
      <c r="C740" s="604">
        <v>69</v>
      </c>
      <c r="D740" s="604">
        <v>1</v>
      </c>
      <c r="E740" s="604">
        <v>0</v>
      </c>
      <c r="F740" s="604">
        <v>0</v>
      </c>
      <c r="G740" s="604">
        <v>0</v>
      </c>
      <c r="H740" s="604">
        <v>0</v>
      </c>
      <c r="L740" s="600"/>
    </row>
    <row r="741" spans="1:12" s="263" customFormat="1" ht="9" customHeight="1" x14ac:dyDescent="0.25">
      <c r="A741" s="550" t="s">
        <v>63</v>
      </c>
      <c r="B741" s="600">
        <f t="shared" si="41"/>
        <v>281</v>
      </c>
      <c r="C741" s="600">
        <v>249</v>
      </c>
      <c r="D741" s="600">
        <v>13</v>
      </c>
      <c r="E741" s="600">
        <v>4</v>
      </c>
      <c r="F741" s="600">
        <v>1</v>
      </c>
      <c r="G741" s="600">
        <v>4</v>
      </c>
      <c r="H741" s="600">
        <v>10</v>
      </c>
      <c r="L741" s="600"/>
    </row>
    <row r="742" spans="1:12" s="263" customFormat="1" ht="9" customHeight="1" x14ac:dyDescent="0.25">
      <c r="A742" s="550" t="s">
        <v>31</v>
      </c>
      <c r="B742" s="600">
        <f t="shared" si="41"/>
        <v>32</v>
      </c>
      <c r="C742" s="600">
        <v>31</v>
      </c>
      <c r="D742" s="600">
        <v>1</v>
      </c>
      <c r="E742" s="600">
        <v>0</v>
      </c>
      <c r="F742" s="600">
        <v>0</v>
      </c>
      <c r="G742" s="600">
        <v>0</v>
      </c>
      <c r="H742" s="600">
        <v>0</v>
      </c>
      <c r="L742" s="600"/>
    </row>
    <row r="743" spans="1:12" s="263" customFormat="1" ht="9" customHeight="1" x14ac:dyDescent="0.25">
      <c r="A743" s="550" t="s">
        <v>32</v>
      </c>
      <c r="B743" s="600">
        <f t="shared" si="41"/>
        <v>218</v>
      </c>
      <c r="C743" s="600">
        <v>188</v>
      </c>
      <c r="D743" s="600">
        <v>18</v>
      </c>
      <c r="E743" s="600">
        <v>0</v>
      </c>
      <c r="F743" s="600">
        <v>0</v>
      </c>
      <c r="G743" s="600">
        <v>0</v>
      </c>
      <c r="H743" s="600">
        <v>12</v>
      </c>
      <c r="L743" s="600"/>
    </row>
    <row r="744" spans="1:12" s="263" customFormat="1" ht="9" customHeight="1" x14ac:dyDescent="0.25">
      <c r="A744" s="603" t="s">
        <v>33</v>
      </c>
      <c r="B744" s="604">
        <f t="shared" si="41"/>
        <v>105</v>
      </c>
      <c r="C744" s="604">
        <v>90</v>
      </c>
      <c r="D744" s="604">
        <v>11</v>
      </c>
      <c r="E744" s="604">
        <v>1</v>
      </c>
      <c r="F744" s="604">
        <v>0</v>
      </c>
      <c r="G744" s="604">
        <v>0</v>
      </c>
      <c r="H744" s="604">
        <v>3</v>
      </c>
      <c r="L744" s="600"/>
    </row>
    <row r="745" spans="1:12" s="263" customFormat="1" ht="9" customHeight="1" x14ac:dyDescent="0.25">
      <c r="A745" s="550" t="s">
        <v>34</v>
      </c>
      <c r="B745" s="600">
        <f t="shared" si="41"/>
        <v>119</v>
      </c>
      <c r="C745" s="600">
        <v>108</v>
      </c>
      <c r="D745" s="600">
        <v>8</v>
      </c>
      <c r="E745" s="600">
        <v>2</v>
      </c>
      <c r="F745" s="600">
        <v>0</v>
      </c>
      <c r="G745" s="600">
        <v>0</v>
      </c>
      <c r="H745" s="600">
        <v>1</v>
      </c>
      <c r="L745" s="600"/>
    </row>
    <row r="746" spans="1:12" s="263" customFormat="1" ht="9" customHeight="1" x14ac:dyDescent="0.25">
      <c r="A746" s="550" t="s">
        <v>35</v>
      </c>
      <c r="B746" s="600">
        <f t="shared" si="41"/>
        <v>210</v>
      </c>
      <c r="C746" s="600">
        <v>194</v>
      </c>
      <c r="D746" s="600">
        <v>3</v>
      </c>
      <c r="E746" s="600">
        <v>0</v>
      </c>
      <c r="F746" s="600">
        <v>2</v>
      </c>
      <c r="G746" s="600">
        <v>0</v>
      </c>
      <c r="H746" s="600">
        <v>11</v>
      </c>
      <c r="L746" s="600"/>
    </row>
    <row r="747" spans="1:12" s="263" customFormat="1" ht="9" customHeight="1" x14ac:dyDescent="0.25">
      <c r="A747" s="550" t="s">
        <v>36</v>
      </c>
      <c r="B747" s="600">
        <f t="shared" si="41"/>
        <v>459</v>
      </c>
      <c r="C747" s="600">
        <v>446</v>
      </c>
      <c r="D747" s="600">
        <v>10</v>
      </c>
      <c r="E747" s="600">
        <v>1</v>
      </c>
      <c r="F747" s="600">
        <v>0</v>
      </c>
      <c r="G747" s="600">
        <v>0</v>
      </c>
      <c r="H747" s="600">
        <v>2</v>
      </c>
      <c r="L747" s="600"/>
    </row>
    <row r="748" spans="1:12" s="263" customFormat="1" ht="9" customHeight="1" x14ac:dyDescent="0.25">
      <c r="A748" s="603" t="s">
        <v>37</v>
      </c>
      <c r="B748" s="604">
        <f t="shared" si="41"/>
        <v>149</v>
      </c>
      <c r="C748" s="604">
        <v>138</v>
      </c>
      <c r="D748" s="604">
        <v>6</v>
      </c>
      <c r="E748" s="604">
        <v>1</v>
      </c>
      <c r="F748" s="604">
        <v>1</v>
      </c>
      <c r="G748" s="604">
        <v>0</v>
      </c>
      <c r="H748" s="604">
        <v>3</v>
      </c>
      <c r="L748" s="600"/>
    </row>
    <row r="749" spans="1:12" s="263" customFormat="1" ht="9" customHeight="1" x14ac:dyDescent="0.25">
      <c r="A749" s="550" t="s">
        <v>38</v>
      </c>
      <c r="B749" s="600">
        <f t="shared" si="41"/>
        <v>70</v>
      </c>
      <c r="C749" s="600">
        <v>56</v>
      </c>
      <c r="D749" s="600">
        <v>9</v>
      </c>
      <c r="E749" s="600">
        <v>0</v>
      </c>
      <c r="F749" s="600">
        <v>0</v>
      </c>
      <c r="G749" s="600">
        <v>0</v>
      </c>
      <c r="H749" s="600">
        <v>5</v>
      </c>
      <c r="L749" s="600"/>
    </row>
    <row r="750" spans="1:12" s="263" customFormat="1" ht="9" customHeight="1" x14ac:dyDescent="0.25">
      <c r="A750" s="550" t="s">
        <v>39</v>
      </c>
      <c r="B750" s="600">
        <f t="shared" si="41"/>
        <v>14</v>
      </c>
      <c r="C750" s="600">
        <v>14</v>
      </c>
      <c r="D750" s="600">
        <v>0</v>
      </c>
      <c r="E750" s="600">
        <v>0</v>
      </c>
      <c r="F750" s="600">
        <v>0</v>
      </c>
      <c r="G750" s="600">
        <v>0</v>
      </c>
      <c r="H750" s="600">
        <v>0</v>
      </c>
      <c r="L750" s="600"/>
    </row>
    <row r="751" spans="1:12" s="263" customFormat="1" ht="9" customHeight="1" x14ac:dyDescent="0.25">
      <c r="A751" s="550" t="s">
        <v>40</v>
      </c>
      <c r="B751" s="600">
        <f t="shared" si="41"/>
        <v>75</v>
      </c>
      <c r="C751" s="600">
        <v>65</v>
      </c>
      <c r="D751" s="600">
        <v>6</v>
      </c>
      <c r="E751" s="600">
        <v>0</v>
      </c>
      <c r="F751" s="600">
        <v>2</v>
      </c>
      <c r="G751" s="600">
        <v>1</v>
      </c>
      <c r="H751" s="600">
        <v>1</v>
      </c>
      <c r="L751" s="600"/>
    </row>
    <row r="752" spans="1:12" s="263" customFormat="1" ht="9" customHeight="1" x14ac:dyDescent="0.25">
      <c r="A752" s="603" t="s">
        <v>41</v>
      </c>
      <c r="B752" s="604">
        <f t="shared" si="41"/>
        <v>114</v>
      </c>
      <c r="C752" s="604">
        <v>104</v>
      </c>
      <c r="D752" s="604">
        <v>8</v>
      </c>
      <c r="E752" s="604">
        <v>2</v>
      </c>
      <c r="F752" s="604">
        <v>0</v>
      </c>
      <c r="G752" s="604">
        <v>0</v>
      </c>
      <c r="H752" s="604">
        <v>0</v>
      </c>
      <c r="L752" s="600"/>
    </row>
    <row r="753" spans="1:12" s="263" customFormat="1" ht="9" customHeight="1" x14ac:dyDescent="0.25">
      <c r="A753" s="550" t="s">
        <v>42</v>
      </c>
      <c r="B753" s="600">
        <f t="shared" si="41"/>
        <v>148</v>
      </c>
      <c r="C753" s="600">
        <v>137</v>
      </c>
      <c r="D753" s="600">
        <v>6</v>
      </c>
      <c r="E753" s="600">
        <v>1</v>
      </c>
      <c r="F753" s="600">
        <v>2</v>
      </c>
      <c r="G753" s="600">
        <v>0</v>
      </c>
      <c r="H753" s="600">
        <v>2</v>
      </c>
      <c r="L753" s="600"/>
    </row>
    <row r="754" spans="1:12" s="263" customFormat="1" ht="9" customHeight="1" x14ac:dyDescent="0.25">
      <c r="A754" s="550" t="s">
        <v>43</v>
      </c>
      <c r="B754" s="600">
        <f t="shared" si="41"/>
        <v>66</v>
      </c>
      <c r="C754" s="600">
        <v>57</v>
      </c>
      <c r="D754" s="600">
        <v>6</v>
      </c>
      <c r="E754" s="600">
        <v>0</v>
      </c>
      <c r="F754" s="600">
        <v>0</v>
      </c>
      <c r="G754" s="600">
        <v>1</v>
      </c>
      <c r="H754" s="600">
        <v>2</v>
      </c>
      <c r="L754" s="600"/>
    </row>
    <row r="755" spans="1:12" s="263" customFormat="1" ht="9" customHeight="1" x14ac:dyDescent="0.25">
      <c r="A755" s="550" t="s">
        <v>44</v>
      </c>
      <c r="B755" s="600">
        <f t="shared" si="41"/>
        <v>36</v>
      </c>
      <c r="C755" s="600">
        <v>26</v>
      </c>
      <c r="D755" s="600">
        <v>8</v>
      </c>
      <c r="E755" s="600">
        <v>0</v>
      </c>
      <c r="F755" s="600">
        <v>0</v>
      </c>
      <c r="G755" s="600">
        <v>0</v>
      </c>
      <c r="H755" s="600">
        <v>2</v>
      </c>
      <c r="L755" s="600"/>
    </row>
    <row r="756" spans="1:12" s="263" customFormat="1" ht="9" customHeight="1" x14ac:dyDescent="0.25">
      <c r="A756" s="603" t="s">
        <v>45</v>
      </c>
      <c r="B756" s="604">
        <f t="shared" si="41"/>
        <v>40</v>
      </c>
      <c r="C756" s="604">
        <v>37</v>
      </c>
      <c r="D756" s="604">
        <v>1</v>
      </c>
      <c r="E756" s="604">
        <v>0</v>
      </c>
      <c r="F756" s="604">
        <v>0</v>
      </c>
      <c r="G756" s="604">
        <v>0</v>
      </c>
      <c r="H756" s="604">
        <v>2</v>
      </c>
      <c r="L756" s="600"/>
    </row>
    <row r="757" spans="1:12" s="263" customFormat="1" ht="9" customHeight="1" x14ac:dyDescent="0.25">
      <c r="A757" s="550" t="s">
        <v>46</v>
      </c>
      <c r="B757" s="600">
        <f t="shared" si="41"/>
        <v>61</v>
      </c>
      <c r="C757" s="600">
        <v>52</v>
      </c>
      <c r="D757" s="600">
        <v>6</v>
      </c>
      <c r="E757" s="600">
        <v>0</v>
      </c>
      <c r="F757" s="600">
        <v>0</v>
      </c>
      <c r="G757" s="600">
        <v>1</v>
      </c>
      <c r="H757" s="600">
        <v>2</v>
      </c>
      <c r="L757" s="600"/>
    </row>
    <row r="758" spans="1:12" s="263" customFormat="1" ht="9" customHeight="1" x14ac:dyDescent="0.25">
      <c r="A758" s="550" t="s">
        <v>47</v>
      </c>
      <c r="B758" s="600">
        <f t="shared" si="41"/>
        <v>44</v>
      </c>
      <c r="C758" s="600">
        <v>39</v>
      </c>
      <c r="D758" s="600">
        <v>4</v>
      </c>
      <c r="E758" s="600">
        <v>0</v>
      </c>
      <c r="F758" s="600">
        <v>0</v>
      </c>
      <c r="G758" s="600">
        <v>0</v>
      </c>
      <c r="H758" s="600">
        <v>1</v>
      </c>
      <c r="L758" s="600"/>
    </row>
    <row r="759" spans="1:12" s="263" customFormat="1" ht="9" customHeight="1" x14ac:dyDescent="0.25">
      <c r="A759" s="550" t="s">
        <v>48</v>
      </c>
      <c r="B759" s="600">
        <f t="shared" si="41"/>
        <v>50</v>
      </c>
      <c r="C759" s="600">
        <v>44</v>
      </c>
      <c r="D759" s="600">
        <v>6</v>
      </c>
      <c r="E759" s="600">
        <v>0</v>
      </c>
      <c r="F759" s="600">
        <v>0</v>
      </c>
      <c r="G759" s="600">
        <v>0</v>
      </c>
      <c r="H759" s="600">
        <v>0</v>
      </c>
      <c r="L759" s="600"/>
    </row>
    <row r="760" spans="1:12" s="263" customFormat="1" ht="9" customHeight="1" x14ac:dyDescent="0.25">
      <c r="A760" s="603" t="s">
        <v>49</v>
      </c>
      <c r="B760" s="604">
        <f t="shared" si="41"/>
        <v>54</v>
      </c>
      <c r="C760" s="604">
        <v>34</v>
      </c>
      <c r="D760" s="604">
        <v>4</v>
      </c>
      <c r="E760" s="604">
        <v>1</v>
      </c>
      <c r="F760" s="604">
        <v>0</v>
      </c>
      <c r="G760" s="604">
        <v>0</v>
      </c>
      <c r="H760" s="604">
        <v>15</v>
      </c>
      <c r="L760" s="600"/>
    </row>
    <row r="761" spans="1:12" s="263" customFormat="1" ht="9" customHeight="1" x14ac:dyDescent="0.25">
      <c r="A761" s="550" t="s">
        <v>50</v>
      </c>
      <c r="B761" s="600">
        <f t="shared" si="41"/>
        <v>41</v>
      </c>
      <c r="C761" s="600">
        <v>40</v>
      </c>
      <c r="D761" s="600">
        <v>1</v>
      </c>
      <c r="E761" s="600">
        <v>0</v>
      </c>
      <c r="F761" s="600">
        <v>0</v>
      </c>
      <c r="G761" s="600">
        <v>0</v>
      </c>
      <c r="H761" s="600">
        <v>0</v>
      </c>
      <c r="L761" s="600"/>
    </row>
    <row r="762" spans="1:12" s="263" customFormat="1" ht="9" customHeight="1" x14ac:dyDescent="0.25">
      <c r="A762" s="550" t="s">
        <v>51</v>
      </c>
      <c r="B762" s="600">
        <f t="shared" si="41"/>
        <v>140</v>
      </c>
      <c r="C762" s="600">
        <v>115</v>
      </c>
      <c r="D762" s="600">
        <v>13</v>
      </c>
      <c r="E762" s="600">
        <v>0</v>
      </c>
      <c r="F762" s="600">
        <v>2</v>
      </c>
      <c r="G762" s="600">
        <v>2</v>
      </c>
      <c r="H762" s="600">
        <v>8</v>
      </c>
      <c r="L762" s="600"/>
    </row>
    <row r="763" spans="1:12" s="263" customFormat="1" ht="9" customHeight="1" x14ac:dyDescent="0.25">
      <c r="A763" s="550" t="s">
        <v>52</v>
      </c>
      <c r="B763" s="600">
        <f t="shared" si="41"/>
        <v>24</v>
      </c>
      <c r="C763" s="600">
        <v>22</v>
      </c>
      <c r="D763" s="600">
        <v>0</v>
      </c>
      <c r="E763" s="600">
        <v>0</v>
      </c>
      <c r="F763" s="600">
        <v>0</v>
      </c>
      <c r="G763" s="600">
        <v>0</v>
      </c>
      <c r="H763" s="600">
        <v>2</v>
      </c>
      <c r="L763" s="600"/>
    </row>
    <row r="764" spans="1:12" s="263" customFormat="1" ht="9" customHeight="1" x14ac:dyDescent="0.25">
      <c r="A764" s="603" t="s">
        <v>53</v>
      </c>
      <c r="B764" s="604">
        <f t="shared" si="41"/>
        <v>32</v>
      </c>
      <c r="C764" s="604">
        <v>31</v>
      </c>
      <c r="D764" s="604">
        <v>0</v>
      </c>
      <c r="E764" s="604">
        <v>0</v>
      </c>
      <c r="F764" s="604">
        <v>0</v>
      </c>
      <c r="G764" s="604">
        <v>0</v>
      </c>
      <c r="H764" s="604">
        <v>1</v>
      </c>
      <c r="L764" s="600"/>
    </row>
    <row r="765" spans="1:12" s="263" customFormat="1" ht="9" customHeight="1" x14ac:dyDescent="0.25">
      <c r="A765" s="269"/>
      <c r="B765" s="605"/>
      <c r="C765" s="605"/>
      <c r="D765" s="605"/>
      <c r="E765" s="605"/>
      <c r="F765" s="605"/>
      <c r="G765" s="605"/>
      <c r="H765" s="605"/>
      <c r="I765" s="286"/>
    </row>
    <row r="766" spans="1:12" s="263" customFormat="1" ht="9" customHeight="1" x14ac:dyDescent="0.25">
      <c r="A766" s="601">
        <v>2016</v>
      </c>
      <c r="B766" s="266"/>
      <c r="C766" s="266"/>
      <c r="D766" s="266"/>
      <c r="E766" s="266"/>
      <c r="F766" s="266"/>
      <c r="G766" s="266"/>
      <c r="H766" s="266"/>
    </row>
    <row r="767" spans="1:12" s="265" customFormat="1" ht="9" customHeight="1" x14ac:dyDescent="0.25">
      <c r="A767" s="265" t="s">
        <v>21</v>
      </c>
      <c r="B767" s="602">
        <f>SUM(B769:B800)</f>
        <v>2906</v>
      </c>
      <c r="C767" s="602">
        <f t="shared" ref="C767:G767" si="42">SUM(C769:C800)</f>
        <v>2436</v>
      </c>
      <c r="D767" s="602">
        <f t="shared" si="42"/>
        <v>330</v>
      </c>
      <c r="E767" s="602">
        <f t="shared" si="42"/>
        <v>10</v>
      </c>
      <c r="F767" s="602">
        <f t="shared" si="42"/>
        <v>12</v>
      </c>
      <c r="G767" s="602">
        <f t="shared" si="42"/>
        <v>9</v>
      </c>
      <c r="H767" s="602">
        <f>SUM(H769:H800)</f>
        <v>109</v>
      </c>
      <c r="K767" s="606"/>
    </row>
    <row r="768" spans="1:12" s="265" customFormat="1" ht="3.95" customHeight="1" x14ac:dyDescent="0.25">
      <c r="B768" s="602"/>
      <c r="C768" s="602"/>
      <c r="D768" s="602"/>
      <c r="E768" s="602"/>
      <c r="F768" s="602"/>
      <c r="G768" s="602"/>
      <c r="H768" s="602"/>
    </row>
    <row r="769" spans="1:12" s="263" customFormat="1" ht="9" customHeight="1" x14ac:dyDescent="0.25">
      <c r="A769" s="550" t="s">
        <v>23</v>
      </c>
      <c r="B769" s="600">
        <f>SUM(C769:H769)</f>
        <v>18</v>
      </c>
      <c r="C769" s="600">
        <v>15</v>
      </c>
      <c r="D769" s="600">
        <v>2</v>
      </c>
      <c r="E769" s="600">
        <v>0</v>
      </c>
      <c r="F769" s="600">
        <v>0</v>
      </c>
      <c r="G769" s="600">
        <v>0</v>
      </c>
      <c r="H769" s="600">
        <v>1</v>
      </c>
      <c r="L769" s="600"/>
    </row>
    <row r="770" spans="1:12" s="263" customFormat="1" ht="9" customHeight="1" x14ac:dyDescent="0.25">
      <c r="A770" s="550" t="s">
        <v>24</v>
      </c>
      <c r="B770" s="600">
        <f t="shared" ref="B770:B800" si="43">SUM(C770:H770)</f>
        <v>142</v>
      </c>
      <c r="C770" s="600">
        <v>117</v>
      </c>
      <c r="D770" s="600">
        <v>6</v>
      </c>
      <c r="E770" s="600">
        <v>0</v>
      </c>
      <c r="F770" s="600">
        <v>0</v>
      </c>
      <c r="G770" s="600">
        <v>0</v>
      </c>
      <c r="H770" s="600">
        <v>19</v>
      </c>
      <c r="L770" s="600"/>
    </row>
    <row r="771" spans="1:12" s="263" customFormat="1" ht="9" customHeight="1" x14ac:dyDescent="0.25">
      <c r="A771" s="550" t="s">
        <v>25</v>
      </c>
      <c r="B771" s="600">
        <f t="shared" si="43"/>
        <v>13</v>
      </c>
      <c r="C771" s="600">
        <v>12</v>
      </c>
      <c r="D771" s="600">
        <v>0</v>
      </c>
      <c r="E771" s="600">
        <v>0</v>
      </c>
      <c r="F771" s="600">
        <v>0</v>
      </c>
      <c r="G771" s="600">
        <v>0</v>
      </c>
      <c r="H771" s="600">
        <v>1</v>
      </c>
      <c r="L771" s="600"/>
    </row>
    <row r="772" spans="1:12" s="263" customFormat="1" ht="9" customHeight="1" x14ac:dyDescent="0.25">
      <c r="A772" s="603" t="s">
        <v>26</v>
      </c>
      <c r="B772" s="604">
        <f t="shared" si="43"/>
        <v>9</v>
      </c>
      <c r="C772" s="604">
        <v>9</v>
      </c>
      <c r="D772" s="604">
        <v>0</v>
      </c>
      <c r="E772" s="604">
        <v>0</v>
      </c>
      <c r="F772" s="604">
        <v>0</v>
      </c>
      <c r="G772" s="604">
        <v>0</v>
      </c>
      <c r="H772" s="604">
        <v>0</v>
      </c>
      <c r="L772" s="600"/>
    </row>
    <row r="773" spans="1:12" s="263" customFormat="1" ht="9" customHeight="1" x14ac:dyDescent="0.25">
      <c r="A773" s="550" t="s">
        <v>27</v>
      </c>
      <c r="B773" s="600">
        <f t="shared" si="43"/>
        <v>38</v>
      </c>
      <c r="C773" s="600">
        <v>29</v>
      </c>
      <c r="D773" s="600">
        <v>5</v>
      </c>
      <c r="E773" s="600">
        <v>0</v>
      </c>
      <c r="F773" s="600">
        <v>3</v>
      </c>
      <c r="G773" s="600">
        <v>0</v>
      </c>
      <c r="H773" s="600">
        <v>1</v>
      </c>
      <c r="L773" s="600"/>
    </row>
    <row r="774" spans="1:12" s="263" customFormat="1" ht="9" customHeight="1" x14ac:dyDescent="0.25">
      <c r="A774" s="550" t="s">
        <v>28</v>
      </c>
      <c r="B774" s="600">
        <f t="shared" si="43"/>
        <v>13</v>
      </c>
      <c r="C774" s="600">
        <v>12</v>
      </c>
      <c r="D774" s="600">
        <v>1</v>
      </c>
      <c r="E774" s="600">
        <v>0</v>
      </c>
      <c r="F774" s="600">
        <v>0</v>
      </c>
      <c r="G774" s="600">
        <v>0</v>
      </c>
      <c r="H774" s="600">
        <v>0</v>
      </c>
      <c r="L774" s="600"/>
    </row>
    <row r="775" spans="1:12" s="263" customFormat="1" ht="9" customHeight="1" x14ac:dyDescent="0.25">
      <c r="A775" s="550" t="s">
        <v>29</v>
      </c>
      <c r="B775" s="600">
        <f t="shared" si="43"/>
        <v>64</v>
      </c>
      <c r="C775" s="600">
        <v>9</v>
      </c>
      <c r="D775" s="600">
        <v>55</v>
      </c>
      <c r="E775" s="600">
        <v>0</v>
      </c>
      <c r="F775" s="600">
        <v>0</v>
      </c>
      <c r="G775" s="600">
        <v>0</v>
      </c>
      <c r="H775" s="600">
        <v>0</v>
      </c>
      <c r="L775" s="600"/>
    </row>
    <row r="776" spans="1:12" s="263" customFormat="1" ht="9" customHeight="1" x14ac:dyDescent="0.25">
      <c r="A776" s="603" t="s">
        <v>30</v>
      </c>
      <c r="B776" s="604">
        <f t="shared" si="43"/>
        <v>70</v>
      </c>
      <c r="C776" s="604">
        <v>62</v>
      </c>
      <c r="D776" s="604">
        <v>7</v>
      </c>
      <c r="E776" s="604">
        <v>1</v>
      </c>
      <c r="F776" s="604">
        <v>0</v>
      </c>
      <c r="G776" s="604">
        <v>0</v>
      </c>
      <c r="H776" s="604">
        <v>0</v>
      </c>
      <c r="L776" s="600"/>
    </row>
    <row r="777" spans="1:12" s="263" customFormat="1" ht="9" customHeight="1" x14ac:dyDescent="0.25">
      <c r="A777" s="550" t="s">
        <v>63</v>
      </c>
      <c r="B777" s="600">
        <f t="shared" si="43"/>
        <v>271</v>
      </c>
      <c r="C777" s="600">
        <v>241</v>
      </c>
      <c r="D777" s="600">
        <v>12</v>
      </c>
      <c r="E777" s="600">
        <v>2</v>
      </c>
      <c r="F777" s="600">
        <v>1</v>
      </c>
      <c r="G777" s="600">
        <v>4</v>
      </c>
      <c r="H777" s="600">
        <v>11</v>
      </c>
      <c r="L777" s="600"/>
    </row>
    <row r="778" spans="1:12" s="263" customFormat="1" ht="9" customHeight="1" x14ac:dyDescent="0.25">
      <c r="A778" s="550" t="s">
        <v>31</v>
      </c>
      <c r="B778" s="600">
        <f t="shared" si="43"/>
        <v>31</v>
      </c>
      <c r="C778" s="600">
        <v>29</v>
      </c>
      <c r="D778" s="600">
        <v>1</v>
      </c>
      <c r="E778" s="600">
        <v>0</v>
      </c>
      <c r="F778" s="600">
        <v>0</v>
      </c>
      <c r="G778" s="600">
        <v>0</v>
      </c>
      <c r="H778" s="600">
        <v>1</v>
      </c>
      <c r="L778" s="600"/>
    </row>
    <row r="779" spans="1:12" s="263" customFormat="1" ht="9" customHeight="1" x14ac:dyDescent="0.25">
      <c r="A779" s="550" t="s">
        <v>32</v>
      </c>
      <c r="B779" s="600">
        <f t="shared" si="43"/>
        <v>209</v>
      </c>
      <c r="C779" s="600">
        <v>181</v>
      </c>
      <c r="D779" s="600">
        <v>16</v>
      </c>
      <c r="E779" s="600">
        <v>0</v>
      </c>
      <c r="F779" s="600">
        <v>0</v>
      </c>
      <c r="G779" s="600">
        <v>0</v>
      </c>
      <c r="H779" s="600">
        <v>12</v>
      </c>
      <c r="L779" s="600"/>
    </row>
    <row r="780" spans="1:12" s="263" customFormat="1" ht="9" customHeight="1" x14ac:dyDescent="0.25">
      <c r="A780" s="603" t="s">
        <v>33</v>
      </c>
      <c r="B780" s="604">
        <f t="shared" si="43"/>
        <v>109</v>
      </c>
      <c r="C780" s="604">
        <v>93</v>
      </c>
      <c r="D780" s="604">
        <v>12</v>
      </c>
      <c r="E780" s="604">
        <v>1</v>
      </c>
      <c r="F780" s="604">
        <v>0</v>
      </c>
      <c r="G780" s="604">
        <v>0</v>
      </c>
      <c r="H780" s="604">
        <v>3</v>
      </c>
      <c r="L780" s="600"/>
    </row>
    <row r="781" spans="1:12" s="263" customFormat="1" ht="9" customHeight="1" x14ac:dyDescent="0.25">
      <c r="A781" s="550" t="s">
        <v>34</v>
      </c>
      <c r="B781" s="600">
        <f t="shared" si="43"/>
        <v>112</v>
      </c>
      <c r="C781" s="600">
        <v>104</v>
      </c>
      <c r="D781" s="600">
        <v>7</v>
      </c>
      <c r="E781" s="600">
        <v>1</v>
      </c>
      <c r="F781" s="600">
        <v>0</v>
      </c>
      <c r="G781" s="600">
        <v>0</v>
      </c>
      <c r="H781" s="600">
        <v>0</v>
      </c>
      <c r="L781" s="600"/>
    </row>
    <row r="782" spans="1:12" s="263" customFormat="1" ht="9" customHeight="1" x14ac:dyDescent="0.25">
      <c r="A782" s="550" t="s">
        <v>35</v>
      </c>
      <c r="B782" s="600">
        <f t="shared" si="43"/>
        <v>209</v>
      </c>
      <c r="C782" s="600">
        <v>193</v>
      </c>
      <c r="D782" s="600">
        <v>2</v>
      </c>
      <c r="E782" s="600">
        <v>0</v>
      </c>
      <c r="F782" s="600">
        <v>2</v>
      </c>
      <c r="G782" s="600">
        <v>0</v>
      </c>
      <c r="H782" s="600">
        <v>12</v>
      </c>
      <c r="L782" s="600"/>
    </row>
    <row r="783" spans="1:12" s="263" customFormat="1" ht="9" customHeight="1" x14ac:dyDescent="0.25">
      <c r="A783" s="550" t="s">
        <v>36</v>
      </c>
      <c r="B783" s="600">
        <f t="shared" si="43"/>
        <v>468</v>
      </c>
      <c r="C783" s="600">
        <v>372</v>
      </c>
      <c r="D783" s="600">
        <v>91</v>
      </c>
      <c r="E783" s="600">
        <v>1</v>
      </c>
      <c r="F783" s="600">
        <v>0</v>
      </c>
      <c r="G783" s="600">
        <v>1</v>
      </c>
      <c r="H783" s="600">
        <v>3</v>
      </c>
      <c r="L783" s="600"/>
    </row>
    <row r="784" spans="1:12" s="263" customFormat="1" ht="9" customHeight="1" x14ac:dyDescent="0.25">
      <c r="A784" s="603" t="s">
        <v>37</v>
      </c>
      <c r="B784" s="604">
        <f t="shared" si="43"/>
        <v>149</v>
      </c>
      <c r="C784" s="604">
        <v>137</v>
      </c>
      <c r="D784" s="604">
        <v>7</v>
      </c>
      <c r="E784" s="604">
        <v>1</v>
      </c>
      <c r="F784" s="604">
        <v>1</v>
      </c>
      <c r="G784" s="604">
        <v>0</v>
      </c>
      <c r="H784" s="604">
        <v>3</v>
      </c>
      <c r="L784" s="600"/>
    </row>
    <row r="785" spans="1:12" s="263" customFormat="1" ht="9" customHeight="1" x14ac:dyDescent="0.25">
      <c r="A785" s="550" t="s">
        <v>38</v>
      </c>
      <c r="B785" s="600">
        <f t="shared" si="43"/>
        <v>64</v>
      </c>
      <c r="C785" s="600">
        <v>51</v>
      </c>
      <c r="D785" s="600">
        <v>9</v>
      </c>
      <c r="E785" s="600">
        <v>0</v>
      </c>
      <c r="F785" s="600">
        <v>0</v>
      </c>
      <c r="G785" s="600">
        <v>0</v>
      </c>
      <c r="H785" s="600">
        <v>4</v>
      </c>
      <c r="L785" s="600"/>
    </row>
    <row r="786" spans="1:12" s="263" customFormat="1" ht="9" customHeight="1" x14ac:dyDescent="0.25">
      <c r="A786" s="550" t="s">
        <v>39</v>
      </c>
      <c r="B786" s="600">
        <f t="shared" si="43"/>
        <v>12</v>
      </c>
      <c r="C786" s="600">
        <v>11</v>
      </c>
      <c r="D786" s="600">
        <v>1</v>
      </c>
      <c r="E786" s="600">
        <v>0</v>
      </c>
      <c r="F786" s="600">
        <v>0</v>
      </c>
      <c r="G786" s="600">
        <v>0</v>
      </c>
      <c r="H786" s="600">
        <v>0</v>
      </c>
      <c r="L786" s="600"/>
    </row>
    <row r="787" spans="1:12" s="263" customFormat="1" ht="9" customHeight="1" x14ac:dyDescent="0.25">
      <c r="A787" s="550" t="s">
        <v>40</v>
      </c>
      <c r="B787" s="600">
        <f t="shared" si="43"/>
        <v>75</v>
      </c>
      <c r="C787" s="600">
        <v>65</v>
      </c>
      <c r="D787" s="600">
        <v>6</v>
      </c>
      <c r="E787" s="600">
        <v>0</v>
      </c>
      <c r="F787" s="600">
        <v>2</v>
      </c>
      <c r="G787" s="600">
        <v>1</v>
      </c>
      <c r="H787" s="600">
        <v>1</v>
      </c>
      <c r="L787" s="600"/>
    </row>
    <row r="788" spans="1:12" s="263" customFormat="1" ht="9" customHeight="1" x14ac:dyDescent="0.25">
      <c r="A788" s="603" t="s">
        <v>41</v>
      </c>
      <c r="B788" s="604">
        <f t="shared" si="43"/>
        <v>107</v>
      </c>
      <c r="C788" s="604">
        <v>101</v>
      </c>
      <c r="D788" s="604">
        <v>5</v>
      </c>
      <c r="E788" s="604">
        <v>1</v>
      </c>
      <c r="F788" s="604">
        <v>0</v>
      </c>
      <c r="G788" s="604">
        <v>0</v>
      </c>
      <c r="H788" s="604">
        <v>0</v>
      </c>
      <c r="L788" s="600"/>
    </row>
    <row r="789" spans="1:12" s="263" customFormat="1" ht="9" customHeight="1" x14ac:dyDescent="0.25">
      <c r="A789" s="550" t="s">
        <v>42</v>
      </c>
      <c r="B789" s="600">
        <f t="shared" si="43"/>
        <v>146</v>
      </c>
      <c r="C789" s="600">
        <v>135</v>
      </c>
      <c r="D789" s="600">
        <v>6</v>
      </c>
      <c r="E789" s="600">
        <v>1</v>
      </c>
      <c r="F789" s="600">
        <v>2</v>
      </c>
      <c r="G789" s="600">
        <v>0</v>
      </c>
      <c r="H789" s="600">
        <v>2</v>
      </c>
      <c r="L789" s="600"/>
    </row>
    <row r="790" spans="1:12" s="263" customFormat="1" ht="9" customHeight="1" x14ac:dyDescent="0.25">
      <c r="A790" s="550" t="s">
        <v>43</v>
      </c>
      <c r="B790" s="600">
        <f t="shared" si="43"/>
        <v>65</v>
      </c>
      <c r="C790" s="600">
        <v>57</v>
      </c>
      <c r="D790" s="600">
        <v>4</v>
      </c>
      <c r="E790" s="600">
        <v>0</v>
      </c>
      <c r="F790" s="600">
        <v>0</v>
      </c>
      <c r="G790" s="600">
        <v>1</v>
      </c>
      <c r="H790" s="600">
        <v>3</v>
      </c>
      <c r="L790" s="600"/>
    </row>
    <row r="791" spans="1:12" s="263" customFormat="1" ht="9" customHeight="1" x14ac:dyDescent="0.25">
      <c r="A791" s="550" t="s">
        <v>44</v>
      </c>
      <c r="B791" s="600">
        <f t="shared" si="43"/>
        <v>35</v>
      </c>
      <c r="C791" s="600">
        <v>26</v>
      </c>
      <c r="D791" s="600">
        <v>7</v>
      </c>
      <c r="E791" s="600">
        <v>0</v>
      </c>
      <c r="F791" s="600">
        <v>0</v>
      </c>
      <c r="G791" s="600">
        <v>0</v>
      </c>
      <c r="H791" s="600">
        <v>2</v>
      </c>
      <c r="L791" s="600"/>
    </row>
    <row r="792" spans="1:12" s="263" customFormat="1" ht="9" customHeight="1" x14ac:dyDescent="0.25">
      <c r="A792" s="603" t="s">
        <v>45</v>
      </c>
      <c r="B792" s="604">
        <f t="shared" si="43"/>
        <v>37</v>
      </c>
      <c r="C792" s="604">
        <v>34</v>
      </c>
      <c r="D792" s="604">
        <v>1</v>
      </c>
      <c r="E792" s="604">
        <v>0</v>
      </c>
      <c r="F792" s="604">
        <v>0</v>
      </c>
      <c r="G792" s="604">
        <v>0</v>
      </c>
      <c r="H792" s="604">
        <v>2</v>
      </c>
      <c r="L792" s="600"/>
    </row>
    <row r="793" spans="1:12" s="263" customFormat="1" ht="9" customHeight="1" x14ac:dyDescent="0.25">
      <c r="A793" s="550" t="s">
        <v>46</v>
      </c>
      <c r="B793" s="600">
        <f t="shared" si="43"/>
        <v>61</v>
      </c>
      <c r="C793" s="600">
        <v>26</v>
      </c>
      <c r="D793" s="600">
        <v>35</v>
      </c>
      <c r="E793" s="600">
        <v>0</v>
      </c>
      <c r="F793" s="600">
        <v>0</v>
      </c>
      <c r="G793" s="600">
        <v>0</v>
      </c>
      <c r="H793" s="600">
        <v>0</v>
      </c>
      <c r="L793" s="600"/>
    </row>
    <row r="794" spans="1:12" s="263" customFormat="1" ht="9" customHeight="1" x14ac:dyDescent="0.25">
      <c r="A794" s="550" t="s">
        <v>47</v>
      </c>
      <c r="B794" s="600">
        <f t="shared" si="43"/>
        <v>42</v>
      </c>
      <c r="C794" s="600">
        <v>35</v>
      </c>
      <c r="D794" s="600">
        <v>6</v>
      </c>
      <c r="E794" s="600">
        <v>0</v>
      </c>
      <c r="F794" s="600">
        <v>0</v>
      </c>
      <c r="G794" s="600">
        <v>0</v>
      </c>
      <c r="H794" s="600">
        <v>1</v>
      </c>
      <c r="L794" s="600"/>
    </row>
    <row r="795" spans="1:12" s="263" customFormat="1" ht="9" customHeight="1" x14ac:dyDescent="0.25">
      <c r="A795" s="550" t="s">
        <v>48</v>
      </c>
      <c r="B795" s="600">
        <f t="shared" si="43"/>
        <v>50</v>
      </c>
      <c r="C795" s="600">
        <v>44</v>
      </c>
      <c r="D795" s="600">
        <v>6</v>
      </c>
      <c r="E795" s="600">
        <v>0</v>
      </c>
      <c r="F795" s="600">
        <v>0</v>
      </c>
      <c r="G795" s="600">
        <v>0</v>
      </c>
      <c r="H795" s="600">
        <v>0</v>
      </c>
      <c r="L795" s="600"/>
    </row>
    <row r="796" spans="1:12" s="263" customFormat="1" ht="9" customHeight="1" x14ac:dyDescent="0.25">
      <c r="A796" s="603" t="s">
        <v>49</v>
      </c>
      <c r="B796" s="604">
        <f t="shared" si="43"/>
        <v>54</v>
      </c>
      <c r="C796" s="604">
        <v>34</v>
      </c>
      <c r="D796" s="604">
        <v>4</v>
      </c>
      <c r="E796" s="604">
        <v>1</v>
      </c>
      <c r="F796" s="604">
        <v>0</v>
      </c>
      <c r="G796" s="604">
        <v>0</v>
      </c>
      <c r="H796" s="604">
        <v>15</v>
      </c>
      <c r="L796" s="600"/>
    </row>
    <row r="797" spans="1:12" s="263" customFormat="1" ht="9" customHeight="1" x14ac:dyDescent="0.25">
      <c r="A797" s="550" t="s">
        <v>50</v>
      </c>
      <c r="B797" s="600">
        <f t="shared" si="43"/>
        <v>41</v>
      </c>
      <c r="C797" s="600">
        <v>40</v>
      </c>
      <c r="D797" s="600">
        <v>1</v>
      </c>
      <c r="E797" s="600">
        <v>0</v>
      </c>
      <c r="F797" s="600">
        <v>0</v>
      </c>
      <c r="G797" s="600">
        <v>0</v>
      </c>
      <c r="H797" s="600">
        <v>0</v>
      </c>
      <c r="L797" s="600"/>
    </row>
    <row r="798" spans="1:12" s="263" customFormat="1" ht="9" customHeight="1" x14ac:dyDescent="0.25">
      <c r="A798" s="550" t="s">
        <v>51</v>
      </c>
      <c r="B798" s="600">
        <f t="shared" si="43"/>
        <v>136</v>
      </c>
      <c r="C798" s="600">
        <v>111</v>
      </c>
      <c r="D798" s="600">
        <v>13</v>
      </c>
      <c r="E798" s="600">
        <v>0</v>
      </c>
      <c r="F798" s="600">
        <v>1</v>
      </c>
      <c r="G798" s="600">
        <v>2</v>
      </c>
      <c r="H798" s="600">
        <v>9</v>
      </c>
      <c r="L798" s="600"/>
    </row>
    <row r="799" spans="1:12" s="263" customFormat="1" ht="9" customHeight="1" x14ac:dyDescent="0.25">
      <c r="A799" s="550" t="s">
        <v>52</v>
      </c>
      <c r="B799" s="600">
        <f t="shared" si="43"/>
        <v>24</v>
      </c>
      <c r="C799" s="600">
        <v>21</v>
      </c>
      <c r="D799" s="600">
        <v>1</v>
      </c>
      <c r="E799" s="600">
        <v>0</v>
      </c>
      <c r="F799" s="600">
        <v>0</v>
      </c>
      <c r="G799" s="600">
        <v>0</v>
      </c>
      <c r="H799" s="600">
        <v>2</v>
      </c>
      <c r="L799" s="600"/>
    </row>
    <row r="800" spans="1:12" s="263" customFormat="1" ht="9" customHeight="1" x14ac:dyDescent="0.25">
      <c r="A800" s="603" t="s">
        <v>53</v>
      </c>
      <c r="B800" s="604">
        <f t="shared" si="43"/>
        <v>32</v>
      </c>
      <c r="C800" s="604">
        <v>30</v>
      </c>
      <c r="D800" s="604">
        <v>1</v>
      </c>
      <c r="E800" s="604">
        <v>0</v>
      </c>
      <c r="F800" s="604">
        <v>0</v>
      </c>
      <c r="G800" s="604">
        <v>0</v>
      </c>
      <c r="H800" s="604">
        <v>1</v>
      </c>
      <c r="L800" s="600"/>
    </row>
    <row r="801" spans="1:12" s="263" customFormat="1" ht="9" customHeight="1" x14ac:dyDescent="0.25">
      <c r="A801" s="269"/>
      <c r="B801" s="605"/>
      <c r="C801" s="605"/>
      <c r="D801" s="605"/>
      <c r="E801" s="605"/>
      <c r="F801" s="605"/>
      <c r="G801" s="605"/>
      <c r="H801" s="605"/>
      <c r="I801" s="286"/>
    </row>
    <row r="802" spans="1:12" s="263" customFormat="1" ht="9" customHeight="1" x14ac:dyDescent="0.25">
      <c r="A802" s="601">
        <v>2017</v>
      </c>
      <c r="B802" s="266"/>
      <c r="C802" s="266"/>
      <c r="D802" s="266"/>
      <c r="E802" s="266"/>
      <c r="F802" s="266"/>
      <c r="G802" s="266"/>
      <c r="H802" s="266"/>
    </row>
    <row r="803" spans="1:12" s="265" customFormat="1" ht="9" customHeight="1" x14ac:dyDescent="0.25">
      <c r="A803" s="265" t="s">
        <v>21</v>
      </c>
      <c r="B803" s="602">
        <f>SUM(B805:B836)</f>
        <v>2877</v>
      </c>
      <c r="C803" s="602">
        <f t="shared" ref="C803:G803" si="44">SUM(C805:C836)</f>
        <v>2620</v>
      </c>
      <c r="D803" s="602">
        <f t="shared" si="44"/>
        <v>137</v>
      </c>
      <c r="E803" s="602">
        <f t="shared" si="44"/>
        <v>12</v>
      </c>
      <c r="F803" s="602">
        <f t="shared" si="44"/>
        <v>12</v>
      </c>
      <c r="G803" s="602">
        <f t="shared" si="44"/>
        <v>17</v>
      </c>
      <c r="H803" s="602">
        <f>SUM(H805:H836)</f>
        <v>79</v>
      </c>
      <c r="K803" s="606"/>
    </row>
    <row r="804" spans="1:12" s="265" customFormat="1" ht="3.95" customHeight="1" x14ac:dyDescent="0.25">
      <c r="B804" s="602"/>
      <c r="C804" s="602"/>
      <c r="D804" s="602"/>
      <c r="E804" s="602"/>
      <c r="F804" s="602"/>
      <c r="G804" s="602"/>
      <c r="H804" s="602"/>
    </row>
    <row r="805" spans="1:12" s="263" customFormat="1" ht="9" customHeight="1" x14ac:dyDescent="0.25">
      <c r="A805" s="550" t="s">
        <v>23</v>
      </c>
      <c r="B805" s="600">
        <f>SUM(C805:H805)</f>
        <v>18</v>
      </c>
      <c r="C805" s="600">
        <v>18</v>
      </c>
      <c r="D805" s="600">
        <v>0</v>
      </c>
      <c r="E805" s="600">
        <v>0</v>
      </c>
      <c r="F805" s="600">
        <v>0</v>
      </c>
      <c r="G805" s="600">
        <v>0</v>
      </c>
      <c r="H805" s="600">
        <v>0</v>
      </c>
      <c r="L805" s="600"/>
    </row>
    <row r="806" spans="1:12" s="263" customFormat="1" ht="9" customHeight="1" x14ac:dyDescent="0.25">
      <c r="A806" s="550" t="s">
        <v>24</v>
      </c>
      <c r="B806" s="600">
        <f t="shared" ref="B806:B836" si="45">SUM(C806:H806)</f>
        <v>133</v>
      </c>
      <c r="C806" s="600">
        <v>120</v>
      </c>
      <c r="D806" s="600">
        <v>1</v>
      </c>
      <c r="E806" s="600">
        <v>0</v>
      </c>
      <c r="F806" s="600">
        <v>0</v>
      </c>
      <c r="G806" s="600">
        <v>0</v>
      </c>
      <c r="H806" s="600">
        <v>12</v>
      </c>
      <c r="L806" s="600"/>
    </row>
    <row r="807" spans="1:12" s="263" customFormat="1" ht="9" customHeight="1" x14ac:dyDescent="0.25">
      <c r="A807" s="550" t="s">
        <v>25</v>
      </c>
      <c r="B807" s="600">
        <f t="shared" si="45"/>
        <v>13</v>
      </c>
      <c r="C807" s="600">
        <v>13</v>
      </c>
      <c r="D807" s="600">
        <v>0</v>
      </c>
      <c r="E807" s="600">
        <v>0</v>
      </c>
      <c r="F807" s="600">
        <v>0</v>
      </c>
      <c r="G807" s="600">
        <v>0</v>
      </c>
      <c r="H807" s="600">
        <v>0</v>
      </c>
      <c r="L807" s="600"/>
    </row>
    <row r="808" spans="1:12" s="263" customFormat="1" ht="9" customHeight="1" x14ac:dyDescent="0.25">
      <c r="A808" s="603" t="s">
        <v>26</v>
      </c>
      <c r="B808" s="604">
        <f t="shared" si="45"/>
        <v>8</v>
      </c>
      <c r="C808" s="604">
        <v>8</v>
      </c>
      <c r="D808" s="604">
        <v>0</v>
      </c>
      <c r="E808" s="604">
        <v>0</v>
      </c>
      <c r="F808" s="604">
        <v>0</v>
      </c>
      <c r="G808" s="604">
        <v>0</v>
      </c>
      <c r="H808" s="604">
        <v>0</v>
      </c>
      <c r="L808" s="600"/>
    </row>
    <row r="809" spans="1:12" s="263" customFormat="1" ht="9" customHeight="1" x14ac:dyDescent="0.25">
      <c r="A809" s="550" t="s">
        <v>27</v>
      </c>
      <c r="B809" s="600">
        <f t="shared" si="45"/>
        <v>41</v>
      </c>
      <c r="C809" s="600">
        <v>31</v>
      </c>
      <c r="D809" s="600">
        <v>5</v>
      </c>
      <c r="E809" s="600">
        <v>0</v>
      </c>
      <c r="F809" s="600">
        <v>3</v>
      </c>
      <c r="G809" s="600">
        <v>1</v>
      </c>
      <c r="H809" s="600">
        <v>1</v>
      </c>
      <c r="L809" s="600"/>
    </row>
    <row r="810" spans="1:12" s="263" customFormat="1" ht="9" customHeight="1" x14ac:dyDescent="0.25">
      <c r="A810" s="550" t="s">
        <v>28</v>
      </c>
      <c r="B810" s="600">
        <f t="shared" si="45"/>
        <v>13</v>
      </c>
      <c r="C810" s="600">
        <v>13</v>
      </c>
      <c r="D810" s="600">
        <v>0</v>
      </c>
      <c r="E810" s="600">
        <v>0</v>
      </c>
      <c r="F810" s="600">
        <v>0</v>
      </c>
      <c r="G810" s="600">
        <v>0</v>
      </c>
      <c r="H810" s="600">
        <v>0</v>
      </c>
      <c r="L810" s="600"/>
    </row>
    <row r="811" spans="1:12" s="263" customFormat="1" ht="9" customHeight="1" x14ac:dyDescent="0.25">
      <c r="A811" s="550" t="s">
        <v>29</v>
      </c>
      <c r="B811" s="600">
        <f t="shared" si="45"/>
        <v>64</v>
      </c>
      <c r="C811" s="600">
        <v>56</v>
      </c>
      <c r="D811" s="600">
        <v>6</v>
      </c>
      <c r="E811" s="600">
        <v>0</v>
      </c>
      <c r="F811" s="600">
        <v>0</v>
      </c>
      <c r="G811" s="600">
        <v>1</v>
      </c>
      <c r="H811" s="600">
        <v>1</v>
      </c>
      <c r="L811" s="600"/>
    </row>
    <row r="812" spans="1:12" s="263" customFormat="1" ht="9" customHeight="1" x14ac:dyDescent="0.25">
      <c r="A812" s="603" t="s">
        <v>30</v>
      </c>
      <c r="B812" s="604">
        <f t="shared" si="45"/>
        <v>77</v>
      </c>
      <c r="C812" s="604">
        <v>75</v>
      </c>
      <c r="D812" s="604">
        <v>1</v>
      </c>
      <c r="E812" s="604">
        <v>1</v>
      </c>
      <c r="F812" s="604">
        <v>0</v>
      </c>
      <c r="G812" s="604">
        <v>0</v>
      </c>
      <c r="H812" s="604">
        <v>0</v>
      </c>
      <c r="L812" s="600"/>
    </row>
    <row r="813" spans="1:12" s="263" customFormat="1" ht="9" customHeight="1" x14ac:dyDescent="0.25">
      <c r="A813" s="550" t="s">
        <v>63</v>
      </c>
      <c r="B813" s="600">
        <f t="shared" si="45"/>
        <v>269</v>
      </c>
      <c r="C813" s="600">
        <v>239</v>
      </c>
      <c r="D813" s="600">
        <v>8</v>
      </c>
      <c r="E813" s="600">
        <v>3</v>
      </c>
      <c r="F813" s="600">
        <v>1</v>
      </c>
      <c r="G813" s="600">
        <v>6</v>
      </c>
      <c r="H813" s="600">
        <v>12</v>
      </c>
      <c r="L813" s="600"/>
    </row>
    <row r="814" spans="1:12" s="263" customFormat="1" ht="9" customHeight="1" x14ac:dyDescent="0.25">
      <c r="A814" s="550" t="s">
        <v>31</v>
      </c>
      <c r="B814" s="600">
        <f t="shared" si="45"/>
        <v>30</v>
      </c>
      <c r="C814" s="600">
        <v>29</v>
      </c>
      <c r="D814" s="600">
        <v>0</v>
      </c>
      <c r="E814" s="600">
        <v>0</v>
      </c>
      <c r="F814" s="600">
        <v>0</v>
      </c>
      <c r="G814" s="600">
        <v>0</v>
      </c>
      <c r="H814" s="600">
        <v>1</v>
      </c>
      <c r="L814" s="600"/>
    </row>
    <row r="815" spans="1:12" s="263" customFormat="1" ht="9" customHeight="1" x14ac:dyDescent="0.25">
      <c r="A815" s="550" t="s">
        <v>32</v>
      </c>
      <c r="B815" s="600">
        <f t="shared" si="45"/>
        <v>205</v>
      </c>
      <c r="C815" s="600">
        <v>181</v>
      </c>
      <c r="D815" s="600">
        <v>15</v>
      </c>
      <c r="E815" s="600">
        <v>0</v>
      </c>
      <c r="F815" s="600">
        <v>0</v>
      </c>
      <c r="G815" s="600">
        <v>0</v>
      </c>
      <c r="H815" s="600">
        <v>9</v>
      </c>
      <c r="L815" s="600"/>
    </row>
    <row r="816" spans="1:12" s="263" customFormat="1" ht="9" customHeight="1" x14ac:dyDescent="0.25">
      <c r="A816" s="603" t="s">
        <v>33</v>
      </c>
      <c r="B816" s="604">
        <f t="shared" si="45"/>
        <v>111</v>
      </c>
      <c r="C816" s="604">
        <v>104</v>
      </c>
      <c r="D816" s="604">
        <v>4</v>
      </c>
      <c r="E816" s="604">
        <v>1</v>
      </c>
      <c r="F816" s="604">
        <v>0</v>
      </c>
      <c r="G816" s="604">
        <v>0</v>
      </c>
      <c r="H816" s="604">
        <v>2</v>
      </c>
      <c r="L816" s="600"/>
    </row>
    <row r="817" spans="1:12" s="263" customFormat="1" ht="9" customHeight="1" x14ac:dyDescent="0.25">
      <c r="A817" s="550" t="s">
        <v>34</v>
      </c>
      <c r="B817" s="600">
        <f t="shared" si="45"/>
        <v>112</v>
      </c>
      <c r="C817" s="600">
        <v>105</v>
      </c>
      <c r="D817" s="600">
        <v>6</v>
      </c>
      <c r="E817" s="600">
        <v>1</v>
      </c>
      <c r="F817" s="600">
        <v>0</v>
      </c>
      <c r="G817" s="600">
        <v>0</v>
      </c>
      <c r="H817" s="600">
        <v>0</v>
      </c>
      <c r="L817" s="600"/>
    </row>
    <row r="818" spans="1:12" s="263" customFormat="1" ht="9" customHeight="1" x14ac:dyDescent="0.25">
      <c r="A818" s="550" t="s">
        <v>35</v>
      </c>
      <c r="B818" s="600">
        <f t="shared" si="45"/>
        <v>211</v>
      </c>
      <c r="C818" s="600">
        <v>199</v>
      </c>
      <c r="D818" s="600">
        <v>1</v>
      </c>
      <c r="E818" s="600">
        <v>0</v>
      </c>
      <c r="F818" s="600">
        <v>2</v>
      </c>
      <c r="G818" s="600">
        <v>0</v>
      </c>
      <c r="H818" s="600">
        <v>9</v>
      </c>
      <c r="L818" s="600"/>
    </row>
    <row r="819" spans="1:12" s="263" customFormat="1" ht="9" customHeight="1" x14ac:dyDescent="0.25">
      <c r="A819" s="550" t="s">
        <v>36</v>
      </c>
      <c r="B819" s="600">
        <f t="shared" si="45"/>
        <v>460</v>
      </c>
      <c r="C819" s="600">
        <v>439</v>
      </c>
      <c r="D819" s="600">
        <v>17</v>
      </c>
      <c r="E819" s="600">
        <v>1</v>
      </c>
      <c r="F819" s="600">
        <v>0</v>
      </c>
      <c r="G819" s="600">
        <v>2</v>
      </c>
      <c r="H819" s="600">
        <v>1</v>
      </c>
      <c r="L819" s="600"/>
    </row>
    <row r="820" spans="1:12" s="263" customFormat="1" ht="9" customHeight="1" x14ac:dyDescent="0.25">
      <c r="A820" s="603" t="s">
        <v>37</v>
      </c>
      <c r="B820" s="604">
        <f t="shared" si="45"/>
        <v>148</v>
      </c>
      <c r="C820" s="604">
        <v>136</v>
      </c>
      <c r="D820" s="604">
        <v>7</v>
      </c>
      <c r="E820" s="604">
        <v>1</v>
      </c>
      <c r="F820" s="604">
        <v>1</v>
      </c>
      <c r="G820" s="604">
        <v>0</v>
      </c>
      <c r="H820" s="604">
        <v>3</v>
      </c>
      <c r="L820" s="600"/>
    </row>
    <row r="821" spans="1:12" s="263" customFormat="1" ht="9" customHeight="1" x14ac:dyDescent="0.25">
      <c r="A821" s="550" t="s">
        <v>38</v>
      </c>
      <c r="B821" s="600">
        <f t="shared" si="45"/>
        <v>63</v>
      </c>
      <c r="C821" s="600">
        <v>48</v>
      </c>
      <c r="D821" s="600">
        <v>11</v>
      </c>
      <c r="E821" s="600">
        <v>0</v>
      </c>
      <c r="F821" s="600">
        <v>0</v>
      </c>
      <c r="G821" s="600">
        <v>0</v>
      </c>
      <c r="H821" s="600">
        <v>4</v>
      </c>
      <c r="L821" s="600"/>
    </row>
    <row r="822" spans="1:12" s="263" customFormat="1" ht="9" customHeight="1" x14ac:dyDescent="0.25">
      <c r="A822" s="550" t="s">
        <v>39</v>
      </c>
      <c r="B822" s="600">
        <f t="shared" si="45"/>
        <v>11</v>
      </c>
      <c r="C822" s="600">
        <v>10</v>
      </c>
      <c r="D822" s="600">
        <v>1</v>
      </c>
      <c r="E822" s="600">
        <v>0</v>
      </c>
      <c r="F822" s="600">
        <v>0</v>
      </c>
      <c r="G822" s="600">
        <v>0</v>
      </c>
      <c r="H822" s="600">
        <v>0</v>
      </c>
      <c r="L822" s="600"/>
    </row>
    <row r="823" spans="1:12" s="263" customFormat="1" ht="9" customHeight="1" x14ac:dyDescent="0.25">
      <c r="A823" s="550" t="s">
        <v>40</v>
      </c>
      <c r="B823" s="600">
        <f t="shared" si="45"/>
        <v>70</v>
      </c>
      <c r="C823" s="600">
        <v>60</v>
      </c>
      <c r="D823" s="600">
        <v>7</v>
      </c>
      <c r="E823" s="600">
        <v>0</v>
      </c>
      <c r="F823" s="600">
        <v>1</v>
      </c>
      <c r="G823" s="600">
        <v>1</v>
      </c>
      <c r="H823" s="600">
        <v>1</v>
      </c>
      <c r="L823" s="600"/>
    </row>
    <row r="824" spans="1:12" s="263" customFormat="1" ht="9" customHeight="1" x14ac:dyDescent="0.25">
      <c r="A824" s="603" t="s">
        <v>41</v>
      </c>
      <c r="B824" s="604">
        <f t="shared" si="45"/>
        <v>108</v>
      </c>
      <c r="C824" s="604">
        <v>100</v>
      </c>
      <c r="D824" s="604">
        <v>5</v>
      </c>
      <c r="E824" s="604">
        <v>2</v>
      </c>
      <c r="F824" s="604">
        <v>0</v>
      </c>
      <c r="G824" s="604">
        <v>1</v>
      </c>
      <c r="H824" s="604">
        <v>0</v>
      </c>
      <c r="L824" s="600"/>
    </row>
    <row r="825" spans="1:12" s="263" customFormat="1" ht="9" customHeight="1" x14ac:dyDescent="0.25">
      <c r="A825" s="550" t="s">
        <v>42</v>
      </c>
      <c r="B825" s="600">
        <f t="shared" si="45"/>
        <v>144</v>
      </c>
      <c r="C825" s="600">
        <v>135</v>
      </c>
      <c r="D825" s="600">
        <v>4</v>
      </c>
      <c r="E825" s="600">
        <v>1</v>
      </c>
      <c r="F825" s="600">
        <v>2</v>
      </c>
      <c r="G825" s="600">
        <v>0</v>
      </c>
      <c r="H825" s="600">
        <v>2</v>
      </c>
      <c r="L825" s="600"/>
    </row>
    <row r="826" spans="1:12" s="263" customFormat="1" ht="9" customHeight="1" x14ac:dyDescent="0.25">
      <c r="A826" s="550" t="s">
        <v>43</v>
      </c>
      <c r="B826" s="600">
        <f t="shared" si="45"/>
        <v>63</v>
      </c>
      <c r="C826" s="600">
        <v>59</v>
      </c>
      <c r="D826" s="600">
        <v>2</v>
      </c>
      <c r="E826" s="600">
        <v>0</v>
      </c>
      <c r="F826" s="600">
        <v>0</v>
      </c>
      <c r="G826" s="600">
        <v>1</v>
      </c>
      <c r="H826" s="600">
        <v>1</v>
      </c>
      <c r="L826" s="600"/>
    </row>
    <row r="827" spans="1:12" s="263" customFormat="1" ht="9" customHeight="1" x14ac:dyDescent="0.25">
      <c r="A827" s="550" t="s">
        <v>44</v>
      </c>
      <c r="B827" s="600">
        <f t="shared" si="45"/>
        <v>36</v>
      </c>
      <c r="C827" s="600">
        <v>29</v>
      </c>
      <c r="D827" s="600">
        <v>5</v>
      </c>
      <c r="E827" s="600">
        <v>0</v>
      </c>
      <c r="F827" s="600">
        <v>0</v>
      </c>
      <c r="G827" s="600">
        <v>0</v>
      </c>
      <c r="H827" s="600">
        <v>2</v>
      </c>
      <c r="L827" s="600"/>
    </row>
    <row r="828" spans="1:12" s="263" customFormat="1" ht="9" customHeight="1" x14ac:dyDescent="0.25">
      <c r="A828" s="603" t="s">
        <v>45</v>
      </c>
      <c r="B828" s="604">
        <f t="shared" si="45"/>
        <v>37</v>
      </c>
      <c r="C828" s="604">
        <v>34</v>
      </c>
      <c r="D828" s="604">
        <v>1</v>
      </c>
      <c r="E828" s="604">
        <v>0</v>
      </c>
      <c r="F828" s="604">
        <v>0</v>
      </c>
      <c r="G828" s="604">
        <v>0</v>
      </c>
      <c r="H828" s="604">
        <v>2</v>
      </c>
      <c r="L828" s="600"/>
    </row>
    <row r="829" spans="1:12" s="263" customFormat="1" ht="9" customHeight="1" x14ac:dyDescent="0.25">
      <c r="A829" s="550" t="s">
        <v>46</v>
      </c>
      <c r="B829" s="600">
        <f t="shared" si="45"/>
        <v>61</v>
      </c>
      <c r="C829" s="600">
        <v>51</v>
      </c>
      <c r="D829" s="600">
        <v>6</v>
      </c>
      <c r="E829" s="600">
        <v>0</v>
      </c>
      <c r="F829" s="600">
        <v>0</v>
      </c>
      <c r="G829" s="600">
        <v>1</v>
      </c>
      <c r="H829" s="600">
        <v>3</v>
      </c>
      <c r="L829" s="600"/>
    </row>
    <row r="830" spans="1:12" s="263" customFormat="1" ht="9" customHeight="1" x14ac:dyDescent="0.25">
      <c r="A830" s="550" t="s">
        <v>47</v>
      </c>
      <c r="B830" s="600">
        <f t="shared" si="45"/>
        <v>42</v>
      </c>
      <c r="C830" s="600">
        <v>37</v>
      </c>
      <c r="D830" s="600">
        <v>5</v>
      </c>
      <c r="E830" s="600">
        <v>0</v>
      </c>
      <c r="F830" s="600">
        <v>0</v>
      </c>
      <c r="G830" s="600">
        <v>0</v>
      </c>
      <c r="H830" s="600">
        <v>0</v>
      </c>
      <c r="L830" s="600"/>
    </row>
    <row r="831" spans="1:12" s="263" customFormat="1" ht="9" customHeight="1" x14ac:dyDescent="0.25">
      <c r="A831" s="550" t="s">
        <v>48</v>
      </c>
      <c r="B831" s="600">
        <f t="shared" si="45"/>
        <v>48</v>
      </c>
      <c r="C831" s="600">
        <v>44</v>
      </c>
      <c r="D831" s="600">
        <v>3</v>
      </c>
      <c r="E831" s="600">
        <v>0</v>
      </c>
      <c r="F831" s="600">
        <v>0</v>
      </c>
      <c r="G831" s="600">
        <v>0</v>
      </c>
      <c r="H831" s="600">
        <v>1</v>
      </c>
      <c r="L831" s="600"/>
    </row>
    <row r="832" spans="1:12" s="263" customFormat="1" ht="9" customHeight="1" x14ac:dyDescent="0.25">
      <c r="A832" s="603" t="s">
        <v>49</v>
      </c>
      <c r="B832" s="604">
        <f t="shared" si="45"/>
        <v>52</v>
      </c>
      <c r="C832" s="604">
        <v>49</v>
      </c>
      <c r="D832" s="604">
        <v>0</v>
      </c>
      <c r="E832" s="604">
        <v>1</v>
      </c>
      <c r="F832" s="604">
        <v>0</v>
      </c>
      <c r="G832" s="604">
        <v>0</v>
      </c>
      <c r="H832" s="604">
        <v>2</v>
      </c>
      <c r="L832" s="600"/>
    </row>
    <row r="833" spans="1:12" s="263" customFormat="1" ht="9" customHeight="1" x14ac:dyDescent="0.25">
      <c r="A833" s="550" t="s">
        <v>50</v>
      </c>
      <c r="B833" s="600">
        <f t="shared" si="45"/>
        <v>38</v>
      </c>
      <c r="C833" s="600">
        <v>37</v>
      </c>
      <c r="D833" s="600">
        <v>1</v>
      </c>
      <c r="E833" s="600">
        <v>0</v>
      </c>
      <c r="F833" s="600">
        <v>0</v>
      </c>
      <c r="G833" s="600">
        <v>0</v>
      </c>
      <c r="H833" s="600">
        <v>0</v>
      </c>
      <c r="L833" s="600"/>
    </row>
    <row r="834" spans="1:12" s="263" customFormat="1" ht="9" customHeight="1" x14ac:dyDescent="0.25">
      <c r="A834" s="550" t="s">
        <v>51</v>
      </c>
      <c r="B834" s="600">
        <f t="shared" si="45"/>
        <v>135</v>
      </c>
      <c r="C834" s="600">
        <v>109</v>
      </c>
      <c r="D834" s="600">
        <v>14</v>
      </c>
      <c r="E834" s="600">
        <v>0</v>
      </c>
      <c r="F834" s="600">
        <v>2</v>
      </c>
      <c r="G834" s="600">
        <v>3</v>
      </c>
      <c r="H834" s="600">
        <v>7</v>
      </c>
      <c r="L834" s="600"/>
    </row>
    <row r="835" spans="1:12" s="263" customFormat="1" ht="9" customHeight="1" x14ac:dyDescent="0.25">
      <c r="A835" s="550" t="s">
        <v>52</v>
      </c>
      <c r="B835" s="600">
        <f t="shared" si="45"/>
        <v>23</v>
      </c>
      <c r="C835" s="600">
        <v>20</v>
      </c>
      <c r="D835" s="600">
        <v>1</v>
      </c>
      <c r="E835" s="600">
        <v>0</v>
      </c>
      <c r="F835" s="600">
        <v>0</v>
      </c>
      <c r="G835" s="600">
        <v>0</v>
      </c>
      <c r="H835" s="600">
        <v>2</v>
      </c>
      <c r="L835" s="600"/>
    </row>
    <row r="836" spans="1:12" s="263" customFormat="1" ht="9" customHeight="1" x14ac:dyDescent="0.25">
      <c r="A836" s="603" t="s">
        <v>53</v>
      </c>
      <c r="B836" s="604">
        <f t="shared" si="45"/>
        <v>33</v>
      </c>
      <c r="C836" s="604">
        <v>32</v>
      </c>
      <c r="D836" s="604">
        <v>0</v>
      </c>
      <c r="E836" s="604">
        <v>0</v>
      </c>
      <c r="F836" s="604">
        <v>0</v>
      </c>
      <c r="G836" s="604">
        <v>0</v>
      </c>
      <c r="H836" s="604">
        <v>1</v>
      </c>
      <c r="L836" s="600"/>
    </row>
    <row r="837" spans="1:12" s="263" customFormat="1" ht="9" customHeight="1" x14ac:dyDescent="0.25">
      <c r="A837" s="269"/>
      <c r="B837" s="605"/>
      <c r="C837" s="605"/>
      <c r="D837" s="605"/>
      <c r="E837" s="605"/>
      <c r="F837" s="605"/>
      <c r="G837" s="605"/>
      <c r="H837" s="605"/>
      <c r="I837" s="286"/>
    </row>
    <row r="838" spans="1:12" s="263" customFormat="1" ht="9" customHeight="1" x14ac:dyDescent="0.25">
      <c r="A838" s="601">
        <v>2018</v>
      </c>
      <c r="B838" s="266"/>
      <c r="C838" s="266"/>
      <c r="D838" s="266"/>
      <c r="E838" s="266"/>
      <c r="F838" s="266"/>
      <c r="G838" s="266"/>
      <c r="H838" s="266"/>
    </row>
    <row r="839" spans="1:12" s="265" customFormat="1" ht="9" customHeight="1" x14ac:dyDescent="0.25">
      <c r="A839" s="265" t="s">
        <v>21</v>
      </c>
      <c r="B839" s="602">
        <f>SUM(B841:B872)</f>
        <v>2863</v>
      </c>
      <c r="C839" s="602">
        <f t="shared" ref="C839:G839" si="46">SUM(C841:C872)</f>
        <v>2599</v>
      </c>
      <c r="D839" s="602">
        <f t="shared" si="46"/>
        <v>144</v>
      </c>
      <c r="E839" s="602">
        <f t="shared" si="46"/>
        <v>12</v>
      </c>
      <c r="F839" s="602">
        <f t="shared" si="46"/>
        <v>12</v>
      </c>
      <c r="G839" s="602">
        <f t="shared" si="46"/>
        <v>16</v>
      </c>
      <c r="H839" s="602">
        <f>SUM(H841:H872)</f>
        <v>80</v>
      </c>
      <c r="K839" s="606"/>
    </row>
    <row r="840" spans="1:12" s="265" customFormat="1" ht="3.95" customHeight="1" x14ac:dyDescent="0.25">
      <c r="B840" s="602"/>
      <c r="C840" s="602"/>
      <c r="D840" s="602"/>
      <c r="E840" s="602"/>
      <c r="F840" s="602"/>
      <c r="G840" s="602"/>
      <c r="H840" s="602"/>
    </row>
    <row r="841" spans="1:12" s="263" customFormat="1" ht="9" customHeight="1" x14ac:dyDescent="0.25">
      <c r="A841" s="550" t="s">
        <v>23</v>
      </c>
      <c r="B841" s="600">
        <f>SUM(C841:H841)</f>
        <v>20</v>
      </c>
      <c r="C841" s="600">
        <v>18</v>
      </c>
      <c r="D841" s="600">
        <v>1</v>
      </c>
      <c r="E841" s="600">
        <v>0</v>
      </c>
      <c r="F841" s="600">
        <v>0</v>
      </c>
      <c r="G841" s="600">
        <v>0</v>
      </c>
      <c r="H841" s="600">
        <v>1</v>
      </c>
      <c r="L841" s="600"/>
    </row>
    <row r="842" spans="1:12" s="263" customFormat="1" ht="9" customHeight="1" x14ac:dyDescent="0.25">
      <c r="A842" s="550" t="s">
        <v>24</v>
      </c>
      <c r="B842" s="600">
        <f t="shared" ref="B842:B872" si="47">SUM(C842:H842)</f>
        <v>132</v>
      </c>
      <c r="C842" s="600">
        <v>118</v>
      </c>
      <c r="D842" s="600">
        <v>1</v>
      </c>
      <c r="E842" s="600">
        <v>0</v>
      </c>
      <c r="F842" s="600">
        <v>0</v>
      </c>
      <c r="G842" s="600">
        <v>0</v>
      </c>
      <c r="H842" s="600">
        <v>13</v>
      </c>
      <c r="L842" s="600"/>
    </row>
    <row r="843" spans="1:12" s="263" customFormat="1" ht="9" customHeight="1" x14ac:dyDescent="0.25">
      <c r="A843" s="550" t="s">
        <v>25</v>
      </c>
      <c r="B843" s="600">
        <f t="shared" si="47"/>
        <v>13</v>
      </c>
      <c r="C843" s="600">
        <v>13</v>
      </c>
      <c r="D843" s="600">
        <v>0</v>
      </c>
      <c r="E843" s="600">
        <v>0</v>
      </c>
      <c r="F843" s="600">
        <v>0</v>
      </c>
      <c r="G843" s="600">
        <v>0</v>
      </c>
      <c r="H843" s="600">
        <v>0</v>
      </c>
      <c r="L843" s="600"/>
    </row>
    <row r="844" spans="1:12" s="263" customFormat="1" ht="9" customHeight="1" x14ac:dyDescent="0.25">
      <c r="A844" s="603" t="s">
        <v>26</v>
      </c>
      <c r="B844" s="604">
        <f t="shared" si="47"/>
        <v>9</v>
      </c>
      <c r="C844" s="604">
        <v>9</v>
      </c>
      <c r="D844" s="604">
        <v>0</v>
      </c>
      <c r="E844" s="604">
        <v>0</v>
      </c>
      <c r="F844" s="604">
        <v>0</v>
      </c>
      <c r="G844" s="604">
        <v>0</v>
      </c>
      <c r="H844" s="604">
        <v>0</v>
      </c>
      <c r="L844" s="600"/>
    </row>
    <row r="845" spans="1:12" s="263" customFormat="1" ht="9" customHeight="1" x14ac:dyDescent="0.25">
      <c r="A845" s="550" t="s">
        <v>27</v>
      </c>
      <c r="B845" s="600">
        <f t="shared" si="47"/>
        <v>40</v>
      </c>
      <c r="C845" s="600">
        <v>31</v>
      </c>
      <c r="D845" s="600">
        <v>5</v>
      </c>
      <c r="E845" s="600">
        <v>0</v>
      </c>
      <c r="F845" s="600">
        <v>3</v>
      </c>
      <c r="G845" s="600">
        <v>0</v>
      </c>
      <c r="H845" s="600">
        <v>1</v>
      </c>
      <c r="L845" s="600"/>
    </row>
    <row r="846" spans="1:12" s="263" customFormat="1" ht="9" customHeight="1" x14ac:dyDescent="0.25">
      <c r="A846" s="550" t="s">
        <v>28</v>
      </c>
      <c r="B846" s="600">
        <f t="shared" si="47"/>
        <v>13</v>
      </c>
      <c r="C846" s="600">
        <v>13</v>
      </c>
      <c r="D846" s="600">
        <v>0</v>
      </c>
      <c r="E846" s="600">
        <v>0</v>
      </c>
      <c r="F846" s="600">
        <v>0</v>
      </c>
      <c r="G846" s="600">
        <v>0</v>
      </c>
      <c r="H846" s="600">
        <v>0</v>
      </c>
      <c r="L846" s="600"/>
    </row>
    <row r="847" spans="1:12" s="263" customFormat="1" ht="9" customHeight="1" x14ac:dyDescent="0.25">
      <c r="A847" s="550" t="s">
        <v>29</v>
      </c>
      <c r="B847" s="600">
        <f t="shared" si="47"/>
        <v>63</v>
      </c>
      <c r="C847" s="600">
        <v>55</v>
      </c>
      <c r="D847" s="600">
        <v>6</v>
      </c>
      <c r="E847" s="600">
        <v>0</v>
      </c>
      <c r="F847" s="600">
        <v>0</v>
      </c>
      <c r="G847" s="600">
        <v>1</v>
      </c>
      <c r="H847" s="600">
        <v>1</v>
      </c>
      <c r="L847" s="600"/>
    </row>
    <row r="848" spans="1:12" s="263" customFormat="1" ht="9" customHeight="1" x14ac:dyDescent="0.25">
      <c r="A848" s="603" t="s">
        <v>30</v>
      </c>
      <c r="B848" s="604">
        <f t="shared" si="47"/>
        <v>79</v>
      </c>
      <c r="C848" s="604">
        <v>77</v>
      </c>
      <c r="D848" s="604">
        <v>1</v>
      </c>
      <c r="E848" s="604">
        <v>1</v>
      </c>
      <c r="F848" s="604">
        <v>0</v>
      </c>
      <c r="G848" s="604">
        <v>0</v>
      </c>
      <c r="H848" s="604">
        <v>0</v>
      </c>
      <c r="L848" s="600"/>
    </row>
    <row r="849" spans="1:12" s="263" customFormat="1" ht="9" customHeight="1" x14ac:dyDescent="0.25">
      <c r="A849" s="550" t="s">
        <v>63</v>
      </c>
      <c r="B849" s="600">
        <f t="shared" si="47"/>
        <v>260</v>
      </c>
      <c r="C849" s="600">
        <v>232</v>
      </c>
      <c r="D849" s="600">
        <v>8</v>
      </c>
      <c r="E849" s="600">
        <v>3</v>
      </c>
      <c r="F849" s="600">
        <v>1</v>
      </c>
      <c r="G849" s="600">
        <v>6</v>
      </c>
      <c r="H849" s="600">
        <v>10</v>
      </c>
      <c r="L849" s="600"/>
    </row>
    <row r="850" spans="1:12" s="263" customFormat="1" ht="9" customHeight="1" x14ac:dyDescent="0.25">
      <c r="A850" s="550" t="s">
        <v>31</v>
      </c>
      <c r="B850" s="600">
        <f t="shared" si="47"/>
        <v>30</v>
      </c>
      <c r="C850" s="600">
        <v>29</v>
      </c>
      <c r="D850" s="600">
        <v>0</v>
      </c>
      <c r="E850" s="600">
        <v>0</v>
      </c>
      <c r="F850" s="600">
        <v>0</v>
      </c>
      <c r="G850" s="600">
        <v>0</v>
      </c>
      <c r="H850" s="600">
        <v>1</v>
      </c>
      <c r="L850" s="600"/>
    </row>
    <row r="851" spans="1:12" s="263" customFormat="1" ht="9" customHeight="1" x14ac:dyDescent="0.25">
      <c r="A851" s="550" t="s">
        <v>32</v>
      </c>
      <c r="B851" s="600">
        <f t="shared" si="47"/>
        <v>203</v>
      </c>
      <c r="C851" s="600">
        <v>173</v>
      </c>
      <c r="D851" s="600">
        <v>20</v>
      </c>
      <c r="E851" s="600">
        <v>0</v>
      </c>
      <c r="F851" s="600">
        <v>0</v>
      </c>
      <c r="G851" s="600">
        <v>0</v>
      </c>
      <c r="H851" s="600">
        <v>10</v>
      </c>
      <c r="L851" s="600"/>
    </row>
    <row r="852" spans="1:12" s="263" customFormat="1" ht="9" customHeight="1" x14ac:dyDescent="0.25">
      <c r="A852" s="603" t="s">
        <v>33</v>
      </c>
      <c r="B852" s="604">
        <f t="shared" si="47"/>
        <v>112</v>
      </c>
      <c r="C852" s="604">
        <v>105</v>
      </c>
      <c r="D852" s="604">
        <v>4</v>
      </c>
      <c r="E852" s="604">
        <v>1</v>
      </c>
      <c r="F852" s="604">
        <v>0</v>
      </c>
      <c r="G852" s="604">
        <v>0</v>
      </c>
      <c r="H852" s="604">
        <v>2</v>
      </c>
      <c r="L852" s="600"/>
    </row>
    <row r="853" spans="1:12" s="263" customFormat="1" ht="9" customHeight="1" x14ac:dyDescent="0.25">
      <c r="A853" s="550" t="s">
        <v>34</v>
      </c>
      <c r="B853" s="600">
        <f t="shared" si="47"/>
        <v>117</v>
      </c>
      <c r="C853" s="600">
        <v>109</v>
      </c>
      <c r="D853" s="600">
        <v>6</v>
      </c>
      <c r="E853" s="600">
        <v>1</v>
      </c>
      <c r="F853" s="600">
        <v>0</v>
      </c>
      <c r="G853" s="600">
        <v>0</v>
      </c>
      <c r="H853" s="600">
        <v>1</v>
      </c>
      <c r="L853" s="600"/>
    </row>
    <row r="854" spans="1:12" s="263" customFormat="1" ht="9" customHeight="1" x14ac:dyDescent="0.25">
      <c r="A854" s="550" t="s">
        <v>35</v>
      </c>
      <c r="B854" s="600">
        <f t="shared" si="47"/>
        <v>214</v>
      </c>
      <c r="C854" s="600">
        <v>200</v>
      </c>
      <c r="D854" s="600">
        <v>1</v>
      </c>
      <c r="E854" s="600">
        <v>0</v>
      </c>
      <c r="F854" s="600">
        <v>2</v>
      </c>
      <c r="G854" s="600">
        <v>0</v>
      </c>
      <c r="H854" s="600">
        <v>11</v>
      </c>
      <c r="L854" s="600"/>
    </row>
    <row r="855" spans="1:12" s="263" customFormat="1" ht="9" customHeight="1" x14ac:dyDescent="0.25">
      <c r="A855" s="550" t="s">
        <v>36</v>
      </c>
      <c r="B855" s="600">
        <f t="shared" si="47"/>
        <v>460</v>
      </c>
      <c r="C855" s="600">
        <v>434</v>
      </c>
      <c r="D855" s="600">
        <v>19</v>
      </c>
      <c r="E855" s="600">
        <v>1</v>
      </c>
      <c r="F855" s="600">
        <v>0</v>
      </c>
      <c r="G855" s="600">
        <v>2</v>
      </c>
      <c r="H855" s="600">
        <v>4</v>
      </c>
      <c r="L855" s="600"/>
    </row>
    <row r="856" spans="1:12" s="263" customFormat="1" ht="9" customHeight="1" x14ac:dyDescent="0.25">
      <c r="A856" s="603" t="s">
        <v>37</v>
      </c>
      <c r="B856" s="604">
        <f t="shared" si="47"/>
        <v>145</v>
      </c>
      <c r="C856" s="604">
        <v>133</v>
      </c>
      <c r="D856" s="604">
        <v>7</v>
      </c>
      <c r="E856" s="604">
        <v>1</v>
      </c>
      <c r="F856" s="604">
        <v>1</v>
      </c>
      <c r="G856" s="604">
        <v>0</v>
      </c>
      <c r="H856" s="604">
        <v>3</v>
      </c>
      <c r="L856" s="600"/>
    </row>
    <row r="857" spans="1:12" s="263" customFormat="1" ht="9" customHeight="1" x14ac:dyDescent="0.25">
      <c r="A857" s="550" t="s">
        <v>38</v>
      </c>
      <c r="B857" s="600">
        <f t="shared" si="47"/>
        <v>60</v>
      </c>
      <c r="C857" s="600">
        <v>46</v>
      </c>
      <c r="D857" s="600">
        <v>10</v>
      </c>
      <c r="E857" s="600">
        <v>0</v>
      </c>
      <c r="F857" s="600">
        <v>0</v>
      </c>
      <c r="G857" s="600">
        <v>0</v>
      </c>
      <c r="H857" s="600">
        <v>4</v>
      </c>
      <c r="L857" s="600"/>
    </row>
    <row r="858" spans="1:12" s="263" customFormat="1" ht="9" customHeight="1" x14ac:dyDescent="0.25">
      <c r="A858" s="550" t="s">
        <v>39</v>
      </c>
      <c r="B858" s="600">
        <f t="shared" si="47"/>
        <v>11</v>
      </c>
      <c r="C858" s="600">
        <v>10</v>
      </c>
      <c r="D858" s="600">
        <v>1</v>
      </c>
      <c r="E858" s="600">
        <v>0</v>
      </c>
      <c r="F858" s="600">
        <v>0</v>
      </c>
      <c r="G858" s="600">
        <v>0</v>
      </c>
      <c r="H858" s="600">
        <v>0</v>
      </c>
      <c r="L858" s="600"/>
    </row>
    <row r="859" spans="1:12" s="263" customFormat="1" ht="9" customHeight="1" x14ac:dyDescent="0.25">
      <c r="A859" s="550" t="s">
        <v>40</v>
      </c>
      <c r="B859" s="600">
        <f t="shared" si="47"/>
        <v>69</v>
      </c>
      <c r="C859" s="600">
        <v>59</v>
      </c>
      <c r="D859" s="600">
        <v>7</v>
      </c>
      <c r="E859" s="600">
        <v>0</v>
      </c>
      <c r="F859" s="600">
        <v>1</v>
      </c>
      <c r="G859" s="600">
        <v>1</v>
      </c>
      <c r="H859" s="600">
        <v>1</v>
      </c>
      <c r="L859" s="600"/>
    </row>
    <row r="860" spans="1:12" s="263" customFormat="1" ht="9" customHeight="1" x14ac:dyDescent="0.25">
      <c r="A860" s="603" t="s">
        <v>41</v>
      </c>
      <c r="B860" s="604">
        <f t="shared" si="47"/>
        <v>113</v>
      </c>
      <c r="C860" s="604">
        <v>104</v>
      </c>
      <c r="D860" s="604">
        <v>6</v>
      </c>
      <c r="E860" s="604">
        <v>2</v>
      </c>
      <c r="F860" s="604">
        <v>0</v>
      </c>
      <c r="G860" s="604">
        <v>1</v>
      </c>
      <c r="H860" s="604">
        <v>0</v>
      </c>
      <c r="L860" s="600"/>
    </row>
    <row r="861" spans="1:12" s="263" customFormat="1" ht="9" customHeight="1" x14ac:dyDescent="0.25">
      <c r="A861" s="550" t="s">
        <v>42</v>
      </c>
      <c r="B861" s="600">
        <f t="shared" si="47"/>
        <v>141</v>
      </c>
      <c r="C861" s="600">
        <v>133</v>
      </c>
      <c r="D861" s="600">
        <v>3</v>
      </c>
      <c r="E861" s="600">
        <v>1</v>
      </c>
      <c r="F861" s="600">
        <v>2</v>
      </c>
      <c r="G861" s="600">
        <v>0</v>
      </c>
      <c r="H861" s="600">
        <v>2</v>
      </c>
      <c r="L861" s="600"/>
    </row>
    <row r="862" spans="1:12" s="263" customFormat="1" ht="9" customHeight="1" x14ac:dyDescent="0.25">
      <c r="A862" s="550" t="s">
        <v>43</v>
      </c>
      <c r="B862" s="600">
        <f t="shared" si="47"/>
        <v>61</v>
      </c>
      <c r="C862" s="600">
        <v>58</v>
      </c>
      <c r="D862" s="600">
        <v>2</v>
      </c>
      <c r="E862" s="600">
        <v>0</v>
      </c>
      <c r="F862" s="600">
        <v>0</v>
      </c>
      <c r="G862" s="600">
        <v>1</v>
      </c>
      <c r="H862" s="600">
        <v>0</v>
      </c>
      <c r="L862" s="600"/>
    </row>
    <row r="863" spans="1:12" s="263" customFormat="1" ht="9" customHeight="1" x14ac:dyDescent="0.25">
      <c r="A863" s="550" t="s">
        <v>44</v>
      </c>
      <c r="B863" s="600">
        <f t="shared" si="47"/>
        <v>35</v>
      </c>
      <c r="C863" s="600">
        <v>29</v>
      </c>
      <c r="D863" s="600">
        <v>4</v>
      </c>
      <c r="E863" s="600">
        <v>0</v>
      </c>
      <c r="F863" s="600">
        <v>0</v>
      </c>
      <c r="G863" s="600">
        <v>0</v>
      </c>
      <c r="H863" s="600">
        <v>2</v>
      </c>
      <c r="L863" s="600"/>
    </row>
    <row r="864" spans="1:12" s="263" customFormat="1" ht="9" customHeight="1" x14ac:dyDescent="0.25">
      <c r="A864" s="603" t="s">
        <v>45</v>
      </c>
      <c r="B864" s="604">
        <f t="shared" si="47"/>
        <v>37</v>
      </c>
      <c r="C864" s="604">
        <v>34</v>
      </c>
      <c r="D864" s="604">
        <v>3</v>
      </c>
      <c r="E864" s="604">
        <v>0</v>
      </c>
      <c r="F864" s="604">
        <v>0</v>
      </c>
      <c r="G864" s="604">
        <v>0</v>
      </c>
      <c r="H864" s="604">
        <v>0</v>
      </c>
      <c r="L864" s="600"/>
    </row>
    <row r="865" spans="1:12" s="263" customFormat="1" ht="9" customHeight="1" x14ac:dyDescent="0.25">
      <c r="A865" s="550" t="s">
        <v>46</v>
      </c>
      <c r="B865" s="600">
        <f t="shared" si="47"/>
        <v>59</v>
      </c>
      <c r="C865" s="600">
        <v>50</v>
      </c>
      <c r="D865" s="600">
        <v>5</v>
      </c>
      <c r="E865" s="600">
        <v>0</v>
      </c>
      <c r="F865" s="600">
        <v>0</v>
      </c>
      <c r="G865" s="600">
        <v>1</v>
      </c>
      <c r="H865" s="600">
        <v>3</v>
      </c>
      <c r="L865" s="600"/>
    </row>
    <row r="866" spans="1:12" s="263" customFormat="1" ht="9" customHeight="1" x14ac:dyDescent="0.25">
      <c r="A866" s="550" t="s">
        <v>47</v>
      </c>
      <c r="B866" s="600">
        <f t="shared" si="47"/>
        <v>42</v>
      </c>
      <c r="C866" s="600">
        <v>37</v>
      </c>
      <c r="D866" s="600">
        <v>5</v>
      </c>
      <c r="E866" s="600">
        <v>0</v>
      </c>
      <c r="F866" s="600">
        <v>0</v>
      </c>
      <c r="G866" s="600">
        <v>0</v>
      </c>
      <c r="H866" s="600">
        <v>0</v>
      </c>
      <c r="L866" s="600"/>
    </row>
    <row r="867" spans="1:12" s="263" customFormat="1" ht="9" customHeight="1" x14ac:dyDescent="0.25">
      <c r="A867" s="550" t="s">
        <v>48</v>
      </c>
      <c r="B867" s="600">
        <f t="shared" si="47"/>
        <v>48</v>
      </c>
      <c r="C867" s="600">
        <v>44</v>
      </c>
      <c r="D867" s="600">
        <v>3</v>
      </c>
      <c r="E867" s="600">
        <v>0</v>
      </c>
      <c r="F867" s="600">
        <v>0</v>
      </c>
      <c r="G867" s="600">
        <v>0</v>
      </c>
      <c r="H867" s="600">
        <v>1</v>
      </c>
      <c r="L867" s="600"/>
    </row>
    <row r="868" spans="1:12" s="263" customFormat="1" ht="9" customHeight="1" x14ac:dyDescent="0.25">
      <c r="A868" s="603" t="s">
        <v>49</v>
      </c>
      <c r="B868" s="604">
        <f t="shared" si="47"/>
        <v>52</v>
      </c>
      <c r="C868" s="604">
        <v>50</v>
      </c>
      <c r="D868" s="604">
        <v>0</v>
      </c>
      <c r="E868" s="604">
        <v>1</v>
      </c>
      <c r="F868" s="604">
        <v>0</v>
      </c>
      <c r="G868" s="604">
        <v>0</v>
      </c>
      <c r="H868" s="604">
        <v>1</v>
      </c>
      <c r="L868" s="600"/>
    </row>
    <row r="869" spans="1:12" s="263" customFormat="1" ht="9" customHeight="1" x14ac:dyDescent="0.25">
      <c r="A869" s="550" t="s">
        <v>50</v>
      </c>
      <c r="B869" s="600">
        <f t="shared" si="47"/>
        <v>37</v>
      </c>
      <c r="C869" s="600">
        <v>36</v>
      </c>
      <c r="D869" s="600">
        <v>1</v>
      </c>
      <c r="E869" s="600">
        <v>0</v>
      </c>
      <c r="F869" s="600">
        <v>0</v>
      </c>
      <c r="G869" s="600">
        <v>0</v>
      </c>
      <c r="H869" s="600">
        <v>0</v>
      </c>
      <c r="L869" s="600"/>
    </row>
    <row r="870" spans="1:12" s="263" customFormat="1" ht="9" customHeight="1" x14ac:dyDescent="0.25">
      <c r="A870" s="550" t="s">
        <v>51</v>
      </c>
      <c r="B870" s="600">
        <f t="shared" si="47"/>
        <v>132</v>
      </c>
      <c r="C870" s="600">
        <v>107</v>
      </c>
      <c r="D870" s="600">
        <v>14</v>
      </c>
      <c r="E870" s="600">
        <v>0</v>
      </c>
      <c r="F870" s="600">
        <v>2</v>
      </c>
      <c r="G870" s="600">
        <v>3</v>
      </c>
      <c r="H870" s="600">
        <v>6</v>
      </c>
      <c r="L870" s="600"/>
    </row>
    <row r="871" spans="1:12" s="263" customFormat="1" ht="9" customHeight="1" x14ac:dyDescent="0.25">
      <c r="A871" s="550" t="s">
        <v>52</v>
      </c>
      <c r="B871" s="600">
        <f t="shared" si="47"/>
        <v>23</v>
      </c>
      <c r="C871" s="600">
        <v>20</v>
      </c>
      <c r="D871" s="600">
        <v>1</v>
      </c>
      <c r="E871" s="600">
        <v>0</v>
      </c>
      <c r="F871" s="600">
        <v>0</v>
      </c>
      <c r="G871" s="600">
        <v>0</v>
      </c>
      <c r="H871" s="600">
        <v>2</v>
      </c>
      <c r="L871" s="600"/>
    </row>
    <row r="872" spans="1:12" s="263" customFormat="1" ht="9" customHeight="1" x14ac:dyDescent="0.25">
      <c r="A872" s="603" t="s">
        <v>53</v>
      </c>
      <c r="B872" s="604">
        <f t="shared" si="47"/>
        <v>33</v>
      </c>
      <c r="C872" s="604">
        <v>33</v>
      </c>
      <c r="D872" s="604">
        <v>0</v>
      </c>
      <c r="E872" s="604">
        <v>0</v>
      </c>
      <c r="F872" s="604">
        <v>0</v>
      </c>
      <c r="G872" s="604">
        <v>0</v>
      </c>
      <c r="H872" s="604">
        <v>0</v>
      </c>
      <c r="L872" s="600"/>
    </row>
    <row r="873" spans="1:12" ht="3" customHeight="1" x14ac:dyDescent="0.25">
      <c r="A873" s="257"/>
      <c r="B873" s="257"/>
      <c r="C873" s="257"/>
      <c r="D873" s="257"/>
      <c r="E873" s="257"/>
      <c r="F873" s="257"/>
      <c r="G873" s="257"/>
      <c r="H873" s="257"/>
      <c r="L873" s="600"/>
    </row>
    <row r="874" spans="1:12" ht="3" customHeight="1" x14ac:dyDescent="0.25"/>
    <row r="875" spans="1:12" s="260" customFormat="1" ht="9" customHeight="1" x14ac:dyDescent="0.25">
      <c r="A875" s="607" t="s">
        <v>445</v>
      </c>
      <c r="B875" s="608"/>
    </row>
    <row r="876" spans="1:12" ht="12.75" hidden="1" customHeight="1" x14ac:dyDescent="0.25">
      <c r="I876" s="258" t="s">
        <v>74</v>
      </c>
    </row>
    <row r="877" spans="1:12" ht="12.75" hidden="1" customHeight="1" x14ac:dyDescent="0.25"/>
    <row r="878" spans="1:12" ht="12.75" hidden="1" customHeight="1" x14ac:dyDescent="0.25"/>
    <row r="879" spans="1:12" ht="12.75" hidden="1" customHeight="1" x14ac:dyDescent="0.25"/>
    <row r="880" spans="1:12" ht="11.25" hidden="1" customHeight="1" x14ac:dyDescent="0.25"/>
    <row r="881" ht="11.25" hidden="1" customHeight="1" x14ac:dyDescent="0.25"/>
    <row r="882" ht="11.25" hidden="1" customHeight="1" x14ac:dyDescent="0.25"/>
  </sheetData>
  <sheetProtection sheet="1" objects="1" scenarios="1"/>
  <mergeCells count="4">
    <mergeCell ref="A5:A7"/>
    <mergeCell ref="D5:D7"/>
    <mergeCell ref="G5:G6"/>
    <mergeCell ref="H5:H7"/>
  </mergeCells>
  <hyperlinks>
    <hyperlink ref="H1" location="Índice!A1" tooltip="Ir a Índice" display="Índice!A1"/>
  </hyperlinks>
  <printOptions horizontalCentered="1" verticalCentered="1" gridLinesSet="0"/>
  <pageMargins left="0.39370078740157483" right="0.39370078740157483" top="0.39370078740157483" bottom="0.39370078740157483" header="0.39370078740157483" footer="0.39370078740157483"/>
  <pageSetup orientation="portrait" r:id="rId1"/>
  <headerFooter>
    <oddHeader>&amp;L&amp;"Arial,Normal"&amp;10&amp;K000080INEGI. Anuario estadístico y geográfico por entidad federativa 2019.</oddHeader>
  </headerFooter>
  <rowBreaks count="11" manualBreakCount="11">
    <brk id="81" max="7" man="1"/>
    <brk id="153" max="7" man="1"/>
    <brk id="225" max="7" man="1"/>
    <brk id="297" max="7" man="1"/>
    <brk id="369" max="7" man="1"/>
    <brk id="441" max="7" man="1"/>
    <brk id="513" max="7" man="1"/>
    <brk id="585" max="7" man="1"/>
    <brk id="657" max="7" man="1"/>
    <brk id="729" max="7" man="1"/>
    <brk id="801" max="7" man="1"/>
  </rowBreak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877"/>
  <sheetViews>
    <sheetView showGridLines="0" showRowColHeaders="0" zoomScale="130" zoomScaleNormal="130" workbookViewId="0">
      <pane xSplit="1" ySplit="8" topLeftCell="B9" activePane="bottomRight" state="frozen"/>
      <selection activeCell="B5" sqref="B5"/>
      <selection pane="topRight" activeCell="B5" sqref="B5"/>
      <selection pane="bottomLeft" activeCell="B5" sqref="B5"/>
      <selection pane="bottomRight"/>
    </sheetView>
  </sheetViews>
  <sheetFormatPr baseColWidth="10" defaultColWidth="0" defaultRowHeight="11.25" customHeight="1" zeroHeight="1" x14ac:dyDescent="0.25"/>
  <cols>
    <col min="1" max="1" width="17.85546875" style="258" customWidth="1"/>
    <col min="2" max="2" width="11.28515625" style="258" customWidth="1"/>
    <col min="3" max="3" width="3.5703125" style="258" customWidth="1"/>
    <col min="4" max="4" width="4" style="258" customWidth="1"/>
    <col min="5" max="9" width="11" style="258" customWidth="1"/>
    <col min="10" max="10" width="0.85546875" style="258" hidden="1" customWidth="1"/>
    <col min="11" max="17" width="6.5703125" style="258" hidden="1" customWidth="1"/>
    <col min="18" max="23" width="4.140625" style="258" hidden="1" customWidth="1"/>
    <col min="24" max="24" width="3.7109375" style="258" hidden="1" customWidth="1"/>
    <col min="25" max="16384" width="11.5703125" style="258" hidden="1"/>
  </cols>
  <sheetData>
    <row r="1" spans="1:9" s="256" customFormat="1" ht="12" customHeight="1" x14ac:dyDescent="0.2">
      <c r="A1" s="312" t="s">
        <v>446</v>
      </c>
      <c r="B1" s="255"/>
      <c r="C1" s="255"/>
      <c r="D1" s="255"/>
      <c r="E1" s="255"/>
      <c r="F1" s="255"/>
      <c r="G1" s="255"/>
      <c r="H1" s="255"/>
      <c r="I1" s="761" t="s">
        <v>447</v>
      </c>
    </row>
    <row r="2" spans="1:9" s="256" customFormat="1" ht="12" customHeight="1" x14ac:dyDescent="0.2">
      <c r="A2" s="312" t="s">
        <v>448</v>
      </c>
      <c r="B2" s="255"/>
      <c r="C2" s="255"/>
      <c r="D2" s="255"/>
      <c r="E2" s="255"/>
      <c r="F2" s="255"/>
      <c r="G2" s="255"/>
      <c r="H2" s="255"/>
      <c r="I2" s="52"/>
    </row>
    <row r="3" spans="1:9" s="256" customFormat="1" ht="12" customHeight="1" x14ac:dyDescent="0.25">
      <c r="A3" s="56" t="s">
        <v>423</v>
      </c>
      <c r="B3" s="255"/>
      <c r="C3" s="255"/>
      <c r="D3" s="255"/>
      <c r="E3" s="255"/>
      <c r="F3" s="255"/>
      <c r="G3" s="255"/>
      <c r="H3" s="255"/>
      <c r="I3" s="255"/>
    </row>
    <row r="4" spans="1:9" ht="3" customHeight="1" x14ac:dyDescent="0.25">
      <c r="A4" s="257"/>
      <c r="B4" s="257"/>
      <c r="C4" s="257"/>
      <c r="D4" s="257"/>
      <c r="E4" s="257"/>
      <c r="F4" s="257"/>
      <c r="G4" s="257"/>
      <c r="H4" s="257"/>
      <c r="I4" s="257"/>
    </row>
    <row r="5" spans="1:9" ht="3" customHeight="1" x14ac:dyDescent="0.25">
      <c r="A5" s="259"/>
      <c r="B5" s="259"/>
      <c r="C5" s="259"/>
      <c r="D5" s="259"/>
      <c r="E5" s="259"/>
      <c r="F5" s="259"/>
      <c r="G5" s="259"/>
      <c r="H5" s="259"/>
      <c r="I5" s="259"/>
    </row>
    <row r="6" spans="1:9" s="260" customFormat="1" ht="8.65" customHeight="1" x14ac:dyDescent="0.15">
      <c r="A6" s="812" t="s">
        <v>4</v>
      </c>
      <c r="B6" s="810" t="s">
        <v>449</v>
      </c>
      <c r="C6" s="609"/>
      <c r="D6" s="278" t="s">
        <v>450</v>
      </c>
      <c r="E6" s="278"/>
      <c r="F6" s="278"/>
      <c r="G6" s="278"/>
      <c r="H6" s="278"/>
      <c r="I6" s="278"/>
    </row>
    <row r="7" spans="1:9" s="260" customFormat="1" ht="9.9499999999999993" customHeight="1" x14ac:dyDescent="0.15">
      <c r="A7" s="836"/>
      <c r="B7" s="811"/>
      <c r="C7" s="756"/>
      <c r="D7" s="610" t="s">
        <v>451</v>
      </c>
      <c r="E7" s="756" t="s">
        <v>452</v>
      </c>
      <c r="F7" s="756" t="s">
        <v>453</v>
      </c>
      <c r="G7" s="756" t="s">
        <v>454</v>
      </c>
      <c r="H7" s="756" t="s">
        <v>455</v>
      </c>
      <c r="I7" s="756" t="s">
        <v>456</v>
      </c>
    </row>
    <row r="8" spans="1:9" ht="3" customHeight="1" x14ac:dyDescent="0.2">
      <c r="A8" s="257"/>
      <c r="B8" s="321"/>
      <c r="C8" s="321"/>
      <c r="D8" s="321"/>
      <c r="E8" s="321"/>
      <c r="F8" s="321"/>
      <c r="G8" s="321"/>
      <c r="H8" s="321"/>
      <c r="I8" s="321"/>
    </row>
    <row r="9" spans="1:9" ht="3" customHeight="1" x14ac:dyDescent="0.25">
      <c r="A9" s="259"/>
      <c r="B9" s="259"/>
      <c r="C9" s="259"/>
      <c r="D9" s="259"/>
      <c r="E9" s="259"/>
      <c r="F9" s="259"/>
      <c r="G9" s="259"/>
      <c r="H9" s="259"/>
      <c r="I9" s="259"/>
    </row>
    <row r="10" spans="1:9" s="263" customFormat="1" ht="9" customHeight="1" x14ac:dyDescent="0.25">
      <c r="A10" s="261">
        <v>1995</v>
      </c>
      <c r="B10" s="262"/>
      <c r="C10" s="262"/>
      <c r="D10" s="262"/>
      <c r="E10" s="262"/>
      <c r="F10" s="262"/>
      <c r="G10" s="262"/>
      <c r="H10" s="262"/>
      <c r="I10" s="262"/>
    </row>
    <row r="11" spans="1:9" s="265" customFormat="1" ht="9" customHeight="1" x14ac:dyDescent="0.25">
      <c r="A11" s="265" t="s">
        <v>21</v>
      </c>
      <c r="B11" s="597">
        <f>SUM(D13:I44)</f>
        <v>1895</v>
      </c>
      <c r="C11" s="597"/>
      <c r="D11" s="597">
        <f t="shared" ref="D11:I11" si="0">SUM(D13:D44)</f>
        <v>414</v>
      </c>
      <c r="E11" s="597">
        <f t="shared" si="0"/>
        <v>797</v>
      </c>
      <c r="F11" s="597">
        <f t="shared" si="0"/>
        <v>337</v>
      </c>
      <c r="G11" s="597">
        <f t="shared" si="0"/>
        <v>159</v>
      </c>
      <c r="H11" s="597">
        <f t="shared" si="0"/>
        <v>121</v>
      </c>
      <c r="I11" s="597">
        <f t="shared" si="0"/>
        <v>67</v>
      </c>
    </row>
    <row r="12" spans="1:9" s="265" customFormat="1" ht="3.95" customHeight="1" x14ac:dyDescent="0.25">
      <c r="B12" s="597"/>
      <c r="C12" s="597"/>
      <c r="D12" s="597"/>
      <c r="E12" s="597"/>
      <c r="F12" s="597"/>
      <c r="G12" s="597"/>
      <c r="H12" s="597"/>
      <c r="I12" s="597"/>
    </row>
    <row r="13" spans="1:9" s="263" customFormat="1" ht="9" customHeight="1" x14ac:dyDescent="0.25">
      <c r="A13" s="263" t="s">
        <v>23</v>
      </c>
      <c r="B13" s="598">
        <f t="shared" ref="B13:B44" si="1">SUM(D13:I13)</f>
        <v>12</v>
      </c>
      <c r="C13" s="598"/>
      <c r="D13" s="598">
        <v>3</v>
      </c>
      <c r="E13" s="598">
        <v>4</v>
      </c>
      <c r="F13" s="598">
        <v>1</v>
      </c>
      <c r="G13" s="598">
        <v>2</v>
      </c>
      <c r="H13" s="598">
        <v>1</v>
      </c>
      <c r="I13" s="598">
        <v>1</v>
      </c>
    </row>
    <row r="14" spans="1:9" s="263" customFormat="1" ht="9" customHeight="1" x14ac:dyDescent="0.25">
      <c r="A14" s="263" t="s">
        <v>24</v>
      </c>
      <c r="B14" s="598">
        <f t="shared" si="1"/>
        <v>72</v>
      </c>
      <c r="C14" s="598"/>
      <c r="D14" s="598">
        <v>15</v>
      </c>
      <c r="E14" s="598">
        <v>32</v>
      </c>
      <c r="F14" s="598">
        <v>15</v>
      </c>
      <c r="G14" s="598">
        <v>5</v>
      </c>
      <c r="H14" s="598">
        <v>4</v>
      </c>
      <c r="I14" s="598">
        <v>1</v>
      </c>
    </row>
    <row r="15" spans="1:9" s="263" customFormat="1" ht="9" customHeight="1" x14ac:dyDescent="0.25">
      <c r="A15" s="263" t="s">
        <v>25</v>
      </c>
      <c r="B15" s="598">
        <f t="shared" si="1"/>
        <v>4</v>
      </c>
      <c r="C15" s="598"/>
      <c r="D15" s="598">
        <v>1</v>
      </c>
      <c r="E15" s="598">
        <v>3</v>
      </c>
      <c r="F15" s="598">
        <v>0</v>
      </c>
      <c r="G15" s="598">
        <v>0</v>
      </c>
      <c r="H15" s="598">
        <v>0</v>
      </c>
      <c r="I15" s="598">
        <v>0</v>
      </c>
    </row>
    <row r="16" spans="1:9" s="263" customFormat="1" ht="9" customHeight="1" x14ac:dyDescent="0.25">
      <c r="A16" s="267" t="s">
        <v>26</v>
      </c>
      <c r="B16" s="599">
        <f t="shared" si="1"/>
        <v>9</v>
      </c>
      <c r="C16" s="599"/>
      <c r="D16" s="599">
        <v>1</v>
      </c>
      <c r="E16" s="599">
        <v>6</v>
      </c>
      <c r="F16" s="599">
        <v>1</v>
      </c>
      <c r="G16" s="599">
        <v>1</v>
      </c>
      <c r="H16" s="599">
        <v>0</v>
      </c>
      <c r="I16" s="599">
        <v>0</v>
      </c>
    </row>
    <row r="17" spans="1:9" s="263" customFormat="1" ht="9" customHeight="1" x14ac:dyDescent="0.25">
      <c r="A17" s="263" t="s">
        <v>27</v>
      </c>
      <c r="B17" s="598">
        <f t="shared" si="1"/>
        <v>30</v>
      </c>
      <c r="C17" s="598"/>
      <c r="D17" s="598">
        <v>6</v>
      </c>
      <c r="E17" s="598">
        <v>7</v>
      </c>
      <c r="F17" s="598">
        <v>9</v>
      </c>
      <c r="G17" s="598">
        <v>2</v>
      </c>
      <c r="H17" s="598">
        <v>5</v>
      </c>
      <c r="I17" s="598">
        <v>1</v>
      </c>
    </row>
    <row r="18" spans="1:9" s="263" customFormat="1" ht="9" customHeight="1" x14ac:dyDescent="0.25">
      <c r="A18" s="263" t="s">
        <v>28</v>
      </c>
      <c r="B18" s="598">
        <f t="shared" si="1"/>
        <v>8</v>
      </c>
      <c r="C18" s="598"/>
      <c r="D18" s="598">
        <v>0</v>
      </c>
      <c r="E18" s="598">
        <v>4</v>
      </c>
      <c r="F18" s="598">
        <v>3</v>
      </c>
      <c r="G18" s="598">
        <v>1</v>
      </c>
      <c r="H18" s="598">
        <v>0</v>
      </c>
      <c r="I18" s="598">
        <v>0</v>
      </c>
    </row>
    <row r="19" spans="1:9" s="263" customFormat="1" ht="9" customHeight="1" x14ac:dyDescent="0.25">
      <c r="A19" s="263" t="s">
        <v>29</v>
      </c>
      <c r="B19" s="598">
        <f t="shared" si="1"/>
        <v>52</v>
      </c>
      <c r="C19" s="598"/>
      <c r="D19" s="598">
        <v>11</v>
      </c>
      <c r="E19" s="598">
        <v>23</v>
      </c>
      <c r="F19" s="598">
        <v>11</v>
      </c>
      <c r="G19" s="598">
        <v>6</v>
      </c>
      <c r="H19" s="598">
        <v>1</v>
      </c>
      <c r="I19" s="598">
        <v>0</v>
      </c>
    </row>
    <row r="20" spans="1:9" s="263" customFormat="1" ht="9" customHeight="1" x14ac:dyDescent="0.25">
      <c r="A20" s="267" t="s">
        <v>30</v>
      </c>
      <c r="B20" s="599">
        <f t="shared" si="1"/>
        <v>45</v>
      </c>
      <c r="C20" s="599"/>
      <c r="D20" s="599">
        <v>6</v>
      </c>
      <c r="E20" s="599">
        <v>17</v>
      </c>
      <c r="F20" s="599">
        <v>8</v>
      </c>
      <c r="G20" s="599">
        <v>2</v>
      </c>
      <c r="H20" s="599">
        <v>7</v>
      </c>
      <c r="I20" s="599">
        <v>5</v>
      </c>
    </row>
    <row r="21" spans="1:9" s="263" customFormat="1" ht="9" customHeight="1" x14ac:dyDescent="0.25">
      <c r="A21" s="263" t="s">
        <v>63</v>
      </c>
      <c r="B21" s="598">
        <f t="shared" si="1"/>
        <v>172</v>
      </c>
      <c r="C21" s="598"/>
      <c r="D21" s="598">
        <v>19</v>
      </c>
      <c r="E21" s="598">
        <v>63</v>
      </c>
      <c r="F21" s="598">
        <v>34</v>
      </c>
      <c r="G21" s="598">
        <v>14</v>
      </c>
      <c r="H21" s="598">
        <v>18</v>
      </c>
      <c r="I21" s="598">
        <v>24</v>
      </c>
    </row>
    <row r="22" spans="1:9" s="263" customFormat="1" ht="9" customHeight="1" x14ac:dyDescent="0.25">
      <c r="A22" s="263" t="s">
        <v>31</v>
      </c>
      <c r="B22" s="598">
        <f t="shared" si="1"/>
        <v>26</v>
      </c>
      <c r="C22" s="598"/>
      <c r="D22" s="598">
        <v>2</v>
      </c>
      <c r="E22" s="598">
        <v>14</v>
      </c>
      <c r="F22" s="598">
        <v>5</v>
      </c>
      <c r="G22" s="598">
        <v>2</v>
      </c>
      <c r="H22" s="598">
        <v>2</v>
      </c>
      <c r="I22" s="598">
        <v>1</v>
      </c>
    </row>
    <row r="23" spans="1:9" s="263" customFormat="1" ht="9" customHeight="1" x14ac:dyDescent="0.25">
      <c r="A23" s="263" t="s">
        <v>32</v>
      </c>
      <c r="B23" s="598">
        <f t="shared" si="1"/>
        <v>163</v>
      </c>
      <c r="C23" s="598"/>
      <c r="D23" s="598">
        <v>27</v>
      </c>
      <c r="E23" s="598">
        <v>68</v>
      </c>
      <c r="F23" s="598">
        <v>45</v>
      </c>
      <c r="G23" s="598">
        <v>12</v>
      </c>
      <c r="H23" s="598">
        <v>9</v>
      </c>
      <c r="I23" s="598">
        <v>2</v>
      </c>
    </row>
    <row r="24" spans="1:9" s="263" customFormat="1" ht="9" customHeight="1" x14ac:dyDescent="0.25">
      <c r="A24" s="267" t="s">
        <v>33</v>
      </c>
      <c r="B24" s="599">
        <f t="shared" si="1"/>
        <v>72</v>
      </c>
      <c r="C24" s="599"/>
      <c r="D24" s="599">
        <v>16</v>
      </c>
      <c r="E24" s="599">
        <v>33</v>
      </c>
      <c r="F24" s="599">
        <v>15</v>
      </c>
      <c r="G24" s="599">
        <v>6</v>
      </c>
      <c r="H24" s="599">
        <v>2</v>
      </c>
      <c r="I24" s="599">
        <v>0</v>
      </c>
    </row>
    <row r="25" spans="1:9" s="263" customFormat="1" ht="9" customHeight="1" x14ac:dyDescent="0.25">
      <c r="A25" s="263" t="s">
        <v>34</v>
      </c>
      <c r="B25" s="598">
        <f t="shared" si="1"/>
        <v>65</v>
      </c>
      <c r="C25" s="598"/>
      <c r="D25" s="598">
        <v>18</v>
      </c>
      <c r="E25" s="598">
        <v>35</v>
      </c>
      <c r="F25" s="598">
        <v>9</v>
      </c>
      <c r="G25" s="598">
        <v>1</v>
      </c>
      <c r="H25" s="598">
        <v>2</v>
      </c>
      <c r="I25" s="598">
        <v>0</v>
      </c>
    </row>
    <row r="26" spans="1:9" s="263" customFormat="1" ht="9" customHeight="1" x14ac:dyDescent="0.25">
      <c r="A26" s="263" t="s">
        <v>35</v>
      </c>
      <c r="B26" s="598">
        <f t="shared" si="1"/>
        <v>95</v>
      </c>
      <c r="C26" s="598"/>
      <c r="D26" s="598">
        <v>4</v>
      </c>
      <c r="E26" s="598">
        <v>28</v>
      </c>
      <c r="F26" s="598">
        <v>23</v>
      </c>
      <c r="G26" s="598">
        <v>20</v>
      </c>
      <c r="H26" s="598">
        <v>12</v>
      </c>
      <c r="I26" s="598">
        <v>8</v>
      </c>
    </row>
    <row r="27" spans="1:9" s="263" customFormat="1" ht="9" customHeight="1" x14ac:dyDescent="0.25">
      <c r="A27" s="263" t="s">
        <v>36</v>
      </c>
      <c r="B27" s="598">
        <f t="shared" si="1"/>
        <v>333</v>
      </c>
      <c r="C27" s="598"/>
      <c r="D27" s="598">
        <v>113</v>
      </c>
      <c r="E27" s="598">
        <v>161</v>
      </c>
      <c r="F27" s="598">
        <v>46</v>
      </c>
      <c r="G27" s="598">
        <v>8</v>
      </c>
      <c r="H27" s="598">
        <v>4</v>
      </c>
      <c r="I27" s="598">
        <v>1</v>
      </c>
    </row>
    <row r="28" spans="1:9" s="263" customFormat="1" ht="9" customHeight="1" x14ac:dyDescent="0.25">
      <c r="A28" s="267" t="s">
        <v>37</v>
      </c>
      <c r="B28" s="599">
        <f t="shared" si="1"/>
        <v>38</v>
      </c>
      <c r="C28" s="599"/>
      <c r="D28" s="599">
        <v>1</v>
      </c>
      <c r="E28" s="599">
        <v>16</v>
      </c>
      <c r="F28" s="599">
        <v>4</v>
      </c>
      <c r="G28" s="599">
        <v>9</v>
      </c>
      <c r="H28" s="599">
        <v>4</v>
      </c>
      <c r="I28" s="599">
        <v>4</v>
      </c>
    </row>
    <row r="29" spans="1:9" s="263" customFormat="1" ht="9" customHeight="1" x14ac:dyDescent="0.25">
      <c r="A29" s="263" t="s">
        <v>38</v>
      </c>
      <c r="B29" s="598">
        <f t="shared" si="1"/>
        <v>63</v>
      </c>
      <c r="C29" s="598"/>
      <c r="D29" s="598">
        <v>29</v>
      </c>
      <c r="E29" s="598">
        <v>25</v>
      </c>
      <c r="F29" s="598">
        <v>5</v>
      </c>
      <c r="G29" s="598">
        <v>3</v>
      </c>
      <c r="H29" s="598">
        <v>1</v>
      </c>
      <c r="I29" s="598">
        <v>0</v>
      </c>
    </row>
    <row r="30" spans="1:9" s="263" customFormat="1" ht="9" customHeight="1" x14ac:dyDescent="0.25">
      <c r="A30" s="263" t="s">
        <v>39</v>
      </c>
      <c r="B30" s="598">
        <f t="shared" si="1"/>
        <v>16</v>
      </c>
      <c r="C30" s="598"/>
      <c r="D30" s="598">
        <v>4</v>
      </c>
      <c r="E30" s="598">
        <v>7</v>
      </c>
      <c r="F30" s="598">
        <v>3</v>
      </c>
      <c r="G30" s="598">
        <v>0</v>
      </c>
      <c r="H30" s="598">
        <v>2</v>
      </c>
      <c r="I30" s="598">
        <v>0</v>
      </c>
    </row>
    <row r="31" spans="1:9" s="263" customFormat="1" ht="9" customHeight="1" x14ac:dyDescent="0.25">
      <c r="A31" s="263" t="s">
        <v>40</v>
      </c>
      <c r="B31" s="598">
        <f t="shared" si="1"/>
        <v>38</v>
      </c>
      <c r="C31" s="598"/>
      <c r="D31" s="598">
        <v>7</v>
      </c>
      <c r="E31" s="598">
        <v>14</v>
      </c>
      <c r="F31" s="598">
        <v>4</v>
      </c>
      <c r="G31" s="598">
        <v>1</v>
      </c>
      <c r="H31" s="598">
        <v>7</v>
      </c>
      <c r="I31" s="598">
        <v>5</v>
      </c>
    </row>
    <row r="32" spans="1:9" s="263" customFormat="1" ht="9" customHeight="1" x14ac:dyDescent="0.25">
      <c r="A32" s="267" t="s">
        <v>41</v>
      </c>
      <c r="B32" s="599">
        <f t="shared" si="1"/>
        <v>35</v>
      </c>
      <c r="C32" s="599"/>
      <c r="D32" s="599">
        <v>6</v>
      </c>
      <c r="E32" s="599">
        <v>17</v>
      </c>
      <c r="F32" s="599">
        <v>5</v>
      </c>
      <c r="G32" s="599">
        <v>7</v>
      </c>
      <c r="H32" s="599">
        <v>0</v>
      </c>
      <c r="I32" s="599">
        <v>0</v>
      </c>
    </row>
    <row r="33" spans="1:9" s="263" customFormat="1" ht="9" customHeight="1" x14ac:dyDescent="0.25">
      <c r="A33" s="263" t="s">
        <v>42</v>
      </c>
      <c r="B33" s="598">
        <f t="shared" si="1"/>
        <v>107</v>
      </c>
      <c r="C33" s="598"/>
      <c r="D33" s="598">
        <v>16</v>
      </c>
      <c r="E33" s="598">
        <v>44</v>
      </c>
      <c r="F33" s="598">
        <v>21</v>
      </c>
      <c r="G33" s="598">
        <v>9</v>
      </c>
      <c r="H33" s="598">
        <v>10</v>
      </c>
      <c r="I33" s="598">
        <v>7</v>
      </c>
    </row>
    <row r="34" spans="1:9" s="263" customFormat="1" ht="9" customHeight="1" x14ac:dyDescent="0.25">
      <c r="A34" s="263" t="s">
        <v>43</v>
      </c>
      <c r="B34" s="598">
        <f t="shared" si="1"/>
        <v>18</v>
      </c>
      <c r="C34" s="598"/>
      <c r="D34" s="598">
        <v>4</v>
      </c>
      <c r="E34" s="598">
        <v>4</v>
      </c>
      <c r="F34" s="598">
        <v>3</v>
      </c>
      <c r="G34" s="598">
        <v>5</v>
      </c>
      <c r="H34" s="598">
        <v>2</v>
      </c>
      <c r="I34" s="598">
        <v>0</v>
      </c>
    </row>
    <row r="35" spans="1:9" s="263" customFormat="1" ht="9" customHeight="1" x14ac:dyDescent="0.25">
      <c r="A35" s="263" t="s">
        <v>44</v>
      </c>
      <c r="B35" s="598">
        <f t="shared" si="1"/>
        <v>20</v>
      </c>
      <c r="C35" s="598"/>
      <c r="D35" s="598">
        <v>5</v>
      </c>
      <c r="E35" s="598">
        <v>8</v>
      </c>
      <c r="F35" s="598">
        <v>2</v>
      </c>
      <c r="G35" s="598">
        <v>3</v>
      </c>
      <c r="H35" s="598">
        <v>2</v>
      </c>
      <c r="I35" s="598">
        <v>0</v>
      </c>
    </row>
    <row r="36" spans="1:9" s="263" customFormat="1" ht="9" customHeight="1" x14ac:dyDescent="0.25">
      <c r="A36" s="267" t="s">
        <v>45</v>
      </c>
      <c r="B36" s="599">
        <f t="shared" si="1"/>
        <v>35</v>
      </c>
      <c r="C36" s="599"/>
      <c r="D36" s="599">
        <v>10</v>
      </c>
      <c r="E36" s="599">
        <v>9</v>
      </c>
      <c r="F36" s="599">
        <v>7</v>
      </c>
      <c r="G36" s="599">
        <v>4</v>
      </c>
      <c r="H36" s="599">
        <v>3</v>
      </c>
      <c r="I36" s="599">
        <v>2</v>
      </c>
    </row>
    <row r="37" spans="1:9" s="263" customFormat="1" ht="9" customHeight="1" x14ac:dyDescent="0.25">
      <c r="A37" s="263" t="s">
        <v>46</v>
      </c>
      <c r="B37" s="598">
        <f t="shared" si="1"/>
        <v>36</v>
      </c>
      <c r="C37" s="598"/>
      <c r="D37" s="598">
        <v>3</v>
      </c>
      <c r="E37" s="598">
        <v>16</v>
      </c>
      <c r="F37" s="598">
        <v>8</v>
      </c>
      <c r="G37" s="598">
        <v>6</v>
      </c>
      <c r="H37" s="598">
        <v>3</v>
      </c>
      <c r="I37" s="598">
        <v>0</v>
      </c>
    </row>
    <row r="38" spans="1:9" s="263" customFormat="1" ht="9" customHeight="1" x14ac:dyDescent="0.25">
      <c r="A38" s="263" t="s">
        <v>47</v>
      </c>
      <c r="B38" s="598">
        <f t="shared" si="1"/>
        <v>37</v>
      </c>
      <c r="C38" s="598"/>
      <c r="D38" s="598">
        <v>8</v>
      </c>
      <c r="E38" s="598">
        <v>12</v>
      </c>
      <c r="F38" s="598">
        <v>11</v>
      </c>
      <c r="G38" s="598">
        <v>4</v>
      </c>
      <c r="H38" s="598">
        <v>2</v>
      </c>
      <c r="I38" s="598">
        <v>0</v>
      </c>
    </row>
    <row r="39" spans="1:9" s="263" customFormat="1" ht="9" customHeight="1" x14ac:dyDescent="0.25">
      <c r="A39" s="263" t="s">
        <v>48</v>
      </c>
      <c r="B39" s="598">
        <f t="shared" si="1"/>
        <v>44</v>
      </c>
      <c r="C39" s="598"/>
      <c r="D39" s="598">
        <v>15</v>
      </c>
      <c r="E39" s="598">
        <v>23</v>
      </c>
      <c r="F39" s="598">
        <v>3</v>
      </c>
      <c r="G39" s="598">
        <v>0</v>
      </c>
      <c r="H39" s="598">
        <v>2</v>
      </c>
      <c r="I39" s="598">
        <v>1</v>
      </c>
    </row>
    <row r="40" spans="1:9" s="263" customFormat="1" ht="9" customHeight="1" x14ac:dyDescent="0.25">
      <c r="A40" s="267" t="s">
        <v>49</v>
      </c>
      <c r="B40" s="599">
        <f t="shared" si="1"/>
        <v>61</v>
      </c>
      <c r="C40" s="599"/>
      <c r="D40" s="599">
        <v>13</v>
      </c>
      <c r="E40" s="599">
        <v>28</v>
      </c>
      <c r="F40" s="599">
        <v>12</v>
      </c>
      <c r="G40" s="599">
        <v>3</v>
      </c>
      <c r="H40" s="599">
        <v>4</v>
      </c>
      <c r="I40" s="599">
        <v>1</v>
      </c>
    </row>
    <row r="41" spans="1:9" s="263" customFormat="1" ht="9" customHeight="1" x14ac:dyDescent="0.25">
      <c r="A41" s="263" t="s">
        <v>50</v>
      </c>
      <c r="B41" s="598">
        <f t="shared" si="1"/>
        <v>31</v>
      </c>
      <c r="C41" s="598"/>
      <c r="D41" s="598">
        <v>13</v>
      </c>
      <c r="E41" s="598">
        <v>13</v>
      </c>
      <c r="F41" s="598">
        <v>4</v>
      </c>
      <c r="G41" s="598">
        <v>1</v>
      </c>
      <c r="H41" s="598">
        <v>0</v>
      </c>
      <c r="I41" s="598">
        <v>0</v>
      </c>
    </row>
    <row r="42" spans="1:9" s="263" customFormat="1" ht="9" customHeight="1" x14ac:dyDescent="0.25">
      <c r="A42" s="263" t="s">
        <v>51</v>
      </c>
      <c r="B42" s="598">
        <f t="shared" si="1"/>
        <v>109</v>
      </c>
      <c r="C42" s="598"/>
      <c r="D42" s="598">
        <v>27</v>
      </c>
      <c r="E42" s="598">
        <v>49</v>
      </c>
      <c r="F42" s="598">
        <v>14</v>
      </c>
      <c r="G42" s="598">
        <v>9</v>
      </c>
      <c r="H42" s="598">
        <v>9</v>
      </c>
      <c r="I42" s="598">
        <v>1</v>
      </c>
    </row>
    <row r="43" spans="1:9" s="263" customFormat="1" ht="9" customHeight="1" x14ac:dyDescent="0.25">
      <c r="A43" s="263" t="s">
        <v>52</v>
      </c>
      <c r="B43" s="598">
        <f t="shared" si="1"/>
        <v>36</v>
      </c>
      <c r="C43" s="598"/>
      <c r="D43" s="598">
        <v>10</v>
      </c>
      <c r="E43" s="598">
        <v>10</v>
      </c>
      <c r="F43" s="598">
        <v>3</v>
      </c>
      <c r="G43" s="598">
        <v>9</v>
      </c>
      <c r="H43" s="598">
        <v>3</v>
      </c>
      <c r="I43" s="598">
        <v>1</v>
      </c>
    </row>
    <row r="44" spans="1:9" s="263" customFormat="1" ht="9" customHeight="1" x14ac:dyDescent="0.25">
      <c r="A44" s="267" t="s">
        <v>53</v>
      </c>
      <c r="B44" s="599">
        <f t="shared" si="1"/>
        <v>13</v>
      </c>
      <c r="C44" s="599"/>
      <c r="D44" s="599">
        <v>1</v>
      </c>
      <c r="E44" s="599">
        <v>4</v>
      </c>
      <c r="F44" s="599">
        <v>3</v>
      </c>
      <c r="G44" s="599">
        <v>4</v>
      </c>
      <c r="H44" s="599">
        <v>0</v>
      </c>
      <c r="I44" s="599">
        <v>1</v>
      </c>
    </row>
    <row r="45" spans="1:9" s="263" customFormat="1" ht="9" customHeight="1" x14ac:dyDescent="0.25">
      <c r="A45" s="550"/>
      <c r="B45" s="600"/>
      <c r="C45" s="600"/>
      <c r="D45" s="600"/>
      <c r="E45" s="600"/>
      <c r="F45" s="600"/>
      <c r="G45" s="600"/>
      <c r="H45" s="600"/>
      <c r="I45" s="600"/>
    </row>
    <row r="46" spans="1:9" s="263" customFormat="1" ht="9" customHeight="1" x14ac:dyDescent="0.25">
      <c r="A46" s="601">
        <v>1996</v>
      </c>
      <c r="B46" s="266"/>
      <c r="C46" s="266"/>
      <c r="D46" s="266"/>
      <c r="E46" s="266"/>
      <c r="F46" s="266"/>
      <c r="G46" s="266"/>
      <c r="H46" s="266"/>
      <c r="I46" s="266"/>
    </row>
    <row r="47" spans="1:9" s="265" customFormat="1" ht="9" customHeight="1" x14ac:dyDescent="0.25">
      <c r="A47" s="265" t="s">
        <v>21</v>
      </c>
      <c r="B47" s="602">
        <f>SUM(B49:B80)</f>
        <v>2073</v>
      </c>
      <c r="C47" s="602"/>
      <c r="D47" s="602">
        <f t="shared" ref="D47:I47" si="2">SUM(D49:D80)</f>
        <v>494</v>
      </c>
      <c r="E47" s="602">
        <f t="shared" si="2"/>
        <v>864</v>
      </c>
      <c r="F47" s="602">
        <f t="shared" si="2"/>
        <v>368</v>
      </c>
      <c r="G47" s="602">
        <f t="shared" si="2"/>
        <v>160</v>
      </c>
      <c r="H47" s="602">
        <f t="shared" si="2"/>
        <v>123</v>
      </c>
      <c r="I47" s="602">
        <f t="shared" si="2"/>
        <v>64</v>
      </c>
    </row>
    <row r="48" spans="1:9" s="265" customFormat="1" ht="3.95" customHeight="1" x14ac:dyDescent="0.25">
      <c r="B48" s="602"/>
      <c r="C48" s="602"/>
      <c r="D48" s="602"/>
      <c r="E48" s="602"/>
      <c r="F48" s="602"/>
      <c r="G48" s="602"/>
      <c r="H48" s="602"/>
      <c r="I48" s="602"/>
    </row>
    <row r="49" spans="1:9" s="263" customFormat="1" ht="9" customHeight="1" x14ac:dyDescent="0.25">
      <c r="A49" s="550" t="s">
        <v>23</v>
      </c>
      <c r="B49" s="600">
        <f t="shared" ref="B49:B80" si="3">SUM(D49:I49)</f>
        <v>13</v>
      </c>
      <c r="C49" s="600"/>
      <c r="D49" s="600">
        <v>2</v>
      </c>
      <c r="E49" s="600">
        <v>5</v>
      </c>
      <c r="F49" s="600">
        <v>2</v>
      </c>
      <c r="G49" s="600">
        <v>0</v>
      </c>
      <c r="H49" s="600">
        <v>4</v>
      </c>
      <c r="I49" s="600">
        <v>0</v>
      </c>
    </row>
    <row r="50" spans="1:9" s="263" customFormat="1" ht="9" customHeight="1" x14ac:dyDescent="0.25">
      <c r="A50" s="550" t="s">
        <v>24</v>
      </c>
      <c r="B50" s="600">
        <f t="shared" si="3"/>
        <v>66</v>
      </c>
      <c r="C50" s="600"/>
      <c r="D50" s="600">
        <v>16</v>
      </c>
      <c r="E50" s="600">
        <v>28</v>
      </c>
      <c r="F50" s="600">
        <v>13</v>
      </c>
      <c r="G50" s="600">
        <v>4</v>
      </c>
      <c r="H50" s="600">
        <v>5</v>
      </c>
      <c r="I50" s="600">
        <v>0</v>
      </c>
    </row>
    <row r="51" spans="1:9" s="263" customFormat="1" ht="9" customHeight="1" x14ac:dyDescent="0.25">
      <c r="A51" s="550" t="s">
        <v>25</v>
      </c>
      <c r="B51" s="600">
        <f t="shared" si="3"/>
        <v>4</v>
      </c>
      <c r="C51" s="600"/>
      <c r="D51" s="600">
        <v>2</v>
      </c>
      <c r="E51" s="600">
        <v>2</v>
      </c>
      <c r="F51" s="600">
        <v>0</v>
      </c>
      <c r="G51" s="600">
        <v>0</v>
      </c>
      <c r="H51" s="600">
        <v>0</v>
      </c>
      <c r="I51" s="600">
        <v>0</v>
      </c>
    </row>
    <row r="52" spans="1:9" s="263" customFormat="1" ht="9" customHeight="1" x14ac:dyDescent="0.25">
      <c r="A52" s="603" t="s">
        <v>26</v>
      </c>
      <c r="B52" s="604">
        <f t="shared" si="3"/>
        <v>9</v>
      </c>
      <c r="C52" s="604"/>
      <c r="D52" s="604">
        <v>0</v>
      </c>
      <c r="E52" s="604">
        <v>7</v>
      </c>
      <c r="F52" s="604">
        <v>1</v>
      </c>
      <c r="G52" s="604">
        <v>1</v>
      </c>
      <c r="H52" s="604">
        <v>0</v>
      </c>
      <c r="I52" s="604">
        <v>0</v>
      </c>
    </row>
    <row r="53" spans="1:9" s="263" customFormat="1" ht="9" customHeight="1" x14ac:dyDescent="0.25">
      <c r="A53" s="550" t="s">
        <v>27</v>
      </c>
      <c r="B53" s="600">
        <f t="shared" si="3"/>
        <v>32</v>
      </c>
      <c r="C53" s="600"/>
      <c r="D53" s="600">
        <v>6</v>
      </c>
      <c r="E53" s="600">
        <v>8</v>
      </c>
      <c r="F53" s="600">
        <v>8</v>
      </c>
      <c r="G53" s="600">
        <v>3</v>
      </c>
      <c r="H53" s="600">
        <v>6</v>
      </c>
      <c r="I53" s="600">
        <v>1</v>
      </c>
    </row>
    <row r="54" spans="1:9" s="263" customFormat="1" ht="9" customHeight="1" x14ac:dyDescent="0.25">
      <c r="A54" s="550" t="s">
        <v>28</v>
      </c>
      <c r="B54" s="600">
        <f t="shared" si="3"/>
        <v>9</v>
      </c>
      <c r="C54" s="600"/>
      <c r="D54" s="600">
        <v>0</v>
      </c>
      <c r="E54" s="600">
        <v>4</v>
      </c>
      <c r="F54" s="600">
        <v>4</v>
      </c>
      <c r="G54" s="600">
        <v>1</v>
      </c>
      <c r="H54" s="600">
        <v>0</v>
      </c>
      <c r="I54" s="600">
        <v>0</v>
      </c>
    </row>
    <row r="55" spans="1:9" s="263" customFormat="1" ht="9" customHeight="1" x14ac:dyDescent="0.25">
      <c r="A55" s="550" t="s">
        <v>29</v>
      </c>
      <c r="B55" s="600">
        <f t="shared" si="3"/>
        <v>57</v>
      </c>
      <c r="C55" s="600"/>
      <c r="D55" s="600">
        <v>14</v>
      </c>
      <c r="E55" s="600">
        <v>24</v>
      </c>
      <c r="F55" s="600">
        <v>15</v>
      </c>
      <c r="G55" s="600">
        <v>4</v>
      </c>
      <c r="H55" s="600">
        <v>0</v>
      </c>
      <c r="I55" s="600">
        <v>0</v>
      </c>
    </row>
    <row r="56" spans="1:9" s="263" customFormat="1" ht="9" customHeight="1" x14ac:dyDescent="0.25">
      <c r="A56" s="603" t="s">
        <v>30</v>
      </c>
      <c r="B56" s="604">
        <f t="shared" si="3"/>
        <v>45</v>
      </c>
      <c r="C56" s="604"/>
      <c r="D56" s="604">
        <v>6</v>
      </c>
      <c r="E56" s="604">
        <v>14</v>
      </c>
      <c r="F56" s="604">
        <v>8</v>
      </c>
      <c r="G56" s="604">
        <v>5</v>
      </c>
      <c r="H56" s="604">
        <v>7</v>
      </c>
      <c r="I56" s="604">
        <v>5</v>
      </c>
    </row>
    <row r="57" spans="1:9" s="263" customFormat="1" ht="9" customHeight="1" x14ac:dyDescent="0.25">
      <c r="A57" s="550" t="s">
        <v>63</v>
      </c>
      <c r="B57" s="600">
        <f t="shared" si="3"/>
        <v>235</v>
      </c>
      <c r="C57" s="600"/>
      <c r="D57" s="600">
        <v>45</v>
      </c>
      <c r="E57" s="600">
        <v>89</v>
      </c>
      <c r="F57" s="600">
        <v>45</v>
      </c>
      <c r="G57" s="600">
        <v>13</v>
      </c>
      <c r="H57" s="600">
        <v>18</v>
      </c>
      <c r="I57" s="600">
        <v>25</v>
      </c>
    </row>
    <row r="58" spans="1:9" s="263" customFormat="1" ht="9" customHeight="1" x14ac:dyDescent="0.25">
      <c r="A58" s="550" t="s">
        <v>31</v>
      </c>
      <c r="B58" s="600">
        <f t="shared" si="3"/>
        <v>27</v>
      </c>
      <c r="C58" s="600"/>
      <c r="D58" s="600">
        <v>2</v>
      </c>
      <c r="E58" s="600">
        <v>17</v>
      </c>
      <c r="F58" s="600">
        <v>3</v>
      </c>
      <c r="G58" s="600">
        <v>2</v>
      </c>
      <c r="H58" s="600">
        <v>2</v>
      </c>
      <c r="I58" s="600">
        <v>1</v>
      </c>
    </row>
    <row r="59" spans="1:9" s="263" customFormat="1" ht="9" customHeight="1" x14ac:dyDescent="0.25">
      <c r="A59" s="550" t="s">
        <v>32</v>
      </c>
      <c r="B59" s="600">
        <f t="shared" si="3"/>
        <v>160</v>
      </c>
      <c r="C59" s="600"/>
      <c r="D59" s="600">
        <v>28</v>
      </c>
      <c r="E59" s="600">
        <v>69</v>
      </c>
      <c r="F59" s="600">
        <v>38</v>
      </c>
      <c r="G59" s="600">
        <v>12</v>
      </c>
      <c r="H59" s="600">
        <v>10</v>
      </c>
      <c r="I59" s="600">
        <v>3</v>
      </c>
    </row>
    <row r="60" spans="1:9" s="263" customFormat="1" ht="9" customHeight="1" x14ac:dyDescent="0.25">
      <c r="A60" s="603" t="s">
        <v>33</v>
      </c>
      <c r="B60" s="604">
        <f t="shared" si="3"/>
        <v>77</v>
      </c>
      <c r="C60" s="604"/>
      <c r="D60" s="604">
        <v>13</v>
      </c>
      <c r="E60" s="604">
        <v>41</v>
      </c>
      <c r="F60" s="604">
        <v>14</v>
      </c>
      <c r="G60" s="604">
        <v>8</v>
      </c>
      <c r="H60" s="604">
        <v>1</v>
      </c>
      <c r="I60" s="604">
        <v>0</v>
      </c>
    </row>
    <row r="61" spans="1:9" s="263" customFormat="1" ht="9" customHeight="1" x14ac:dyDescent="0.25">
      <c r="A61" s="550" t="s">
        <v>34</v>
      </c>
      <c r="B61" s="600">
        <f t="shared" si="3"/>
        <v>68</v>
      </c>
      <c r="C61" s="600"/>
      <c r="D61" s="600">
        <v>18</v>
      </c>
      <c r="E61" s="600">
        <v>35</v>
      </c>
      <c r="F61" s="600">
        <v>9</v>
      </c>
      <c r="G61" s="600">
        <v>5</v>
      </c>
      <c r="H61" s="600">
        <v>1</v>
      </c>
      <c r="I61" s="600">
        <v>0</v>
      </c>
    </row>
    <row r="62" spans="1:9" s="263" customFormat="1" ht="9" customHeight="1" x14ac:dyDescent="0.25">
      <c r="A62" s="550" t="s">
        <v>35</v>
      </c>
      <c r="B62" s="600">
        <f t="shared" si="3"/>
        <v>99</v>
      </c>
      <c r="C62" s="600"/>
      <c r="D62" s="600">
        <v>6</v>
      </c>
      <c r="E62" s="600">
        <v>25</v>
      </c>
      <c r="F62" s="600">
        <v>29</v>
      </c>
      <c r="G62" s="600">
        <v>18</v>
      </c>
      <c r="H62" s="600">
        <v>12</v>
      </c>
      <c r="I62" s="600">
        <v>9</v>
      </c>
    </row>
    <row r="63" spans="1:9" s="263" customFormat="1" ht="9" customHeight="1" x14ac:dyDescent="0.25">
      <c r="A63" s="550" t="s">
        <v>36</v>
      </c>
      <c r="B63" s="600">
        <f t="shared" si="3"/>
        <v>420</v>
      </c>
      <c r="C63" s="600"/>
      <c r="D63" s="600">
        <v>160</v>
      </c>
      <c r="E63" s="600">
        <v>190</v>
      </c>
      <c r="F63" s="600">
        <v>51</v>
      </c>
      <c r="G63" s="600">
        <v>9</v>
      </c>
      <c r="H63" s="600">
        <v>8</v>
      </c>
      <c r="I63" s="600">
        <v>2</v>
      </c>
    </row>
    <row r="64" spans="1:9" s="263" customFormat="1" ht="9" customHeight="1" x14ac:dyDescent="0.25">
      <c r="A64" s="603" t="s">
        <v>37</v>
      </c>
      <c r="B64" s="604">
        <f t="shared" si="3"/>
        <v>41</v>
      </c>
      <c r="C64" s="604"/>
      <c r="D64" s="604">
        <v>2</v>
      </c>
      <c r="E64" s="604">
        <v>13</v>
      </c>
      <c r="F64" s="604">
        <v>7</v>
      </c>
      <c r="G64" s="604">
        <v>12</v>
      </c>
      <c r="H64" s="604">
        <v>3</v>
      </c>
      <c r="I64" s="604">
        <v>4</v>
      </c>
    </row>
    <row r="65" spans="1:9" s="263" customFormat="1" ht="9" customHeight="1" x14ac:dyDescent="0.25">
      <c r="A65" s="550" t="s">
        <v>38</v>
      </c>
      <c r="B65" s="600">
        <f t="shared" si="3"/>
        <v>65</v>
      </c>
      <c r="C65" s="600"/>
      <c r="D65" s="600">
        <v>32</v>
      </c>
      <c r="E65" s="600">
        <v>24</v>
      </c>
      <c r="F65" s="600">
        <v>5</v>
      </c>
      <c r="G65" s="600">
        <v>3</v>
      </c>
      <c r="H65" s="600">
        <v>1</v>
      </c>
      <c r="I65" s="600">
        <v>0</v>
      </c>
    </row>
    <row r="66" spans="1:9" s="263" customFormat="1" ht="9" customHeight="1" x14ac:dyDescent="0.25">
      <c r="A66" s="550" t="s">
        <v>39</v>
      </c>
      <c r="B66" s="600">
        <f t="shared" si="3"/>
        <v>14</v>
      </c>
      <c r="C66" s="600"/>
      <c r="D66" s="600">
        <v>4</v>
      </c>
      <c r="E66" s="600">
        <v>5</v>
      </c>
      <c r="F66" s="600">
        <v>2</v>
      </c>
      <c r="G66" s="600">
        <v>1</v>
      </c>
      <c r="H66" s="600">
        <v>2</v>
      </c>
      <c r="I66" s="600">
        <v>0</v>
      </c>
    </row>
    <row r="67" spans="1:9" s="263" customFormat="1" ht="9" customHeight="1" x14ac:dyDescent="0.25">
      <c r="A67" s="550" t="s">
        <v>40</v>
      </c>
      <c r="B67" s="600">
        <f t="shared" si="3"/>
        <v>43</v>
      </c>
      <c r="C67" s="600"/>
      <c r="D67" s="600">
        <v>10</v>
      </c>
      <c r="E67" s="600">
        <v>15</v>
      </c>
      <c r="F67" s="600">
        <v>6</v>
      </c>
      <c r="G67" s="600">
        <v>1</v>
      </c>
      <c r="H67" s="600">
        <v>6</v>
      </c>
      <c r="I67" s="600">
        <v>5</v>
      </c>
    </row>
    <row r="68" spans="1:9" s="263" customFormat="1" ht="9" customHeight="1" x14ac:dyDescent="0.25">
      <c r="A68" s="603" t="s">
        <v>41</v>
      </c>
      <c r="B68" s="604">
        <f t="shared" si="3"/>
        <v>32</v>
      </c>
      <c r="C68" s="604"/>
      <c r="D68" s="604">
        <v>5</v>
      </c>
      <c r="E68" s="604">
        <v>14</v>
      </c>
      <c r="F68" s="604">
        <v>7</v>
      </c>
      <c r="G68" s="604">
        <v>6</v>
      </c>
      <c r="H68" s="604">
        <v>0</v>
      </c>
      <c r="I68" s="604">
        <v>0</v>
      </c>
    </row>
    <row r="69" spans="1:9" s="263" customFormat="1" ht="9" customHeight="1" x14ac:dyDescent="0.25">
      <c r="A69" s="550" t="s">
        <v>42</v>
      </c>
      <c r="B69" s="600">
        <f t="shared" si="3"/>
        <v>109</v>
      </c>
      <c r="C69" s="600"/>
      <c r="D69" s="600">
        <v>13</v>
      </c>
      <c r="E69" s="600">
        <v>49</v>
      </c>
      <c r="F69" s="600">
        <v>25</v>
      </c>
      <c r="G69" s="600">
        <v>9</v>
      </c>
      <c r="H69" s="600">
        <v>9</v>
      </c>
      <c r="I69" s="600">
        <v>4</v>
      </c>
    </row>
    <row r="70" spans="1:9" s="263" customFormat="1" ht="9" customHeight="1" x14ac:dyDescent="0.25">
      <c r="A70" s="550" t="s">
        <v>43</v>
      </c>
      <c r="B70" s="600">
        <f t="shared" si="3"/>
        <v>16</v>
      </c>
      <c r="C70" s="600"/>
      <c r="D70" s="600">
        <v>4</v>
      </c>
      <c r="E70" s="600">
        <v>3</v>
      </c>
      <c r="F70" s="600">
        <v>2</v>
      </c>
      <c r="G70" s="600">
        <v>6</v>
      </c>
      <c r="H70" s="600">
        <v>1</v>
      </c>
      <c r="I70" s="600">
        <v>0</v>
      </c>
    </row>
    <row r="71" spans="1:9" s="263" customFormat="1" ht="9" customHeight="1" x14ac:dyDescent="0.25">
      <c r="A71" s="550" t="s">
        <v>44</v>
      </c>
      <c r="B71" s="600">
        <f t="shared" si="3"/>
        <v>22</v>
      </c>
      <c r="C71" s="600"/>
      <c r="D71" s="600">
        <v>5</v>
      </c>
      <c r="E71" s="600">
        <v>10</v>
      </c>
      <c r="F71" s="600">
        <v>3</v>
      </c>
      <c r="G71" s="600">
        <v>2</v>
      </c>
      <c r="H71" s="600">
        <v>2</v>
      </c>
      <c r="I71" s="600">
        <v>0</v>
      </c>
    </row>
    <row r="72" spans="1:9" s="263" customFormat="1" ht="9" customHeight="1" x14ac:dyDescent="0.25">
      <c r="A72" s="603" t="s">
        <v>45</v>
      </c>
      <c r="B72" s="604">
        <f t="shared" si="3"/>
        <v>33</v>
      </c>
      <c r="C72" s="604"/>
      <c r="D72" s="604">
        <v>8</v>
      </c>
      <c r="E72" s="604">
        <v>11</v>
      </c>
      <c r="F72" s="604">
        <v>5</v>
      </c>
      <c r="G72" s="604">
        <v>4</v>
      </c>
      <c r="H72" s="604">
        <v>3</v>
      </c>
      <c r="I72" s="604">
        <v>2</v>
      </c>
    </row>
    <row r="73" spans="1:9" s="263" customFormat="1" ht="9" customHeight="1" x14ac:dyDescent="0.25">
      <c r="A73" s="550" t="s">
        <v>46</v>
      </c>
      <c r="B73" s="600">
        <f t="shared" si="3"/>
        <v>47</v>
      </c>
      <c r="C73" s="600"/>
      <c r="D73" s="600">
        <v>6</v>
      </c>
      <c r="E73" s="600">
        <v>23</v>
      </c>
      <c r="F73" s="600">
        <v>10</v>
      </c>
      <c r="G73" s="600">
        <v>5</v>
      </c>
      <c r="H73" s="600">
        <v>3</v>
      </c>
      <c r="I73" s="600">
        <v>0</v>
      </c>
    </row>
    <row r="74" spans="1:9" s="263" customFormat="1" ht="9" customHeight="1" x14ac:dyDescent="0.25">
      <c r="A74" s="550" t="s">
        <v>47</v>
      </c>
      <c r="B74" s="600">
        <f t="shared" si="3"/>
        <v>40</v>
      </c>
      <c r="C74" s="600"/>
      <c r="D74" s="600">
        <v>7</v>
      </c>
      <c r="E74" s="600">
        <v>13</v>
      </c>
      <c r="F74" s="600">
        <v>12</v>
      </c>
      <c r="G74" s="600">
        <v>4</v>
      </c>
      <c r="H74" s="600">
        <v>4</v>
      </c>
      <c r="I74" s="600">
        <v>0</v>
      </c>
    </row>
    <row r="75" spans="1:9" s="263" customFormat="1" ht="9" customHeight="1" x14ac:dyDescent="0.25">
      <c r="A75" s="550" t="s">
        <v>48</v>
      </c>
      <c r="B75" s="600">
        <f t="shared" si="3"/>
        <v>44</v>
      </c>
      <c r="C75" s="600"/>
      <c r="D75" s="600">
        <v>16</v>
      </c>
      <c r="E75" s="600">
        <v>22</v>
      </c>
      <c r="F75" s="600">
        <v>4</v>
      </c>
      <c r="G75" s="600">
        <v>0</v>
      </c>
      <c r="H75" s="600">
        <v>2</v>
      </c>
      <c r="I75" s="600">
        <v>0</v>
      </c>
    </row>
    <row r="76" spans="1:9" s="263" customFormat="1" ht="9" customHeight="1" x14ac:dyDescent="0.25">
      <c r="A76" s="603" t="s">
        <v>49</v>
      </c>
      <c r="B76" s="604">
        <f t="shared" si="3"/>
        <v>68</v>
      </c>
      <c r="C76" s="604"/>
      <c r="D76" s="604">
        <v>19</v>
      </c>
      <c r="E76" s="604">
        <v>29</v>
      </c>
      <c r="F76" s="604">
        <v>13</v>
      </c>
      <c r="G76" s="604">
        <v>2</v>
      </c>
      <c r="H76" s="604">
        <v>4</v>
      </c>
      <c r="I76" s="604">
        <v>1</v>
      </c>
    </row>
    <row r="77" spans="1:9" s="263" customFormat="1" ht="9" customHeight="1" x14ac:dyDescent="0.25">
      <c r="A77" s="550" t="s">
        <v>50</v>
      </c>
      <c r="B77" s="600">
        <f t="shared" si="3"/>
        <v>35</v>
      </c>
      <c r="C77" s="600"/>
      <c r="D77" s="600">
        <v>14</v>
      </c>
      <c r="E77" s="600">
        <v>16</v>
      </c>
      <c r="F77" s="600">
        <v>3</v>
      </c>
      <c r="G77" s="600">
        <v>2</v>
      </c>
      <c r="H77" s="600">
        <v>0</v>
      </c>
      <c r="I77" s="600">
        <v>0</v>
      </c>
    </row>
    <row r="78" spans="1:9" s="263" customFormat="1" ht="9" customHeight="1" x14ac:dyDescent="0.25">
      <c r="A78" s="550" t="s">
        <v>51</v>
      </c>
      <c r="B78" s="600">
        <f t="shared" si="3"/>
        <v>94</v>
      </c>
      <c r="C78" s="600"/>
      <c r="D78" s="600">
        <v>22</v>
      </c>
      <c r="E78" s="600">
        <v>43</v>
      </c>
      <c r="F78" s="600">
        <v>14</v>
      </c>
      <c r="G78" s="600">
        <v>8</v>
      </c>
      <c r="H78" s="600">
        <v>7</v>
      </c>
      <c r="I78" s="600">
        <v>0</v>
      </c>
    </row>
    <row r="79" spans="1:9" s="263" customFormat="1" ht="9" customHeight="1" x14ac:dyDescent="0.25">
      <c r="A79" s="550" t="s">
        <v>52</v>
      </c>
      <c r="B79" s="600">
        <f t="shared" si="3"/>
        <v>36</v>
      </c>
      <c r="C79" s="600"/>
      <c r="D79" s="600">
        <v>8</v>
      </c>
      <c r="E79" s="600">
        <v>12</v>
      </c>
      <c r="F79" s="600">
        <v>6</v>
      </c>
      <c r="G79" s="600">
        <v>7</v>
      </c>
      <c r="H79" s="600">
        <v>2</v>
      </c>
      <c r="I79" s="600">
        <v>1</v>
      </c>
    </row>
    <row r="80" spans="1:9" s="263" customFormat="1" ht="9" customHeight="1" x14ac:dyDescent="0.25">
      <c r="A80" s="603" t="s">
        <v>53</v>
      </c>
      <c r="B80" s="611">
        <f t="shared" si="3"/>
        <v>13</v>
      </c>
      <c r="C80" s="604"/>
      <c r="D80" s="604">
        <v>1</v>
      </c>
      <c r="E80" s="604">
        <v>4</v>
      </c>
      <c r="F80" s="604">
        <v>4</v>
      </c>
      <c r="G80" s="604">
        <v>3</v>
      </c>
      <c r="H80" s="604">
        <v>0</v>
      </c>
      <c r="I80" s="604">
        <v>1</v>
      </c>
    </row>
    <row r="81" spans="1:9" s="286" customFormat="1" ht="8.25" customHeight="1" x14ac:dyDescent="0.25">
      <c r="A81" s="269"/>
      <c r="B81" s="605"/>
      <c r="C81" s="605"/>
      <c r="D81" s="605"/>
      <c r="E81" s="605"/>
      <c r="F81" s="605"/>
      <c r="G81" s="605"/>
      <c r="H81" s="605"/>
      <c r="I81" s="605"/>
    </row>
    <row r="82" spans="1:9" s="263" customFormat="1" ht="8.25" customHeight="1" x14ac:dyDescent="0.25">
      <c r="A82" s="261">
        <v>1997</v>
      </c>
      <c r="B82" s="262"/>
      <c r="C82" s="262"/>
      <c r="D82" s="262"/>
      <c r="E82" s="262"/>
      <c r="F82" s="262"/>
      <c r="G82" s="262"/>
      <c r="H82" s="262"/>
      <c r="I82" s="262"/>
    </row>
    <row r="83" spans="1:9" s="263" customFormat="1" ht="9" customHeight="1" x14ac:dyDescent="0.25">
      <c r="A83" s="612" t="s">
        <v>21</v>
      </c>
      <c r="B83" s="597">
        <f>SUM(B85:B116)</f>
        <v>2172</v>
      </c>
      <c r="C83" s="597"/>
      <c r="D83" s="597">
        <f t="shared" ref="D83:I83" si="4">SUM(D85:D116)</f>
        <v>528</v>
      </c>
      <c r="E83" s="597">
        <f t="shared" si="4"/>
        <v>919</v>
      </c>
      <c r="F83" s="597">
        <f t="shared" si="4"/>
        <v>339</v>
      </c>
      <c r="G83" s="597">
        <f t="shared" si="4"/>
        <v>193</v>
      </c>
      <c r="H83" s="597">
        <f t="shared" si="4"/>
        <v>124</v>
      </c>
      <c r="I83" s="597">
        <f t="shared" si="4"/>
        <v>69</v>
      </c>
    </row>
    <row r="84" spans="1:9" s="263" customFormat="1" ht="3.95" customHeight="1" x14ac:dyDescent="0.25">
      <c r="A84" s="612"/>
      <c r="B84" s="597"/>
      <c r="C84" s="597"/>
      <c r="D84" s="597"/>
      <c r="E84" s="597"/>
      <c r="F84" s="597"/>
      <c r="G84" s="597"/>
      <c r="H84" s="597"/>
      <c r="I84" s="597"/>
    </row>
    <row r="85" spans="1:9" s="263" customFormat="1" ht="9" customHeight="1" x14ac:dyDescent="0.25">
      <c r="A85" s="286" t="s">
        <v>23</v>
      </c>
      <c r="B85" s="598">
        <f t="shared" ref="B85:B116" si="5">SUM(D85:I85)</f>
        <v>13</v>
      </c>
      <c r="C85" s="598"/>
      <c r="D85" s="598">
        <v>3</v>
      </c>
      <c r="E85" s="598">
        <v>4</v>
      </c>
      <c r="F85" s="598">
        <v>1</v>
      </c>
      <c r="G85" s="598">
        <v>1</v>
      </c>
      <c r="H85" s="598">
        <v>3</v>
      </c>
      <c r="I85" s="598">
        <v>1</v>
      </c>
    </row>
    <row r="86" spans="1:9" s="263" customFormat="1" ht="9" customHeight="1" x14ac:dyDescent="0.25">
      <c r="A86" s="286" t="s">
        <v>24</v>
      </c>
      <c r="B86" s="598">
        <f>SUM(D86:I86)</f>
        <v>64</v>
      </c>
      <c r="C86" s="598"/>
      <c r="D86" s="598">
        <v>15</v>
      </c>
      <c r="E86" s="598">
        <v>30</v>
      </c>
      <c r="F86" s="598">
        <v>9</v>
      </c>
      <c r="G86" s="598">
        <v>4</v>
      </c>
      <c r="H86" s="598">
        <v>6</v>
      </c>
      <c r="I86" s="598">
        <v>0</v>
      </c>
    </row>
    <row r="87" spans="1:9" s="263" customFormat="1" ht="9" customHeight="1" x14ac:dyDescent="0.25">
      <c r="A87" s="286" t="s">
        <v>25</v>
      </c>
      <c r="B87" s="598">
        <f t="shared" si="5"/>
        <v>5</v>
      </c>
      <c r="C87" s="598"/>
      <c r="D87" s="598">
        <v>3</v>
      </c>
      <c r="E87" s="598">
        <v>0</v>
      </c>
      <c r="F87" s="598">
        <v>2</v>
      </c>
      <c r="G87" s="598">
        <v>0</v>
      </c>
      <c r="H87" s="598">
        <v>0</v>
      </c>
      <c r="I87" s="598">
        <v>0</v>
      </c>
    </row>
    <row r="88" spans="1:9" s="263" customFormat="1" ht="9" customHeight="1" x14ac:dyDescent="0.25">
      <c r="A88" s="267" t="s">
        <v>26</v>
      </c>
      <c r="B88" s="599">
        <f t="shared" si="5"/>
        <v>8</v>
      </c>
      <c r="C88" s="599"/>
      <c r="D88" s="599">
        <v>0</v>
      </c>
      <c r="E88" s="599">
        <v>6</v>
      </c>
      <c r="F88" s="599">
        <v>1</v>
      </c>
      <c r="G88" s="267">
        <v>1</v>
      </c>
      <c r="H88" s="599">
        <v>0</v>
      </c>
      <c r="I88" s="599">
        <v>0</v>
      </c>
    </row>
    <row r="89" spans="1:9" s="263" customFormat="1" ht="9" customHeight="1" x14ac:dyDescent="0.25">
      <c r="A89" s="286" t="s">
        <v>27</v>
      </c>
      <c r="B89" s="598">
        <f t="shared" si="5"/>
        <v>30</v>
      </c>
      <c r="C89" s="598"/>
      <c r="D89" s="598">
        <v>4</v>
      </c>
      <c r="E89" s="598">
        <v>11</v>
      </c>
      <c r="F89" s="598">
        <v>5</v>
      </c>
      <c r="G89" s="598">
        <v>3</v>
      </c>
      <c r="H89" s="598">
        <v>6</v>
      </c>
      <c r="I89" s="598">
        <v>1</v>
      </c>
    </row>
    <row r="90" spans="1:9" s="263" customFormat="1" ht="9" customHeight="1" x14ac:dyDescent="0.25">
      <c r="A90" s="286" t="s">
        <v>28</v>
      </c>
      <c r="B90" s="598">
        <f t="shared" si="5"/>
        <v>15</v>
      </c>
      <c r="C90" s="598"/>
      <c r="D90" s="598">
        <v>0</v>
      </c>
      <c r="E90" s="598">
        <v>10</v>
      </c>
      <c r="F90" s="598">
        <v>4</v>
      </c>
      <c r="G90" s="598">
        <v>1</v>
      </c>
      <c r="H90" s="598">
        <v>0</v>
      </c>
      <c r="I90" s="598">
        <v>0</v>
      </c>
    </row>
    <row r="91" spans="1:9" s="263" customFormat="1" ht="9" customHeight="1" x14ac:dyDescent="0.25">
      <c r="A91" s="286" t="s">
        <v>29</v>
      </c>
      <c r="B91" s="598">
        <f t="shared" si="5"/>
        <v>64</v>
      </c>
      <c r="C91" s="598"/>
      <c r="D91" s="598">
        <v>13</v>
      </c>
      <c r="E91" s="598">
        <v>33</v>
      </c>
      <c r="F91" s="598">
        <v>13</v>
      </c>
      <c r="G91" s="598">
        <v>4</v>
      </c>
      <c r="H91" s="598">
        <v>0</v>
      </c>
      <c r="I91" s="598">
        <v>1</v>
      </c>
    </row>
    <row r="92" spans="1:9" s="263" customFormat="1" ht="9" customHeight="1" x14ac:dyDescent="0.25">
      <c r="A92" s="267" t="s">
        <v>30</v>
      </c>
      <c r="B92" s="599">
        <f t="shared" si="5"/>
        <v>44</v>
      </c>
      <c r="C92" s="599"/>
      <c r="D92" s="599">
        <v>7</v>
      </c>
      <c r="E92" s="599">
        <v>12</v>
      </c>
      <c r="F92" s="599">
        <v>8</v>
      </c>
      <c r="G92" s="599">
        <v>4</v>
      </c>
      <c r="H92" s="599">
        <v>8</v>
      </c>
      <c r="I92" s="599">
        <v>5</v>
      </c>
    </row>
    <row r="93" spans="1:9" s="263" customFormat="1" ht="9" customHeight="1" x14ac:dyDescent="0.25">
      <c r="A93" s="286" t="s">
        <v>63</v>
      </c>
      <c r="B93" s="598">
        <f t="shared" si="5"/>
        <v>228</v>
      </c>
      <c r="C93" s="598"/>
      <c r="D93" s="598">
        <v>46</v>
      </c>
      <c r="E93" s="598">
        <v>82</v>
      </c>
      <c r="F93" s="598">
        <v>44</v>
      </c>
      <c r="G93" s="598">
        <v>16</v>
      </c>
      <c r="H93" s="598">
        <v>16</v>
      </c>
      <c r="I93" s="598">
        <v>24</v>
      </c>
    </row>
    <row r="94" spans="1:9" s="263" customFormat="1" ht="9" customHeight="1" x14ac:dyDescent="0.25">
      <c r="A94" s="286" t="s">
        <v>31</v>
      </c>
      <c r="B94" s="598">
        <f t="shared" si="5"/>
        <v>23</v>
      </c>
      <c r="C94" s="598"/>
      <c r="D94" s="598">
        <v>1</v>
      </c>
      <c r="E94" s="598">
        <v>14</v>
      </c>
      <c r="F94" s="598">
        <v>3</v>
      </c>
      <c r="G94" s="598">
        <v>3</v>
      </c>
      <c r="H94" s="598">
        <v>2</v>
      </c>
      <c r="I94" s="598">
        <v>0</v>
      </c>
    </row>
    <row r="95" spans="1:9" s="263" customFormat="1" ht="9" customHeight="1" x14ac:dyDescent="0.25">
      <c r="A95" s="286" t="s">
        <v>32</v>
      </c>
      <c r="B95" s="598">
        <f t="shared" si="5"/>
        <v>164</v>
      </c>
      <c r="C95" s="598"/>
      <c r="D95" s="598">
        <v>27</v>
      </c>
      <c r="E95" s="598">
        <v>73</v>
      </c>
      <c r="F95" s="598">
        <v>36</v>
      </c>
      <c r="G95" s="598">
        <v>14</v>
      </c>
      <c r="H95" s="598">
        <v>11</v>
      </c>
      <c r="I95" s="598">
        <v>3</v>
      </c>
    </row>
    <row r="96" spans="1:9" s="263" customFormat="1" ht="9" customHeight="1" x14ac:dyDescent="0.25">
      <c r="A96" s="267" t="s">
        <v>33</v>
      </c>
      <c r="B96" s="599">
        <f t="shared" si="5"/>
        <v>80</v>
      </c>
      <c r="C96" s="599"/>
      <c r="D96" s="599">
        <v>15</v>
      </c>
      <c r="E96" s="599">
        <v>41</v>
      </c>
      <c r="F96" s="599">
        <v>12</v>
      </c>
      <c r="G96" s="599">
        <v>10</v>
      </c>
      <c r="H96" s="599">
        <v>1</v>
      </c>
      <c r="I96" s="599">
        <v>1</v>
      </c>
    </row>
    <row r="97" spans="1:9" s="263" customFormat="1" ht="9" customHeight="1" x14ac:dyDescent="0.25">
      <c r="A97" s="286" t="s">
        <v>34</v>
      </c>
      <c r="B97" s="598">
        <f t="shared" si="5"/>
        <v>66</v>
      </c>
      <c r="C97" s="598"/>
      <c r="D97" s="598">
        <v>20</v>
      </c>
      <c r="E97" s="598">
        <v>33</v>
      </c>
      <c r="F97" s="598">
        <v>7</v>
      </c>
      <c r="G97" s="598">
        <v>5</v>
      </c>
      <c r="H97" s="598">
        <v>1</v>
      </c>
      <c r="I97" s="598">
        <v>0</v>
      </c>
    </row>
    <row r="98" spans="1:9" s="263" customFormat="1" ht="9" customHeight="1" x14ac:dyDescent="0.25">
      <c r="A98" s="286" t="s">
        <v>35</v>
      </c>
      <c r="B98" s="598">
        <f t="shared" si="5"/>
        <v>103</v>
      </c>
      <c r="C98" s="598"/>
      <c r="D98" s="598">
        <v>4</v>
      </c>
      <c r="E98" s="598">
        <v>32</v>
      </c>
      <c r="F98" s="598">
        <v>21</v>
      </c>
      <c r="G98" s="598">
        <v>25</v>
      </c>
      <c r="H98" s="598">
        <v>12</v>
      </c>
      <c r="I98" s="598">
        <v>9</v>
      </c>
    </row>
    <row r="99" spans="1:9" s="263" customFormat="1" ht="9" customHeight="1" x14ac:dyDescent="0.25">
      <c r="A99" s="286" t="s">
        <v>36</v>
      </c>
      <c r="B99" s="598">
        <f t="shared" si="5"/>
        <v>414</v>
      </c>
      <c r="C99" s="598"/>
      <c r="D99" s="598">
        <v>150</v>
      </c>
      <c r="E99" s="598">
        <v>192</v>
      </c>
      <c r="F99" s="598">
        <v>49</v>
      </c>
      <c r="G99" s="598">
        <v>16</v>
      </c>
      <c r="H99" s="598">
        <v>5</v>
      </c>
      <c r="I99" s="598">
        <v>2</v>
      </c>
    </row>
    <row r="100" spans="1:9" s="263" customFormat="1" ht="9" customHeight="1" x14ac:dyDescent="0.25">
      <c r="A100" s="267" t="s">
        <v>37</v>
      </c>
      <c r="B100" s="599">
        <f t="shared" si="5"/>
        <v>47</v>
      </c>
      <c r="C100" s="599"/>
      <c r="D100" s="599">
        <v>3</v>
      </c>
      <c r="E100" s="599">
        <v>16</v>
      </c>
      <c r="F100" s="599">
        <v>9</v>
      </c>
      <c r="G100" s="599">
        <v>11</v>
      </c>
      <c r="H100" s="599">
        <v>4</v>
      </c>
      <c r="I100" s="599">
        <v>4</v>
      </c>
    </row>
    <row r="101" spans="1:9" s="263" customFormat="1" ht="9" customHeight="1" x14ac:dyDescent="0.25">
      <c r="A101" s="286" t="s">
        <v>38</v>
      </c>
      <c r="B101" s="598">
        <f t="shared" si="5"/>
        <v>77</v>
      </c>
      <c r="C101" s="598"/>
      <c r="D101" s="598">
        <v>43</v>
      </c>
      <c r="E101" s="598">
        <v>26</v>
      </c>
      <c r="F101" s="598">
        <v>4</v>
      </c>
      <c r="G101" s="598">
        <v>3</v>
      </c>
      <c r="H101" s="598">
        <v>1</v>
      </c>
      <c r="I101" s="598">
        <v>0</v>
      </c>
    </row>
    <row r="102" spans="1:9" s="263" customFormat="1" ht="9" customHeight="1" x14ac:dyDescent="0.25">
      <c r="A102" s="286" t="s">
        <v>39</v>
      </c>
      <c r="B102" s="598">
        <f t="shared" si="5"/>
        <v>14</v>
      </c>
      <c r="C102" s="598"/>
      <c r="D102" s="598">
        <v>4</v>
      </c>
      <c r="E102" s="598">
        <v>5</v>
      </c>
      <c r="F102" s="598">
        <v>2</v>
      </c>
      <c r="G102" s="598">
        <v>1</v>
      </c>
      <c r="H102" s="598">
        <v>2</v>
      </c>
      <c r="I102" s="598">
        <v>0</v>
      </c>
    </row>
    <row r="103" spans="1:9" s="263" customFormat="1" ht="9" customHeight="1" x14ac:dyDescent="0.25">
      <c r="A103" s="286" t="s">
        <v>40</v>
      </c>
      <c r="B103" s="598">
        <f t="shared" si="5"/>
        <v>47</v>
      </c>
      <c r="C103" s="598"/>
      <c r="D103" s="598">
        <v>10</v>
      </c>
      <c r="E103" s="598">
        <v>15</v>
      </c>
      <c r="F103" s="598">
        <v>7</v>
      </c>
      <c r="G103" s="598">
        <v>1</v>
      </c>
      <c r="H103" s="598">
        <v>6</v>
      </c>
      <c r="I103" s="598">
        <v>8</v>
      </c>
    </row>
    <row r="104" spans="1:9" s="263" customFormat="1" ht="9" customHeight="1" x14ac:dyDescent="0.25">
      <c r="A104" s="267" t="s">
        <v>41</v>
      </c>
      <c r="B104" s="599">
        <f t="shared" si="5"/>
        <v>48</v>
      </c>
      <c r="C104" s="599"/>
      <c r="D104" s="599">
        <v>17</v>
      </c>
      <c r="E104" s="599">
        <v>17</v>
      </c>
      <c r="F104" s="599">
        <v>7</v>
      </c>
      <c r="G104" s="599">
        <v>7</v>
      </c>
      <c r="H104" s="599">
        <v>0</v>
      </c>
      <c r="I104" s="599">
        <v>0</v>
      </c>
    </row>
    <row r="105" spans="1:9" s="263" customFormat="1" ht="9" customHeight="1" x14ac:dyDescent="0.25">
      <c r="A105" s="286" t="s">
        <v>42</v>
      </c>
      <c r="B105" s="598">
        <f t="shared" si="5"/>
        <v>106</v>
      </c>
      <c r="C105" s="598"/>
      <c r="D105" s="598">
        <v>12</v>
      </c>
      <c r="E105" s="598">
        <v>48</v>
      </c>
      <c r="F105" s="598">
        <v>22</v>
      </c>
      <c r="G105" s="598">
        <v>12</v>
      </c>
      <c r="H105" s="598">
        <v>8</v>
      </c>
      <c r="I105" s="598">
        <v>4</v>
      </c>
    </row>
    <row r="106" spans="1:9" s="263" customFormat="1" ht="9" customHeight="1" x14ac:dyDescent="0.25">
      <c r="A106" s="286" t="s">
        <v>43</v>
      </c>
      <c r="B106" s="598">
        <f t="shared" si="5"/>
        <v>20</v>
      </c>
      <c r="C106" s="598"/>
      <c r="D106" s="598">
        <v>3</v>
      </c>
      <c r="E106" s="598">
        <v>8</v>
      </c>
      <c r="F106" s="598">
        <v>2</v>
      </c>
      <c r="G106" s="598">
        <v>5</v>
      </c>
      <c r="H106" s="598">
        <v>2</v>
      </c>
      <c r="I106" s="598">
        <v>0</v>
      </c>
    </row>
    <row r="107" spans="1:9" s="263" customFormat="1" ht="9" customHeight="1" x14ac:dyDescent="0.25">
      <c r="A107" s="286" t="s">
        <v>44</v>
      </c>
      <c r="B107" s="598">
        <f t="shared" si="5"/>
        <v>24</v>
      </c>
      <c r="C107" s="598"/>
      <c r="D107" s="598">
        <v>8</v>
      </c>
      <c r="E107" s="598">
        <v>8</v>
      </c>
      <c r="F107" s="598">
        <v>4</v>
      </c>
      <c r="G107" s="598">
        <v>2</v>
      </c>
      <c r="H107" s="598">
        <v>2</v>
      </c>
      <c r="I107" s="598">
        <v>0</v>
      </c>
    </row>
    <row r="108" spans="1:9" s="263" customFormat="1" ht="9" customHeight="1" x14ac:dyDescent="0.25">
      <c r="A108" s="267" t="s">
        <v>45</v>
      </c>
      <c r="B108" s="599">
        <f t="shared" si="5"/>
        <v>36</v>
      </c>
      <c r="C108" s="599"/>
      <c r="D108" s="599">
        <v>11</v>
      </c>
      <c r="E108" s="599">
        <v>10</v>
      </c>
      <c r="F108" s="599">
        <v>6</v>
      </c>
      <c r="G108" s="599">
        <v>3</v>
      </c>
      <c r="H108" s="599">
        <v>3</v>
      </c>
      <c r="I108" s="599">
        <v>3</v>
      </c>
    </row>
    <row r="109" spans="1:9" s="263" customFormat="1" ht="9" customHeight="1" x14ac:dyDescent="0.25">
      <c r="A109" s="286" t="s">
        <v>46</v>
      </c>
      <c r="B109" s="598">
        <f t="shared" si="5"/>
        <v>58</v>
      </c>
      <c r="C109" s="598"/>
      <c r="D109" s="598">
        <v>10</v>
      </c>
      <c r="E109" s="598">
        <v>29</v>
      </c>
      <c r="F109" s="598">
        <v>8</v>
      </c>
      <c r="G109" s="598">
        <v>8</v>
      </c>
      <c r="H109" s="598">
        <v>3</v>
      </c>
      <c r="I109" s="598">
        <v>0</v>
      </c>
    </row>
    <row r="110" spans="1:9" s="263" customFormat="1" ht="9" customHeight="1" x14ac:dyDescent="0.25">
      <c r="A110" s="286" t="s">
        <v>47</v>
      </c>
      <c r="B110" s="598">
        <f t="shared" si="5"/>
        <v>43</v>
      </c>
      <c r="C110" s="598"/>
      <c r="D110" s="598">
        <v>7</v>
      </c>
      <c r="E110" s="598">
        <v>15</v>
      </c>
      <c r="F110" s="598">
        <v>9</v>
      </c>
      <c r="G110" s="598">
        <v>8</v>
      </c>
      <c r="H110" s="598">
        <v>4</v>
      </c>
      <c r="I110" s="598">
        <v>0</v>
      </c>
    </row>
    <row r="111" spans="1:9" s="263" customFormat="1" ht="9" customHeight="1" x14ac:dyDescent="0.25">
      <c r="A111" s="286" t="s">
        <v>48</v>
      </c>
      <c r="B111" s="598">
        <f t="shared" si="5"/>
        <v>44</v>
      </c>
      <c r="C111" s="598"/>
      <c r="D111" s="598">
        <v>12</v>
      </c>
      <c r="E111" s="598">
        <v>23</v>
      </c>
      <c r="F111" s="598">
        <v>6</v>
      </c>
      <c r="G111" s="598">
        <v>0</v>
      </c>
      <c r="H111" s="598">
        <v>3</v>
      </c>
      <c r="I111" s="598">
        <v>0</v>
      </c>
    </row>
    <row r="112" spans="1:9" s="263" customFormat="1" ht="9" customHeight="1" x14ac:dyDescent="0.25">
      <c r="A112" s="267" t="s">
        <v>49</v>
      </c>
      <c r="B112" s="599">
        <f t="shared" si="5"/>
        <v>76</v>
      </c>
      <c r="C112" s="599"/>
      <c r="D112" s="599">
        <v>20</v>
      </c>
      <c r="E112" s="599">
        <v>34</v>
      </c>
      <c r="F112" s="599">
        <v>13</v>
      </c>
      <c r="G112" s="599">
        <v>3</v>
      </c>
      <c r="H112" s="599">
        <v>5</v>
      </c>
      <c r="I112" s="599">
        <v>1</v>
      </c>
    </row>
    <row r="113" spans="1:10" s="263" customFormat="1" ht="9" customHeight="1" x14ac:dyDescent="0.25">
      <c r="A113" s="286" t="s">
        <v>50</v>
      </c>
      <c r="B113" s="598">
        <f t="shared" si="5"/>
        <v>37</v>
      </c>
      <c r="C113" s="598"/>
      <c r="D113" s="598">
        <v>18</v>
      </c>
      <c r="E113" s="598">
        <v>16</v>
      </c>
      <c r="F113" s="598">
        <v>2</v>
      </c>
      <c r="G113" s="598">
        <v>1</v>
      </c>
      <c r="H113" s="598">
        <v>0</v>
      </c>
      <c r="I113" s="598">
        <v>0</v>
      </c>
    </row>
    <row r="114" spans="1:10" s="263" customFormat="1" ht="9" customHeight="1" x14ac:dyDescent="0.25">
      <c r="A114" s="286" t="s">
        <v>51</v>
      </c>
      <c r="B114" s="598">
        <f t="shared" si="5"/>
        <v>115</v>
      </c>
      <c r="C114" s="598"/>
      <c r="D114" s="598">
        <v>30</v>
      </c>
      <c r="E114" s="598">
        <v>56</v>
      </c>
      <c r="F114" s="598">
        <v>13</v>
      </c>
      <c r="G114" s="598">
        <v>9</v>
      </c>
      <c r="H114" s="598">
        <v>7</v>
      </c>
      <c r="I114" s="598">
        <v>0</v>
      </c>
    </row>
    <row r="115" spans="1:10" s="263" customFormat="1" ht="9" customHeight="1" x14ac:dyDescent="0.25">
      <c r="A115" s="286" t="s">
        <v>52</v>
      </c>
      <c r="B115" s="598">
        <f t="shared" si="5"/>
        <v>38</v>
      </c>
      <c r="C115" s="598"/>
      <c r="D115" s="598">
        <v>10</v>
      </c>
      <c r="E115" s="598">
        <v>12</v>
      </c>
      <c r="F115" s="598">
        <v>5</v>
      </c>
      <c r="G115" s="598">
        <v>8</v>
      </c>
      <c r="H115" s="598">
        <v>2</v>
      </c>
      <c r="I115" s="598">
        <v>1</v>
      </c>
    </row>
    <row r="116" spans="1:10" s="263" customFormat="1" ht="9" customHeight="1" x14ac:dyDescent="0.25">
      <c r="A116" s="267" t="s">
        <v>53</v>
      </c>
      <c r="B116" s="599">
        <f t="shared" si="5"/>
        <v>21</v>
      </c>
      <c r="C116" s="599"/>
      <c r="D116" s="599">
        <v>2</v>
      </c>
      <c r="E116" s="599">
        <v>8</v>
      </c>
      <c r="F116" s="267">
        <v>5</v>
      </c>
      <c r="G116" s="599">
        <v>4</v>
      </c>
      <c r="H116" s="599">
        <v>1</v>
      </c>
      <c r="I116" s="599">
        <v>1</v>
      </c>
    </row>
    <row r="117" spans="1:10" s="263" customFormat="1" ht="9" customHeight="1" x14ac:dyDescent="0.25">
      <c r="B117" s="598"/>
      <c r="C117" s="598"/>
      <c r="D117" s="598"/>
      <c r="E117" s="598"/>
      <c r="G117" s="598"/>
      <c r="H117" s="598"/>
      <c r="I117" s="598"/>
    </row>
    <row r="118" spans="1:10" s="263" customFormat="1" ht="9" customHeight="1" x14ac:dyDescent="0.25">
      <c r="A118" s="261">
        <v>1998</v>
      </c>
      <c r="B118" s="262"/>
      <c r="C118" s="262"/>
      <c r="D118" s="262"/>
      <c r="E118" s="262"/>
      <c r="F118" s="262"/>
      <c r="G118" s="262"/>
      <c r="H118" s="262"/>
      <c r="I118" s="262"/>
    </row>
    <row r="119" spans="1:10" s="263" customFormat="1" ht="9" customHeight="1" x14ac:dyDescent="0.25">
      <c r="A119" s="265" t="s">
        <v>21</v>
      </c>
      <c r="B119" s="597">
        <f>SUM(B121:B152)</f>
        <v>2169</v>
      </c>
      <c r="C119" s="597"/>
      <c r="D119" s="597">
        <f t="shared" ref="D119:I119" si="6">SUM(D121:D152)</f>
        <v>535</v>
      </c>
      <c r="E119" s="597">
        <f t="shared" si="6"/>
        <v>899</v>
      </c>
      <c r="F119" s="597">
        <f t="shared" si="6"/>
        <v>334</v>
      </c>
      <c r="G119" s="597">
        <f t="shared" si="6"/>
        <v>195</v>
      </c>
      <c r="H119" s="597">
        <f t="shared" si="6"/>
        <v>129</v>
      </c>
      <c r="I119" s="597">
        <f t="shared" si="6"/>
        <v>77</v>
      </c>
      <c r="J119" s="600"/>
    </row>
    <row r="120" spans="1:10" s="263" customFormat="1" ht="3.95" customHeight="1" x14ac:dyDescent="0.25">
      <c r="A120" s="265"/>
      <c r="B120" s="597"/>
      <c r="C120" s="597"/>
      <c r="D120" s="597"/>
      <c r="E120" s="597"/>
      <c r="F120" s="597"/>
      <c r="G120" s="597"/>
      <c r="H120" s="597"/>
      <c r="I120" s="597"/>
      <c r="J120" s="600"/>
    </row>
    <row r="121" spans="1:10" s="263" customFormat="1" ht="9" customHeight="1" x14ac:dyDescent="0.25">
      <c r="A121" s="263" t="s">
        <v>23</v>
      </c>
      <c r="B121" s="598">
        <f t="shared" ref="B121:B152" si="7">SUM(D121:I121)</f>
        <v>13</v>
      </c>
      <c r="C121" s="598"/>
      <c r="D121" s="263">
        <v>3</v>
      </c>
      <c r="E121" s="263">
        <v>4</v>
      </c>
      <c r="F121" s="263">
        <v>1</v>
      </c>
      <c r="G121" s="263">
        <v>1</v>
      </c>
      <c r="H121" s="263">
        <v>3</v>
      </c>
      <c r="I121" s="263">
        <v>1</v>
      </c>
    </row>
    <row r="122" spans="1:10" s="263" customFormat="1" ht="9" customHeight="1" x14ac:dyDescent="0.25">
      <c r="A122" s="263" t="s">
        <v>24</v>
      </c>
      <c r="B122" s="598">
        <f t="shared" si="7"/>
        <v>62</v>
      </c>
      <c r="C122" s="598"/>
      <c r="D122" s="263">
        <v>16</v>
      </c>
      <c r="E122" s="263">
        <v>28</v>
      </c>
      <c r="F122" s="263">
        <v>9</v>
      </c>
      <c r="G122" s="263">
        <v>5</v>
      </c>
      <c r="H122" s="263">
        <v>2</v>
      </c>
      <c r="I122" s="263">
        <v>2</v>
      </c>
    </row>
    <row r="123" spans="1:10" s="263" customFormat="1" ht="9" customHeight="1" x14ac:dyDescent="0.25">
      <c r="A123" s="263" t="s">
        <v>25</v>
      </c>
      <c r="B123" s="598">
        <f t="shared" si="7"/>
        <v>8</v>
      </c>
      <c r="C123" s="598"/>
      <c r="D123" s="263">
        <v>6</v>
      </c>
      <c r="E123" s="263">
        <v>0</v>
      </c>
      <c r="F123" s="263">
        <v>2</v>
      </c>
      <c r="G123" s="263">
        <v>0</v>
      </c>
      <c r="H123" s="263">
        <v>0</v>
      </c>
      <c r="I123" s="263">
        <v>0</v>
      </c>
    </row>
    <row r="124" spans="1:10" s="263" customFormat="1" ht="9" customHeight="1" x14ac:dyDescent="0.25">
      <c r="A124" s="267" t="s">
        <v>26</v>
      </c>
      <c r="B124" s="599">
        <f t="shared" si="7"/>
        <v>8</v>
      </c>
      <c r="C124" s="599"/>
      <c r="D124" s="267">
        <v>2</v>
      </c>
      <c r="E124" s="267">
        <v>4</v>
      </c>
      <c r="F124" s="267">
        <v>1</v>
      </c>
      <c r="G124" s="267">
        <v>1</v>
      </c>
      <c r="H124" s="267">
        <v>0</v>
      </c>
      <c r="I124" s="267">
        <v>0</v>
      </c>
    </row>
    <row r="125" spans="1:10" s="263" customFormat="1" ht="9" customHeight="1" x14ac:dyDescent="0.25">
      <c r="A125" s="263" t="s">
        <v>27</v>
      </c>
      <c r="B125" s="598">
        <f t="shared" si="7"/>
        <v>36</v>
      </c>
      <c r="C125" s="598"/>
      <c r="D125" s="263">
        <v>4</v>
      </c>
      <c r="E125" s="263">
        <v>12</v>
      </c>
      <c r="F125" s="263">
        <v>8</v>
      </c>
      <c r="G125" s="263">
        <v>3</v>
      </c>
      <c r="H125" s="263">
        <v>8</v>
      </c>
      <c r="I125" s="263">
        <v>1</v>
      </c>
    </row>
    <row r="126" spans="1:10" s="263" customFormat="1" ht="9" customHeight="1" x14ac:dyDescent="0.25">
      <c r="A126" s="263" t="s">
        <v>28</v>
      </c>
      <c r="B126" s="598">
        <f t="shared" si="7"/>
        <v>14</v>
      </c>
      <c r="C126" s="598"/>
      <c r="D126" s="263">
        <v>0</v>
      </c>
      <c r="E126" s="263">
        <v>9</v>
      </c>
      <c r="F126" s="263">
        <v>4</v>
      </c>
      <c r="G126" s="263">
        <v>1</v>
      </c>
      <c r="H126" s="263">
        <v>0</v>
      </c>
      <c r="I126" s="263">
        <v>0</v>
      </c>
    </row>
    <row r="127" spans="1:10" s="263" customFormat="1" ht="9" customHeight="1" x14ac:dyDescent="0.25">
      <c r="A127" s="263" t="s">
        <v>29</v>
      </c>
      <c r="B127" s="598">
        <f t="shared" si="7"/>
        <v>59</v>
      </c>
      <c r="C127" s="598"/>
      <c r="D127" s="263">
        <v>16</v>
      </c>
      <c r="E127" s="263">
        <v>25</v>
      </c>
      <c r="F127" s="263">
        <v>12</v>
      </c>
      <c r="G127" s="263">
        <v>4</v>
      </c>
      <c r="H127" s="263">
        <v>1</v>
      </c>
      <c r="I127" s="263">
        <v>1</v>
      </c>
    </row>
    <row r="128" spans="1:10" s="263" customFormat="1" ht="9" customHeight="1" x14ac:dyDescent="0.25">
      <c r="A128" s="267" t="s">
        <v>30</v>
      </c>
      <c r="B128" s="599">
        <f t="shared" si="7"/>
        <v>46</v>
      </c>
      <c r="C128" s="599"/>
      <c r="D128" s="267">
        <v>9</v>
      </c>
      <c r="E128" s="267">
        <v>11</v>
      </c>
      <c r="F128" s="267">
        <v>7</v>
      </c>
      <c r="G128" s="267">
        <v>5</v>
      </c>
      <c r="H128" s="267">
        <v>7</v>
      </c>
      <c r="I128" s="267">
        <v>7</v>
      </c>
    </row>
    <row r="129" spans="1:9" s="263" customFormat="1" ht="9" customHeight="1" x14ac:dyDescent="0.25">
      <c r="A129" s="263" t="s">
        <v>63</v>
      </c>
      <c r="B129" s="598">
        <f t="shared" si="7"/>
        <v>246</v>
      </c>
      <c r="C129" s="598"/>
      <c r="D129" s="263">
        <v>50</v>
      </c>
      <c r="E129" s="263">
        <v>92</v>
      </c>
      <c r="F129" s="263">
        <v>45</v>
      </c>
      <c r="G129" s="263">
        <v>17</v>
      </c>
      <c r="H129" s="263">
        <v>16</v>
      </c>
      <c r="I129" s="263">
        <v>26</v>
      </c>
    </row>
    <row r="130" spans="1:9" s="263" customFormat="1" ht="9" customHeight="1" x14ac:dyDescent="0.25">
      <c r="A130" s="263" t="s">
        <v>31</v>
      </c>
      <c r="B130" s="598">
        <f t="shared" si="7"/>
        <v>33</v>
      </c>
      <c r="C130" s="598"/>
      <c r="D130" s="263">
        <v>6</v>
      </c>
      <c r="E130" s="263">
        <v>16</v>
      </c>
      <c r="F130" s="263">
        <v>4</v>
      </c>
      <c r="G130" s="263">
        <v>4</v>
      </c>
      <c r="H130" s="263">
        <v>3</v>
      </c>
      <c r="I130" s="263">
        <v>0</v>
      </c>
    </row>
    <row r="131" spans="1:9" s="263" customFormat="1" ht="9" customHeight="1" x14ac:dyDescent="0.25">
      <c r="A131" s="263" t="s">
        <v>32</v>
      </c>
      <c r="B131" s="598">
        <f t="shared" si="7"/>
        <v>170</v>
      </c>
      <c r="C131" s="598"/>
      <c r="D131" s="263">
        <v>29</v>
      </c>
      <c r="E131" s="263">
        <v>78</v>
      </c>
      <c r="F131" s="263">
        <v>37</v>
      </c>
      <c r="G131" s="263">
        <v>12</v>
      </c>
      <c r="H131" s="263">
        <v>11</v>
      </c>
      <c r="I131" s="263">
        <v>3</v>
      </c>
    </row>
    <row r="132" spans="1:9" s="263" customFormat="1" ht="9" customHeight="1" x14ac:dyDescent="0.25">
      <c r="A132" s="267" t="s">
        <v>33</v>
      </c>
      <c r="B132" s="599">
        <f t="shared" si="7"/>
        <v>74</v>
      </c>
      <c r="C132" s="599"/>
      <c r="D132" s="267">
        <v>14</v>
      </c>
      <c r="E132" s="267">
        <v>39</v>
      </c>
      <c r="F132" s="267">
        <v>12</v>
      </c>
      <c r="G132" s="267">
        <v>8</v>
      </c>
      <c r="H132" s="267">
        <v>1</v>
      </c>
      <c r="I132" s="267">
        <v>0</v>
      </c>
    </row>
    <row r="133" spans="1:9" s="263" customFormat="1" ht="9" customHeight="1" x14ac:dyDescent="0.25">
      <c r="A133" s="263" t="s">
        <v>34</v>
      </c>
      <c r="B133" s="598">
        <f t="shared" si="7"/>
        <v>66</v>
      </c>
      <c r="C133" s="598"/>
      <c r="D133" s="263">
        <v>22</v>
      </c>
      <c r="E133" s="263">
        <v>30</v>
      </c>
      <c r="F133" s="263">
        <v>6</v>
      </c>
      <c r="G133" s="263">
        <v>5</v>
      </c>
      <c r="H133" s="263">
        <v>3</v>
      </c>
      <c r="I133" s="263">
        <v>0</v>
      </c>
    </row>
    <row r="134" spans="1:9" s="263" customFormat="1" ht="9" customHeight="1" x14ac:dyDescent="0.25">
      <c r="A134" s="263" t="s">
        <v>35</v>
      </c>
      <c r="B134" s="598">
        <f t="shared" si="7"/>
        <v>107</v>
      </c>
      <c r="C134" s="598"/>
      <c r="D134" s="263">
        <v>7</v>
      </c>
      <c r="E134" s="263">
        <v>32</v>
      </c>
      <c r="F134" s="263">
        <v>21</v>
      </c>
      <c r="G134" s="263">
        <v>26</v>
      </c>
      <c r="H134" s="263">
        <v>13</v>
      </c>
      <c r="I134" s="263">
        <v>8</v>
      </c>
    </row>
    <row r="135" spans="1:9" s="263" customFormat="1" ht="9" customHeight="1" x14ac:dyDescent="0.25">
      <c r="A135" s="263" t="s">
        <v>36</v>
      </c>
      <c r="B135" s="598">
        <f t="shared" si="7"/>
        <v>397</v>
      </c>
      <c r="C135" s="598"/>
      <c r="D135" s="263">
        <v>148</v>
      </c>
      <c r="E135" s="263">
        <v>184</v>
      </c>
      <c r="F135" s="263">
        <v>45</v>
      </c>
      <c r="G135" s="263">
        <v>8</v>
      </c>
      <c r="H135" s="263">
        <v>8</v>
      </c>
      <c r="I135" s="263">
        <v>4</v>
      </c>
    </row>
    <row r="136" spans="1:9" s="263" customFormat="1" ht="9" customHeight="1" x14ac:dyDescent="0.25">
      <c r="A136" s="267" t="s">
        <v>37</v>
      </c>
      <c r="B136" s="599">
        <f t="shared" si="7"/>
        <v>51</v>
      </c>
      <c r="C136" s="599"/>
      <c r="D136" s="267">
        <v>4</v>
      </c>
      <c r="E136" s="267">
        <v>19</v>
      </c>
      <c r="F136" s="267">
        <v>9</v>
      </c>
      <c r="G136" s="267">
        <v>10</v>
      </c>
      <c r="H136" s="267">
        <v>4</v>
      </c>
      <c r="I136" s="267">
        <v>5</v>
      </c>
    </row>
    <row r="137" spans="1:9" s="263" customFormat="1" ht="9" customHeight="1" x14ac:dyDescent="0.25">
      <c r="A137" s="263" t="s">
        <v>38</v>
      </c>
      <c r="B137" s="598">
        <f t="shared" si="7"/>
        <v>70</v>
      </c>
      <c r="C137" s="598"/>
      <c r="D137" s="263">
        <v>35</v>
      </c>
      <c r="E137" s="263">
        <v>29</v>
      </c>
      <c r="F137" s="263">
        <v>2</v>
      </c>
      <c r="G137" s="263">
        <v>3</v>
      </c>
      <c r="H137" s="263">
        <v>1</v>
      </c>
      <c r="I137" s="263">
        <v>0</v>
      </c>
    </row>
    <row r="138" spans="1:9" s="263" customFormat="1" ht="9" customHeight="1" x14ac:dyDescent="0.25">
      <c r="A138" s="263" t="s">
        <v>39</v>
      </c>
      <c r="B138" s="598">
        <f t="shared" si="7"/>
        <v>13</v>
      </c>
      <c r="C138" s="598"/>
      <c r="D138" s="263">
        <v>3</v>
      </c>
      <c r="E138" s="263">
        <v>6</v>
      </c>
      <c r="F138" s="263">
        <v>2</v>
      </c>
      <c r="G138" s="263">
        <v>0</v>
      </c>
      <c r="H138" s="263">
        <v>2</v>
      </c>
      <c r="I138" s="263">
        <v>0</v>
      </c>
    </row>
    <row r="139" spans="1:9" s="263" customFormat="1" ht="9" customHeight="1" x14ac:dyDescent="0.25">
      <c r="A139" s="263" t="s">
        <v>40</v>
      </c>
      <c r="B139" s="598">
        <f t="shared" si="7"/>
        <v>49</v>
      </c>
      <c r="C139" s="598"/>
      <c r="D139" s="263">
        <v>11</v>
      </c>
      <c r="E139" s="263">
        <v>17</v>
      </c>
      <c r="F139" s="263">
        <v>7</v>
      </c>
      <c r="G139" s="263">
        <v>2</v>
      </c>
      <c r="H139" s="263">
        <v>5</v>
      </c>
      <c r="I139" s="263">
        <v>7</v>
      </c>
    </row>
    <row r="140" spans="1:9" s="263" customFormat="1" ht="9" customHeight="1" x14ac:dyDescent="0.25">
      <c r="A140" s="267" t="s">
        <v>41</v>
      </c>
      <c r="B140" s="599">
        <f t="shared" si="7"/>
        <v>46</v>
      </c>
      <c r="C140" s="599"/>
      <c r="D140" s="267">
        <v>13</v>
      </c>
      <c r="E140" s="267">
        <v>19</v>
      </c>
      <c r="F140" s="267">
        <v>7</v>
      </c>
      <c r="G140" s="267">
        <v>7</v>
      </c>
      <c r="H140" s="267">
        <v>0</v>
      </c>
      <c r="I140" s="267">
        <v>0</v>
      </c>
    </row>
    <row r="141" spans="1:9" s="263" customFormat="1" ht="9" customHeight="1" x14ac:dyDescent="0.25">
      <c r="A141" s="263" t="s">
        <v>42</v>
      </c>
      <c r="B141" s="598">
        <f t="shared" si="7"/>
        <v>101</v>
      </c>
      <c r="C141" s="598"/>
      <c r="D141" s="263">
        <v>13</v>
      </c>
      <c r="E141" s="263">
        <v>42</v>
      </c>
      <c r="F141" s="263">
        <v>17</v>
      </c>
      <c r="G141" s="263">
        <v>13</v>
      </c>
      <c r="H141" s="263">
        <v>11</v>
      </c>
      <c r="I141" s="263">
        <v>5</v>
      </c>
    </row>
    <row r="142" spans="1:9" s="263" customFormat="1" ht="9" customHeight="1" x14ac:dyDescent="0.25">
      <c r="A142" s="263" t="s">
        <v>43</v>
      </c>
      <c r="B142" s="598">
        <f t="shared" si="7"/>
        <v>20</v>
      </c>
      <c r="C142" s="598"/>
      <c r="D142" s="263">
        <v>4</v>
      </c>
      <c r="E142" s="263">
        <v>5</v>
      </c>
      <c r="F142" s="263">
        <v>3</v>
      </c>
      <c r="G142" s="263">
        <v>6</v>
      </c>
      <c r="H142" s="263">
        <v>2</v>
      </c>
      <c r="I142" s="263">
        <v>0</v>
      </c>
    </row>
    <row r="143" spans="1:9" s="263" customFormat="1" ht="9" customHeight="1" x14ac:dyDescent="0.25">
      <c r="A143" s="263" t="s">
        <v>44</v>
      </c>
      <c r="B143" s="598">
        <f t="shared" si="7"/>
        <v>27</v>
      </c>
      <c r="C143" s="598"/>
      <c r="D143" s="263">
        <v>9</v>
      </c>
      <c r="E143" s="263">
        <v>10</v>
      </c>
      <c r="F143" s="263">
        <v>4</v>
      </c>
      <c r="G143" s="263">
        <v>3</v>
      </c>
      <c r="H143" s="263">
        <v>1</v>
      </c>
      <c r="I143" s="263">
        <v>0</v>
      </c>
    </row>
    <row r="144" spans="1:9" s="263" customFormat="1" ht="9" customHeight="1" x14ac:dyDescent="0.25">
      <c r="A144" s="267" t="s">
        <v>45</v>
      </c>
      <c r="B144" s="599">
        <f t="shared" si="7"/>
        <v>38</v>
      </c>
      <c r="C144" s="599"/>
      <c r="D144" s="267">
        <v>9</v>
      </c>
      <c r="E144" s="267">
        <v>13</v>
      </c>
      <c r="F144" s="267">
        <v>5</v>
      </c>
      <c r="G144" s="267">
        <v>5</v>
      </c>
      <c r="H144" s="267">
        <v>3</v>
      </c>
      <c r="I144" s="267">
        <v>3</v>
      </c>
    </row>
    <row r="145" spans="1:10" s="263" customFormat="1" ht="9" customHeight="1" x14ac:dyDescent="0.25">
      <c r="A145" s="263" t="s">
        <v>46</v>
      </c>
      <c r="B145" s="598">
        <f t="shared" si="7"/>
        <v>56</v>
      </c>
      <c r="C145" s="598"/>
      <c r="D145" s="263">
        <v>10</v>
      </c>
      <c r="E145" s="263">
        <v>27</v>
      </c>
      <c r="F145" s="263">
        <v>8</v>
      </c>
      <c r="G145" s="263">
        <v>7</v>
      </c>
      <c r="H145" s="263">
        <v>4</v>
      </c>
      <c r="I145" s="263">
        <v>0</v>
      </c>
    </row>
    <row r="146" spans="1:10" s="263" customFormat="1" ht="9" customHeight="1" x14ac:dyDescent="0.25">
      <c r="A146" s="263" t="s">
        <v>47</v>
      </c>
      <c r="B146" s="598">
        <f t="shared" si="7"/>
        <v>40</v>
      </c>
      <c r="C146" s="598"/>
      <c r="D146" s="263">
        <v>5</v>
      </c>
      <c r="E146" s="263">
        <v>14</v>
      </c>
      <c r="F146" s="263">
        <v>10</v>
      </c>
      <c r="G146" s="263">
        <v>6</v>
      </c>
      <c r="H146" s="263">
        <v>4</v>
      </c>
      <c r="I146" s="263">
        <v>1</v>
      </c>
    </row>
    <row r="147" spans="1:10" s="263" customFormat="1" ht="9" customHeight="1" x14ac:dyDescent="0.25">
      <c r="A147" s="263" t="s">
        <v>48</v>
      </c>
      <c r="B147" s="598">
        <f t="shared" si="7"/>
        <v>43</v>
      </c>
      <c r="C147" s="598"/>
      <c r="D147" s="263">
        <v>16</v>
      </c>
      <c r="E147" s="263">
        <v>18</v>
      </c>
      <c r="F147" s="263">
        <v>5</v>
      </c>
      <c r="G147" s="263">
        <v>3</v>
      </c>
      <c r="H147" s="263">
        <v>1</v>
      </c>
      <c r="I147" s="263">
        <v>0</v>
      </c>
    </row>
    <row r="148" spans="1:10" s="263" customFormat="1" ht="9" customHeight="1" x14ac:dyDescent="0.25">
      <c r="A148" s="267" t="s">
        <v>49</v>
      </c>
      <c r="B148" s="599">
        <f t="shared" si="7"/>
        <v>73</v>
      </c>
      <c r="C148" s="599"/>
      <c r="D148" s="267">
        <v>17</v>
      </c>
      <c r="E148" s="267">
        <v>31</v>
      </c>
      <c r="F148" s="267">
        <v>12</v>
      </c>
      <c r="G148" s="267">
        <v>7</v>
      </c>
      <c r="H148" s="267">
        <v>5</v>
      </c>
      <c r="I148" s="267">
        <v>1</v>
      </c>
    </row>
    <row r="149" spans="1:10" s="263" customFormat="1" ht="9" customHeight="1" x14ac:dyDescent="0.25">
      <c r="A149" s="263" t="s">
        <v>50</v>
      </c>
      <c r="B149" s="598">
        <f t="shared" si="7"/>
        <v>36</v>
      </c>
      <c r="C149" s="598"/>
      <c r="D149" s="263">
        <v>15</v>
      </c>
      <c r="E149" s="263">
        <v>16</v>
      </c>
      <c r="F149" s="263">
        <v>3</v>
      </c>
      <c r="G149" s="263">
        <v>2</v>
      </c>
      <c r="H149" s="263">
        <v>0</v>
      </c>
      <c r="I149" s="263">
        <v>0</v>
      </c>
    </row>
    <row r="150" spans="1:10" s="263" customFormat="1" ht="9" customHeight="1" x14ac:dyDescent="0.25">
      <c r="A150" s="263" t="s">
        <v>51</v>
      </c>
      <c r="B150" s="598">
        <f t="shared" si="7"/>
        <v>110</v>
      </c>
      <c r="C150" s="598"/>
      <c r="D150" s="263">
        <v>29</v>
      </c>
      <c r="E150" s="263">
        <v>48</v>
      </c>
      <c r="F150" s="263">
        <v>15</v>
      </c>
      <c r="G150" s="263">
        <v>11</v>
      </c>
      <c r="H150" s="263">
        <v>7</v>
      </c>
      <c r="I150" s="263">
        <v>0</v>
      </c>
    </row>
    <row r="151" spans="1:10" s="263" customFormat="1" ht="9" customHeight="1" x14ac:dyDescent="0.25">
      <c r="A151" s="263" t="s">
        <v>52</v>
      </c>
      <c r="B151" s="598">
        <f t="shared" si="7"/>
        <v>37</v>
      </c>
      <c r="C151" s="598"/>
      <c r="D151" s="263">
        <v>8</v>
      </c>
      <c r="E151" s="263">
        <v>14</v>
      </c>
      <c r="F151" s="263">
        <v>5</v>
      </c>
      <c r="G151" s="263">
        <v>7</v>
      </c>
      <c r="H151" s="263">
        <v>2</v>
      </c>
      <c r="I151" s="263">
        <v>1</v>
      </c>
    </row>
    <row r="152" spans="1:10" s="263" customFormat="1" ht="9" customHeight="1" x14ac:dyDescent="0.25">
      <c r="A152" s="267" t="s">
        <v>53</v>
      </c>
      <c r="B152" s="599">
        <f t="shared" si="7"/>
        <v>20</v>
      </c>
      <c r="C152" s="599"/>
      <c r="D152" s="267">
        <v>2</v>
      </c>
      <c r="E152" s="267">
        <v>7</v>
      </c>
      <c r="F152" s="267">
        <v>6</v>
      </c>
      <c r="G152" s="267">
        <v>3</v>
      </c>
      <c r="H152" s="267">
        <v>1</v>
      </c>
      <c r="I152" s="267">
        <v>1</v>
      </c>
    </row>
    <row r="153" spans="1:10" s="263" customFormat="1" ht="9" customHeight="1" x14ac:dyDescent="0.25">
      <c r="B153" s="598"/>
      <c r="C153" s="598"/>
    </row>
    <row r="154" spans="1:10" s="263" customFormat="1" ht="9" customHeight="1" x14ac:dyDescent="0.25">
      <c r="A154" s="261">
        <v>1999</v>
      </c>
      <c r="B154" s="262"/>
      <c r="C154" s="262"/>
      <c r="D154" s="262"/>
      <c r="E154" s="262"/>
      <c r="F154" s="262"/>
      <c r="G154" s="262"/>
      <c r="H154" s="262"/>
      <c r="I154" s="262"/>
    </row>
    <row r="155" spans="1:10" s="263" customFormat="1" ht="9" customHeight="1" x14ac:dyDescent="0.25">
      <c r="A155" s="265" t="s">
        <v>21</v>
      </c>
      <c r="B155" s="597">
        <f>SUM(D157:I188)</f>
        <v>2218</v>
      </c>
      <c r="C155" s="597"/>
      <c r="D155" s="597">
        <f t="shared" ref="D155:I155" si="8">SUM(D157:D188)</f>
        <v>534</v>
      </c>
      <c r="E155" s="597">
        <f t="shared" si="8"/>
        <v>932</v>
      </c>
      <c r="F155" s="597">
        <f t="shared" si="8"/>
        <v>358</v>
      </c>
      <c r="G155" s="597">
        <f t="shared" si="8"/>
        <v>199</v>
      </c>
      <c r="H155" s="597">
        <f t="shared" si="8"/>
        <v>134</v>
      </c>
      <c r="I155" s="597">
        <f t="shared" si="8"/>
        <v>61</v>
      </c>
      <c r="J155" s="600"/>
    </row>
    <row r="156" spans="1:10" s="263" customFormat="1" ht="3.95" customHeight="1" x14ac:dyDescent="0.25">
      <c r="A156" s="265"/>
      <c r="B156" s="597"/>
      <c r="C156" s="597"/>
      <c r="D156" s="597"/>
      <c r="E156" s="597"/>
      <c r="F156" s="597"/>
      <c r="G156" s="597"/>
      <c r="H156" s="597"/>
      <c r="I156" s="597"/>
      <c r="J156" s="600"/>
    </row>
    <row r="157" spans="1:10" s="263" customFormat="1" ht="9" customHeight="1" x14ac:dyDescent="0.25">
      <c r="A157" s="263" t="s">
        <v>23</v>
      </c>
      <c r="B157" s="598">
        <f t="shared" ref="B157:B188" si="9">SUM(D157:I157)</f>
        <v>15</v>
      </c>
      <c r="C157" s="598"/>
      <c r="D157" s="263">
        <v>3</v>
      </c>
      <c r="E157" s="263">
        <v>5</v>
      </c>
      <c r="F157" s="263">
        <v>4</v>
      </c>
      <c r="G157" s="263">
        <v>0</v>
      </c>
      <c r="H157" s="263">
        <v>3</v>
      </c>
      <c r="I157" s="263">
        <v>0</v>
      </c>
    </row>
    <row r="158" spans="1:10" s="263" customFormat="1" ht="9" customHeight="1" x14ac:dyDescent="0.25">
      <c r="A158" s="263" t="s">
        <v>24</v>
      </c>
      <c r="B158" s="598">
        <f t="shared" si="9"/>
        <v>101</v>
      </c>
      <c r="C158" s="598"/>
      <c r="D158" s="263">
        <v>31</v>
      </c>
      <c r="E158" s="263">
        <v>42</v>
      </c>
      <c r="F158" s="263">
        <v>13</v>
      </c>
      <c r="G158" s="263">
        <v>10</v>
      </c>
      <c r="H158" s="263">
        <v>5</v>
      </c>
      <c r="I158" s="263">
        <v>0</v>
      </c>
    </row>
    <row r="159" spans="1:10" s="263" customFormat="1" ht="9" customHeight="1" x14ac:dyDescent="0.25">
      <c r="A159" s="263" t="s">
        <v>25</v>
      </c>
      <c r="B159" s="598">
        <f t="shared" si="9"/>
        <v>8</v>
      </c>
      <c r="C159" s="598"/>
      <c r="D159" s="263">
        <v>5</v>
      </c>
      <c r="E159" s="263">
        <v>3</v>
      </c>
      <c r="F159" s="263">
        <v>0</v>
      </c>
      <c r="G159" s="263">
        <v>0</v>
      </c>
      <c r="H159" s="263">
        <v>0</v>
      </c>
      <c r="I159" s="263">
        <v>0</v>
      </c>
    </row>
    <row r="160" spans="1:10" s="263" customFormat="1" ht="9" customHeight="1" x14ac:dyDescent="0.25">
      <c r="A160" s="267" t="s">
        <v>26</v>
      </c>
      <c r="B160" s="599">
        <f t="shared" si="9"/>
        <v>8</v>
      </c>
      <c r="C160" s="599"/>
      <c r="D160" s="267">
        <v>0</v>
      </c>
      <c r="E160" s="267">
        <v>8</v>
      </c>
      <c r="F160" s="267">
        <v>0</v>
      </c>
      <c r="G160" s="267">
        <v>0</v>
      </c>
      <c r="H160" s="267">
        <v>0</v>
      </c>
      <c r="I160" s="267">
        <v>0</v>
      </c>
    </row>
    <row r="161" spans="1:9" s="263" customFormat="1" ht="9" customHeight="1" x14ac:dyDescent="0.25">
      <c r="A161" s="263" t="s">
        <v>27</v>
      </c>
      <c r="B161" s="598">
        <f t="shared" si="9"/>
        <v>32</v>
      </c>
      <c r="C161" s="598"/>
      <c r="D161" s="263">
        <v>5</v>
      </c>
      <c r="E161" s="263">
        <v>11</v>
      </c>
      <c r="F161" s="263">
        <v>6</v>
      </c>
      <c r="G161" s="263">
        <v>3</v>
      </c>
      <c r="H161" s="263">
        <v>7</v>
      </c>
      <c r="I161" s="263">
        <v>0</v>
      </c>
    </row>
    <row r="162" spans="1:9" s="263" customFormat="1" ht="9" customHeight="1" x14ac:dyDescent="0.25">
      <c r="A162" s="263" t="s">
        <v>28</v>
      </c>
      <c r="B162" s="598">
        <f t="shared" si="9"/>
        <v>12</v>
      </c>
      <c r="C162" s="598"/>
      <c r="D162" s="263">
        <v>0</v>
      </c>
      <c r="E162" s="263">
        <v>7</v>
      </c>
      <c r="F162" s="263">
        <v>5</v>
      </c>
      <c r="G162" s="263">
        <v>0</v>
      </c>
      <c r="H162" s="263">
        <v>0</v>
      </c>
      <c r="I162" s="263">
        <v>0</v>
      </c>
    </row>
    <row r="163" spans="1:9" s="263" customFormat="1" ht="9" customHeight="1" x14ac:dyDescent="0.25">
      <c r="A163" s="263" t="s">
        <v>29</v>
      </c>
      <c r="B163" s="598">
        <f t="shared" si="9"/>
        <v>58</v>
      </c>
      <c r="C163" s="598"/>
      <c r="D163" s="263">
        <v>10</v>
      </c>
      <c r="E163" s="263">
        <v>30</v>
      </c>
      <c r="F163" s="263">
        <v>11</v>
      </c>
      <c r="G163" s="263">
        <v>7</v>
      </c>
      <c r="H163" s="263">
        <v>0</v>
      </c>
      <c r="I163" s="263">
        <v>0</v>
      </c>
    </row>
    <row r="164" spans="1:9" s="263" customFormat="1" ht="9" customHeight="1" x14ac:dyDescent="0.25">
      <c r="A164" s="267" t="s">
        <v>30</v>
      </c>
      <c r="B164" s="599">
        <f t="shared" si="9"/>
        <v>42</v>
      </c>
      <c r="C164" s="599"/>
      <c r="D164" s="267">
        <v>8</v>
      </c>
      <c r="E164" s="267">
        <v>10</v>
      </c>
      <c r="F164" s="267">
        <v>7</v>
      </c>
      <c r="G164" s="267">
        <v>4</v>
      </c>
      <c r="H164" s="267">
        <v>9</v>
      </c>
      <c r="I164" s="267">
        <v>4</v>
      </c>
    </row>
    <row r="165" spans="1:9" s="263" customFormat="1" ht="9" customHeight="1" x14ac:dyDescent="0.25">
      <c r="A165" s="263" t="s">
        <v>63</v>
      </c>
      <c r="B165" s="598">
        <f t="shared" si="9"/>
        <v>245</v>
      </c>
      <c r="C165" s="598"/>
      <c r="D165" s="263">
        <v>47</v>
      </c>
      <c r="E165" s="263">
        <v>94</v>
      </c>
      <c r="F165" s="263">
        <v>43</v>
      </c>
      <c r="G165" s="263">
        <v>17</v>
      </c>
      <c r="H165" s="263">
        <v>18</v>
      </c>
      <c r="I165" s="263">
        <v>26</v>
      </c>
    </row>
    <row r="166" spans="1:9" s="263" customFormat="1" ht="9" customHeight="1" x14ac:dyDescent="0.25">
      <c r="A166" s="263" t="s">
        <v>31</v>
      </c>
      <c r="B166" s="598">
        <f t="shared" si="9"/>
        <v>30</v>
      </c>
      <c r="C166" s="598"/>
      <c r="D166" s="263">
        <v>5</v>
      </c>
      <c r="E166" s="263">
        <v>13</v>
      </c>
      <c r="F166" s="263">
        <v>6</v>
      </c>
      <c r="G166" s="263">
        <v>3</v>
      </c>
      <c r="H166" s="263">
        <v>3</v>
      </c>
      <c r="I166" s="263">
        <v>0</v>
      </c>
    </row>
    <row r="167" spans="1:9" s="263" customFormat="1" ht="9" customHeight="1" x14ac:dyDescent="0.25">
      <c r="A167" s="263" t="s">
        <v>32</v>
      </c>
      <c r="B167" s="598">
        <f t="shared" si="9"/>
        <v>164</v>
      </c>
      <c r="C167" s="598"/>
      <c r="D167" s="263">
        <v>26</v>
      </c>
      <c r="E167" s="263">
        <v>76</v>
      </c>
      <c r="F167" s="263">
        <v>37</v>
      </c>
      <c r="G167" s="263">
        <v>12</v>
      </c>
      <c r="H167" s="263">
        <v>10</v>
      </c>
      <c r="I167" s="263">
        <v>3</v>
      </c>
    </row>
    <row r="168" spans="1:9" s="263" customFormat="1" ht="9" customHeight="1" x14ac:dyDescent="0.25">
      <c r="A168" s="267" t="s">
        <v>33</v>
      </c>
      <c r="B168" s="599">
        <f t="shared" si="9"/>
        <v>75</v>
      </c>
      <c r="C168" s="599"/>
      <c r="D168" s="267">
        <v>17</v>
      </c>
      <c r="E168" s="267">
        <v>35</v>
      </c>
      <c r="F168" s="267">
        <v>14</v>
      </c>
      <c r="G168" s="267">
        <v>9</v>
      </c>
      <c r="H168" s="267">
        <v>0</v>
      </c>
      <c r="I168" s="267">
        <v>0</v>
      </c>
    </row>
    <row r="169" spans="1:9" s="263" customFormat="1" ht="9" customHeight="1" x14ac:dyDescent="0.25">
      <c r="A169" s="263" t="s">
        <v>34</v>
      </c>
      <c r="B169" s="598">
        <f t="shared" si="9"/>
        <v>65</v>
      </c>
      <c r="C169" s="598"/>
      <c r="D169" s="263">
        <v>21</v>
      </c>
      <c r="E169" s="263">
        <v>31</v>
      </c>
      <c r="F169" s="263">
        <v>5</v>
      </c>
      <c r="G169" s="263">
        <v>5</v>
      </c>
      <c r="H169" s="263">
        <v>3</v>
      </c>
      <c r="I169" s="263">
        <v>0</v>
      </c>
    </row>
    <row r="170" spans="1:9" s="263" customFormat="1" ht="9" customHeight="1" x14ac:dyDescent="0.25">
      <c r="A170" s="263" t="s">
        <v>35</v>
      </c>
      <c r="B170" s="598">
        <f t="shared" si="9"/>
        <v>112</v>
      </c>
      <c r="C170" s="598"/>
      <c r="D170" s="263">
        <v>7</v>
      </c>
      <c r="E170" s="263">
        <v>35</v>
      </c>
      <c r="F170" s="263">
        <v>24</v>
      </c>
      <c r="G170" s="263">
        <v>23</v>
      </c>
      <c r="H170" s="263">
        <v>14</v>
      </c>
      <c r="I170" s="263">
        <v>9</v>
      </c>
    </row>
    <row r="171" spans="1:9" s="263" customFormat="1" ht="9" customHeight="1" x14ac:dyDescent="0.25">
      <c r="A171" s="263" t="s">
        <v>36</v>
      </c>
      <c r="B171" s="598">
        <f t="shared" si="9"/>
        <v>390</v>
      </c>
      <c r="C171" s="598"/>
      <c r="D171" s="263">
        <v>147</v>
      </c>
      <c r="E171" s="263">
        <v>178</v>
      </c>
      <c r="F171" s="263">
        <v>39</v>
      </c>
      <c r="G171" s="263">
        <v>16</v>
      </c>
      <c r="H171" s="263">
        <v>10</v>
      </c>
      <c r="I171" s="263">
        <v>0</v>
      </c>
    </row>
    <row r="172" spans="1:9" s="263" customFormat="1" ht="9" customHeight="1" x14ac:dyDescent="0.25">
      <c r="A172" s="267" t="s">
        <v>37</v>
      </c>
      <c r="B172" s="599">
        <f t="shared" si="9"/>
        <v>67</v>
      </c>
      <c r="C172" s="599"/>
      <c r="D172" s="267">
        <v>5</v>
      </c>
      <c r="E172" s="267">
        <v>27</v>
      </c>
      <c r="F172" s="267">
        <v>15</v>
      </c>
      <c r="G172" s="267">
        <v>15</v>
      </c>
      <c r="H172" s="267">
        <v>0</v>
      </c>
      <c r="I172" s="267">
        <v>5</v>
      </c>
    </row>
    <row r="173" spans="1:9" s="263" customFormat="1" ht="9" customHeight="1" x14ac:dyDescent="0.25">
      <c r="A173" s="263" t="s">
        <v>38</v>
      </c>
      <c r="B173" s="598">
        <f t="shared" si="9"/>
        <v>82</v>
      </c>
      <c r="C173" s="598"/>
      <c r="D173" s="263">
        <v>46</v>
      </c>
      <c r="E173" s="263">
        <v>28</v>
      </c>
      <c r="F173" s="263">
        <v>4</v>
      </c>
      <c r="G173" s="263">
        <v>4</v>
      </c>
      <c r="H173" s="263">
        <v>0</v>
      </c>
      <c r="I173" s="263">
        <v>0</v>
      </c>
    </row>
    <row r="174" spans="1:9" s="263" customFormat="1" ht="9" customHeight="1" x14ac:dyDescent="0.25">
      <c r="A174" s="263" t="s">
        <v>39</v>
      </c>
      <c r="B174" s="598">
        <f t="shared" si="9"/>
        <v>15</v>
      </c>
      <c r="C174" s="598"/>
      <c r="D174" s="263">
        <v>6</v>
      </c>
      <c r="E174" s="263">
        <v>5</v>
      </c>
      <c r="F174" s="263">
        <v>4</v>
      </c>
      <c r="G174" s="263">
        <v>0</v>
      </c>
      <c r="H174" s="263">
        <v>0</v>
      </c>
      <c r="I174" s="263">
        <v>0</v>
      </c>
    </row>
    <row r="175" spans="1:9" s="263" customFormat="1" ht="9" customHeight="1" x14ac:dyDescent="0.25">
      <c r="A175" s="263" t="s">
        <v>40</v>
      </c>
      <c r="B175" s="598">
        <f t="shared" si="9"/>
        <v>50</v>
      </c>
      <c r="C175" s="598"/>
      <c r="D175" s="263">
        <v>9</v>
      </c>
      <c r="E175" s="263">
        <v>18</v>
      </c>
      <c r="F175" s="263">
        <v>8</v>
      </c>
      <c r="G175" s="263">
        <v>0</v>
      </c>
      <c r="H175" s="263">
        <v>8</v>
      </c>
      <c r="I175" s="263">
        <v>7</v>
      </c>
    </row>
    <row r="176" spans="1:9" s="263" customFormat="1" ht="9" customHeight="1" x14ac:dyDescent="0.25">
      <c r="A176" s="267" t="s">
        <v>41</v>
      </c>
      <c r="B176" s="599">
        <f t="shared" si="9"/>
        <v>48</v>
      </c>
      <c r="C176" s="599"/>
      <c r="D176" s="267">
        <v>12</v>
      </c>
      <c r="E176" s="267">
        <v>21</v>
      </c>
      <c r="F176" s="267">
        <v>8</v>
      </c>
      <c r="G176" s="267">
        <v>7</v>
      </c>
      <c r="H176" s="267">
        <v>0</v>
      </c>
      <c r="I176" s="267">
        <v>0</v>
      </c>
    </row>
    <row r="177" spans="1:10" s="263" customFormat="1" ht="9" customHeight="1" x14ac:dyDescent="0.25">
      <c r="A177" s="263" t="s">
        <v>42</v>
      </c>
      <c r="B177" s="598">
        <f t="shared" si="9"/>
        <v>101</v>
      </c>
      <c r="C177" s="598"/>
      <c r="D177" s="263">
        <v>10</v>
      </c>
      <c r="E177" s="263">
        <v>42</v>
      </c>
      <c r="F177" s="263">
        <v>21</v>
      </c>
      <c r="G177" s="263">
        <v>12</v>
      </c>
      <c r="H177" s="263">
        <v>12</v>
      </c>
      <c r="I177" s="263">
        <v>4</v>
      </c>
    </row>
    <row r="178" spans="1:10" s="263" customFormat="1" ht="9" customHeight="1" x14ac:dyDescent="0.25">
      <c r="A178" s="263" t="s">
        <v>43</v>
      </c>
      <c r="B178" s="598">
        <f t="shared" si="9"/>
        <v>25</v>
      </c>
      <c r="C178" s="598"/>
      <c r="D178" s="263">
        <v>5</v>
      </c>
      <c r="E178" s="263">
        <v>6</v>
      </c>
      <c r="F178" s="263">
        <v>5</v>
      </c>
      <c r="G178" s="263">
        <v>4</v>
      </c>
      <c r="H178" s="263">
        <v>5</v>
      </c>
      <c r="I178" s="263">
        <v>0</v>
      </c>
    </row>
    <row r="179" spans="1:10" s="263" customFormat="1" ht="9" customHeight="1" x14ac:dyDescent="0.25">
      <c r="A179" s="263" t="s">
        <v>44</v>
      </c>
      <c r="B179" s="598">
        <f t="shared" si="9"/>
        <v>26</v>
      </c>
      <c r="C179" s="598"/>
      <c r="D179" s="263">
        <v>7</v>
      </c>
      <c r="E179" s="263">
        <v>13</v>
      </c>
      <c r="F179" s="263">
        <v>6</v>
      </c>
      <c r="G179" s="263">
        <v>0</v>
      </c>
      <c r="H179" s="263">
        <v>0</v>
      </c>
      <c r="I179" s="263">
        <v>0</v>
      </c>
    </row>
    <row r="180" spans="1:10" s="263" customFormat="1" ht="9" customHeight="1" x14ac:dyDescent="0.25">
      <c r="A180" s="267" t="s">
        <v>45</v>
      </c>
      <c r="B180" s="599">
        <f t="shared" si="9"/>
        <v>39</v>
      </c>
      <c r="C180" s="599"/>
      <c r="D180" s="267">
        <v>9</v>
      </c>
      <c r="E180" s="267">
        <v>14</v>
      </c>
      <c r="F180" s="267">
        <v>6</v>
      </c>
      <c r="G180" s="267">
        <v>4</v>
      </c>
      <c r="H180" s="267">
        <v>3</v>
      </c>
      <c r="I180" s="267">
        <v>3</v>
      </c>
    </row>
    <row r="181" spans="1:10" s="263" customFormat="1" ht="9" customHeight="1" x14ac:dyDescent="0.25">
      <c r="A181" s="263" t="s">
        <v>46</v>
      </c>
      <c r="B181" s="598">
        <f t="shared" si="9"/>
        <v>58</v>
      </c>
      <c r="C181" s="598"/>
      <c r="D181" s="263">
        <v>11</v>
      </c>
      <c r="E181" s="263">
        <v>27</v>
      </c>
      <c r="F181" s="263">
        <v>8</v>
      </c>
      <c r="G181" s="263">
        <v>8</v>
      </c>
      <c r="H181" s="263">
        <v>4</v>
      </c>
      <c r="I181" s="263">
        <v>0</v>
      </c>
    </row>
    <row r="182" spans="1:10" s="263" customFormat="1" ht="9" customHeight="1" x14ac:dyDescent="0.25">
      <c r="A182" s="263" t="s">
        <v>47</v>
      </c>
      <c r="B182" s="598">
        <f t="shared" si="9"/>
        <v>38</v>
      </c>
      <c r="C182" s="598"/>
      <c r="D182" s="263">
        <v>3</v>
      </c>
      <c r="E182" s="263">
        <v>14</v>
      </c>
      <c r="F182" s="263">
        <v>6</v>
      </c>
      <c r="G182" s="263">
        <v>8</v>
      </c>
      <c r="H182" s="263">
        <v>7</v>
      </c>
      <c r="I182" s="263">
        <v>0</v>
      </c>
    </row>
    <row r="183" spans="1:10" s="263" customFormat="1" ht="9" customHeight="1" x14ac:dyDescent="0.25">
      <c r="A183" s="263" t="s">
        <v>48</v>
      </c>
      <c r="B183" s="598">
        <f t="shared" si="9"/>
        <v>42</v>
      </c>
      <c r="C183" s="598"/>
      <c r="D183" s="263">
        <v>16</v>
      </c>
      <c r="E183" s="263">
        <v>17</v>
      </c>
      <c r="F183" s="263">
        <v>9</v>
      </c>
      <c r="G183" s="263">
        <v>0</v>
      </c>
      <c r="H183" s="263">
        <v>0</v>
      </c>
      <c r="I183" s="263">
        <v>0</v>
      </c>
    </row>
    <row r="184" spans="1:10" s="263" customFormat="1" ht="9" customHeight="1" x14ac:dyDescent="0.25">
      <c r="A184" s="267" t="s">
        <v>49</v>
      </c>
      <c r="B184" s="599">
        <f t="shared" si="9"/>
        <v>64</v>
      </c>
      <c r="C184" s="599"/>
      <c r="D184" s="267">
        <v>17</v>
      </c>
      <c r="E184" s="267">
        <v>25</v>
      </c>
      <c r="F184" s="267">
        <v>12</v>
      </c>
      <c r="G184" s="267">
        <v>3</v>
      </c>
      <c r="H184" s="267">
        <v>7</v>
      </c>
      <c r="I184" s="267">
        <v>0</v>
      </c>
    </row>
    <row r="185" spans="1:10" s="263" customFormat="1" ht="9" customHeight="1" x14ac:dyDescent="0.25">
      <c r="A185" s="263" t="s">
        <v>50</v>
      </c>
      <c r="B185" s="598">
        <f t="shared" si="9"/>
        <v>35</v>
      </c>
      <c r="C185" s="598"/>
      <c r="D185" s="263">
        <v>12</v>
      </c>
      <c r="E185" s="263">
        <v>16</v>
      </c>
      <c r="F185" s="263">
        <v>7</v>
      </c>
      <c r="G185" s="263">
        <v>0</v>
      </c>
      <c r="H185" s="263">
        <v>0</v>
      </c>
      <c r="I185" s="263">
        <v>0</v>
      </c>
    </row>
    <row r="186" spans="1:10" s="263" customFormat="1" ht="9" customHeight="1" x14ac:dyDescent="0.25">
      <c r="A186" s="263" t="s">
        <v>51</v>
      </c>
      <c r="B186" s="598">
        <f t="shared" si="9"/>
        <v>114</v>
      </c>
      <c r="C186" s="598"/>
      <c r="D186" s="263">
        <v>26</v>
      </c>
      <c r="E186" s="263">
        <v>55</v>
      </c>
      <c r="F186" s="263">
        <v>17</v>
      </c>
      <c r="G186" s="263">
        <v>10</v>
      </c>
      <c r="H186" s="263">
        <v>6</v>
      </c>
      <c r="I186" s="263">
        <v>0</v>
      </c>
    </row>
    <row r="187" spans="1:10" s="263" customFormat="1" ht="9" customHeight="1" x14ac:dyDescent="0.25">
      <c r="A187" s="263" t="s">
        <v>52</v>
      </c>
      <c r="B187" s="598">
        <f t="shared" si="9"/>
        <v>36</v>
      </c>
      <c r="C187" s="598"/>
      <c r="D187" s="263">
        <v>8</v>
      </c>
      <c r="E187" s="263">
        <v>16</v>
      </c>
      <c r="F187" s="263">
        <v>3</v>
      </c>
      <c r="G187" s="263">
        <v>9</v>
      </c>
      <c r="H187" s="263">
        <v>0</v>
      </c>
      <c r="I187" s="263">
        <v>0</v>
      </c>
    </row>
    <row r="188" spans="1:10" s="263" customFormat="1" ht="9" customHeight="1" x14ac:dyDescent="0.25">
      <c r="A188" s="267" t="s">
        <v>53</v>
      </c>
      <c r="B188" s="599">
        <f t="shared" si="9"/>
        <v>21</v>
      </c>
      <c r="C188" s="599"/>
      <c r="D188" s="267">
        <v>0</v>
      </c>
      <c r="E188" s="267">
        <v>10</v>
      </c>
      <c r="F188" s="267">
        <v>5</v>
      </c>
      <c r="G188" s="267">
        <v>6</v>
      </c>
      <c r="H188" s="267">
        <v>0</v>
      </c>
      <c r="I188" s="267">
        <v>0</v>
      </c>
    </row>
    <row r="189" spans="1:10" s="263" customFormat="1" ht="8.25" customHeight="1" x14ac:dyDescent="0.25">
      <c r="B189" s="598"/>
      <c r="C189" s="598"/>
      <c r="D189" s="598"/>
      <c r="E189" s="598"/>
      <c r="F189" s="598"/>
      <c r="G189" s="598"/>
      <c r="H189" s="598"/>
      <c r="I189" s="598"/>
    </row>
    <row r="190" spans="1:10" s="263" customFormat="1" ht="9" customHeight="1" x14ac:dyDescent="0.25">
      <c r="A190" s="261">
        <v>2000</v>
      </c>
      <c r="B190" s="262"/>
      <c r="C190" s="262"/>
      <c r="D190" s="262"/>
      <c r="E190" s="262"/>
      <c r="F190" s="262"/>
      <c r="G190" s="262"/>
      <c r="H190" s="262"/>
      <c r="I190" s="262"/>
    </row>
    <row r="191" spans="1:10" s="263" customFormat="1" ht="9" customHeight="1" x14ac:dyDescent="0.25">
      <c r="A191" s="265" t="s">
        <v>21</v>
      </c>
      <c r="B191" s="597">
        <f t="shared" ref="B191:H191" si="10">SUM(B193:B224)</f>
        <v>2179</v>
      </c>
      <c r="C191" s="597"/>
      <c r="D191" s="597">
        <f t="shared" si="10"/>
        <v>514</v>
      </c>
      <c r="E191" s="597">
        <f t="shared" si="10"/>
        <v>920</v>
      </c>
      <c r="F191" s="597">
        <f t="shared" si="10"/>
        <v>346</v>
      </c>
      <c r="G191" s="597">
        <f t="shared" si="10"/>
        <v>198</v>
      </c>
      <c r="H191" s="597">
        <f t="shared" si="10"/>
        <v>128</v>
      </c>
      <c r="I191" s="597">
        <f>SUM(I193:I224)</f>
        <v>73</v>
      </c>
      <c r="J191" s="600"/>
    </row>
    <row r="192" spans="1:10" s="263" customFormat="1" ht="3.95" customHeight="1" x14ac:dyDescent="0.25">
      <c r="A192" s="265"/>
      <c r="B192" s="597"/>
      <c r="C192" s="597"/>
      <c r="D192" s="597"/>
      <c r="E192" s="597"/>
      <c r="F192" s="597"/>
      <c r="G192" s="597"/>
      <c r="H192" s="597"/>
      <c r="I192" s="597"/>
      <c r="J192" s="600"/>
    </row>
    <row r="193" spans="1:9" s="263" customFormat="1" ht="9" customHeight="1" x14ac:dyDescent="0.25">
      <c r="A193" s="263" t="s">
        <v>23</v>
      </c>
      <c r="B193" s="598">
        <f t="shared" ref="B193:B224" si="11">SUM(D193:I193)</f>
        <v>16</v>
      </c>
      <c r="C193" s="598"/>
      <c r="D193" s="263">
        <v>3</v>
      </c>
      <c r="E193" s="263">
        <v>5</v>
      </c>
      <c r="F193" s="263">
        <v>2</v>
      </c>
      <c r="G193" s="263">
        <v>2</v>
      </c>
      <c r="H193" s="263">
        <v>3</v>
      </c>
      <c r="I193" s="263">
        <v>1</v>
      </c>
    </row>
    <row r="194" spans="1:9" s="263" customFormat="1" ht="9" customHeight="1" x14ac:dyDescent="0.25">
      <c r="A194" s="263" t="s">
        <v>24</v>
      </c>
      <c r="B194" s="598">
        <f t="shared" si="11"/>
        <v>100</v>
      </c>
      <c r="C194" s="598"/>
      <c r="D194" s="263">
        <v>30</v>
      </c>
      <c r="E194" s="263">
        <v>44</v>
      </c>
      <c r="F194" s="263">
        <v>12</v>
      </c>
      <c r="G194" s="263">
        <v>9</v>
      </c>
      <c r="H194" s="263">
        <v>4</v>
      </c>
      <c r="I194" s="263">
        <v>1</v>
      </c>
    </row>
    <row r="195" spans="1:9" s="263" customFormat="1" ht="9" customHeight="1" x14ac:dyDescent="0.25">
      <c r="A195" s="263" t="s">
        <v>25</v>
      </c>
      <c r="B195" s="598">
        <f t="shared" si="11"/>
        <v>8</v>
      </c>
      <c r="C195" s="598"/>
      <c r="D195" s="263">
        <v>5</v>
      </c>
      <c r="E195" s="263">
        <v>1</v>
      </c>
      <c r="F195" s="263">
        <v>2</v>
      </c>
      <c r="G195" s="263">
        <v>0</v>
      </c>
      <c r="H195" s="263">
        <v>0</v>
      </c>
      <c r="I195" s="263">
        <v>0</v>
      </c>
    </row>
    <row r="196" spans="1:9" s="263" customFormat="1" ht="9" customHeight="1" x14ac:dyDescent="0.25">
      <c r="A196" s="267" t="s">
        <v>26</v>
      </c>
      <c r="B196" s="599">
        <f t="shared" si="11"/>
        <v>9</v>
      </c>
      <c r="C196" s="599"/>
      <c r="D196" s="267">
        <v>0</v>
      </c>
      <c r="E196" s="267">
        <v>7</v>
      </c>
      <c r="F196" s="267">
        <v>2</v>
      </c>
      <c r="G196" s="267">
        <v>0</v>
      </c>
      <c r="H196" s="267">
        <v>0</v>
      </c>
      <c r="I196" s="267">
        <v>0</v>
      </c>
    </row>
    <row r="197" spans="1:9" s="263" customFormat="1" ht="9" customHeight="1" x14ac:dyDescent="0.25">
      <c r="A197" s="263" t="s">
        <v>27</v>
      </c>
      <c r="B197" s="598">
        <f t="shared" si="11"/>
        <v>30</v>
      </c>
      <c r="C197" s="598"/>
      <c r="D197" s="263">
        <v>3</v>
      </c>
      <c r="E197" s="263">
        <v>11</v>
      </c>
      <c r="F197" s="263">
        <v>6</v>
      </c>
      <c r="G197" s="263">
        <v>3</v>
      </c>
      <c r="H197" s="263">
        <v>6</v>
      </c>
      <c r="I197" s="263">
        <v>1</v>
      </c>
    </row>
    <row r="198" spans="1:9" s="263" customFormat="1" ht="9" customHeight="1" x14ac:dyDescent="0.25">
      <c r="A198" s="263" t="s">
        <v>28</v>
      </c>
      <c r="B198" s="598">
        <f t="shared" si="11"/>
        <v>11</v>
      </c>
      <c r="C198" s="598"/>
      <c r="D198" s="263">
        <v>1</v>
      </c>
      <c r="E198" s="263">
        <v>5</v>
      </c>
      <c r="F198" s="263">
        <v>3</v>
      </c>
      <c r="G198" s="263">
        <v>2</v>
      </c>
      <c r="H198" s="263">
        <v>0</v>
      </c>
      <c r="I198" s="263">
        <v>0</v>
      </c>
    </row>
    <row r="199" spans="1:9" s="263" customFormat="1" ht="9" customHeight="1" x14ac:dyDescent="0.25">
      <c r="A199" s="263" t="s">
        <v>29</v>
      </c>
      <c r="B199" s="598">
        <f t="shared" si="11"/>
        <v>57</v>
      </c>
      <c r="C199" s="598"/>
      <c r="D199" s="263">
        <v>12</v>
      </c>
      <c r="E199" s="263">
        <v>27</v>
      </c>
      <c r="F199" s="263">
        <v>10</v>
      </c>
      <c r="G199" s="263">
        <v>5</v>
      </c>
      <c r="H199" s="263">
        <v>2</v>
      </c>
      <c r="I199" s="263">
        <v>1</v>
      </c>
    </row>
    <row r="200" spans="1:9" s="263" customFormat="1" ht="9" customHeight="1" x14ac:dyDescent="0.25">
      <c r="A200" s="267" t="s">
        <v>30</v>
      </c>
      <c r="B200" s="599">
        <f t="shared" si="11"/>
        <v>40</v>
      </c>
      <c r="C200" s="599"/>
      <c r="D200" s="267">
        <v>7</v>
      </c>
      <c r="E200" s="267">
        <v>11</v>
      </c>
      <c r="F200" s="267">
        <v>5</v>
      </c>
      <c r="G200" s="267">
        <v>4</v>
      </c>
      <c r="H200" s="267">
        <v>8</v>
      </c>
      <c r="I200" s="267">
        <v>5</v>
      </c>
    </row>
    <row r="201" spans="1:9" s="263" customFormat="1" ht="9" customHeight="1" x14ac:dyDescent="0.25">
      <c r="A201" s="263" t="s">
        <v>63</v>
      </c>
      <c r="B201" s="598">
        <f t="shared" si="11"/>
        <v>247</v>
      </c>
      <c r="C201" s="598"/>
      <c r="D201" s="263">
        <v>48</v>
      </c>
      <c r="E201" s="263">
        <v>95</v>
      </c>
      <c r="F201" s="263">
        <v>41</v>
      </c>
      <c r="G201" s="263">
        <v>22</v>
      </c>
      <c r="H201" s="263">
        <v>15</v>
      </c>
      <c r="I201" s="263">
        <v>26</v>
      </c>
    </row>
    <row r="202" spans="1:9" s="263" customFormat="1" ht="9" customHeight="1" x14ac:dyDescent="0.25">
      <c r="A202" s="263" t="s">
        <v>31</v>
      </c>
      <c r="B202" s="598">
        <f t="shared" si="11"/>
        <v>27</v>
      </c>
      <c r="C202" s="598"/>
      <c r="D202" s="263">
        <v>5</v>
      </c>
      <c r="E202" s="263">
        <v>12</v>
      </c>
      <c r="F202" s="263">
        <v>4</v>
      </c>
      <c r="G202" s="263">
        <v>4</v>
      </c>
      <c r="H202" s="263">
        <v>1</v>
      </c>
      <c r="I202" s="263">
        <v>1</v>
      </c>
    </row>
    <row r="203" spans="1:9" s="263" customFormat="1" ht="9" customHeight="1" x14ac:dyDescent="0.25">
      <c r="A203" s="263" t="s">
        <v>32</v>
      </c>
      <c r="B203" s="598">
        <f t="shared" si="11"/>
        <v>157</v>
      </c>
      <c r="C203" s="598"/>
      <c r="D203" s="263">
        <v>20</v>
      </c>
      <c r="E203" s="263">
        <v>73</v>
      </c>
      <c r="F203" s="263">
        <v>38</v>
      </c>
      <c r="G203" s="263">
        <v>11</v>
      </c>
      <c r="H203" s="263">
        <v>12</v>
      </c>
      <c r="I203" s="263">
        <v>3</v>
      </c>
    </row>
    <row r="204" spans="1:9" s="263" customFormat="1" ht="9" customHeight="1" x14ac:dyDescent="0.25">
      <c r="A204" s="267" t="s">
        <v>33</v>
      </c>
      <c r="B204" s="599">
        <f t="shared" si="11"/>
        <v>75</v>
      </c>
      <c r="C204" s="599"/>
      <c r="D204" s="267">
        <v>18</v>
      </c>
      <c r="E204" s="267">
        <v>36</v>
      </c>
      <c r="F204" s="267">
        <v>11</v>
      </c>
      <c r="G204" s="267">
        <v>9</v>
      </c>
      <c r="H204" s="267">
        <v>1</v>
      </c>
      <c r="I204" s="267">
        <v>0</v>
      </c>
    </row>
    <row r="205" spans="1:9" s="263" customFormat="1" ht="9" customHeight="1" x14ac:dyDescent="0.25">
      <c r="A205" s="263" t="s">
        <v>34</v>
      </c>
      <c r="B205" s="598">
        <f t="shared" si="11"/>
        <v>63</v>
      </c>
      <c r="C205" s="598"/>
      <c r="D205" s="263">
        <v>21</v>
      </c>
      <c r="E205" s="263">
        <v>27</v>
      </c>
      <c r="F205" s="263">
        <v>8</v>
      </c>
      <c r="G205" s="263">
        <v>5</v>
      </c>
      <c r="H205" s="263">
        <v>2</v>
      </c>
      <c r="I205" s="263">
        <v>0</v>
      </c>
    </row>
    <row r="206" spans="1:9" s="263" customFormat="1" ht="9" customHeight="1" x14ac:dyDescent="0.25">
      <c r="A206" s="263" t="s">
        <v>35</v>
      </c>
      <c r="B206" s="598">
        <f t="shared" si="11"/>
        <v>110</v>
      </c>
      <c r="C206" s="598"/>
      <c r="D206" s="263">
        <v>8</v>
      </c>
      <c r="E206" s="263">
        <v>31</v>
      </c>
      <c r="F206" s="263">
        <v>31</v>
      </c>
      <c r="G206" s="263">
        <v>19</v>
      </c>
      <c r="H206" s="263">
        <v>13</v>
      </c>
      <c r="I206" s="263">
        <v>8</v>
      </c>
    </row>
    <row r="207" spans="1:9" s="263" customFormat="1" ht="9" customHeight="1" x14ac:dyDescent="0.25">
      <c r="A207" s="263" t="s">
        <v>36</v>
      </c>
      <c r="B207" s="598">
        <f t="shared" si="11"/>
        <v>378</v>
      </c>
      <c r="C207" s="598"/>
      <c r="D207" s="263">
        <v>120</v>
      </c>
      <c r="E207" s="263">
        <v>192</v>
      </c>
      <c r="F207" s="263">
        <v>42</v>
      </c>
      <c r="G207" s="263">
        <v>13</v>
      </c>
      <c r="H207" s="263">
        <v>10</v>
      </c>
      <c r="I207" s="263">
        <v>1</v>
      </c>
    </row>
    <row r="208" spans="1:9" s="263" customFormat="1" ht="9" customHeight="1" x14ac:dyDescent="0.25">
      <c r="A208" s="267" t="s">
        <v>37</v>
      </c>
      <c r="B208" s="599">
        <f t="shared" si="11"/>
        <v>65</v>
      </c>
      <c r="C208" s="599"/>
      <c r="D208" s="267">
        <v>7</v>
      </c>
      <c r="E208" s="267">
        <v>25</v>
      </c>
      <c r="F208" s="267">
        <v>15</v>
      </c>
      <c r="G208" s="267">
        <v>10</v>
      </c>
      <c r="H208" s="267">
        <v>3</v>
      </c>
      <c r="I208" s="267">
        <v>5</v>
      </c>
    </row>
    <row r="209" spans="1:9" s="263" customFormat="1" ht="9" customHeight="1" x14ac:dyDescent="0.25">
      <c r="A209" s="263" t="s">
        <v>38</v>
      </c>
      <c r="B209" s="598">
        <f t="shared" si="11"/>
        <v>79</v>
      </c>
      <c r="C209" s="598"/>
      <c r="D209" s="263">
        <v>43</v>
      </c>
      <c r="E209" s="263">
        <v>28</v>
      </c>
      <c r="F209" s="263">
        <v>3</v>
      </c>
      <c r="G209" s="263">
        <v>4</v>
      </c>
      <c r="H209" s="263">
        <v>1</v>
      </c>
      <c r="I209" s="263">
        <v>0</v>
      </c>
    </row>
    <row r="210" spans="1:9" s="263" customFormat="1" ht="9" customHeight="1" x14ac:dyDescent="0.25">
      <c r="A210" s="263" t="s">
        <v>39</v>
      </c>
      <c r="B210" s="598">
        <f t="shared" si="11"/>
        <v>17</v>
      </c>
      <c r="C210" s="598"/>
      <c r="D210" s="263">
        <v>7</v>
      </c>
      <c r="E210" s="263">
        <v>6</v>
      </c>
      <c r="F210" s="263">
        <v>2</v>
      </c>
      <c r="G210" s="263">
        <v>0</v>
      </c>
      <c r="H210" s="263">
        <v>2</v>
      </c>
      <c r="I210" s="263">
        <v>0</v>
      </c>
    </row>
    <row r="211" spans="1:9" s="263" customFormat="1" ht="9" customHeight="1" x14ac:dyDescent="0.25">
      <c r="A211" s="263" t="s">
        <v>40</v>
      </c>
      <c r="B211" s="598">
        <f t="shared" si="11"/>
        <v>50</v>
      </c>
      <c r="C211" s="598"/>
      <c r="D211" s="263">
        <v>10</v>
      </c>
      <c r="E211" s="263">
        <v>18</v>
      </c>
      <c r="F211" s="263">
        <v>6</v>
      </c>
      <c r="G211" s="263">
        <v>2</v>
      </c>
      <c r="H211" s="263">
        <v>6</v>
      </c>
      <c r="I211" s="263">
        <v>8</v>
      </c>
    </row>
    <row r="212" spans="1:9" s="263" customFormat="1" ht="9" customHeight="1" x14ac:dyDescent="0.25">
      <c r="A212" s="267" t="s">
        <v>41</v>
      </c>
      <c r="B212" s="599">
        <f t="shared" si="11"/>
        <v>48</v>
      </c>
      <c r="C212" s="599"/>
      <c r="D212" s="267">
        <v>11</v>
      </c>
      <c r="E212" s="267">
        <v>22</v>
      </c>
      <c r="F212" s="267">
        <v>8</v>
      </c>
      <c r="G212" s="267">
        <v>7</v>
      </c>
      <c r="H212" s="267">
        <v>0</v>
      </c>
      <c r="I212" s="267">
        <v>0</v>
      </c>
    </row>
    <row r="213" spans="1:9" s="263" customFormat="1" ht="9" customHeight="1" x14ac:dyDescent="0.25">
      <c r="A213" s="263" t="s">
        <v>42</v>
      </c>
      <c r="B213" s="598">
        <f t="shared" si="11"/>
        <v>101</v>
      </c>
      <c r="C213" s="598"/>
      <c r="D213" s="263">
        <v>10</v>
      </c>
      <c r="E213" s="263">
        <v>44</v>
      </c>
      <c r="F213" s="263">
        <v>21</v>
      </c>
      <c r="G213" s="263">
        <v>11</v>
      </c>
      <c r="H213" s="263">
        <v>10</v>
      </c>
      <c r="I213" s="263">
        <v>5</v>
      </c>
    </row>
    <row r="214" spans="1:9" s="263" customFormat="1" ht="9" customHeight="1" x14ac:dyDescent="0.25">
      <c r="A214" s="263" t="s">
        <v>43</v>
      </c>
      <c r="B214" s="598">
        <f t="shared" si="11"/>
        <v>23</v>
      </c>
      <c r="C214" s="598"/>
      <c r="D214" s="263">
        <v>4</v>
      </c>
      <c r="E214" s="263">
        <v>7</v>
      </c>
      <c r="F214" s="263">
        <v>3</v>
      </c>
      <c r="G214" s="263">
        <v>5</v>
      </c>
      <c r="H214" s="263">
        <v>4</v>
      </c>
      <c r="I214" s="263">
        <v>0</v>
      </c>
    </row>
    <row r="215" spans="1:9" s="263" customFormat="1" ht="9" customHeight="1" x14ac:dyDescent="0.25">
      <c r="A215" s="263" t="s">
        <v>44</v>
      </c>
      <c r="B215" s="598">
        <f t="shared" si="11"/>
        <v>33</v>
      </c>
      <c r="C215" s="598"/>
      <c r="D215" s="263">
        <v>13</v>
      </c>
      <c r="E215" s="263">
        <v>14</v>
      </c>
      <c r="F215" s="263">
        <v>3</v>
      </c>
      <c r="G215" s="263">
        <v>3</v>
      </c>
      <c r="H215" s="263">
        <v>0</v>
      </c>
      <c r="I215" s="263">
        <v>0</v>
      </c>
    </row>
    <row r="216" spans="1:9" s="263" customFormat="1" ht="9" customHeight="1" x14ac:dyDescent="0.25">
      <c r="A216" s="267" t="s">
        <v>45</v>
      </c>
      <c r="B216" s="599">
        <f t="shared" si="11"/>
        <v>40</v>
      </c>
      <c r="C216" s="599"/>
      <c r="D216" s="267">
        <v>10</v>
      </c>
      <c r="E216" s="267">
        <v>12</v>
      </c>
      <c r="F216" s="267">
        <v>8</v>
      </c>
      <c r="G216" s="267">
        <v>5</v>
      </c>
      <c r="H216" s="267">
        <v>2</v>
      </c>
      <c r="I216" s="267">
        <v>3</v>
      </c>
    </row>
    <row r="217" spans="1:9" s="263" customFormat="1" ht="9" customHeight="1" x14ac:dyDescent="0.25">
      <c r="A217" s="263" t="s">
        <v>46</v>
      </c>
      <c r="B217" s="598">
        <f t="shared" si="11"/>
        <v>60</v>
      </c>
      <c r="C217" s="598"/>
      <c r="D217" s="263">
        <v>18</v>
      </c>
      <c r="E217" s="263">
        <v>21</v>
      </c>
      <c r="F217" s="263">
        <v>10</v>
      </c>
      <c r="G217" s="263">
        <v>7</v>
      </c>
      <c r="H217" s="263">
        <v>4</v>
      </c>
      <c r="I217" s="263">
        <v>0</v>
      </c>
    </row>
    <row r="218" spans="1:9" s="263" customFormat="1" ht="9" customHeight="1" x14ac:dyDescent="0.25">
      <c r="A218" s="263" t="s">
        <v>47</v>
      </c>
      <c r="B218" s="598">
        <f t="shared" si="11"/>
        <v>36</v>
      </c>
      <c r="C218" s="598"/>
      <c r="D218" s="263">
        <v>4</v>
      </c>
      <c r="E218" s="263">
        <v>13</v>
      </c>
      <c r="F218" s="263">
        <v>7</v>
      </c>
      <c r="G218" s="263">
        <v>7</v>
      </c>
      <c r="H218" s="263">
        <v>5</v>
      </c>
      <c r="I218" s="263">
        <v>0</v>
      </c>
    </row>
    <row r="219" spans="1:9" s="263" customFormat="1" ht="9" customHeight="1" x14ac:dyDescent="0.25">
      <c r="A219" s="263" t="s">
        <v>48</v>
      </c>
      <c r="B219" s="598">
        <f t="shared" si="11"/>
        <v>38</v>
      </c>
      <c r="C219" s="598"/>
      <c r="D219" s="263">
        <v>15</v>
      </c>
      <c r="E219" s="263">
        <v>16</v>
      </c>
      <c r="F219" s="263">
        <v>3</v>
      </c>
      <c r="G219" s="263">
        <v>3</v>
      </c>
      <c r="H219" s="263">
        <v>1</v>
      </c>
      <c r="I219" s="263">
        <v>0</v>
      </c>
    </row>
    <row r="220" spans="1:9" s="263" customFormat="1" ht="9" customHeight="1" x14ac:dyDescent="0.25">
      <c r="A220" s="267" t="s">
        <v>49</v>
      </c>
      <c r="B220" s="599">
        <f t="shared" si="11"/>
        <v>62</v>
      </c>
      <c r="C220" s="599"/>
      <c r="D220" s="267">
        <v>11</v>
      </c>
      <c r="E220" s="267">
        <v>29</v>
      </c>
      <c r="F220" s="267">
        <v>10</v>
      </c>
      <c r="G220" s="267">
        <v>5</v>
      </c>
      <c r="H220" s="267">
        <v>6</v>
      </c>
      <c r="I220" s="267">
        <v>1</v>
      </c>
    </row>
    <row r="221" spans="1:9" s="263" customFormat="1" ht="9" customHeight="1" x14ac:dyDescent="0.25">
      <c r="A221" s="263" t="s">
        <v>50</v>
      </c>
      <c r="B221" s="598">
        <f t="shared" si="11"/>
        <v>35</v>
      </c>
      <c r="C221" s="598"/>
      <c r="D221" s="263">
        <v>14</v>
      </c>
      <c r="E221" s="263">
        <v>14</v>
      </c>
      <c r="F221" s="263">
        <v>5</v>
      </c>
      <c r="G221" s="263">
        <v>2</v>
      </c>
      <c r="H221" s="263">
        <v>0</v>
      </c>
      <c r="I221" s="263">
        <v>0</v>
      </c>
    </row>
    <row r="222" spans="1:9" s="263" customFormat="1" ht="9" customHeight="1" x14ac:dyDescent="0.25">
      <c r="A222" s="263" t="s">
        <v>51</v>
      </c>
      <c r="B222" s="598">
        <f t="shared" si="11"/>
        <v>108</v>
      </c>
      <c r="C222" s="598"/>
      <c r="D222" s="263">
        <v>24</v>
      </c>
      <c r="E222" s="263">
        <v>51</v>
      </c>
      <c r="F222" s="263">
        <v>18</v>
      </c>
      <c r="G222" s="263">
        <v>10</v>
      </c>
      <c r="H222" s="263">
        <v>5</v>
      </c>
      <c r="I222" s="263">
        <v>0</v>
      </c>
    </row>
    <row r="223" spans="1:9" s="263" customFormat="1" ht="9" customHeight="1" x14ac:dyDescent="0.25">
      <c r="A223" s="263" t="s">
        <v>52</v>
      </c>
      <c r="B223" s="598">
        <f t="shared" si="11"/>
        <v>36</v>
      </c>
      <c r="C223" s="598"/>
      <c r="D223" s="263">
        <v>10</v>
      </c>
      <c r="E223" s="263">
        <v>14</v>
      </c>
      <c r="F223" s="263">
        <v>3</v>
      </c>
      <c r="G223" s="263">
        <v>6</v>
      </c>
      <c r="H223" s="263">
        <v>1</v>
      </c>
      <c r="I223" s="263">
        <v>2</v>
      </c>
    </row>
    <row r="224" spans="1:9" s="263" customFormat="1" ht="9" customHeight="1" x14ac:dyDescent="0.25">
      <c r="A224" s="267" t="s">
        <v>53</v>
      </c>
      <c r="B224" s="599">
        <f t="shared" si="11"/>
        <v>20</v>
      </c>
      <c r="C224" s="599"/>
      <c r="D224" s="267">
        <v>2</v>
      </c>
      <c r="E224" s="267">
        <v>9</v>
      </c>
      <c r="F224" s="267">
        <v>4</v>
      </c>
      <c r="G224" s="267">
        <v>3</v>
      </c>
      <c r="H224" s="267">
        <v>1</v>
      </c>
      <c r="I224" s="267">
        <v>1</v>
      </c>
    </row>
    <row r="225" spans="1:10" s="263" customFormat="1" ht="9" customHeight="1" x14ac:dyDescent="0.25">
      <c r="B225" s="262"/>
      <c r="C225" s="262"/>
      <c r="D225" s="262"/>
      <c r="E225" s="262"/>
      <c r="F225" s="262"/>
      <c r="G225" s="262"/>
      <c r="H225" s="262"/>
      <c r="I225" s="262"/>
    </row>
    <row r="226" spans="1:10" s="263" customFormat="1" ht="9" customHeight="1" x14ac:dyDescent="0.25">
      <c r="A226" s="261">
        <v>2001</v>
      </c>
      <c r="B226" s="262"/>
      <c r="C226" s="262"/>
      <c r="D226" s="262"/>
      <c r="E226" s="262"/>
      <c r="F226" s="262"/>
      <c r="G226" s="262"/>
      <c r="H226" s="262"/>
      <c r="I226" s="262"/>
    </row>
    <row r="227" spans="1:10" s="263" customFormat="1" ht="9" customHeight="1" x14ac:dyDescent="0.25">
      <c r="A227" s="265" t="s">
        <v>21</v>
      </c>
      <c r="B227" s="597">
        <f>SUM(D229:I260)</f>
        <v>2822</v>
      </c>
      <c r="C227" s="597"/>
      <c r="D227" s="597">
        <f t="shared" ref="D227:I227" si="12">SUM(D229:D260)</f>
        <v>792</v>
      </c>
      <c r="E227" s="597">
        <f t="shared" si="12"/>
        <v>1182</v>
      </c>
      <c r="F227" s="597">
        <f t="shared" si="12"/>
        <v>425</v>
      </c>
      <c r="G227" s="597">
        <f t="shared" si="12"/>
        <v>240</v>
      </c>
      <c r="H227" s="597">
        <f t="shared" si="12"/>
        <v>114</v>
      </c>
      <c r="I227" s="597">
        <f t="shared" si="12"/>
        <v>69</v>
      </c>
      <c r="J227" s="600"/>
    </row>
    <row r="228" spans="1:10" s="263" customFormat="1" ht="3.95" customHeight="1" x14ac:dyDescent="0.25">
      <c r="A228" s="265"/>
      <c r="B228" s="597"/>
      <c r="C228" s="597"/>
      <c r="D228" s="597"/>
      <c r="E228" s="597"/>
      <c r="F228" s="597"/>
      <c r="G228" s="597"/>
      <c r="H228" s="597"/>
      <c r="I228" s="597"/>
      <c r="J228" s="600"/>
    </row>
    <row r="229" spans="1:10" s="263" customFormat="1" ht="9" customHeight="1" x14ac:dyDescent="0.25">
      <c r="A229" s="263" t="s">
        <v>23</v>
      </c>
      <c r="B229" s="598">
        <f>SUM(D229:I229)</f>
        <v>17</v>
      </c>
      <c r="C229" s="598"/>
      <c r="D229" s="263">
        <v>3</v>
      </c>
      <c r="E229" s="263">
        <v>6</v>
      </c>
      <c r="F229" s="263">
        <v>2</v>
      </c>
      <c r="G229" s="263">
        <v>3</v>
      </c>
      <c r="H229" s="263">
        <v>2</v>
      </c>
      <c r="I229" s="263">
        <v>1</v>
      </c>
    </row>
    <row r="230" spans="1:10" s="263" customFormat="1" ht="9" customHeight="1" x14ac:dyDescent="0.25">
      <c r="A230" s="263" t="s">
        <v>24</v>
      </c>
      <c r="B230" s="598" t="s">
        <v>22</v>
      </c>
      <c r="C230" s="598"/>
      <c r="D230" s="598" t="s">
        <v>22</v>
      </c>
      <c r="E230" s="598" t="s">
        <v>22</v>
      </c>
      <c r="F230" s="598" t="s">
        <v>22</v>
      </c>
      <c r="G230" s="598" t="s">
        <v>22</v>
      </c>
      <c r="H230" s="598" t="s">
        <v>22</v>
      </c>
      <c r="I230" s="598" t="s">
        <v>22</v>
      </c>
    </row>
    <row r="231" spans="1:10" s="263" customFormat="1" ht="9" customHeight="1" x14ac:dyDescent="0.25">
      <c r="A231" s="263" t="s">
        <v>25</v>
      </c>
      <c r="B231" s="598">
        <f t="shared" ref="B231:B260" si="13">SUM(D231:I231)</f>
        <v>11</v>
      </c>
      <c r="C231" s="598"/>
      <c r="D231" s="263">
        <v>3</v>
      </c>
      <c r="E231" s="263">
        <v>6</v>
      </c>
      <c r="F231" s="263">
        <v>2</v>
      </c>
      <c r="G231" s="263">
        <v>0</v>
      </c>
      <c r="H231" s="263">
        <v>0</v>
      </c>
      <c r="I231" s="263">
        <v>0</v>
      </c>
    </row>
    <row r="232" spans="1:10" s="263" customFormat="1" ht="9" customHeight="1" x14ac:dyDescent="0.25">
      <c r="A232" s="267" t="s">
        <v>26</v>
      </c>
      <c r="B232" s="599">
        <f t="shared" si="13"/>
        <v>8</v>
      </c>
      <c r="C232" s="599"/>
      <c r="D232" s="267">
        <v>0</v>
      </c>
      <c r="E232" s="267">
        <v>5</v>
      </c>
      <c r="F232" s="267">
        <v>3</v>
      </c>
      <c r="G232" s="267">
        <v>0</v>
      </c>
      <c r="H232" s="267">
        <v>0</v>
      </c>
      <c r="I232" s="267">
        <v>0</v>
      </c>
    </row>
    <row r="233" spans="1:10" s="263" customFormat="1" ht="9" customHeight="1" x14ac:dyDescent="0.25">
      <c r="A233" s="263" t="s">
        <v>27</v>
      </c>
      <c r="B233" s="598">
        <f t="shared" si="13"/>
        <v>34</v>
      </c>
      <c r="C233" s="598"/>
      <c r="D233" s="263">
        <v>8</v>
      </c>
      <c r="E233" s="263">
        <v>13</v>
      </c>
      <c r="F233" s="263">
        <v>2</v>
      </c>
      <c r="G233" s="263">
        <v>8</v>
      </c>
      <c r="H233" s="263">
        <v>2</v>
      </c>
      <c r="I233" s="263">
        <v>1</v>
      </c>
    </row>
    <row r="234" spans="1:10" s="263" customFormat="1" ht="9" customHeight="1" x14ac:dyDescent="0.25">
      <c r="A234" s="263" t="s">
        <v>28</v>
      </c>
      <c r="B234" s="598">
        <f t="shared" si="13"/>
        <v>14</v>
      </c>
      <c r="C234" s="598"/>
      <c r="D234" s="263">
        <v>1</v>
      </c>
      <c r="E234" s="263">
        <v>5</v>
      </c>
      <c r="F234" s="263">
        <v>5</v>
      </c>
      <c r="G234" s="263">
        <v>3</v>
      </c>
      <c r="H234" s="263">
        <v>0</v>
      </c>
      <c r="I234" s="263">
        <v>0</v>
      </c>
    </row>
    <row r="235" spans="1:10" s="263" customFormat="1" ht="9" customHeight="1" x14ac:dyDescent="0.25">
      <c r="A235" s="263" t="s">
        <v>29</v>
      </c>
      <c r="B235" s="598">
        <f t="shared" si="13"/>
        <v>72</v>
      </c>
      <c r="C235" s="598"/>
      <c r="D235" s="263">
        <v>19</v>
      </c>
      <c r="E235" s="263">
        <v>30</v>
      </c>
      <c r="F235" s="263">
        <v>12</v>
      </c>
      <c r="G235" s="263">
        <v>8</v>
      </c>
      <c r="H235" s="263">
        <v>3</v>
      </c>
      <c r="I235" s="263">
        <v>0</v>
      </c>
    </row>
    <row r="236" spans="1:10" s="263" customFormat="1" ht="9" customHeight="1" x14ac:dyDescent="0.25">
      <c r="A236" s="267" t="s">
        <v>30</v>
      </c>
      <c r="B236" s="599">
        <f t="shared" si="13"/>
        <v>54</v>
      </c>
      <c r="C236" s="599"/>
      <c r="D236" s="267">
        <v>10</v>
      </c>
      <c r="E236" s="267">
        <v>16</v>
      </c>
      <c r="F236" s="267">
        <v>9</v>
      </c>
      <c r="G236" s="267">
        <v>7</v>
      </c>
      <c r="H236" s="267">
        <v>7</v>
      </c>
      <c r="I236" s="267">
        <v>5</v>
      </c>
    </row>
    <row r="237" spans="1:10" s="263" customFormat="1" ht="9" customHeight="1" x14ac:dyDescent="0.25">
      <c r="A237" s="263" t="s">
        <v>63</v>
      </c>
      <c r="B237" s="598">
        <f t="shared" si="13"/>
        <v>292</v>
      </c>
      <c r="C237" s="598"/>
      <c r="D237" s="263">
        <v>77</v>
      </c>
      <c r="E237" s="263">
        <v>110</v>
      </c>
      <c r="F237" s="263">
        <v>49</v>
      </c>
      <c r="G237" s="263">
        <v>16</v>
      </c>
      <c r="H237" s="263">
        <v>15</v>
      </c>
      <c r="I237" s="263">
        <v>25</v>
      </c>
    </row>
    <row r="238" spans="1:10" s="263" customFormat="1" ht="9" customHeight="1" x14ac:dyDescent="0.25">
      <c r="A238" s="263" t="s">
        <v>31</v>
      </c>
      <c r="B238" s="598">
        <f t="shared" si="13"/>
        <v>32</v>
      </c>
      <c r="C238" s="598"/>
      <c r="D238" s="263">
        <v>7</v>
      </c>
      <c r="E238" s="263">
        <v>15</v>
      </c>
      <c r="F238" s="263">
        <v>7</v>
      </c>
      <c r="G238" s="263">
        <v>3</v>
      </c>
      <c r="H238" s="263">
        <v>0</v>
      </c>
      <c r="I238" s="263">
        <v>0</v>
      </c>
    </row>
    <row r="239" spans="1:10" s="263" customFormat="1" ht="9" customHeight="1" x14ac:dyDescent="0.25">
      <c r="A239" s="263" t="s">
        <v>32</v>
      </c>
      <c r="B239" s="598">
        <f t="shared" si="13"/>
        <v>209</v>
      </c>
      <c r="C239" s="598"/>
      <c r="D239" s="263">
        <v>40</v>
      </c>
      <c r="E239" s="263">
        <v>93</v>
      </c>
      <c r="F239" s="263">
        <v>49</v>
      </c>
      <c r="G239" s="263">
        <v>14</v>
      </c>
      <c r="H239" s="263">
        <v>12</v>
      </c>
      <c r="I239" s="263">
        <v>1</v>
      </c>
    </row>
    <row r="240" spans="1:10" s="263" customFormat="1" ht="9" customHeight="1" x14ac:dyDescent="0.25">
      <c r="A240" s="267" t="s">
        <v>33</v>
      </c>
      <c r="B240" s="599">
        <f t="shared" si="13"/>
        <v>102</v>
      </c>
      <c r="C240" s="599"/>
      <c r="D240" s="267">
        <v>30</v>
      </c>
      <c r="E240" s="267">
        <v>46</v>
      </c>
      <c r="F240" s="267">
        <v>15</v>
      </c>
      <c r="G240" s="267">
        <v>10</v>
      </c>
      <c r="H240" s="267">
        <v>1</v>
      </c>
      <c r="I240" s="267">
        <v>0</v>
      </c>
    </row>
    <row r="241" spans="1:9" s="263" customFormat="1" ht="9" customHeight="1" x14ac:dyDescent="0.25">
      <c r="A241" s="263" t="s">
        <v>34</v>
      </c>
      <c r="B241" s="598">
        <f t="shared" si="13"/>
        <v>74</v>
      </c>
      <c r="C241" s="598"/>
      <c r="D241" s="263">
        <v>23</v>
      </c>
      <c r="E241" s="263">
        <v>34</v>
      </c>
      <c r="F241" s="263">
        <v>10</v>
      </c>
      <c r="G241" s="263">
        <v>4</v>
      </c>
      <c r="H241" s="263">
        <v>3</v>
      </c>
      <c r="I241" s="263">
        <v>0</v>
      </c>
    </row>
    <row r="242" spans="1:9" s="263" customFormat="1" ht="9" customHeight="1" x14ac:dyDescent="0.25">
      <c r="A242" s="263" t="s">
        <v>35</v>
      </c>
      <c r="B242" s="598">
        <f t="shared" si="13"/>
        <v>152</v>
      </c>
      <c r="C242" s="598"/>
      <c r="D242" s="263">
        <v>27</v>
      </c>
      <c r="E242" s="263">
        <v>58</v>
      </c>
      <c r="F242" s="263">
        <v>21</v>
      </c>
      <c r="G242" s="263">
        <v>28</v>
      </c>
      <c r="H242" s="263">
        <v>11</v>
      </c>
      <c r="I242" s="263">
        <v>7</v>
      </c>
    </row>
    <row r="243" spans="1:9" s="263" customFormat="1" ht="9" customHeight="1" x14ac:dyDescent="0.25">
      <c r="A243" s="263" t="s">
        <v>36</v>
      </c>
      <c r="B243" s="598">
        <f t="shared" si="13"/>
        <v>565</v>
      </c>
      <c r="C243" s="598"/>
      <c r="D243" s="263">
        <v>218</v>
      </c>
      <c r="E243" s="263">
        <v>256</v>
      </c>
      <c r="F243" s="263">
        <v>61</v>
      </c>
      <c r="G243" s="263">
        <v>20</v>
      </c>
      <c r="H243" s="263">
        <v>8</v>
      </c>
      <c r="I243" s="263">
        <v>2</v>
      </c>
    </row>
    <row r="244" spans="1:9" s="263" customFormat="1" ht="9" customHeight="1" x14ac:dyDescent="0.25">
      <c r="A244" s="267" t="s">
        <v>37</v>
      </c>
      <c r="B244" s="599">
        <f t="shared" si="13"/>
        <v>193</v>
      </c>
      <c r="C244" s="599"/>
      <c r="D244" s="267">
        <v>33</v>
      </c>
      <c r="E244" s="267">
        <v>97</v>
      </c>
      <c r="F244" s="267">
        <v>32</v>
      </c>
      <c r="G244" s="267">
        <v>23</v>
      </c>
      <c r="H244" s="267">
        <v>4</v>
      </c>
      <c r="I244" s="267">
        <v>4</v>
      </c>
    </row>
    <row r="245" spans="1:9" s="263" customFormat="1" ht="9" customHeight="1" x14ac:dyDescent="0.25">
      <c r="A245" s="263" t="s">
        <v>38</v>
      </c>
      <c r="B245" s="598">
        <f t="shared" si="13"/>
        <v>72</v>
      </c>
      <c r="C245" s="598"/>
      <c r="D245" s="263">
        <v>36</v>
      </c>
      <c r="E245" s="263">
        <v>26</v>
      </c>
      <c r="F245" s="263">
        <v>5</v>
      </c>
      <c r="G245" s="263">
        <v>3</v>
      </c>
      <c r="H245" s="263">
        <v>2</v>
      </c>
      <c r="I245" s="263">
        <v>0</v>
      </c>
    </row>
    <row r="246" spans="1:9" s="263" customFormat="1" ht="9" customHeight="1" x14ac:dyDescent="0.25">
      <c r="A246" s="263" t="s">
        <v>39</v>
      </c>
      <c r="B246" s="598">
        <f t="shared" si="13"/>
        <v>21</v>
      </c>
      <c r="C246" s="598"/>
      <c r="D246" s="263">
        <v>9</v>
      </c>
      <c r="E246" s="263">
        <v>8</v>
      </c>
      <c r="F246" s="263">
        <v>2</v>
      </c>
      <c r="G246" s="263">
        <v>0</v>
      </c>
      <c r="H246" s="263">
        <v>2</v>
      </c>
      <c r="I246" s="263">
        <v>0</v>
      </c>
    </row>
    <row r="247" spans="1:9" s="263" customFormat="1" ht="9" customHeight="1" x14ac:dyDescent="0.25">
      <c r="A247" s="263" t="s">
        <v>40</v>
      </c>
      <c r="B247" s="598">
        <f t="shared" si="13"/>
        <v>48</v>
      </c>
      <c r="C247" s="598"/>
      <c r="D247" s="263">
        <v>9</v>
      </c>
      <c r="E247" s="263">
        <v>18</v>
      </c>
      <c r="F247" s="263">
        <v>2</v>
      </c>
      <c r="G247" s="263">
        <v>6</v>
      </c>
      <c r="H247" s="263">
        <v>5</v>
      </c>
      <c r="I247" s="263">
        <v>8</v>
      </c>
    </row>
    <row r="248" spans="1:9" s="263" customFormat="1" ht="9" customHeight="1" x14ac:dyDescent="0.25">
      <c r="A248" s="267" t="s">
        <v>41</v>
      </c>
      <c r="B248" s="599">
        <f t="shared" si="13"/>
        <v>87</v>
      </c>
      <c r="C248" s="599"/>
      <c r="D248" s="267">
        <v>27</v>
      </c>
      <c r="E248" s="267">
        <v>34</v>
      </c>
      <c r="F248" s="267">
        <v>15</v>
      </c>
      <c r="G248" s="267">
        <v>10</v>
      </c>
      <c r="H248" s="267">
        <v>1</v>
      </c>
      <c r="I248" s="267">
        <v>0</v>
      </c>
    </row>
    <row r="249" spans="1:9" s="263" customFormat="1" ht="9" customHeight="1" x14ac:dyDescent="0.25">
      <c r="A249" s="263" t="s">
        <v>42</v>
      </c>
      <c r="B249" s="598">
        <f t="shared" si="13"/>
        <v>122</v>
      </c>
      <c r="C249" s="598"/>
      <c r="D249" s="263">
        <v>14</v>
      </c>
      <c r="E249" s="263">
        <v>55</v>
      </c>
      <c r="F249" s="263">
        <v>22</v>
      </c>
      <c r="G249" s="263">
        <v>17</v>
      </c>
      <c r="H249" s="263">
        <v>9</v>
      </c>
      <c r="I249" s="263">
        <v>5</v>
      </c>
    </row>
    <row r="250" spans="1:9" s="263" customFormat="1" ht="9" customHeight="1" x14ac:dyDescent="0.25">
      <c r="A250" s="263" t="s">
        <v>43</v>
      </c>
      <c r="B250" s="598">
        <f t="shared" si="13"/>
        <v>40</v>
      </c>
      <c r="C250" s="598"/>
      <c r="D250" s="263">
        <v>15</v>
      </c>
      <c r="E250" s="263">
        <v>10</v>
      </c>
      <c r="F250" s="263">
        <v>6</v>
      </c>
      <c r="G250" s="263">
        <v>4</v>
      </c>
      <c r="H250" s="263">
        <v>5</v>
      </c>
      <c r="I250" s="263">
        <v>0</v>
      </c>
    </row>
    <row r="251" spans="1:9" s="263" customFormat="1" ht="9" customHeight="1" x14ac:dyDescent="0.25">
      <c r="A251" s="263" t="s">
        <v>44</v>
      </c>
      <c r="B251" s="598">
        <f t="shared" si="13"/>
        <v>38</v>
      </c>
      <c r="C251" s="598"/>
      <c r="D251" s="263">
        <v>19</v>
      </c>
      <c r="E251" s="263">
        <v>13</v>
      </c>
      <c r="F251" s="263">
        <v>3</v>
      </c>
      <c r="G251" s="263">
        <v>3</v>
      </c>
      <c r="H251" s="263">
        <v>0</v>
      </c>
      <c r="I251" s="263">
        <v>0</v>
      </c>
    </row>
    <row r="252" spans="1:9" s="263" customFormat="1" ht="9" customHeight="1" x14ac:dyDescent="0.25">
      <c r="A252" s="267" t="s">
        <v>45</v>
      </c>
      <c r="B252" s="599">
        <f t="shared" si="13"/>
        <v>39</v>
      </c>
      <c r="C252" s="599"/>
      <c r="D252" s="267">
        <v>11</v>
      </c>
      <c r="E252" s="267">
        <v>10</v>
      </c>
      <c r="F252" s="267">
        <v>7</v>
      </c>
      <c r="G252" s="267">
        <v>6</v>
      </c>
      <c r="H252" s="267">
        <v>2</v>
      </c>
      <c r="I252" s="267">
        <v>3</v>
      </c>
    </row>
    <row r="253" spans="1:9" s="263" customFormat="1" ht="9" customHeight="1" x14ac:dyDescent="0.25">
      <c r="A253" s="263" t="s">
        <v>46</v>
      </c>
      <c r="B253" s="598">
        <f t="shared" si="13"/>
        <v>70</v>
      </c>
      <c r="C253" s="598"/>
      <c r="D253" s="263">
        <v>24</v>
      </c>
      <c r="E253" s="263">
        <v>26</v>
      </c>
      <c r="F253" s="263">
        <v>8</v>
      </c>
      <c r="G253" s="263">
        <v>8</v>
      </c>
      <c r="H253" s="263">
        <v>4</v>
      </c>
      <c r="I253" s="263">
        <v>0</v>
      </c>
    </row>
    <row r="254" spans="1:9" s="263" customFormat="1" ht="9" customHeight="1" x14ac:dyDescent="0.25">
      <c r="A254" s="263" t="s">
        <v>47</v>
      </c>
      <c r="B254" s="598">
        <f t="shared" si="13"/>
        <v>50</v>
      </c>
      <c r="C254" s="598"/>
      <c r="D254" s="263">
        <v>9</v>
      </c>
      <c r="E254" s="263">
        <v>18</v>
      </c>
      <c r="F254" s="263">
        <v>13</v>
      </c>
      <c r="G254" s="263">
        <v>4</v>
      </c>
      <c r="H254" s="263">
        <v>5</v>
      </c>
      <c r="I254" s="263">
        <v>1</v>
      </c>
    </row>
    <row r="255" spans="1:9" s="263" customFormat="1" ht="9" customHeight="1" x14ac:dyDescent="0.25">
      <c r="A255" s="263" t="s">
        <v>48</v>
      </c>
      <c r="B255" s="598">
        <f t="shared" si="13"/>
        <v>50</v>
      </c>
      <c r="C255" s="598"/>
      <c r="D255" s="263">
        <v>20</v>
      </c>
      <c r="E255" s="263">
        <v>22</v>
      </c>
      <c r="F255" s="263">
        <v>4</v>
      </c>
      <c r="G255" s="263">
        <v>3</v>
      </c>
      <c r="H255" s="263">
        <v>1</v>
      </c>
      <c r="I255" s="263">
        <v>0</v>
      </c>
    </row>
    <row r="256" spans="1:9" s="263" customFormat="1" ht="9" customHeight="1" x14ac:dyDescent="0.25">
      <c r="A256" s="267" t="s">
        <v>49</v>
      </c>
      <c r="B256" s="599">
        <f t="shared" si="13"/>
        <v>76</v>
      </c>
      <c r="C256" s="599"/>
      <c r="D256" s="267">
        <v>21</v>
      </c>
      <c r="E256" s="267">
        <v>27</v>
      </c>
      <c r="F256" s="267">
        <v>15</v>
      </c>
      <c r="G256" s="267">
        <v>6</v>
      </c>
      <c r="H256" s="267">
        <v>5</v>
      </c>
      <c r="I256" s="267">
        <v>2</v>
      </c>
    </row>
    <row r="257" spans="1:10" s="263" customFormat="1" ht="9" customHeight="1" x14ac:dyDescent="0.25">
      <c r="A257" s="263" t="s">
        <v>50</v>
      </c>
      <c r="B257" s="598">
        <f t="shared" si="13"/>
        <v>44</v>
      </c>
      <c r="C257" s="598"/>
      <c r="D257" s="263">
        <v>20</v>
      </c>
      <c r="E257" s="263">
        <v>16</v>
      </c>
      <c r="F257" s="263">
        <v>5</v>
      </c>
      <c r="G257" s="263">
        <v>3</v>
      </c>
      <c r="H257" s="263">
        <v>0</v>
      </c>
      <c r="I257" s="263">
        <v>0</v>
      </c>
    </row>
    <row r="258" spans="1:10" s="263" customFormat="1" ht="9" customHeight="1" x14ac:dyDescent="0.25">
      <c r="A258" s="263" t="s">
        <v>51</v>
      </c>
      <c r="B258" s="598">
        <f t="shared" si="13"/>
        <v>162</v>
      </c>
      <c r="C258" s="598"/>
      <c r="D258" s="263">
        <v>44</v>
      </c>
      <c r="E258" s="263">
        <v>76</v>
      </c>
      <c r="F258" s="263">
        <v>25</v>
      </c>
      <c r="G258" s="263">
        <v>13</v>
      </c>
      <c r="H258" s="263">
        <v>3</v>
      </c>
      <c r="I258" s="263">
        <v>1</v>
      </c>
    </row>
    <row r="259" spans="1:10" s="263" customFormat="1" ht="9" customHeight="1" x14ac:dyDescent="0.25">
      <c r="A259" s="263" t="s">
        <v>52</v>
      </c>
      <c r="B259" s="598">
        <f t="shared" si="13"/>
        <v>41</v>
      </c>
      <c r="C259" s="598"/>
      <c r="D259" s="263">
        <v>11</v>
      </c>
      <c r="E259" s="263">
        <v>18</v>
      </c>
      <c r="F259" s="263">
        <v>5</v>
      </c>
      <c r="G259" s="263">
        <v>4</v>
      </c>
      <c r="H259" s="263">
        <v>1</v>
      </c>
      <c r="I259" s="263">
        <v>2</v>
      </c>
    </row>
    <row r="260" spans="1:10" s="263" customFormat="1" ht="9" customHeight="1" x14ac:dyDescent="0.25">
      <c r="A260" s="267" t="s">
        <v>53</v>
      </c>
      <c r="B260" s="599">
        <f t="shared" si="13"/>
        <v>33</v>
      </c>
      <c r="C260" s="599"/>
      <c r="D260" s="267">
        <v>4</v>
      </c>
      <c r="E260" s="267">
        <v>15</v>
      </c>
      <c r="F260" s="267">
        <v>9</v>
      </c>
      <c r="G260" s="267">
        <v>3</v>
      </c>
      <c r="H260" s="267">
        <v>1</v>
      </c>
      <c r="I260" s="267">
        <v>1</v>
      </c>
    </row>
    <row r="261" spans="1:10" ht="9" customHeight="1" x14ac:dyDescent="0.25">
      <c r="A261" s="259"/>
      <c r="B261" s="259"/>
      <c r="C261" s="259"/>
      <c r="D261" s="259"/>
      <c r="E261" s="259"/>
      <c r="F261" s="259"/>
      <c r="G261" s="259"/>
      <c r="H261" s="259"/>
      <c r="I261" s="259"/>
    </row>
    <row r="262" spans="1:10" s="263" customFormat="1" ht="9" customHeight="1" x14ac:dyDescent="0.25">
      <c r="A262" s="261">
        <v>2002</v>
      </c>
      <c r="B262" s="262"/>
      <c r="C262" s="262"/>
      <c r="D262" s="262"/>
      <c r="E262" s="262"/>
      <c r="F262" s="262"/>
      <c r="G262" s="262"/>
      <c r="H262" s="262"/>
      <c r="I262" s="262"/>
    </row>
    <row r="263" spans="1:10" s="263" customFormat="1" ht="9" customHeight="1" x14ac:dyDescent="0.25">
      <c r="A263" s="265" t="s">
        <v>21</v>
      </c>
      <c r="B263" s="597">
        <f t="shared" ref="B263:H263" si="14">SUM(B265:B296)</f>
        <v>3055</v>
      </c>
      <c r="C263" s="597"/>
      <c r="D263" s="597">
        <f t="shared" si="14"/>
        <v>820</v>
      </c>
      <c r="E263" s="597">
        <f t="shared" si="14"/>
        <v>1304</v>
      </c>
      <c r="F263" s="597">
        <f t="shared" si="14"/>
        <v>473</v>
      </c>
      <c r="G263" s="597">
        <f t="shared" si="14"/>
        <v>256</v>
      </c>
      <c r="H263" s="597">
        <f t="shared" si="14"/>
        <v>126</v>
      </c>
      <c r="I263" s="597">
        <f>SUM(I265:I296)</f>
        <v>76</v>
      </c>
      <c r="J263" s="600"/>
    </row>
    <row r="264" spans="1:10" s="263" customFormat="1" ht="3.95" customHeight="1" x14ac:dyDescent="0.25">
      <c r="A264" s="265"/>
      <c r="B264" s="597"/>
      <c r="C264" s="597"/>
      <c r="D264" s="597"/>
      <c r="E264" s="597"/>
      <c r="F264" s="597"/>
      <c r="G264" s="597"/>
      <c r="H264" s="597"/>
      <c r="I264" s="597"/>
      <c r="J264" s="600"/>
    </row>
    <row r="265" spans="1:10" s="263" customFormat="1" ht="9" customHeight="1" x14ac:dyDescent="0.25">
      <c r="A265" s="263" t="s">
        <v>23</v>
      </c>
      <c r="B265" s="598">
        <f t="shared" ref="B265:B296" si="15">SUM(D265:I265)</f>
        <v>18</v>
      </c>
      <c r="C265" s="598"/>
      <c r="D265" s="263">
        <v>3</v>
      </c>
      <c r="E265" s="263">
        <v>6</v>
      </c>
      <c r="F265" s="263">
        <v>4</v>
      </c>
      <c r="G265" s="263">
        <v>2</v>
      </c>
      <c r="H265" s="263">
        <v>2</v>
      </c>
      <c r="I265" s="263">
        <v>1</v>
      </c>
    </row>
    <row r="266" spans="1:10" s="263" customFormat="1" ht="9" customHeight="1" x14ac:dyDescent="0.25">
      <c r="A266" s="263" t="s">
        <v>24</v>
      </c>
      <c r="B266" s="598">
        <f t="shared" si="15"/>
        <v>149</v>
      </c>
      <c r="C266" s="598"/>
      <c r="D266" s="598">
        <v>44</v>
      </c>
      <c r="E266" s="598">
        <v>69</v>
      </c>
      <c r="F266" s="598">
        <v>14</v>
      </c>
      <c r="G266" s="598">
        <v>15</v>
      </c>
      <c r="H266" s="598">
        <v>7</v>
      </c>
      <c r="I266" s="598">
        <v>0</v>
      </c>
    </row>
    <row r="267" spans="1:10" s="263" customFormat="1" ht="9" customHeight="1" x14ac:dyDescent="0.25">
      <c r="A267" s="263" t="s">
        <v>25</v>
      </c>
      <c r="B267" s="598">
        <f t="shared" si="15"/>
        <v>11</v>
      </c>
      <c r="C267" s="598"/>
      <c r="D267" s="263">
        <v>1</v>
      </c>
      <c r="E267" s="263">
        <v>8</v>
      </c>
      <c r="F267" s="263">
        <v>2</v>
      </c>
      <c r="G267" s="263">
        <v>0</v>
      </c>
      <c r="H267" s="263">
        <v>0</v>
      </c>
      <c r="I267" s="263">
        <v>0</v>
      </c>
    </row>
    <row r="268" spans="1:10" s="263" customFormat="1" ht="9" customHeight="1" x14ac:dyDescent="0.25">
      <c r="A268" s="267" t="s">
        <v>26</v>
      </c>
      <c r="B268" s="599">
        <f t="shared" si="15"/>
        <v>8</v>
      </c>
      <c r="C268" s="599"/>
      <c r="D268" s="267">
        <v>1</v>
      </c>
      <c r="E268" s="267">
        <v>5</v>
      </c>
      <c r="F268" s="267">
        <v>2</v>
      </c>
      <c r="G268" s="267">
        <v>0</v>
      </c>
      <c r="H268" s="267">
        <v>0</v>
      </c>
      <c r="I268" s="267">
        <v>0</v>
      </c>
    </row>
    <row r="269" spans="1:10" s="263" customFormat="1" ht="9" customHeight="1" x14ac:dyDescent="0.25">
      <c r="A269" s="263" t="s">
        <v>27</v>
      </c>
      <c r="B269" s="598">
        <f t="shared" si="15"/>
        <v>35</v>
      </c>
      <c r="C269" s="598"/>
      <c r="D269" s="263">
        <v>7</v>
      </c>
      <c r="E269" s="263">
        <v>13</v>
      </c>
      <c r="F269" s="263">
        <v>4</v>
      </c>
      <c r="G269" s="263">
        <v>5</v>
      </c>
      <c r="H269" s="263">
        <v>5</v>
      </c>
      <c r="I269" s="263">
        <v>1</v>
      </c>
    </row>
    <row r="270" spans="1:10" s="263" customFormat="1" ht="9" customHeight="1" x14ac:dyDescent="0.25">
      <c r="A270" s="263" t="s">
        <v>28</v>
      </c>
      <c r="B270" s="598">
        <f t="shared" si="15"/>
        <v>13</v>
      </c>
      <c r="C270" s="598"/>
      <c r="D270" s="263">
        <v>1</v>
      </c>
      <c r="E270" s="263">
        <v>7</v>
      </c>
      <c r="F270" s="263">
        <v>3</v>
      </c>
      <c r="G270" s="263">
        <v>2</v>
      </c>
      <c r="H270" s="263">
        <v>0</v>
      </c>
      <c r="I270" s="263">
        <v>0</v>
      </c>
    </row>
    <row r="271" spans="1:10" s="263" customFormat="1" ht="9" customHeight="1" x14ac:dyDescent="0.25">
      <c r="A271" s="263" t="s">
        <v>29</v>
      </c>
      <c r="B271" s="598">
        <f t="shared" si="15"/>
        <v>66</v>
      </c>
      <c r="C271" s="598"/>
      <c r="D271" s="263">
        <v>17</v>
      </c>
      <c r="E271" s="263">
        <v>29</v>
      </c>
      <c r="F271" s="263">
        <v>11</v>
      </c>
      <c r="G271" s="263">
        <v>7</v>
      </c>
      <c r="H271" s="263">
        <v>1</v>
      </c>
      <c r="I271" s="263">
        <v>1</v>
      </c>
    </row>
    <row r="272" spans="1:10" s="263" customFormat="1" ht="9" customHeight="1" x14ac:dyDescent="0.25">
      <c r="A272" s="267" t="s">
        <v>30</v>
      </c>
      <c r="B272" s="599">
        <f t="shared" si="15"/>
        <v>55</v>
      </c>
      <c r="C272" s="599"/>
      <c r="D272" s="267">
        <v>9</v>
      </c>
      <c r="E272" s="267">
        <v>14</v>
      </c>
      <c r="F272" s="267">
        <v>13</v>
      </c>
      <c r="G272" s="267">
        <v>7</v>
      </c>
      <c r="H272" s="267">
        <v>5</v>
      </c>
      <c r="I272" s="267">
        <v>7</v>
      </c>
    </row>
    <row r="273" spans="1:9" s="263" customFormat="1" ht="9" customHeight="1" x14ac:dyDescent="0.25">
      <c r="A273" s="263" t="s">
        <v>63</v>
      </c>
      <c r="B273" s="598">
        <f t="shared" si="15"/>
        <v>314</v>
      </c>
      <c r="C273" s="598"/>
      <c r="D273" s="263">
        <v>76</v>
      </c>
      <c r="E273" s="263">
        <v>127</v>
      </c>
      <c r="F273" s="263">
        <v>51</v>
      </c>
      <c r="G273" s="263">
        <v>20</v>
      </c>
      <c r="H273" s="263">
        <v>16</v>
      </c>
      <c r="I273" s="263">
        <v>24</v>
      </c>
    </row>
    <row r="274" spans="1:9" s="263" customFormat="1" ht="9" customHeight="1" x14ac:dyDescent="0.25">
      <c r="A274" s="263" t="s">
        <v>31</v>
      </c>
      <c r="B274" s="598">
        <f t="shared" si="15"/>
        <v>34</v>
      </c>
      <c r="C274" s="598"/>
      <c r="D274" s="263">
        <v>8</v>
      </c>
      <c r="E274" s="263">
        <v>14</v>
      </c>
      <c r="F274" s="263">
        <v>9</v>
      </c>
      <c r="G274" s="263">
        <v>3</v>
      </c>
      <c r="H274" s="263">
        <v>0</v>
      </c>
      <c r="I274" s="263">
        <v>0</v>
      </c>
    </row>
    <row r="275" spans="1:9" s="263" customFormat="1" ht="9" customHeight="1" x14ac:dyDescent="0.25">
      <c r="A275" s="263" t="s">
        <v>32</v>
      </c>
      <c r="B275" s="598">
        <f t="shared" si="15"/>
        <v>225</v>
      </c>
      <c r="C275" s="598"/>
      <c r="D275" s="263">
        <v>34</v>
      </c>
      <c r="E275" s="263">
        <v>113</v>
      </c>
      <c r="F275" s="263">
        <v>52</v>
      </c>
      <c r="G275" s="263">
        <v>15</v>
      </c>
      <c r="H275" s="263">
        <v>9</v>
      </c>
      <c r="I275" s="263">
        <v>2</v>
      </c>
    </row>
    <row r="276" spans="1:9" s="263" customFormat="1" ht="9" customHeight="1" x14ac:dyDescent="0.25">
      <c r="A276" s="267" t="s">
        <v>33</v>
      </c>
      <c r="B276" s="599">
        <f t="shared" si="15"/>
        <v>104</v>
      </c>
      <c r="C276" s="599"/>
      <c r="D276" s="267">
        <v>32</v>
      </c>
      <c r="E276" s="267">
        <v>48</v>
      </c>
      <c r="F276" s="267">
        <v>13</v>
      </c>
      <c r="G276" s="267">
        <v>10</v>
      </c>
      <c r="H276" s="267">
        <v>1</v>
      </c>
      <c r="I276" s="267">
        <v>0</v>
      </c>
    </row>
    <row r="277" spans="1:9" s="263" customFormat="1" ht="9" customHeight="1" x14ac:dyDescent="0.25">
      <c r="A277" s="263" t="s">
        <v>34</v>
      </c>
      <c r="B277" s="598">
        <f t="shared" si="15"/>
        <v>77</v>
      </c>
      <c r="C277" s="598"/>
      <c r="D277" s="263">
        <v>27</v>
      </c>
      <c r="E277" s="263">
        <v>37</v>
      </c>
      <c r="F277" s="263">
        <v>7</v>
      </c>
      <c r="G277" s="263">
        <v>3</v>
      </c>
      <c r="H277" s="263">
        <v>3</v>
      </c>
      <c r="I277" s="263">
        <v>0</v>
      </c>
    </row>
    <row r="278" spans="1:9" s="263" customFormat="1" ht="9" customHeight="1" x14ac:dyDescent="0.25">
      <c r="A278" s="263" t="s">
        <v>35</v>
      </c>
      <c r="B278" s="598">
        <f t="shared" si="15"/>
        <v>170</v>
      </c>
      <c r="C278" s="598"/>
      <c r="D278" s="263">
        <v>30</v>
      </c>
      <c r="E278" s="263">
        <v>57</v>
      </c>
      <c r="F278" s="263">
        <v>32</v>
      </c>
      <c r="G278" s="263">
        <v>29</v>
      </c>
      <c r="H278" s="263">
        <v>14</v>
      </c>
      <c r="I278" s="263">
        <v>8</v>
      </c>
    </row>
    <row r="279" spans="1:9" s="263" customFormat="1" ht="9" customHeight="1" x14ac:dyDescent="0.25">
      <c r="A279" s="263" t="s">
        <v>36</v>
      </c>
      <c r="B279" s="598">
        <f t="shared" si="15"/>
        <v>568</v>
      </c>
      <c r="C279" s="598"/>
      <c r="D279" s="263">
        <v>217</v>
      </c>
      <c r="E279" s="263">
        <v>249</v>
      </c>
      <c r="F279" s="263">
        <v>63</v>
      </c>
      <c r="G279" s="263">
        <v>25</v>
      </c>
      <c r="H279" s="263">
        <v>11</v>
      </c>
      <c r="I279" s="263">
        <v>3</v>
      </c>
    </row>
    <row r="280" spans="1:9" s="263" customFormat="1" ht="9" customHeight="1" x14ac:dyDescent="0.25">
      <c r="A280" s="267" t="s">
        <v>37</v>
      </c>
      <c r="B280" s="599">
        <f t="shared" si="15"/>
        <v>195</v>
      </c>
      <c r="C280" s="599"/>
      <c r="D280" s="267">
        <v>34</v>
      </c>
      <c r="E280" s="267">
        <v>94</v>
      </c>
      <c r="F280" s="267">
        <v>36</v>
      </c>
      <c r="G280" s="267">
        <v>22</v>
      </c>
      <c r="H280" s="267">
        <v>5</v>
      </c>
      <c r="I280" s="267">
        <v>4</v>
      </c>
    </row>
    <row r="281" spans="1:9" s="263" customFormat="1" ht="9" customHeight="1" x14ac:dyDescent="0.25">
      <c r="A281" s="263" t="s">
        <v>38</v>
      </c>
      <c r="B281" s="598">
        <f t="shared" si="15"/>
        <v>72</v>
      </c>
      <c r="C281" s="598"/>
      <c r="D281" s="263">
        <v>31</v>
      </c>
      <c r="E281" s="263">
        <v>32</v>
      </c>
      <c r="F281" s="263">
        <v>4</v>
      </c>
      <c r="G281" s="263">
        <v>4</v>
      </c>
      <c r="H281" s="263">
        <v>1</v>
      </c>
      <c r="I281" s="263">
        <v>0</v>
      </c>
    </row>
    <row r="282" spans="1:9" s="263" customFormat="1" ht="9" customHeight="1" x14ac:dyDescent="0.25">
      <c r="A282" s="263" t="s">
        <v>39</v>
      </c>
      <c r="B282" s="598">
        <f t="shared" si="15"/>
        <v>21</v>
      </c>
      <c r="C282" s="598"/>
      <c r="D282" s="263">
        <v>9</v>
      </c>
      <c r="E282" s="263">
        <v>7</v>
      </c>
      <c r="F282" s="263">
        <v>3</v>
      </c>
      <c r="G282" s="263">
        <v>0</v>
      </c>
      <c r="H282" s="263">
        <v>2</v>
      </c>
      <c r="I282" s="263">
        <v>0</v>
      </c>
    </row>
    <row r="283" spans="1:9" s="263" customFormat="1" ht="9" customHeight="1" x14ac:dyDescent="0.25">
      <c r="A283" s="263" t="s">
        <v>40</v>
      </c>
      <c r="B283" s="598">
        <f t="shared" si="15"/>
        <v>53</v>
      </c>
      <c r="C283" s="598"/>
      <c r="D283" s="263">
        <v>11</v>
      </c>
      <c r="E283" s="263">
        <v>16</v>
      </c>
      <c r="F283" s="263">
        <v>5</v>
      </c>
      <c r="G283" s="263">
        <v>5</v>
      </c>
      <c r="H283" s="263">
        <v>8</v>
      </c>
      <c r="I283" s="263">
        <v>8</v>
      </c>
    </row>
    <row r="284" spans="1:9" s="263" customFormat="1" ht="9" customHeight="1" x14ac:dyDescent="0.25">
      <c r="A284" s="267" t="s">
        <v>41</v>
      </c>
      <c r="B284" s="599">
        <f t="shared" si="15"/>
        <v>83</v>
      </c>
      <c r="C284" s="599"/>
      <c r="D284" s="267">
        <v>23</v>
      </c>
      <c r="E284" s="267">
        <v>38</v>
      </c>
      <c r="F284" s="267">
        <v>16</v>
      </c>
      <c r="G284" s="267">
        <v>4</v>
      </c>
      <c r="H284" s="267">
        <v>2</v>
      </c>
      <c r="I284" s="267">
        <v>0</v>
      </c>
    </row>
    <row r="285" spans="1:9" s="263" customFormat="1" ht="9" customHeight="1" x14ac:dyDescent="0.25">
      <c r="A285" s="263" t="s">
        <v>42</v>
      </c>
      <c r="B285" s="598">
        <f t="shared" si="15"/>
        <v>130</v>
      </c>
      <c r="C285" s="598"/>
      <c r="D285" s="263">
        <v>13</v>
      </c>
      <c r="E285" s="263">
        <v>65</v>
      </c>
      <c r="F285" s="263">
        <v>22</v>
      </c>
      <c r="G285" s="263">
        <v>16</v>
      </c>
      <c r="H285" s="263">
        <v>8</v>
      </c>
      <c r="I285" s="263">
        <v>6</v>
      </c>
    </row>
    <row r="286" spans="1:9" s="263" customFormat="1" ht="9" customHeight="1" x14ac:dyDescent="0.25">
      <c r="A286" s="263" t="s">
        <v>43</v>
      </c>
      <c r="B286" s="598">
        <f t="shared" si="15"/>
        <v>51</v>
      </c>
      <c r="C286" s="598"/>
      <c r="D286" s="263">
        <v>20</v>
      </c>
      <c r="E286" s="263">
        <v>14</v>
      </c>
      <c r="F286" s="263">
        <v>7</v>
      </c>
      <c r="G286" s="263">
        <v>6</v>
      </c>
      <c r="H286" s="263">
        <v>3</v>
      </c>
      <c r="I286" s="263">
        <v>1</v>
      </c>
    </row>
    <row r="287" spans="1:9" s="263" customFormat="1" ht="9" customHeight="1" x14ac:dyDescent="0.25">
      <c r="A287" s="263" t="s">
        <v>44</v>
      </c>
      <c r="B287" s="598">
        <f t="shared" si="15"/>
        <v>37</v>
      </c>
      <c r="C287" s="598"/>
      <c r="D287" s="263">
        <v>18</v>
      </c>
      <c r="E287" s="263">
        <v>12</v>
      </c>
      <c r="F287" s="263">
        <v>5</v>
      </c>
      <c r="G287" s="263">
        <v>2</v>
      </c>
      <c r="H287" s="263">
        <v>0</v>
      </c>
      <c r="I287" s="263">
        <v>0</v>
      </c>
    </row>
    <row r="288" spans="1:9" s="263" customFormat="1" ht="9" customHeight="1" x14ac:dyDescent="0.25">
      <c r="A288" s="267" t="s">
        <v>45</v>
      </c>
      <c r="B288" s="599">
        <f t="shared" si="15"/>
        <v>41</v>
      </c>
      <c r="C288" s="599"/>
      <c r="D288" s="267">
        <v>11</v>
      </c>
      <c r="E288" s="267">
        <v>11</v>
      </c>
      <c r="F288" s="267">
        <v>9</v>
      </c>
      <c r="G288" s="267">
        <v>5</v>
      </c>
      <c r="H288" s="267">
        <v>2</v>
      </c>
      <c r="I288" s="267">
        <v>3</v>
      </c>
    </row>
    <row r="289" spans="1:10" s="263" customFormat="1" ht="9" customHeight="1" x14ac:dyDescent="0.25">
      <c r="A289" s="263" t="s">
        <v>46</v>
      </c>
      <c r="B289" s="598">
        <f t="shared" si="15"/>
        <v>69</v>
      </c>
      <c r="C289" s="598"/>
      <c r="D289" s="263">
        <v>21</v>
      </c>
      <c r="E289" s="263">
        <v>27</v>
      </c>
      <c r="F289" s="263">
        <v>9</v>
      </c>
      <c r="G289" s="263">
        <v>8</v>
      </c>
      <c r="H289" s="263">
        <v>4</v>
      </c>
      <c r="I289" s="263">
        <v>0</v>
      </c>
    </row>
    <row r="290" spans="1:10" s="263" customFormat="1" ht="9" customHeight="1" x14ac:dyDescent="0.25">
      <c r="A290" s="263" t="s">
        <v>47</v>
      </c>
      <c r="B290" s="598">
        <f t="shared" si="15"/>
        <v>53</v>
      </c>
      <c r="C290" s="598"/>
      <c r="D290" s="263">
        <v>12</v>
      </c>
      <c r="E290" s="263">
        <v>20</v>
      </c>
      <c r="F290" s="263">
        <v>10</v>
      </c>
      <c r="G290" s="263">
        <v>5</v>
      </c>
      <c r="H290" s="263">
        <v>6</v>
      </c>
      <c r="I290" s="263">
        <v>0</v>
      </c>
    </row>
    <row r="291" spans="1:10" s="263" customFormat="1" ht="9" customHeight="1" x14ac:dyDescent="0.25">
      <c r="A291" s="263" t="s">
        <v>48</v>
      </c>
      <c r="B291" s="598">
        <f t="shared" si="15"/>
        <v>56</v>
      </c>
      <c r="C291" s="598"/>
      <c r="D291" s="263">
        <v>21</v>
      </c>
      <c r="E291" s="263">
        <v>23</v>
      </c>
      <c r="F291" s="263">
        <v>9</v>
      </c>
      <c r="G291" s="263">
        <v>1</v>
      </c>
      <c r="H291" s="263">
        <v>1</v>
      </c>
      <c r="I291" s="263">
        <v>1</v>
      </c>
    </row>
    <row r="292" spans="1:10" s="263" customFormat="1" ht="9" customHeight="1" x14ac:dyDescent="0.25">
      <c r="A292" s="267" t="s">
        <v>49</v>
      </c>
      <c r="B292" s="599">
        <f t="shared" si="15"/>
        <v>72</v>
      </c>
      <c r="C292" s="599"/>
      <c r="D292" s="267">
        <v>14</v>
      </c>
      <c r="E292" s="267">
        <v>27</v>
      </c>
      <c r="F292" s="267">
        <v>14</v>
      </c>
      <c r="G292" s="267">
        <v>11</v>
      </c>
      <c r="H292" s="267">
        <v>5</v>
      </c>
      <c r="I292" s="267">
        <v>1</v>
      </c>
    </row>
    <row r="293" spans="1:10" s="263" customFormat="1" ht="9" customHeight="1" x14ac:dyDescent="0.25">
      <c r="A293" s="263" t="s">
        <v>50</v>
      </c>
      <c r="B293" s="598">
        <f t="shared" si="15"/>
        <v>41</v>
      </c>
      <c r="C293" s="598"/>
      <c r="D293" s="263">
        <v>17</v>
      </c>
      <c r="E293" s="263">
        <v>15</v>
      </c>
      <c r="F293" s="263">
        <v>7</v>
      </c>
      <c r="G293" s="263">
        <v>2</v>
      </c>
      <c r="H293" s="263">
        <v>0</v>
      </c>
      <c r="I293" s="263">
        <v>0</v>
      </c>
    </row>
    <row r="294" spans="1:10" s="263" customFormat="1" ht="9" customHeight="1" x14ac:dyDescent="0.25">
      <c r="A294" s="263" t="s">
        <v>51</v>
      </c>
      <c r="B294" s="598">
        <f t="shared" si="15"/>
        <v>163</v>
      </c>
      <c r="C294" s="598"/>
      <c r="D294" s="263">
        <v>41</v>
      </c>
      <c r="E294" s="263">
        <v>78</v>
      </c>
      <c r="F294" s="263">
        <v>27</v>
      </c>
      <c r="G294" s="263">
        <v>13</v>
      </c>
      <c r="H294" s="263">
        <v>3</v>
      </c>
      <c r="I294" s="263">
        <v>1</v>
      </c>
    </row>
    <row r="295" spans="1:10" s="263" customFormat="1" ht="9" customHeight="1" x14ac:dyDescent="0.25">
      <c r="A295" s="263" t="s">
        <v>52</v>
      </c>
      <c r="B295" s="598">
        <f t="shared" si="15"/>
        <v>39</v>
      </c>
      <c r="C295" s="598"/>
      <c r="D295" s="263">
        <v>13</v>
      </c>
      <c r="E295" s="263">
        <v>15</v>
      </c>
      <c r="F295" s="263">
        <v>3</v>
      </c>
      <c r="G295" s="263">
        <v>5</v>
      </c>
      <c r="H295" s="263">
        <v>1</v>
      </c>
      <c r="I295" s="263">
        <v>2</v>
      </c>
    </row>
    <row r="296" spans="1:10" s="263" customFormat="1" ht="9" customHeight="1" x14ac:dyDescent="0.25">
      <c r="A296" s="267" t="s">
        <v>53</v>
      </c>
      <c r="B296" s="599">
        <f t="shared" si="15"/>
        <v>32</v>
      </c>
      <c r="C296" s="599"/>
      <c r="D296" s="267">
        <v>4</v>
      </c>
      <c r="E296" s="267">
        <v>14</v>
      </c>
      <c r="F296" s="267">
        <v>7</v>
      </c>
      <c r="G296" s="267">
        <v>4</v>
      </c>
      <c r="H296" s="267">
        <v>1</v>
      </c>
      <c r="I296" s="267">
        <v>2</v>
      </c>
    </row>
    <row r="297" spans="1:10" s="263" customFormat="1" ht="9" customHeight="1" x14ac:dyDescent="0.25">
      <c r="A297" s="286"/>
      <c r="B297" s="613"/>
      <c r="C297" s="613"/>
      <c r="D297" s="286"/>
      <c r="E297" s="286"/>
      <c r="F297" s="286"/>
      <c r="G297" s="286"/>
      <c r="H297" s="286"/>
      <c r="I297" s="286"/>
    </row>
    <row r="298" spans="1:10" s="263" customFormat="1" ht="9" customHeight="1" x14ac:dyDescent="0.25">
      <c r="A298" s="261">
        <v>2003</v>
      </c>
      <c r="B298" s="262"/>
      <c r="C298" s="262"/>
      <c r="D298" s="262"/>
      <c r="E298" s="262"/>
      <c r="F298" s="262"/>
      <c r="G298" s="262"/>
      <c r="H298" s="262"/>
      <c r="I298" s="262"/>
    </row>
    <row r="299" spans="1:10" s="263" customFormat="1" ht="9" customHeight="1" x14ac:dyDescent="0.25">
      <c r="A299" s="265" t="s">
        <v>21</v>
      </c>
      <c r="B299" s="597">
        <f>SUM(D301:I332)</f>
        <v>3039</v>
      </c>
      <c r="C299" s="597"/>
      <c r="D299" s="597">
        <f t="shared" ref="D299:I299" si="16">SUM(D301:D332)</f>
        <v>794</v>
      </c>
      <c r="E299" s="597">
        <f t="shared" si="16"/>
        <v>1309</v>
      </c>
      <c r="F299" s="597">
        <f t="shared" si="16"/>
        <v>469</v>
      </c>
      <c r="G299" s="597">
        <f t="shared" si="16"/>
        <v>255</v>
      </c>
      <c r="H299" s="597">
        <f t="shared" si="16"/>
        <v>137</v>
      </c>
      <c r="I299" s="597">
        <f t="shared" si="16"/>
        <v>75</v>
      </c>
      <c r="J299" s="600"/>
    </row>
    <row r="300" spans="1:10" s="263" customFormat="1" ht="3.95" customHeight="1" x14ac:dyDescent="0.25">
      <c r="A300" s="265"/>
      <c r="B300" s="597"/>
      <c r="C300" s="597"/>
      <c r="D300" s="597"/>
      <c r="E300" s="597"/>
      <c r="F300" s="597"/>
      <c r="G300" s="597"/>
      <c r="H300" s="597"/>
      <c r="I300" s="597"/>
      <c r="J300" s="600"/>
    </row>
    <row r="301" spans="1:10" s="263" customFormat="1" ht="9" customHeight="1" x14ac:dyDescent="0.25">
      <c r="A301" s="263" t="s">
        <v>23</v>
      </c>
      <c r="B301" s="598">
        <f t="shared" ref="B301:B332" si="17">SUM(D301:I301)</f>
        <v>17</v>
      </c>
      <c r="C301" s="598"/>
      <c r="D301" s="263">
        <v>3</v>
      </c>
      <c r="E301" s="263">
        <v>5</v>
      </c>
      <c r="F301" s="263">
        <v>3</v>
      </c>
      <c r="G301" s="263">
        <v>3</v>
      </c>
      <c r="H301" s="263">
        <v>2</v>
      </c>
      <c r="I301" s="263">
        <v>1</v>
      </c>
    </row>
    <row r="302" spans="1:10" s="263" customFormat="1" ht="9" customHeight="1" x14ac:dyDescent="0.25">
      <c r="A302" s="263" t="s">
        <v>24</v>
      </c>
      <c r="B302" s="598">
        <f t="shared" si="17"/>
        <v>137</v>
      </c>
      <c r="C302" s="598"/>
      <c r="D302" s="598">
        <v>39</v>
      </c>
      <c r="E302" s="598">
        <v>65</v>
      </c>
      <c r="F302" s="598">
        <v>11</v>
      </c>
      <c r="G302" s="598">
        <v>15</v>
      </c>
      <c r="H302" s="598">
        <v>7</v>
      </c>
      <c r="I302" s="598">
        <v>0</v>
      </c>
    </row>
    <row r="303" spans="1:10" s="263" customFormat="1" ht="9" customHeight="1" x14ac:dyDescent="0.25">
      <c r="A303" s="263" t="s">
        <v>25</v>
      </c>
      <c r="B303" s="598">
        <f t="shared" si="17"/>
        <v>11</v>
      </c>
      <c r="C303" s="598"/>
      <c r="D303" s="263">
        <v>3</v>
      </c>
      <c r="E303" s="263">
        <v>5</v>
      </c>
      <c r="F303" s="263">
        <v>3</v>
      </c>
      <c r="G303" s="263">
        <v>0</v>
      </c>
      <c r="H303" s="263">
        <v>0</v>
      </c>
      <c r="I303" s="263">
        <v>0</v>
      </c>
    </row>
    <row r="304" spans="1:10" s="263" customFormat="1" ht="9" customHeight="1" x14ac:dyDescent="0.25">
      <c r="A304" s="267" t="s">
        <v>26</v>
      </c>
      <c r="B304" s="599">
        <f t="shared" si="17"/>
        <v>9</v>
      </c>
      <c r="C304" s="599"/>
      <c r="D304" s="267">
        <v>1</v>
      </c>
      <c r="E304" s="267">
        <v>4</v>
      </c>
      <c r="F304" s="267">
        <v>3</v>
      </c>
      <c r="G304" s="267">
        <v>1</v>
      </c>
      <c r="H304" s="267">
        <v>0</v>
      </c>
      <c r="I304" s="267">
        <v>0</v>
      </c>
    </row>
    <row r="305" spans="1:9" s="263" customFormat="1" ht="9" customHeight="1" x14ac:dyDescent="0.25">
      <c r="A305" s="263" t="s">
        <v>27</v>
      </c>
      <c r="B305" s="598">
        <f t="shared" si="17"/>
        <v>36</v>
      </c>
      <c r="C305" s="598"/>
      <c r="D305" s="263">
        <v>6</v>
      </c>
      <c r="E305" s="263">
        <v>12</v>
      </c>
      <c r="F305" s="263">
        <v>6</v>
      </c>
      <c r="G305" s="263">
        <v>5</v>
      </c>
      <c r="H305" s="263">
        <v>6</v>
      </c>
      <c r="I305" s="263">
        <v>1</v>
      </c>
    </row>
    <row r="306" spans="1:9" s="263" customFormat="1" ht="9" customHeight="1" x14ac:dyDescent="0.25">
      <c r="A306" s="263" t="s">
        <v>28</v>
      </c>
      <c r="B306" s="598">
        <f t="shared" si="17"/>
        <v>11</v>
      </c>
      <c r="C306" s="598"/>
      <c r="D306" s="263">
        <v>0</v>
      </c>
      <c r="E306" s="263">
        <v>4</v>
      </c>
      <c r="F306" s="263">
        <v>5</v>
      </c>
      <c r="G306" s="263">
        <v>2</v>
      </c>
      <c r="H306" s="263">
        <v>0</v>
      </c>
      <c r="I306" s="263">
        <v>0</v>
      </c>
    </row>
    <row r="307" spans="1:9" s="263" customFormat="1" ht="9" customHeight="1" x14ac:dyDescent="0.25">
      <c r="A307" s="263" t="s">
        <v>29</v>
      </c>
      <c r="B307" s="598">
        <f t="shared" si="17"/>
        <v>67</v>
      </c>
      <c r="C307" s="598"/>
      <c r="D307" s="263">
        <v>16</v>
      </c>
      <c r="E307" s="263">
        <v>28</v>
      </c>
      <c r="F307" s="263">
        <v>11</v>
      </c>
      <c r="G307" s="263">
        <v>9</v>
      </c>
      <c r="H307" s="263">
        <v>2</v>
      </c>
      <c r="I307" s="263">
        <v>1</v>
      </c>
    </row>
    <row r="308" spans="1:9" s="263" customFormat="1" ht="9" customHeight="1" x14ac:dyDescent="0.25">
      <c r="A308" s="267" t="s">
        <v>30</v>
      </c>
      <c r="B308" s="599">
        <f t="shared" si="17"/>
        <v>57</v>
      </c>
      <c r="C308" s="599"/>
      <c r="D308" s="267">
        <v>11</v>
      </c>
      <c r="E308" s="267">
        <v>15</v>
      </c>
      <c r="F308" s="267">
        <v>13</v>
      </c>
      <c r="G308" s="267">
        <v>6</v>
      </c>
      <c r="H308" s="267">
        <v>4</v>
      </c>
      <c r="I308" s="267">
        <v>8</v>
      </c>
    </row>
    <row r="309" spans="1:9" s="263" customFormat="1" ht="9" customHeight="1" x14ac:dyDescent="0.25">
      <c r="A309" s="263" t="s">
        <v>63</v>
      </c>
      <c r="B309" s="598">
        <f t="shared" si="17"/>
        <v>314</v>
      </c>
      <c r="C309" s="598"/>
      <c r="D309" s="263">
        <v>74</v>
      </c>
      <c r="E309" s="263">
        <v>136</v>
      </c>
      <c r="F309" s="263">
        <v>43</v>
      </c>
      <c r="G309" s="263">
        <v>21</v>
      </c>
      <c r="H309" s="263">
        <v>18</v>
      </c>
      <c r="I309" s="263">
        <v>22</v>
      </c>
    </row>
    <row r="310" spans="1:9" s="263" customFormat="1" ht="9" customHeight="1" x14ac:dyDescent="0.25">
      <c r="A310" s="263" t="s">
        <v>31</v>
      </c>
      <c r="B310" s="598">
        <f t="shared" si="17"/>
        <v>35</v>
      </c>
      <c r="C310" s="598"/>
      <c r="D310" s="263">
        <v>8</v>
      </c>
      <c r="E310" s="263">
        <v>15</v>
      </c>
      <c r="F310" s="263">
        <v>8</v>
      </c>
      <c r="G310" s="263">
        <v>3</v>
      </c>
      <c r="H310" s="263">
        <v>1</v>
      </c>
      <c r="I310" s="263">
        <v>0</v>
      </c>
    </row>
    <row r="311" spans="1:9" s="263" customFormat="1" ht="9" customHeight="1" x14ac:dyDescent="0.25">
      <c r="A311" s="263" t="s">
        <v>32</v>
      </c>
      <c r="B311" s="598">
        <f t="shared" si="17"/>
        <v>226</v>
      </c>
      <c r="C311" s="598"/>
      <c r="D311" s="263">
        <v>39</v>
      </c>
      <c r="E311" s="263">
        <v>109</v>
      </c>
      <c r="F311" s="263">
        <v>48</v>
      </c>
      <c r="G311" s="263">
        <v>15</v>
      </c>
      <c r="H311" s="263">
        <v>13</v>
      </c>
      <c r="I311" s="263">
        <v>2</v>
      </c>
    </row>
    <row r="312" spans="1:9" s="263" customFormat="1" ht="9" customHeight="1" x14ac:dyDescent="0.25">
      <c r="A312" s="267" t="s">
        <v>33</v>
      </c>
      <c r="B312" s="599">
        <f t="shared" si="17"/>
        <v>99</v>
      </c>
      <c r="C312" s="599"/>
      <c r="D312" s="267">
        <v>29</v>
      </c>
      <c r="E312" s="267">
        <v>46</v>
      </c>
      <c r="F312" s="267">
        <v>14</v>
      </c>
      <c r="G312" s="267">
        <v>9</v>
      </c>
      <c r="H312" s="267">
        <v>1</v>
      </c>
      <c r="I312" s="267">
        <v>0</v>
      </c>
    </row>
    <row r="313" spans="1:9" s="263" customFormat="1" ht="9" customHeight="1" x14ac:dyDescent="0.25">
      <c r="A313" s="263" t="s">
        <v>34</v>
      </c>
      <c r="B313" s="598">
        <f t="shared" si="17"/>
        <v>93</v>
      </c>
      <c r="C313" s="598"/>
      <c r="D313" s="263">
        <v>34</v>
      </c>
      <c r="E313" s="263">
        <v>39</v>
      </c>
      <c r="F313" s="263">
        <v>14</v>
      </c>
      <c r="G313" s="263">
        <v>4</v>
      </c>
      <c r="H313" s="263">
        <v>1</v>
      </c>
      <c r="I313" s="263">
        <v>1</v>
      </c>
    </row>
    <row r="314" spans="1:9" s="263" customFormat="1" ht="9" customHeight="1" x14ac:dyDescent="0.25">
      <c r="A314" s="263" t="s">
        <v>35</v>
      </c>
      <c r="B314" s="598">
        <f t="shared" si="17"/>
        <v>168</v>
      </c>
      <c r="C314" s="598"/>
      <c r="D314" s="263">
        <v>25</v>
      </c>
      <c r="E314" s="263">
        <v>60</v>
      </c>
      <c r="F314" s="263">
        <v>35</v>
      </c>
      <c r="G314" s="263">
        <v>27</v>
      </c>
      <c r="H314" s="263">
        <v>13</v>
      </c>
      <c r="I314" s="263">
        <v>8</v>
      </c>
    </row>
    <row r="315" spans="1:9" s="263" customFormat="1" ht="9" customHeight="1" x14ac:dyDescent="0.25">
      <c r="A315" s="263" t="s">
        <v>36</v>
      </c>
      <c r="B315" s="598">
        <f t="shared" si="17"/>
        <v>560</v>
      </c>
      <c r="C315" s="598"/>
      <c r="D315" s="263">
        <v>198</v>
      </c>
      <c r="E315" s="263">
        <v>264</v>
      </c>
      <c r="F315" s="263">
        <v>63</v>
      </c>
      <c r="G315" s="263">
        <v>22</v>
      </c>
      <c r="H315" s="263">
        <v>10</v>
      </c>
      <c r="I315" s="263">
        <v>3</v>
      </c>
    </row>
    <row r="316" spans="1:9" s="263" customFormat="1" ht="9" customHeight="1" x14ac:dyDescent="0.25">
      <c r="A316" s="267" t="s">
        <v>37</v>
      </c>
      <c r="B316" s="599">
        <f t="shared" si="17"/>
        <v>193</v>
      </c>
      <c r="C316" s="599"/>
      <c r="D316" s="267">
        <v>33</v>
      </c>
      <c r="E316" s="267">
        <v>91</v>
      </c>
      <c r="F316" s="267">
        <v>35</v>
      </c>
      <c r="G316" s="267">
        <v>23</v>
      </c>
      <c r="H316" s="267">
        <v>7</v>
      </c>
      <c r="I316" s="267">
        <v>4</v>
      </c>
    </row>
    <row r="317" spans="1:9" s="263" customFormat="1" ht="9" customHeight="1" x14ac:dyDescent="0.25">
      <c r="A317" s="263" t="s">
        <v>38</v>
      </c>
      <c r="B317" s="598">
        <f t="shared" si="17"/>
        <v>73</v>
      </c>
      <c r="C317" s="598"/>
      <c r="D317" s="263">
        <v>32</v>
      </c>
      <c r="E317" s="263">
        <v>31</v>
      </c>
      <c r="F317" s="263">
        <v>4</v>
      </c>
      <c r="G317" s="263">
        <v>4</v>
      </c>
      <c r="H317" s="263">
        <v>2</v>
      </c>
      <c r="I317" s="263">
        <v>0</v>
      </c>
    </row>
    <row r="318" spans="1:9" s="263" customFormat="1" ht="9" customHeight="1" x14ac:dyDescent="0.25">
      <c r="A318" s="263" t="s">
        <v>39</v>
      </c>
      <c r="B318" s="598">
        <f t="shared" si="17"/>
        <v>20</v>
      </c>
      <c r="C318" s="598"/>
      <c r="D318" s="263">
        <v>7</v>
      </c>
      <c r="E318" s="263">
        <v>10</v>
      </c>
      <c r="F318" s="263">
        <v>1</v>
      </c>
      <c r="G318" s="263">
        <v>1</v>
      </c>
      <c r="H318" s="263">
        <v>1</v>
      </c>
      <c r="I318" s="263">
        <v>0</v>
      </c>
    </row>
    <row r="319" spans="1:9" s="263" customFormat="1" ht="9" customHeight="1" x14ac:dyDescent="0.25">
      <c r="A319" s="263" t="s">
        <v>40</v>
      </c>
      <c r="B319" s="598">
        <f t="shared" si="17"/>
        <v>51</v>
      </c>
      <c r="C319" s="598"/>
      <c r="D319" s="263">
        <v>10</v>
      </c>
      <c r="E319" s="263">
        <v>16</v>
      </c>
      <c r="F319" s="263">
        <v>6</v>
      </c>
      <c r="G319" s="263">
        <v>3</v>
      </c>
      <c r="H319" s="263">
        <v>9</v>
      </c>
      <c r="I319" s="263">
        <v>7</v>
      </c>
    </row>
    <row r="320" spans="1:9" s="263" customFormat="1" ht="9" customHeight="1" x14ac:dyDescent="0.25">
      <c r="A320" s="267" t="s">
        <v>41</v>
      </c>
      <c r="B320" s="599">
        <f t="shared" si="17"/>
        <v>83</v>
      </c>
      <c r="C320" s="599"/>
      <c r="D320" s="267">
        <v>26</v>
      </c>
      <c r="E320" s="267">
        <v>38</v>
      </c>
      <c r="F320" s="267">
        <v>11</v>
      </c>
      <c r="G320" s="267">
        <v>6</v>
      </c>
      <c r="H320" s="267">
        <v>2</v>
      </c>
      <c r="I320" s="267">
        <v>0</v>
      </c>
    </row>
    <row r="321" spans="1:24" s="263" customFormat="1" ht="9" customHeight="1" x14ac:dyDescent="0.25">
      <c r="A321" s="263" t="s">
        <v>42</v>
      </c>
      <c r="B321" s="598">
        <f t="shared" si="17"/>
        <v>131</v>
      </c>
      <c r="C321" s="598"/>
      <c r="D321" s="263">
        <v>14</v>
      </c>
      <c r="E321" s="263">
        <v>60</v>
      </c>
      <c r="F321" s="263">
        <v>29</v>
      </c>
      <c r="G321" s="263">
        <v>12</v>
      </c>
      <c r="H321" s="263">
        <v>10</v>
      </c>
      <c r="I321" s="263">
        <v>6</v>
      </c>
    </row>
    <row r="322" spans="1:24" s="263" customFormat="1" ht="9" customHeight="1" x14ac:dyDescent="0.25">
      <c r="A322" s="263" t="s">
        <v>43</v>
      </c>
      <c r="B322" s="598">
        <f t="shared" si="17"/>
        <v>51</v>
      </c>
      <c r="C322" s="598"/>
      <c r="D322" s="263">
        <v>19</v>
      </c>
      <c r="E322" s="263">
        <v>16</v>
      </c>
      <c r="F322" s="263">
        <v>6</v>
      </c>
      <c r="G322" s="263">
        <v>6</v>
      </c>
      <c r="H322" s="263">
        <v>2</v>
      </c>
      <c r="I322" s="263">
        <v>2</v>
      </c>
    </row>
    <row r="323" spans="1:24" s="263" customFormat="1" ht="9" customHeight="1" x14ac:dyDescent="0.25">
      <c r="A323" s="263" t="s">
        <v>44</v>
      </c>
      <c r="B323" s="598">
        <f t="shared" si="17"/>
        <v>36</v>
      </c>
      <c r="C323" s="598"/>
      <c r="D323" s="263">
        <v>18</v>
      </c>
      <c r="E323" s="263">
        <v>11</v>
      </c>
      <c r="F323" s="263">
        <v>6</v>
      </c>
      <c r="G323" s="263">
        <v>1</v>
      </c>
      <c r="H323" s="263">
        <v>0</v>
      </c>
      <c r="I323" s="263">
        <v>0</v>
      </c>
    </row>
    <row r="324" spans="1:24" s="263" customFormat="1" ht="9" customHeight="1" x14ac:dyDescent="0.25">
      <c r="A324" s="267" t="s">
        <v>45</v>
      </c>
      <c r="B324" s="599">
        <f t="shared" si="17"/>
        <v>41</v>
      </c>
      <c r="C324" s="599"/>
      <c r="D324" s="267">
        <v>8</v>
      </c>
      <c r="E324" s="267">
        <v>14</v>
      </c>
      <c r="F324" s="267">
        <v>9</v>
      </c>
      <c r="G324" s="267">
        <v>5</v>
      </c>
      <c r="H324" s="267">
        <v>2</v>
      </c>
      <c r="I324" s="267">
        <v>3</v>
      </c>
    </row>
    <row r="325" spans="1:24" s="263" customFormat="1" ht="9" customHeight="1" x14ac:dyDescent="0.25">
      <c r="A325" s="263" t="s">
        <v>46</v>
      </c>
      <c r="B325" s="598">
        <f t="shared" si="17"/>
        <v>68</v>
      </c>
      <c r="C325" s="598"/>
      <c r="D325" s="263">
        <v>25</v>
      </c>
      <c r="E325" s="263">
        <v>20</v>
      </c>
      <c r="F325" s="263">
        <v>11</v>
      </c>
      <c r="G325" s="263">
        <v>8</v>
      </c>
      <c r="H325" s="263">
        <v>4</v>
      </c>
      <c r="I325" s="263">
        <v>0</v>
      </c>
    </row>
    <row r="326" spans="1:24" s="263" customFormat="1" ht="9" customHeight="1" x14ac:dyDescent="0.25">
      <c r="A326" s="263" t="s">
        <v>47</v>
      </c>
      <c r="B326" s="598">
        <f t="shared" si="17"/>
        <v>50</v>
      </c>
      <c r="C326" s="598"/>
      <c r="D326" s="263">
        <v>11</v>
      </c>
      <c r="E326" s="263">
        <v>18</v>
      </c>
      <c r="F326" s="263">
        <v>11</v>
      </c>
      <c r="G326" s="263">
        <v>5</v>
      </c>
      <c r="H326" s="263">
        <v>5</v>
      </c>
      <c r="I326" s="263">
        <v>0</v>
      </c>
    </row>
    <row r="327" spans="1:24" s="263" customFormat="1" ht="9" customHeight="1" x14ac:dyDescent="0.25">
      <c r="A327" s="263" t="s">
        <v>48</v>
      </c>
      <c r="B327" s="598">
        <f t="shared" si="17"/>
        <v>54</v>
      </c>
      <c r="C327" s="598"/>
      <c r="D327" s="263">
        <v>19</v>
      </c>
      <c r="E327" s="263">
        <v>24</v>
      </c>
      <c r="F327" s="263">
        <v>6</v>
      </c>
      <c r="G327" s="263">
        <v>3</v>
      </c>
      <c r="H327" s="263">
        <v>2</v>
      </c>
      <c r="I327" s="263">
        <v>0</v>
      </c>
    </row>
    <row r="328" spans="1:24" s="263" customFormat="1" ht="9" customHeight="1" x14ac:dyDescent="0.25">
      <c r="A328" s="267" t="s">
        <v>49</v>
      </c>
      <c r="B328" s="599">
        <f t="shared" si="17"/>
        <v>72</v>
      </c>
      <c r="C328" s="599"/>
      <c r="D328" s="267">
        <v>13</v>
      </c>
      <c r="E328" s="267">
        <v>31</v>
      </c>
      <c r="F328" s="267">
        <v>12</v>
      </c>
      <c r="G328" s="267">
        <v>8</v>
      </c>
      <c r="H328" s="267">
        <v>7</v>
      </c>
      <c r="I328" s="267">
        <v>1</v>
      </c>
    </row>
    <row r="329" spans="1:24" s="263" customFormat="1" ht="9" customHeight="1" x14ac:dyDescent="0.25">
      <c r="A329" s="263" t="s">
        <v>50</v>
      </c>
      <c r="B329" s="598">
        <f t="shared" si="17"/>
        <v>44</v>
      </c>
      <c r="C329" s="598"/>
      <c r="D329" s="263">
        <v>19</v>
      </c>
      <c r="E329" s="263">
        <v>16</v>
      </c>
      <c r="F329" s="263">
        <v>6</v>
      </c>
      <c r="G329" s="263">
        <v>3</v>
      </c>
      <c r="H329" s="263">
        <v>0</v>
      </c>
      <c r="I329" s="263">
        <v>0</v>
      </c>
    </row>
    <row r="330" spans="1:24" s="263" customFormat="1" ht="9" customHeight="1" x14ac:dyDescent="0.25">
      <c r="A330" s="263" t="s">
        <v>51</v>
      </c>
      <c r="B330" s="598">
        <f t="shared" si="17"/>
        <v>165</v>
      </c>
      <c r="C330" s="598"/>
      <c r="D330" s="263">
        <v>39</v>
      </c>
      <c r="E330" s="263">
        <v>78</v>
      </c>
      <c r="F330" s="263">
        <v>28</v>
      </c>
      <c r="G330" s="263">
        <v>15</v>
      </c>
      <c r="H330" s="263">
        <v>4</v>
      </c>
      <c r="I330" s="263">
        <v>1</v>
      </c>
    </row>
    <row r="331" spans="1:24" s="263" customFormat="1" ht="9" customHeight="1" x14ac:dyDescent="0.25">
      <c r="A331" s="263" t="s">
        <v>52</v>
      </c>
      <c r="B331" s="598">
        <f t="shared" si="17"/>
        <v>37</v>
      </c>
      <c r="C331" s="598"/>
      <c r="D331" s="263">
        <v>12</v>
      </c>
      <c r="E331" s="263">
        <v>14</v>
      </c>
      <c r="F331" s="263">
        <v>3</v>
      </c>
      <c r="G331" s="263">
        <v>5</v>
      </c>
      <c r="H331" s="263">
        <v>1</v>
      </c>
      <c r="I331" s="263">
        <v>2</v>
      </c>
    </row>
    <row r="332" spans="1:24" s="263" customFormat="1" ht="9" customHeight="1" x14ac:dyDescent="0.25">
      <c r="A332" s="267" t="s">
        <v>53</v>
      </c>
      <c r="B332" s="599">
        <f t="shared" si="17"/>
        <v>30</v>
      </c>
      <c r="C332" s="599"/>
      <c r="D332" s="267">
        <v>3</v>
      </c>
      <c r="E332" s="267">
        <v>14</v>
      </c>
      <c r="F332" s="267">
        <v>5</v>
      </c>
      <c r="G332" s="267">
        <v>5</v>
      </c>
      <c r="H332" s="267">
        <v>1</v>
      </c>
      <c r="I332" s="267">
        <v>2</v>
      </c>
    </row>
    <row r="333" spans="1:24" s="263" customFormat="1" ht="9" customHeight="1" x14ac:dyDescent="0.25">
      <c r="A333" s="286"/>
      <c r="B333" s="613"/>
      <c r="C333" s="613"/>
      <c r="D333" s="286"/>
      <c r="E333" s="286"/>
      <c r="F333" s="286"/>
      <c r="G333" s="286"/>
      <c r="H333" s="286"/>
      <c r="I333" s="286"/>
    </row>
    <row r="334" spans="1:24" s="263" customFormat="1" ht="9" customHeight="1" x14ac:dyDescent="0.25">
      <c r="A334" s="261">
        <v>2004</v>
      </c>
      <c r="B334" s="262"/>
      <c r="C334" s="262"/>
      <c r="D334" s="262"/>
      <c r="E334" s="262"/>
      <c r="F334" s="262"/>
      <c r="G334" s="262"/>
      <c r="H334" s="262"/>
      <c r="I334" s="262"/>
    </row>
    <row r="335" spans="1:24" s="263" customFormat="1" ht="9" customHeight="1" x14ac:dyDescent="0.25">
      <c r="A335" s="265" t="s">
        <v>21</v>
      </c>
      <c r="B335" s="597">
        <f>SUM(B337:B368)</f>
        <v>3020</v>
      </c>
      <c r="C335" s="597"/>
      <c r="D335" s="597">
        <f t="shared" ref="D335:I335" si="18">SUM(D337:D368)</f>
        <v>772</v>
      </c>
      <c r="E335" s="597">
        <f t="shared" si="18"/>
        <v>1291</v>
      </c>
      <c r="F335" s="597">
        <f t="shared" si="18"/>
        <v>492</v>
      </c>
      <c r="G335" s="597">
        <f t="shared" si="18"/>
        <v>249</v>
      </c>
      <c r="H335" s="597">
        <f t="shared" si="18"/>
        <v>141</v>
      </c>
      <c r="I335" s="597">
        <f t="shared" si="18"/>
        <v>75</v>
      </c>
      <c r="J335" s="600"/>
      <c r="R335" s="600"/>
      <c r="S335" s="600"/>
      <c r="T335" s="600"/>
      <c r="U335" s="600"/>
      <c r="V335" s="600"/>
      <c r="W335" s="600"/>
      <c r="X335" s="600"/>
    </row>
    <row r="336" spans="1:24" s="263" customFormat="1" ht="3.95" customHeight="1" x14ac:dyDescent="0.25">
      <c r="A336" s="265"/>
      <c r="B336" s="597"/>
      <c r="C336" s="597"/>
      <c r="D336" s="597"/>
      <c r="E336" s="597"/>
      <c r="F336" s="597"/>
      <c r="G336" s="597"/>
      <c r="H336" s="597"/>
      <c r="I336" s="597"/>
      <c r="J336" s="600"/>
      <c r="R336" s="600"/>
      <c r="S336" s="600"/>
      <c r="T336" s="600"/>
      <c r="U336" s="600"/>
      <c r="V336" s="600"/>
      <c r="W336" s="600"/>
      <c r="X336" s="600"/>
    </row>
    <row r="337" spans="1:24" s="263" customFormat="1" ht="9" customHeight="1" x14ac:dyDescent="0.25">
      <c r="A337" s="263" t="s">
        <v>23</v>
      </c>
      <c r="B337" s="598">
        <f t="shared" ref="B337:B368" si="19">SUM(D337:I337)</f>
        <v>18</v>
      </c>
      <c r="C337" s="598"/>
      <c r="D337" s="263">
        <v>2</v>
      </c>
      <c r="E337" s="263">
        <v>6</v>
      </c>
      <c r="F337" s="263">
        <v>4</v>
      </c>
      <c r="G337" s="263">
        <v>2</v>
      </c>
      <c r="H337" s="263">
        <v>3</v>
      </c>
      <c r="I337" s="263">
        <v>1</v>
      </c>
      <c r="R337" s="600"/>
      <c r="S337" s="600"/>
      <c r="T337" s="600"/>
      <c r="U337" s="600"/>
      <c r="V337" s="600"/>
      <c r="W337" s="600"/>
      <c r="X337" s="600"/>
    </row>
    <row r="338" spans="1:24" s="263" customFormat="1" ht="9" customHeight="1" x14ac:dyDescent="0.25">
      <c r="A338" s="263" t="s">
        <v>24</v>
      </c>
      <c r="B338" s="598">
        <f t="shared" si="19"/>
        <v>129</v>
      </c>
      <c r="C338" s="598"/>
      <c r="D338" s="598">
        <v>39</v>
      </c>
      <c r="E338" s="598">
        <v>56</v>
      </c>
      <c r="F338" s="598">
        <v>13</v>
      </c>
      <c r="G338" s="598">
        <v>12</v>
      </c>
      <c r="H338" s="598">
        <v>9</v>
      </c>
      <c r="I338" s="598">
        <v>0</v>
      </c>
      <c r="R338" s="600"/>
      <c r="S338" s="600"/>
      <c r="T338" s="600"/>
      <c r="U338" s="600"/>
      <c r="V338" s="600"/>
      <c r="W338" s="600"/>
      <c r="X338" s="600"/>
    </row>
    <row r="339" spans="1:24" s="263" customFormat="1" ht="9" customHeight="1" x14ac:dyDescent="0.25">
      <c r="A339" s="263" t="s">
        <v>25</v>
      </c>
      <c r="B339" s="598">
        <f t="shared" si="19"/>
        <v>14</v>
      </c>
      <c r="C339" s="598"/>
      <c r="D339" s="263">
        <v>5</v>
      </c>
      <c r="E339" s="263">
        <v>6</v>
      </c>
      <c r="F339" s="263">
        <v>3</v>
      </c>
      <c r="G339" s="263">
        <v>0</v>
      </c>
      <c r="H339" s="263">
        <v>0</v>
      </c>
      <c r="I339" s="263">
        <v>0</v>
      </c>
      <c r="R339" s="600"/>
      <c r="S339" s="600"/>
      <c r="T339" s="600"/>
      <c r="U339" s="600"/>
      <c r="V339" s="600"/>
      <c r="W339" s="600"/>
      <c r="X339" s="600"/>
    </row>
    <row r="340" spans="1:24" s="263" customFormat="1" ht="9" customHeight="1" x14ac:dyDescent="0.25">
      <c r="A340" s="267" t="s">
        <v>26</v>
      </c>
      <c r="B340" s="599">
        <f t="shared" si="19"/>
        <v>8</v>
      </c>
      <c r="C340" s="599"/>
      <c r="D340" s="267">
        <v>2</v>
      </c>
      <c r="E340" s="267">
        <v>3</v>
      </c>
      <c r="F340" s="267">
        <v>2</v>
      </c>
      <c r="G340" s="267">
        <v>1</v>
      </c>
      <c r="H340" s="267">
        <v>0</v>
      </c>
      <c r="I340" s="267">
        <v>0</v>
      </c>
      <c r="R340" s="600"/>
      <c r="S340" s="600"/>
      <c r="T340" s="600"/>
      <c r="U340" s="600"/>
      <c r="V340" s="600"/>
      <c r="W340" s="600"/>
      <c r="X340" s="600"/>
    </row>
    <row r="341" spans="1:24" s="263" customFormat="1" ht="9" customHeight="1" x14ac:dyDescent="0.25">
      <c r="A341" s="263" t="s">
        <v>27</v>
      </c>
      <c r="B341" s="598">
        <f t="shared" si="19"/>
        <v>34</v>
      </c>
      <c r="C341" s="598"/>
      <c r="D341" s="263">
        <v>8</v>
      </c>
      <c r="E341" s="263">
        <v>9</v>
      </c>
      <c r="F341" s="263">
        <v>5</v>
      </c>
      <c r="G341" s="263">
        <v>5</v>
      </c>
      <c r="H341" s="263">
        <v>6</v>
      </c>
      <c r="I341" s="263">
        <v>1</v>
      </c>
      <c r="R341" s="600"/>
      <c r="S341" s="600"/>
      <c r="T341" s="600"/>
      <c r="U341" s="600"/>
      <c r="V341" s="600"/>
      <c r="W341" s="600"/>
      <c r="X341" s="600"/>
    </row>
    <row r="342" spans="1:24" s="263" customFormat="1" ht="9" customHeight="1" x14ac:dyDescent="0.25">
      <c r="A342" s="263" t="s">
        <v>28</v>
      </c>
      <c r="B342" s="598">
        <f t="shared" si="19"/>
        <v>12</v>
      </c>
      <c r="C342" s="598"/>
      <c r="D342" s="263">
        <v>0</v>
      </c>
      <c r="E342" s="263">
        <v>5</v>
      </c>
      <c r="F342" s="263">
        <v>5</v>
      </c>
      <c r="G342" s="263">
        <v>2</v>
      </c>
      <c r="H342" s="263">
        <v>0</v>
      </c>
      <c r="I342" s="263">
        <v>0</v>
      </c>
      <c r="R342" s="600"/>
      <c r="S342" s="600"/>
      <c r="T342" s="600"/>
      <c r="U342" s="600"/>
      <c r="V342" s="600"/>
      <c r="W342" s="600"/>
      <c r="X342" s="600"/>
    </row>
    <row r="343" spans="1:24" s="263" customFormat="1" ht="9" customHeight="1" x14ac:dyDescent="0.25">
      <c r="A343" s="263" t="s">
        <v>29</v>
      </c>
      <c r="B343" s="598">
        <f t="shared" si="19"/>
        <v>66</v>
      </c>
      <c r="C343" s="598"/>
      <c r="D343" s="263">
        <v>16</v>
      </c>
      <c r="E343" s="263">
        <v>30</v>
      </c>
      <c r="F343" s="263">
        <v>11</v>
      </c>
      <c r="G343" s="263">
        <v>5</v>
      </c>
      <c r="H343" s="263">
        <v>3</v>
      </c>
      <c r="I343" s="263">
        <v>1</v>
      </c>
      <c r="R343" s="600"/>
      <c r="S343" s="600"/>
      <c r="T343" s="600"/>
      <c r="U343" s="600"/>
      <c r="V343" s="600"/>
      <c r="W343" s="600"/>
      <c r="X343" s="600"/>
    </row>
    <row r="344" spans="1:24" s="263" customFormat="1" ht="9" customHeight="1" x14ac:dyDescent="0.25">
      <c r="A344" s="267" t="s">
        <v>30</v>
      </c>
      <c r="B344" s="599">
        <f t="shared" si="19"/>
        <v>54</v>
      </c>
      <c r="C344" s="599"/>
      <c r="D344" s="267">
        <v>8</v>
      </c>
      <c r="E344" s="267">
        <v>17</v>
      </c>
      <c r="F344" s="267">
        <v>12</v>
      </c>
      <c r="G344" s="267">
        <v>6</v>
      </c>
      <c r="H344" s="267">
        <v>4</v>
      </c>
      <c r="I344" s="267">
        <v>7</v>
      </c>
      <c r="R344" s="600"/>
      <c r="S344" s="600"/>
      <c r="T344" s="600"/>
      <c r="U344" s="600"/>
      <c r="V344" s="600"/>
      <c r="W344" s="600"/>
      <c r="X344" s="600"/>
    </row>
    <row r="345" spans="1:24" s="263" customFormat="1" ht="9" customHeight="1" x14ac:dyDescent="0.25">
      <c r="A345" s="263" t="s">
        <v>63</v>
      </c>
      <c r="B345" s="598">
        <f t="shared" si="19"/>
        <v>309</v>
      </c>
      <c r="C345" s="598"/>
      <c r="D345" s="263">
        <v>75</v>
      </c>
      <c r="E345" s="263">
        <v>128</v>
      </c>
      <c r="F345" s="263">
        <v>45</v>
      </c>
      <c r="G345" s="263">
        <v>21</v>
      </c>
      <c r="H345" s="263">
        <v>17</v>
      </c>
      <c r="I345" s="263">
        <v>23</v>
      </c>
      <c r="R345" s="600"/>
      <c r="S345" s="600"/>
      <c r="T345" s="600"/>
      <c r="U345" s="600"/>
      <c r="V345" s="600"/>
      <c r="W345" s="600"/>
      <c r="X345" s="600"/>
    </row>
    <row r="346" spans="1:24" s="263" customFormat="1" ht="9" customHeight="1" x14ac:dyDescent="0.25">
      <c r="A346" s="263" t="s">
        <v>31</v>
      </c>
      <c r="B346" s="598">
        <f t="shared" si="19"/>
        <v>39</v>
      </c>
      <c r="C346" s="598"/>
      <c r="D346" s="263">
        <v>8</v>
      </c>
      <c r="E346" s="263">
        <v>20</v>
      </c>
      <c r="F346" s="263">
        <v>7</v>
      </c>
      <c r="G346" s="263">
        <v>3</v>
      </c>
      <c r="H346" s="263">
        <v>1</v>
      </c>
      <c r="I346" s="263">
        <v>0</v>
      </c>
      <c r="R346" s="600"/>
      <c r="S346" s="600"/>
      <c r="T346" s="600"/>
      <c r="U346" s="600"/>
      <c r="V346" s="600"/>
      <c r="W346" s="600"/>
      <c r="X346" s="600"/>
    </row>
    <row r="347" spans="1:24" s="263" customFormat="1" ht="9" customHeight="1" x14ac:dyDescent="0.25">
      <c r="A347" s="263" t="s">
        <v>32</v>
      </c>
      <c r="B347" s="598">
        <f t="shared" si="19"/>
        <v>217</v>
      </c>
      <c r="C347" s="598"/>
      <c r="D347" s="263">
        <v>36</v>
      </c>
      <c r="E347" s="263">
        <v>98</v>
      </c>
      <c r="F347" s="263">
        <v>51</v>
      </c>
      <c r="G347" s="263">
        <v>18</v>
      </c>
      <c r="H347" s="263">
        <v>12</v>
      </c>
      <c r="I347" s="263">
        <v>2</v>
      </c>
      <c r="R347" s="600"/>
      <c r="S347" s="600"/>
      <c r="T347" s="600"/>
      <c r="U347" s="600"/>
      <c r="V347" s="600"/>
      <c r="W347" s="600"/>
      <c r="X347" s="600"/>
    </row>
    <row r="348" spans="1:24" s="263" customFormat="1" ht="9" customHeight="1" x14ac:dyDescent="0.25">
      <c r="A348" s="267" t="s">
        <v>33</v>
      </c>
      <c r="B348" s="599">
        <f t="shared" si="19"/>
        <v>98</v>
      </c>
      <c r="C348" s="599"/>
      <c r="D348" s="267">
        <v>25</v>
      </c>
      <c r="E348" s="267">
        <v>46</v>
      </c>
      <c r="F348" s="267">
        <v>16</v>
      </c>
      <c r="G348" s="267">
        <v>11</v>
      </c>
      <c r="H348" s="267">
        <v>0</v>
      </c>
      <c r="I348" s="267">
        <v>0</v>
      </c>
      <c r="R348" s="600"/>
      <c r="S348" s="600"/>
      <c r="T348" s="600"/>
      <c r="U348" s="600"/>
      <c r="V348" s="600"/>
      <c r="W348" s="600"/>
      <c r="X348" s="600"/>
    </row>
    <row r="349" spans="1:24" s="263" customFormat="1" ht="9" customHeight="1" x14ac:dyDescent="0.25">
      <c r="A349" s="263" t="s">
        <v>34</v>
      </c>
      <c r="B349" s="598">
        <f t="shared" si="19"/>
        <v>89</v>
      </c>
      <c r="C349" s="598"/>
      <c r="D349" s="263">
        <v>31</v>
      </c>
      <c r="E349" s="263">
        <v>40</v>
      </c>
      <c r="F349" s="263">
        <v>12</v>
      </c>
      <c r="G349" s="263">
        <v>3</v>
      </c>
      <c r="H349" s="263">
        <v>3</v>
      </c>
      <c r="I349" s="263">
        <v>0</v>
      </c>
      <c r="R349" s="600"/>
      <c r="S349" s="600"/>
      <c r="T349" s="600"/>
      <c r="U349" s="600"/>
      <c r="V349" s="600"/>
      <c r="W349" s="600"/>
      <c r="X349" s="600"/>
    </row>
    <row r="350" spans="1:24" s="263" customFormat="1" ht="9" customHeight="1" x14ac:dyDescent="0.25">
      <c r="A350" s="263" t="s">
        <v>35</v>
      </c>
      <c r="B350" s="598">
        <f t="shared" si="19"/>
        <v>175</v>
      </c>
      <c r="C350" s="598"/>
      <c r="D350" s="263">
        <v>29</v>
      </c>
      <c r="E350" s="263">
        <v>64</v>
      </c>
      <c r="F350" s="263">
        <v>38</v>
      </c>
      <c r="G350" s="263">
        <v>22</v>
      </c>
      <c r="H350" s="263">
        <v>14</v>
      </c>
      <c r="I350" s="263">
        <v>8</v>
      </c>
      <c r="R350" s="600"/>
      <c r="S350" s="600"/>
      <c r="T350" s="600"/>
      <c r="U350" s="600"/>
      <c r="V350" s="600"/>
      <c r="W350" s="600"/>
      <c r="X350" s="600"/>
    </row>
    <row r="351" spans="1:24" s="263" customFormat="1" ht="9" customHeight="1" x14ac:dyDescent="0.25">
      <c r="A351" s="263" t="s">
        <v>36</v>
      </c>
      <c r="B351" s="598">
        <f t="shared" si="19"/>
        <v>539</v>
      </c>
      <c r="C351" s="598"/>
      <c r="D351" s="263">
        <v>191</v>
      </c>
      <c r="E351" s="263">
        <v>248</v>
      </c>
      <c r="F351" s="263">
        <v>65</v>
      </c>
      <c r="G351" s="263">
        <v>22</v>
      </c>
      <c r="H351" s="263">
        <v>10</v>
      </c>
      <c r="I351" s="263">
        <v>3</v>
      </c>
      <c r="R351" s="600"/>
      <c r="S351" s="600"/>
      <c r="T351" s="600"/>
      <c r="U351" s="600"/>
      <c r="V351" s="600"/>
      <c r="W351" s="600"/>
      <c r="X351" s="600"/>
    </row>
    <row r="352" spans="1:24" s="263" customFormat="1" ht="9" customHeight="1" x14ac:dyDescent="0.25">
      <c r="A352" s="267" t="s">
        <v>37</v>
      </c>
      <c r="B352" s="599">
        <f t="shared" si="19"/>
        <v>198</v>
      </c>
      <c r="C352" s="599"/>
      <c r="D352" s="267">
        <v>35</v>
      </c>
      <c r="E352" s="267">
        <v>87</v>
      </c>
      <c r="F352" s="267">
        <v>43</v>
      </c>
      <c r="G352" s="267">
        <v>21</v>
      </c>
      <c r="H352" s="267">
        <v>8</v>
      </c>
      <c r="I352" s="267">
        <v>4</v>
      </c>
      <c r="R352" s="600"/>
      <c r="S352" s="600"/>
      <c r="T352" s="600"/>
      <c r="U352" s="600"/>
      <c r="V352" s="600"/>
      <c r="W352" s="600"/>
      <c r="X352" s="600"/>
    </row>
    <row r="353" spans="1:24" s="263" customFormat="1" ht="9" customHeight="1" x14ac:dyDescent="0.25">
      <c r="A353" s="263" t="s">
        <v>38</v>
      </c>
      <c r="B353" s="598">
        <f t="shared" si="19"/>
        <v>72</v>
      </c>
      <c r="C353" s="598"/>
      <c r="D353" s="263">
        <v>28</v>
      </c>
      <c r="E353" s="263">
        <v>34</v>
      </c>
      <c r="F353" s="263">
        <v>4</v>
      </c>
      <c r="G353" s="263">
        <v>4</v>
      </c>
      <c r="H353" s="263">
        <v>2</v>
      </c>
      <c r="I353" s="263">
        <v>0</v>
      </c>
      <c r="R353" s="600"/>
      <c r="S353" s="600"/>
      <c r="T353" s="600"/>
      <c r="U353" s="600"/>
      <c r="V353" s="600"/>
      <c r="W353" s="600"/>
      <c r="X353" s="600"/>
    </row>
    <row r="354" spans="1:24" s="263" customFormat="1" ht="9" customHeight="1" x14ac:dyDescent="0.25">
      <c r="A354" s="263" t="s">
        <v>39</v>
      </c>
      <c r="B354" s="598">
        <f t="shared" si="19"/>
        <v>20</v>
      </c>
      <c r="C354" s="598"/>
      <c r="D354" s="263">
        <v>10</v>
      </c>
      <c r="E354" s="263">
        <v>7</v>
      </c>
      <c r="F354" s="263">
        <v>0</v>
      </c>
      <c r="G354" s="263">
        <v>1</v>
      </c>
      <c r="H354" s="263">
        <v>2</v>
      </c>
      <c r="I354" s="263">
        <v>0</v>
      </c>
      <c r="R354" s="600"/>
      <c r="S354" s="600"/>
      <c r="T354" s="600"/>
      <c r="U354" s="600"/>
      <c r="V354" s="600"/>
      <c r="W354" s="600"/>
      <c r="X354" s="600"/>
    </row>
    <row r="355" spans="1:24" s="263" customFormat="1" ht="9" customHeight="1" x14ac:dyDescent="0.25">
      <c r="A355" s="263" t="s">
        <v>40</v>
      </c>
      <c r="B355" s="598">
        <f t="shared" si="19"/>
        <v>51</v>
      </c>
      <c r="C355" s="598"/>
      <c r="D355" s="263">
        <v>8</v>
      </c>
      <c r="E355" s="263">
        <v>19</v>
      </c>
      <c r="F355" s="263">
        <v>6</v>
      </c>
      <c r="G355" s="263">
        <v>3</v>
      </c>
      <c r="H355" s="263">
        <v>7</v>
      </c>
      <c r="I355" s="263">
        <v>8</v>
      </c>
      <c r="R355" s="600"/>
      <c r="S355" s="600"/>
      <c r="T355" s="600"/>
      <c r="U355" s="600"/>
      <c r="V355" s="600"/>
      <c r="W355" s="600"/>
      <c r="X355" s="600"/>
    </row>
    <row r="356" spans="1:24" s="263" customFormat="1" ht="9" customHeight="1" x14ac:dyDescent="0.25">
      <c r="A356" s="267" t="s">
        <v>41</v>
      </c>
      <c r="B356" s="599">
        <f t="shared" si="19"/>
        <v>85</v>
      </c>
      <c r="C356" s="599"/>
      <c r="D356" s="267">
        <v>26</v>
      </c>
      <c r="E356" s="267">
        <v>36</v>
      </c>
      <c r="F356" s="267">
        <v>16</v>
      </c>
      <c r="G356" s="267">
        <v>5</v>
      </c>
      <c r="H356" s="267">
        <v>2</v>
      </c>
      <c r="I356" s="267">
        <v>0</v>
      </c>
      <c r="R356" s="600"/>
      <c r="S356" s="600"/>
      <c r="T356" s="600"/>
      <c r="U356" s="600"/>
      <c r="V356" s="600"/>
      <c r="W356" s="600"/>
      <c r="X356" s="600"/>
    </row>
    <row r="357" spans="1:24" s="263" customFormat="1" ht="9" customHeight="1" x14ac:dyDescent="0.25">
      <c r="A357" s="263" t="s">
        <v>42</v>
      </c>
      <c r="B357" s="598">
        <f t="shared" si="19"/>
        <v>128</v>
      </c>
      <c r="C357" s="598"/>
      <c r="D357" s="263">
        <v>10</v>
      </c>
      <c r="E357" s="263">
        <v>59</v>
      </c>
      <c r="F357" s="263">
        <v>28</v>
      </c>
      <c r="G357" s="263">
        <v>15</v>
      </c>
      <c r="H357" s="263">
        <v>10</v>
      </c>
      <c r="I357" s="263">
        <v>6</v>
      </c>
      <c r="R357" s="600"/>
      <c r="S357" s="600"/>
      <c r="T357" s="600"/>
      <c r="U357" s="600"/>
      <c r="V357" s="600"/>
      <c r="W357" s="600"/>
      <c r="X357" s="600"/>
    </row>
    <row r="358" spans="1:24" s="263" customFormat="1" ht="9" customHeight="1" x14ac:dyDescent="0.25">
      <c r="A358" s="263" t="s">
        <v>43</v>
      </c>
      <c r="B358" s="598">
        <f t="shared" si="19"/>
        <v>56</v>
      </c>
      <c r="C358" s="598"/>
      <c r="D358" s="263">
        <v>21</v>
      </c>
      <c r="E358" s="263">
        <v>15</v>
      </c>
      <c r="F358" s="263">
        <v>9</v>
      </c>
      <c r="G358" s="263">
        <v>7</v>
      </c>
      <c r="H358" s="263">
        <v>2</v>
      </c>
      <c r="I358" s="263">
        <v>2</v>
      </c>
      <c r="R358" s="600"/>
      <c r="S358" s="600"/>
      <c r="T358" s="600"/>
      <c r="U358" s="600"/>
      <c r="V358" s="600"/>
      <c r="W358" s="600"/>
      <c r="X358" s="600"/>
    </row>
    <row r="359" spans="1:24" s="263" customFormat="1" ht="9" customHeight="1" x14ac:dyDescent="0.25">
      <c r="A359" s="263" t="s">
        <v>44</v>
      </c>
      <c r="B359" s="598">
        <f t="shared" si="19"/>
        <v>31</v>
      </c>
      <c r="C359" s="598"/>
      <c r="D359" s="263">
        <v>13</v>
      </c>
      <c r="E359" s="263">
        <v>13</v>
      </c>
      <c r="F359" s="263">
        <v>5</v>
      </c>
      <c r="G359" s="263">
        <v>0</v>
      </c>
      <c r="H359" s="263">
        <v>0</v>
      </c>
      <c r="I359" s="263">
        <v>0</v>
      </c>
      <c r="R359" s="600"/>
      <c r="S359" s="600"/>
      <c r="T359" s="600"/>
      <c r="U359" s="600"/>
      <c r="V359" s="600"/>
      <c r="W359" s="600"/>
      <c r="X359" s="600"/>
    </row>
    <row r="360" spans="1:24" s="263" customFormat="1" ht="9" customHeight="1" x14ac:dyDescent="0.25">
      <c r="A360" s="267" t="s">
        <v>45</v>
      </c>
      <c r="B360" s="599">
        <f t="shared" si="19"/>
        <v>44</v>
      </c>
      <c r="C360" s="599"/>
      <c r="D360" s="267">
        <v>8</v>
      </c>
      <c r="E360" s="267">
        <v>13</v>
      </c>
      <c r="F360" s="267">
        <v>13</v>
      </c>
      <c r="G360" s="267">
        <v>5</v>
      </c>
      <c r="H360" s="267">
        <v>2</v>
      </c>
      <c r="I360" s="267">
        <v>3</v>
      </c>
      <c r="R360" s="600"/>
      <c r="S360" s="600"/>
      <c r="T360" s="600"/>
      <c r="U360" s="600"/>
      <c r="V360" s="600"/>
      <c r="W360" s="600"/>
      <c r="X360" s="600"/>
    </row>
    <row r="361" spans="1:24" s="263" customFormat="1" ht="9" customHeight="1" x14ac:dyDescent="0.25">
      <c r="A361" s="263" t="s">
        <v>46</v>
      </c>
      <c r="B361" s="598">
        <f t="shared" si="19"/>
        <v>72</v>
      </c>
      <c r="C361" s="598"/>
      <c r="D361" s="263">
        <v>22</v>
      </c>
      <c r="E361" s="263">
        <v>27</v>
      </c>
      <c r="F361" s="263">
        <v>11</v>
      </c>
      <c r="G361" s="263">
        <v>8</v>
      </c>
      <c r="H361" s="263">
        <v>4</v>
      </c>
      <c r="I361" s="263">
        <v>0</v>
      </c>
      <c r="R361" s="600"/>
      <c r="S361" s="600"/>
      <c r="T361" s="600"/>
      <c r="U361" s="600"/>
      <c r="V361" s="600"/>
      <c r="W361" s="600"/>
      <c r="X361" s="600"/>
    </row>
    <row r="362" spans="1:24" s="263" customFormat="1" ht="9" customHeight="1" x14ac:dyDescent="0.25">
      <c r="A362" s="263" t="s">
        <v>47</v>
      </c>
      <c r="B362" s="598">
        <f t="shared" si="19"/>
        <v>53</v>
      </c>
      <c r="C362" s="598"/>
      <c r="D362" s="263">
        <v>9</v>
      </c>
      <c r="E362" s="263">
        <v>22</v>
      </c>
      <c r="F362" s="263">
        <v>12</v>
      </c>
      <c r="G362" s="263">
        <v>5</v>
      </c>
      <c r="H362" s="263">
        <v>5</v>
      </c>
      <c r="I362" s="263">
        <v>0</v>
      </c>
      <c r="R362" s="600"/>
      <c r="S362" s="600"/>
      <c r="T362" s="600"/>
      <c r="U362" s="600"/>
      <c r="V362" s="600"/>
      <c r="W362" s="600"/>
      <c r="X362" s="600"/>
    </row>
    <row r="363" spans="1:24" s="263" customFormat="1" ht="9" customHeight="1" x14ac:dyDescent="0.25">
      <c r="A363" s="263" t="s">
        <v>48</v>
      </c>
      <c r="B363" s="598">
        <f t="shared" si="19"/>
        <v>55</v>
      </c>
      <c r="C363" s="598"/>
      <c r="D363" s="263">
        <v>18</v>
      </c>
      <c r="E363" s="263">
        <v>27</v>
      </c>
      <c r="F363" s="263">
        <v>5</v>
      </c>
      <c r="G363" s="263">
        <v>3</v>
      </c>
      <c r="H363" s="263">
        <v>1</v>
      </c>
      <c r="I363" s="263">
        <v>1</v>
      </c>
      <c r="R363" s="600"/>
      <c r="S363" s="600"/>
      <c r="T363" s="600"/>
      <c r="U363" s="600"/>
      <c r="V363" s="600"/>
      <c r="W363" s="600"/>
      <c r="X363" s="600"/>
    </row>
    <row r="364" spans="1:24" s="263" customFormat="1" ht="9" customHeight="1" x14ac:dyDescent="0.25">
      <c r="A364" s="267" t="s">
        <v>49</v>
      </c>
      <c r="B364" s="599">
        <f t="shared" si="19"/>
        <v>67</v>
      </c>
      <c r="C364" s="599"/>
      <c r="D364" s="267">
        <v>10</v>
      </c>
      <c r="E364" s="267">
        <v>28</v>
      </c>
      <c r="F364" s="267">
        <v>13</v>
      </c>
      <c r="G364" s="267">
        <v>8</v>
      </c>
      <c r="H364" s="267">
        <v>7</v>
      </c>
      <c r="I364" s="267">
        <v>1</v>
      </c>
      <c r="R364" s="600"/>
      <c r="S364" s="600"/>
      <c r="T364" s="600"/>
      <c r="U364" s="600"/>
      <c r="V364" s="600"/>
      <c r="W364" s="600"/>
      <c r="X364" s="600"/>
    </row>
    <row r="365" spans="1:24" s="263" customFormat="1" ht="9" customHeight="1" x14ac:dyDescent="0.25">
      <c r="A365" s="263" t="s">
        <v>50</v>
      </c>
      <c r="B365" s="598">
        <f t="shared" si="19"/>
        <v>47</v>
      </c>
      <c r="C365" s="598"/>
      <c r="D365" s="263">
        <v>21</v>
      </c>
      <c r="E365" s="263">
        <v>17</v>
      </c>
      <c r="F365" s="263">
        <v>6</v>
      </c>
      <c r="G365" s="263">
        <v>3</v>
      </c>
      <c r="H365" s="263">
        <v>0</v>
      </c>
      <c r="I365" s="263">
        <v>0</v>
      </c>
      <c r="R365" s="600"/>
      <c r="S365" s="600"/>
      <c r="T365" s="600"/>
      <c r="U365" s="600"/>
      <c r="V365" s="600"/>
      <c r="W365" s="600"/>
      <c r="X365" s="600"/>
    </row>
    <row r="366" spans="1:24" s="263" customFormat="1" ht="9" customHeight="1" x14ac:dyDescent="0.25">
      <c r="A366" s="263" t="s">
        <v>51</v>
      </c>
      <c r="B366" s="598">
        <f t="shared" si="19"/>
        <v>169</v>
      </c>
      <c r="C366" s="598"/>
      <c r="D366" s="263">
        <v>42</v>
      </c>
      <c r="E366" s="263">
        <v>80</v>
      </c>
      <c r="F366" s="263">
        <v>24</v>
      </c>
      <c r="G366" s="263">
        <v>18</v>
      </c>
      <c r="H366" s="263">
        <v>4</v>
      </c>
      <c r="I366" s="263">
        <v>1</v>
      </c>
      <c r="R366" s="600"/>
      <c r="S366" s="600"/>
      <c r="T366" s="600"/>
      <c r="U366" s="600"/>
      <c r="V366" s="600"/>
      <c r="W366" s="600"/>
      <c r="X366" s="600"/>
    </row>
    <row r="367" spans="1:24" s="263" customFormat="1" ht="9" customHeight="1" x14ac:dyDescent="0.25">
      <c r="A367" s="263" t="s">
        <v>52</v>
      </c>
      <c r="B367" s="598">
        <f t="shared" si="19"/>
        <v>36</v>
      </c>
      <c r="C367" s="598"/>
      <c r="D367" s="263">
        <v>11</v>
      </c>
      <c r="E367" s="263">
        <v>15</v>
      </c>
      <c r="F367" s="263">
        <v>1</v>
      </c>
      <c r="G367" s="263">
        <v>6</v>
      </c>
      <c r="H367" s="263">
        <v>1</v>
      </c>
      <c r="I367" s="263">
        <v>2</v>
      </c>
      <c r="R367" s="600"/>
      <c r="S367" s="600"/>
      <c r="T367" s="600"/>
      <c r="U367" s="600"/>
      <c r="V367" s="600"/>
      <c r="W367" s="600"/>
      <c r="X367" s="600"/>
    </row>
    <row r="368" spans="1:24" s="263" customFormat="1" ht="9" customHeight="1" x14ac:dyDescent="0.25">
      <c r="A368" s="267" t="s">
        <v>53</v>
      </c>
      <c r="B368" s="599">
        <f t="shared" si="19"/>
        <v>35</v>
      </c>
      <c r="C368" s="599"/>
      <c r="D368" s="267">
        <v>5</v>
      </c>
      <c r="E368" s="267">
        <v>16</v>
      </c>
      <c r="F368" s="267">
        <v>7</v>
      </c>
      <c r="G368" s="267">
        <v>4</v>
      </c>
      <c r="H368" s="267">
        <v>2</v>
      </c>
      <c r="I368" s="267">
        <v>1</v>
      </c>
      <c r="R368" s="600"/>
      <c r="S368" s="600"/>
      <c r="T368" s="600"/>
      <c r="U368" s="600"/>
      <c r="V368" s="600"/>
      <c r="W368" s="600"/>
      <c r="X368" s="600"/>
    </row>
    <row r="369" spans="1:24" s="263" customFormat="1" ht="9" customHeight="1" x14ac:dyDescent="0.25">
      <c r="A369" s="286"/>
      <c r="B369" s="613"/>
      <c r="C369" s="613"/>
      <c r="D369" s="286"/>
      <c r="E369" s="286"/>
      <c r="F369" s="286"/>
      <c r="G369" s="286"/>
      <c r="H369" s="286"/>
      <c r="I369" s="286"/>
      <c r="R369" s="600"/>
      <c r="S369" s="600"/>
      <c r="T369" s="600"/>
      <c r="U369" s="600"/>
      <c r="V369" s="600"/>
      <c r="W369" s="600"/>
      <c r="X369" s="600"/>
    </row>
    <row r="370" spans="1:24" s="263" customFormat="1" ht="9" customHeight="1" x14ac:dyDescent="0.25">
      <c r="A370" s="261">
        <v>2005</v>
      </c>
      <c r="B370" s="262"/>
      <c r="C370" s="262"/>
      <c r="D370" s="262"/>
      <c r="E370" s="262"/>
      <c r="F370" s="262"/>
      <c r="G370" s="262"/>
      <c r="H370" s="262"/>
      <c r="I370" s="262"/>
      <c r="R370" s="600"/>
      <c r="S370" s="600"/>
      <c r="T370" s="600"/>
      <c r="U370" s="600"/>
      <c r="V370" s="600"/>
      <c r="W370" s="600"/>
      <c r="X370" s="600"/>
    </row>
    <row r="371" spans="1:24" s="263" customFormat="1" ht="9" customHeight="1" x14ac:dyDescent="0.25">
      <c r="A371" s="265" t="s">
        <v>21</v>
      </c>
      <c r="B371" s="597">
        <f>SUM(B373:B404)</f>
        <v>3172</v>
      </c>
      <c r="C371" s="597"/>
      <c r="D371" s="597">
        <f t="shared" ref="D371:I371" si="20">SUM(D373:D404)</f>
        <v>850</v>
      </c>
      <c r="E371" s="597">
        <f t="shared" si="20"/>
        <v>1344</v>
      </c>
      <c r="F371" s="597">
        <f t="shared" si="20"/>
        <v>505</v>
      </c>
      <c r="G371" s="597">
        <f t="shared" si="20"/>
        <v>248</v>
      </c>
      <c r="H371" s="597">
        <f t="shared" si="20"/>
        <v>149</v>
      </c>
      <c r="I371" s="597">
        <f t="shared" si="20"/>
        <v>76</v>
      </c>
      <c r="J371" s="600"/>
      <c r="R371" s="600"/>
      <c r="S371" s="600"/>
      <c r="T371" s="600"/>
      <c r="U371" s="600"/>
      <c r="V371" s="600"/>
      <c r="W371" s="600"/>
      <c r="X371" s="600"/>
    </row>
    <row r="372" spans="1:24" s="263" customFormat="1" ht="3.95" customHeight="1" x14ac:dyDescent="0.25">
      <c r="A372" s="265"/>
      <c r="B372" s="597"/>
      <c r="C372" s="597"/>
      <c r="D372" s="597"/>
      <c r="E372" s="597"/>
      <c r="F372" s="597"/>
      <c r="G372" s="597"/>
      <c r="H372" s="597"/>
      <c r="I372" s="597"/>
      <c r="J372" s="600"/>
      <c r="R372" s="600"/>
      <c r="S372" s="600"/>
      <c r="T372" s="600"/>
      <c r="U372" s="600"/>
      <c r="V372" s="600"/>
      <c r="W372" s="600"/>
      <c r="X372" s="600"/>
    </row>
    <row r="373" spans="1:24" s="263" customFormat="1" ht="9" customHeight="1" x14ac:dyDescent="0.25">
      <c r="A373" s="263" t="s">
        <v>23</v>
      </c>
      <c r="B373" s="598">
        <f t="shared" ref="B373:B404" si="21">SUM(D373:I373)</f>
        <v>19</v>
      </c>
      <c r="C373" s="598"/>
      <c r="D373" s="263">
        <v>2</v>
      </c>
      <c r="E373" s="263">
        <v>6</v>
      </c>
      <c r="F373" s="263">
        <v>4</v>
      </c>
      <c r="G373" s="263">
        <v>1</v>
      </c>
      <c r="H373" s="263">
        <v>4</v>
      </c>
      <c r="I373" s="263">
        <v>2</v>
      </c>
      <c r="R373" s="600"/>
      <c r="S373" s="600"/>
      <c r="T373" s="600"/>
      <c r="U373" s="600"/>
      <c r="V373" s="600"/>
      <c r="W373" s="600"/>
      <c r="X373" s="600"/>
    </row>
    <row r="374" spans="1:24" s="263" customFormat="1" ht="9" customHeight="1" x14ac:dyDescent="0.25">
      <c r="A374" s="263" t="s">
        <v>24</v>
      </c>
      <c r="B374" s="598">
        <f t="shared" si="21"/>
        <v>141</v>
      </c>
      <c r="C374" s="598"/>
      <c r="D374" s="598">
        <v>47</v>
      </c>
      <c r="E374" s="598">
        <v>61</v>
      </c>
      <c r="F374" s="598">
        <v>11</v>
      </c>
      <c r="G374" s="598">
        <v>13</v>
      </c>
      <c r="H374" s="598">
        <v>8</v>
      </c>
      <c r="I374" s="598">
        <v>1</v>
      </c>
      <c r="R374" s="600"/>
      <c r="S374" s="600"/>
      <c r="T374" s="600"/>
      <c r="U374" s="600"/>
      <c r="V374" s="600"/>
      <c r="W374" s="600"/>
      <c r="X374" s="600"/>
    </row>
    <row r="375" spans="1:24" s="263" customFormat="1" ht="9" customHeight="1" x14ac:dyDescent="0.25">
      <c r="A375" s="263" t="s">
        <v>25</v>
      </c>
      <c r="B375" s="598">
        <f t="shared" si="21"/>
        <v>14</v>
      </c>
      <c r="C375" s="598"/>
      <c r="D375" s="263">
        <v>5</v>
      </c>
      <c r="E375" s="263">
        <v>6</v>
      </c>
      <c r="F375" s="263">
        <v>3</v>
      </c>
      <c r="G375" s="263">
        <v>0</v>
      </c>
      <c r="H375" s="263">
        <v>0</v>
      </c>
      <c r="I375" s="263">
        <v>0</v>
      </c>
      <c r="R375" s="600"/>
      <c r="S375" s="600"/>
      <c r="T375" s="600"/>
      <c r="U375" s="600"/>
      <c r="V375" s="600"/>
      <c r="W375" s="600"/>
      <c r="X375" s="600"/>
    </row>
    <row r="376" spans="1:24" s="263" customFormat="1" ht="9" customHeight="1" x14ac:dyDescent="0.25">
      <c r="A376" s="267" t="s">
        <v>26</v>
      </c>
      <c r="B376" s="599">
        <f t="shared" si="21"/>
        <v>10</v>
      </c>
      <c r="C376" s="599"/>
      <c r="D376" s="267">
        <v>4</v>
      </c>
      <c r="E376" s="267">
        <v>3</v>
      </c>
      <c r="F376" s="267">
        <v>2</v>
      </c>
      <c r="G376" s="267">
        <v>1</v>
      </c>
      <c r="H376" s="267">
        <v>0</v>
      </c>
      <c r="I376" s="267">
        <v>0</v>
      </c>
      <c r="R376" s="600"/>
      <c r="S376" s="600"/>
      <c r="T376" s="600"/>
      <c r="U376" s="600"/>
      <c r="V376" s="600"/>
      <c r="W376" s="600"/>
      <c r="X376" s="600"/>
    </row>
    <row r="377" spans="1:24" s="263" customFormat="1" ht="9" customHeight="1" x14ac:dyDescent="0.25">
      <c r="A377" s="263" t="s">
        <v>27</v>
      </c>
      <c r="B377" s="598">
        <f t="shared" si="21"/>
        <v>31</v>
      </c>
      <c r="C377" s="598"/>
      <c r="D377" s="263">
        <v>6</v>
      </c>
      <c r="E377" s="263">
        <v>7</v>
      </c>
      <c r="F377" s="263">
        <v>8</v>
      </c>
      <c r="G377" s="263">
        <v>4</v>
      </c>
      <c r="H377" s="263">
        <v>6</v>
      </c>
      <c r="I377" s="263">
        <v>0</v>
      </c>
      <c r="R377" s="600"/>
      <c r="S377" s="600"/>
      <c r="T377" s="600"/>
      <c r="U377" s="600"/>
      <c r="V377" s="600"/>
      <c r="W377" s="600"/>
      <c r="X377" s="600"/>
    </row>
    <row r="378" spans="1:24" s="263" customFormat="1" ht="9" customHeight="1" x14ac:dyDescent="0.25">
      <c r="A378" s="263" t="s">
        <v>28</v>
      </c>
      <c r="B378" s="598">
        <f t="shared" si="21"/>
        <v>12</v>
      </c>
      <c r="C378" s="598"/>
      <c r="D378" s="263">
        <v>0</v>
      </c>
      <c r="E378" s="263">
        <v>5</v>
      </c>
      <c r="F378" s="263">
        <v>5</v>
      </c>
      <c r="G378" s="263">
        <v>2</v>
      </c>
      <c r="H378" s="263">
        <v>0</v>
      </c>
      <c r="I378" s="263">
        <v>0</v>
      </c>
      <c r="R378" s="600"/>
      <c r="S378" s="600"/>
      <c r="T378" s="600"/>
      <c r="U378" s="600"/>
      <c r="V378" s="600"/>
      <c r="W378" s="600"/>
      <c r="X378" s="600"/>
    </row>
    <row r="379" spans="1:24" s="263" customFormat="1" ht="9" customHeight="1" x14ac:dyDescent="0.25">
      <c r="A379" s="263" t="s">
        <v>29</v>
      </c>
      <c r="B379" s="598">
        <f t="shared" si="21"/>
        <v>76</v>
      </c>
      <c r="C379" s="598"/>
      <c r="D379" s="263">
        <v>21</v>
      </c>
      <c r="E379" s="263">
        <v>37</v>
      </c>
      <c r="F379" s="263">
        <v>11</v>
      </c>
      <c r="G379" s="263">
        <v>4</v>
      </c>
      <c r="H379" s="263">
        <v>2</v>
      </c>
      <c r="I379" s="263">
        <v>1</v>
      </c>
      <c r="R379" s="600"/>
      <c r="S379" s="600"/>
      <c r="T379" s="600"/>
      <c r="U379" s="600"/>
      <c r="V379" s="600"/>
      <c r="W379" s="600"/>
      <c r="X379" s="600"/>
    </row>
    <row r="380" spans="1:24" s="263" customFormat="1" ht="9" customHeight="1" x14ac:dyDescent="0.25">
      <c r="A380" s="267" t="s">
        <v>30</v>
      </c>
      <c r="B380" s="599">
        <f t="shared" si="21"/>
        <v>66</v>
      </c>
      <c r="C380" s="599"/>
      <c r="D380" s="267">
        <v>10</v>
      </c>
      <c r="E380" s="267">
        <v>26</v>
      </c>
      <c r="F380" s="267">
        <v>13</v>
      </c>
      <c r="G380" s="267">
        <v>7</v>
      </c>
      <c r="H380" s="267">
        <v>3</v>
      </c>
      <c r="I380" s="267">
        <v>7</v>
      </c>
      <c r="R380" s="600"/>
      <c r="S380" s="600"/>
      <c r="T380" s="600"/>
      <c r="U380" s="600"/>
      <c r="V380" s="600"/>
      <c r="W380" s="600"/>
      <c r="X380" s="600"/>
    </row>
    <row r="381" spans="1:24" s="263" customFormat="1" ht="9" customHeight="1" x14ac:dyDescent="0.25">
      <c r="A381" s="263" t="s">
        <v>63</v>
      </c>
      <c r="B381" s="598">
        <f t="shared" si="21"/>
        <v>328</v>
      </c>
      <c r="C381" s="598"/>
      <c r="D381" s="263">
        <v>87</v>
      </c>
      <c r="E381" s="263">
        <v>132</v>
      </c>
      <c r="F381" s="263">
        <v>45</v>
      </c>
      <c r="G381" s="263">
        <v>22</v>
      </c>
      <c r="H381" s="263">
        <v>20</v>
      </c>
      <c r="I381" s="263">
        <v>22</v>
      </c>
      <c r="R381" s="600"/>
      <c r="S381" s="600"/>
      <c r="T381" s="600"/>
      <c r="U381" s="600"/>
      <c r="V381" s="600"/>
      <c r="W381" s="600"/>
      <c r="X381" s="600"/>
    </row>
    <row r="382" spans="1:24" s="263" customFormat="1" ht="9" customHeight="1" x14ac:dyDescent="0.25">
      <c r="A382" s="263" t="s">
        <v>31</v>
      </c>
      <c r="B382" s="598">
        <f t="shared" si="21"/>
        <v>37</v>
      </c>
      <c r="C382" s="598"/>
      <c r="D382" s="263">
        <v>7</v>
      </c>
      <c r="E382" s="263">
        <v>19</v>
      </c>
      <c r="F382" s="263">
        <v>5</v>
      </c>
      <c r="G382" s="263">
        <v>5</v>
      </c>
      <c r="H382" s="263">
        <v>1</v>
      </c>
      <c r="I382" s="263">
        <v>0</v>
      </c>
      <c r="R382" s="600"/>
      <c r="S382" s="600"/>
      <c r="T382" s="600"/>
      <c r="U382" s="600"/>
      <c r="V382" s="600"/>
      <c r="W382" s="600"/>
      <c r="X382" s="600"/>
    </row>
    <row r="383" spans="1:24" s="263" customFormat="1" ht="9" customHeight="1" x14ac:dyDescent="0.25">
      <c r="A383" s="263" t="s">
        <v>32</v>
      </c>
      <c r="B383" s="598">
        <f t="shared" si="21"/>
        <v>219</v>
      </c>
      <c r="C383" s="598"/>
      <c r="D383" s="263">
        <v>35</v>
      </c>
      <c r="E383" s="263">
        <v>101</v>
      </c>
      <c r="F383" s="263">
        <v>51</v>
      </c>
      <c r="G383" s="263">
        <v>16</v>
      </c>
      <c r="H383" s="263">
        <v>13</v>
      </c>
      <c r="I383" s="263">
        <v>3</v>
      </c>
      <c r="R383" s="600"/>
      <c r="S383" s="600"/>
      <c r="T383" s="600"/>
      <c r="U383" s="600"/>
      <c r="V383" s="600"/>
      <c r="W383" s="600"/>
      <c r="X383" s="600"/>
    </row>
    <row r="384" spans="1:24" s="263" customFormat="1" ht="9" customHeight="1" x14ac:dyDescent="0.25">
      <c r="A384" s="267" t="s">
        <v>33</v>
      </c>
      <c r="B384" s="599">
        <f t="shared" si="21"/>
        <v>109</v>
      </c>
      <c r="C384" s="599"/>
      <c r="D384" s="267">
        <v>35</v>
      </c>
      <c r="E384" s="267">
        <v>48</v>
      </c>
      <c r="F384" s="267">
        <v>15</v>
      </c>
      <c r="G384" s="267">
        <v>9</v>
      </c>
      <c r="H384" s="267">
        <v>2</v>
      </c>
      <c r="I384" s="267">
        <v>0</v>
      </c>
      <c r="R384" s="600"/>
      <c r="S384" s="600"/>
      <c r="T384" s="600"/>
      <c r="U384" s="600"/>
      <c r="V384" s="600"/>
      <c r="W384" s="600"/>
      <c r="X384" s="600"/>
    </row>
    <row r="385" spans="1:24" s="263" customFormat="1" ht="9" customHeight="1" x14ac:dyDescent="0.25">
      <c r="A385" s="263" t="s">
        <v>34</v>
      </c>
      <c r="B385" s="598">
        <f t="shared" si="21"/>
        <v>90</v>
      </c>
      <c r="C385" s="598"/>
      <c r="D385" s="263">
        <v>29</v>
      </c>
      <c r="E385" s="263">
        <v>43</v>
      </c>
      <c r="F385" s="263">
        <v>13</v>
      </c>
      <c r="G385" s="263">
        <v>3</v>
      </c>
      <c r="H385" s="263">
        <v>2</v>
      </c>
      <c r="I385" s="263">
        <v>0</v>
      </c>
      <c r="R385" s="600"/>
      <c r="S385" s="600"/>
      <c r="T385" s="600"/>
      <c r="U385" s="600"/>
      <c r="V385" s="600"/>
      <c r="W385" s="600"/>
      <c r="X385" s="600"/>
    </row>
    <row r="386" spans="1:24" s="263" customFormat="1" ht="9" customHeight="1" x14ac:dyDescent="0.25">
      <c r="A386" s="263" t="s">
        <v>35</v>
      </c>
      <c r="B386" s="598">
        <f t="shared" si="21"/>
        <v>190</v>
      </c>
      <c r="C386" s="598"/>
      <c r="D386" s="263">
        <v>31</v>
      </c>
      <c r="E386" s="263">
        <v>67</v>
      </c>
      <c r="F386" s="263">
        <v>42</v>
      </c>
      <c r="G386" s="263">
        <v>24</v>
      </c>
      <c r="H386" s="263">
        <v>17</v>
      </c>
      <c r="I386" s="263">
        <v>9</v>
      </c>
      <c r="R386" s="600"/>
      <c r="S386" s="600"/>
      <c r="T386" s="600"/>
      <c r="U386" s="600"/>
      <c r="V386" s="600"/>
      <c r="W386" s="600"/>
      <c r="X386" s="600"/>
    </row>
    <row r="387" spans="1:24" s="263" customFormat="1" ht="9" customHeight="1" x14ac:dyDescent="0.25">
      <c r="A387" s="263" t="s">
        <v>36</v>
      </c>
      <c r="B387" s="598">
        <f t="shared" si="21"/>
        <v>554</v>
      </c>
      <c r="C387" s="598"/>
      <c r="D387" s="263">
        <v>203</v>
      </c>
      <c r="E387" s="263">
        <v>251</v>
      </c>
      <c r="F387" s="263">
        <v>67</v>
      </c>
      <c r="G387" s="263">
        <v>22</v>
      </c>
      <c r="H387" s="263">
        <v>9</v>
      </c>
      <c r="I387" s="263">
        <v>2</v>
      </c>
      <c r="R387" s="600"/>
      <c r="S387" s="600"/>
      <c r="T387" s="600"/>
      <c r="U387" s="600"/>
      <c r="V387" s="600"/>
      <c r="W387" s="600"/>
      <c r="X387" s="600"/>
    </row>
    <row r="388" spans="1:24" s="263" customFormat="1" ht="9" customHeight="1" x14ac:dyDescent="0.25">
      <c r="A388" s="267" t="s">
        <v>37</v>
      </c>
      <c r="B388" s="599">
        <f t="shared" si="21"/>
        <v>217</v>
      </c>
      <c r="C388" s="599"/>
      <c r="D388" s="267">
        <v>49</v>
      </c>
      <c r="E388" s="267">
        <v>95</v>
      </c>
      <c r="F388" s="267">
        <v>42</v>
      </c>
      <c r="G388" s="267">
        <v>19</v>
      </c>
      <c r="H388" s="267">
        <v>8</v>
      </c>
      <c r="I388" s="267">
        <v>4</v>
      </c>
      <c r="R388" s="600"/>
      <c r="S388" s="600"/>
      <c r="T388" s="600"/>
      <c r="U388" s="600"/>
      <c r="V388" s="600"/>
      <c r="W388" s="600"/>
      <c r="X388" s="600"/>
    </row>
    <row r="389" spans="1:24" s="263" customFormat="1" ht="9" customHeight="1" x14ac:dyDescent="0.25">
      <c r="A389" s="263" t="s">
        <v>38</v>
      </c>
      <c r="B389" s="598">
        <f t="shared" si="21"/>
        <v>70</v>
      </c>
      <c r="C389" s="598"/>
      <c r="D389" s="263">
        <v>28</v>
      </c>
      <c r="E389" s="263">
        <v>32</v>
      </c>
      <c r="F389" s="263">
        <v>5</v>
      </c>
      <c r="G389" s="263">
        <v>4</v>
      </c>
      <c r="H389" s="263">
        <v>1</v>
      </c>
      <c r="I389" s="263">
        <v>0</v>
      </c>
      <c r="R389" s="600"/>
      <c r="S389" s="600"/>
      <c r="T389" s="600"/>
      <c r="U389" s="600"/>
      <c r="V389" s="600"/>
      <c r="W389" s="600"/>
      <c r="X389" s="600"/>
    </row>
    <row r="390" spans="1:24" s="263" customFormat="1" ht="9" customHeight="1" x14ac:dyDescent="0.25">
      <c r="A390" s="263" t="s">
        <v>39</v>
      </c>
      <c r="B390" s="598">
        <f t="shared" si="21"/>
        <v>20</v>
      </c>
      <c r="C390" s="598"/>
      <c r="D390" s="263">
        <v>9</v>
      </c>
      <c r="E390" s="263">
        <v>8</v>
      </c>
      <c r="F390" s="263">
        <v>0</v>
      </c>
      <c r="G390" s="263">
        <v>1</v>
      </c>
      <c r="H390" s="263">
        <v>2</v>
      </c>
      <c r="I390" s="263">
        <v>0</v>
      </c>
      <c r="R390" s="600"/>
      <c r="S390" s="600"/>
      <c r="T390" s="600"/>
      <c r="U390" s="600"/>
      <c r="V390" s="600"/>
      <c r="W390" s="600"/>
      <c r="X390" s="600"/>
    </row>
    <row r="391" spans="1:24" s="263" customFormat="1" ht="9" customHeight="1" x14ac:dyDescent="0.25">
      <c r="A391" s="263" t="s">
        <v>40</v>
      </c>
      <c r="B391" s="598">
        <f t="shared" si="21"/>
        <v>52</v>
      </c>
      <c r="C391" s="598"/>
      <c r="D391" s="263">
        <v>10</v>
      </c>
      <c r="E391" s="263">
        <v>17</v>
      </c>
      <c r="F391" s="263">
        <v>6</v>
      </c>
      <c r="G391" s="263">
        <v>4</v>
      </c>
      <c r="H391" s="263">
        <v>7</v>
      </c>
      <c r="I391" s="263">
        <v>8</v>
      </c>
      <c r="R391" s="600"/>
      <c r="S391" s="600"/>
      <c r="T391" s="600"/>
      <c r="U391" s="600"/>
      <c r="V391" s="600"/>
      <c r="W391" s="600"/>
      <c r="X391" s="600"/>
    </row>
    <row r="392" spans="1:24" s="263" customFormat="1" ht="9" customHeight="1" x14ac:dyDescent="0.25">
      <c r="A392" s="267" t="s">
        <v>41</v>
      </c>
      <c r="B392" s="599">
        <f t="shared" si="21"/>
        <v>95</v>
      </c>
      <c r="C392" s="599"/>
      <c r="D392" s="267">
        <v>34</v>
      </c>
      <c r="E392" s="267">
        <v>36</v>
      </c>
      <c r="F392" s="267">
        <v>17</v>
      </c>
      <c r="G392" s="267">
        <v>6</v>
      </c>
      <c r="H392" s="267">
        <v>2</v>
      </c>
      <c r="I392" s="267">
        <v>0</v>
      </c>
      <c r="R392" s="600"/>
      <c r="S392" s="600"/>
      <c r="T392" s="600"/>
      <c r="U392" s="600"/>
      <c r="V392" s="600"/>
      <c r="W392" s="600"/>
      <c r="X392" s="600"/>
    </row>
    <row r="393" spans="1:24" s="263" customFormat="1" ht="9" customHeight="1" x14ac:dyDescent="0.25">
      <c r="A393" s="263" t="s">
        <v>42</v>
      </c>
      <c r="B393" s="598">
        <f t="shared" si="21"/>
        <v>147</v>
      </c>
      <c r="C393" s="598"/>
      <c r="D393" s="263">
        <v>14</v>
      </c>
      <c r="E393" s="263">
        <v>72</v>
      </c>
      <c r="F393" s="263">
        <v>30</v>
      </c>
      <c r="G393" s="263">
        <v>15</v>
      </c>
      <c r="H393" s="263">
        <v>10</v>
      </c>
      <c r="I393" s="263">
        <v>6</v>
      </c>
      <c r="R393" s="600"/>
      <c r="S393" s="600"/>
      <c r="T393" s="600"/>
      <c r="U393" s="600"/>
      <c r="V393" s="600"/>
      <c r="W393" s="600"/>
      <c r="X393" s="600"/>
    </row>
    <row r="394" spans="1:24" s="263" customFormat="1" ht="9" customHeight="1" x14ac:dyDescent="0.25">
      <c r="A394" s="263" t="s">
        <v>43</v>
      </c>
      <c r="B394" s="598">
        <f t="shared" si="21"/>
        <v>54</v>
      </c>
      <c r="C394" s="598"/>
      <c r="D394" s="263">
        <v>20</v>
      </c>
      <c r="E394" s="263">
        <v>17</v>
      </c>
      <c r="F394" s="263">
        <v>6</v>
      </c>
      <c r="G394" s="263">
        <v>7</v>
      </c>
      <c r="H394" s="263">
        <v>2</v>
      </c>
      <c r="I394" s="263">
        <v>2</v>
      </c>
      <c r="R394" s="600"/>
      <c r="S394" s="600"/>
      <c r="T394" s="600"/>
      <c r="U394" s="600"/>
      <c r="V394" s="600"/>
      <c r="W394" s="600"/>
      <c r="X394" s="600"/>
    </row>
    <row r="395" spans="1:24" s="263" customFormat="1" ht="9" customHeight="1" x14ac:dyDescent="0.25">
      <c r="A395" s="263" t="s">
        <v>44</v>
      </c>
      <c r="B395" s="598">
        <f t="shared" si="21"/>
        <v>34</v>
      </c>
      <c r="C395" s="598"/>
      <c r="D395" s="263">
        <v>13</v>
      </c>
      <c r="E395" s="263">
        <v>14</v>
      </c>
      <c r="F395" s="263">
        <v>4</v>
      </c>
      <c r="G395" s="263">
        <v>1</v>
      </c>
      <c r="H395" s="263">
        <v>2</v>
      </c>
      <c r="I395" s="263">
        <v>0</v>
      </c>
      <c r="R395" s="600"/>
      <c r="S395" s="600"/>
      <c r="T395" s="600"/>
      <c r="U395" s="600"/>
      <c r="V395" s="600"/>
      <c r="W395" s="600"/>
      <c r="X395" s="600"/>
    </row>
    <row r="396" spans="1:24" s="263" customFormat="1" ht="9" customHeight="1" x14ac:dyDescent="0.25">
      <c r="A396" s="267" t="s">
        <v>45</v>
      </c>
      <c r="B396" s="599">
        <f t="shared" si="21"/>
        <v>52</v>
      </c>
      <c r="C396" s="599"/>
      <c r="D396" s="267">
        <v>9</v>
      </c>
      <c r="E396" s="267">
        <v>19</v>
      </c>
      <c r="F396" s="267">
        <v>12</v>
      </c>
      <c r="G396" s="267">
        <v>5</v>
      </c>
      <c r="H396" s="267">
        <v>5</v>
      </c>
      <c r="I396" s="267">
        <v>2</v>
      </c>
      <c r="R396" s="600"/>
      <c r="S396" s="600"/>
      <c r="T396" s="600"/>
      <c r="U396" s="600"/>
      <c r="V396" s="600"/>
      <c r="W396" s="600"/>
      <c r="X396" s="600"/>
    </row>
    <row r="397" spans="1:24" s="263" customFormat="1" ht="9" customHeight="1" x14ac:dyDescent="0.25">
      <c r="A397" s="263" t="s">
        <v>46</v>
      </c>
      <c r="B397" s="598">
        <f t="shared" si="21"/>
        <v>75</v>
      </c>
      <c r="C397" s="598"/>
      <c r="D397" s="263">
        <v>26</v>
      </c>
      <c r="E397" s="263">
        <v>25</v>
      </c>
      <c r="F397" s="263">
        <v>13</v>
      </c>
      <c r="G397" s="263">
        <v>7</v>
      </c>
      <c r="H397" s="263">
        <v>4</v>
      </c>
      <c r="I397" s="263">
        <v>0</v>
      </c>
      <c r="R397" s="600"/>
      <c r="S397" s="600"/>
      <c r="T397" s="600"/>
      <c r="U397" s="600"/>
      <c r="V397" s="600"/>
      <c r="W397" s="600"/>
      <c r="X397" s="600"/>
    </row>
    <row r="398" spans="1:24" s="263" customFormat="1" ht="9" customHeight="1" x14ac:dyDescent="0.25">
      <c r="A398" s="263" t="s">
        <v>47</v>
      </c>
      <c r="B398" s="598">
        <f t="shared" si="21"/>
        <v>53</v>
      </c>
      <c r="C398" s="598"/>
      <c r="D398" s="263">
        <v>9</v>
      </c>
      <c r="E398" s="263">
        <v>21</v>
      </c>
      <c r="F398" s="263">
        <v>12</v>
      </c>
      <c r="G398" s="263">
        <v>6</v>
      </c>
      <c r="H398" s="263">
        <v>5</v>
      </c>
      <c r="I398" s="263">
        <v>0</v>
      </c>
      <c r="R398" s="600"/>
      <c r="S398" s="600"/>
      <c r="T398" s="600"/>
      <c r="U398" s="600"/>
      <c r="V398" s="600"/>
      <c r="W398" s="600"/>
      <c r="X398" s="600"/>
    </row>
    <row r="399" spans="1:24" s="263" customFormat="1" ht="9" customHeight="1" x14ac:dyDescent="0.25">
      <c r="A399" s="263" t="s">
        <v>48</v>
      </c>
      <c r="B399" s="598">
        <f t="shared" si="21"/>
        <v>53</v>
      </c>
      <c r="C399" s="598"/>
      <c r="D399" s="263">
        <v>17</v>
      </c>
      <c r="E399" s="263">
        <v>23</v>
      </c>
      <c r="F399" s="263">
        <v>9</v>
      </c>
      <c r="G399" s="263">
        <v>2</v>
      </c>
      <c r="H399" s="263">
        <v>1</v>
      </c>
      <c r="I399" s="263">
        <v>1</v>
      </c>
      <c r="R399" s="600"/>
      <c r="S399" s="600"/>
      <c r="T399" s="600"/>
      <c r="U399" s="600"/>
      <c r="V399" s="600"/>
      <c r="W399" s="600"/>
      <c r="X399" s="600"/>
    </row>
    <row r="400" spans="1:24" s="263" customFormat="1" ht="9" customHeight="1" x14ac:dyDescent="0.25">
      <c r="A400" s="267" t="s">
        <v>49</v>
      </c>
      <c r="B400" s="599">
        <f t="shared" si="21"/>
        <v>63</v>
      </c>
      <c r="C400" s="599"/>
      <c r="D400" s="267">
        <v>8</v>
      </c>
      <c r="E400" s="267">
        <v>27</v>
      </c>
      <c r="F400" s="267">
        <v>12</v>
      </c>
      <c r="G400" s="267">
        <v>8</v>
      </c>
      <c r="H400" s="267">
        <v>7</v>
      </c>
      <c r="I400" s="267">
        <v>1</v>
      </c>
      <c r="R400" s="600"/>
      <c r="S400" s="600"/>
      <c r="T400" s="600"/>
      <c r="U400" s="600"/>
      <c r="V400" s="600"/>
      <c r="W400" s="600"/>
      <c r="X400" s="600"/>
    </row>
    <row r="401" spans="1:24" s="263" customFormat="1" ht="9" customHeight="1" x14ac:dyDescent="0.25">
      <c r="A401" s="263" t="s">
        <v>50</v>
      </c>
      <c r="B401" s="598">
        <f t="shared" si="21"/>
        <v>50</v>
      </c>
      <c r="C401" s="598"/>
      <c r="D401" s="263">
        <v>21</v>
      </c>
      <c r="E401" s="263">
        <v>21</v>
      </c>
      <c r="F401" s="263">
        <v>5</v>
      </c>
      <c r="G401" s="263">
        <v>3</v>
      </c>
      <c r="H401" s="263">
        <v>0</v>
      </c>
      <c r="I401" s="263">
        <v>0</v>
      </c>
      <c r="R401" s="600"/>
      <c r="S401" s="600"/>
      <c r="T401" s="600"/>
      <c r="U401" s="600"/>
      <c r="V401" s="600"/>
      <c r="W401" s="600"/>
      <c r="X401" s="600"/>
    </row>
    <row r="402" spans="1:24" s="263" customFormat="1" ht="9" customHeight="1" x14ac:dyDescent="0.25">
      <c r="A402" s="263" t="s">
        <v>51</v>
      </c>
      <c r="B402" s="598">
        <f t="shared" si="21"/>
        <v>163</v>
      </c>
      <c r="C402" s="598"/>
      <c r="D402" s="263">
        <v>42</v>
      </c>
      <c r="E402" s="263">
        <v>72</v>
      </c>
      <c r="F402" s="263">
        <v>28</v>
      </c>
      <c r="G402" s="263">
        <v>16</v>
      </c>
      <c r="H402" s="263">
        <v>3</v>
      </c>
      <c r="I402" s="263">
        <v>2</v>
      </c>
      <c r="R402" s="600"/>
      <c r="S402" s="600"/>
      <c r="T402" s="600"/>
      <c r="U402" s="600"/>
      <c r="V402" s="600"/>
      <c r="W402" s="600"/>
      <c r="X402" s="600"/>
    </row>
    <row r="403" spans="1:24" s="263" customFormat="1" ht="9" customHeight="1" x14ac:dyDescent="0.25">
      <c r="A403" s="263" t="s">
        <v>52</v>
      </c>
      <c r="B403" s="598">
        <f t="shared" si="21"/>
        <v>41</v>
      </c>
      <c r="C403" s="598"/>
      <c r="D403" s="263">
        <v>13</v>
      </c>
      <c r="E403" s="263">
        <v>17</v>
      </c>
      <c r="F403" s="263">
        <v>3</v>
      </c>
      <c r="G403" s="263">
        <v>5</v>
      </c>
      <c r="H403" s="263">
        <v>1</v>
      </c>
      <c r="I403" s="263">
        <v>2</v>
      </c>
      <c r="R403" s="600"/>
      <c r="S403" s="600"/>
      <c r="T403" s="600"/>
      <c r="U403" s="600"/>
      <c r="V403" s="600"/>
      <c r="W403" s="600"/>
      <c r="X403" s="600"/>
    </row>
    <row r="404" spans="1:24" s="263" customFormat="1" ht="9" customHeight="1" x14ac:dyDescent="0.25">
      <c r="A404" s="267" t="s">
        <v>53</v>
      </c>
      <c r="B404" s="599">
        <f t="shared" si="21"/>
        <v>37</v>
      </c>
      <c r="C404" s="599"/>
      <c r="D404" s="267">
        <v>6</v>
      </c>
      <c r="E404" s="267">
        <v>16</v>
      </c>
      <c r="F404" s="267">
        <v>6</v>
      </c>
      <c r="G404" s="267">
        <v>6</v>
      </c>
      <c r="H404" s="267">
        <v>2</v>
      </c>
      <c r="I404" s="267">
        <v>1</v>
      </c>
      <c r="R404" s="600"/>
      <c r="S404" s="600"/>
      <c r="T404" s="600"/>
      <c r="U404" s="600"/>
      <c r="V404" s="600"/>
      <c r="W404" s="600"/>
      <c r="X404" s="600"/>
    </row>
    <row r="405" spans="1:24" s="263" customFormat="1" ht="9" customHeight="1" x14ac:dyDescent="0.25">
      <c r="A405" s="286"/>
      <c r="B405" s="613"/>
      <c r="C405" s="613"/>
      <c r="D405" s="286"/>
      <c r="E405" s="286"/>
      <c r="F405" s="286"/>
      <c r="G405" s="286"/>
      <c r="H405" s="286"/>
      <c r="I405" s="286"/>
      <c r="R405" s="600"/>
      <c r="S405" s="600"/>
      <c r="T405" s="600"/>
      <c r="U405" s="600"/>
      <c r="V405" s="600"/>
      <c r="W405" s="600"/>
      <c r="X405" s="600"/>
    </row>
    <row r="406" spans="1:24" s="263" customFormat="1" ht="9" customHeight="1" x14ac:dyDescent="0.25">
      <c r="A406" s="261">
        <v>2006</v>
      </c>
      <c r="B406" s="262"/>
      <c r="C406" s="262"/>
      <c r="D406" s="262"/>
      <c r="E406" s="262"/>
      <c r="F406" s="262"/>
      <c r="G406" s="262"/>
      <c r="H406" s="262"/>
      <c r="I406" s="262"/>
      <c r="R406" s="600"/>
      <c r="S406" s="600"/>
      <c r="T406" s="600"/>
      <c r="U406" s="600"/>
      <c r="V406" s="600"/>
      <c r="W406" s="600"/>
      <c r="X406" s="600"/>
    </row>
    <row r="407" spans="1:24" s="263" customFormat="1" ht="9" customHeight="1" x14ac:dyDescent="0.25">
      <c r="A407" s="265" t="s">
        <v>21</v>
      </c>
      <c r="B407" s="597">
        <f>SUM(B409:B440)</f>
        <v>3131</v>
      </c>
      <c r="C407" s="597"/>
      <c r="D407" s="597">
        <f t="shared" ref="D407:I407" si="22">SUM(D409:D440)</f>
        <v>841</v>
      </c>
      <c r="E407" s="597">
        <f t="shared" si="22"/>
        <v>1300</v>
      </c>
      <c r="F407" s="597">
        <f t="shared" si="22"/>
        <v>494</v>
      </c>
      <c r="G407" s="597">
        <f t="shared" si="22"/>
        <v>273</v>
      </c>
      <c r="H407" s="597">
        <f t="shared" si="22"/>
        <v>143</v>
      </c>
      <c r="I407" s="597">
        <f t="shared" si="22"/>
        <v>80</v>
      </c>
      <c r="J407" s="600"/>
      <c r="R407" s="600"/>
      <c r="S407" s="600"/>
      <c r="T407" s="600"/>
      <c r="U407" s="600"/>
      <c r="V407" s="600"/>
      <c r="W407" s="600"/>
      <c r="X407" s="600"/>
    </row>
    <row r="408" spans="1:24" s="263" customFormat="1" ht="3.95" customHeight="1" x14ac:dyDescent="0.25">
      <c r="A408" s="265"/>
      <c r="B408" s="597"/>
      <c r="C408" s="597"/>
      <c r="D408" s="597"/>
      <c r="E408" s="597"/>
      <c r="F408" s="597"/>
      <c r="G408" s="597"/>
      <c r="H408" s="597"/>
      <c r="I408" s="597"/>
      <c r="J408" s="600"/>
      <c r="R408" s="600"/>
      <c r="S408" s="600"/>
      <c r="T408" s="600"/>
      <c r="U408" s="600"/>
      <c r="V408" s="600"/>
      <c r="W408" s="600"/>
      <c r="X408" s="600"/>
    </row>
    <row r="409" spans="1:24" s="263" customFormat="1" ht="9" customHeight="1" x14ac:dyDescent="0.25">
      <c r="A409" s="263" t="s">
        <v>23</v>
      </c>
      <c r="B409" s="598">
        <f t="shared" ref="B409:B440" si="23">SUM(D409:I409)</f>
        <v>19</v>
      </c>
      <c r="C409" s="598"/>
      <c r="D409" s="263">
        <v>2</v>
      </c>
      <c r="E409" s="263">
        <v>5</v>
      </c>
      <c r="F409" s="263">
        <v>5</v>
      </c>
      <c r="G409" s="263">
        <v>2</v>
      </c>
      <c r="H409" s="263">
        <v>4</v>
      </c>
      <c r="I409" s="263">
        <v>1</v>
      </c>
      <c r="R409" s="600"/>
      <c r="S409" s="600"/>
      <c r="T409" s="600"/>
      <c r="U409" s="600"/>
      <c r="V409" s="600"/>
      <c r="W409" s="600"/>
      <c r="X409" s="600"/>
    </row>
    <row r="410" spans="1:24" s="263" customFormat="1" ht="9" customHeight="1" x14ac:dyDescent="0.25">
      <c r="A410" s="263" t="s">
        <v>24</v>
      </c>
      <c r="B410" s="598">
        <f t="shared" si="23"/>
        <v>138</v>
      </c>
      <c r="C410" s="598"/>
      <c r="D410" s="598">
        <v>45</v>
      </c>
      <c r="E410" s="598">
        <v>60</v>
      </c>
      <c r="F410" s="598">
        <v>11</v>
      </c>
      <c r="G410" s="598">
        <v>13</v>
      </c>
      <c r="H410" s="598">
        <v>8</v>
      </c>
      <c r="I410" s="598">
        <v>1</v>
      </c>
      <c r="R410" s="600"/>
      <c r="S410" s="600"/>
      <c r="T410" s="600"/>
      <c r="U410" s="600"/>
      <c r="V410" s="600"/>
      <c r="W410" s="600"/>
      <c r="X410" s="600"/>
    </row>
    <row r="411" spans="1:24" s="263" customFormat="1" ht="9" customHeight="1" x14ac:dyDescent="0.25">
      <c r="A411" s="263" t="s">
        <v>25</v>
      </c>
      <c r="B411" s="598">
        <f t="shared" si="23"/>
        <v>14</v>
      </c>
      <c r="C411" s="598"/>
      <c r="D411" s="263">
        <v>5</v>
      </c>
      <c r="E411" s="263">
        <v>6</v>
      </c>
      <c r="F411" s="263">
        <v>3</v>
      </c>
      <c r="G411" s="263">
        <v>0</v>
      </c>
      <c r="H411" s="263">
        <v>0</v>
      </c>
      <c r="I411" s="263">
        <v>0</v>
      </c>
      <c r="R411" s="600"/>
      <c r="S411" s="600"/>
      <c r="T411" s="600"/>
      <c r="U411" s="600"/>
      <c r="V411" s="600"/>
      <c r="W411" s="600"/>
      <c r="X411" s="600"/>
    </row>
    <row r="412" spans="1:24" s="263" customFormat="1" ht="9" customHeight="1" x14ac:dyDescent="0.25">
      <c r="A412" s="267" t="s">
        <v>26</v>
      </c>
      <c r="B412" s="599">
        <f t="shared" si="23"/>
        <v>10</v>
      </c>
      <c r="C412" s="599"/>
      <c r="D412" s="267">
        <v>3</v>
      </c>
      <c r="E412" s="267">
        <v>4</v>
      </c>
      <c r="F412" s="267">
        <v>2</v>
      </c>
      <c r="G412" s="267">
        <v>1</v>
      </c>
      <c r="H412" s="267">
        <v>0</v>
      </c>
      <c r="I412" s="267">
        <v>0</v>
      </c>
      <c r="R412" s="600"/>
      <c r="S412" s="600"/>
      <c r="T412" s="600"/>
      <c r="U412" s="600"/>
      <c r="V412" s="600"/>
      <c r="W412" s="600"/>
      <c r="X412" s="600"/>
    </row>
    <row r="413" spans="1:24" s="263" customFormat="1" ht="9" customHeight="1" x14ac:dyDescent="0.25">
      <c r="A413" s="263" t="s">
        <v>27</v>
      </c>
      <c r="B413" s="598">
        <f t="shared" si="23"/>
        <v>30</v>
      </c>
      <c r="C413" s="598"/>
      <c r="D413" s="263">
        <v>4</v>
      </c>
      <c r="E413" s="263">
        <v>8</v>
      </c>
      <c r="F413" s="263">
        <v>7</v>
      </c>
      <c r="G413" s="263">
        <v>4</v>
      </c>
      <c r="H413" s="263">
        <v>5</v>
      </c>
      <c r="I413" s="263">
        <v>2</v>
      </c>
      <c r="R413" s="600"/>
      <c r="S413" s="600"/>
      <c r="T413" s="600"/>
      <c r="U413" s="600"/>
      <c r="V413" s="600"/>
      <c r="W413" s="600"/>
      <c r="X413" s="600"/>
    </row>
    <row r="414" spans="1:24" s="263" customFormat="1" ht="9" customHeight="1" x14ac:dyDescent="0.25">
      <c r="A414" s="263" t="s">
        <v>28</v>
      </c>
      <c r="B414" s="598">
        <f t="shared" si="23"/>
        <v>12</v>
      </c>
      <c r="C414" s="598"/>
      <c r="D414" s="263">
        <v>0</v>
      </c>
      <c r="E414" s="263">
        <v>5</v>
      </c>
      <c r="F414" s="263">
        <v>5</v>
      </c>
      <c r="G414" s="263">
        <v>2</v>
      </c>
      <c r="H414" s="263">
        <v>0</v>
      </c>
      <c r="I414" s="263">
        <v>0</v>
      </c>
      <c r="R414" s="600"/>
      <c r="S414" s="600"/>
      <c r="T414" s="600"/>
      <c r="U414" s="600"/>
      <c r="V414" s="600"/>
      <c r="W414" s="600"/>
      <c r="X414" s="600"/>
    </row>
    <row r="415" spans="1:24" s="263" customFormat="1" ht="9" customHeight="1" x14ac:dyDescent="0.25">
      <c r="A415" s="263" t="s">
        <v>29</v>
      </c>
      <c r="B415" s="598">
        <f t="shared" si="23"/>
        <v>73</v>
      </c>
      <c r="C415" s="598"/>
      <c r="D415" s="263">
        <v>20</v>
      </c>
      <c r="E415" s="263">
        <v>34</v>
      </c>
      <c r="F415" s="263">
        <v>12</v>
      </c>
      <c r="G415" s="263">
        <v>3</v>
      </c>
      <c r="H415" s="263">
        <v>3</v>
      </c>
      <c r="I415" s="263">
        <v>1</v>
      </c>
      <c r="R415" s="600"/>
      <c r="S415" s="600"/>
      <c r="T415" s="600"/>
      <c r="U415" s="600"/>
      <c r="V415" s="600"/>
      <c r="W415" s="600"/>
      <c r="X415" s="600"/>
    </row>
    <row r="416" spans="1:24" s="263" customFormat="1" ht="9" customHeight="1" x14ac:dyDescent="0.25">
      <c r="A416" s="267" t="s">
        <v>30</v>
      </c>
      <c r="B416" s="599">
        <f t="shared" si="23"/>
        <v>65</v>
      </c>
      <c r="C416" s="599"/>
      <c r="D416" s="267">
        <v>13</v>
      </c>
      <c r="E416" s="267">
        <v>25</v>
      </c>
      <c r="F416" s="267">
        <v>10</v>
      </c>
      <c r="G416" s="267">
        <v>7</v>
      </c>
      <c r="H416" s="267">
        <v>3</v>
      </c>
      <c r="I416" s="267">
        <v>7</v>
      </c>
      <c r="R416" s="600"/>
      <c r="S416" s="600"/>
      <c r="T416" s="600"/>
      <c r="U416" s="600"/>
      <c r="V416" s="600"/>
      <c r="W416" s="600"/>
      <c r="X416" s="600"/>
    </row>
    <row r="417" spans="1:24" s="263" customFormat="1" ht="9" customHeight="1" x14ac:dyDescent="0.25">
      <c r="A417" s="263" t="s">
        <v>63</v>
      </c>
      <c r="B417" s="598">
        <f t="shared" si="23"/>
        <v>318</v>
      </c>
      <c r="C417" s="598"/>
      <c r="D417" s="263">
        <v>87</v>
      </c>
      <c r="E417" s="263">
        <v>124</v>
      </c>
      <c r="F417" s="263">
        <v>44</v>
      </c>
      <c r="G417" s="263">
        <v>23</v>
      </c>
      <c r="H417" s="263">
        <v>19</v>
      </c>
      <c r="I417" s="263">
        <v>21</v>
      </c>
      <c r="R417" s="600"/>
      <c r="S417" s="600"/>
      <c r="T417" s="600"/>
      <c r="U417" s="600"/>
      <c r="V417" s="600"/>
      <c r="W417" s="600"/>
      <c r="X417" s="600"/>
    </row>
    <row r="418" spans="1:24" s="263" customFormat="1" ht="9" customHeight="1" x14ac:dyDescent="0.25">
      <c r="A418" s="263" t="s">
        <v>31</v>
      </c>
      <c r="B418" s="598">
        <f t="shared" si="23"/>
        <v>36</v>
      </c>
      <c r="C418" s="598"/>
      <c r="D418" s="263">
        <v>7</v>
      </c>
      <c r="E418" s="263">
        <v>17</v>
      </c>
      <c r="F418" s="263">
        <v>6</v>
      </c>
      <c r="G418" s="263">
        <v>5</v>
      </c>
      <c r="H418" s="263">
        <v>1</v>
      </c>
      <c r="I418" s="263">
        <v>0</v>
      </c>
      <c r="R418" s="600"/>
      <c r="S418" s="600"/>
      <c r="T418" s="600"/>
      <c r="U418" s="600"/>
      <c r="V418" s="600"/>
      <c r="W418" s="600"/>
      <c r="X418" s="600"/>
    </row>
    <row r="419" spans="1:24" s="263" customFormat="1" ht="9" customHeight="1" x14ac:dyDescent="0.25">
      <c r="A419" s="263" t="s">
        <v>32</v>
      </c>
      <c r="B419" s="598">
        <f t="shared" si="23"/>
        <v>213</v>
      </c>
      <c r="C419" s="598"/>
      <c r="D419" s="263">
        <v>39</v>
      </c>
      <c r="E419" s="263">
        <v>87</v>
      </c>
      <c r="F419" s="263">
        <v>53</v>
      </c>
      <c r="G419" s="263">
        <v>18</v>
      </c>
      <c r="H419" s="263">
        <v>12</v>
      </c>
      <c r="I419" s="263">
        <v>4</v>
      </c>
      <c r="R419" s="600"/>
      <c r="S419" s="600"/>
      <c r="T419" s="600"/>
      <c r="U419" s="600"/>
      <c r="V419" s="600"/>
      <c r="W419" s="600"/>
      <c r="X419" s="600"/>
    </row>
    <row r="420" spans="1:24" s="263" customFormat="1" ht="9" customHeight="1" x14ac:dyDescent="0.25">
      <c r="A420" s="267" t="s">
        <v>33</v>
      </c>
      <c r="B420" s="599">
        <f t="shared" si="23"/>
        <v>107</v>
      </c>
      <c r="C420" s="599"/>
      <c r="D420" s="267">
        <v>35</v>
      </c>
      <c r="E420" s="267">
        <v>45</v>
      </c>
      <c r="F420" s="267">
        <v>16</v>
      </c>
      <c r="G420" s="267">
        <v>10</v>
      </c>
      <c r="H420" s="267">
        <v>1</v>
      </c>
      <c r="I420" s="267">
        <v>0</v>
      </c>
      <c r="R420" s="600"/>
      <c r="S420" s="600"/>
      <c r="T420" s="600"/>
      <c r="U420" s="600"/>
      <c r="V420" s="600"/>
      <c r="W420" s="600"/>
      <c r="X420" s="600"/>
    </row>
    <row r="421" spans="1:24" s="263" customFormat="1" ht="9" customHeight="1" x14ac:dyDescent="0.25">
      <c r="A421" s="263" t="s">
        <v>34</v>
      </c>
      <c r="B421" s="598">
        <f t="shared" si="23"/>
        <v>88</v>
      </c>
      <c r="C421" s="598"/>
      <c r="D421" s="263">
        <v>31</v>
      </c>
      <c r="E421" s="263">
        <v>42</v>
      </c>
      <c r="F421" s="263">
        <v>9</v>
      </c>
      <c r="G421" s="263">
        <v>3</v>
      </c>
      <c r="H421" s="263">
        <v>3</v>
      </c>
      <c r="I421" s="263">
        <v>0</v>
      </c>
      <c r="R421" s="600"/>
      <c r="S421" s="600"/>
      <c r="T421" s="600"/>
      <c r="U421" s="600"/>
      <c r="V421" s="600"/>
      <c r="W421" s="600"/>
      <c r="X421" s="600"/>
    </row>
    <row r="422" spans="1:24" s="263" customFormat="1" ht="9" customHeight="1" x14ac:dyDescent="0.25">
      <c r="A422" s="263" t="s">
        <v>35</v>
      </c>
      <c r="B422" s="598">
        <f t="shared" si="23"/>
        <v>189</v>
      </c>
      <c r="C422" s="598"/>
      <c r="D422" s="263">
        <v>31</v>
      </c>
      <c r="E422" s="263">
        <v>66</v>
      </c>
      <c r="F422" s="263">
        <v>39</v>
      </c>
      <c r="G422" s="263">
        <v>27</v>
      </c>
      <c r="H422" s="263">
        <v>17</v>
      </c>
      <c r="I422" s="263">
        <v>9</v>
      </c>
      <c r="R422" s="600"/>
      <c r="S422" s="600"/>
      <c r="T422" s="600"/>
      <c r="U422" s="600"/>
      <c r="V422" s="600"/>
      <c r="W422" s="600"/>
      <c r="X422" s="600"/>
    </row>
    <row r="423" spans="1:24" s="263" customFormat="1" ht="9" customHeight="1" x14ac:dyDescent="0.25">
      <c r="A423" s="263" t="s">
        <v>36</v>
      </c>
      <c r="B423" s="598">
        <f t="shared" si="23"/>
        <v>556</v>
      </c>
      <c r="C423" s="598"/>
      <c r="D423" s="263">
        <v>201</v>
      </c>
      <c r="E423" s="263">
        <v>253</v>
      </c>
      <c r="F423" s="263">
        <v>65</v>
      </c>
      <c r="G423" s="263">
        <v>23</v>
      </c>
      <c r="H423" s="263">
        <v>12</v>
      </c>
      <c r="I423" s="263">
        <v>2</v>
      </c>
      <c r="R423" s="600"/>
      <c r="S423" s="600"/>
      <c r="T423" s="600"/>
      <c r="U423" s="600"/>
      <c r="V423" s="600"/>
      <c r="W423" s="600"/>
      <c r="X423" s="600"/>
    </row>
    <row r="424" spans="1:24" s="263" customFormat="1" ht="9" customHeight="1" x14ac:dyDescent="0.25">
      <c r="A424" s="267" t="s">
        <v>37</v>
      </c>
      <c r="B424" s="599">
        <f t="shared" si="23"/>
        <v>205</v>
      </c>
      <c r="C424" s="599"/>
      <c r="D424" s="267">
        <v>46</v>
      </c>
      <c r="E424" s="267">
        <v>83</v>
      </c>
      <c r="F424" s="267">
        <v>42</v>
      </c>
      <c r="G424" s="267">
        <v>23</v>
      </c>
      <c r="H424" s="267">
        <v>7</v>
      </c>
      <c r="I424" s="267">
        <v>4</v>
      </c>
      <c r="R424" s="600"/>
      <c r="S424" s="600"/>
      <c r="T424" s="600"/>
      <c r="U424" s="600"/>
      <c r="V424" s="600"/>
      <c r="W424" s="600"/>
      <c r="X424" s="600"/>
    </row>
    <row r="425" spans="1:24" s="263" customFormat="1" ht="9" customHeight="1" x14ac:dyDescent="0.25">
      <c r="A425" s="263" t="s">
        <v>38</v>
      </c>
      <c r="B425" s="598">
        <f t="shared" si="23"/>
        <v>71</v>
      </c>
      <c r="C425" s="598"/>
      <c r="D425" s="263">
        <v>30</v>
      </c>
      <c r="E425" s="263">
        <v>28</v>
      </c>
      <c r="F425" s="263">
        <v>7</v>
      </c>
      <c r="G425" s="263">
        <v>5</v>
      </c>
      <c r="H425" s="263">
        <v>1</v>
      </c>
      <c r="I425" s="263">
        <v>0</v>
      </c>
      <c r="R425" s="600"/>
      <c r="S425" s="600"/>
      <c r="T425" s="600"/>
      <c r="U425" s="600"/>
      <c r="V425" s="600"/>
      <c r="W425" s="600"/>
      <c r="X425" s="600"/>
    </row>
    <row r="426" spans="1:24" s="263" customFormat="1" ht="9" customHeight="1" x14ac:dyDescent="0.25">
      <c r="A426" s="263" t="s">
        <v>39</v>
      </c>
      <c r="B426" s="598">
        <f t="shared" si="23"/>
        <v>19</v>
      </c>
      <c r="C426" s="598"/>
      <c r="D426" s="263">
        <v>10</v>
      </c>
      <c r="E426" s="263">
        <v>6</v>
      </c>
      <c r="F426" s="263">
        <v>0</v>
      </c>
      <c r="G426" s="263">
        <v>0</v>
      </c>
      <c r="H426" s="263">
        <v>3</v>
      </c>
      <c r="I426" s="263">
        <v>0</v>
      </c>
      <c r="R426" s="600"/>
      <c r="S426" s="600"/>
      <c r="T426" s="600"/>
      <c r="U426" s="600"/>
      <c r="V426" s="600"/>
      <c r="W426" s="600"/>
      <c r="X426" s="600"/>
    </row>
    <row r="427" spans="1:24" s="263" customFormat="1" ht="9" customHeight="1" x14ac:dyDescent="0.25">
      <c r="A427" s="263" t="s">
        <v>40</v>
      </c>
      <c r="B427" s="598">
        <f t="shared" si="23"/>
        <v>54</v>
      </c>
      <c r="C427" s="598"/>
      <c r="D427" s="263">
        <v>11</v>
      </c>
      <c r="E427" s="263">
        <v>15</v>
      </c>
      <c r="F427" s="263">
        <v>7</v>
      </c>
      <c r="G427" s="263">
        <v>8</v>
      </c>
      <c r="H427" s="263">
        <v>5</v>
      </c>
      <c r="I427" s="263">
        <v>8</v>
      </c>
      <c r="R427" s="600"/>
      <c r="S427" s="600"/>
      <c r="T427" s="600"/>
      <c r="U427" s="600"/>
      <c r="V427" s="600"/>
      <c r="W427" s="600"/>
      <c r="X427" s="600"/>
    </row>
    <row r="428" spans="1:24" s="263" customFormat="1" ht="9" customHeight="1" x14ac:dyDescent="0.25">
      <c r="A428" s="267" t="s">
        <v>41</v>
      </c>
      <c r="B428" s="599">
        <f t="shared" si="23"/>
        <v>100</v>
      </c>
      <c r="C428" s="599"/>
      <c r="D428" s="267">
        <v>35</v>
      </c>
      <c r="E428" s="267">
        <v>41</v>
      </c>
      <c r="F428" s="267">
        <v>16</v>
      </c>
      <c r="G428" s="267">
        <v>7</v>
      </c>
      <c r="H428" s="267">
        <v>1</v>
      </c>
      <c r="I428" s="267">
        <v>0</v>
      </c>
      <c r="R428" s="600"/>
      <c r="S428" s="600"/>
      <c r="T428" s="600"/>
      <c r="U428" s="600"/>
      <c r="V428" s="600"/>
      <c r="W428" s="600"/>
      <c r="X428" s="600"/>
    </row>
    <row r="429" spans="1:24" s="263" customFormat="1" ht="9" customHeight="1" x14ac:dyDescent="0.25">
      <c r="A429" s="263" t="s">
        <v>42</v>
      </c>
      <c r="B429" s="598">
        <f t="shared" si="23"/>
        <v>156</v>
      </c>
      <c r="C429" s="598"/>
      <c r="D429" s="263">
        <v>15</v>
      </c>
      <c r="E429" s="263">
        <v>75</v>
      </c>
      <c r="F429" s="263">
        <v>31</v>
      </c>
      <c r="G429" s="263">
        <v>20</v>
      </c>
      <c r="H429" s="263">
        <v>9</v>
      </c>
      <c r="I429" s="263">
        <v>6</v>
      </c>
      <c r="R429" s="600"/>
      <c r="S429" s="600"/>
      <c r="T429" s="600"/>
      <c r="U429" s="600"/>
      <c r="V429" s="600"/>
      <c r="W429" s="600"/>
      <c r="X429" s="600"/>
    </row>
    <row r="430" spans="1:24" s="263" customFormat="1" ht="9" customHeight="1" x14ac:dyDescent="0.25">
      <c r="A430" s="263" t="s">
        <v>43</v>
      </c>
      <c r="B430" s="598">
        <f t="shared" si="23"/>
        <v>52</v>
      </c>
      <c r="C430" s="598"/>
      <c r="D430" s="263">
        <v>17</v>
      </c>
      <c r="E430" s="263">
        <v>17</v>
      </c>
      <c r="F430" s="263">
        <v>9</v>
      </c>
      <c r="G430" s="263">
        <v>5</v>
      </c>
      <c r="H430" s="263">
        <v>2</v>
      </c>
      <c r="I430" s="263">
        <v>2</v>
      </c>
      <c r="R430" s="600"/>
      <c r="S430" s="600"/>
      <c r="T430" s="600"/>
      <c r="U430" s="600"/>
      <c r="V430" s="600"/>
      <c r="W430" s="600"/>
      <c r="X430" s="600"/>
    </row>
    <row r="431" spans="1:24" s="263" customFormat="1" ht="9" customHeight="1" x14ac:dyDescent="0.25">
      <c r="A431" s="263" t="s">
        <v>44</v>
      </c>
      <c r="B431" s="598">
        <f t="shared" si="23"/>
        <v>32</v>
      </c>
      <c r="C431" s="598"/>
      <c r="D431" s="263">
        <v>11</v>
      </c>
      <c r="E431" s="263">
        <v>13</v>
      </c>
      <c r="F431" s="263">
        <v>6</v>
      </c>
      <c r="G431" s="263">
        <v>1</v>
      </c>
      <c r="H431" s="263">
        <v>1</v>
      </c>
      <c r="I431" s="263">
        <v>0</v>
      </c>
      <c r="R431" s="600"/>
      <c r="S431" s="600"/>
      <c r="T431" s="600"/>
      <c r="U431" s="600"/>
      <c r="V431" s="600"/>
      <c r="W431" s="600"/>
      <c r="X431" s="600"/>
    </row>
    <row r="432" spans="1:24" s="263" customFormat="1" ht="9" customHeight="1" x14ac:dyDescent="0.25">
      <c r="A432" s="267" t="s">
        <v>45</v>
      </c>
      <c r="B432" s="599">
        <f t="shared" si="23"/>
        <v>55</v>
      </c>
      <c r="C432" s="599"/>
      <c r="D432" s="267">
        <v>9</v>
      </c>
      <c r="E432" s="267">
        <v>24</v>
      </c>
      <c r="F432" s="267">
        <v>8</v>
      </c>
      <c r="G432" s="267">
        <v>7</v>
      </c>
      <c r="H432" s="267">
        <v>4</v>
      </c>
      <c r="I432" s="267">
        <v>3</v>
      </c>
      <c r="R432" s="600"/>
      <c r="S432" s="600"/>
      <c r="T432" s="600"/>
      <c r="U432" s="600"/>
      <c r="V432" s="600"/>
      <c r="W432" s="600"/>
      <c r="X432" s="600"/>
    </row>
    <row r="433" spans="1:24" s="263" customFormat="1" ht="9" customHeight="1" x14ac:dyDescent="0.25">
      <c r="A433" s="263" t="s">
        <v>46</v>
      </c>
      <c r="B433" s="598">
        <f t="shared" si="23"/>
        <v>71</v>
      </c>
      <c r="C433" s="598"/>
      <c r="D433" s="263">
        <v>22</v>
      </c>
      <c r="E433" s="263">
        <v>23</v>
      </c>
      <c r="F433" s="263">
        <v>14</v>
      </c>
      <c r="G433" s="263">
        <v>7</v>
      </c>
      <c r="H433" s="263">
        <v>4</v>
      </c>
      <c r="I433" s="263">
        <v>1</v>
      </c>
      <c r="R433" s="600"/>
      <c r="S433" s="600"/>
      <c r="T433" s="600"/>
      <c r="U433" s="600"/>
      <c r="V433" s="600"/>
      <c r="W433" s="600"/>
      <c r="X433" s="600"/>
    </row>
    <row r="434" spans="1:24" s="263" customFormat="1" ht="9" customHeight="1" x14ac:dyDescent="0.25">
      <c r="A434" s="263" t="s">
        <v>47</v>
      </c>
      <c r="B434" s="598">
        <f t="shared" si="23"/>
        <v>51</v>
      </c>
      <c r="C434" s="598"/>
      <c r="D434" s="263">
        <v>10</v>
      </c>
      <c r="E434" s="263">
        <v>20</v>
      </c>
      <c r="F434" s="263">
        <v>10</v>
      </c>
      <c r="G434" s="263">
        <v>6</v>
      </c>
      <c r="H434" s="263">
        <v>5</v>
      </c>
      <c r="I434" s="263">
        <v>0</v>
      </c>
      <c r="R434" s="600"/>
      <c r="S434" s="600"/>
      <c r="T434" s="600"/>
      <c r="U434" s="600"/>
      <c r="V434" s="600"/>
      <c r="W434" s="600"/>
      <c r="X434" s="600"/>
    </row>
    <row r="435" spans="1:24" s="263" customFormat="1" ht="9" customHeight="1" x14ac:dyDescent="0.25">
      <c r="A435" s="263" t="s">
        <v>48</v>
      </c>
      <c r="B435" s="598">
        <f t="shared" si="23"/>
        <v>52</v>
      </c>
      <c r="C435" s="598"/>
      <c r="D435" s="263">
        <v>20</v>
      </c>
      <c r="E435" s="263">
        <v>19</v>
      </c>
      <c r="F435" s="263">
        <v>7</v>
      </c>
      <c r="G435" s="263">
        <v>4</v>
      </c>
      <c r="H435" s="263">
        <v>1</v>
      </c>
      <c r="I435" s="263">
        <v>1</v>
      </c>
      <c r="R435" s="600"/>
      <c r="S435" s="600"/>
      <c r="T435" s="600"/>
      <c r="U435" s="600"/>
      <c r="V435" s="600"/>
      <c r="W435" s="600"/>
      <c r="X435" s="600"/>
    </row>
    <row r="436" spans="1:24" s="263" customFormat="1" ht="9" customHeight="1" x14ac:dyDescent="0.25">
      <c r="A436" s="267" t="s">
        <v>49</v>
      </c>
      <c r="B436" s="599">
        <f t="shared" si="23"/>
        <v>62</v>
      </c>
      <c r="C436" s="599"/>
      <c r="D436" s="267">
        <v>9</v>
      </c>
      <c r="E436" s="267">
        <v>26</v>
      </c>
      <c r="F436" s="267">
        <v>11</v>
      </c>
      <c r="G436" s="267">
        <v>8</v>
      </c>
      <c r="H436" s="267">
        <v>7</v>
      </c>
      <c r="I436" s="267">
        <v>1</v>
      </c>
      <c r="R436" s="600"/>
      <c r="S436" s="600"/>
      <c r="T436" s="600"/>
      <c r="U436" s="600"/>
      <c r="V436" s="600"/>
      <c r="W436" s="600"/>
      <c r="X436" s="600"/>
    </row>
    <row r="437" spans="1:24" s="263" customFormat="1" ht="9" customHeight="1" x14ac:dyDescent="0.25">
      <c r="A437" s="263" t="s">
        <v>50</v>
      </c>
      <c r="B437" s="598">
        <f t="shared" si="23"/>
        <v>50</v>
      </c>
      <c r="C437" s="598"/>
      <c r="D437" s="263">
        <v>19</v>
      </c>
      <c r="E437" s="263">
        <v>24</v>
      </c>
      <c r="F437" s="263">
        <v>4</v>
      </c>
      <c r="G437" s="263">
        <v>3</v>
      </c>
      <c r="H437" s="263">
        <v>0</v>
      </c>
      <c r="I437" s="263">
        <v>0</v>
      </c>
      <c r="R437" s="600"/>
      <c r="S437" s="600"/>
      <c r="T437" s="600"/>
      <c r="U437" s="600"/>
      <c r="V437" s="600"/>
      <c r="W437" s="600"/>
      <c r="X437" s="600"/>
    </row>
    <row r="438" spans="1:24" s="263" customFormat="1" ht="9" customHeight="1" x14ac:dyDescent="0.25">
      <c r="A438" s="263" t="s">
        <v>51</v>
      </c>
      <c r="B438" s="598">
        <f t="shared" si="23"/>
        <v>154</v>
      </c>
      <c r="C438" s="598"/>
      <c r="D438" s="263">
        <v>37</v>
      </c>
      <c r="E438" s="263">
        <v>71</v>
      </c>
      <c r="F438" s="263">
        <v>25</v>
      </c>
      <c r="G438" s="263">
        <v>17</v>
      </c>
      <c r="H438" s="263">
        <v>2</v>
      </c>
      <c r="I438" s="263">
        <v>2</v>
      </c>
      <c r="R438" s="600"/>
      <c r="S438" s="600"/>
      <c r="T438" s="600"/>
      <c r="U438" s="600"/>
      <c r="V438" s="600"/>
      <c r="W438" s="600"/>
      <c r="X438" s="600"/>
    </row>
    <row r="439" spans="1:24" s="263" customFormat="1" ht="9" customHeight="1" x14ac:dyDescent="0.25">
      <c r="A439" s="263" t="s">
        <v>52</v>
      </c>
      <c r="B439" s="598">
        <f t="shared" si="23"/>
        <v>42</v>
      </c>
      <c r="C439" s="598"/>
      <c r="D439" s="263">
        <v>13</v>
      </c>
      <c r="E439" s="263">
        <v>17</v>
      </c>
      <c r="F439" s="263">
        <v>3</v>
      </c>
      <c r="G439" s="263">
        <v>5</v>
      </c>
      <c r="H439" s="263">
        <v>1</v>
      </c>
      <c r="I439" s="263">
        <v>3</v>
      </c>
      <c r="R439" s="600"/>
      <c r="S439" s="600"/>
      <c r="T439" s="600"/>
      <c r="U439" s="600"/>
      <c r="V439" s="600"/>
      <c r="W439" s="600"/>
      <c r="X439" s="600"/>
    </row>
    <row r="440" spans="1:24" s="263" customFormat="1" ht="9" customHeight="1" x14ac:dyDescent="0.25">
      <c r="A440" s="267" t="s">
        <v>53</v>
      </c>
      <c r="B440" s="599">
        <f t="shared" si="23"/>
        <v>37</v>
      </c>
      <c r="C440" s="599"/>
      <c r="D440" s="267">
        <v>4</v>
      </c>
      <c r="E440" s="267">
        <v>17</v>
      </c>
      <c r="F440" s="267">
        <v>7</v>
      </c>
      <c r="G440" s="267">
        <v>6</v>
      </c>
      <c r="H440" s="267">
        <v>2</v>
      </c>
      <c r="I440" s="267">
        <v>1</v>
      </c>
      <c r="R440" s="600"/>
      <c r="S440" s="600"/>
      <c r="T440" s="600"/>
      <c r="U440" s="600"/>
      <c r="V440" s="600"/>
      <c r="W440" s="600"/>
      <c r="X440" s="600"/>
    </row>
    <row r="441" spans="1:24" s="263" customFormat="1" ht="9" customHeight="1" x14ac:dyDescent="0.25">
      <c r="A441" s="286"/>
      <c r="B441" s="613"/>
      <c r="C441" s="613"/>
      <c r="D441" s="286"/>
      <c r="E441" s="286"/>
      <c r="F441" s="286"/>
      <c r="G441" s="286"/>
      <c r="H441" s="286"/>
      <c r="I441" s="286"/>
      <c r="R441" s="600"/>
      <c r="S441" s="600"/>
      <c r="T441" s="600"/>
      <c r="U441" s="600"/>
      <c r="V441" s="600"/>
      <c r="W441" s="600"/>
      <c r="X441" s="600"/>
    </row>
    <row r="442" spans="1:24" s="263" customFormat="1" ht="9" customHeight="1" x14ac:dyDescent="0.25">
      <c r="A442" s="261">
        <v>2007</v>
      </c>
      <c r="B442" s="262"/>
      <c r="C442" s="262"/>
      <c r="D442" s="262"/>
      <c r="E442" s="262"/>
      <c r="F442" s="262"/>
      <c r="G442" s="262"/>
      <c r="H442" s="262"/>
      <c r="I442" s="262"/>
      <c r="R442" s="600"/>
      <c r="S442" s="600"/>
      <c r="T442" s="600"/>
      <c r="U442" s="600"/>
      <c r="V442" s="600"/>
      <c r="W442" s="600"/>
      <c r="X442" s="600"/>
    </row>
    <row r="443" spans="1:24" s="263" customFormat="1" ht="9" customHeight="1" x14ac:dyDescent="0.25">
      <c r="A443" s="265" t="s">
        <v>21</v>
      </c>
      <c r="B443" s="597">
        <f>SUM(B445:B476)</f>
        <v>3141</v>
      </c>
      <c r="C443" s="597"/>
      <c r="D443" s="597">
        <f t="shared" ref="D443:I443" si="24">SUM(D445:D476)</f>
        <v>800</v>
      </c>
      <c r="E443" s="597">
        <f t="shared" si="24"/>
        <v>1329</v>
      </c>
      <c r="F443" s="597">
        <f t="shared" si="24"/>
        <v>518</v>
      </c>
      <c r="G443" s="597">
        <f t="shared" si="24"/>
        <v>265</v>
      </c>
      <c r="H443" s="597">
        <f t="shared" si="24"/>
        <v>145</v>
      </c>
      <c r="I443" s="597">
        <f t="shared" si="24"/>
        <v>84</v>
      </c>
      <c r="J443" s="600"/>
      <c r="R443" s="600"/>
      <c r="S443" s="600"/>
      <c r="T443" s="600"/>
      <c r="U443" s="600"/>
      <c r="V443" s="600"/>
      <c r="W443" s="600"/>
      <c r="X443" s="600"/>
    </row>
    <row r="444" spans="1:24" s="263" customFormat="1" ht="3.95" customHeight="1" x14ac:dyDescent="0.25">
      <c r="A444" s="265"/>
      <c r="B444" s="597"/>
      <c r="C444" s="597"/>
      <c r="D444" s="597"/>
      <c r="E444" s="597"/>
      <c r="F444" s="597"/>
      <c r="G444" s="597"/>
      <c r="H444" s="597"/>
      <c r="I444" s="597"/>
      <c r="J444" s="600"/>
      <c r="R444" s="600"/>
      <c r="S444" s="600"/>
      <c r="T444" s="600"/>
      <c r="U444" s="600"/>
      <c r="V444" s="600"/>
      <c r="W444" s="600"/>
      <c r="X444" s="600"/>
    </row>
    <row r="445" spans="1:24" s="263" customFormat="1" ht="9" customHeight="1" x14ac:dyDescent="0.25">
      <c r="A445" s="263" t="s">
        <v>23</v>
      </c>
      <c r="B445" s="598">
        <f t="shared" ref="B445:B476" si="25">SUM(D445:I445)</f>
        <v>17</v>
      </c>
      <c r="C445" s="598"/>
      <c r="D445" s="598">
        <v>1</v>
      </c>
      <c r="E445" s="598">
        <v>4</v>
      </c>
      <c r="F445" s="598">
        <v>4</v>
      </c>
      <c r="G445" s="598">
        <v>2</v>
      </c>
      <c r="H445" s="598">
        <v>5</v>
      </c>
      <c r="I445" s="598">
        <v>1</v>
      </c>
      <c r="R445" s="600"/>
      <c r="S445" s="600"/>
      <c r="T445" s="600"/>
      <c r="U445" s="600"/>
      <c r="V445" s="600"/>
      <c r="W445" s="600"/>
      <c r="X445" s="600"/>
    </row>
    <row r="446" spans="1:24" s="263" customFormat="1" ht="9" customHeight="1" x14ac:dyDescent="0.25">
      <c r="A446" s="263" t="s">
        <v>24</v>
      </c>
      <c r="B446" s="598">
        <f t="shared" si="25"/>
        <v>134</v>
      </c>
      <c r="C446" s="598"/>
      <c r="D446" s="598">
        <v>44</v>
      </c>
      <c r="E446" s="598">
        <v>58</v>
      </c>
      <c r="F446" s="598">
        <v>14</v>
      </c>
      <c r="G446" s="598">
        <v>12</v>
      </c>
      <c r="H446" s="598">
        <v>5</v>
      </c>
      <c r="I446" s="598">
        <v>1</v>
      </c>
      <c r="R446" s="600"/>
      <c r="S446" s="600"/>
      <c r="T446" s="600"/>
      <c r="U446" s="600"/>
      <c r="V446" s="600"/>
      <c r="W446" s="600"/>
      <c r="X446" s="600"/>
    </row>
    <row r="447" spans="1:24" s="263" customFormat="1" ht="9" customHeight="1" x14ac:dyDescent="0.25">
      <c r="A447" s="263" t="s">
        <v>25</v>
      </c>
      <c r="B447" s="598">
        <f t="shared" si="25"/>
        <v>14</v>
      </c>
      <c r="C447" s="598"/>
      <c r="D447" s="598">
        <v>5</v>
      </c>
      <c r="E447" s="598">
        <v>6</v>
      </c>
      <c r="F447" s="598">
        <v>3</v>
      </c>
      <c r="G447" s="598">
        <v>0</v>
      </c>
      <c r="H447" s="598">
        <v>0</v>
      </c>
      <c r="I447" s="598">
        <v>0</v>
      </c>
      <c r="R447" s="600"/>
      <c r="S447" s="600"/>
      <c r="T447" s="600"/>
      <c r="U447" s="600"/>
      <c r="V447" s="600"/>
      <c r="W447" s="600"/>
      <c r="X447" s="600"/>
    </row>
    <row r="448" spans="1:24" s="263" customFormat="1" ht="9" customHeight="1" x14ac:dyDescent="0.25">
      <c r="A448" s="267" t="s">
        <v>26</v>
      </c>
      <c r="B448" s="599">
        <f t="shared" si="25"/>
        <v>9</v>
      </c>
      <c r="C448" s="599"/>
      <c r="D448" s="599">
        <v>2</v>
      </c>
      <c r="E448" s="599">
        <v>3</v>
      </c>
      <c r="F448" s="599">
        <v>3</v>
      </c>
      <c r="G448" s="599">
        <v>1</v>
      </c>
      <c r="H448" s="599">
        <v>0</v>
      </c>
      <c r="I448" s="599">
        <v>0</v>
      </c>
      <c r="R448" s="600"/>
      <c r="S448" s="600"/>
      <c r="T448" s="600"/>
      <c r="U448" s="600"/>
      <c r="V448" s="600"/>
      <c r="W448" s="600"/>
      <c r="X448" s="600"/>
    </row>
    <row r="449" spans="1:24" s="263" customFormat="1" ht="9" customHeight="1" x14ac:dyDescent="0.25">
      <c r="A449" s="263" t="s">
        <v>27</v>
      </c>
      <c r="B449" s="598">
        <f t="shared" si="25"/>
        <v>29</v>
      </c>
      <c r="C449" s="598"/>
      <c r="D449" s="598">
        <v>2</v>
      </c>
      <c r="E449" s="598">
        <v>8</v>
      </c>
      <c r="F449" s="598">
        <v>7</v>
      </c>
      <c r="G449" s="598">
        <v>5</v>
      </c>
      <c r="H449" s="598">
        <v>5</v>
      </c>
      <c r="I449" s="598">
        <v>2</v>
      </c>
      <c r="R449" s="600"/>
      <c r="S449" s="600"/>
      <c r="T449" s="600"/>
      <c r="U449" s="600"/>
      <c r="V449" s="600"/>
      <c r="W449" s="600"/>
      <c r="X449" s="600"/>
    </row>
    <row r="450" spans="1:24" s="263" customFormat="1" ht="9" customHeight="1" x14ac:dyDescent="0.25">
      <c r="A450" s="263" t="s">
        <v>28</v>
      </c>
      <c r="B450" s="598">
        <f t="shared" si="25"/>
        <v>12</v>
      </c>
      <c r="C450" s="598"/>
      <c r="D450" s="598">
        <v>0</v>
      </c>
      <c r="E450" s="598">
        <v>6</v>
      </c>
      <c r="F450" s="598">
        <v>4</v>
      </c>
      <c r="G450" s="598">
        <v>2</v>
      </c>
      <c r="H450" s="598">
        <v>0</v>
      </c>
      <c r="I450" s="598">
        <v>0</v>
      </c>
      <c r="R450" s="600"/>
      <c r="S450" s="600"/>
      <c r="T450" s="600"/>
      <c r="U450" s="600"/>
      <c r="V450" s="600"/>
      <c r="W450" s="600"/>
      <c r="X450" s="600"/>
    </row>
    <row r="451" spans="1:24" s="263" customFormat="1" ht="9" customHeight="1" x14ac:dyDescent="0.25">
      <c r="A451" s="263" t="s">
        <v>29</v>
      </c>
      <c r="B451" s="598">
        <f t="shared" si="25"/>
        <v>76</v>
      </c>
      <c r="C451" s="598"/>
      <c r="D451" s="598">
        <v>20</v>
      </c>
      <c r="E451" s="598">
        <v>35</v>
      </c>
      <c r="F451" s="598">
        <v>14</v>
      </c>
      <c r="G451" s="598">
        <v>3</v>
      </c>
      <c r="H451" s="598">
        <v>3</v>
      </c>
      <c r="I451" s="598">
        <v>1</v>
      </c>
      <c r="R451" s="600"/>
      <c r="S451" s="600"/>
      <c r="T451" s="600"/>
      <c r="U451" s="600"/>
      <c r="V451" s="600"/>
      <c r="W451" s="600"/>
      <c r="X451" s="600"/>
    </row>
    <row r="452" spans="1:24" s="263" customFormat="1" ht="9" customHeight="1" x14ac:dyDescent="0.25">
      <c r="A452" s="267" t="s">
        <v>30</v>
      </c>
      <c r="B452" s="599">
        <f t="shared" si="25"/>
        <v>100</v>
      </c>
      <c r="C452" s="599"/>
      <c r="D452" s="599">
        <v>22</v>
      </c>
      <c r="E452" s="599">
        <v>45</v>
      </c>
      <c r="F452" s="599">
        <v>13</v>
      </c>
      <c r="G452" s="599">
        <v>8</v>
      </c>
      <c r="H452" s="599">
        <v>4</v>
      </c>
      <c r="I452" s="599">
        <v>8</v>
      </c>
      <c r="R452" s="600"/>
      <c r="S452" s="600"/>
      <c r="T452" s="600"/>
      <c r="U452" s="600"/>
      <c r="V452" s="600"/>
      <c r="W452" s="600"/>
      <c r="X452" s="600"/>
    </row>
    <row r="453" spans="1:24" s="263" customFormat="1" ht="9" customHeight="1" x14ac:dyDescent="0.25">
      <c r="A453" s="263" t="s">
        <v>63</v>
      </c>
      <c r="B453" s="598">
        <f t="shared" si="25"/>
        <v>302</v>
      </c>
      <c r="C453" s="598"/>
      <c r="D453" s="598">
        <v>83</v>
      </c>
      <c r="E453" s="598">
        <v>116</v>
      </c>
      <c r="F453" s="598">
        <v>38</v>
      </c>
      <c r="G453" s="598">
        <v>27</v>
      </c>
      <c r="H453" s="598">
        <v>16</v>
      </c>
      <c r="I453" s="598">
        <v>22</v>
      </c>
      <c r="R453" s="600"/>
      <c r="S453" s="600"/>
      <c r="T453" s="600"/>
      <c r="U453" s="600"/>
      <c r="V453" s="600"/>
      <c r="W453" s="600"/>
      <c r="X453" s="600"/>
    </row>
    <row r="454" spans="1:24" s="263" customFormat="1" ht="9" customHeight="1" x14ac:dyDescent="0.25">
      <c r="A454" s="263" t="s">
        <v>31</v>
      </c>
      <c r="B454" s="598">
        <f t="shared" si="25"/>
        <v>39</v>
      </c>
      <c r="C454" s="598"/>
      <c r="D454" s="598">
        <v>7</v>
      </c>
      <c r="E454" s="598">
        <v>16</v>
      </c>
      <c r="F454" s="598">
        <v>11</v>
      </c>
      <c r="G454" s="598">
        <v>4</v>
      </c>
      <c r="H454" s="598">
        <v>1</v>
      </c>
      <c r="I454" s="598">
        <v>0</v>
      </c>
      <c r="R454" s="600"/>
      <c r="S454" s="600"/>
      <c r="T454" s="600"/>
      <c r="U454" s="600"/>
      <c r="V454" s="600"/>
      <c r="W454" s="600"/>
      <c r="X454" s="600"/>
    </row>
    <row r="455" spans="1:24" s="263" customFormat="1" ht="9" customHeight="1" x14ac:dyDescent="0.25">
      <c r="A455" s="263" t="s">
        <v>32</v>
      </c>
      <c r="B455" s="598">
        <f t="shared" si="25"/>
        <v>209</v>
      </c>
      <c r="C455" s="598"/>
      <c r="D455" s="598">
        <v>32</v>
      </c>
      <c r="E455" s="598">
        <v>88</v>
      </c>
      <c r="F455" s="598">
        <v>54</v>
      </c>
      <c r="G455" s="598">
        <v>18</v>
      </c>
      <c r="H455" s="598">
        <v>13</v>
      </c>
      <c r="I455" s="598">
        <v>4</v>
      </c>
      <c r="R455" s="600"/>
      <c r="S455" s="600"/>
      <c r="T455" s="600"/>
      <c r="U455" s="600"/>
      <c r="V455" s="600"/>
      <c r="W455" s="600"/>
      <c r="X455" s="600"/>
    </row>
    <row r="456" spans="1:24" s="263" customFormat="1" ht="9" customHeight="1" x14ac:dyDescent="0.25">
      <c r="A456" s="267" t="s">
        <v>33</v>
      </c>
      <c r="B456" s="599">
        <f t="shared" si="25"/>
        <v>102</v>
      </c>
      <c r="C456" s="599"/>
      <c r="D456" s="599">
        <v>33</v>
      </c>
      <c r="E456" s="599">
        <v>42</v>
      </c>
      <c r="F456" s="599">
        <v>17</v>
      </c>
      <c r="G456" s="599">
        <v>9</v>
      </c>
      <c r="H456" s="599">
        <v>1</v>
      </c>
      <c r="I456" s="599">
        <v>0</v>
      </c>
      <c r="R456" s="600"/>
      <c r="S456" s="600"/>
      <c r="T456" s="600"/>
      <c r="U456" s="600"/>
      <c r="V456" s="600"/>
      <c r="W456" s="600"/>
      <c r="X456" s="600"/>
    </row>
    <row r="457" spans="1:24" s="263" customFormat="1" ht="9" customHeight="1" x14ac:dyDescent="0.25">
      <c r="A457" s="263" t="s">
        <v>34</v>
      </c>
      <c r="B457" s="598">
        <f t="shared" si="25"/>
        <v>86</v>
      </c>
      <c r="C457" s="598"/>
      <c r="D457" s="598">
        <v>29</v>
      </c>
      <c r="E457" s="598">
        <v>39</v>
      </c>
      <c r="F457" s="598">
        <v>11</v>
      </c>
      <c r="G457" s="598">
        <v>4</v>
      </c>
      <c r="H457" s="598">
        <v>3</v>
      </c>
      <c r="I457" s="598">
        <v>0</v>
      </c>
      <c r="R457" s="600"/>
      <c r="S457" s="600"/>
      <c r="T457" s="600"/>
      <c r="U457" s="600"/>
      <c r="V457" s="600"/>
      <c r="W457" s="600"/>
      <c r="X457" s="600"/>
    </row>
    <row r="458" spans="1:24" s="263" customFormat="1" ht="9" customHeight="1" x14ac:dyDescent="0.25">
      <c r="A458" s="263" t="s">
        <v>35</v>
      </c>
      <c r="B458" s="598">
        <f t="shared" si="25"/>
        <v>193</v>
      </c>
      <c r="C458" s="598"/>
      <c r="D458" s="598">
        <v>29</v>
      </c>
      <c r="E458" s="598">
        <v>73</v>
      </c>
      <c r="F458" s="598">
        <v>40</v>
      </c>
      <c r="G458" s="598">
        <v>23</v>
      </c>
      <c r="H458" s="598">
        <v>18</v>
      </c>
      <c r="I458" s="598">
        <v>10</v>
      </c>
      <c r="R458" s="600"/>
      <c r="S458" s="600"/>
      <c r="T458" s="600"/>
      <c r="U458" s="600"/>
      <c r="V458" s="600"/>
      <c r="W458" s="600"/>
      <c r="X458" s="600"/>
    </row>
    <row r="459" spans="1:24" s="263" customFormat="1" ht="9" customHeight="1" x14ac:dyDescent="0.25">
      <c r="A459" s="263" t="s">
        <v>36</v>
      </c>
      <c r="B459" s="598">
        <f t="shared" si="25"/>
        <v>539</v>
      </c>
      <c r="C459" s="598"/>
      <c r="D459" s="598">
        <v>178</v>
      </c>
      <c r="E459" s="598">
        <v>257</v>
      </c>
      <c r="F459" s="598">
        <v>69</v>
      </c>
      <c r="G459" s="598">
        <v>20</v>
      </c>
      <c r="H459" s="598">
        <v>13</v>
      </c>
      <c r="I459" s="598">
        <v>2</v>
      </c>
      <c r="R459" s="600"/>
      <c r="S459" s="600"/>
      <c r="T459" s="600"/>
      <c r="U459" s="600"/>
      <c r="V459" s="600"/>
      <c r="W459" s="600"/>
      <c r="X459" s="600"/>
    </row>
    <row r="460" spans="1:24" s="263" customFormat="1" ht="9" customHeight="1" x14ac:dyDescent="0.25">
      <c r="A460" s="267" t="s">
        <v>37</v>
      </c>
      <c r="B460" s="599">
        <f t="shared" si="25"/>
        <v>196</v>
      </c>
      <c r="C460" s="599"/>
      <c r="D460" s="599">
        <v>39</v>
      </c>
      <c r="E460" s="599">
        <v>86</v>
      </c>
      <c r="F460" s="599">
        <v>36</v>
      </c>
      <c r="G460" s="599">
        <v>24</v>
      </c>
      <c r="H460" s="599">
        <v>8</v>
      </c>
      <c r="I460" s="599">
        <v>3</v>
      </c>
      <c r="R460" s="600"/>
      <c r="S460" s="600"/>
      <c r="T460" s="600"/>
      <c r="U460" s="600"/>
      <c r="V460" s="600"/>
      <c r="W460" s="600"/>
      <c r="X460" s="600"/>
    </row>
    <row r="461" spans="1:24" s="263" customFormat="1" ht="9" customHeight="1" x14ac:dyDescent="0.25">
      <c r="A461" s="263" t="s">
        <v>38</v>
      </c>
      <c r="B461" s="598">
        <f t="shared" si="25"/>
        <v>71</v>
      </c>
      <c r="C461" s="598"/>
      <c r="D461" s="598">
        <v>31</v>
      </c>
      <c r="E461" s="598">
        <v>27</v>
      </c>
      <c r="F461" s="598">
        <v>7</v>
      </c>
      <c r="G461" s="598">
        <v>5</v>
      </c>
      <c r="H461" s="598">
        <v>1</v>
      </c>
      <c r="I461" s="598">
        <v>0</v>
      </c>
      <c r="R461" s="600"/>
      <c r="S461" s="600"/>
      <c r="T461" s="600"/>
      <c r="U461" s="600"/>
      <c r="V461" s="600"/>
      <c r="W461" s="600"/>
      <c r="X461" s="600"/>
    </row>
    <row r="462" spans="1:24" s="263" customFormat="1" ht="9" customHeight="1" x14ac:dyDescent="0.25">
      <c r="A462" s="263" t="s">
        <v>39</v>
      </c>
      <c r="B462" s="598">
        <f t="shared" si="25"/>
        <v>18</v>
      </c>
      <c r="C462" s="598"/>
      <c r="D462" s="598">
        <v>8</v>
      </c>
      <c r="E462" s="598">
        <v>7</v>
      </c>
      <c r="F462" s="598">
        <v>0</v>
      </c>
      <c r="G462" s="598">
        <v>0</v>
      </c>
      <c r="H462" s="598">
        <v>3</v>
      </c>
      <c r="I462" s="598">
        <v>0</v>
      </c>
      <c r="R462" s="600"/>
      <c r="S462" s="600"/>
      <c r="T462" s="600"/>
      <c r="U462" s="600"/>
      <c r="V462" s="600"/>
      <c r="W462" s="600"/>
      <c r="X462" s="600"/>
    </row>
    <row r="463" spans="1:24" s="263" customFormat="1" ht="9" customHeight="1" x14ac:dyDescent="0.25">
      <c r="A463" s="263" t="s">
        <v>40</v>
      </c>
      <c r="B463" s="598">
        <f t="shared" si="25"/>
        <v>64</v>
      </c>
      <c r="C463" s="598"/>
      <c r="D463" s="598">
        <v>14</v>
      </c>
      <c r="E463" s="598">
        <v>15</v>
      </c>
      <c r="F463" s="598">
        <v>15</v>
      </c>
      <c r="G463" s="598">
        <v>6</v>
      </c>
      <c r="H463" s="598">
        <v>6</v>
      </c>
      <c r="I463" s="598">
        <v>8</v>
      </c>
      <c r="R463" s="600"/>
      <c r="S463" s="600"/>
      <c r="T463" s="600"/>
      <c r="U463" s="600"/>
      <c r="V463" s="600"/>
      <c r="W463" s="600"/>
      <c r="X463" s="600"/>
    </row>
    <row r="464" spans="1:24" s="263" customFormat="1" ht="9" customHeight="1" x14ac:dyDescent="0.25">
      <c r="A464" s="267" t="s">
        <v>41</v>
      </c>
      <c r="B464" s="599">
        <f t="shared" si="25"/>
        <v>101</v>
      </c>
      <c r="C464" s="599"/>
      <c r="D464" s="599">
        <v>34</v>
      </c>
      <c r="E464" s="599">
        <v>43</v>
      </c>
      <c r="F464" s="599">
        <v>18</v>
      </c>
      <c r="G464" s="599">
        <v>5</v>
      </c>
      <c r="H464" s="599">
        <v>1</v>
      </c>
      <c r="I464" s="599">
        <v>0</v>
      </c>
      <c r="R464" s="600"/>
      <c r="S464" s="600"/>
      <c r="T464" s="600"/>
      <c r="U464" s="600"/>
      <c r="V464" s="600"/>
      <c r="W464" s="600"/>
      <c r="X464" s="600"/>
    </row>
    <row r="465" spans="1:24" s="263" customFormat="1" ht="9" customHeight="1" x14ac:dyDescent="0.25">
      <c r="A465" s="263" t="s">
        <v>42</v>
      </c>
      <c r="B465" s="598">
        <f t="shared" si="25"/>
        <v>154</v>
      </c>
      <c r="C465" s="598"/>
      <c r="D465" s="598">
        <v>13</v>
      </c>
      <c r="E465" s="598">
        <v>72</v>
      </c>
      <c r="F465" s="598">
        <v>33</v>
      </c>
      <c r="G465" s="598">
        <v>20</v>
      </c>
      <c r="H465" s="598">
        <v>9</v>
      </c>
      <c r="I465" s="598">
        <v>7</v>
      </c>
      <c r="R465" s="600"/>
      <c r="S465" s="600"/>
      <c r="T465" s="600"/>
      <c r="U465" s="600"/>
      <c r="V465" s="600"/>
      <c r="W465" s="600"/>
      <c r="X465" s="600"/>
    </row>
    <row r="466" spans="1:24" s="263" customFormat="1" ht="9" customHeight="1" x14ac:dyDescent="0.25">
      <c r="A466" s="263" t="s">
        <v>43</v>
      </c>
      <c r="B466" s="598">
        <f t="shared" si="25"/>
        <v>53</v>
      </c>
      <c r="C466" s="598"/>
      <c r="D466" s="598">
        <v>16</v>
      </c>
      <c r="E466" s="598">
        <v>19</v>
      </c>
      <c r="F466" s="598">
        <v>7</v>
      </c>
      <c r="G466" s="598">
        <v>6</v>
      </c>
      <c r="H466" s="598">
        <v>3</v>
      </c>
      <c r="I466" s="598">
        <v>2</v>
      </c>
      <c r="R466" s="600"/>
      <c r="S466" s="600"/>
      <c r="T466" s="600"/>
      <c r="U466" s="600"/>
      <c r="V466" s="600"/>
      <c r="W466" s="600"/>
      <c r="X466" s="600"/>
    </row>
    <row r="467" spans="1:24" s="263" customFormat="1" ht="9" customHeight="1" x14ac:dyDescent="0.25">
      <c r="A467" s="263" t="s">
        <v>44</v>
      </c>
      <c r="B467" s="598">
        <f t="shared" si="25"/>
        <v>33</v>
      </c>
      <c r="C467" s="598"/>
      <c r="D467" s="598">
        <v>11</v>
      </c>
      <c r="E467" s="598">
        <v>16</v>
      </c>
      <c r="F467" s="598">
        <v>5</v>
      </c>
      <c r="G467" s="598">
        <v>0</v>
      </c>
      <c r="H467" s="598">
        <v>1</v>
      </c>
      <c r="I467" s="598">
        <v>0</v>
      </c>
      <c r="R467" s="600"/>
      <c r="S467" s="600"/>
      <c r="T467" s="600"/>
      <c r="U467" s="600"/>
      <c r="V467" s="600"/>
      <c r="W467" s="600"/>
      <c r="X467" s="600"/>
    </row>
    <row r="468" spans="1:24" s="263" customFormat="1" ht="9" customHeight="1" x14ac:dyDescent="0.25">
      <c r="A468" s="267" t="s">
        <v>45</v>
      </c>
      <c r="B468" s="599">
        <f t="shared" si="25"/>
        <v>55</v>
      </c>
      <c r="C468" s="599"/>
      <c r="D468" s="599">
        <v>12</v>
      </c>
      <c r="E468" s="599">
        <v>21</v>
      </c>
      <c r="F468" s="599">
        <v>10</v>
      </c>
      <c r="G468" s="599">
        <v>6</v>
      </c>
      <c r="H468" s="599">
        <v>3</v>
      </c>
      <c r="I468" s="599">
        <v>3</v>
      </c>
      <c r="R468" s="600"/>
      <c r="S468" s="600"/>
      <c r="T468" s="600"/>
      <c r="U468" s="600"/>
      <c r="V468" s="600"/>
      <c r="W468" s="600"/>
      <c r="X468" s="600"/>
    </row>
    <row r="469" spans="1:24" s="263" customFormat="1" ht="9" customHeight="1" x14ac:dyDescent="0.25">
      <c r="A469" s="263" t="s">
        <v>46</v>
      </c>
      <c r="B469" s="598">
        <f t="shared" si="25"/>
        <v>69</v>
      </c>
      <c r="C469" s="598"/>
      <c r="D469" s="598">
        <v>20</v>
      </c>
      <c r="E469" s="598">
        <v>24</v>
      </c>
      <c r="F469" s="598">
        <v>13</v>
      </c>
      <c r="G469" s="598">
        <v>7</v>
      </c>
      <c r="H469" s="598">
        <v>4</v>
      </c>
      <c r="I469" s="598">
        <v>1</v>
      </c>
      <c r="R469" s="600"/>
      <c r="S469" s="600"/>
      <c r="T469" s="600"/>
      <c r="U469" s="600"/>
      <c r="V469" s="600"/>
      <c r="W469" s="600"/>
      <c r="X469" s="600"/>
    </row>
    <row r="470" spans="1:24" s="263" customFormat="1" ht="9" customHeight="1" x14ac:dyDescent="0.25">
      <c r="A470" s="263" t="s">
        <v>47</v>
      </c>
      <c r="B470" s="598">
        <f t="shared" si="25"/>
        <v>53</v>
      </c>
      <c r="C470" s="598"/>
      <c r="D470" s="598">
        <v>9</v>
      </c>
      <c r="E470" s="598">
        <v>21</v>
      </c>
      <c r="F470" s="598">
        <v>11</v>
      </c>
      <c r="G470" s="598">
        <v>6</v>
      </c>
      <c r="H470" s="598">
        <v>6</v>
      </c>
      <c r="I470" s="598">
        <v>0</v>
      </c>
      <c r="R470" s="600"/>
      <c r="S470" s="600"/>
      <c r="T470" s="600"/>
      <c r="U470" s="600"/>
      <c r="V470" s="600"/>
      <c r="W470" s="600"/>
      <c r="X470" s="600"/>
    </row>
    <row r="471" spans="1:24" s="263" customFormat="1" ht="9" customHeight="1" x14ac:dyDescent="0.25">
      <c r="A471" s="263" t="s">
        <v>48</v>
      </c>
      <c r="B471" s="598">
        <f t="shared" si="25"/>
        <v>53</v>
      </c>
      <c r="C471" s="598"/>
      <c r="D471" s="598">
        <v>17</v>
      </c>
      <c r="E471" s="598">
        <v>22</v>
      </c>
      <c r="F471" s="598">
        <v>9</v>
      </c>
      <c r="G471" s="598">
        <v>3</v>
      </c>
      <c r="H471" s="598">
        <v>1</v>
      </c>
      <c r="I471" s="598">
        <v>1</v>
      </c>
      <c r="R471" s="600"/>
      <c r="S471" s="600"/>
      <c r="T471" s="600"/>
      <c r="U471" s="600"/>
      <c r="V471" s="600"/>
      <c r="W471" s="600"/>
      <c r="X471" s="600"/>
    </row>
    <row r="472" spans="1:24" s="263" customFormat="1" ht="9" customHeight="1" x14ac:dyDescent="0.25">
      <c r="A472" s="267" t="s">
        <v>49</v>
      </c>
      <c r="B472" s="599">
        <f t="shared" si="25"/>
        <v>61</v>
      </c>
      <c r="C472" s="599"/>
      <c r="D472" s="599">
        <v>10</v>
      </c>
      <c r="E472" s="599">
        <v>26</v>
      </c>
      <c r="F472" s="599">
        <v>8</v>
      </c>
      <c r="G472" s="599">
        <v>10</v>
      </c>
      <c r="H472" s="599">
        <v>5</v>
      </c>
      <c r="I472" s="599">
        <v>2</v>
      </c>
      <c r="R472" s="600"/>
      <c r="S472" s="600"/>
      <c r="T472" s="600"/>
      <c r="U472" s="600"/>
      <c r="V472" s="600"/>
      <c r="W472" s="600"/>
      <c r="X472" s="600"/>
    </row>
    <row r="473" spans="1:24" s="263" customFormat="1" ht="9" customHeight="1" x14ac:dyDescent="0.25">
      <c r="A473" s="263" t="s">
        <v>50</v>
      </c>
      <c r="B473" s="598">
        <f t="shared" si="25"/>
        <v>53</v>
      </c>
      <c r="C473" s="598"/>
      <c r="D473" s="598">
        <v>22</v>
      </c>
      <c r="E473" s="598">
        <v>23</v>
      </c>
      <c r="F473" s="598">
        <v>4</v>
      </c>
      <c r="G473" s="598">
        <v>3</v>
      </c>
      <c r="H473" s="598">
        <v>1</v>
      </c>
      <c r="I473" s="598">
        <v>0</v>
      </c>
      <c r="R473" s="600"/>
      <c r="S473" s="600"/>
      <c r="T473" s="600"/>
      <c r="U473" s="600"/>
      <c r="V473" s="600"/>
      <c r="W473" s="600"/>
      <c r="X473" s="600"/>
    </row>
    <row r="474" spans="1:24" s="263" customFormat="1" ht="9" customHeight="1" x14ac:dyDescent="0.25">
      <c r="A474" s="263" t="s">
        <v>51</v>
      </c>
      <c r="B474" s="598">
        <f t="shared" si="25"/>
        <v>175</v>
      </c>
      <c r="C474" s="598"/>
      <c r="D474" s="598">
        <v>46</v>
      </c>
      <c r="E474" s="598">
        <v>79</v>
      </c>
      <c r="F474" s="598">
        <v>30</v>
      </c>
      <c r="G474" s="598">
        <v>15</v>
      </c>
      <c r="H474" s="598">
        <v>3</v>
      </c>
      <c r="I474" s="598">
        <v>2</v>
      </c>
      <c r="R474" s="600"/>
      <c r="S474" s="600"/>
      <c r="T474" s="600"/>
      <c r="U474" s="600"/>
      <c r="V474" s="600"/>
      <c r="W474" s="600"/>
      <c r="X474" s="600"/>
    </row>
    <row r="475" spans="1:24" s="263" customFormat="1" ht="9" customHeight="1" x14ac:dyDescent="0.25">
      <c r="A475" s="263" t="s">
        <v>52</v>
      </c>
      <c r="B475" s="598">
        <f t="shared" si="25"/>
        <v>35</v>
      </c>
      <c r="C475" s="598"/>
      <c r="D475" s="598">
        <v>7</v>
      </c>
      <c r="E475" s="598">
        <v>16</v>
      </c>
      <c r="F475" s="598">
        <v>3</v>
      </c>
      <c r="G475" s="598">
        <v>5</v>
      </c>
      <c r="H475" s="598">
        <v>1</v>
      </c>
      <c r="I475" s="598">
        <v>3</v>
      </c>
      <c r="R475" s="600"/>
      <c r="S475" s="600"/>
      <c r="T475" s="600"/>
      <c r="U475" s="600"/>
      <c r="V475" s="600"/>
      <c r="W475" s="600"/>
      <c r="X475" s="600"/>
    </row>
    <row r="476" spans="1:24" s="263" customFormat="1" ht="9" customHeight="1" x14ac:dyDescent="0.25">
      <c r="A476" s="267" t="s">
        <v>53</v>
      </c>
      <c r="B476" s="599">
        <f t="shared" si="25"/>
        <v>36</v>
      </c>
      <c r="C476" s="599"/>
      <c r="D476" s="599">
        <v>4</v>
      </c>
      <c r="E476" s="599">
        <v>16</v>
      </c>
      <c r="F476" s="599">
        <v>7</v>
      </c>
      <c r="G476" s="599">
        <v>6</v>
      </c>
      <c r="H476" s="599">
        <v>2</v>
      </c>
      <c r="I476" s="599">
        <v>1</v>
      </c>
      <c r="R476" s="600"/>
      <c r="S476" s="600"/>
      <c r="T476" s="600"/>
      <c r="U476" s="600"/>
      <c r="V476" s="600"/>
      <c r="W476" s="600"/>
      <c r="X476" s="600"/>
    </row>
    <row r="477" spans="1:24" s="263" customFormat="1" ht="9" customHeight="1" x14ac:dyDescent="0.25">
      <c r="A477" s="286"/>
      <c r="B477" s="613"/>
      <c r="C477" s="613"/>
      <c r="D477" s="286"/>
      <c r="E477" s="286"/>
      <c r="F477" s="286"/>
      <c r="G477" s="286"/>
      <c r="H477" s="286"/>
      <c r="I477" s="286"/>
      <c r="R477" s="600"/>
      <c r="S477" s="600"/>
      <c r="T477" s="600"/>
      <c r="U477" s="600"/>
      <c r="V477" s="600"/>
      <c r="W477" s="600"/>
      <c r="X477" s="600"/>
    </row>
    <row r="478" spans="1:24" s="263" customFormat="1" ht="9" customHeight="1" x14ac:dyDescent="0.25">
      <c r="A478" s="261">
        <v>2008</v>
      </c>
      <c r="B478" s="262"/>
      <c r="C478" s="262"/>
      <c r="D478" s="262"/>
      <c r="E478" s="262"/>
      <c r="F478" s="262"/>
      <c r="G478" s="262"/>
      <c r="H478" s="262"/>
      <c r="I478" s="262"/>
      <c r="R478" s="600"/>
      <c r="S478" s="600"/>
      <c r="T478" s="600"/>
      <c r="U478" s="600"/>
      <c r="V478" s="600"/>
      <c r="W478" s="600"/>
      <c r="X478" s="600"/>
    </row>
    <row r="479" spans="1:24" s="263" customFormat="1" ht="9" customHeight="1" x14ac:dyDescent="0.25">
      <c r="A479" s="265" t="s">
        <v>21</v>
      </c>
      <c r="B479" s="597">
        <f>SUM(B481:B512)</f>
        <v>3111</v>
      </c>
      <c r="C479" s="597"/>
      <c r="D479" s="597">
        <f t="shared" ref="D479:I479" si="26">SUM(D481:D512)</f>
        <v>774</v>
      </c>
      <c r="E479" s="597">
        <f t="shared" si="26"/>
        <v>1319</v>
      </c>
      <c r="F479" s="597">
        <f t="shared" si="26"/>
        <v>511</v>
      </c>
      <c r="G479" s="597">
        <f t="shared" si="26"/>
        <v>273</v>
      </c>
      <c r="H479" s="597">
        <f t="shared" si="26"/>
        <v>144</v>
      </c>
      <c r="I479" s="597">
        <f t="shared" si="26"/>
        <v>90</v>
      </c>
      <c r="J479" s="600"/>
      <c r="R479" s="600"/>
      <c r="S479" s="600"/>
      <c r="T479" s="600"/>
      <c r="U479" s="600"/>
      <c r="V479" s="600"/>
      <c r="W479" s="600"/>
      <c r="X479" s="600"/>
    </row>
    <row r="480" spans="1:24" s="263" customFormat="1" ht="3.95" customHeight="1" x14ac:dyDescent="0.25">
      <c r="A480" s="265"/>
      <c r="B480" s="597"/>
      <c r="C480" s="597"/>
      <c r="D480" s="597"/>
      <c r="E480" s="597"/>
      <c r="F480" s="597"/>
      <c r="G480" s="597"/>
      <c r="H480" s="597"/>
      <c r="I480" s="597"/>
      <c r="J480" s="600"/>
      <c r="R480" s="600"/>
      <c r="S480" s="600"/>
      <c r="T480" s="600"/>
      <c r="U480" s="600"/>
      <c r="V480" s="600"/>
      <c r="W480" s="600"/>
      <c r="X480" s="600"/>
    </row>
    <row r="481" spans="1:24" s="263" customFormat="1" ht="9" customHeight="1" x14ac:dyDescent="0.25">
      <c r="A481" s="263" t="s">
        <v>23</v>
      </c>
      <c r="B481" s="598">
        <f t="shared" ref="B481:B512" si="27">SUM(D481:I481)</f>
        <v>17</v>
      </c>
      <c r="C481" s="598"/>
      <c r="D481" s="598">
        <v>1</v>
      </c>
      <c r="E481" s="598">
        <v>4</v>
      </c>
      <c r="F481" s="598">
        <v>5</v>
      </c>
      <c r="G481" s="598">
        <v>1</v>
      </c>
      <c r="H481" s="598">
        <v>5</v>
      </c>
      <c r="I481" s="598">
        <v>1</v>
      </c>
      <c r="R481" s="600"/>
      <c r="S481" s="600"/>
      <c r="T481" s="600"/>
      <c r="U481" s="600"/>
      <c r="V481" s="600"/>
      <c r="W481" s="600"/>
      <c r="X481" s="600"/>
    </row>
    <row r="482" spans="1:24" s="263" customFormat="1" ht="9" customHeight="1" x14ac:dyDescent="0.25">
      <c r="A482" s="263" t="s">
        <v>24</v>
      </c>
      <c r="B482" s="598">
        <f t="shared" si="27"/>
        <v>127</v>
      </c>
      <c r="C482" s="598"/>
      <c r="D482" s="598">
        <v>28</v>
      </c>
      <c r="E482" s="598">
        <v>65</v>
      </c>
      <c r="F482" s="598">
        <v>14</v>
      </c>
      <c r="G482" s="598">
        <v>13</v>
      </c>
      <c r="H482" s="598">
        <v>6</v>
      </c>
      <c r="I482" s="598">
        <v>1</v>
      </c>
      <c r="R482" s="600"/>
      <c r="S482" s="600"/>
      <c r="T482" s="600"/>
      <c r="U482" s="600"/>
      <c r="V482" s="600"/>
      <c r="W482" s="600"/>
      <c r="X482" s="600"/>
    </row>
    <row r="483" spans="1:24" s="263" customFormat="1" ht="9" customHeight="1" x14ac:dyDescent="0.25">
      <c r="A483" s="263" t="s">
        <v>25</v>
      </c>
      <c r="B483" s="598">
        <f t="shared" si="27"/>
        <v>14</v>
      </c>
      <c r="C483" s="598"/>
      <c r="D483" s="598">
        <v>5</v>
      </c>
      <c r="E483" s="598">
        <v>6</v>
      </c>
      <c r="F483" s="598">
        <v>3</v>
      </c>
      <c r="G483" s="598">
        <v>0</v>
      </c>
      <c r="H483" s="598">
        <v>0</v>
      </c>
      <c r="I483" s="598">
        <v>0</v>
      </c>
      <c r="R483" s="600"/>
      <c r="S483" s="600"/>
      <c r="T483" s="600"/>
      <c r="U483" s="600"/>
      <c r="V483" s="600"/>
      <c r="W483" s="600"/>
      <c r="X483" s="600"/>
    </row>
    <row r="484" spans="1:24" s="263" customFormat="1" ht="9" customHeight="1" x14ac:dyDescent="0.25">
      <c r="A484" s="267" t="s">
        <v>26</v>
      </c>
      <c r="B484" s="599">
        <f t="shared" si="27"/>
        <v>9</v>
      </c>
      <c r="C484" s="599"/>
      <c r="D484" s="599">
        <v>4</v>
      </c>
      <c r="E484" s="599">
        <v>1</v>
      </c>
      <c r="F484" s="599">
        <v>3</v>
      </c>
      <c r="G484" s="599">
        <v>1</v>
      </c>
      <c r="H484" s="599">
        <v>0</v>
      </c>
      <c r="I484" s="599">
        <v>0</v>
      </c>
      <c r="R484" s="600"/>
      <c r="S484" s="600"/>
      <c r="T484" s="600"/>
      <c r="U484" s="600"/>
      <c r="V484" s="600"/>
      <c r="W484" s="600"/>
      <c r="X484" s="600"/>
    </row>
    <row r="485" spans="1:24" s="263" customFormat="1" ht="9" customHeight="1" x14ac:dyDescent="0.25">
      <c r="A485" s="263" t="s">
        <v>27</v>
      </c>
      <c r="B485" s="598">
        <f t="shared" si="27"/>
        <v>29</v>
      </c>
      <c r="C485" s="598"/>
      <c r="D485" s="598">
        <v>4</v>
      </c>
      <c r="E485" s="598">
        <v>7</v>
      </c>
      <c r="F485" s="598">
        <v>6</v>
      </c>
      <c r="G485" s="598">
        <v>5</v>
      </c>
      <c r="H485" s="598">
        <v>5</v>
      </c>
      <c r="I485" s="598">
        <v>2</v>
      </c>
      <c r="R485" s="600"/>
      <c r="S485" s="600"/>
      <c r="T485" s="600"/>
      <c r="U485" s="600"/>
      <c r="V485" s="600"/>
      <c r="W485" s="600"/>
      <c r="X485" s="600"/>
    </row>
    <row r="486" spans="1:24" s="263" customFormat="1" ht="9" customHeight="1" x14ac:dyDescent="0.25">
      <c r="A486" s="263" t="s">
        <v>28</v>
      </c>
      <c r="B486" s="598">
        <f t="shared" si="27"/>
        <v>11</v>
      </c>
      <c r="C486" s="598"/>
      <c r="D486" s="598">
        <v>0</v>
      </c>
      <c r="E486" s="598">
        <v>5</v>
      </c>
      <c r="F486" s="598">
        <v>4</v>
      </c>
      <c r="G486" s="598">
        <v>2</v>
      </c>
      <c r="H486" s="598">
        <v>0</v>
      </c>
      <c r="I486" s="598">
        <v>0</v>
      </c>
      <c r="R486" s="600"/>
      <c r="S486" s="600"/>
      <c r="T486" s="600"/>
      <c r="U486" s="600"/>
      <c r="V486" s="600"/>
      <c r="W486" s="600"/>
      <c r="X486" s="600"/>
    </row>
    <row r="487" spans="1:24" s="263" customFormat="1" ht="9" customHeight="1" x14ac:dyDescent="0.25">
      <c r="A487" s="263" t="s">
        <v>29</v>
      </c>
      <c r="B487" s="598">
        <f t="shared" si="27"/>
        <v>74</v>
      </c>
      <c r="C487" s="598"/>
      <c r="D487" s="598">
        <v>19</v>
      </c>
      <c r="E487" s="598">
        <v>34</v>
      </c>
      <c r="F487" s="598">
        <v>14</v>
      </c>
      <c r="G487" s="598">
        <v>4</v>
      </c>
      <c r="H487" s="598">
        <v>2</v>
      </c>
      <c r="I487" s="598">
        <v>1</v>
      </c>
      <c r="R487" s="600"/>
      <c r="S487" s="600"/>
      <c r="T487" s="600"/>
      <c r="U487" s="600"/>
      <c r="V487" s="600"/>
      <c r="W487" s="600"/>
      <c r="X487" s="600"/>
    </row>
    <row r="488" spans="1:24" s="263" customFormat="1" ht="9" customHeight="1" x14ac:dyDescent="0.25">
      <c r="A488" s="267" t="s">
        <v>30</v>
      </c>
      <c r="B488" s="599">
        <f t="shared" si="27"/>
        <v>95</v>
      </c>
      <c r="C488" s="599"/>
      <c r="D488" s="599">
        <v>20</v>
      </c>
      <c r="E488" s="599">
        <v>42</v>
      </c>
      <c r="F488" s="599">
        <v>14</v>
      </c>
      <c r="G488" s="599">
        <v>7</v>
      </c>
      <c r="H488" s="599">
        <v>3</v>
      </c>
      <c r="I488" s="599">
        <v>9</v>
      </c>
      <c r="R488" s="600"/>
      <c r="S488" s="600"/>
      <c r="T488" s="600"/>
      <c r="U488" s="600"/>
      <c r="V488" s="600"/>
      <c r="W488" s="600"/>
      <c r="X488" s="600"/>
    </row>
    <row r="489" spans="1:24" s="263" customFormat="1" ht="9" customHeight="1" x14ac:dyDescent="0.25">
      <c r="A489" s="263" t="s">
        <v>63</v>
      </c>
      <c r="B489" s="598">
        <f t="shared" si="27"/>
        <v>299</v>
      </c>
      <c r="C489" s="598"/>
      <c r="D489" s="598">
        <v>76</v>
      </c>
      <c r="E489" s="598">
        <v>116</v>
      </c>
      <c r="F489" s="598">
        <v>37</v>
      </c>
      <c r="G489" s="598">
        <v>27</v>
      </c>
      <c r="H489" s="598">
        <v>19</v>
      </c>
      <c r="I489" s="598">
        <v>24</v>
      </c>
      <c r="R489" s="600"/>
      <c r="S489" s="600"/>
      <c r="T489" s="600"/>
      <c r="U489" s="600"/>
      <c r="V489" s="600"/>
      <c r="W489" s="600"/>
      <c r="X489" s="600"/>
    </row>
    <row r="490" spans="1:24" s="263" customFormat="1" ht="9" customHeight="1" x14ac:dyDescent="0.25">
      <c r="A490" s="263" t="s">
        <v>31</v>
      </c>
      <c r="B490" s="598">
        <f t="shared" si="27"/>
        <v>38</v>
      </c>
      <c r="C490" s="598"/>
      <c r="D490" s="598">
        <v>6</v>
      </c>
      <c r="E490" s="598">
        <v>16</v>
      </c>
      <c r="F490" s="598">
        <v>10</v>
      </c>
      <c r="G490" s="598">
        <v>6</v>
      </c>
      <c r="H490" s="598">
        <v>0</v>
      </c>
      <c r="I490" s="598">
        <v>0</v>
      </c>
      <c r="R490" s="600"/>
      <c r="S490" s="600"/>
      <c r="T490" s="600"/>
      <c r="U490" s="600"/>
      <c r="V490" s="600"/>
      <c r="W490" s="600"/>
      <c r="X490" s="600"/>
    </row>
    <row r="491" spans="1:24" s="263" customFormat="1" ht="9" customHeight="1" x14ac:dyDescent="0.25">
      <c r="A491" s="263" t="s">
        <v>32</v>
      </c>
      <c r="B491" s="598">
        <f t="shared" si="27"/>
        <v>203</v>
      </c>
      <c r="C491" s="598"/>
      <c r="D491" s="598">
        <v>31</v>
      </c>
      <c r="E491" s="598">
        <v>90</v>
      </c>
      <c r="F491" s="598">
        <v>49</v>
      </c>
      <c r="G491" s="598">
        <v>16</v>
      </c>
      <c r="H491" s="598">
        <v>13</v>
      </c>
      <c r="I491" s="598">
        <v>4</v>
      </c>
      <c r="R491" s="600"/>
      <c r="S491" s="600"/>
      <c r="T491" s="600"/>
      <c r="U491" s="600"/>
      <c r="V491" s="600"/>
      <c r="W491" s="600"/>
      <c r="X491" s="600"/>
    </row>
    <row r="492" spans="1:24" s="263" customFormat="1" ht="9" customHeight="1" x14ac:dyDescent="0.25">
      <c r="A492" s="267" t="s">
        <v>33</v>
      </c>
      <c r="B492" s="599">
        <f t="shared" si="27"/>
        <v>104</v>
      </c>
      <c r="C492" s="599"/>
      <c r="D492" s="599">
        <v>30</v>
      </c>
      <c r="E492" s="599">
        <v>44</v>
      </c>
      <c r="F492" s="599">
        <v>18</v>
      </c>
      <c r="G492" s="599">
        <v>7</v>
      </c>
      <c r="H492" s="599">
        <v>5</v>
      </c>
      <c r="I492" s="599">
        <v>0</v>
      </c>
      <c r="R492" s="600"/>
      <c r="S492" s="600"/>
      <c r="T492" s="600"/>
      <c r="U492" s="600"/>
      <c r="V492" s="600"/>
      <c r="W492" s="600"/>
      <c r="X492" s="600"/>
    </row>
    <row r="493" spans="1:24" s="263" customFormat="1" ht="9" customHeight="1" x14ac:dyDescent="0.25">
      <c r="A493" s="263" t="s">
        <v>34</v>
      </c>
      <c r="B493" s="598">
        <f t="shared" si="27"/>
        <v>86</v>
      </c>
      <c r="C493" s="598"/>
      <c r="D493" s="598">
        <v>27</v>
      </c>
      <c r="E493" s="598">
        <v>41</v>
      </c>
      <c r="F493" s="598">
        <v>11</v>
      </c>
      <c r="G493" s="598">
        <v>5</v>
      </c>
      <c r="H493" s="598">
        <v>2</v>
      </c>
      <c r="I493" s="598">
        <v>0</v>
      </c>
      <c r="R493" s="600"/>
      <c r="S493" s="600"/>
      <c r="T493" s="600"/>
      <c r="U493" s="600"/>
      <c r="V493" s="600"/>
      <c r="W493" s="600"/>
      <c r="X493" s="600"/>
    </row>
    <row r="494" spans="1:24" s="263" customFormat="1" ht="9" customHeight="1" x14ac:dyDescent="0.25">
      <c r="A494" s="263" t="s">
        <v>35</v>
      </c>
      <c r="B494" s="598">
        <f t="shared" si="27"/>
        <v>187</v>
      </c>
      <c r="C494" s="598"/>
      <c r="D494" s="598">
        <v>30</v>
      </c>
      <c r="E494" s="598">
        <v>70</v>
      </c>
      <c r="F494" s="598">
        <v>39</v>
      </c>
      <c r="G494" s="598">
        <v>22</v>
      </c>
      <c r="H494" s="598">
        <v>16</v>
      </c>
      <c r="I494" s="598">
        <v>10</v>
      </c>
      <c r="R494" s="600"/>
      <c r="S494" s="600"/>
      <c r="T494" s="600"/>
      <c r="U494" s="600"/>
      <c r="V494" s="600"/>
      <c r="W494" s="600"/>
      <c r="X494" s="600"/>
    </row>
    <row r="495" spans="1:24" s="263" customFormat="1" ht="9" customHeight="1" x14ac:dyDescent="0.25">
      <c r="A495" s="263" t="s">
        <v>36</v>
      </c>
      <c r="B495" s="598">
        <f t="shared" si="27"/>
        <v>526</v>
      </c>
      <c r="C495" s="598"/>
      <c r="D495" s="598">
        <v>175</v>
      </c>
      <c r="E495" s="598">
        <v>240</v>
      </c>
      <c r="F495" s="598">
        <v>70</v>
      </c>
      <c r="G495" s="598">
        <v>27</v>
      </c>
      <c r="H495" s="598">
        <v>11</v>
      </c>
      <c r="I495" s="598">
        <v>3</v>
      </c>
      <c r="R495" s="600"/>
      <c r="S495" s="600"/>
      <c r="T495" s="600"/>
      <c r="U495" s="600"/>
      <c r="V495" s="600"/>
      <c r="W495" s="600"/>
      <c r="X495" s="600"/>
    </row>
    <row r="496" spans="1:24" s="263" customFormat="1" ht="9" customHeight="1" x14ac:dyDescent="0.25">
      <c r="A496" s="267" t="s">
        <v>37</v>
      </c>
      <c r="B496" s="599">
        <f t="shared" si="27"/>
        <v>188</v>
      </c>
      <c r="C496" s="599"/>
      <c r="D496" s="599">
        <v>36</v>
      </c>
      <c r="E496" s="599">
        <v>85</v>
      </c>
      <c r="F496" s="599">
        <v>35</v>
      </c>
      <c r="G496" s="599">
        <v>22</v>
      </c>
      <c r="H496" s="599">
        <v>7</v>
      </c>
      <c r="I496" s="599">
        <v>3</v>
      </c>
      <c r="R496" s="600"/>
      <c r="S496" s="600"/>
      <c r="T496" s="600"/>
      <c r="U496" s="600"/>
      <c r="V496" s="600"/>
      <c r="W496" s="600"/>
      <c r="X496" s="600"/>
    </row>
    <row r="497" spans="1:24" s="263" customFormat="1" ht="9" customHeight="1" x14ac:dyDescent="0.25">
      <c r="A497" s="263" t="s">
        <v>38</v>
      </c>
      <c r="B497" s="598">
        <f t="shared" si="27"/>
        <v>71</v>
      </c>
      <c r="C497" s="598"/>
      <c r="D497" s="598">
        <v>28</v>
      </c>
      <c r="E497" s="598">
        <v>31</v>
      </c>
      <c r="F497" s="598">
        <v>5</v>
      </c>
      <c r="G497" s="598">
        <v>6</v>
      </c>
      <c r="H497" s="598">
        <v>1</v>
      </c>
      <c r="I497" s="598">
        <v>0</v>
      </c>
      <c r="R497" s="600"/>
      <c r="S497" s="600"/>
      <c r="T497" s="600"/>
      <c r="U497" s="600"/>
      <c r="V497" s="600"/>
      <c r="W497" s="600"/>
      <c r="X497" s="600"/>
    </row>
    <row r="498" spans="1:24" s="263" customFormat="1" ht="9" customHeight="1" x14ac:dyDescent="0.25">
      <c r="A498" s="263" t="s">
        <v>39</v>
      </c>
      <c r="B498" s="598">
        <f t="shared" si="27"/>
        <v>19</v>
      </c>
      <c r="C498" s="598"/>
      <c r="D498" s="598">
        <v>11</v>
      </c>
      <c r="E498" s="598">
        <v>6</v>
      </c>
      <c r="F498" s="598">
        <v>0</v>
      </c>
      <c r="G498" s="598">
        <v>0</v>
      </c>
      <c r="H498" s="598">
        <v>2</v>
      </c>
      <c r="I498" s="598">
        <v>0</v>
      </c>
      <c r="R498" s="600"/>
      <c r="S498" s="600"/>
      <c r="T498" s="600"/>
      <c r="U498" s="600"/>
      <c r="V498" s="600"/>
      <c r="W498" s="600"/>
      <c r="X498" s="600"/>
    </row>
    <row r="499" spans="1:24" s="263" customFormat="1" ht="9" customHeight="1" x14ac:dyDescent="0.25">
      <c r="A499" s="263" t="s">
        <v>40</v>
      </c>
      <c r="B499" s="598">
        <f t="shared" si="27"/>
        <v>66</v>
      </c>
      <c r="C499" s="598"/>
      <c r="D499" s="598">
        <v>13</v>
      </c>
      <c r="E499" s="598">
        <v>18</v>
      </c>
      <c r="F499" s="598">
        <v>12</v>
      </c>
      <c r="G499" s="598">
        <v>8</v>
      </c>
      <c r="H499" s="598">
        <v>7</v>
      </c>
      <c r="I499" s="598">
        <v>8</v>
      </c>
      <c r="R499" s="600"/>
      <c r="S499" s="600"/>
      <c r="T499" s="600"/>
      <c r="U499" s="600"/>
      <c r="V499" s="600"/>
      <c r="W499" s="600"/>
      <c r="X499" s="600"/>
    </row>
    <row r="500" spans="1:24" s="263" customFormat="1" ht="9" customHeight="1" x14ac:dyDescent="0.25">
      <c r="A500" s="267" t="s">
        <v>41</v>
      </c>
      <c r="B500" s="599">
        <f t="shared" si="27"/>
        <v>110</v>
      </c>
      <c r="C500" s="599"/>
      <c r="D500" s="599">
        <v>38</v>
      </c>
      <c r="E500" s="599">
        <v>46</v>
      </c>
      <c r="F500" s="599">
        <v>18</v>
      </c>
      <c r="G500" s="599">
        <v>6</v>
      </c>
      <c r="H500" s="599">
        <v>2</v>
      </c>
      <c r="I500" s="599">
        <v>0</v>
      </c>
      <c r="R500" s="600"/>
      <c r="S500" s="600"/>
      <c r="T500" s="600"/>
      <c r="U500" s="600"/>
      <c r="V500" s="600"/>
      <c r="W500" s="600"/>
      <c r="X500" s="600"/>
    </row>
    <row r="501" spans="1:24" s="263" customFormat="1" ht="9" customHeight="1" x14ac:dyDescent="0.25">
      <c r="A501" s="263" t="s">
        <v>42</v>
      </c>
      <c r="B501" s="598">
        <f t="shared" si="27"/>
        <v>155</v>
      </c>
      <c r="C501" s="598"/>
      <c r="D501" s="598">
        <v>13</v>
      </c>
      <c r="E501" s="598">
        <v>72</v>
      </c>
      <c r="F501" s="598">
        <v>37</v>
      </c>
      <c r="G501" s="598">
        <v>19</v>
      </c>
      <c r="H501" s="598">
        <v>7</v>
      </c>
      <c r="I501" s="598">
        <v>7</v>
      </c>
      <c r="R501" s="600"/>
      <c r="S501" s="600"/>
      <c r="T501" s="600"/>
      <c r="U501" s="600"/>
      <c r="V501" s="600"/>
      <c r="W501" s="600"/>
      <c r="X501" s="600"/>
    </row>
    <row r="502" spans="1:24" s="263" customFormat="1" ht="9" customHeight="1" x14ac:dyDescent="0.25">
      <c r="A502" s="263" t="s">
        <v>43</v>
      </c>
      <c r="B502" s="598">
        <f t="shared" si="27"/>
        <v>66</v>
      </c>
      <c r="C502" s="598"/>
      <c r="D502" s="598">
        <v>24</v>
      </c>
      <c r="E502" s="598">
        <v>22</v>
      </c>
      <c r="F502" s="598">
        <v>8</v>
      </c>
      <c r="G502" s="598">
        <v>8</v>
      </c>
      <c r="H502" s="598">
        <v>2</v>
      </c>
      <c r="I502" s="598">
        <v>2</v>
      </c>
      <c r="R502" s="600"/>
      <c r="S502" s="600"/>
      <c r="T502" s="600"/>
      <c r="U502" s="600"/>
      <c r="V502" s="600"/>
      <c r="W502" s="600"/>
      <c r="X502" s="600"/>
    </row>
    <row r="503" spans="1:24" s="263" customFormat="1" ht="9" customHeight="1" x14ac:dyDescent="0.25">
      <c r="A503" s="263" t="s">
        <v>44</v>
      </c>
      <c r="B503" s="598">
        <f t="shared" si="27"/>
        <v>38</v>
      </c>
      <c r="C503" s="598"/>
      <c r="D503" s="598">
        <v>12</v>
      </c>
      <c r="E503" s="598">
        <v>16</v>
      </c>
      <c r="F503" s="598">
        <v>6</v>
      </c>
      <c r="G503" s="598">
        <v>3</v>
      </c>
      <c r="H503" s="598">
        <v>1</v>
      </c>
      <c r="I503" s="598">
        <v>0</v>
      </c>
      <c r="R503" s="600"/>
      <c r="S503" s="600"/>
      <c r="T503" s="600"/>
      <c r="U503" s="600"/>
      <c r="V503" s="600"/>
      <c r="W503" s="600"/>
      <c r="X503" s="600"/>
    </row>
    <row r="504" spans="1:24" s="263" customFormat="1" ht="9" customHeight="1" x14ac:dyDescent="0.25">
      <c r="A504" s="267" t="s">
        <v>45</v>
      </c>
      <c r="B504" s="599">
        <f t="shared" si="27"/>
        <v>53</v>
      </c>
      <c r="C504" s="599"/>
      <c r="D504" s="599">
        <v>14</v>
      </c>
      <c r="E504" s="599">
        <v>17</v>
      </c>
      <c r="F504" s="599">
        <v>9</v>
      </c>
      <c r="G504" s="599">
        <v>6</v>
      </c>
      <c r="H504" s="599">
        <v>4</v>
      </c>
      <c r="I504" s="599">
        <v>3</v>
      </c>
      <c r="R504" s="600"/>
      <c r="S504" s="600"/>
      <c r="T504" s="600"/>
      <c r="U504" s="600"/>
      <c r="V504" s="600"/>
      <c r="W504" s="600"/>
      <c r="X504" s="600"/>
    </row>
    <row r="505" spans="1:24" s="263" customFormat="1" ht="9" customHeight="1" x14ac:dyDescent="0.25">
      <c r="A505" s="263" t="s">
        <v>46</v>
      </c>
      <c r="B505" s="598">
        <f t="shared" si="27"/>
        <v>72</v>
      </c>
      <c r="C505" s="598"/>
      <c r="D505" s="598">
        <v>24</v>
      </c>
      <c r="E505" s="598">
        <v>26</v>
      </c>
      <c r="F505" s="598">
        <v>10</v>
      </c>
      <c r="G505" s="598">
        <v>6</v>
      </c>
      <c r="H505" s="598">
        <v>5</v>
      </c>
      <c r="I505" s="598">
        <v>1</v>
      </c>
      <c r="R505" s="600"/>
      <c r="S505" s="600"/>
      <c r="T505" s="600"/>
      <c r="U505" s="600"/>
      <c r="V505" s="600"/>
      <c r="W505" s="600"/>
      <c r="X505" s="600"/>
    </row>
    <row r="506" spans="1:24" s="263" customFormat="1" ht="9" customHeight="1" x14ac:dyDescent="0.25">
      <c r="A506" s="263" t="s">
        <v>47</v>
      </c>
      <c r="B506" s="598">
        <f t="shared" si="27"/>
        <v>53</v>
      </c>
      <c r="C506" s="598"/>
      <c r="D506" s="598">
        <v>8</v>
      </c>
      <c r="E506" s="598">
        <v>22</v>
      </c>
      <c r="F506" s="598">
        <v>10</v>
      </c>
      <c r="G506" s="598">
        <v>6</v>
      </c>
      <c r="H506" s="598">
        <v>5</v>
      </c>
      <c r="I506" s="598">
        <v>2</v>
      </c>
      <c r="R506" s="600"/>
      <c r="S506" s="600"/>
      <c r="T506" s="600"/>
      <c r="U506" s="600"/>
      <c r="V506" s="600"/>
      <c r="W506" s="600"/>
      <c r="X506" s="600"/>
    </row>
    <row r="507" spans="1:24" s="263" customFormat="1" ht="9" customHeight="1" x14ac:dyDescent="0.25">
      <c r="A507" s="263" t="s">
        <v>48</v>
      </c>
      <c r="B507" s="598">
        <f t="shared" si="27"/>
        <v>50</v>
      </c>
      <c r="C507" s="598"/>
      <c r="D507" s="598">
        <v>18</v>
      </c>
      <c r="E507" s="598">
        <v>19</v>
      </c>
      <c r="F507" s="598">
        <v>7</v>
      </c>
      <c r="G507" s="598">
        <v>3</v>
      </c>
      <c r="H507" s="598">
        <v>2</v>
      </c>
      <c r="I507" s="598">
        <v>1</v>
      </c>
      <c r="R507" s="600"/>
      <c r="S507" s="600"/>
      <c r="T507" s="600"/>
      <c r="U507" s="600"/>
      <c r="V507" s="600"/>
      <c r="W507" s="600"/>
      <c r="X507" s="600"/>
    </row>
    <row r="508" spans="1:24" s="263" customFormat="1" ht="9" customHeight="1" x14ac:dyDescent="0.25">
      <c r="A508" s="267" t="s">
        <v>49</v>
      </c>
      <c r="B508" s="599">
        <f t="shared" si="27"/>
        <v>63</v>
      </c>
      <c r="C508" s="599"/>
      <c r="D508" s="599">
        <v>6</v>
      </c>
      <c r="E508" s="599">
        <v>30</v>
      </c>
      <c r="F508" s="599">
        <v>9</v>
      </c>
      <c r="G508" s="599">
        <v>10</v>
      </c>
      <c r="H508" s="599">
        <v>6</v>
      </c>
      <c r="I508" s="599">
        <v>2</v>
      </c>
      <c r="R508" s="600"/>
      <c r="S508" s="600"/>
      <c r="T508" s="600"/>
      <c r="U508" s="600"/>
      <c r="V508" s="600"/>
      <c r="W508" s="600"/>
      <c r="X508" s="600"/>
    </row>
    <row r="509" spans="1:24" s="263" customFormat="1" ht="9" customHeight="1" x14ac:dyDescent="0.25">
      <c r="A509" s="263" t="s">
        <v>50</v>
      </c>
      <c r="B509" s="598">
        <f t="shared" si="27"/>
        <v>51</v>
      </c>
      <c r="C509" s="598"/>
      <c r="D509" s="598">
        <v>21</v>
      </c>
      <c r="E509" s="598">
        <v>21</v>
      </c>
      <c r="F509" s="598">
        <v>4</v>
      </c>
      <c r="G509" s="598">
        <v>4</v>
      </c>
      <c r="H509" s="598">
        <v>1</v>
      </c>
      <c r="I509" s="598">
        <v>0</v>
      </c>
      <c r="R509" s="600"/>
      <c r="S509" s="600"/>
      <c r="T509" s="600"/>
      <c r="U509" s="600"/>
      <c r="V509" s="600"/>
      <c r="W509" s="600"/>
      <c r="X509" s="600"/>
    </row>
    <row r="510" spans="1:24" s="263" customFormat="1" ht="9" customHeight="1" x14ac:dyDescent="0.25">
      <c r="A510" s="263" t="s">
        <v>51</v>
      </c>
      <c r="B510" s="598">
        <f t="shared" si="27"/>
        <v>171</v>
      </c>
      <c r="C510" s="598"/>
      <c r="D510" s="598">
        <v>43</v>
      </c>
      <c r="E510" s="598">
        <v>75</v>
      </c>
      <c r="F510" s="598">
        <v>35</v>
      </c>
      <c r="G510" s="598">
        <v>13</v>
      </c>
      <c r="H510" s="598">
        <v>3</v>
      </c>
      <c r="I510" s="598">
        <v>2</v>
      </c>
      <c r="R510" s="600"/>
      <c r="S510" s="600"/>
      <c r="T510" s="600"/>
      <c r="U510" s="600"/>
      <c r="V510" s="600"/>
      <c r="W510" s="600"/>
      <c r="X510" s="600"/>
    </row>
    <row r="511" spans="1:24" s="263" customFormat="1" ht="9" customHeight="1" x14ac:dyDescent="0.25">
      <c r="A511" s="263" t="s">
        <v>52</v>
      </c>
      <c r="B511" s="598">
        <f t="shared" si="27"/>
        <v>33</v>
      </c>
      <c r="C511" s="598"/>
      <c r="D511" s="598">
        <v>5</v>
      </c>
      <c r="E511" s="598">
        <v>16</v>
      </c>
      <c r="F511" s="598">
        <v>3</v>
      </c>
      <c r="G511" s="598">
        <v>5</v>
      </c>
      <c r="H511" s="598">
        <v>1</v>
      </c>
      <c r="I511" s="598">
        <v>3</v>
      </c>
      <c r="R511" s="600"/>
      <c r="S511" s="600"/>
      <c r="T511" s="600"/>
      <c r="U511" s="600"/>
      <c r="V511" s="600"/>
      <c r="W511" s="600"/>
      <c r="X511" s="600"/>
    </row>
    <row r="512" spans="1:24" s="263" customFormat="1" ht="9" customHeight="1" x14ac:dyDescent="0.25">
      <c r="A512" s="267" t="s">
        <v>53</v>
      </c>
      <c r="B512" s="599">
        <f t="shared" si="27"/>
        <v>33</v>
      </c>
      <c r="C512" s="599"/>
      <c r="D512" s="599">
        <v>4</v>
      </c>
      <c r="E512" s="599">
        <v>16</v>
      </c>
      <c r="F512" s="599">
        <v>6</v>
      </c>
      <c r="G512" s="599">
        <v>5</v>
      </c>
      <c r="H512" s="599">
        <v>1</v>
      </c>
      <c r="I512" s="599">
        <v>1</v>
      </c>
      <c r="R512" s="600"/>
      <c r="S512" s="600"/>
      <c r="T512" s="600"/>
      <c r="U512" s="600"/>
      <c r="V512" s="600"/>
      <c r="W512" s="600"/>
      <c r="X512" s="600"/>
    </row>
    <row r="513" spans="1:24" s="263" customFormat="1" ht="9" customHeight="1" x14ac:dyDescent="0.25">
      <c r="A513" s="286"/>
      <c r="B513" s="613"/>
      <c r="C513" s="613"/>
      <c r="D513" s="286"/>
      <c r="E513" s="286"/>
      <c r="F513" s="286"/>
      <c r="G513" s="286"/>
      <c r="H513" s="286"/>
      <c r="I513" s="286"/>
      <c r="R513" s="600"/>
      <c r="S513" s="600"/>
      <c r="T513" s="600"/>
      <c r="U513" s="600"/>
      <c r="V513" s="600"/>
      <c r="W513" s="600"/>
      <c r="X513" s="600"/>
    </row>
    <row r="514" spans="1:24" s="263" customFormat="1" ht="9" customHeight="1" x14ac:dyDescent="0.25">
      <c r="A514" s="261">
        <v>2009</v>
      </c>
      <c r="B514" s="262"/>
      <c r="C514" s="262"/>
      <c r="D514" s="262"/>
      <c r="E514" s="262"/>
      <c r="F514" s="262"/>
      <c r="G514" s="262"/>
      <c r="H514" s="262"/>
      <c r="I514" s="262"/>
      <c r="R514" s="600"/>
      <c r="S514" s="600"/>
      <c r="T514" s="600"/>
      <c r="U514" s="600"/>
      <c r="V514" s="600"/>
      <c r="W514" s="600"/>
      <c r="X514" s="600"/>
    </row>
    <row r="515" spans="1:24" s="263" customFormat="1" ht="9" customHeight="1" x14ac:dyDescent="0.25">
      <c r="A515" s="265" t="s">
        <v>21</v>
      </c>
      <c r="B515" s="597">
        <f>SUM(B517:B548)</f>
        <v>3108</v>
      </c>
      <c r="C515" s="597"/>
      <c r="D515" s="597">
        <f t="shared" ref="D515:I515" si="28">SUM(D517:D548)</f>
        <v>789</v>
      </c>
      <c r="E515" s="597">
        <f t="shared" si="28"/>
        <v>1322</v>
      </c>
      <c r="F515" s="597">
        <f t="shared" si="28"/>
        <v>486</v>
      </c>
      <c r="G515" s="597">
        <f t="shared" si="28"/>
        <v>280</v>
      </c>
      <c r="H515" s="597">
        <f t="shared" si="28"/>
        <v>142</v>
      </c>
      <c r="I515" s="597">
        <f t="shared" si="28"/>
        <v>89</v>
      </c>
      <c r="J515" s="600"/>
      <c r="R515" s="600"/>
      <c r="S515" s="600"/>
      <c r="T515" s="600"/>
      <c r="U515" s="600"/>
      <c r="V515" s="600"/>
      <c r="W515" s="600"/>
      <c r="X515" s="600"/>
    </row>
    <row r="516" spans="1:24" s="263" customFormat="1" ht="3.95" customHeight="1" x14ac:dyDescent="0.25">
      <c r="A516" s="265"/>
      <c r="B516" s="597"/>
      <c r="C516" s="597"/>
      <c r="D516" s="597"/>
      <c r="E516" s="597"/>
      <c r="F516" s="597"/>
      <c r="G516" s="597"/>
      <c r="H516" s="597"/>
      <c r="I516" s="597"/>
      <c r="J516" s="600"/>
      <c r="R516" s="600"/>
      <c r="S516" s="600"/>
      <c r="T516" s="600"/>
      <c r="U516" s="600"/>
      <c r="V516" s="600"/>
      <c r="W516" s="600"/>
      <c r="X516" s="600"/>
    </row>
    <row r="517" spans="1:24" s="263" customFormat="1" ht="9" customHeight="1" x14ac:dyDescent="0.25">
      <c r="A517" s="263" t="s">
        <v>23</v>
      </c>
      <c r="B517" s="598">
        <f t="shared" ref="B517:B548" si="29">SUM(D517:I517)</f>
        <v>17</v>
      </c>
      <c r="C517" s="598"/>
      <c r="D517" s="598">
        <v>1</v>
      </c>
      <c r="E517" s="598">
        <v>4</v>
      </c>
      <c r="F517" s="598">
        <v>4</v>
      </c>
      <c r="G517" s="598">
        <v>2</v>
      </c>
      <c r="H517" s="598">
        <v>5</v>
      </c>
      <c r="I517" s="598">
        <v>1</v>
      </c>
      <c r="R517" s="600"/>
      <c r="S517" s="600"/>
      <c r="T517" s="600"/>
      <c r="U517" s="600"/>
      <c r="V517" s="600"/>
      <c r="W517" s="600"/>
      <c r="X517" s="600"/>
    </row>
    <row r="518" spans="1:24" s="263" customFormat="1" ht="9" customHeight="1" x14ac:dyDescent="0.25">
      <c r="A518" s="263" t="s">
        <v>24</v>
      </c>
      <c r="B518" s="598">
        <f t="shared" si="29"/>
        <v>150</v>
      </c>
      <c r="C518" s="598"/>
      <c r="D518" s="598">
        <v>44</v>
      </c>
      <c r="E518" s="598">
        <v>67</v>
      </c>
      <c r="F518" s="598">
        <v>18</v>
      </c>
      <c r="G518" s="598">
        <v>14</v>
      </c>
      <c r="H518" s="598">
        <v>6</v>
      </c>
      <c r="I518" s="598">
        <v>1</v>
      </c>
      <c r="R518" s="600"/>
      <c r="S518" s="600"/>
      <c r="T518" s="600"/>
      <c r="U518" s="600"/>
      <c r="V518" s="600"/>
      <c r="W518" s="600"/>
      <c r="X518" s="600"/>
    </row>
    <row r="519" spans="1:24" s="263" customFormat="1" ht="9" customHeight="1" x14ac:dyDescent="0.25">
      <c r="A519" s="263" t="s">
        <v>25</v>
      </c>
      <c r="B519" s="598">
        <f t="shared" si="29"/>
        <v>15</v>
      </c>
      <c r="C519" s="598"/>
      <c r="D519" s="598">
        <v>4</v>
      </c>
      <c r="E519" s="598">
        <v>6</v>
      </c>
      <c r="F519" s="598">
        <v>5</v>
      </c>
      <c r="G519" s="598">
        <v>0</v>
      </c>
      <c r="H519" s="598">
        <v>0</v>
      </c>
      <c r="I519" s="598">
        <v>0</v>
      </c>
      <c r="R519" s="600"/>
      <c r="S519" s="600"/>
      <c r="T519" s="600"/>
      <c r="U519" s="600"/>
      <c r="V519" s="600"/>
      <c r="W519" s="600"/>
      <c r="X519" s="600"/>
    </row>
    <row r="520" spans="1:24" s="263" customFormat="1" ht="9" customHeight="1" x14ac:dyDescent="0.25">
      <c r="A520" s="267" t="s">
        <v>26</v>
      </c>
      <c r="B520" s="599">
        <f t="shared" si="29"/>
        <v>10</v>
      </c>
      <c r="C520" s="599"/>
      <c r="D520" s="599">
        <v>4</v>
      </c>
      <c r="E520" s="599">
        <v>1</v>
      </c>
      <c r="F520" s="599">
        <v>3</v>
      </c>
      <c r="G520" s="599">
        <v>2</v>
      </c>
      <c r="H520" s="599">
        <v>0</v>
      </c>
      <c r="I520" s="599">
        <v>0</v>
      </c>
      <c r="R520" s="600"/>
      <c r="S520" s="600"/>
      <c r="T520" s="600"/>
      <c r="U520" s="600"/>
      <c r="V520" s="600"/>
      <c r="W520" s="600"/>
      <c r="X520" s="600"/>
    </row>
    <row r="521" spans="1:24" s="263" customFormat="1" ht="9" customHeight="1" x14ac:dyDescent="0.25">
      <c r="A521" s="263" t="s">
        <v>27</v>
      </c>
      <c r="B521" s="598">
        <f t="shared" si="29"/>
        <v>31</v>
      </c>
      <c r="C521" s="598"/>
      <c r="D521" s="598">
        <v>4</v>
      </c>
      <c r="E521" s="598">
        <v>8</v>
      </c>
      <c r="F521" s="598">
        <v>6</v>
      </c>
      <c r="G521" s="598">
        <v>6</v>
      </c>
      <c r="H521" s="598">
        <v>4</v>
      </c>
      <c r="I521" s="598">
        <v>3</v>
      </c>
      <c r="R521" s="600"/>
      <c r="S521" s="600"/>
      <c r="T521" s="600"/>
      <c r="U521" s="600"/>
      <c r="V521" s="600"/>
      <c r="W521" s="600"/>
      <c r="X521" s="600"/>
    </row>
    <row r="522" spans="1:24" s="263" customFormat="1" ht="9" customHeight="1" x14ac:dyDescent="0.25">
      <c r="A522" s="263" t="s">
        <v>28</v>
      </c>
      <c r="B522" s="598">
        <f t="shared" si="29"/>
        <v>11</v>
      </c>
      <c r="C522" s="598"/>
      <c r="D522" s="598">
        <v>0</v>
      </c>
      <c r="E522" s="598">
        <v>6</v>
      </c>
      <c r="F522" s="598">
        <v>3</v>
      </c>
      <c r="G522" s="598">
        <v>2</v>
      </c>
      <c r="H522" s="598">
        <v>0</v>
      </c>
      <c r="I522" s="598">
        <v>0</v>
      </c>
      <c r="R522" s="600"/>
      <c r="S522" s="600"/>
      <c r="T522" s="600"/>
      <c r="U522" s="600"/>
      <c r="V522" s="600"/>
      <c r="W522" s="600"/>
      <c r="X522" s="600"/>
    </row>
    <row r="523" spans="1:24" s="263" customFormat="1" ht="9" customHeight="1" x14ac:dyDescent="0.25">
      <c r="A523" s="263" t="s">
        <v>29</v>
      </c>
      <c r="B523" s="598">
        <f t="shared" si="29"/>
        <v>73</v>
      </c>
      <c r="C523" s="598"/>
      <c r="D523" s="598">
        <v>21</v>
      </c>
      <c r="E523" s="598">
        <v>34</v>
      </c>
      <c r="F523" s="598">
        <v>10</v>
      </c>
      <c r="G523" s="598">
        <v>5</v>
      </c>
      <c r="H523" s="598">
        <v>2</v>
      </c>
      <c r="I523" s="598">
        <v>1</v>
      </c>
      <c r="R523" s="600"/>
      <c r="S523" s="600"/>
      <c r="T523" s="600"/>
      <c r="U523" s="600"/>
      <c r="V523" s="600"/>
      <c r="W523" s="600"/>
      <c r="X523" s="600"/>
    </row>
    <row r="524" spans="1:24" s="263" customFormat="1" ht="9" customHeight="1" x14ac:dyDescent="0.25">
      <c r="A524" s="267" t="s">
        <v>30</v>
      </c>
      <c r="B524" s="599">
        <f t="shared" si="29"/>
        <v>83</v>
      </c>
      <c r="C524" s="599"/>
      <c r="D524" s="599">
        <v>16</v>
      </c>
      <c r="E524" s="599">
        <v>36</v>
      </c>
      <c r="F524" s="599">
        <v>16</v>
      </c>
      <c r="G524" s="599">
        <v>5</v>
      </c>
      <c r="H524" s="599">
        <v>3</v>
      </c>
      <c r="I524" s="599">
        <v>7</v>
      </c>
      <c r="R524" s="600"/>
      <c r="S524" s="600"/>
      <c r="T524" s="600"/>
      <c r="U524" s="600"/>
      <c r="V524" s="600"/>
      <c r="W524" s="600"/>
      <c r="X524" s="600"/>
    </row>
    <row r="525" spans="1:24" s="263" customFormat="1" ht="9" customHeight="1" x14ac:dyDescent="0.25">
      <c r="A525" s="263" t="s">
        <v>63</v>
      </c>
      <c r="B525" s="598">
        <f t="shared" si="29"/>
        <v>295</v>
      </c>
      <c r="C525" s="598"/>
      <c r="D525" s="598">
        <v>77</v>
      </c>
      <c r="E525" s="598">
        <v>115</v>
      </c>
      <c r="F525" s="598">
        <v>31</v>
      </c>
      <c r="G525" s="598">
        <v>29</v>
      </c>
      <c r="H525" s="598">
        <v>19</v>
      </c>
      <c r="I525" s="598">
        <v>24</v>
      </c>
      <c r="R525" s="600"/>
      <c r="S525" s="600"/>
      <c r="T525" s="600"/>
      <c r="U525" s="600"/>
      <c r="V525" s="600"/>
      <c r="W525" s="600"/>
      <c r="X525" s="600"/>
    </row>
    <row r="526" spans="1:24" s="263" customFormat="1" ht="9" customHeight="1" x14ac:dyDescent="0.25">
      <c r="A526" s="263" t="s">
        <v>31</v>
      </c>
      <c r="B526" s="598">
        <f t="shared" si="29"/>
        <v>36</v>
      </c>
      <c r="C526" s="598"/>
      <c r="D526" s="598">
        <v>5</v>
      </c>
      <c r="E526" s="598">
        <v>17</v>
      </c>
      <c r="F526" s="598">
        <v>8</v>
      </c>
      <c r="G526" s="598">
        <v>6</v>
      </c>
      <c r="H526" s="598">
        <v>0</v>
      </c>
      <c r="I526" s="598">
        <v>0</v>
      </c>
      <c r="R526" s="600"/>
      <c r="S526" s="600"/>
      <c r="T526" s="600"/>
      <c r="U526" s="600"/>
      <c r="V526" s="600"/>
      <c r="W526" s="600"/>
      <c r="X526" s="600"/>
    </row>
    <row r="527" spans="1:24" s="263" customFormat="1" ht="9" customHeight="1" x14ac:dyDescent="0.25">
      <c r="A527" s="263" t="s">
        <v>32</v>
      </c>
      <c r="B527" s="598">
        <f t="shared" si="29"/>
        <v>200</v>
      </c>
      <c r="C527" s="598"/>
      <c r="D527" s="598">
        <v>32</v>
      </c>
      <c r="E527" s="598">
        <v>90</v>
      </c>
      <c r="F527" s="598">
        <v>44</v>
      </c>
      <c r="G527" s="598">
        <v>19</v>
      </c>
      <c r="H527" s="598">
        <v>11</v>
      </c>
      <c r="I527" s="598">
        <v>4</v>
      </c>
      <c r="R527" s="600"/>
      <c r="S527" s="600"/>
      <c r="T527" s="600"/>
      <c r="U527" s="600"/>
      <c r="V527" s="600"/>
      <c r="W527" s="600"/>
      <c r="X527" s="600"/>
    </row>
    <row r="528" spans="1:24" s="263" customFormat="1" ht="9" customHeight="1" x14ac:dyDescent="0.25">
      <c r="A528" s="267" t="s">
        <v>33</v>
      </c>
      <c r="B528" s="599">
        <f t="shared" si="29"/>
        <v>102</v>
      </c>
      <c r="C528" s="599"/>
      <c r="D528" s="599">
        <v>33</v>
      </c>
      <c r="E528" s="599">
        <v>41</v>
      </c>
      <c r="F528" s="599">
        <v>17</v>
      </c>
      <c r="G528" s="599">
        <v>7</v>
      </c>
      <c r="H528" s="599">
        <v>4</v>
      </c>
      <c r="I528" s="599">
        <v>0</v>
      </c>
      <c r="R528" s="600"/>
      <c r="S528" s="600"/>
      <c r="T528" s="600"/>
      <c r="U528" s="600"/>
      <c r="V528" s="600"/>
      <c r="W528" s="600"/>
      <c r="X528" s="600"/>
    </row>
    <row r="529" spans="1:24" s="263" customFormat="1" ht="9" customHeight="1" x14ac:dyDescent="0.25">
      <c r="A529" s="263" t="s">
        <v>34</v>
      </c>
      <c r="B529" s="598">
        <f t="shared" si="29"/>
        <v>109</v>
      </c>
      <c r="C529" s="598"/>
      <c r="D529" s="598">
        <v>38</v>
      </c>
      <c r="E529" s="598">
        <v>51</v>
      </c>
      <c r="F529" s="598">
        <v>12</v>
      </c>
      <c r="G529" s="598">
        <v>6</v>
      </c>
      <c r="H529" s="598">
        <v>2</v>
      </c>
      <c r="I529" s="598">
        <v>0</v>
      </c>
      <c r="R529" s="600"/>
      <c r="S529" s="600"/>
      <c r="T529" s="600"/>
      <c r="U529" s="600"/>
      <c r="V529" s="600"/>
      <c r="W529" s="600"/>
      <c r="X529" s="600"/>
    </row>
    <row r="530" spans="1:24" s="263" customFormat="1" ht="9" customHeight="1" x14ac:dyDescent="0.25">
      <c r="A530" s="263" t="s">
        <v>35</v>
      </c>
      <c r="B530" s="598">
        <f t="shared" si="29"/>
        <v>191</v>
      </c>
      <c r="C530" s="598"/>
      <c r="D530" s="598">
        <v>36</v>
      </c>
      <c r="E530" s="598">
        <v>67</v>
      </c>
      <c r="F530" s="598">
        <v>40</v>
      </c>
      <c r="G530" s="598">
        <v>22</v>
      </c>
      <c r="H530" s="598">
        <v>16</v>
      </c>
      <c r="I530" s="598">
        <v>10</v>
      </c>
      <c r="R530" s="600"/>
      <c r="S530" s="600"/>
      <c r="T530" s="600"/>
      <c r="U530" s="600"/>
      <c r="V530" s="600"/>
      <c r="W530" s="600"/>
      <c r="X530" s="600"/>
    </row>
    <row r="531" spans="1:24" s="263" customFormat="1" ht="9" customHeight="1" x14ac:dyDescent="0.25">
      <c r="A531" s="263" t="s">
        <v>36</v>
      </c>
      <c r="B531" s="598">
        <f t="shared" si="29"/>
        <v>529</v>
      </c>
      <c r="C531" s="598"/>
      <c r="D531" s="598">
        <v>167</v>
      </c>
      <c r="E531" s="598">
        <v>252</v>
      </c>
      <c r="F531" s="598">
        <v>69</v>
      </c>
      <c r="G531" s="598">
        <v>26</v>
      </c>
      <c r="H531" s="598">
        <v>12</v>
      </c>
      <c r="I531" s="598">
        <v>3</v>
      </c>
      <c r="R531" s="600"/>
      <c r="S531" s="600"/>
      <c r="T531" s="600"/>
      <c r="U531" s="600"/>
      <c r="V531" s="600"/>
      <c r="W531" s="600"/>
      <c r="X531" s="600"/>
    </row>
    <row r="532" spans="1:24" s="263" customFormat="1" ht="9" customHeight="1" x14ac:dyDescent="0.25">
      <c r="A532" s="267" t="s">
        <v>37</v>
      </c>
      <c r="B532" s="599">
        <f t="shared" si="29"/>
        <v>182</v>
      </c>
      <c r="C532" s="599"/>
      <c r="D532" s="599">
        <v>31</v>
      </c>
      <c r="E532" s="599">
        <v>85</v>
      </c>
      <c r="F532" s="599">
        <v>33</v>
      </c>
      <c r="G532" s="599">
        <v>23</v>
      </c>
      <c r="H532" s="599">
        <v>7</v>
      </c>
      <c r="I532" s="599">
        <v>3</v>
      </c>
      <c r="R532" s="600"/>
      <c r="S532" s="600"/>
      <c r="T532" s="600"/>
      <c r="U532" s="600"/>
      <c r="V532" s="600"/>
      <c r="W532" s="600"/>
      <c r="X532" s="600"/>
    </row>
    <row r="533" spans="1:24" s="263" customFormat="1" ht="9" customHeight="1" x14ac:dyDescent="0.25">
      <c r="A533" s="263" t="s">
        <v>38</v>
      </c>
      <c r="B533" s="598">
        <f t="shared" si="29"/>
        <v>68</v>
      </c>
      <c r="C533" s="598"/>
      <c r="D533" s="598">
        <v>28</v>
      </c>
      <c r="E533" s="598">
        <v>27</v>
      </c>
      <c r="F533" s="598">
        <v>6</v>
      </c>
      <c r="G533" s="598">
        <v>6</v>
      </c>
      <c r="H533" s="598">
        <v>1</v>
      </c>
      <c r="I533" s="598">
        <v>0</v>
      </c>
      <c r="R533" s="600"/>
      <c r="S533" s="600"/>
      <c r="T533" s="600"/>
      <c r="U533" s="600"/>
      <c r="V533" s="600"/>
      <c r="W533" s="600"/>
      <c r="X533" s="600"/>
    </row>
    <row r="534" spans="1:24" s="263" customFormat="1" ht="9" customHeight="1" x14ac:dyDescent="0.25">
      <c r="A534" s="263" t="s">
        <v>39</v>
      </c>
      <c r="B534" s="598">
        <f t="shared" si="29"/>
        <v>18</v>
      </c>
      <c r="C534" s="598"/>
      <c r="D534" s="598">
        <v>11</v>
      </c>
      <c r="E534" s="598">
        <v>5</v>
      </c>
      <c r="F534" s="598">
        <v>0</v>
      </c>
      <c r="G534" s="598">
        <v>0</v>
      </c>
      <c r="H534" s="598">
        <v>2</v>
      </c>
      <c r="I534" s="598">
        <v>0</v>
      </c>
      <c r="R534" s="600"/>
      <c r="S534" s="600"/>
      <c r="T534" s="600"/>
      <c r="U534" s="600"/>
      <c r="V534" s="600"/>
      <c r="W534" s="600"/>
      <c r="X534" s="600"/>
    </row>
    <row r="535" spans="1:24" s="263" customFormat="1" ht="9" customHeight="1" x14ac:dyDescent="0.25">
      <c r="A535" s="263" t="s">
        <v>40</v>
      </c>
      <c r="B535" s="598">
        <f t="shared" si="29"/>
        <v>63</v>
      </c>
      <c r="C535" s="598"/>
      <c r="D535" s="598">
        <v>8</v>
      </c>
      <c r="E535" s="598">
        <v>19</v>
      </c>
      <c r="F535" s="598">
        <v>9</v>
      </c>
      <c r="G535" s="598">
        <v>11</v>
      </c>
      <c r="H535" s="598">
        <v>8</v>
      </c>
      <c r="I535" s="598">
        <v>8</v>
      </c>
      <c r="R535" s="600"/>
      <c r="S535" s="600"/>
      <c r="T535" s="600"/>
      <c r="U535" s="600"/>
      <c r="V535" s="600"/>
      <c r="W535" s="600"/>
      <c r="X535" s="600"/>
    </row>
    <row r="536" spans="1:24" s="263" customFormat="1" ht="9" customHeight="1" x14ac:dyDescent="0.25">
      <c r="A536" s="267" t="s">
        <v>41</v>
      </c>
      <c r="B536" s="599">
        <f t="shared" si="29"/>
        <v>110</v>
      </c>
      <c r="C536" s="599"/>
      <c r="D536" s="599">
        <v>39</v>
      </c>
      <c r="E536" s="599">
        <v>43</v>
      </c>
      <c r="F536" s="599">
        <v>22</v>
      </c>
      <c r="G536" s="599">
        <v>5</v>
      </c>
      <c r="H536" s="599">
        <v>1</v>
      </c>
      <c r="I536" s="599">
        <v>0</v>
      </c>
      <c r="R536" s="600"/>
      <c r="S536" s="600"/>
      <c r="T536" s="600"/>
      <c r="U536" s="600"/>
      <c r="V536" s="600"/>
      <c r="W536" s="600"/>
      <c r="X536" s="600"/>
    </row>
    <row r="537" spans="1:24" s="263" customFormat="1" ht="9" customHeight="1" x14ac:dyDescent="0.25">
      <c r="A537" s="263" t="s">
        <v>42</v>
      </c>
      <c r="B537" s="598">
        <f t="shared" si="29"/>
        <v>155</v>
      </c>
      <c r="C537" s="598"/>
      <c r="D537" s="598">
        <v>15</v>
      </c>
      <c r="E537" s="598">
        <v>77</v>
      </c>
      <c r="F537" s="598">
        <v>29</v>
      </c>
      <c r="G537" s="598">
        <v>19</v>
      </c>
      <c r="H537" s="598">
        <v>7</v>
      </c>
      <c r="I537" s="598">
        <v>8</v>
      </c>
      <c r="R537" s="600"/>
      <c r="S537" s="600"/>
      <c r="T537" s="600"/>
      <c r="U537" s="600"/>
      <c r="V537" s="600"/>
      <c r="W537" s="600"/>
      <c r="X537" s="600"/>
    </row>
    <row r="538" spans="1:24" s="263" customFormat="1" ht="9" customHeight="1" x14ac:dyDescent="0.25">
      <c r="A538" s="263" t="s">
        <v>43</v>
      </c>
      <c r="B538" s="598">
        <f t="shared" si="29"/>
        <v>67</v>
      </c>
      <c r="C538" s="598"/>
      <c r="D538" s="598">
        <v>24</v>
      </c>
      <c r="E538" s="598">
        <v>22</v>
      </c>
      <c r="F538" s="598">
        <v>11</v>
      </c>
      <c r="G538" s="598">
        <v>7</v>
      </c>
      <c r="H538" s="598">
        <v>1</v>
      </c>
      <c r="I538" s="598">
        <v>2</v>
      </c>
      <c r="R538" s="600"/>
      <c r="S538" s="600"/>
      <c r="T538" s="600"/>
      <c r="U538" s="600"/>
      <c r="V538" s="600"/>
      <c r="W538" s="600"/>
      <c r="X538" s="600"/>
    </row>
    <row r="539" spans="1:24" s="263" customFormat="1" ht="9" customHeight="1" x14ac:dyDescent="0.25">
      <c r="A539" s="263" t="s">
        <v>44</v>
      </c>
      <c r="B539" s="598">
        <f t="shared" si="29"/>
        <v>40</v>
      </c>
      <c r="C539" s="598"/>
      <c r="D539" s="598">
        <v>15</v>
      </c>
      <c r="E539" s="598">
        <v>16</v>
      </c>
      <c r="F539" s="598">
        <v>5</v>
      </c>
      <c r="G539" s="598">
        <v>3</v>
      </c>
      <c r="H539" s="598">
        <v>1</v>
      </c>
      <c r="I539" s="598">
        <v>0</v>
      </c>
      <c r="R539" s="600"/>
      <c r="S539" s="600"/>
      <c r="T539" s="600"/>
      <c r="U539" s="600"/>
      <c r="V539" s="600"/>
      <c r="W539" s="600"/>
      <c r="X539" s="600"/>
    </row>
    <row r="540" spans="1:24" s="263" customFormat="1" ht="9" customHeight="1" x14ac:dyDescent="0.25">
      <c r="A540" s="267" t="s">
        <v>45</v>
      </c>
      <c r="B540" s="599">
        <f t="shared" si="29"/>
        <v>46</v>
      </c>
      <c r="C540" s="599"/>
      <c r="D540" s="599">
        <v>9</v>
      </c>
      <c r="E540" s="599">
        <v>16</v>
      </c>
      <c r="F540" s="599">
        <v>7</v>
      </c>
      <c r="G540" s="599">
        <v>7</v>
      </c>
      <c r="H540" s="599">
        <v>5</v>
      </c>
      <c r="I540" s="599">
        <v>2</v>
      </c>
      <c r="R540" s="600"/>
      <c r="S540" s="600"/>
      <c r="T540" s="600"/>
      <c r="U540" s="600"/>
      <c r="V540" s="600"/>
      <c r="W540" s="600"/>
      <c r="X540" s="600"/>
    </row>
    <row r="541" spans="1:24" s="263" customFormat="1" ht="9" customHeight="1" x14ac:dyDescent="0.25">
      <c r="A541" s="263" t="s">
        <v>46</v>
      </c>
      <c r="B541" s="598">
        <f t="shared" si="29"/>
        <v>68</v>
      </c>
      <c r="C541" s="598"/>
      <c r="D541" s="598">
        <v>19</v>
      </c>
      <c r="E541" s="598">
        <v>29</v>
      </c>
      <c r="F541" s="598">
        <v>7</v>
      </c>
      <c r="G541" s="598">
        <v>7</v>
      </c>
      <c r="H541" s="598">
        <v>5</v>
      </c>
      <c r="I541" s="598">
        <v>1</v>
      </c>
      <c r="R541" s="600"/>
      <c r="S541" s="600"/>
      <c r="T541" s="600"/>
      <c r="U541" s="600"/>
      <c r="V541" s="600"/>
      <c r="W541" s="600"/>
      <c r="X541" s="600"/>
    </row>
    <row r="542" spans="1:24" s="263" customFormat="1" ht="9" customHeight="1" x14ac:dyDescent="0.25">
      <c r="A542" s="263" t="s">
        <v>47</v>
      </c>
      <c r="B542" s="598">
        <f t="shared" si="29"/>
        <v>51</v>
      </c>
      <c r="C542" s="598"/>
      <c r="D542" s="598">
        <v>8</v>
      </c>
      <c r="E542" s="598">
        <v>22</v>
      </c>
      <c r="F542" s="598">
        <v>10</v>
      </c>
      <c r="G542" s="598">
        <v>4</v>
      </c>
      <c r="H542" s="598">
        <v>5</v>
      </c>
      <c r="I542" s="598">
        <v>2</v>
      </c>
      <c r="R542" s="600"/>
      <c r="S542" s="600"/>
      <c r="T542" s="600"/>
      <c r="U542" s="600"/>
      <c r="V542" s="600"/>
      <c r="W542" s="600"/>
      <c r="X542" s="600"/>
    </row>
    <row r="543" spans="1:24" s="263" customFormat="1" ht="9" customHeight="1" x14ac:dyDescent="0.25">
      <c r="A543" s="263" t="s">
        <v>48</v>
      </c>
      <c r="B543" s="598">
        <f t="shared" si="29"/>
        <v>48</v>
      </c>
      <c r="C543" s="598"/>
      <c r="D543" s="598">
        <v>17</v>
      </c>
      <c r="E543" s="598">
        <v>17</v>
      </c>
      <c r="F543" s="598">
        <v>7</v>
      </c>
      <c r="G543" s="598">
        <v>4</v>
      </c>
      <c r="H543" s="598">
        <v>2</v>
      </c>
      <c r="I543" s="598">
        <v>1</v>
      </c>
      <c r="R543" s="600"/>
      <c r="S543" s="600"/>
      <c r="T543" s="600"/>
      <c r="U543" s="600"/>
      <c r="V543" s="600"/>
      <c r="W543" s="600"/>
      <c r="X543" s="600"/>
    </row>
    <row r="544" spans="1:24" s="263" customFormat="1" ht="9" customHeight="1" x14ac:dyDescent="0.25">
      <c r="A544" s="267" t="s">
        <v>49</v>
      </c>
      <c r="B544" s="599">
        <f t="shared" si="29"/>
        <v>62</v>
      </c>
      <c r="C544" s="599"/>
      <c r="D544" s="599">
        <v>11</v>
      </c>
      <c r="E544" s="599">
        <v>24</v>
      </c>
      <c r="F544" s="599">
        <v>9</v>
      </c>
      <c r="G544" s="599">
        <v>9</v>
      </c>
      <c r="H544" s="599">
        <v>7</v>
      </c>
      <c r="I544" s="599">
        <v>2</v>
      </c>
      <c r="R544" s="600"/>
      <c r="S544" s="600"/>
      <c r="T544" s="600"/>
      <c r="U544" s="600"/>
      <c r="V544" s="600"/>
      <c r="W544" s="600"/>
      <c r="X544" s="600"/>
    </row>
    <row r="545" spans="1:24" s="263" customFormat="1" ht="9" customHeight="1" x14ac:dyDescent="0.25">
      <c r="A545" s="263" t="s">
        <v>50</v>
      </c>
      <c r="B545" s="598">
        <f t="shared" si="29"/>
        <v>45</v>
      </c>
      <c r="C545" s="598"/>
      <c r="D545" s="598">
        <v>18</v>
      </c>
      <c r="E545" s="598">
        <v>20</v>
      </c>
      <c r="F545" s="598">
        <v>3</v>
      </c>
      <c r="G545" s="598">
        <v>4</v>
      </c>
      <c r="H545" s="598">
        <v>0</v>
      </c>
      <c r="I545" s="598">
        <v>0</v>
      </c>
      <c r="R545" s="600"/>
      <c r="S545" s="600"/>
      <c r="T545" s="600"/>
      <c r="U545" s="600"/>
      <c r="V545" s="600"/>
      <c r="W545" s="600"/>
      <c r="X545" s="600"/>
    </row>
    <row r="546" spans="1:24" s="263" customFormat="1" ht="9" customHeight="1" x14ac:dyDescent="0.25">
      <c r="A546" s="263" t="s">
        <v>51</v>
      </c>
      <c r="B546" s="598">
        <f t="shared" si="29"/>
        <v>164</v>
      </c>
      <c r="C546" s="598"/>
      <c r="D546" s="598">
        <v>40</v>
      </c>
      <c r="E546" s="598">
        <v>74</v>
      </c>
      <c r="F546" s="598">
        <v>33</v>
      </c>
      <c r="G546" s="598">
        <v>11</v>
      </c>
      <c r="H546" s="598">
        <v>4</v>
      </c>
      <c r="I546" s="598">
        <v>2</v>
      </c>
      <c r="R546" s="600"/>
      <c r="S546" s="600"/>
      <c r="T546" s="600"/>
      <c r="U546" s="600"/>
      <c r="V546" s="600"/>
      <c r="W546" s="600"/>
      <c r="X546" s="600"/>
    </row>
    <row r="547" spans="1:24" s="263" customFormat="1" ht="9" customHeight="1" x14ac:dyDescent="0.25">
      <c r="A547" s="263" t="s">
        <v>52</v>
      </c>
      <c r="B547" s="598">
        <f t="shared" si="29"/>
        <v>32</v>
      </c>
      <c r="C547" s="598"/>
      <c r="D547" s="598">
        <v>6</v>
      </c>
      <c r="E547" s="598">
        <v>14</v>
      </c>
      <c r="F547" s="598">
        <v>3</v>
      </c>
      <c r="G547" s="598">
        <v>6</v>
      </c>
      <c r="H547" s="598">
        <v>0</v>
      </c>
      <c r="I547" s="598">
        <v>3</v>
      </c>
      <c r="R547" s="600"/>
      <c r="S547" s="600"/>
      <c r="T547" s="600"/>
      <c r="U547" s="600"/>
      <c r="V547" s="600"/>
      <c r="W547" s="600"/>
      <c r="X547" s="600"/>
    </row>
    <row r="548" spans="1:24" s="263" customFormat="1" ht="9" customHeight="1" x14ac:dyDescent="0.25">
      <c r="A548" s="267" t="s">
        <v>53</v>
      </c>
      <c r="B548" s="599">
        <f t="shared" si="29"/>
        <v>37</v>
      </c>
      <c r="C548" s="599"/>
      <c r="D548" s="599">
        <v>8</v>
      </c>
      <c r="E548" s="599">
        <v>17</v>
      </c>
      <c r="F548" s="599">
        <v>6</v>
      </c>
      <c r="G548" s="599">
        <v>3</v>
      </c>
      <c r="H548" s="599">
        <v>2</v>
      </c>
      <c r="I548" s="599">
        <v>1</v>
      </c>
      <c r="R548" s="600"/>
      <c r="S548" s="600"/>
      <c r="T548" s="600"/>
      <c r="U548" s="600"/>
      <c r="V548" s="600"/>
      <c r="W548" s="600"/>
      <c r="X548" s="600"/>
    </row>
    <row r="549" spans="1:24" s="263" customFormat="1" ht="9" customHeight="1" x14ac:dyDescent="0.25">
      <c r="A549" s="286"/>
      <c r="B549" s="613"/>
      <c r="C549" s="613"/>
      <c r="D549" s="286"/>
      <c r="E549" s="286"/>
      <c r="F549" s="286"/>
      <c r="G549" s="286"/>
      <c r="H549" s="286"/>
      <c r="I549" s="286"/>
      <c r="R549" s="600"/>
      <c r="S549" s="600"/>
      <c r="T549" s="600"/>
      <c r="U549" s="600"/>
      <c r="V549" s="600"/>
      <c r="W549" s="600"/>
      <c r="X549" s="600"/>
    </row>
    <row r="550" spans="1:24" s="263" customFormat="1" ht="9" customHeight="1" x14ac:dyDescent="0.25">
      <c r="A550" s="261">
        <v>2010</v>
      </c>
      <c r="B550" s="262"/>
      <c r="C550" s="262"/>
      <c r="D550" s="262"/>
      <c r="E550" s="262"/>
      <c r="F550" s="262"/>
      <c r="G550" s="262"/>
      <c r="H550" s="262"/>
      <c r="I550" s="262"/>
      <c r="R550" s="600"/>
      <c r="S550" s="600"/>
      <c r="T550" s="600"/>
      <c r="U550" s="600"/>
      <c r="V550" s="600"/>
      <c r="W550" s="600"/>
      <c r="X550" s="600"/>
    </row>
    <row r="551" spans="1:24" s="263" customFormat="1" ht="9" customHeight="1" x14ac:dyDescent="0.25">
      <c r="A551" s="265" t="s">
        <v>21</v>
      </c>
      <c r="B551" s="597">
        <f>SUM(B553:B584)</f>
        <v>3144</v>
      </c>
      <c r="C551" s="597"/>
      <c r="D551" s="597">
        <f t="shared" ref="D551:I551" si="30">SUM(D553:D584)</f>
        <v>832</v>
      </c>
      <c r="E551" s="597">
        <f t="shared" si="30"/>
        <v>1290</v>
      </c>
      <c r="F551" s="597">
        <f t="shared" si="30"/>
        <v>512</v>
      </c>
      <c r="G551" s="597">
        <f t="shared" si="30"/>
        <v>282</v>
      </c>
      <c r="H551" s="597">
        <f t="shared" si="30"/>
        <v>145</v>
      </c>
      <c r="I551" s="597">
        <f t="shared" si="30"/>
        <v>83</v>
      </c>
      <c r="J551" s="600"/>
      <c r="R551" s="600"/>
      <c r="S551" s="600"/>
      <c r="T551" s="600"/>
      <c r="U551" s="600"/>
      <c r="V551" s="600"/>
      <c r="W551" s="600"/>
      <c r="X551" s="600"/>
    </row>
    <row r="552" spans="1:24" s="263" customFormat="1" ht="3.95" customHeight="1" x14ac:dyDescent="0.25">
      <c r="A552" s="265"/>
      <c r="B552" s="597"/>
      <c r="C552" s="597"/>
      <c r="D552" s="597"/>
      <c r="E552" s="597"/>
      <c r="F552" s="597"/>
      <c r="G552" s="597"/>
      <c r="H552" s="597"/>
      <c r="I552" s="597"/>
      <c r="J552" s="600"/>
      <c r="R552" s="600"/>
      <c r="S552" s="600"/>
      <c r="T552" s="600"/>
      <c r="U552" s="600"/>
      <c r="V552" s="600"/>
      <c r="W552" s="600"/>
      <c r="X552" s="600"/>
    </row>
    <row r="553" spans="1:24" s="263" customFormat="1" ht="9" customHeight="1" x14ac:dyDescent="0.25">
      <c r="A553" s="263" t="s">
        <v>23</v>
      </c>
      <c r="B553" s="598">
        <f t="shared" ref="B553:B584" si="31">SUM(D553:I553)</f>
        <v>17</v>
      </c>
      <c r="C553" s="598"/>
      <c r="D553" s="598">
        <v>0</v>
      </c>
      <c r="E553" s="598">
        <v>6</v>
      </c>
      <c r="F553" s="598">
        <v>4</v>
      </c>
      <c r="G553" s="598">
        <v>1</v>
      </c>
      <c r="H553" s="598">
        <v>5</v>
      </c>
      <c r="I553" s="598">
        <v>1</v>
      </c>
      <c r="R553" s="600"/>
      <c r="S553" s="600"/>
      <c r="T553" s="600"/>
      <c r="U553" s="600"/>
      <c r="V553" s="600"/>
      <c r="W553" s="600"/>
      <c r="X553" s="600"/>
    </row>
    <row r="554" spans="1:24" s="263" customFormat="1" ht="9" customHeight="1" x14ac:dyDescent="0.25">
      <c r="A554" s="263" t="s">
        <v>24</v>
      </c>
      <c r="B554" s="598">
        <f t="shared" si="31"/>
        <v>152</v>
      </c>
      <c r="C554" s="598"/>
      <c r="D554" s="598">
        <v>65</v>
      </c>
      <c r="E554" s="598">
        <v>50</v>
      </c>
      <c r="F554" s="598">
        <v>17</v>
      </c>
      <c r="G554" s="598">
        <v>13</v>
      </c>
      <c r="H554" s="598">
        <v>7</v>
      </c>
      <c r="I554" s="598">
        <v>0</v>
      </c>
      <c r="R554" s="600"/>
      <c r="S554" s="600"/>
      <c r="T554" s="600"/>
      <c r="U554" s="600"/>
      <c r="V554" s="600"/>
      <c r="W554" s="600"/>
      <c r="X554" s="600"/>
    </row>
    <row r="555" spans="1:24" s="263" customFormat="1" ht="9" customHeight="1" x14ac:dyDescent="0.25">
      <c r="A555" s="263" t="s">
        <v>25</v>
      </c>
      <c r="B555" s="598">
        <f t="shared" si="31"/>
        <v>14</v>
      </c>
      <c r="C555" s="598"/>
      <c r="D555" s="598">
        <v>2</v>
      </c>
      <c r="E555" s="598">
        <v>9</v>
      </c>
      <c r="F555" s="598">
        <v>3</v>
      </c>
      <c r="G555" s="598">
        <v>0</v>
      </c>
      <c r="H555" s="598">
        <v>0</v>
      </c>
      <c r="I555" s="598">
        <v>0</v>
      </c>
      <c r="R555" s="600"/>
      <c r="S555" s="600"/>
      <c r="T555" s="600"/>
      <c r="U555" s="600"/>
      <c r="V555" s="600"/>
      <c r="W555" s="600"/>
      <c r="X555" s="600"/>
    </row>
    <row r="556" spans="1:24" s="263" customFormat="1" ht="9" customHeight="1" x14ac:dyDescent="0.25">
      <c r="A556" s="267" t="s">
        <v>26</v>
      </c>
      <c r="B556" s="599">
        <f t="shared" si="31"/>
        <v>10</v>
      </c>
      <c r="C556" s="599"/>
      <c r="D556" s="599">
        <v>3</v>
      </c>
      <c r="E556" s="599">
        <v>3</v>
      </c>
      <c r="F556" s="599">
        <v>2</v>
      </c>
      <c r="G556" s="599">
        <v>2</v>
      </c>
      <c r="H556" s="599">
        <v>0</v>
      </c>
      <c r="I556" s="599">
        <v>0</v>
      </c>
      <c r="R556" s="600"/>
      <c r="S556" s="600"/>
      <c r="T556" s="600"/>
      <c r="U556" s="600"/>
      <c r="V556" s="600"/>
      <c r="W556" s="600"/>
      <c r="X556" s="600"/>
    </row>
    <row r="557" spans="1:24" s="263" customFormat="1" ht="9" customHeight="1" x14ac:dyDescent="0.25">
      <c r="A557" s="263" t="s">
        <v>27</v>
      </c>
      <c r="B557" s="598">
        <f t="shared" si="31"/>
        <v>34</v>
      </c>
      <c r="C557" s="598"/>
      <c r="D557" s="598">
        <v>4</v>
      </c>
      <c r="E557" s="598">
        <v>10</v>
      </c>
      <c r="F557" s="598">
        <v>5</v>
      </c>
      <c r="G557" s="598">
        <v>8</v>
      </c>
      <c r="H557" s="598">
        <v>4</v>
      </c>
      <c r="I557" s="598">
        <v>3</v>
      </c>
      <c r="R557" s="600"/>
      <c r="S557" s="600"/>
      <c r="T557" s="600"/>
      <c r="U557" s="600"/>
      <c r="V557" s="600"/>
      <c r="W557" s="600"/>
      <c r="X557" s="600"/>
    </row>
    <row r="558" spans="1:24" s="263" customFormat="1" ht="9" customHeight="1" x14ac:dyDescent="0.25">
      <c r="A558" s="263" t="s">
        <v>28</v>
      </c>
      <c r="B558" s="598">
        <f t="shared" si="31"/>
        <v>12</v>
      </c>
      <c r="C558" s="598"/>
      <c r="D558" s="598">
        <v>0</v>
      </c>
      <c r="E558" s="598">
        <v>6</v>
      </c>
      <c r="F558" s="598">
        <v>4</v>
      </c>
      <c r="G558" s="598">
        <v>2</v>
      </c>
      <c r="H558" s="598">
        <v>0</v>
      </c>
      <c r="I558" s="598">
        <v>0</v>
      </c>
      <c r="R558" s="600"/>
      <c r="S558" s="600"/>
      <c r="T558" s="600"/>
      <c r="U558" s="600"/>
      <c r="V558" s="600"/>
      <c r="W558" s="600"/>
      <c r="X558" s="600"/>
    </row>
    <row r="559" spans="1:24" s="263" customFormat="1" ht="9" customHeight="1" x14ac:dyDescent="0.25">
      <c r="A559" s="263" t="s">
        <v>29</v>
      </c>
      <c r="B559" s="598">
        <f t="shared" si="31"/>
        <v>72</v>
      </c>
      <c r="C559" s="598"/>
      <c r="D559" s="598">
        <v>16</v>
      </c>
      <c r="E559" s="598">
        <v>37</v>
      </c>
      <c r="F559" s="598">
        <v>12</v>
      </c>
      <c r="G559" s="598">
        <v>4</v>
      </c>
      <c r="H559" s="598">
        <v>2</v>
      </c>
      <c r="I559" s="598">
        <v>1</v>
      </c>
      <c r="R559" s="600"/>
      <c r="S559" s="600"/>
      <c r="T559" s="600"/>
      <c r="U559" s="600"/>
      <c r="V559" s="600"/>
      <c r="W559" s="600"/>
      <c r="X559" s="600"/>
    </row>
    <row r="560" spans="1:24" s="263" customFormat="1" ht="9" customHeight="1" x14ac:dyDescent="0.25">
      <c r="A560" s="267" t="s">
        <v>30</v>
      </c>
      <c r="B560" s="599">
        <f t="shared" si="31"/>
        <v>78</v>
      </c>
      <c r="C560" s="599"/>
      <c r="D560" s="599">
        <v>16</v>
      </c>
      <c r="E560" s="599">
        <v>31</v>
      </c>
      <c r="F560" s="599">
        <v>15</v>
      </c>
      <c r="G560" s="599">
        <v>5</v>
      </c>
      <c r="H560" s="599">
        <v>4</v>
      </c>
      <c r="I560" s="599">
        <v>7</v>
      </c>
      <c r="R560" s="600"/>
      <c r="S560" s="600"/>
      <c r="T560" s="600"/>
      <c r="U560" s="600"/>
      <c r="V560" s="600"/>
      <c r="W560" s="600"/>
      <c r="X560" s="600"/>
    </row>
    <row r="561" spans="1:24" s="263" customFormat="1" ht="9" customHeight="1" x14ac:dyDescent="0.25">
      <c r="A561" s="263" t="s">
        <v>63</v>
      </c>
      <c r="B561" s="598">
        <f t="shared" si="31"/>
        <v>291</v>
      </c>
      <c r="C561" s="598"/>
      <c r="D561" s="598">
        <v>70</v>
      </c>
      <c r="E561" s="598">
        <v>115</v>
      </c>
      <c r="F561" s="598">
        <v>35</v>
      </c>
      <c r="G561" s="598">
        <v>29</v>
      </c>
      <c r="H561" s="598">
        <v>18</v>
      </c>
      <c r="I561" s="598">
        <v>24</v>
      </c>
      <c r="R561" s="600"/>
      <c r="S561" s="600"/>
      <c r="T561" s="600"/>
      <c r="U561" s="600"/>
      <c r="V561" s="600"/>
      <c r="W561" s="600"/>
      <c r="X561" s="600"/>
    </row>
    <row r="562" spans="1:24" s="263" customFormat="1" ht="9" customHeight="1" x14ac:dyDescent="0.25">
      <c r="A562" s="263" t="s">
        <v>31</v>
      </c>
      <c r="B562" s="598">
        <f t="shared" si="31"/>
        <v>34</v>
      </c>
      <c r="C562" s="598"/>
      <c r="D562" s="598">
        <v>7</v>
      </c>
      <c r="E562" s="598">
        <v>13</v>
      </c>
      <c r="F562" s="598">
        <v>7</v>
      </c>
      <c r="G562" s="598">
        <v>7</v>
      </c>
      <c r="H562" s="598">
        <v>0</v>
      </c>
      <c r="I562" s="598">
        <v>0</v>
      </c>
      <c r="R562" s="600"/>
      <c r="S562" s="600"/>
      <c r="T562" s="600"/>
      <c r="U562" s="600"/>
      <c r="V562" s="600"/>
      <c r="W562" s="600"/>
      <c r="X562" s="600"/>
    </row>
    <row r="563" spans="1:24" s="263" customFormat="1" ht="9" customHeight="1" x14ac:dyDescent="0.25">
      <c r="A563" s="263" t="s">
        <v>32</v>
      </c>
      <c r="B563" s="598">
        <f t="shared" si="31"/>
        <v>229</v>
      </c>
      <c r="C563" s="598"/>
      <c r="D563" s="598">
        <v>46</v>
      </c>
      <c r="E563" s="598">
        <v>96</v>
      </c>
      <c r="F563" s="598">
        <v>50</v>
      </c>
      <c r="G563" s="598">
        <v>23</v>
      </c>
      <c r="H563" s="598">
        <v>9</v>
      </c>
      <c r="I563" s="598">
        <v>5</v>
      </c>
      <c r="R563" s="600"/>
      <c r="S563" s="600"/>
      <c r="T563" s="600"/>
      <c r="U563" s="600"/>
      <c r="V563" s="600"/>
      <c r="W563" s="600"/>
      <c r="X563" s="600"/>
    </row>
    <row r="564" spans="1:24" s="263" customFormat="1" ht="9" customHeight="1" x14ac:dyDescent="0.25">
      <c r="A564" s="267" t="s">
        <v>33</v>
      </c>
      <c r="B564" s="599">
        <f t="shared" si="31"/>
        <v>101</v>
      </c>
      <c r="C564" s="599"/>
      <c r="D564" s="599">
        <v>33</v>
      </c>
      <c r="E564" s="599">
        <v>40</v>
      </c>
      <c r="F564" s="599">
        <v>17</v>
      </c>
      <c r="G564" s="599">
        <v>7</v>
      </c>
      <c r="H564" s="599">
        <v>4</v>
      </c>
      <c r="I564" s="599">
        <v>0</v>
      </c>
      <c r="R564" s="600"/>
      <c r="S564" s="600"/>
      <c r="T564" s="600"/>
      <c r="U564" s="600"/>
      <c r="V564" s="600"/>
      <c r="W564" s="600"/>
      <c r="X564" s="600"/>
    </row>
    <row r="565" spans="1:24" s="263" customFormat="1" ht="9" customHeight="1" x14ac:dyDescent="0.25">
      <c r="A565" s="263" t="s">
        <v>34</v>
      </c>
      <c r="B565" s="598">
        <f t="shared" si="31"/>
        <v>111</v>
      </c>
      <c r="C565" s="598"/>
      <c r="D565" s="598">
        <v>42</v>
      </c>
      <c r="E565" s="598">
        <v>49</v>
      </c>
      <c r="F565" s="598">
        <v>13</v>
      </c>
      <c r="G565" s="598">
        <v>4</v>
      </c>
      <c r="H565" s="598">
        <v>3</v>
      </c>
      <c r="I565" s="598">
        <v>0</v>
      </c>
      <c r="R565" s="600"/>
      <c r="S565" s="600"/>
      <c r="T565" s="600"/>
      <c r="U565" s="600"/>
      <c r="V565" s="600"/>
      <c r="W565" s="600"/>
      <c r="X565" s="600"/>
    </row>
    <row r="566" spans="1:24" s="263" customFormat="1" ht="9" customHeight="1" x14ac:dyDescent="0.25">
      <c r="A566" s="263" t="s">
        <v>35</v>
      </c>
      <c r="B566" s="598">
        <f t="shared" si="31"/>
        <v>209</v>
      </c>
      <c r="C566" s="598"/>
      <c r="D566" s="598">
        <v>46</v>
      </c>
      <c r="E566" s="598">
        <v>69</v>
      </c>
      <c r="F566" s="598">
        <v>40</v>
      </c>
      <c r="G566" s="598">
        <v>27</v>
      </c>
      <c r="H566" s="598">
        <v>17</v>
      </c>
      <c r="I566" s="598">
        <v>10</v>
      </c>
      <c r="R566" s="600"/>
      <c r="S566" s="600"/>
      <c r="T566" s="600"/>
      <c r="U566" s="600"/>
      <c r="V566" s="600"/>
      <c r="W566" s="600"/>
      <c r="X566" s="600"/>
    </row>
    <row r="567" spans="1:24" s="263" customFormat="1" ht="9" customHeight="1" x14ac:dyDescent="0.25">
      <c r="A567" s="263" t="s">
        <v>36</v>
      </c>
      <c r="B567" s="598">
        <f t="shared" si="31"/>
        <v>531</v>
      </c>
      <c r="C567" s="598"/>
      <c r="D567" s="598">
        <v>171</v>
      </c>
      <c r="E567" s="598">
        <v>248</v>
      </c>
      <c r="F567" s="598">
        <v>71</v>
      </c>
      <c r="G567" s="598">
        <v>29</v>
      </c>
      <c r="H567" s="598">
        <v>9</v>
      </c>
      <c r="I567" s="598">
        <v>3</v>
      </c>
      <c r="R567" s="600"/>
      <c r="S567" s="600"/>
      <c r="T567" s="600"/>
      <c r="U567" s="600"/>
      <c r="V567" s="600"/>
      <c r="W567" s="600"/>
      <c r="X567" s="600"/>
    </row>
    <row r="568" spans="1:24" s="263" customFormat="1" ht="9" customHeight="1" x14ac:dyDescent="0.25">
      <c r="A568" s="267" t="s">
        <v>37</v>
      </c>
      <c r="B568" s="599">
        <f t="shared" si="31"/>
        <v>180</v>
      </c>
      <c r="C568" s="599"/>
      <c r="D568" s="599">
        <v>33</v>
      </c>
      <c r="E568" s="599">
        <v>82</v>
      </c>
      <c r="F568" s="599">
        <v>32</v>
      </c>
      <c r="G568" s="599">
        <v>22</v>
      </c>
      <c r="H568" s="599">
        <v>9</v>
      </c>
      <c r="I568" s="599">
        <v>2</v>
      </c>
      <c r="R568" s="600"/>
      <c r="S568" s="600"/>
      <c r="T568" s="600"/>
      <c r="U568" s="600"/>
      <c r="V568" s="600"/>
      <c r="W568" s="600"/>
      <c r="X568" s="600"/>
    </row>
    <row r="569" spans="1:24" s="263" customFormat="1" ht="9" customHeight="1" x14ac:dyDescent="0.25">
      <c r="A569" s="263" t="s">
        <v>38</v>
      </c>
      <c r="B569" s="598">
        <f t="shared" si="31"/>
        <v>68</v>
      </c>
      <c r="C569" s="598"/>
      <c r="D569" s="598">
        <v>30</v>
      </c>
      <c r="E569" s="598">
        <v>25</v>
      </c>
      <c r="F569" s="598">
        <v>8</v>
      </c>
      <c r="G569" s="598">
        <v>4</v>
      </c>
      <c r="H569" s="598">
        <v>1</v>
      </c>
      <c r="I569" s="598">
        <v>0</v>
      </c>
      <c r="R569" s="600"/>
      <c r="S569" s="600"/>
      <c r="T569" s="600"/>
      <c r="U569" s="600"/>
      <c r="V569" s="600"/>
      <c r="W569" s="600"/>
      <c r="X569" s="600"/>
    </row>
    <row r="570" spans="1:24" s="263" customFormat="1" ht="9" customHeight="1" x14ac:dyDescent="0.25">
      <c r="A570" s="263" t="s">
        <v>39</v>
      </c>
      <c r="B570" s="598">
        <f t="shared" si="31"/>
        <v>18</v>
      </c>
      <c r="C570" s="598"/>
      <c r="D570" s="598">
        <v>10</v>
      </c>
      <c r="E570" s="598">
        <v>5</v>
      </c>
      <c r="F570" s="598">
        <v>0</v>
      </c>
      <c r="G570" s="598">
        <v>1</v>
      </c>
      <c r="H570" s="598">
        <v>2</v>
      </c>
      <c r="I570" s="598">
        <v>0</v>
      </c>
      <c r="R570" s="600"/>
      <c r="S570" s="600"/>
      <c r="T570" s="600"/>
      <c r="U570" s="600"/>
      <c r="V570" s="600"/>
      <c r="W570" s="600"/>
      <c r="X570" s="600"/>
    </row>
    <row r="571" spans="1:24" s="263" customFormat="1" ht="9" customHeight="1" x14ac:dyDescent="0.25">
      <c r="A571" s="263" t="s">
        <v>40</v>
      </c>
      <c r="B571" s="598">
        <f t="shared" si="31"/>
        <v>61</v>
      </c>
      <c r="C571" s="598"/>
      <c r="D571" s="598">
        <v>8</v>
      </c>
      <c r="E571" s="598">
        <v>16</v>
      </c>
      <c r="F571" s="598">
        <v>10</v>
      </c>
      <c r="G571" s="598">
        <v>11</v>
      </c>
      <c r="H571" s="598">
        <v>8</v>
      </c>
      <c r="I571" s="598">
        <v>8</v>
      </c>
      <c r="R571" s="600"/>
      <c r="S571" s="600"/>
      <c r="T571" s="600"/>
      <c r="U571" s="600"/>
      <c r="V571" s="600"/>
      <c r="W571" s="600"/>
      <c r="X571" s="600"/>
    </row>
    <row r="572" spans="1:24" s="263" customFormat="1" ht="9" customHeight="1" x14ac:dyDescent="0.25">
      <c r="A572" s="267" t="s">
        <v>41</v>
      </c>
      <c r="B572" s="599">
        <f t="shared" si="31"/>
        <v>116</v>
      </c>
      <c r="C572" s="599"/>
      <c r="D572" s="599">
        <v>44</v>
      </c>
      <c r="E572" s="599">
        <v>43</v>
      </c>
      <c r="F572" s="599">
        <v>23</v>
      </c>
      <c r="G572" s="599">
        <v>5</v>
      </c>
      <c r="H572" s="599">
        <v>1</v>
      </c>
      <c r="I572" s="599">
        <v>0</v>
      </c>
      <c r="R572" s="600"/>
      <c r="S572" s="600"/>
      <c r="T572" s="600"/>
      <c r="U572" s="600"/>
      <c r="V572" s="600"/>
      <c r="W572" s="600"/>
      <c r="X572" s="600"/>
    </row>
    <row r="573" spans="1:24" s="263" customFormat="1" ht="9" customHeight="1" x14ac:dyDescent="0.25">
      <c r="A573" s="263" t="s">
        <v>42</v>
      </c>
      <c r="B573" s="598">
        <f t="shared" si="31"/>
        <v>156</v>
      </c>
      <c r="C573" s="598"/>
      <c r="D573" s="598">
        <v>15</v>
      </c>
      <c r="E573" s="598">
        <v>73</v>
      </c>
      <c r="F573" s="598">
        <v>36</v>
      </c>
      <c r="G573" s="598">
        <v>20</v>
      </c>
      <c r="H573" s="598">
        <v>6</v>
      </c>
      <c r="I573" s="598">
        <v>6</v>
      </c>
      <c r="R573" s="600"/>
      <c r="S573" s="600"/>
      <c r="T573" s="600"/>
      <c r="U573" s="600"/>
      <c r="V573" s="600"/>
      <c r="W573" s="600"/>
      <c r="X573" s="600"/>
    </row>
    <row r="574" spans="1:24" s="263" customFormat="1" ht="9" customHeight="1" x14ac:dyDescent="0.25">
      <c r="A574" s="263" t="s">
        <v>43</v>
      </c>
      <c r="B574" s="598">
        <f t="shared" si="31"/>
        <v>67</v>
      </c>
      <c r="C574" s="598"/>
      <c r="D574" s="598">
        <v>23</v>
      </c>
      <c r="E574" s="598">
        <v>23</v>
      </c>
      <c r="F574" s="598">
        <v>8</v>
      </c>
      <c r="G574" s="598">
        <v>9</v>
      </c>
      <c r="H574" s="598">
        <v>2</v>
      </c>
      <c r="I574" s="598">
        <v>2</v>
      </c>
      <c r="R574" s="600"/>
      <c r="S574" s="600"/>
      <c r="T574" s="600"/>
      <c r="U574" s="600"/>
      <c r="V574" s="600"/>
      <c r="W574" s="600"/>
      <c r="X574" s="600"/>
    </row>
    <row r="575" spans="1:24" s="263" customFormat="1" ht="9" customHeight="1" x14ac:dyDescent="0.25">
      <c r="A575" s="263" t="s">
        <v>44</v>
      </c>
      <c r="B575" s="598">
        <f t="shared" si="31"/>
        <v>38</v>
      </c>
      <c r="C575" s="598"/>
      <c r="D575" s="598">
        <v>12</v>
      </c>
      <c r="E575" s="598">
        <v>17</v>
      </c>
      <c r="F575" s="598">
        <v>4</v>
      </c>
      <c r="G575" s="598">
        <v>3</v>
      </c>
      <c r="H575" s="598">
        <v>2</v>
      </c>
      <c r="I575" s="598">
        <v>0</v>
      </c>
      <c r="R575" s="600"/>
      <c r="S575" s="600"/>
      <c r="T575" s="600"/>
      <c r="U575" s="600"/>
      <c r="V575" s="600"/>
      <c r="W575" s="600"/>
      <c r="X575" s="600"/>
    </row>
    <row r="576" spans="1:24" s="263" customFormat="1" ht="9" customHeight="1" x14ac:dyDescent="0.25">
      <c r="A576" s="267" t="s">
        <v>45</v>
      </c>
      <c r="B576" s="599">
        <f t="shared" si="31"/>
        <v>46</v>
      </c>
      <c r="C576" s="599"/>
      <c r="D576" s="599">
        <v>10</v>
      </c>
      <c r="E576" s="599">
        <v>13</v>
      </c>
      <c r="F576" s="599">
        <v>12</v>
      </c>
      <c r="G576" s="599">
        <v>4</v>
      </c>
      <c r="H576" s="599">
        <v>5</v>
      </c>
      <c r="I576" s="599">
        <v>2</v>
      </c>
      <c r="R576" s="600"/>
      <c r="S576" s="600"/>
      <c r="T576" s="600"/>
      <c r="U576" s="600"/>
      <c r="V576" s="600"/>
      <c r="W576" s="600"/>
      <c r="X576" s="600"/>
    </row>
    <row r="577" spans="1:24" s="263" customFormat="1" ht="9" customHeight="1" x14ac:dyDescent="0.25">
      <c r="A577" s="263" t="s">
        <v>46</v>
      </c>
      <c r="B577" s="598">
        <f t="shared" si="31"/>
        <v>67</v>
      </c>
      <c r="C577" s="598"/>
      <c r="D577" s="598">
        <v>22</v>
      </c>
      <c r="E577" s="598">
        <v>23</v>
      </c>
      <c r="F577" s="598">
        <v>9</v>
      </c>
      <c r="G577" s="598">
        <v>7</v>
      </c>
      <c r="H577" s="598">
        <v>5</v>
      </c>
      <c r="I577" s="598">
        <v>1</v>
      </c>
      <c r="R577" s="600"/>
      <c r="S577" s="600"/>
      <c r="T577" s="600"/>
      <c r="U577" s="600"/>
      <c r="V577" s="600"/>
      <c r="W577" s="600"/>
      <c r="X577" s="600"/>
    </row>
    <row r="578" spans="1:24" s="263" customFormat="1" ht="9" customHeight="1" x14ac:dyDescent="0.25">
      <c r="A578" s="263" t="s">
        <v>47</v>
      </c>
      <c r="B578" s="598">
        <f t="shared" si="31"/>
        <v>51</v>
      </c>
      <c r="C578" s="598"/>
      <c r="D578" s="598">
        <v>8</v>
      </c>
      <c r="E578" s="598">
        <v>20</v>
      </c>
      <c r="F578" s="598">
        <v>12</v>
      </c>
      <c r="G578" s="598">
        <v>4</v>
      </c>
      <c r="H578" s="598">
        <v>5</v>
      </c>
      <c r="I578" s="598">
        <v>2</v>
      </c>
      <c r="R578" s="600"/>
      <c r="S578" s="600"/>
      <c r="T578" s="600"/>
      <c r="U578" s="600"/>
      <c r="V578" s="600"/>
      <c r="W578" s="600"/>
      <c r="X578" s="600"/>
    </row>
    <row r="579" spans="1:24" s="263" customFormat="1" ht="9" customHeight="1" x14ac:dyDescent="0.25">
      <c r="A579" s="263" t="s">
        <v>48</v>
      </c>
      <c r="B579" s="598">
        <f t="shared" si="31"/>
        <v>47</v>
      </c>
      <c r="C579" s="598"/>
      <c r="D579" s="598">
        <v>16</v>
      </c>
      <c r="E579" s="598">
        <v>20</v>
      </c>
      <c r="F579" s="598">
        <v>6</v>
      </c>
      <c r="G579" s="598">
        <v>3</v>
      </c>
      <c r="H579" s="598">
        <v>2</v>
      </c>
      <c r="I579" s="598">
        <v>0</v>
      </c>
      <c r="R579" s="600"/>
      <c r="S579" s="600"/>
      <c r="T579" s="600"/>
      <c r="U579" s="600"/>
      <c r="V579" s="600"/>
      <c r="W579" s="600"/>
      <c r="X579" s="600"/>
    </row>
    <row r="580" spans="1:24" s="263" customFormat="1" ht="9" customHeight="1" x14ac:dyDescent="0.25">
      <c r="A580" s="267" t="s">
        <v>49</v>
      </c>
      <c r="B580" s="599">
        <f t="shared" si="31"/>
        <v>57</v>
      </c>
      <c r="C580" s="599"/>
      <c r="D580" s="599">
        <v>8</v>
      </c>
      <c r="E580" s="599">
        <v>24</v>
      </c>
      <c r="F580" s="599">
        <v>10</v>
      </c>
      <c r="G580" s="599">
        <v>7</v>
      </c>
      <c r="H580" s="599">
        <v>7</v>
      </c>
      <c r="I580" s="599">
        <v>1</v>
      </c>
      <c r="R580" s="600"/>
      <c r="S580" s="600"/>
      <c r="T580" s="600"/>
      <c r="U580" s="600"/>
      <c r="V580" s="600"/>
      <c r="W580" s="600"/>
      <c r="X580" s="600"/>
    </row>
    <row r="581" spans="1:24" s="263" customFormat="1" ht="9" customHeight="1" x14ac:dyDescent="0.25">
      <c r="A581" s="263" t="s">
        <v>50</v>
      </c>
      <c r="B581" s="598">
        <f t="shared" si="31"/>
        <v>48</v>
      </c>
      <c r="C581" s="598"/>
      <c r="D581" s="598">
        <v>16</v>
      </c>
      <c r="E581" s="598">
        <v>25</v>
      </c>
      <c r="F581" s="598">
        <v>3</v>
      </c>
      <c r="G581" s="598">
        <v>4</v>
      </c>
      <c r="H581" s="598">
        <v>0</v>
      </c>
      <c r="I581" s="598">
        <v>0</v>
      </c>
      <c r="R581" s="600"/>
      <c r="S581" s="600"/>
      <c r="T581" s="600"/>
      <c r="U581" s="600"/>
      <c r="V581" s="600"/>
      <c r="W581" s="600"/>
      <c r="X581" s="600"/>
    </row>
    <row r="582" spans="1:24" s="263" customFormat="1" ht="9" customHeight="1" x14ac:dyDescent="0.25">
      <c r="A582" s="263" t="s">
        <v>51</v>
      </c>
      <c r="B582" s="598">
        <f t="shared" si="31"/>
        <v>164</v>
      </c>
      <c r="C582" s="598"/>
      <c r="D582" s="598">
        <v>44</v>
      </c>
      <c r="E582" s="598">
        <v>71</v>
      </c>
      <c r="F582" s="598">
        <v>32</v>
      </c>
      <c r="G582" s="598">
        <v>11</v>
      </c>
      <c r="H582" s="598">
        <v>5</v>
      </c>
      <c r="I582" s="598">
        <v>1</v>
      </c>
      <c r="R582" s="600"/>
      <c r="S582" s="600"/>
      <c r="T582" s="600"/>
      <c r="U582" s="600"/>
      <c r="V582" s="600"/>
      <c r="W582" s="600"/>
      <c r="X582" s="600"/>
    </row>
    <row r="583" spans="1:24" s="263" customFormat="1" ht="9" customHeight="1" x14ac:dyDescent="0.25">
      <c r="A583" s="263" t="s">
        <v>52</v>
      </c>
      <c r="B583" s="598">
        <f t="shared" si="31"/>
        <v>31</v>
      </c>
      <c r="C583" s="598"/>
      <c r="D583" s="598">
        <v>5</v>
      </c>
      <c r="E583" s="598">
        <v>15</v>
      </c>
      <c r="F583" s="598">
        <v>3</v>
      </c>
      <c r="G583" s="598">
        <v>5</v>
      </c>
      <c r="H583" s="598">
        <v>0</v>
      </c>
      <c r="I583" s="598">
        <v>3</v>
      </c>
      <c r="R583" s="600"/>
      <c r="S583" s="600"/>
      <c r="T583" s="600"/>
      <c r="U583" s="600"/>
      <c r="V583" s="600"/>
      <c r="W583" s="600"/>
      <c r="X583" s="600"/>
    </row>
    <row r="584" spans="1:24" s="263" customFormat="1" ht="9" customHeight="1" x14ac:dyDescent="0.25">
      <c r="A584" s="267" t="s">
        <v>53</v>
      </c>
      <c r="B584" s="599">
        <f t="shared" si="31"/>
        <v>34</v>
      </c>
      <c r="C584" s="599"/>
      <c r="D584" s="599">
        <v>7</v>
      </c>
      <c r="E584" s="599">
        <v>13</v>
      </c>
      <c r="F584" s="599">
        <v>9</v>
      </c>
      <c r="G584" s="599">
        <v>1</v>
      </c>
      <c r="H584" s="599">
        <v>3</v>
      </c>
      <c r="I584" s="599">
        <v>1</v>
      </c>
      <c r="R584" s="600"/>
      <c r="S584" s="600"/>
      <c r="T584" s="600"/>
      <c r="U584" s="600"/>
      <c r="V584" s="600"/>
      <c r="W584" s="600"/>
      <c r="X584" s="600"/>
    </row>
    <row r="585" spans="1:24" s="263" customFormat="1" ht="9" customHeight="1" x14ac:dyDescent="0.25">
      <c r="A585" s="286"/>
      <c r="B585" s="613"/>
      <c r="C585" s="613"/>
      <c r="D585" s="286"/>
      <c r="E585" s="286"/>
      <c r="F585" s="286"/>
      <c r="G585" s="286"/>
      <c r="H585" s="286"/>
      <c r="I585" s="286"/>
      <c r="R585" s="600"/>
      <c r="S585" s="600"/>
      <c r="T585" s="600"/>
      <c r="U585" s="600"/>
      <c r="V585" s="600"/>
      <c r="W585" s="600"/>
      <c r="X585" s="600"/>
    </row>
    <row r="586" spans="1:24" s="263" customFormat="1" ht="9" customHeight="1" x14ac:dyDescent="0.25">
      <c r="A586" s="261">
        <v>2011</v>
      </c>
      <c r="B586" s="262"/>
      <c r="C586" s="262"/>
      <c r="D586" s="262"/>
      <c r="E586" s="262"/>
      <c r="F586" s="262"/>
      <c r="G586" s="262"/>
      <c r="H586" s="262"/>
      <c r="I586" s="262"/>
      <c r="R586" s="600"/>
      <c r="S586" s="600"/>
      <c r="T586" s="600"/>
      <c r="U586" s="600"/>
      <c r="V586" s="600"/>
      <c r="W586" s="600"/>
      <c r="X586" s="600"/>
    </row>
    <row r="587" spans="1:24" s="263" customFormat="1" ht="9" customHeight="1" x14ac:dyDescent="0.25">
      <c r="A587" s="265" t="s">
        <v>21</v>
      </c>
      <c r="B587" s="597">
        <f>SUM(B589:B620)</f>
        <v>3088</v>
      </c>
      <c r="C587" s="597"/>
      <c r="D587" s="597">
        <f t="shared" ref="D587:I587" si="32">SUM(D589:D620)</f>
        <v>787</v>
      </c>
      <c r="E587" s="597">
        <f t="shared" si="32"/>
        <v>1273</v>
      </c>
      <c r="F587" s="597">
        <f t="shared" si="32"/>
        <v>518</v>
      </c>
      <c r="G587" s="597">
        <f t="shared" si="32"/>
        <v>276</v>
      </c>
      <c r="H587" s="597">
        <f t="shared" si="32"/>
        <v>148</v>
      </c>
      <c r="I587" s="597">
        <f t="shared" si="32"/>
        <v>86</v>
      </c>
      <c r="J587" s="600"/>
      <c r="R587" s="600"/>
      <c r="S587" s="600"/>
      <c r="T587" s="600"/>
      <c r="U587" s="600"/>
      <c r="V587" s="600"/>
      <c r="W587" s="600"/>
      <c r="X587" s="600"/>
    </row>
    <row r="588" spans="1:24" s="263" customFormat="1" ht="3.95" customHeight="1" x14ac:dyDescent="0.25">
      <c r="A588" s="265"/>
      <c r="B588" s="597"/>
      <c r="C588" s="597"/>
      <c r="D588" s="597"/>
      <c r="E588" s="597"/>
      <c r="F588" s="597"/>
      <c r="G588" s="597"/>
      <c r="H588" s="597"/>
      <c r="I588" s="597"/>
      <c r="J588" s="600"/>
      <c r="R588" s="600"/>
      <c r="S588" s="600"/>
      <c r="T588" s="600"/>
      <c r="U588" s="600"/>
      <c r="V588" s="600"/>
      <c r="W588" s="600"/>
      <c r="X588" s="600"/>
    </row>
    <row r="589" spans="1:24" s="263" customFormat="1" ht="9" customHeight="1" x14ac:dyDescent="0.25">
      <c r="A589" s="263" t="s">
        <v>23</v>
      </c>
      <c r="B589" s="598">
        <f t="shared" ref="B589:B620" si="33">SUM(D589:I589)</f>
        <v>17</v>
      </c>
      <c r="C589" s="598"/>
      <c r="D589" s="598">
        <v>0</v>
      </c>
      <c r="E589" s="598">
        <v>6</v>
      </c>
      <c r="F589" s="598">
        <v>4</v>
      </c>
      <c r="G589" s="598">
        <v>1</v>
      </c>
      <c r="H589" s="598">
        <v>5</v>
      </c>
      <c r="I589" s="598">
        <v>1</v>
      </c>
      <c r="R589" s="600"/>
      <c r="S589" s="600"/>
      <c r="T589" s="600"/>
      <c r="U589" s="600"/>
      <c r="V589" s="600"/>
      <c r="W589" s="600"/>
      <c r="X589" s="600"/>
    </row>
    <row r="590" spans="1:24" s="263" customFormat="1" ht="9" customHeight="1" x14ac:dyDescent="0.25">
      <c r="A590" s="263" t="s">
        <v>24</v>
      </c>
      <c r="B590" s="598">
        <f t="shared" si="33"/>
        <v>143</v>
      </c>
      <c r="C590" s="598"/>
      <c r="D590" s="598">
        <v>56</v>
      </c>
      <c r="E590" s="598">
        <v>50</v>
      </c>
      <c r="F590" s="598">
        <v>16</v>
      </c>
      <c r="G590" s="598">
        <v>14</v>
      </c>
      <c r="H590" s="598">
        <v>5</v>
      </c>
      <c r="I590" s="598">
        <v>2</v>
      </c>
      <c r="R590" s="600"/>
      <c r="S590" s="600"/>
      <c r="T590" s="600"/>
      <c r="U590" s="600"/>
      <c r="V590" s="600"/>
      <c r="W590" s="600"/>
      <c r="X590" s="600"/>
    </row>
    <row r="591" spans="1:24" s="263" customFormat="1" ht="9" customHeight="1" x14ac:dyDescent="0.25">
      <c r="A591" s="263" t="s">
        <v>25</v>
      </c>
      <c r="B591" s="598">
        <f t="shared" si="33"/>
        <v>14</v>
      </c>
      <c r="C591" s="598"/>
      <c r="D591" s="598">
        <v>4</v>
      </c>
      <c r="E591" s="598">
        <v>6</v>
      </c>
      <c r="F591" s="598">
        <v>4</v>
      </c>
      <c r="G591" s="598">
        <v>0</v>
      </c>
      <c r="H591" s="598">
        <v>0</v>
      </c>
      <c r="I591" s="598">
        <v>0</v>
      </c>
      <c r="R591" s="600"/>
      <c r="S591" s="600"/>
      <c r="T591" s="600"/>
      <c r="U591" s="600"/>
      <c r="V591" s="600"/>
      <c r="W591" s="600"/>
      <c r="X591" s="600"/>
    </row>
    <row r="592" spans="1:24" s="263" customFormat="1" ht="9" customHeight="1" x14ac:dyDescent="0.25">
      <c r="A592" s="267" t="s">
        <v>26</v>
      </c>
      <c r="B592" s="599">
        <f t="shared" si="33"/>
        <v>11</v>
      </c>
      <c r="C592" s="599"/>
      <c r="D592" s="599">
        <v>3</v>
      </c>
      <c r="E592" s="599">
        <v>3</v>
      </c>
      <c r="F592" s="599">
        <v>3</v>
      </c>
      <c r="G592" s="599">
        <v>2</v>
      </c>
      <c r="H592" s="599">
        <v>0</v>
      </c>
      <c r="I592" s="599">
        <v>0</v>
      </c>
      <c r="R592" s="600"/>
      <c r="S592" s="600"/>
      <c r="T592" s="600"/>
      <c r="U592" s="600"/>
      <c r="V592" s="600"/>
      <c r="W592" s="600"/>
      <c r="X592" s="600"/>
    </row>
    <row r="593" spans="1:24" s="263" customFormat="1" ht="9" customHeight="1" x14ac:dyDescent="0.25">
      <c r="A593" s="263" t="s">
        <v>27</v>
      </c>
      <c r="B593" s="598">
        <f t="shared" si="33"/>
        <v>33</v>
      </c>
      <c r="C593" s="598"/>
      <c r="D593" s="598">
        <v>5</v>
      </c>
      <c r="E593" s="598">
        <v>6</v>
      </c>
      <c r="F593" s="598">
        <v>7</v>
      </c>
      <c r="G593" s="598">
        <v>7</v>
      </c>
      <c r="H593" s="598">
        <v>5</v>
      </c>
      <c r="I593" s="598">
        <v>3</v>
      </c>
      <c r="R593" s="600"/>
      <c r="S593" s="600"/>
      <c r="T593" s="600"/>
      <c r="U593" s="600"/>
      <c r="V593" s="600"/>
      <c r="W593" s="600"/>
      <c r="X593" s="600"/>
    </row>
    <row r="594" spans="1:24" s="263" customFormat="1" ht="9" customHeight="1" x14ac:dyDescent="0.25">
      <c r="A594" s="263" t="s">
        <v>28</v>
      </c>
      <c r="B594" s="598">
        <f t="shared" si="33"/>
        <v>12</v>
      </c>
      <c r="C594" s="598"/>
      <c r="D594" s="598">
        <v>0</v>
      </c>
      <c r="E594" s="598">
        <v>6</v>
      </c>
      <c r="F594" s="598">
        <v>4</v>
      </c>
      <c r="G594" s="598">
        <v>2</v>
      </c>
      <c r="H594" s="598">
        <v>0</v>
      </c>
      <c r="I594" s="598">
        <v>0</v>
      </c>
      <c r="R594" s="600"/>
      <c r="S594" s="600"/>
      <c r="T594" s="600"/>
      <c r="U594" s="600"/>
      <c r="V594" s="600"/>
      <c r="W594" s="600"/>
      <c r="X594" s="600"/>
    </row>
    <row r="595" spans="1:24" s="263" customFormat="1" ht="9" customHeight="1" x14ac:dyDescent="0.25">
      <c r="A595" s="263" t="s">
        <v>29</v>
      </c>
      <c r="B595" s="598">
        <f t="shared" si="33"/>
        <v>72</v>
      </c>
      <c r="C595" s="598"/>
      <c r="D595" s="598">
        <v>14</v>
      </c>
      <c r="E595" s="598">
        <v>37</v>
      </c>
      <c r="F595" s="598">
        <v>15</v>
      </c>
      <c r="G595" s="598">
        <v>4</v>
      </c>
      <c r="H595" s="598">
        <v>1</v>
      </c>
      <c r="I595" s="598">
        <v>1</v>
      </c>
      <c r="R595" s="600"/>
      <c r="S595" s="600"/>
      <c r="T595" s="600"/>
      <c r="U595" s="600"/>
      <c r="V595" s="600"/>
      <c r="W595" s="600"/>
      <c r="X595" s="600"/>
    </row>
    <row r="596" spans="1:24" s="263" customFormat="1" ht="9" customHeight="1" x14ac:dyDescent="0.25">
      <c r="A596" s="267" t="s">
        <v>30</v>
      </c>
      <c r="B596" s="599">
        <f t="shared" si="33"/>
        <v>75</v>
      </c>
      <c r="C596" s="599"/>
      <c r="D596" s="599">
        <v>14</v>
      </c>
      <c r="E596" s="599">
        <v>29</v>
      </c>
      <c r="F596" s="599">
        <v>15</v>
      </c>
      <c r="G596" s="599">
        <v>4</v>
      </c>
      <c r="H596" s="599">
        <v>5</v>
      </c>
      <c r="I596" s="599">
        <v>8</v>
      </c>
      <c r="R596" s="600"/>
      <c r="S596" s="600"/>
      <c r="T596" s="600"/>
      <c r="U596" s="600"/>
      <c r="V596" s="600"/>
      <c r="W596" s="600"/>
      <c r="X596" s="600"/>
    </row>
    <row r="597" spans="1:24" s="263" customFormat="1" ht="9" customHeight="1" x14ac:dyDescent="0.25">
      <c r="A597" s="263" t="s">
        <v>63</v>
      </c>
      <c r="B597" s="598">
        <f t="shared" si="33"/>
        <v>287</v>
      </c>
      <c r="C597" s="598"/>
      <c r="D597" s="598">
        <v>73</v>
      </c>
      <c r="E597" s="598">
        <v>113</v>
      </c>
      <c r="F597" s="598">
        <v>35</v>
      </c>
      <c r="G597" s="598">
        <v>26</v>
      </c>
      <c r="H597" s="598">
        <v>20</v>
      </c>
      <c r="I597" s="598">
        <v>20</v>
      </c>
      <c r="R597" s="600"/>
      <c r="S597" s="600"/>
      <c r="T597" s="600"/>
      <c r="U597" s="600"/>
      <c r="V597" s="600"/>
      <c r="W597" s="600"/>
      <c r="X597" s="600"/>
    </row>
    <row r="598" spans="1:24" s="263" customFormat="1" ht="9" customHeight="1" x14ac:dyDescent="0.25">
      <c r="A598" s="263" t="s">
        <v>31</v>
      </c>
      <c r="B598" s="598">
        <f t="shared" si="33"/>
        <v>33</v>
      </c>
      <c r="C598" s="598"/>
      <c r="D598" s="598">
        <v>6</v>
      </c>
      <c r="E598" s="598">
        <v>12</v>
      </c>
      <c r="F598" s="598">
        <v>9</v>
      </c>
      <c r="G598" s="598">
        <v>6</v>
      </c>
      <c r="H598" s="598">
        <v>0</v>
      </c>
      <c r="I598" s="598">
        <v>0</v>
      </c>
      <c r="R598" s="600"/>
      <c r="S598" s="600"/>
      <c r="T598" s="600"/>
      <c r="U598" s="600"/>
      <c r="V598" s="600"/>
      <c r="W598" s="600"/>
      <c r="X598" s="600"/>
    </row>
    <row r="599" spans="1:24" s="263" customFormat="1" ht="9" customHeight="1" x14ac:dyDescent="0.25">
      <c r="A599" s="263" t="s">
        <v>32</v>
      </c>
      <c r="B599" s="598">
        <f t="shared" si="33"/>
        <v>232</v>
      </c>
      <c r="C599" s="598"/>
      <c r="D599" s="598">
        <v>46</v>
      </c>
      <c r="E599" s="598">
        <v>97</v>
      </c>
      <c r="F599" s="598">
        <v>55</v>
      </c>
      <c r="G599" s="598">
        <v>20</v>
      </c>
      <c r="H599" s="598">
        <v>10</v>
      </c>
      <c r="I599" s="598">
        <v>4</v>
      </c>
      <c r="R599" s="600"/>
      <c r="S599" s="600"/>
      <c r="T599" s="600"/>
      <c r="U599" s="600"/>
      <c r="V599" s="600"/>
      <c r="W599" s="600"/>
      <c r="X599" s="600"/>
    </row>
    <row r="600" spans="1:24" s="263" customFormat="1" ht="9" customHeight="1" x14ac:dyDescent="0.25">
      <c r="A600" s="267" t="s">
        <v>33</v>
      </c>
      <c r="B600" s="599">
        <f t="shared" si="33"/>
        <v>95</v>
      </c>
      <c r="C600" s="599"/>
      <c r="D600" s="599">
        <v>31</v>
      </c>
      <c r="E600" s="599">
        <v>41</v>
      </c>
      <c r="F600" s="599">
        <v>13</v>
      </c>
      <c r="G600" s="599">
        <v>7</v>
      </c>
      <c r="H600" s="599">
        <v>3</v>
      </c>
      <c r="I600" s="599">
        <v>0</v>
      </c>
      <c r="R600" s="600"/>
      <c r="S600" s="600"/>
      <c r="T600" s="600"/>
      <c r="U600" s="600"/>
      <c r="V600" s="600"/>
      <c r="W600" s="600"/>
      <c r="X600" s="600"/>
    </row>
    <row r="601" spans="1:24" s="263" customFormat="1" ht="9" customHeight="1" x14ac:dyDescent="0.25">
      <c r="A601" s="263" t="s">
        <v>34</v>
      </c>
      <c r="B601" s="598">
        <f t="shared" si="33"/>
        <v>117</v>
      </c>
      <c r="C601" s="598"/>
      <c r="D601" s="598">
        <v>42</v>
      </c>
      <c r="E601" s="598">
        <v>58</v>
      </c>
      <c r="F601" s="598">
        <v>10</v>
      </c>
      <c r="G601" s="598">
        <v>4</v>
      </c>
      <c r="H601" s="598">
        <v>3</v>
      </c>
      <c r="I601" s="598">
        <v>0</v>
      </c>
      <c r="R601" s="600"/>
      <c r="S601" s="600"/>
      <c r="T601" s="600"/>
      <c r="U601" s="600"/>
      <c r="V601" s="600"/>
      <c r="W601" s="600"/>
      <c r="X601" s="600"/>
    </row>
    <row r="602" spans="1:24" s="263" customFormat="1" ht="9" customHeight="1" x14ac:dyDescent="0.25">
      <c r="A602" s="263" t="s">
        <v>35</v>
      </c>
      <c r="B602" s="598">
        <f t="shared" si="33"/>
        <v>214</v>
      </c>
      <c r="C602" s="598"/>
      <c r="D602" s="598">
        <v>47</v>
      </c>
      <c r="E602" s="598">
        <v>67</v>
      </c>
      <c r="F602" s="598">
        <v>43</v>
      </c>
      <c r="G602" s="598">
        <v>30</v>
      </c>
      <c r="H602" s="598">
        <v>17</v>
      </c>
      <c r="I602" s="598">
        <v>10</v>
      </c>
      <c r="R602" s="600"/>
      <c r="S602" s="600"/>
      <c r="T602" s="600"/>
      <c r="U602" s="600"/>
      <c r="V602" s="600"/>
      <c r="W602" s="600"/>
      <c r="X602" s="600"/>
    </row>
    <row r="603" spans="1:24" s="263" customFormat="1" ht="9" customHeight="1" x14ac:dyDescent="0.25">
      <c r="A603" s="263" t="s">
        <v>36</v>
      </c>
      <c r="B603" s="598">
        <f t="shared" si="33"/>
        <v>516</v>
      </c>
      <c r="C603" s="598"/>
      <c r="D603" s="598">
        <v>162</v>
      </c>
      <c r="E603" s="598">
        <v>239</v>
      </c>
      <c r="F603" s="598">
        <v>73</v>
      </c>
      <c r="G603" s="598">
        <v>24</v>
      </c>
      <c r="H603" s="598">
        <v>13</v>
      </c>
      <c r="I603" s="598">
        <v>5</v>
      </c>
      <c r="R603" s="600"/>
      <c r="S603" s="600"/>
      <c r="T603" s="600"/>
      <c r="U603" s="600"/>
      <c r="V603" s="600"/>
      <c r="W603" s="600"/>
      <c r="X603" s="600"/>
    </row>
    <row r="604" spans="1:24" s="263" customFormat="1" ht="9" customHeight="1" x14ac:dyDescent="0.25">
      <c r="A604" s="267" t="s">
        <v>37</v>
      </c>
      <c r="B604" s="599">
        <f t="shared" si="33"/>
        <v>173</v>
      </c>
      <c r="C604" s="599"/>
      <c r="D604" s="599">
        <v>26</v>
      </c>
      <c r="E604" s="599">
        <v>83</v>
      </c>
      <c r="F604" s="599">
        <v>33</v>
      </c>
      <c r="G604" s="599">
        <v>21</v>
      </c>
      <c r="H604" s="599">
        <v>8</v>
      </c>
      <c r="I604" s="599">
        <v>2</v>
      </c>
      <c r="R604" s="600"/>
      <c r="S604" s="600"/>
      <c r="T604" s="600"/>
      <c r="U604" s="600"/>
      <c r="V604" s="600"/>
      <c r="W604" s="600"/>
      <c r="X604" s="600"/>
    </row>
    <row r="605" spans="1:24" s="263" customFormat="1" ht="9" customHeight="1" x14ac:dyDescent="0.25">
      <c r="A605" s="263" t="s">
        <v>38</v>
      </c>
      <c r="B605" s="598">
        <f t="shared" si="33"/>
        <v>66</v>
      </c>
      <c r="C605" s="598"/>
      <c r="D605" s="598">
        <v>27</v>
      </c>
      <c r="E605" s="598">
        <v>25</v>
      </c>
      <c r="F605" s="598">
        <v>9</v>
      </c>
      <c r="G605" s="598">
        <v>4</v>
      </c>
      <c r="H605" s="598">
        <v>1</v>
      </c>
      <c r="I605" s="598">
        <v>0</v>
      </c>
      <c r="R605" s="600"/>
      <c r="S605" s="600"/>
      <c r="T605" s="600"/>
      <c r="U605" s="600"/>
      <c r="V605" s="600"/>
      <c r="W605" s="600"/>
      <c r="X605" s="600"/>
    </row>
    <row r="606" spans="1:24" s="263" customFormat="1" ht="9" customHeight="1" x14ac:dyDescent="0.25">
      <c r="A606" s="263" t="s">
        <v>39</v>
      </c>
      <c r="B606" s="598">
        <f t="shared" si="33"/>
        <v>18</v>
      </c>
      <c r="C606" s="598"/>
      <c r="D606" s="598">
        <v>9</v>
      </c>
      <c r="E606" s="598">
        <v>6</v>
      </c>
      <c r="F606" s="598">
        <v>0</v>
      </c>
      <c r="G606" s="598">
        <v>2</v>
      </c>
      <c r="H606" s="598">
        <v>1</v>
      </c>
      <c r="I606" s="598">
        <v>0</v>
      </c>
      <c r="R606" s="600"/>
      <c r="S606" s="600"/>
      <c r="T606" s="600"/>
      <c r="U606" s="600"/>
      <c r="V606" s="600"/>
      <c r="W606" s="600"/>
      <c r="X606" s="600"/>
    </row>
    <row r="607" spans="1:24" s="263" customFormat="1" ht="9" customHeight="1" x14ac:dyDescent="0.25">
      <c r="A607" s="263" t="s">
        <v>40</v>
      </c>
      <c r="B607" s="598">
        <f t="shared" si="33"/>
        <v>61</v>
      </c>
      <c r="C607" s="598"/>
      <c r="D607" s="598">
        <v>7</v>
      </c>
      <c r="E607" s="598">
        <v>16</v>
      </c>
      <c r="F607" s="598">
        <v>8</v>
      </c>
      <c r="G607" s="598">
        <v>13</v>
      </c>
      <c r="H607" s="598">
        <v>7</v>
      </c>
      <c r="I607" s="598">
        <v>10</v>
      </c>
      <c r="R607" s="600"/>
      <c r="S607" s="600"/>
      <c r="T607" s="600"/>
      <c r="U607" s="600"/>
      <c r="V607" s="600"/>
      <c r="W607" s="600"/>
      <c r="X607" s="600"/>
    </row>
    <row r="608" spans="1:24" s="263" customFormat="1" ht="9" customHeight="1" x14ac:dyDescent="0.25">
      <c r="A608" s="267" t="s">
        <v>41</v>
      </c>
      <c r="B608" s="599">
        <f t="shared" si="33"/>
        <v>116</v>
      </c>
      <c r="C608" s="599"/>
      <c r="D608" s="599">
        <v>39</v>
      </c>
      <c r="E608" s="599">
        <v>50</v>
      </c>
      <c r="F608" s="599">
        <v>21</v>
      </c>
      <c r="G608" s="599">
        <v>5</v>
      </c>
      <c r="H608" s="599">
        <v>1</v>
      </c>
      <c r="I608" s="599">
        <v>0</v>
      </c>
      <c r="R608" s="600"/>
      <c r="S608" s="600"/>
      <c r="T608" s="600"/>
      <c r="U608" s="600"/>
      <c r="V608" s="600"/>
      <c r="W608" s="600"/>
      <c r="X608" s="600"/>
    </row>
    <row r="609" spans="1:24" s="263" customFormat="1" ht="9" customHeight="1" x14ac:dyDescent="0.25">
      <c r="A609" s="263" t="s">
        <v>42</v>
      </c>
      <c r="B609" s="598">
        <f t="shared" si="33"/>
        <v>154</v>
      </c>
      <c r="C609" s="598"/>
      <c r="D609" s="598">
        <v>12</v>
      </c>
      <c r="E609" s="598">
        <v>72</v>
      </c>
      <c r="F609" s="598">
        <v>37</v>
      </c>
      <c r="G609" s="598">
        <v>21</v>
      </c>
      <c r="H609" s="598">
        <v>6</v>
      </c>
      <c r="I609" s="598">
        <v>6</v>
      </c>
      <c r="R609" s="600"/>
      <c r="S609" s="600"/>
      <c r="T609" s="600"/>
      <c r="U609" s="600"/>
      <c r="V609" s="600"/>
      <c r="W609" s="600"/>
      <c r="X609" s="600"/>
    </row>
    <row r="610" spans="1:24" s="263" customFormat="1" ht="9" customHeight="1" x14ac:dyDescent="0.25">
      <c r="A610" s="263" t="s">
        <v>43</v>
      </c>
      <c r="B610" s="598">
        <f t="shared" si="33"/>
        <v>65</v>
      </c>
      <c r="C610" s="598"/>
      <c r="D610" s="598">
        <v>27</v>
      </c>
      <c r="E610" s="598">
        <v>17</v>
      </c>
      <c r="F610" s="598">
        <v>10</v>
      </c>
      <c r="G610" s="598">
        <v>6</v>
      </c>
      <c r="H610" s="598">
        <v>3</v>
      </c>
      <c r="I610" s="598">
        <v>2</v>
      </c>
      <c r="R610" s="600"/>
      <c r="S610" s="600"/>
      <c r="T610" s="600"/>
      <c r="U610" s="600"/>
      <c r="V610" s="600"/>
      <c r="W610" s="600"/>
      <c r="X610" s="600"/>
    </row>
    <row r="611" spans="1:24" s="263" customFormat="1" ht="9" customHeight="1" x14ac:dyDescent="0.25">
      <c r="A611" s="263" t="s">
        <v>44</v>
      </c>
      <c r="B611" s="598">
        <f t="shared" si="33"/>
        <v>42</v>
      </c>
      <c r="C611" s="598"/>
      <c r="D611" s="598">
        <v>14</v>
      </c>
      <c r="E611" s="598">
        <v>17</v>
      </c>
      <c r="F611" s="598">
        <v>5</v>
      </c>
      <c r="G611" s="598">
        <v>5</v>
      </c>
      <c r="H611" s="598">
        <v>1</v>
      </c>
      <c r="I611" s="598">
        <v>0</v>
      </c>
      <c r="R611" s="600"/>
      <c r="S611" s="600"/>
      <c r="T611" s="600"/>
      <c r="U611" s="600"/>
      <c r="V611" s="600"/>
      <c r="W611" s="600"/>
      <c r="X611" s="600"/>
    </row>
    <row r="612" spans="1:24" s="263" customFormat="1" ht="9" customHeight="1" x14ac:dyDescent="0.25">
      <c r="A612" s="267" t="s">
        <v>45</v>
      </c>
      <c r="B612" s="599">
        <f t="shared" si="33"/>
        <v>42</v>
      </c>
      <c r="C612" s="599"/>
      <c r="D612" s="599">
        <v>8</v>
      </c>
      <c r="E612" s="599">
        <v>15</v>
      </c>
      <c r="F612" s="599">
        <v>8</v>
      </c>
      <c r="G612" s="599">
        <v>4</v>
      </c>
      <c r="H612" s="599">
        <v>4</v>
      </c>
      <c r="I612" s="599">
        <v>3</v>
      </c>
      <c r="R612" s="600"/>
      <c r="S612" s="600"/>
      <c r="T612" s="600"/>
      <c r="U612" s="600"/>
      <c r="V612" s="600"/>
      <c r="W612" s="600"/>
      <c r="X612" s="600"/>
    </row>
    <row r="613" spans="1:24" s="263" customFormat="1" ht="9" customHeight="1" x14ac:dyDescent="0.25">
      <c r="A613" s="263" t="s">
        <v>46</v>
      </c>
      <c r="B613" s="598">
        <f t="shared" si="33"/>
        <v>63</v>
      </c>
      <c r="C613" s="598"/>
      <c r="D613" s="598">
        <v>18</v>
      </c>
      <c r="E613" s="598">
        <v>24</v>
      </c>
      <c r="F613" s="598">
        <v>7</v>
      </c>
      <c r="G613" s="598">
        <v>8</v>
      </c>
      <c r="H613" s="598">
        <v>5</v>
      </c>
      <c r="I613" s="598">
        <v>1</v>
      </c>
      <c r="R613" s="600"/>
      <c r="S613" s="600"/>
      <c r="T613" s="600"/>
      <c r="U613" s="600"/>
      <c r="V613" s="600"/>
      <c r="W613" s="600"/>
      <c r="X613" s="600"/>
    </row>
    <row r="614" spans="1:24" s="263" customFormat="1" ht="9" customHeight="1" x14ac:dyDescent="0.25">
      <c r="A614" s="263" t="s">
        <v>47</v>
      </c>
      <c r="B614" s="598">
        <f t="shared" si="33"/>
        <v>49</v>
      </c>
      <c r="C614" s="598"/>
      <c r="D614" s="598">
        <v>6</v>
      </c>
      <c r="E614" s="598">
        <v>21</v>
      </c>
      <c r="F614" s="598">
        <v>11</v>
      </c>
      <c r="G614" s="598">
        <v>4</v>
      </c>
      <c r="H614" s="598">
        <v>5</v>
      </c>
      <c r="I614" s="598">
        <v>2</v>
      </c>
      <c r="R614" s="600"/>
      <c r="S614" s="600"/>
      <c r="T614" s="600"/>
      <c r="U614" s="600"/>
      <c r="V614" s="600"/>
      <c r="W614" s="600"/>
      <c r="X614" s="600"/>
    </row>
    <row r="615" spans="1:24" s="263" customFormat="1" ht="9" customHeight="1" x14ac:dyDescent="0.25">
      <c r="A615" s="263" t="s">
        <v>48</v>
      </c>
      <c r="B615" s="598">
        <f t="shared" si="33"/>
        <v>47</v>
      </c>
      <c r="C615" s="598"/>
      <c r="D615" s="598">
        <v>13</v>
      </c>
      <c r="E615" s="598">
        <v>19</v>
      </c>
      <c r="F615" s="598">
        <v>9</v>
      </c>
      <c r="G615" s="598">
        <v>3</v>
      </c>
      <c r="H615" s="598">
        <v>3</v>
      </c>
      <c r="I615" s="598">
        <v>0</v>
      </c>
      <c r="R615" s="600"/>
      <c r="S615" s="600"/>
      <c r="T615" s="600"/>
      <c r="U615" s="600"/>
      <c r="V615" s="600"/>
      <c r="W615" s="600"/>
      <c r="X615" s="600"/>
    </row>
    <row r="616" spans="1:24" s="263" customFormat="1" ht="9" customHeight="1" x14ac:dyDescent="0.25">
      <c r="A616" s="267" t="s">
        <v>49</v>
      </c>
      <c r="B616" s="599">
        <f t="shared" si="33"/>
        <v>54</v>
      </c>
      <c r="C616" s="599"/>
      <c r="D616" s="599">
        <v>7</v>
      </c>
      <c r="E616" s="599">
        <v>19</v>
      </c>
      <c r="F616" s="599">
        <v>10</v>
      </c>
      <c r="G616" s="599">
        <v>10</v>
      </c>
      <c r="H616" s="599">
        <v>7</v>
      </c>
      <c r="I616" s="599">
        <v>1</v>
      </c>
      <c r="R616" s="600"/>
      <c r="S616" s="600"/>
      <c r="T616" s="600"/>
      <c r="U616" s="600"/>
      <c r="V616" s="600"/>
      <c r="W616" s="600"/>
      <c r="X616" s="600"/>
    </row>
    <row r="617" spans="1:24" s="263" customFormat="1" ht="9" customHeight="1" x14ac:dyDescent="0.25">
      <c r="A617" s="263" t="s">
        <v>50</v>
      </c>
      <c r="B617" s="598">
        <f t="shared" si="33"/>
        <v>44</v>
      </c>
      <c r="C617" s="598"/>
      <c r="D617" s="598">
        <v>16</v>
      </c>
      <c r="E617" s="598">
        <v>23</v>
      </c>
      <c r="F617" s="598">
        <v>3</v>
      </c>
      <c r="G617" s="598">
        <v>2</v>
      </c>
      <c r="H617" s="598">
        <v>0</v>
      </c>
      <c r="I617" s="598">
        <v>0</v>
      </c>
      <c r="R617" s="600"/>
      <c r="S617" s="600"/>
      <c r="T617" s="600"/>
      <c r="U617" s="600"/>
      <c r="V617" s="600"/>
      <c r="W617" s="600"/>
      <c r="X617" s="600"/>
    </row>
    <row r="618" spans="1:24" s="263" customFormat="1" ht="9" customHeight="1" x14ac:dyDescent="0.25">
      <c r="A618" s="263" t="s">
        <v>51</v>
      </c>
      <c r="B618" s="598">
        <f t="shared" si="33"/>
        <v>157</v>
      </c>
      <c r="C618" s="598"/>
      <c r="D618" s="598">
        <v>41</v>
      </c>
      <c r="E618" s="598">
        <v>68</v>
      </c>
      <c r="F618" s="598">
        <v>30</v>
      </c>
      <c r="G618" s="598">
        <v>11</v>
      </c>
      <c r="H618" s="598">
        <v>6</v>
      </c>
      <c r="I618" s="598">
        <v>1</v>
      </c>
      <c r="R618" s="600"/>
      <c r="S618" s="600"/>
      <c r="T618" s="600"/>
      <c r="U618" s="600"/>
      <c r="V618" s="600"/>
      <c r="W618" s="600"/>
      <c r="X618" s="600"/>
    </row>
    <row r="619" spans="1:24" s="263" customFormat="1" ht="9" customHeight="1" x14ac:dyDescent="0.25">
      <c r="A619" s="263" t="s">
        <v>52</v>
      </c>
      <c r="B619" s="598">
        <f t="shared" si="33"/>
        <v>31</v>
      </c>
      <c r="C619" s="598"/>
      <c r="D619" s="598">
        <v>6</v>
      </c>
      <c r="E619" s="598">
        <v>14</v>
      </c>
      <c r="F619" s="598">
        <v>3</v>
      </c>
      <c r="G619" s="598">
        <v>5</v>
      </c>
      <c r="H619" s="598">
        <v>0</v>
      </c>
      <c r="I619" s="598">
        <v>3</v>
      </c>
      <c r="R619" s="600"/>
      <c r="S619" s="600"/>
      <c r="T619" s="600"/>
      <c r="U619" s="600"/>
      <c r="V619" s="600"/>
      <c r="W619" s="600"/>
      <c r="X619" s="600"/>
    </row>
    <row r="620" spans="1:24" s="263" customFormat="1" ht="9" customHeight="1" x14ac:dyDescent="0.25">
      <c r="A620" s="267" t="s">
        <v>53</v>
      </c>
      <c r="B620" s="599">
        <f t="shared" si="33"/>
        <v>35</v>
      </c>
      <c r="C620" s="599"/>
      <c r="D620" s="599">
        <v>8</v>
      </c>
      <c r="E620" s="599">
        <v>14</v>
      </c>
      <c r="F620" s="599">
        <v>8</v>
      </c>
      <c r="G620" s="599">
        <v>1</v>
      </c>
      <c r="H620" s="599">
        <v>3</v>
      </c>
      <c r="I620" s="599">
        <v>1</v>
      </c>
      <c r="R620" s="600"/>
      <c r="S620" s="600"/>
      <c r="T620" s="600"/>
      <c r="U620" s="600"/>
      <c r="V620" s="600"/>
      <c r="W620" s="600"/>
      <c r="X620" s="600"/>
    </row>
    <row r="621" spans="1:24" s="263" customFormat="1" ht="9" customHeight="1" x14ac:dyDescent="0.25">
      <c r="A621" s="286"/>
      <c r="B621" s="613"/>
      <c r="C621" s="613"/>
      <c r="D621" s="286"/>
      <c r="E621" s="286"/>
      <c r="F621" s="286"/>
      <c r="G621" s="286"/>
      <c r="H621" s="286"/>
      <c r="I621" s="286"/>
      <c r="R621" s="600"/>
      <c r="S621" s="600"/>
      <c r="T621" s="600"/>
      <c r="U621" s="600"/>
      <c r="V621" s="600"/>
      <c r="W621" s="600"/>
      <c r="X621" s="600"/>
    </row>
    <row r="622" spans="1:24" s="263" customFormat="1" ht="9" customHeight="1" x14ac:dyDescent="0.25">
      <c r="A622" s="261">
        <v>2012</v>
      </c>
      <c r="B622" s="262"/>
      <c r="C622" s="262"/>
      <c r="D622" s="262"/>
      <c r="E622" s="262"/>
      <c r="F622" s="262"/>
      <c r="G622" s="262"/>
      <c r="H622" s="262"/>
      <c r="I622" s="262"/>
      <c r="R622" s="600"/>
      <c r="S622" s="600"/>
      <c r="T622" s="600"/>
      <c r="U622" s="600"/>
      <c r="V622" s="600"/>
      <c r="W622" s="600"/>
      <c r="X622" s="600"/>
    </row>
    <row r="623" spans="1:24" s="263" customFormat="1" ht="9" customHeight="1" x14ac:dyDescent="0.25">
      <c r="A623" s="265" t="s">
        <v>21</v>
      </c>
      <c r="B623" s="597">
        <f>SUM(B625:B656)</f>
        <v>3064</v>
      </c>
      <c r="C623" s="597"/>
      <c r="D623" s="597">
        <f t="shared" ref="D623:I623" si="34">SUM(D625:D656)</f>
        <v>788</v>
      </c>
      <c r="E623" s="597">
        <f t="shared" si="34"/>
        <v>1279</v>
      </c>
      <c r="F623" s="597">
        <f t="shared" si="34"/>
        <v>492</v>
      </c>
      <c r="G623" s="597">
        <f t="shared" si="34"/>
        <v>272</v>
      </c>
      <c r="H623" s="597">
        <f t="shared" si="34"/>
        <v>144</v>
      </c>
      <c r="I623" s="597">
        <f t="shared" si="34"/>
        <v>89</v>
      </c>
      <c r="J623" s="600"/>
      <c r="R623" s="600"/>
      <c r="S623" s="600"/>
      <c r="T623" s="600"/>
      <c r="U623" s="600"/>
      <c r="V623" s="600"/>
      <c r="W623" s="600"/>
      <c r="X623" s="600"/>
    </row>
    <row r="624" spans="1:24" s="263" customFormat="1" ht="3.95" customHeight="1" x14ac:dyDescent="0.25">
      <c r="A624" s="265"/>
      <c r="B624" s="597"/>
      <c r="C624" s="597"/>
      <c r="D624" s="597"/>
      <c r="E624" s="597"/>
      <c r="F624" s="597"/>
      <c r="G624" s="597"/>
      <c r="H624" s="597"/>
      <c r="I624" s="597"/>
      <c r="J624" s="600"/>
      <c r="R624" s="600"/>
      <c r="S624" s="600"/>
      <c r="T624" s="600"/>
      <c r="U624" s="600"/>
      <c r="V624" s="600"/>
      <c r="W624" s="600"/>
      <c r="X624" s="600"/>
    </row>
    <row r="625" spans="1:24" s="263" customFormat="1" ht="9" customHeight="1" x14ac:dyDescent="0.25">
      <c r="A625" s="263" t="s">
        <v>23</v>
      </c>
      <c r="B625" s="598">
        <f t="shared" ref="B625:B656" si="35">SUM(D625:I625)</f>
        <v>18</v>
      </c>
      <c r="C625" s="598"/>
      <c r="D625" s="598">
        <v>0</v>
      </c>
      <c r="E625" s="598">
        <v>7</v>
      </c>
      <c r="F625" s="598">
        <v>4</v>
      </c>
      <c r="G625" s="598">
        <v>1</v>
      </c>
      <c r="H625" s="598">
        <v>5</v>
      </c>
      <c r="I625" s="598">
        <v>1</v>
      </c>
      <c r="R625" s="600"/>
      <c r="S625" s="600"/>
      <c r="T625" s="600"/>
      <c r="U625" s="600"/>
      <c r="V625" s="600"/>
      <c r="W625" s="600"/>
      <c r="X625" s="600"/>
    </row>
    <row r="626" spans="1:24" s="263" customFormat="1" ht="9" customHeight="1" x14ac:dyDescent="0.25">
      <c r="A626" s="263" t="s">
        <v>24</v>
      </c>
      <c r="B626" s="598">
        <f t="shared" si="35"/>
        <v>150</v>
      </c>
      <c r="C626" s="598"/>
      <c r="D626" s="598">
        <v>63</v>
      </c>
      <c r="E626" s="598">
        <v>50</v>
      </c>
      <c r="F626" s="598">
        <v>14</v>
      </c>
      <c r="G626" s="598">
        <v>15</v>
      </c>
      <c r="H626" s="598">
        <v>6</v>
      </c>
      <c r="I626" s="598">
        <v>2</v>
      </c>
      <c r="R626" s="600"/>
      <c r="S626" s="600"/>
      <c r="T626" s="600"/>
      <c r="U626" s="600"/>
      <c r="V626" s="600"/>
      <c r="W626" s="600"/>
      <c r="X626" s="600"/>
    </row>
    <row r="627" spans="1:24" s="263" customFormat="1" ht="9" customHeight="1" x14ac:dyDescent="0.25">
      <c r="A627" s="263" t="s">
        <v>25</v>
      </c>
      <c r="B627" s="598">
        <f t="shared" si="35"/>
        <v>13</v>
      </c>
      <c r="C627" s="598"/>
      <c r="D627" s="598">
        <v>1</v>
      </c>
      <c r="E627" s="598">
        <v>9</v>
      </c>
      <c r="F627" s="598">
        <v>3</v>
      </c>
      <c r="G627" s="598">
        <v>0</v>
      </c>
      <c r="H627" s="598">
        <v>0</v>
      </c>
      <c r="I627" s="598">
        <v>0</v>
      </c>
      <c r="R627" s="600"/>
      <c r="S627" s="600"/>
      <c r="T627" s="600"/>
      <c r="U627" s="600"/>
      <c r="V627" s="600"/>
      <c r="W627" s="600"/>
      <c r="X627" s="600"/>
    </row>
    <row r="628" spans="1:24" s="263" customFormat="1" ht="9" customHeight="1" x14ac:dyDescent="0.25">
      <c r="A628" s="267" t="s">
        <v>26</v>
      </c>
      <c r="B628" s="599">
        <f t="shared" si="35"/>
        <v>10</v>
      </c>
      <c r="C628" s="599"/>
      <c r="D628" s="599">
        <v>2</v>
      </c>
      <c r="E628" s="599">
        <v>3</v>
      </c>
      <c r="F628" s="599">
        <v>3</v>
      </c>
      <c r="G628" s="599">
        <v>2</v>
      </c>
      <c r="H628" s="599">
        <v>0</v>
      </c>
      <c r="I628" s="599">
        <v>0</v>
      </c>
      <c r="R628" s="600"/>
      <c r="S628" s="600"/>
      <c r="T628" s="600"/>
      <c r="U628" s="600"/>
      <c r="V628" s="600"/>
      <c r="W628" s="600"/>
      <c r="X628" s="600"/>
    </row>
    <row r="629" spans="1:24" s="263" customFormat="1" ht="9" customHeight="1" x14ac:dyDescent="0.25">
      <c r="A629" s="263" t="s">
        <v>27</v>
      </c>
      <c r="B629" s="598">
        <f t="shared" si="35"/>
        <v>33</v>
      </c>
      <c r="C629" s="598"/>
      <c r="D629" s="598">
        <v>3</v>
      </c>
      <c r="E629" s="598">
        <v>9</v>
      </c>
      <c r="F629" s="598">
        <v>6</v>
      </c>
      <c r="G629" s="598">
        <v>6</v>
      </c>
      <c r="H629" s="598">
        <v>6</v>
      </c>
      <c r="I629" s="598">
        <v>3</v>
      </c>
      <c r="R629" s="600"/>
      <c r="S629" s="600"/>
      <c r="T629" s="600"/>
      <c r="U629" s="600"/>
      <c r="V629" s="600"/>
      <c r="W629" s="600"/>
      <c r="X629" s="600"/>
    </row>
    <row r="630" spans="1:24" s="263" customFormat="1" ht="9" customHeight="1" x14ac:dyDescent="0.25">
      <c r="A630" s="263" t="s">
        <v>28</v>
      </c>
      <c r="B630" s="598">
        <f t="shared" si="35"/>
        <v>12</v>
      </c>
      <c r="C630" s="598"/>
      <c r="D630" s="598">
        <v>0</v>
      </c>
      <c r="E630" s="598">
        <v>6</v>
      </c>
      <c r="F630" s="598">
        <v>4</v>
      </c>
      <c r="G630" s="598">
        <v>2</v>
      </c>
      <c r="H630" s="598">
        <v>0</v>
      </c>
      <c r="I630" s="598">
        <v>0</v>
      </c>
      <c r="R630" s="600"/>
      <c r="S630" s="600"/>
      <c r="T630" s="600"/>
      <c r="U630" s="600"/>
      <c r="V630" s="600"/>
      <c r="W630" s="600"/>
      <c r="X630" s="600"/>
    </row>
    <row r="631" spans="1:24" s="263" customFormat="1" ht="9" customHeight="1" x14ac:dyDescent="0.25">
      <c r="A631" s="263" t="s">
        <v>29</v>
      </c>
      <c r="B631" s="598">
        <f t="shared" si="35"/>
        <v>68</v>
      </c>
      <c r="C631" s="598"/>
      <c r="D631" s="598">
        <v>12</v>
      </c>
      <c r="E631" s="598">
        <v>34</v>
      </c>
      <c r="F631" s="598">
        <v>16</v>
      </c>
      <c r="G631" s="598">
        <v>4</v>
      </c>
      <c r="H631" s="598">
        <v>1</v>
      </c>
      <c r="I631" s="598">
        <v>1</v>
      </c>
      <c r="R631" s="600"/>
      <c r="S631" s="600"/>
      <c r="T631" s="600"/>
      <c r="U631" s="600"/>
      <c r="V631" s="600"/>
      <c r="W631" s="600"/>
      <c r="X631" s="600"/>
    </row>
    <row r="632" spans="1:24" s="263" customFormat="1" ht="9" customHeight="1" x14ac:dyDescent="0.25">
      <c r="A632" s="267" t="s">
        <v>30</v>
      </c>
      <c r="B632" s="599">
        <f t="shared" si="35"/>
        <v>73</v>
      </c>
      <c r="C632" s="599"/>
      <c r="D632" s="599">
        <v>13</v>
      </c>
      <c r="E632" s="599">
        <v>30</v>
      </c>
      <c r="F632" s="599">
        <v>14</v>
      </c>
      <c r="G632" s="599">
        <v>5</v>
      </c>
      <c r="H632" s="599">
        <v>4</v>
      </c>
      <c r="I632" s="599">
        <v>7</v>
      </c>
      <c r="R632" s="600"/>
      <c r="S632" s="600"/>
      <c r="T632" s="600"/>
      <c r="U632" s="600"/>
      <c r="V632" s="600"/>
      <c r="W632" s="600"/>
      <c r="X632" s="600"/>
    </row>
    <row r="633" spans="1:24" s="263" customFormat="1" ht="9" customHeight="1" x14ac:dyDescent="0.25">
      <c r="A633" s="263" t="s">
        <v>63</v>
      </c>
      <c r="B633" s="598">
        <f t="shared" si="35"/>
        <v>287</v>
      </c>
      <c r="C633" s="598"/>
      <c r="D633" s="598">
        <v>73</v>
      </c>
      <c r="E633" s="598">
        <v>114</v>
      </c>
      <c r="F633" s="598">
        <v>34</v>
      </c>
      <c r="G633" s="598">
        <v>26</v>
      </c>
      <c r="H633" s="598">
        <v>20</v>
      </c>
      <c r="I633" s="598">
        <v>20</v>
      </c>
      <c r="R633" s="600"/>
      <c r="S633" s="600"/>
      <c r="T633" s="600"/>
      <c r="U633" s="600"/>
      <c r="V633" s="600"/>
      <c r="W633" s="600"/>
      <c r="X633" s="600"/>
    </row>
    <row r="634" spans="1:24" s="263" customFormat="1" ht="9" customHeight="1" x14ac:dyDescent="0.25">
      <c r="A634" s="263" t="s">
        <v>31</v>
      </c>
      <c r="B634" s="598">
        <f t="shared" si="35"/>
        <v>31</v>
      </c>
      <c r="C634" s="598"/>
      <c r="D634" s="598">
        <v>6</v>
      </c>
      <c r="E634" s="598">
        <v>14</v>
      </c>
      <c r="F634" s="598">
        <v>5</v>
      </c>
      <c r="G634" s="598">
        <v>6</v>
      </c>
      <c r="H634" s="598">
        <v>0</v>
      </c>
      <c r="I634" s="598">
        <v>0</v>
      </c>
      <c r="R634" s="600"/>
      <c r="S634" s="600"/>
      <c r="T634" s="600"/>
      <c r="U634" s="600"/>
      <c r="V634" s="600"/>
      <c r="W634" s="600"/>
      <c r="X634" s="600"/>
    </row>
    <row r="635" spans="1:24" s="263" customFormat="1" ht="9" customHeight="1" x14ac:dyDescent="0.25">
      <c r="A635" s="263" t="s">
        <v>32</v>
      </c>
      <c r="B635" s="598">
        <f t="shared" si="35"/>
        <v>226</v>
      </c>
      <c r="C635" s="598"/>
      <c r="D635" s="598">
        <v>42</v>
      </c>
      <c r="E635" s="598">
        <v>97</v>
      </c>
      <c r="F635" s="598">
        <v>57</v>
      </c>
      <c r="G635" s="598">
        <v>17</v>
      </c>
      <c r="H635" s="598">
        <v>9</v>
      </c>
      <c r="I635" s="598">
        <v>4</v>
      </c>
      <c r="R635" s="600"/>
      <c r="S635" s="600"/>
      <c r="T635" s="600"/>
      <c r="U635" s="600"/>
      <c r="V635" s="600"/>
      <c r="W635" s="600"/>
      <c r="X635" s="600"/>
    </row>
    <row r="636" spans="1:24" s="263" customFormat="1" ht="9" customHeight="1" x14ac:dyDescent="0.25">
      <c r="A636" s="267" t="s">
        <v>33</v>
      </c>
      <c r="B636" s="599">
        <f t="shared" si="35"/>
        <v>99</v>
      </c>
      <c r="C636" s="599"/>
      <c r="D636" s="599">
        <v>37</v>
      </c>
      <c r="E636" s="599">
        <v>40</v>
      </c>
      <c r="F636" s="599">
        <v>14</v>
      </c>
      <c r="G636" s="599">
        <v>7</v>
      </c>
      <c r="H636" s="599">
        <v>1</v>
      </c>
      <c r="I636" s="599">
        <v>0</v>
      </c>
      <c r="R636" s="600"/>
      <c r="S636" s="600"/>
      <c r="T636" s="600"/>
      <c r="U636" s="600"/>
      <c r="V636" s="600"/>
      <c r="W636" s="600"/>
      <c r="X636" s="600"/>
    </row>
    <row r="637" spans="1:24" s="263" customFormat="1" ht="9" customHeight="1" x14ac:dyDescent="0.25">
      <c r="A637" s="263" t="s">
        <v>34</v>
      </c>
      <c r="B637" s="598">
        <f t="shared" si="35"/>
        <v>117</v>
      </c>
      <c r="C637" s="598"/>
      <c r="D637" s="598">
        <v>43</v>
      </c>
      <c r="E637" s="598">
        <v>56</v>
      </c>
      <c r="F637" s="598">
        <v>11</v>
      </c>
      <c r="G637" s="598">
        <v>3</v>
      </c>
      <c r="H637" s="598">
        <v>4</v>
      </c>
      <c r="I637" s="598">
        <v>0</v>
      </c>
      <c r="R637" s="600"/>
      <c r="S637" s="600"/>
      <c r="T637" s="600"/>
      <c r="U637" s="600"/>
      <c r="V637" s="600"/>
      <c r="W637" s="600"/>
      <c r="X637" s="600"/>
    </row>
    <row r="638" spans="1:24" s="263" customFormat="1" ht="9" customHeight="1" x14ac:dyDescent="0.25">
      <c r="A638" s="263" t="s">
        <v>35</v>
      </c>
      <c r="B638" s="598">
        <f t="shared" si="35"/>
        <v>212</v>
      </c>
      <c r="C638" s="598"/>
      <c r="D638" s="598">
        <v>48</v>
      </c>
      <c r="E638" s="598">
        <v>69</v>
      </c>
      <c r="F638" s="598">
        <v>42</v>
      </c>
      <c r="G638" s="598">
        <v>30</v>
      </c>
      <c r="H638" s="598">
        <v>14</v>
      </c>
      <c r="I638" s="598">
        <v>9</v>
      </c>
      <c r="R638" s="600"/>
      <c r="S638" s="600"/>
      <c r="T638" s="600"/>
      <c r="U638" s="600"/>
      <c r="V638" s="600"/>
      <c r="W638" s="600"/>
      <c r="X638" s="600"/>
    </row>
    <row r="639" spans="1:24" s="263" customFormat="1" ht="9" customHeight="1" x14ac:dyDescent="0.25">
      <c r="A639" s="263" t="s">
        <v>36</v>
      </c>
      <c r="B639" s="598">
        <f t="shared" si="35"/>
        <v>503</v>
      </c>
      <c r="C639" s="598"/>
      <c r="D639" s="598">
        <v>157</v>
      </c>
      <c r="E639" s="598">
        <v>241</v>
      </c>
      <c r="F639" s="598">
        <v>65</v>
      </c>
      <c r="G639" s="598">
        <v>23</v>
      </c>
      <c r="H639" s="598">
        <v>11</v>
      </c>
      <c r="I639" s="598">
        <v>6</v>
      </c>
      <c r="R639" s="600"/>
      <c r="S639" s="600"/>
      <c r="T639" s="600"/>
      <c r="U639" s="600"/>
      <c r="V639" s="600"/>
      <c r="W639" s="600"/>
      <c r="X639" s="600"/>
    </row>
    <row r="640" spans="1:24" s="263" customFormat="1" ht="9" customHeight="1" x14ac:dyDescent="0.25">
      <c r="A640" s="267" t="s">
        <v>37</v>
      </c>
      <c r="B640" s="599">
        <f t="shared" si="35"/>
        <v>168</v>
      </c>
      <c r="C640" s="599"/>
      <c r="D640" s="599">
        <v>30</v>
      </c>
      <c r="E640" s="599">
        <v>79</v>
      </c>
      <c r="F640" s="599">
        <v>28</v>
      </c>
      <c r="G640" s="599">
        <v>21</v>
      </c>
      <c r="H640" s="599">
        <v>8</v>
      </c>
      <c r="I640" s="599">
        <v>2</v>
      </c>
      <c r="R640" s="600"/>
      <c r="S640" s="600"/>
      <c r="T640" s="600"/>
      <c r="U640" s="600"/>
      <c r="V640" s="600"/>
      <c r="W640" s="600"/>
      <c r="X640" s="600"/>
    </row>
    <row r="641" spans="1:24" s="263" customFormat="1" ht="9" customHeight="1" x14ac:dyDescent="0.25">
      <c r="A641" s="263" t="s">
        <v>38</v>
      </c>
      <c r="B641" s="598">
        <f t="shared" si="35"/>
        <v>66</v>
      </c>
      <c r="C641" s="598"/>
      <c r="D641" s="598">
        <v>28</v>
      </c>
      <c r="E641" s="598">
        <v>25</v>
      </c>
      <c r="F641" s="598">
        <v>8</v>
      </c>
      <c r="G641" s="598">
        <v>4</v>
      </c>
      <c r="H641" s="598">
        <v>1</v>
      </c>
      <c r="I641" s="598">
        <v>0</v>
      </c>
      <c r="R641" s="600"/>
      <c r="S641" s="600"/>
      <c r="T641" s="600"/>
      <c r="U641" s="600"/>
      <c r="V641" s="600"/>
      <c r="W641" s="600"/>
      <c r="X641" s="600"/>
    </row>
    <row r="642" spans="1:24" s="263" customFormat="1" ht="9" customHeight="1" x14ac:dyDescent="0.25">
      <c r="A642" s="263" t="s">
        <v>39</v>
      </c>
      <c r="B642" s="598">
        <f t="shared" si="35"/>
        <v>17</v>
      </c>
      <c r="C642" s="598"/>
      <c r="D642" s="598">
        <v>9</v>
      </c>
      <c r="E642" s="598">
        <v>6</v>
      </c>
      <c r="F642" s="598">
        <v>0</v>
      </c>
      <c r="G642" s="598">
        <v>1</v>
      </c>
      <c r="H642" s="598">
        <v>1</v>
      </c>
      <c r="I642" s="598">
        <v>0</v>
      </c>
      <c r="R642" s="600"/>
      <c r="S642" s="600"/>
      <c r="T642" s="600"/>
      <c r="U642" s="600"/>
      <c r="V642" s="600"/>
      <c r="W642" s="600"/>
      <c r="X642" s="600"/>
    </row>
    <row r="643" spans="1:24" s="263" customFormat="1" ht="9" customHeight="1" x14ac:dyDescent="0.25">
      <c r="A643" s="263" t="s">
        <v>40</v>
      </c>
      <c r="B643" s="598">
        <f t="shared" si="35"/>
        <v>67</v>
      </c>
      <c r="C643" s="598"/>
      <c r="D643" s="598">
        <v>6</v>
      </c>
      <c r="E643" s="598">
        <v>17</v>
      </c>
      <c r="F643" s="598">
        <v>7</v>
      </c>
      <c r="G643" s="598">
        <v>16</v>
      </c>
      <c r="H643" s="598">
        <v>9</v>
      </c>
      <c r="I643" s="598">
        <v>12</v>
      </c>
      <c r="R643" s="600"/>
      <c r="S643" s="600"/>
      <c r="T643" s="600"/>
      <c r="U643" s="600"/>
      <c r="V643" s="600"/>
      <c r="W643" s="600"/>
      <c r="X643" s="600"/>
    </row>
    <row r="644" spans="1:24" s="263" customFormat="1" ht="9" customHeight="1" x14ac:dyDescent="0.25">
      <c r="A644" s="267" t="s">
        <v>41</v>
      </c>
      <c r="B644" s="599">
        <f t="shared" si="35"/>
        <v>111</v>
      </c>
      <c r="C644" s="599"/>
      <c r="D644" s="599">
        <v>36</v>
      </c>
      <c r="E644" s="599">
        <v>48</v>
      </c>
      <c r="F644" s="599">
        <v>21</v>
      </c>
      <c r="G644" s="599">
        <v>6</v>
      </c>
      <c r="H644" s="599">
        <v>0</v>
      </c>
      <c r="I644" s="599">
        <v>0</v>
      </c>
      <c r="R644" s="600"/>
      <c r="S644" s="600"/>
      <c r="T644" s="600"/>
      <c r="U644" s="600"/>
      <c r="V644" s="600"/>
      <c r="W644" s="600"/>
      <c r="X644" s="600"/>
    </row>
    <row r="645" spans="1:24" s="263" customFormat="1" ht="9" customHeight="1" x14ac:dyDescent="0.25">
      <c r="A645" s="263" t="s">
        <v>42</v>
      </c>
      <c r="B645" s="598">
        <f t="shared" si="35"/>
        <v>151</v>
      </c>
      <c r="C645" s="598"/>
      <c r="D645" s="598">
        <v>13</v>
      </c>
      <c r="E645" s="598">
        <v>73</v>
      </c>
      <c r="F645" s="598">
        <v>29</v>
      </c>
      <c r="G645" s="598">
        <v>23</v>
      </c>
      <c r="H645" s="598">
        <v>7</v>
      </c>
      <c r="I645" s="598">
        <v>6</v>
      </c>
      <c r="R645" s="600"/>
      <c r="S645" s="600"/>
      <c r="T645" s="600"/>
      <c r="U645" s="600"/>
      <c r="V645" s="600"/>
      <c r="W645" s="600"/>
      <c r="X645" s="600"/>
    </row>
    <row r="646" spans="1:24" s="263" customFormat="1" ht="9" customHeight="1" x14ac:dyDescent="0.25">
      <c r="A646" s="263" t="s">
        <v>43</v>
      </c>
      <c r="B646" s="598">
        <f t="shared" si="35"/>
        <v>74</v>
      </c>
      <c r="C646" s="598"/>
      <c r="D646" s="598">
        <v>30</v>
      </c>
      <c r="E646" s="598">
        <v>21</v>
      </c>
      <c r="F646" s="598">
        <v>11</v>
      </c>
      <c r="G646" s="598">
        <v>6</v>
      </c>
      <c r="H646" s="598">
        <v>4</v>
      </c>
      <c r="I646" s="598">
        <v>2</v>
      </c>
      <c r="R646" s="600"/>
      <c r="S646" s="600"/>
      <c r="T646" s="600"/>
      <c r="U646" s="600"/>
      <c r="V646" s="600"/>
      <c r="W646" s="600"/>
      <c r="X646" s="600"/>
    </row>
    <row r="647" spans="1:24" s="263" customFormat="1" ht="9" customHeight="1" x14ac:dyDescent="0.25">
      <c r="A647" s="263" t="s">
        <v>44</v>
      </c>
      <c r="B647" s="598">
        <f t="shared" si="35"/>
        <v>41</v>
      </c>
      <c r="C647" s="598"/>
      <c r="D647" s="598">
        <v>14</v>
      </c>
      <c r="E647" s="598">
        <v>17</v>
      </c>
      <c r="F647" s="598">
        <v>5</v>
      </c>
      <c r="G647" s="598">
        <v>4</v>
      </c>
      <c r="H647" s="598">
        <v>1</v>
      </c>
      <c r="I647" s="598">
        <v>0</v>
      </c>
      <c r="R647" s="600"/>
      <c r="S647" s="600"/>
      <c r="T647" s="600"/>
      <c r="U647" s="600"/>
      <c r="V647" s="600"/>
      <c r="W647" s="600"/>
      <c r="X647" s="600"/>
    </row>
    <row r="648" spans="1:24" s="263" customFormat="1" ht="9" customHeight="1" x14ac:dyDescent="0.25">
      <c r="A648" s="267" t="s">
        <v>45</v>
      </c>
      <c r="B648" s="599">
        <f t="shared" si="35"/>
        <v>45</v>
      </c>
      <c r="C648" s="599"/>
      <c r="D648" s="599">
        <v>9</v>
      </c>
      <c r="E648" s="599">
        <v>17</v>
      </c>
      <c r="F648" s="599">
        <v>8</v>
      </c>
      <c r="G648" s="599">
        <v>4</v>
      </c>
      <c r="H648" s="599">
        <v>4</v>
      </c>
      <c r="I648" s="599">
        <v>3</v>
      </c>
      <c r="R648" s="600"/>
      <c r="S648" s="600"/>
      <c r="T648" s="600"/>
      <c r="U648" s="600"/>
      <c r="V648" s="600"/>
      <c r="W648" s="600"/>
      <c r="X648" s="600"/>
    </row>
    <row r="649" spans="1:24" s="263" customFormat="1" ht="9" customHeight="1" x14ac:dyDescent="0.25">
      <c r="A649" s="263" t="s">
        <v>46</v>
      </c>
      <c r="B649" s="598">
        <f t="shared" si="35"/>
        <v>62</v>
      </c>
      <c r="C649" s="598"/>
      <c r="D649" s="598">
        <v>19</v>
      </c>
      <c r="E649" s="598">
        <v>24</v>
      </c>
      <c r="F649" s="598">
        <v>5</v>
      </c>
      <c r="G649" s="598">
        <v>8</v>
      </c>
      <c r="H649" s="598">
        <v>5</v>
      </c>
      <c r="I649" s="598">
        <v>1</v>
      </c>
      <c r="R649" s="600"/>
      <c r="S649" s="600"/>
      <c r="T649" s="600"/>
      <c r="U649" s="600"/>
      <c r="V649" s="600"/>
      <c r="W649" s="600"/>
      <c r="X649" s="600"/>
    </row>
    <row r="650" spans="1:24" s="263" customFormat="1" ht="9" customHeight="1" x14ac:dyDescent="0.25">
      <c r="A650" s="263" t="s">
        <v>47</v>
      </c>
      <c r="B650" s="598">
        <f t="shared" si="35"/>
        <v>49</v>
      </c>
      <c r="C650" s="598"/>
      <c r="D650" s="598">
        <v>7</v>
      </c>
      <c r="E650" s="598">
        <v>21</v>
      </c>
      <c r="F650" s="598">
        <v>11</v>
      </c>
      <c r="G650" s="598">
        <v>3</v>
      </c>
      <c r="H650" s="598">
        <v>4</v>
      </c>
      <c r="I650" s="598">
        <v>3</v>
      </c>
      <c r="R650" s="600"/>
      <c r="S650" s="600"/>
      <c r="T650" s="600"/>
      <c r="U650" s="600"/>
      <c r="V650" s="600"/>
      <c r="W650" s="600"/>
      <c r="X650" s="600"/>
    </row>
    <row r="651" spans="1:24" s="263" customFormat="1" ht="9" customHeight="1" x14ac:dyDescent="0.25">
      <c r="A651" s="263" t="s">
        <v>48</v>
      </c>
      <c r="B651" s="598">
        <f t="shared" si="35"/>
        <v>49</v>
      </c>
      <c r="C651" s="598"/>
      <c r="D651" s="598">
        <v>14</v>
      </c>
      <c r="E651" s="598">
        <v>22</v>
      </c>
      <c r="F651" s="598">
        <v>8</v>
      </c>
      <c r="G651" s="598">
        <v>3</v>
      </c>
      <c r="H651" s="598">
        <v>2</v>
      </c>
      <c r="I651" s="598">
        <v>0</v>
      </c>
      <c r="R651" s="600"/>
      <c r="S651" s="600"/>
      <c r="T651" s="600"/>
      <c r="U651" s="600"/>
      <c r="V651" s="600"/>
      <c r="W651" s="600"/>
      <c r="X651" s="600"/>
    </row>
    <row r="652" spans="1:24" s="263" customFormat="1" ht="9" customHeight="1" x14ac:dyDescent="0.25">
      <c r="A652" s="267" t="s">
        <v>49</v>
      </c>
      <c r="B652" s="599">
        <f t="shared" si="35"/>
        <v>53</v>
      </c>
      <c r="C652" s="599"/>
      <c r="D652" s="599">
        <v>6</v>
      </c>
      <c r="E652" s="599">
        <v>19</v>
      </c>
      <c r="F652" s="599">
        <v>11</v>
      </c>
      <c r="G652" s="599">
        <v>8</v>
      </c>
      <c r="H652" s="599">
        <v>7</v>
      </c>
      <c r="I652" s="599">
        <v>2</v>
      </c>
      <c r="R652" s="600"/>
      <c r="S652" s="600"/>
      <c r="T652" s="600"/>
      <c r="U652" s="600"/>
      <c r="V652" s="600"/>
      <c r="W652" s="600"/>
      <c r="X652" s="600"/>
    </row>
    <row r="653" spans="1:24" s="263" customFormat="1" ht="9" customHeight="1" x14ac:dyDescent="0.25">
      <c r="A653" s="263" t="s">
        <v>50</v>
      </c>
      <c r="B653" s="598">
        <f t="shared" si="35"/>
        <v>43</v>
      </c>
      <c r="C653" s="598"/>
      <c r="D653" s="598">
        <v>15</v>
      </c>
      <c r="E653" s="598">
        <v>22</v>
      </c>
      <c r="F653" s="598">
        <v>5</v>
      </c>
      <c r="G653" s="598">
        <v>1</v>
      </c>
      <c r="H653" s="598">
        <v>0</v>
      </c>
      <c r="I653" s="598">
        <v>0</v>
      </c>
      <c r="R653" s="600"/>
      <c r="S653" s="600"/>
      <c r="T653" s="600"/>
      <c r="U653" s="600"/>
      <c r="V653" s="600"/>
      <c r="W653" s="600"/>
      <c r="X653" s="600"/>
    </row>
    <row r="654" spans="1:24" s="263" customFormat="1" ht="9" customHeight="1" x14ac:dyDescent="0.25">
      <c r="A654" s="263" t="s">
        <v>51</v>
      </c>
      <c r="B654" s="598">
        <f t="shared" si="35"/>
        <v>153</v>
      </c>
      <c r="C654" s="598"/>
      <c r="D654" s="598">
        <v>39</v>
      </c>
      <c r="E654" s="598">
        <v>65</v>
      </c>
      <c r="F654" s="598">
        <v>30</v>
      </c>
      <c r="G654" s="598">
        <v>12</v>
      </c>
      <c r="H654" s="598">
        <v>6</v>
      </c>
      <c r="I654" s="598">
        <v>1</v>
      </c>
      <c r="R654" s="600"/>
      <c r="S654" s="600"/>
      <c r="T654" s="600"/>
      <c r="U654" s="600"/>
      <c r="V654" s="600"/>
      <c r="W654" s="600"/>
      <c r="X654" s="600"/>
    </row>
    <row r="655" spans="1:24" s="263" customFormat="1" ht="9" customHeight="1" x14ac:dyDescent="0.25">
      <c r="A655" s="263" t="s">
        <v>52</v>
      </c>
      <c r="B655" s="598">
        <f t="shared" si="35"/>
        <v>29</v>
      </c>
      <c r="C655" s="598"/>
      <c r="D655" s="598">
        <v>6</v>
      </c>
      <c r="E655" s="598">
        <v>12</v>
      </c>
      <c r="F655" s="598">
        <v>3</v>
      </c>
      <c r="G655" s="598">
        <v>4</v>
      </c>
      <c r="H655" s="598">
        <v>1</v>
      </c>
      <c r="I655" s="598">
        <v>3</v>
      </c>
      <c r="R655" s="600"/>
      <c r="S655" s="600"/>
      <c r="T655" s="600"/>
      <c r="U655" s="600"/>
      <c r="V655" s="600"/>
      <c r="W655" s="600"/>
      <c r="X655" s="600"/>
    </row>
    <row r="656" spans="1:24" s="263" customFormat="1" ht="9" customHeight="1" x14ac:dyDescent="0.25">
      <c r="A656" s="267" t="s">
        <v>53</v>
      </c>
      <c r="B656" s="599">
        <f t="shared" si="35"/>
        <v>34</v>
      </c>
      <c r="C656" s="599"/>
      <c r="D656" s="599">
        <v>7</v>
      </c>
      <c r="E656" s="599">
        <v>12</v>
      </c>
      <c r="F656" s="599">
        <v>10</v>
      </c>
      <c r="G656" s="599">
        <v>1</v>
      </c>
      <c r="H656" s="599">
        <v>3</v>
      </c>
      <c r="I656" s="599">
        <v>1</v>
      </c>
      <c r="R656" s="600"/>
      <c r="S656" s="600"/>
      <c r="T656" s="600"/>
      <c r="U656" s="600"/>
      <c r="V656" s="600"/>
      <c r="W656" s="600"/>
      <c r="X656" s="600"/>
    </row>
    <row r="657" spans="1:24" s="263" customFormat="1" ht="9" customHeight="1" x14ac:dyDescent="0.25">
      <c r="A657" s="286"/>
      <c r="B657" s="613"/>
      <c r="C657" s="613"/>
      <c r="D657" s="286"/>
      <c r="E657" s="286"/>
      <c r="F657" s="286"/>
      <c r="G657" s="286"/>
      <c r="H657" s="286"/>
      <c r="I657" s="286"/>
      <c r="R657" s="600"/>
      <c r="S657" s="600"/>
      <c r="T657" s="600"/>
      <c r="U657" s="600"/>
      <c r="V657" s="600"/>
      <c r="W657" s="600"/>
      <c r="X657" s="600"/>
    </row>
    <row r="658" spans="1:24" s="263" customFormat="1" ht="9" customHeight="1" x14ac:dyDescent="0.25">
      <c r="A658" s="261">
        <v>2013</v>
      </c>
      <c r="B658" s="262"/>
      <c r="E658" s="262"/>
      <c r="F658" s="262"/>
      <c r="G658" s="262"/>
      <c r="H658" s="262"/>
      <c r="I658" s="262"/>
      <c r="R658" s="600"/>
      <c r="S658" s="600"/>
      <c r="T658" s="600"/>
      <c r="U658" s="600"/>
      <c r="V658" s="600"/>
      <c r="W658" s="600"/>
      <c r="X658" s="600"/>
    </row>
    <row r="659" spans="1:24" s="263" customFormat="1" ht="9" customHeight="1" x14ac:dyDescent="0.25">
      <c r="A659" s="265" t="s">
        <v>21</v>
      </c>
      <c r="B659" s="597">
        <f>SUM(B661:B692)</f>
        <v>3071</v>
      </c>
      <c r="C659" s="597"/>
      <c r="D659" s="597">
        <f t="shared" ref="D659:I659" si="36">SUM(D661:D692)</f>
        <v>819</v>
      </c>
      <c r="E659" s="597">
        <f t="shared" si="36"/>
        <v>1247</v>
      </c>
      <c r="F659" s="597">
        <f t="shared" si="36"/>
        <v>494</v>
      </c>
      <c r="G659" s="597">
        <f t="shared" si="36"/>
        <v>273</v>
      </c>
      <c r="H659" s="597">
        <f t="shared" si="36"/>
        <v>147</v>
      </c>
      <c r="I659" s="597">
        <f t="shared" si="36"/>
        <v>91</v>
      </c>
      <c r="J659" s="600"/>
      <c r="R659" s="600"/>
      <c r="S659" s="600"/>
      <c r="T659" s="600"/>
      <c r="U659" s="600"/>
      <c r="V659" s="600"/>
      <c r="W659" s="600"/>
      <c r="X659" s="600"/>
    </row>
    <row r="660" spans="1:24" s="263" customFormat="1" ht="3.95" customHeight="1" x14ac:dyDescent="0.25">
      <c r="A660" s="265"/>
      <c r="B660" s="597"/>
      <c r="C660" s="597"/>
      <c r="D660" s="597"/>
      <c r="E660" s="597"/>
      <c r="F660" s="597"/>
      <c r="G660" s="597"/>
      <c r="H660" s="597"/>
      <c r="I660" s="597"/>
      <c r="J660" s="600"/>
      <c r="R660" s="600"/>
      <c r="S660" s="600"/>
      <c r="T660" s="600"/>
      <c r="U660" s="600"/>
      <c r="V660" s="600"/>
      <c r="W660" s="600"/>
      <c r="X660" s="600"/>
    </row>
    <row r="661" spans="1:24" s="263" customFormat="1" ht="9" customHeight="1" x14ac:dyDescent="0.25">
      <c r="A661" s="263" t="s">
        <v>23</v>
      </c>
      <c r="B661" s="598">
        <f>SUM(D661:I661)</f>
        <v>19</v>
      </c>
      <c r="C661" s="598"/>
      <c r="D661" s="598">
        <v>1</v>
      </c>
      <c r="E661" s="598">
        <v>8</v>
      </c>
      <c r="F661" s="598">
        <v>3</v>
      </c>
      <c r="G661" s="598">
        <v>1</v>
      </c>
      <c r="H661" s="598">
        <v>5</v>
      </c>
      <c r="I661" s="598">
        <v>1</v>
      </c>
      <c r="R661" s="600"/>
      <c r="S661" s="600"/>
      <c r="T661" s="600"/>
      <c r="U661" s="600"/>
      <c r="V661" s="600"/>
      <c r="W661" s="600"/>
      <c r="X661" s="600"/>
    </row>
    <row r="662" spans="1:24" s="263" customFormat="1" ht="9" customHeight="1" x14ac:dyDescent="0.25">
      <c r="A662" s="263" t="s">
        <v>24</v>
      </c>
      <c r="B662" s="598">
        <f t="shared" ref="B662:B692" si="37">SUM(D662:I662)</f>
        <v>167</v>
      </c>
      <c r="C662" s="598"/>
      <c r="D662" s="598">
        <v>77</v>
      </c>
      <c r="E662" s="598">
        <v>53</v>
      </c>
      <c r="F662" s="598">
        <v>14</v>
      </c>
      <c r="G662" s="598">
        <v>14</v>
      </c>
      <c r="H662" s="598">
        <v>7</v>
      </c>
      <c r="I662" s="598">
        <v>2</v>
      </c>
      <c r="R662" s="600"/>
      <c r="S662" s="600"/>
      <c r="T662" s="600"/>
      <c r="U662" s="600"/>
      <c r="V662" s="600"/>
      <c r="W662" s="600"/>
      <c r="X662" s="600"/>
    </row>
    <row r="663" spans="1:24" s="263" customFormat="1" ht="9" customHeight="1" x14ac:dyDescent="0.25">
      <c r="A663" s="263" t="s">
        <v>25</v>
      </c>
      <c r="B663" s="598">
        <f t="shared" si="37"/>
        <v>12</v>
      </c>
      <c r="C663" s="598"/>
      <c r="D663" s="598">
        <v>1</v>
      </c>
      <c r="E663" s="598">
        <v>8</v>
      </c>
      <c r="F663" s="598">
        <v>3</v>
      </c>
      <c r="G663" s="598">
        <v>0</v>
      </c>
      <c r="H663" s="598">
        <v>0</v>
      </c>
      <c r="I663" s="598">
        <v>0</v>
      </c>
      <c r="R663" s="600"/>
      <c r="S663" s="600"/>
      <c r="T663" s="600"/>
      <c r="U663" s="600"/>
      <c r="V663" s="600"/>
      <c r="W663" s="600"/>
      <c r="X663" s="600"/>
    </row>
    <row r="664" spans="1:24" s="263" customFormat="1" ht="9" customHeight="1" x14ac:dyDescent="0.25">
      <c r="A664" s="267" t="s">
        <v>26</v>
      </c>
      <c r="B664" s="599">
        <f t="shared" si="37"/>
        <v>9</v>
      </c>
      <c r="C664" s="599"/>
      <c r="D664" s="599">
        <v>1</v>
      </c>
      <c r="E664" s="599">
        <v>2</v>
      </c>
      <c r="F664" s="599">
        <v>4</v>
      </c>
      <c r="G664" s="599">
        <v>2</v>
      </c>
      <c r="H664" s="599">
        <v>0</v>
      </c>
      <c r="I664" s="599">
        <v>0</v>
      </c>
      <c r="R664" s="600"/>
      <c r="S664" s="600"/>
      <c r="T664" s="600"/>
      <c r="U664" s="600"/>
      <c r="V664" s="600"/>
      <c r="W664" s="600"/>
      <c r="X664" s="600"/>
    </row>
    <row r="665" spans="1:24" s="263" customFormat="1" ht="9" customHeight="1" x14ac:dyDescent="0.25">
      <c r="A665" s="263" t="s">
        <v>27</v>
      </c>
      <c r="B665" s="598">
        <f t="shared" si="37"/>
        <v>34</v>
      </c>
      <c r="C665" s="598"/>
      <c r="D665" s="598">
        <v>4</v>
      </c>
      <c r="E665" s="598">
        <v>8</v>
      </c>
      <c r="F665" s="598">
        <v>7</v>
      </c>
      <c r="G665" s="598">
        <v>5</v>
      </c>
      <c r="H665" s="598">
        <v>6</v>
      </c>
      <c r="I665" s="598">
        <v>4</v>
      </c>
      <c r="R665" s="600"/>
      <c r="S665" s="600"/>
      <c r="T665" s="600"/>
      <c r="U665" s="600"/>
      <c r="V665" s="600"/>
      <c r="W665" s="600"/>
      <c r="X665" s="600"/>
    </row>
    <row r="666" spans="1:24" s="263" customFormat="1" ht="9" customHeight="1" x14ac:dyDescent="0.25">
      <c r="A666" s="263" t="s">
        <v>28</v>
      </c>
      <c r="B666" s="598">
        <f t="shared" si="37"/>
        <v>13</v>
      </c>
      <c r="C666" s="598"/>
      <c r="D666" s="598">
        <v>0</v>
      </c>
      <c r="E666" s="598">
        <v>6</v>
      </c>
      <c r="F666" s="598">
        <v>4</v>
      </c>
      <c r="G666" s="598">
        <v>2</v>
      </c>
      <c r="H666" s="598">
        <v>1</v>
      </c>
      <c r="I666" s="598">
        <v>0</v>
      </c>
      <c r="R666" s="600"/>
      <c r="S666" s="600"/>
      <c r="T666" s="600"/>
      <c r="U666" s="600"/>
      <c r="V666" s="600"/>
      <c r="W666" s="600"/>
      <c r="X666" s="600"/>
    </row>
    <row r="667" spans="1:24" s="263" customFormat="1" ht="9" customHeight="1" x14ac:dyDescent="0.25">
      <c r="A667" s="263" t="s">
        <v>29</v>
      </c>
      <c r="B667" s="598">
        <f t="shared" si="37"/>
        <v>70</v>
      </c>
      <c r="C667" s="598"/>
      <c r="D667" s="598">
        <v>14</v>
      </c>
      <c r="E667" s="598">
        <v>33</v>
      </c>
      <c r="F667" s="598">
        <v>17</v>
      </c>
      <c r="G667" s="598">
        <v>4</v>
      </c>
      <c r="H667" s="598">
        <v>1</v>
      </c>
      <c r="I667" s="598">
        <v>1</v>
      </c>
      <c r="R667" s="600"/>
      <c r="S667" s="600"/>
      <c r="T667" s="600"/>
      <c r="U667" s="600"/>
      <c r="V667" s="600"/>
      <c r="W667" s="600"/>
      <c r="X667" s="600"/>
    </row>
    <row r="668" spans="1:24" s="263" customFormat="1" ht="9" customHeight="1" x14ac:dyDescent="0.25">
      <c r="A668" s="267" t="s">
        <v>30</v>
      </c>
      <c r="B668" s="599">
        <f t="shared" si="37"/>
        <v>74</v>
      </c>
      <c r="C668" s="599"/>
      <c r="D668" s="599">
        <v>13</v>
      </c>
      <c r="E668" s="599">
        <v>30</v>
      </c>
      <c r="F668" s="599">
        <v>16</v>
      </c>
      <c r="G668" s="599">
        <v>4</v>
      </c>
      <c r="H668" s="599">
        <v>5</v>
      </c>
      <c r="I668" s="599">
        <v>6</v>
      </c>
      <c r="R668" s="600"/>
      <c r="S668" s="600"/>
      <c r="T668" s="600"/>
      <c r="U668" s="600"/>
      <c r="V668" s="600"/>
      <c r="W668" s="600"/>
      <c r="X668" s="600"/>
    </row>
    <row r="669" spans="1:24" s="263" customFormat="1" ht="9" customHeight="1" x14ac:dyDescent="0.25">
      <c r="A669" s="263" t="s">
        <v>63</v>
      </c>
      <c r="B669" s="598">
        <f t="shared" si="37"/>
        <v>289</v>
      </c>
      <c r="C669" s="598"/>
      <c r="D669" s="598">
        <v>78</v>
      </c>
      <c r="E669" s="598">
        <v>112</v>
      </c>
      <c r="F669" s="598">
        <v>31</v>
      </c>
      <c r="G669" s="598">
        <v>26</v>
      </c>
      <c r="H669" s="598">
        <v>20</v>
      </c>
      <c r="I669" s="598">
        <v>22</v>
      </c>
      <c r="R669" s="600"/>
      <c r="S669" s="600"/>
      <c r="T669" s="600"/>
      <c r="U669" s="600"/>
      <c r="V669" s="600"/>
      <c r="W669" s="600"/>
      <c r="X669" s="600"/>
    </row>
    <row r="670" spans="1:24" s="263" customFormat="1" ht="9" customHeight="1" x14ac:dyDescent="0.25">
      <c r="A670" s="263" t="s">
        <v>31</v>
      </c>
      <c r="B670" s="598">
        <f t="shared" si="37"/>
        <v>32</v>
      </c>
      <c r="C670" s="598"/>
      <c r="D670" s="598">
        <v>7</v>
      </c>
      <c r="E670" s="598">
        <v>12</v>
      </c>
      <c r="F670" s="598">
        <v>6</v>
      </c>
      <c r="G670" s="598">
        <v>7</v>
      </c>
      <c r="H670" s="598">
        <v>0</v>
      </c>
      <c r="I670" s="598">
        <v>0</v>
      </c>
      <c r="R670" s="600"/>
      <c r="S670" s="600"/>
      <c r="T670" s="600"/>
      <c r="U670" s="600"/>
      <c r="V670" s="600"/>
      <c r="W670" s="600"/>
      <c r="X670" s="600"/>
    </row>
    <row r="671" spans="1:24" s="263" customFormat="1" ht="9" customHeight="1" x14ac:dyDescent="0.25">
      <c r="A671" s="263" t="s">
        <v>32</v>
      </c>
      <c r="B671" s="598">
        <f t="shared" si="37"/>
        <v>229</v>
      </c>
      <c r="C671" s="598"/>
      <c r="D671" s="598">
        <v>47</v>
      </c>
      <c r="E671" s="598">
        <v>91</v>
      </c>
      <c r="F671" s="598">
        <v>62</v>
      </c>
      <c r="G671" s="598">
        <v>12</v>
      </c>
      <c r="H671" s="598">
        <v>12</v>
      </c>
      <c r="I671" s="598">
        <v>5</v>
      </c>
      <c r="R671" s="600"/>
      <c r="S671" s="600"/>
      <c r="T671" s="600"/>
      <c r="U671" s="600"/>
      <c r="V671" s="600"/>
      <c r="W671" s="600"/>
      <c r="X671" s="600"/>
    </row>
    <row r="672" spans="1:24" s="263" customFormat="1" ht="9" customHeight="1" x14ac:dyDescent="0.25">
      <c r="A672" s="267" t="s">
        <v>33</v>
      </c>
      <c r="B672" s="599">
        <f t="shared" si="37"/>
        <v>109</v>
      </c>
      <c r="C672" s="599"/>
      <c r="D672" s="599">
        <v>41</v>
      </c>
      <c r="E672" s="599">
        <v>43</v>
      </c>
      <c r="F672" s="599">
        <v>13</v>
      </c>
      <c r="G672" s="599">
        <v>9</v>
      </c>
      <c r="H672" s="599">
        <v>3</v>
      </c>
      <c r="I672" s="599">
        <v>0</v>
      </c>
      <c r="R672" s="600"/>
      <c r="S672" s="600"/>
      <c r="T672" s="600"/>
      <c r="U672" s="600"/>
      <c r="V672" s="600"/>
      <c r="W672" s="600"/>
      <c r="X672" s="600"/>
    </row>
    <row r="673" spans="1:24" s="263" customFormat="1" ht="9" customHeight="1" x14ac:dyDescent="0.25">
      <c r="A673" s="263" t="s">
        <v>34</v>
      </c>
      <c r="B673" s="598">
        <f t="shared" si="37"/>
        <v>111</v>
      </c>
      <c r="C673" s="598"/>
      <c r="D673" s="598">
        <v>37</v>
      </c>
      <c r="E673" s="598">
        <v>60</v>
      </c>
      <c r="F673" s="598">
        <v>7</v>
      </c>
      <c r="G673" s="598">
        <v>4</v>
      </c>
      <c r="H673" s="598">
        <v>3</v>
      </c>
      <c r="I673" s="598">
        <v>0</v>
      </c>
      <c r="R673" s="600"/>
      <c r="S673" s="600"/>
      <c r="T673" s="600"/>
      <c r="U673" s="600"/>
      <c r="V673" s="600"/>
      <c r="W673" s="600"/>
      <c r="X673" s="600"/>
    </row>
    <row r="674" spans="1:24" s="263" customFormat="1" ht="9" customHeight="1" x14ac:dyDescent="0.25">
      <c r="A674" s="263" t="s">
        <v>35</v>
      </c>
      <c r="B674" s="598">
        <f t="shared" si="37"/>
        <v>214</v>
      </c>
      <c r="C674" s="598"/>
      <c r="D674" s="598">
        <v>48</v>
      </c>
      <c r="E674" s="598">
        <v>71</v>
      </c>
      <c r="F674" s="598">
        <v>41</v>
      </c>
      <c r="G674" s="598">
        <v>29</v>
      </c>
      <c r="H674" s="598">
        <v>16</v>
      </c>
      <c r="I674" s="598">
        <v>9</v>
      </c>
      <c r="R674" s="600"/>
      <c r="S674" s="600"/>
      <c r="T674" s="600"/>
      <c r="U674" s="600"/>
      <c r="V674" s="600"/>
      <c r="W674" s="600"/>
      <c r="X674" s="600"/>
    </row>
    <row r="675" spans="1:24" s="263" customFormat="1" ht="9" customHeight="1" x14ac:dyDescent="0.25">
      <c r="A675" s="263" t="s">
        <v>36</v>
      </c>
      <c r="B675" s="598">
        <f t="shared" si="37"/>
        <v>493</v>
      </c>
      <c r="C675" s="598"/>
      <c r="D675" s="598">
        <v>160</v>
      </c>
      <c r="E675" s="598">
        <v>229</v>
      </c>
      <c r="F675" s="598">
        <v>64</v>
      </c>
      <c r="G675" s="598">
        <v>26</v>
      </c>
      <c r="H675" s="598">
        <v>8</v>
      </c>
      <c r="I675" s="598">
        <v>6</v>
      </c>
      <c r="R675" s="600"/>
      <c r="S675" s="600"/>
      <c r="T675" s="600"/>
      <c r="U675" s="600"/>
      <c r="V675" s="600"/>
      <c r="W675" s="600"/>
      <c r="X675" s="600"/>
    </row>
    <row r="676" spans="1:24" s="263" customFormat="1" ht="9" customHeight="1" x14ac:dyDescent="0.25">
      <c r="A676" s="267" t="s">
        <v>37</v>
      </c>
      <c r="B676" s="599">
        <f t="shared" si="37"/>
        <v>158</v>
      </c>
      <c r="C676" s="599"/>
      <c r="D676" s="599">
        <v>25</v>
      </c>
      <c r="E676" s="599">
        <v>72</v>
      </c>
      <c r="F676" s="599">
        <v>28</v>
      </c>
      <c r="G676" s="599">
        <v>24</v>
      </c>
      <c r="H676" s="599">
        <v>7</v>
      </c>
      <c r="I676" s="599">
        <v>2</v>
      </c>
      <c r="R676" s="600"/>
      <c r="S676" s="600"/>
      <c r="T676" s="600"/>
      <c r="U676" s="600"/>
      <c r="V676" s="600"/>
      <c r="W676" s="600"/>
      <c r="X676" s="600"/>
    </row>
    <row r="677" spans="1:24" s="263" customFormat="1" ht="9" customHeight="1" x14ac:dyDescent="0.25">
      <c r="A677" s="263" t="s">
        <v>38</v>
      </c>
      <c r="B677" s="598">
        <f t="shared" si="37"/>
        <v>65</v>
      </c>
      <c r="C677" s="598"/>
      <c r="D677" s="598">
        <v>27</v>
      </c>
      <c r="E677" s="598">
        <v>23</v>
      </c>
      <c r="F677" s="598">
        <v>11</v>
      </c>
      <c r="G677" s="598">
        <v>3</v>
      </c>
      <c r="H677" s="598">
        <v>1</v>
      </c>
      <c r="I677" s="598">
        <v>0</v>
      </c>
      <c r="R677" s="600"/>
      <c r="S677" s="600"/>
      <c r="T677" s="600"/>
      <c r="U677" s="600"/>
      <c r="V677" s="600"/>
      <c r="W677" s="600"/>
      <c r="X677" s="600"/>
    </row>
    <row r="678" spans="1:24" s="263" customFormat="1" ht="9" customHeight="1" x14ac:dyDescent="0.25">
      <c r="A678" s="263" t="s">
        <v>39</v>
      </c>
      <c r="B678" s="598">
        <f t="shared" si="37"/>
        <v>16</v>
      </c>
      <c r="C678" s="598"/>
      <c r="D678" s="598">
        <v>10</v>
      </c>
      <c r="E678" s="598">
        <v>4</v>
      </c>
      <c r="F678" s="598">
        <v>0</v>
      </c>
      <c r="G678" s="598">
        <v>1</v>
      </c>
      <c r="H678" s="598">
        <v>1</v>
      </c>
      <c r="I678" s="598">
        <v>0</v>
      </c>
      <c r="R678" s="600"/>
      <c r="S678" s="600"/>
      <c r="T678" s="600"/>
      <c r="U678" s="600"/>
      <c r="V678" s="600"/>
      <c r="W678" s="600"/>
      <c r="X678" s="600"/>
    </row>
    <row r="679" spans="1:24" s="263" customFormat="1" ht="9" customHeight="1" x14ac:dyDescent="0.25">
      <c r="A679" s="263" t="s">
        <v>40</v>
      </c>
      <c r="B679" s="598">
        <f t="shared" si="37"/>
        <v>73</v>
      </c>
      <c r="C679" s="598"/>
      <c r="D679" s="598">
        <v>9</v>
      </c>
      <c r="E679" s="598">
        <v>19</v>
      </c>
      <c r="F679" s="598">
        <v>8</v>
      </c>
      <c r="G679" s="598">
        <v>15</v>
      </c>
      <c r="H679" s="598">
        <v>11</v>
      </c>
      <c r="I679" s="598">
        <v>11</v>
      </c>
      <c r="R679" s="600"/>
      <c r="S679" s="600"/>
      <c r="T679" s="600"/>
      <c r="U679" s="600"/>
      <c r="V679" s="600"/>
      <c r="W679" s="600"/>
      <c r="X679" s="600"/>
    </row>
    <row r="680" spans="1:24" s="263" customFormat="1" ht="9" customHeight="1" x14ac:dyDescent="0.25">
      <c r="A680" s="267" t="s">
        <v>41</v>
      </c>
      <c r="B680" s="599">
        <f t="shared" si="37"/>
        <v>113</v>
      </c>
      <c r="C680" s="599"/>
      <c r="D680" s="599">
        <v>40</v>
      </c>
      <c r="E680" s="599">
        <v>46</v>
      </c>
      <c r="F680" s="599">
        <v>21</v>
      </c>
      <c r="G680" s="599">
        <v>6</v>
      </c>
      <c r="H680" s="599">
        <v>0</v>
      </c>
      <c r="I680" s="599">
        <v>0</v>
      </c>
      <c r="R680" s="600"/>
      <c r="S680" s="600"/>
      <c r="T680" s="600"/>
      <c r="U680" s="600"/>
      <c r="V680" s="600"/>
      <c r="W680" s="600"/>
      <c r="X680" s="600"/>
    </row>
    <row r="681" spans="1:24" s="263" customFormat="1" ht="9" customHeight="1" x14ac:dyDescent="0.25">
      <c r="A681" s="263" t="s">
        <v>42</v>
      </c>
      <c r="B681" s="598">
        <f t="shared" si="37"/>
        <v>152</v>
      </c>
      <c r="C681" s="598"/>
      <c r="D681" s="598">
        <v>15</v>
      </c>
      <c r="E681" s="598">
        <v>71</v>
      </c>
      <c r="F681" s="598">
        <v>32</v>
      </c>
      <c r="G681" s="598">
        <v>23</v>
      </c>
      <c r="H681" s="598">
        <v>6</v>
      </c>
      <c r="I681" s="598">
        <v>5</v>
      </c>
      <c r="R681" s="600"/>
      <c r="S681" s="600"/>
      <c r="T681" s="600"/>
      <c r="U681" s="600"/>
      <c r="V681" s="600"/>
      <c r="W681" s="600"/>
      <c r="X681" s="600"/>
    </row>
    <row r="682" spans="1:24" s="263" customFormat="1" ht="9" customHeight="1" x14ac:dyDescent="0.25">
      <c r="A682" s="263" t="s">
        <v>43</v>
      </c>
      <c r="B682" s="598">
        <f t="shared" si="37"/>
        <v>72</v>
      </c>
      <c r="C682" s="598"/>
      <c r="D682" s="598">
        <v>30</v>
      </c>
      <c r="E682" s="598">
        <v>19</v>
      </c>
      <c r="F682" s="598">
        <v>10</v>
      </c>
      <c r="G682" s="598">
        <v>6</v>
      </c>
      <c r="H682" s="598">
        <v>4</v>
      </c>
      <c r="I682" s="598">
        <v>3</v>
      </c>
      <c r="R682" s="600"/>
      <c r="S682" s="600"/>
      <c r="T682" s="600"/>
      <c r="U682" s="600"/>
      <c r="V682" s="600"/>
      <c r="W682" s="600"/>
      <c r="X682" s="600"/>
    </row>
    <row r="683" spans="1:24" s="263" customFormat="1" ht="9" customHeight="1" x14ac:dyDescent="0.25">
      <c r="A683" s="263" t="s">
        <v>44</v>
      </c>
      <c r="B683" s="598">
        <f t="shared" si="37"/>
        <v>40</v>
      </c>
      <c r="C683" s="598"/>
      <c r="D683" s="598">
        <v>14</v>
      </c>
      <c r="E683" s="598">
        <v>16</v>
      </c>
      <c r="F683" s="598">
        <v>5</v>
      </c>
      <c r="G683" s="598">
        <v>4</v>
      </c>
      <c r="H683" s="598">
        <v>1</v>
      </c>
      <c r="I683" s="598">
        <v>0</v>
      </c>
      <c r="R683" s="600"/>
      <c r="S683" s="600"/>
      <c r="T683" s="600"/>
      <c r="U683" s="600"/>
      <c r="V683" s="600"/>
      <c r="W683" s="600"/>
      <c r="X683" s="600"/>
    </row>
    <row r="684" spans="1:24" s="263" customFormat="1" ht="9" customHeight="1" x14ac:dyDescent="0.25">
      <c r="A684" s="267" t="s">
        <v>45</v>
      </c>
      <c r="B684" s="599">
        <f t="shared" si="37"/>
        <v>45</v>
      </c>
      <c r="C684" s="599"/>
      <c r="D684" s="599">
        <v>7</v>
      </c>
      <c r="E684" s="599">
        <v>17</v>
      </c>
      <c r="F684" s="599">
        <v>10</v>
      </c>
      <c r="G684" s="599">
        <v>4</v>
      </c>
      <c r="H684" s="599">
        <v>4</v>
      </c>
      <c r="I684" s="599">
        <v>3</v>
      </c>
      <c r="R684" s="600"/>
      <c r="S684" s="600"/>
      <c r="T684" s="600"/>
      <c r="U684" s="600"/>
      <c r="V684" s="600"/>
      <c r="W684" s="600"/>
      <c r="X684" s="600"/>
    </row>
    <row r="685" spans="1:24" s="263" customFormat="1" ht="9" customHeight="1" x14ac:dyDescent="0.25">
      <c r="A685" s="263" t="s">
        <v>46</v>
      </c>
      <c r="B685" s="598">
        <f t="shared" si="37"/>
        <v>61</v>
      </c>
      <c r="C685" s="598"/>
      <c r="D685" s="598">
        <v>17</v>
      </c>
      <c r="E685" s="598">
        <v>24</v>
      </c>
      <c r="F685" s="598">
        <v>6</v>
      </c>
      <c r="G685" s="598">
        <v>9</v>
      </c>
      <c r="H685" s="598">
        <v>4</v>
      </c>
      <c r="I685" s="598">
        <v>1</v>
      </c>
      <c r="R685" s="600"/>
      <c r="S685" s="600"/>
      <c r="T685" s="600"/>
      <c r="U685" s="600"/>
      <c r="V685" s="600"/>
      <c r="W685" s="600"/>
      <c r="X685" s="600"/>
    </row>
    <row r="686" spans="1:24" s="263" customFormat="1" ht="9" customHeight="1" x14ac:dyDescent="0.25">
      <c r="A686" s="263" t="s">
        <v>47</v>
      </c>
      <c r="B686" s="598">
        <f t="shared" si="37"/>
        <v>48</v>
      </c>
      <c r="C686" s="598"/>
      <c r="D686" s="598">
        <v>8</v>
      </c>
      <c r="E686" s="598">
        <v>22</v>
      </c>
      <c r="F686" s="598">
        <v>8</v>
      </c>
      <c r="G686" s="598">
        <v>3</v>
      </c>
      <c r="H686" s="598">
        <v>4</v>
      </c>
      <c r="I686" s="598">
        <v>3</v>
      </c>
      <c r="R686" s="600"/>
      <c r="S686" s="600"/>
      <c r="T686" s="600"/>
      <c r="U686" s="600"/>
      <c r="V686" s="600"/>
      <c r="W686" s="600"/>
      <c r="X686" s="600"/>
    </row>
    <row r="687" spans="1:24" s="263" customFormat="1" ht="9" customHeight="1" x14ac:dyDescent="0.25">
      <c r="A687" s="263" t="s">
        <v>48</v>
      </c>
      <c r="B687" s="598">
        <f t="shared" si="37"/>
        <v>49</v>
      </c>
      <c r="C687" s="598"/>
      <c r="D687" s="598">
        <v>15</v>
      </c>
      <c r="E687" s="598">
        <v>19</v>
      </c>
      <c r="F687" s="598">
        <v>10</v>
      </c>
      <c r="G687" s="598">
        <v>2</v>
      </c>
      <c r="H687" s="598">
        <v>3</v>
      </c>
      <c r="I687" s="598">
        <v>0</v>
      </c>
      <c r="R687" s="600"/>
      <c r="S687" s="600"/>
      <c r="T687" s="600"/>
      <c r="U687" s="600"/>
      <c r="V687" s="600"/>
      <c r="W687" s="600"/>
      <c r="X687" s="600"/>
    </row>
    <row r="688" spans="1:24" s="263" customFormat="1" ht="9" customHeight="1" x14ac:dyDescent="0.25">
      <c r="A688" s="267" t="s">
        <v>49</v>
      </c>
      <c r="B688" s="599">
        <f t="shared" si="37"/>
        <v>51</v>
      </c>
      <c r="C688" s="599"/>
      <c r="D688" s="599">
        <v>5</v>
      </c>
      <c r="E688" s="599">
        <v>20</v>
      </c>
      <c r="F688" s="599">
        <v>10</v>
      </c>
      <c r="G688" s="599">
        <v>10</v>
      </c>
      <c r="H688" s="599">
        <v>4</v>
      </c>
      <c r="I688" s="599">
        <v>2</v>
      </c>
      <c r="R688" s="600"/>
      <c r="S688" s="600"/>
      <c r="T688" s="600"/>
      <c r="U688" s="600"/>
      <c r="V688" s="600"/>
      <c r="W688" s="600"/>
      <c r="X688" s="600"/>
    </row>
    <row r="689" spans="1:24" s="263" customFormat="1" ht="9" customHeight="1" x14ac:dyDescent="0.25">
      <c r="A689" s="263" t="s">
        <v>50</v>
      </c>
      <c r="B689" s="598">
        <f t="shared" si="37"/>
        <v>43</v>
      </c>
      <c r="C689" s="598"/>
      <c r="D689" s="598">
        <v>16</v>
      </c>
      <c r="E689" s="598">
        <v>21</v>
      </c>
      <c r="F689" s="598">
        <v>4</v>
      </c>
      <c r="G689" s="598">
        <v>2</v>
      </c>
      <c r="H689" s="598">
        <v>0</v>
      </c>
      <c r="I689" s="598">
        <v>0</v>
      </c>
      <c r="R689" s="600"/>
      <c r="S689" s="600"/>
      <c r="T689" s="600"/>
      <c r="U689" s="600"/>
      <c r="V689" s="600"/>
      <c r="W689" s="600"/>
      <c r="X689" s="600"/>
    </row>
    <row r="690" spans="1:24" s="263" customFormat="1" ht="9" customHeight="1" x14ac:dyDescent="0.25">
      <c r="A690" s="263" t="s">
        <v>51</v>
      </c>
      <c r="B690" s="598">
        <f t="shared" si="37"/>
        <v>151</v>
      </c>
      <c r="C690" s="598"/>
      <c r="D690" s="598">
        <v>38</v>
      </c>
      <c r="E690" s="598">
        <v>66</v>
      </c>
      <c r="F690" s="598">
        <v>29</v>
      </c>
      <c r="G690" s="598">
        <v>11</v>
      </c>
      <c r="H690" s="598">
        <v>6</v>
      </c>
      <c r="I690" s="598">
        <v>1</v>
      </c>
      <c r="R690" s="600"/>
      <c r="S690" s="600"/>
      <c r="T690" s="600"/>
      <c r="U690" s="600"/>
      <c r="V690" s="600"/>
      <c r="W690" s="600"/>
      <c r="X690" s="600"/>
    </row>
    <row r="691" spans="1:24" s="263" customFormat="1" ht="9" customHeight="1" x14ac:dyDescent="0.25">
      <c r="A691" s="263" t="s">
        <v>52</v>
      </c>
      <c r="B691" s="598">
        <f t="shared" si="37"/>
        <v>27</v>
      </c>
      <c r="C691" s="598"/>
      <c r="D691" s="598">
        <v>6</v>
      </c>
      <c r="E691" s="598">
        <v>11</v>
      </c>
      <c r="F691" s="598">
        <v>2</v>
      </c>
      <c r="G691" s="598">
        <v>4</v>
      </c>
      <c r="H691" s="598">
        <v>1</v>
      </c>
      <c r="I691" s="598">
        <v>3</v>
      </c>
      <c r="R691" s="600"/>
      <c r="S691" s="600"/>
      <c r="T691" s="600"/>
      <c r="U691" s="600"/>
      <c r="V691" s="600"/>
      <c r="W691" s="600"/>
      <c r="X691" s="600"/>
    </row>
    <row r="692" spans="1:24" s="263" customFormat="1" ht="9" customHeight="1" x14ac:dyDescent="0.25">
      <c r="A692" s="267" t="s">
        <v>53</v>
      </c>
      <c r="B692" s="599">
        <f t="shared" si="37"/>
        <v>32</v>
      </c>
      <c r="C692" s="599"/>
      <c r="D692" s="599">
        <v>8</v>
      </c>
      <c r="E692" s="599">
        <v>11</v>
      </c>
      <c r="F692" s="599">
        <v>8</v>
      </c>
      <c r="G692" s="599">
        <v>1</v>
      </c>
      <c r="H692" s="599">
        <v>3</v>
      </c>
      <c r="I692" s="599">
        <v>1</v>
      </c>
      <c r="R692" s="600"/>
      <c r="S692" s="600"/>
      <c r="T692" s="600"/>
      <c r="U692" s="600"/>
      <c r="V692" s="600"/>
      <c r="W692" s="600"/>
      <c r="X692" s="600"/>
    </row>
    <row r="693" spans="1:24" s="263" customFormat="1" ht="9" customHeight="1" x14ac:dyDescent="0.25">
      <c r="A693" s="286"/>
      <c r="B693" s="613"/>
      <c r="C693" s="613"/>
      <c r="D693" s="286"/>
      <c r="E693" s="286"/>
      <c r="F693" s="286"/>
      <c r="G693" s="286"/>
      <c r="H693" s="286"/>
      <c r="I693" s="286"/>
      <c r="R693" s="600"/>
      <c r="S693" s="600"/>
      <c r="T693" s="600"/>
      <c r="U693" s="600"/>
      <c r="V693" s="600"/>
      <c r="W693" s="600"/>
      <c r="X693" s="600"/>
    </row>
    <row r="694" spans="1:24" s="263" customFormat="1" ht="9" customHeight="1" x14ac:dyDescent="0.25">
      <c r="A694" s="261">
        <v>2014</v>
      </c>
      <c r="B694" s="262"/>
      <c r="E694" s="262"/>
      <c r="F694" s="262"/>
      <c r="G694" s="262"/>
      <c r="H694" s="262"/>
      <c r="I694" s="262"/>
      <c r="R694" s="600"/>
      <c r="S694" s="600"/>
      <c r="T694" s="600"/>
      <c r="U694" s="600"/>
      <c r="V694" s="600"/>
      <c r="W694" s="600"/>
      <c r="X694" s="600"/>
    </row>
    <row r="695" spans="1:24" s="263" customFormat="1" ht="9" customHeight="1" x14ac:dyDescent="0.25">
      <c r="A695" s="265" t="s">
        <v>21</v>
      </c>
      <c r="B695" s="597">
        <f>SUM(B697:B728)</f>
        <v>3014</v>
      </c>
      <c r="C695" s="597"/>
      <c r="D695" s="597">
        <f t="shared" ref="D695:I695" si="38">SUM(D697:D728)</f>
        <v>800</v>
      </c>
      <c r="E695" s="597">
        <f t="shared" si="38"/>
        <v>1218</v>
      </c>
      <c r="F695" s="597">
        <f t="shared" si="38"/>
        <v>483</v>
      </c>
      <c r="G695" s="597">
        <f t="shared" si="38"/>
        <v>273</v>
      </c>
      <c r="H695" s="597">
        <f t="shared" si="38"/>
        <v>147</v>
      </c>
      <c r="I695" s="597">
        <f t="shared" si="38"/>
        <v>93</v>
      </c>
      <c r="J695" s="600"/>
      <c r="R695" s="600"/>
      <c r="S695" s="600"/>
      <c r="T695" s="600"/>
      <c r="U695" s="600"/>
      <c r="V695" s="600"/>
      <c r="W695" s="600"/>
      <c r="X695" s="600"/>
    </row>
    <row r="696" spans="1:24" s="263" customFormat="1" ht="3.95" customHeight="1" x14ac:dyDescent="0.25">
      <c r="A696" s="265"/>
      <c r="B696" s="597"/>
      <c r="C696" s="597"/>
      <c r="D696" s="597"/>
      <c r="E696" s="597"/>
      <c r="F696" s="597"/>
      <c r="G696" s="597"/>
      <c r="H696" s="597"/>
      <c r="I696" s="597"/>
      <c r="J696" s="600"/>
      <c r="R696" s="600"/>
      <c r="S696" s="600"/>
      <c r="T696" s="600"/>
      <c r="U696" s="600"/>
      <c r="V696" s="600"/>
      <c r="W696" s="600"/>
      <c r="X696" s="600"/>
    </row>
    <row r="697" spans="1:24" s="263" customFormat="1" ht="9" customHeight="1" x14ac:dyDescent="0.25">
      <c r="A697" s="263" t="s">
        <v>23</v>
      </c>
      <c r="B697" s="598">
        <f>SUM(D697:I697)</f>
        <v>19</v>
      </c>
      <c r="C697" s="598"/>
      <c r="D697" s="598">
        <v>1</v>
      </c>
      <c r="E697" s="598">
        <v>8</v>
      </c>
      <c r="F697" s="598">
        <v>3</v>
      </c>
      <c r="G697" s="598">
        <v>1</v>
      </c>
      <c r="H697" s="598">
        <v>5</v>
      </c>
      <c r="I697" s="598">
        <v>1</v>
      </c>
      <c r="R697" s="600"/>
      <c r="S697" s="600"/>
      <c r="T697" s="600"/>
      <c r="U697" s="600"/>
      <c r="V697" s="600"/>
      <c r="W697" s="600"/>
      <c r="X697" s="600"/>
    </row>
    <row r="698" spans="1:24" s="263" customFormat="1" ht="9" customHeight="1" x14ac:dyDescent="0.25">
      <c r="A698" s="263" t="s">
        <v>24</v>
      </c>
      <c r="B698" s="598">
        <f t="shared" ref="B698:B728" si="39">SUM(D698:I698)</f>
        <v>161</v>
      </c>
      <c r="C698" s="598"/>
      <c r="D698" s="598">
        <v>72</v>
      </c>
      <c r="E698" s="598">
        <v>52</v>
      </c>
      <c r="F698" s="598">
        <v>15</v>
      </c>
      <c r="G698" s="598">
        <v>14</v>
      </c>
      <c r="H698" s="598">
        <v>7</v>
      </c>
      <c r="I698" s="598">
        <v>1</v>
      </c>
      <c r="R698" s="600"/>
      <c r="S698" s="600"/>
      <c r="T698" s="600"/>
      <c r="U698" s="600"/>
      <c r="V698" s="600"/>
      <c r="W698" s="600"/>
      <c r="X698" s="600"/>
    </row>
    <row r="699" spans="1:24" s="263" customFormat="1" ht="9" customHeight="1" x14ac:dyDescent="0.25">
      <c r="A699" s="263" t="s">
        <v>25</v>
      </c>
      <c r="B699" s="598">
        <f t="shared" si="39"/>
        <v>12</v>
      </c>
      <c r="C699" s="598"/>
      <c r="D699" s="598">
        <v>0</v>
      </c>
      <c r="E699" s="598">
        <v>9</v>
      </c>
      <c r="F699" s="598">
        <v>3</v>
      </c>
      <c r="G699" s="598">
        <v>0</v>
      </c>
      <c r="H699" s="598">
        <v>0</v>
      </c>
      <c r="I699" s="598">
        <v>0</v>
      </c>
      <c r="R699" s="600"/>
      <c r="S699" s="600"/>
      <c r="T699" s="600"/>
      <c r="U699" s="600"/>
      <c r="V699" s="600"/>
      <c r="W699" s="600"/>
      <c r="X699" s="600"/>
    </row>
    <row r="700" spans="1:24" s="263" customFormat="1" ht="9" customHeight="1" x14ac:dyDescent="0.25">
      <c r="A700" s="267" t="s">
        <v>26</v>
      </c>
      <c r="B700" s="599">
        <f t="shared" si="39"/>
        <v>9</v>
      </c>
      <c r="C700" s="599"/>
      <c r="D700" s="599">
        <v>1</v>
      </c>
      <c r="E700" s="599">
        <v>3</v>
      </c>
      <c r="F700" s="599">
        <v>3</v>
      </c>
      <c r="G700" s="599">
        <v>2</v>
      </c>
      <c r="H700" s="599">
        <v>0</v>
      </c>
      <c r="I700" s="599">
        <v>0</v>
      </c>
      <c r="R700" s="600"/>
      <c r="S700" s="600"/>
      <c r="T700" s="600"/>
      <c r="U700" s="600"/>
      <c r="V700" s="600"/>
      <c r="W700" s="600"/>
      <c r="X700" s="600"/>
    </row>
    <row r="701" spans="1:24" s="263" customFormat="1" ht="9" customHeight="1" x14ac:dyDescent="0.25">
      <c r="A701" s="263" t="s">
        <v>27</v>
      </c>
      <c r="B701" s="598">
        <f t="shared" si="39"/>
        <v>34</v>
      </c>
      <c r="C701" s="598"/>
      <c r="D701" s="598">
        <v>3</v>
      </c>
      <c r="E701" s="598">
        <v>10</v>
      </c>
      <c r="F701" s="598">
        <v>6</v>
      </c>
      <c r="G701" s="598">
        <v>4</v>
      </c>
      <c r="H701" s="598">
        <v>8</v>
      </c>
      <c r="I701" s="598">
        <v>3</v>
      </c>
      <c r="R701" s="600"/>
      <c r="S701" s="600"/>
      <c r="T701" s="600"/>
      <c r="U701" s="600"/>
      <c r="V701" s="600"/>
      <c r="W701" s="600"/>
      <c r="X701" s="600"/>
    </row>
    <row r="702" spans="1:24" s="263" customFormat="1" ht="9" customHeight="1" x14ac:dyDescent="0.25">
      <c r="A702" s="263" t="s">
        <v>28</v>
      </c>
      <c r="B702" s="598">
        <f t="shared" si="39"/>
        <v>13</v>
      </c>
      <c r="C702" s="598"/>
      <c r="D702" s="598">
        <v>0</v>
      </c>
      <c r="E702" s="598">
        <v>6</v>
      </c>
      <c r="F702" s="598">
        <v>4</v>
      </c>
      <c r="G702" s="598">
        <v>2</v>
      </c>
      <c r="H702" s="598">
        <v>1</v>
      </c>
      <c r="I702" s="598">
        <v>0</v>
      </c>
      <c r="R702" s="600"/>
      <c r="S702" s="600"/>
      <c r="T702" s="600"/>
      <c r="U702" s="600"/>
      <c r="V702" s="600"/>
      <c r="W702" s="600"/>
      <c r="X702" s="600"/>
    </row>
    <row r="703" spans="1:24" s="263" customFormat="1" ht="9" customHeight="1" x14ac:dyDescent="0.25">
      <c r="A703" s="263" t="s">
        <v>29</v>
      </c>
      <c r="B703" s="598">
        <f t="shared" si="39"/>
        <v>70</v>
      </c>
      <c r="C703" s="598"/>
      <c r="D703" s="598">
        <v>17</v>
      </c>
      <c r="E703" s="598">
        <v>31</v>
      </c>
      <c r="F703" s="598">
        <v>15</v>
      </c>
      <c r="G703" s="598">
        <v>5</v>
      </c>
      <c r="H703" s="598">
        <v>1</v>
      </c>
      <c r="I703" s="598">
        <v>1</v>
      </c>
      <c r="R703" s="600"/>
      <c r="S703" s="600"/>
      <c r="T703" s="600"/>
      <c r="U703" s="600"/>
      <c r="V703" s="600"/>
      <c r="W703" s="600"/>
      <c r="X703" s="600"/>
    </row>
    <row r="704" spans="1:24" s="263" customFormat="1" ht="9" customHeight="1" x14ac:dyDescent="0.25">
      <c r="A704" s="267" t="s">
        <v>30</v>
      </c>
      <c r="B704" s="599">
        <f t="shared" si="39"/>
        <v>73</v>
      </c>
      <c r="C704" s="599"/>
      <c r="D704" s="599">
        <v>16</v>
      </c>
      <c r="E704" s="599">
        <v>28</v>
      </c>
      <c r="F704" s="599">
        <v>15</v>
      </c>
      <c r="G704" s="599">
        <v>4</v>
      </c>
      <c r="H704" s="599">
        <v>5</v>
      </c>
      <c r="I704" s="599">
        <v>5</v>
      </c>
      <c r="R704" s="600"/>
      <c r="S704" s="600"/>
      <c r="T704" s="600"/>
      <c r="U704" s="600"/>
      <c r="V704" s="600"/>
      <c r="W704" s="600"/>
      <c r="X704" s="600"/>
    </row>
    <row r="705" spans="1:24" s="263" customFormat="1" ht="9" customHeight="1" x14ac:dyDescent="0.25">
      <c r="A705" s="263" t="s">
        <v>63</v>
      </c>
      <c r="B705" s="598">
        <f t="shared" si="39"/>
        <v>282</v>
      </c>
      <c r="C705" s="598"/>
      <c r="D705" s="598">
        <v>76</v>
      </c>
      <c r="E705" s="598">
        <v>107</v>
      </c>
      <c r="F705" s="598">
        <v>29</v>
      </c>
      <c r="G705" s="598">
        <v>26</v>
      </c>
      <c r="H705" s="598">
        <v>21</v>
      </c>
      <c r="I705" s="598">
        <v>23</v>
      </c>
      <c r="R705" s="600"/>
      <c r="S705" s="600"/>
      <c r="T705" s="600"/>
      <c r="U705" s="600"/>
      <c r="V705" s="600"/>
      <c r="W705" s="600"/>
      <c r="X705" s="600"/>
    </row>
    <row r="706" spans="1:24" s="263" customFormat="1" ht="9" customHeight="1" x14ac:dyDescent="0.25">
      <c r="A706" s="263" t="s">
        <v>31</v>
      </c>
      <c r="B706" s="598">
        <f t="shared" si="39"/>
        <v>33</v>
      </c>
      <c r="C706" s="598"/>
      <c r="D706" s="598">
        <v>6</v>
      </c>
      <c r="E706" s="598">
        <v>13</v>
      </c>
      <c r="F706" s="598">
        <v>8</v>
      </c>
      <c r="G706" s="598">
        <v>6</v>
      </c>
      <c r="H706" s="598">
        <v>0</v>
      </c>
      <c r="I706" s="598">
        <v>0</v>
      </c>
      <c r="R706" s="600"/>
      <c r="S706" s="600"/>
      <c r="T706" s="600"/>
      <c r="U706" s="600"/>
      <c r="V706" s="600"/>
      <c r="W706" s="600"/>
      <c r="X706" s="600"/>
    </row>
    <row r="707" spans="1:24" s="263" customFormat="1" ht="9" customHeight="1" x14ac:dyDescent="0.25">
      <c r="A707" s="263" t="s">
        <v>32</v>
      </c>
      <c r="B707" s="598">
        <f t="shared" si="39"/>
        <v>223</v>
      </c>
      <c r="C707" s="598"/>
      <c r="D707" s="598">
        <v>43</v>
      </c>
      <c r="E707" s="598">
        <v>97</v>
      </c>
      <c r="F707" s="598">
        <v>56</v>
      </c>
      <c r="G707" s="598">
        <v>13</v>
      </c>
      <c r="H707" s="598">
        <v>10</v>
      </c>
      <c r="I707" s="598">
        <v>4</v>
      </c>
      <c r="R707" s="600"/>
      <c r="S707" s="600"/>
      <c r="T707" s="600"/>
      <c r="U707" s="600"/>
      <c r="V707" s="600"/>
      <c r="W707" s="600"/>
      <c r="X707" s="600"/>
    </row>
    <row r="708" spans="1:24" s="263" customFormat="1" ht="9" customHeight="1" x14ac:dyDescent="0.25">
      <c r="A708" s="267" t="s">
        <v>33</v>
      </c>
      <c r="B708" s="599">
        <f t="shared" si="39"/>
        <v>106</v>
      </c>
      <c r="C708" s="599"/>
      <c r="D708" s="599">
        <v>39</v>
      </c>
      <c r="E708" s="599">
        <v>42</v>
      </c>
      <c r="F708" s="599">
        <v>14</v>
      </c>
      <c r="G708" s="599">
        <v>8</v>
      </c>
      <c r="H708" s="599">
        <v>3</v>
      </c>
      <c r="I708" s="599">
        <v>0</v>
      </c>
      <c r="R708" s="600"/>
      <c r="S708" s="600"/>
      <c r="T708" s="600"/>
      <c r="U708" s="600"/>
      <c r="V708" s="600"/>
      <c r="W708" s="600"/>
      <c r="X708" s="600"/>
    </row>
    <row r="709" spans="1:24" s="263" customFormat="1" ht="9" customHeight="1" x14ac:dyDescent="0.25">
      <c r="A709" s="263" t="s">
        <v>34</v>
      </c>
      <c r="B709" s="598">
        <f t="shared" si="39"/>
        <v>122</v>
      </c>
      <c r="C709" s="598"/>
      <c r="D709" s="598">
        <v>43</v>
      </c>
      <c r="E709" s="598">
        <v>59</v>
      </c>
      <c r="F709" s="598">
        <v>11</v>
      </c>
      <c r="G709" s="598">
        <v>5</v>
      </c>
      <c r="H709" s="598">
        <v>3</v>
      </c>
      <c r="I709" s="598">
        <v>1</v>
      </c>
      <c r="R709" s="600"/>
      <c r="S709" s="600"/>
      <c r="T709" s="600"/>
      <c r="U709" s="600"/>
      <c r="V709" s="600"/>
      <c r="W709" s="600"/>
      <c r="X709" s="600"/>
    </row>
    <row r="710" spans="1:24" s="263" customFormat="1" ht="9" customHeight="1" x14ac:dyDescent="0.25">
      <c r="A710" s="263" t="s">
        <v>35</v>
      </c>
      <c r="B710" s="598">
        <f t="shared" si="39"/>
        <v>210</v>
      </c>
      <c r="C710" s="598"/>
      <c r="D710" s="598">
        <v>43</v>
      </c>
      <c r="E710" s="598">
        <v>71</v>
      </c>
      <c r="F710" s="598">
        <v>41</v>
      </c>
      <c r="G710" s="598">
        <v>30</v>
      </c>
      <c r="H710" s="598">
        <v>15</v>
      </c>
      <c r="I710" s="598">
        <v>10</v>
      </c>
      <c r="R710" s="600"/>
      <c r="S710" s="600"/>
      <c r="T710" s="600"/>
      <c r="U710" s="600"/>
      <c r="V710" s="600"/>
      <c r="W710" s="600"/>
      <c r="X710" s="600"/>
    </row>
    <row r="711" spans="1:24" s="263" customFormat="1" ht="9" customHeight="1" x14ac:dyDescent="0.25">
      <c r="A711" s="263" t="s">
        <v>36</v>
      </c>
      <c r="B711" s="598">
        <f t="shared" si="39"/>
        <v>474</v>
      </c>
      <c r="C711" s="598"/>
      <c r="D711" s="598">
        <v>159</v>
      </c>
      <c r="E711" s="598">
        <v>217</v>
      </c>
      <c r="F711" s="598">
        <v>62</v>
      </c>
      <c r="G711" s="598">
        <v>21</v>
      </c>
      <c r="H711" s="598">
        <v>9</v>
      </c>
      <c r="I711" s="598">
        <v>6</v>
      </c>
      <c r="R711" s="600"/>
      <c r="S711" s="600"/>
      <c r="T711" s="600"/>
      <c r="U711" s="600"/>
      <c r="V711" s="600"/>
      <c r="W711" s="600"/>
      <c r="X711" s="600"/>
    </row>
    <row r="712" spans="1:24" s="263" customFormat="1" ht="9" customHeight="1" x14ac:dyDescent="0.25">
      <c r="A712" s="267" t="s">
        <v>37</v>
      </c>
      <c r="B712" s="599">
        <f t="shared" si="39"/>
        <v>152</v>
      </c>
      <c r="C712" s="599"/>
      <c r="D712" s="599">
        <v>24</v>
      </c>
      <c r="E712" s="599">
        <v>66</v>
      </c>
      <c r="F712" s="599">
        <v>28</v>
      </c>
      <c r="G712" s="599">
        <v>23</v>
      </c>
      <c r="H712" s="599">
        <v>9</v>
      </c>
      <c r="I712" s="599">
        <v>2</v>
      </c>
      <c r="R712" s="600"/>
      <c r="S712" s="600"/>
      <c r="T712" s="600"/>
      <c r="U712" s="600"/>
      <c r="V712" s="600"/>
      <c r="W712" s="600"/>
      <c r="X712" s="600"/>
    </row>
    <row r="713" spans="1:24" s="263" customFormat="1" ht="9" customHeight="1" x14ac:dyDescent="0.25">
      <c r="A713" s="263" t="s">
        <v>38</v>
      </c>
      <c r="B713" s="598">
        <f t="shared" si="39"/>
        <v>65</v>
      </c>
      <c r="C713" s="598"/>
      <c r="D713" s="598">
        <v>27</v>
      </c>
      <c r="E713" s="598">
        <v>24</v>
      </c>
      <c r="F713" s="598">
        <v>9</v>
      </c>
      <c r="G713" s="598">
        <v>4</v>
      </c>
      <c r="H713" s="598">
        <v>1</v>
      </c>
      <c r="I713" s="598">
        <v>0</v>
      </c>
      <c r="R713" s="600"/>
      <c r="S713" s="600"/>
      <c r="T713" s="600"/>
      <c r="U713" s="600"/>
      <c r="V713" s="600"/>
      <c r="W713" s="600"/>
      <c r="X713" s="600"/>
    </row>
    <row r="714" spans="1:24" s="263" customFormat="1" ht="9" customHeight="1" x14ac:dyDescent="0.25">
      <c r="A714" s="263" t="s">
        <v>39</v>
      </c>
      <c r="B714" s="598">
        <f t="shared" si="39"/>
        <v>15</v>
      </c>
      <c r="C714" s="598"/>
      <c r="D714" s="598">
        <v>9</v>
      </c>
      <c r="E714" s="598">
        <v>4</v>
      </c>
      <c r="F714" s="598">
        <v>0</v>
      </c>
      <c r="G714" s="598">
        <v>1</v>
      </c>
      <c r="H714" s="598">
        <v>1</v>
      </c>
      <c r="I714" s="598">
        <v>0</v>
      </c>
      <c r="R714" s="600"/>
      <c r="S714" s="600"/>
      <c r="T714" s="600"/>
      <c r="U714" s="600"/>
      <c r="V714" s="600"/>
      <c r="W714" s="600"/>
      <c r="X714" s="600"/>
    </row>
    <row r="715" spans="1:24" s="263" customFormat="1" ht="9" customHeight="1" x14ac:dyDescent="0.25">
      <c r="A715" s="263" t="s">
        <v>40</v>
      </c>
      <c r="B715" s="598">
        <f t="shared" si="39"/>
        <v>73</v>
      </c>
      <c r="C715" s="598"/>
      <c r="D715" s="598">
        <v>9</v>
      </c>
      <c r="E715" s="598">
        <v>18</v>
      </c>
      <c r="F715" s="598">
        <v>8</v>
      </c>
      <c r="G715" s="598">
        <v>16</v>
      </c>
      <c r="H715" s="598">
        <v>10</v>
      </c>
      <c r="I715" s="598">
        <v>12</v>
      </c>
      <c r="R715" s="600"/>
      <c r="S715" s="600"/>
      <c r="T715" s="600"/>
      <c r="U715" s="600"/>
      <c r="V715" s="600"/>
      <c r="W715" s="600"/>
      <c r="X715" s="600"/>
    </row>
    <row r="716" spans="1:24" s="263" customFormat="1" ht="9" customHeight="1" x14ac:dyDescent="0.25">
      <c r="A716" s="267" t="s">
        <v>41</v>
      </c>
      <c r="B716" s="599">
        <f t="shared" si="39"/>
        <v>116</v>
      </c>
      <c r="C716" s="599"/>
      <c r="D716" s="599">
        <v>37</v>
      </c>
      <c r="E716" s="599">
        <v>52</v>
      </c>
      <c r="F716" s="599">
        <v>22</v>
      </c>
      <c r="G716" s="599">
        <v>5</v>
      </c>
      <c r="H716" s="599">
        <v>0</v>
      </c>
      <c r="I716" s="599">
        <v>0</v>
      </c>
      <c r="R716" s="600"/>
      <c r="S716" s="600"/>
      <c r="T716" s="600"/>
      <c r="U716" s="600"/>
      <c r="V716" s="600"/>
      <c r="W716" s="600"/>
      <c r="X716" s="600"/>
    </row>
    <row r="717" spans="1:24" s="263" customFormat="1" ht="9" customHeight="1" x14ac:dyDescent="0.25">
      <c r="A717" s="263" t="s">
        <v>42</v>
      </c>
      <c r="B717" s="598">
        <f t="shared" si="39"/>
        <v>150</v>
      </c>
      <c r="C717" s="598"/>
      <c r="D717" s="598">
        <v>16</v>
      </c>
      <c r="E717" s="598">
        <v>69</v>
      </c>
      <c r="F717" s="598">
        <v>31</v>
      </c>
      <c r="G717" s="598">
        <v>24</v>
      </c>
      <c r="H717" s="598">
        <v>4</v>
      </c>
      <c r="I717" s="598">
        <v>6</v>
      </c>
      <c r="R717" s="600"/>
      <c r="S717" s="600"/>
      <c r="T717" s="600"/>
      <c r="U717" s="600"/>
      <c r="V717" s="600"/>
      <c r="W717" s="600"/>
      <c r="X717" s="600"/>
    </row>
    <row r="718" spans="1:24" s="263" customFormat="1" ht="9" customHeight="1" x14ac:dyDescent="0.25">
      <c r="A718" s="263" t="s">
        <v>43</v>
      </c>
      <c r="B718" s="598">
        <f t="shared" si="39"/>
        <v>69</v>
      </c>
      <c r="C718" s="598"/>
      <c r="D718" s="598">
        <v>27</v>
      </c>
      <c r="E718" s="598">
        <v>20</v>
      </c>
      <c r="F718" s="598">
        <v>10</v>
      </c>
      <c r="G718" s="598">
        <v>6</v>
      </c>
      <c r="H718" s="598">
        <v>3</v>
      </c>
      <c r="I718" s="598">
        <v>3</v>
      </c>
      <c r="R718" s="600"/>
      <c r="S718" s="600"/>
      <c r="T718" s="600"/>
      <c r="U718" s="600"/>
      <c r="V718" s="600"/>
      <c r="W718" s="600"/>
      <c r="X718" s="600"/>
    </row>
    <row r="719" spans="1:24" s="263" customFormat="1" ht="9" customHeight="1" x14ac:dyDescent="0.25">
      <c r="A719" s="263" t="s">
        <v>44</v>
      </c>
      <c r="B719" s="598">
        <f t="shared" si="39"/>
        <v>39</v>
      </c>
      <c r="C719" s="598"/>
      <c r="D719" s="598">
        <v>13</v>
      </c>
      <c r="E719" s="598">
        <v>15</v>
      </c>
      <c r="F719" s="598">
        <v>6</v>
      </c>
      <c r="G719" s="598">
        <v>4</v>
      </c>
      <c r="H719" s="598">
        <v>1</v>
      </c>
      <c r="I719" s="598">
        <v>0</v>
      </c>
      <c r="R719" s="600"/>
      <c r="S719" s="600"/>
      <c r="T719" s="600"/>
      <c r="U719" s="600"/>
      <c r="V719" s="600"/>
      <c r="W719" s="600"/>
      <c r="X719" s="600"/>
    </row>
    <row r="720" spans="1:24" s="263" customFormat="1" ht="9" customHeight="1" x14ac:dyDescent="0.25">
      <c r="A720" s="267" t="s">
        <v>45</v>
      </c>
      <c r="B720" s="599">
        <f t="shared" si="39"/>
        <v>42</v>
      </c>
      <c r="C720" s="599"/>
      <c r="D720" s="599">
        <v>7</v>
      </c>
      <c r="E720" s="599">
        <v>14</v>
      </c>
      <c r="F720" s="599">
        <v>10</v>
      </c>
      <c r="G720" s="599">
        <v>4</v>
      </c>
      <c r="H720" s="599">
        <v>4</v>
      </c>
      <c r="I720" s="599">
        <v>3</v>
      </c>
      <c r="R720" s="600"/>
      <c r="S720" s="600"/>
      <c r="T720" s="600"/>
      <c r="U720" s="600"/>
      <c r="V720" s="600"/>
      <c r="W720" s="600"/>
      <c r="X720" s="600"/>
    </row>
    <row r="721" spans="1:24" s="263" customFormat="1" ht="9" customHeight="1" x14ac:dyDescent="0.25">
      <c r="A721" s="263" t="s">
        <v>46</v>
      </c>
      <c r="B721" s="598">
        <f t="shared" si="39"/>
        <v>61</v>
      </c>
      <c r="C721" s="598"/>
      <c r="D721" s="598">
        <v>18</v>
      </c>
      <c r="E721" s="598">
        <v>23</v>
      </c>
      <c r="F721" s="598">
        <v>6</v>
      </c>
      <c r="G721" s="598">
        <v>9</v>
      </c>
      <c r="H721" s="598">
        <v>4</v>
      </c>
      <c r="I721" s="598">
        <v>1</v>
      </c>
      <c r="R721" s="600"/>
      <c r="S721" s="600"/>
      <c r="T721" s="600"/>
      <c r="U721" s="600"/>
      <c r="V721" s="600"/>
      <c r="W721" s="600"/>
      <c r="X721" s="600"/>
    </row>
    <row r="722" spans="1:24" s="263" customFormat="1" ht="9" customHeight="1" x14ac:dyDescent="0.25">
      <c r="A722" s="263" t="s">
        <v>47</v>
      </c>
      <c r="B722" s="598">
        <f t="shared" si="39"/>
        <v>47</v>
      </c>
      <c r="C722" s="598"/>
      <c r="D722" s="598">
        <v>7</v>
      </c>
      <c r="E722" s="598">
        <v>20</v>
      </c>
      <c r="F722" s="598">
        <v>8</v>
      </c>
      <c r="G722" s="598">
        <v>5</v>
      </c>
      <c r="H722" s="598">
        <v>4</v>
      </c>
      <c r="I722" s="598">
        <v>3</v>
      </c>
      <c r="R722" s="600"/>
      <c r="S722" s="600"/>
      <c r="T722" s="600"/>
      <c r="U722" s="600"/>
      <c r="V722" s="600"/>
      <c r="W722" s="600"/>
      <c r="X722" s="600"/>
    </row>
    <row r="723" spans="1:24" s="263" customFormat="1" ht="9" customHeight="1" x14ac:dyDescent="0.25">
      <c r="A723" s="263" t="s">
        <v>48</v>
      </c>
      <c r="B723" s="598">
        <f t="shared" si="39"/>
        <v>49</v>
      </c>
      <c r="C723" s="598"/>
      <c r="D723" s="598">
        <v>17</v>
      </c>
      <c r="E723" s="598">
        <v>17</v>
      </c>
      <c r="F723" s="598">
        <v>11</v>
      </c>
      <c r="G723" s="598">
        <v>2</v>
      </c>
      <c r="H723" s="598">
        <v>2</v>
      </c>
      <c r="I723" s="598">
        <v>0</v>
      </c>
      <c r="R723" s="600"/>
      <c r="S723" s="600"/>
      <c r="T723" s="600"/>
      <c r="U723" s="600"/>
      <c r="V723" s="600"/>
      <c r="W723" s="600"/>
      <c r="X723" s="600"/>
    </row>
    <row r="724" spans="1:24" s="263" customFormat="1" ht="9" customHeight="1" x14ac:dyDescent="0.25">
      <c r="A724" s="267" t="s">
        <v>49</v>
      </c>
      <c r="B724" s="599">
        <f t="shared" si="39"/>
        <v>51</v>
      </c>
      <c r="C724" s="599"/>
      <c r="D724" s="599">
        <v>7</v>
      </c>
      <c r="E724" s="599">
        <v>16</v>
      </c>
      <c r="F724" s="599">
        <v>10</v>
      </c>
      <c r="G724" s="599">
        <v>10</v>
      </c>
      <c r="H724" s="599">
        <v>6</v>
      </c>
      <c r="I724" s="599">
        <v>2</v>
      </c>
      <c r="R724" s="600"/>
      <c r="S724" s="600"/>
      <c r="T724" s="600"/>
      <c r="U724" s="600"/>
      <c r="V724" s="600"/>
      <c r="W724" s="600"/>
      <c r="X724" s="600"/>
    </row>
    <row r="725" spans="1:24" s="263" customFormat="1" ht="9" customHeight="1" x14ac:dyDescent="0.25">
      <c r="A725" s="263" t="s">
        <v>50</v>
      </c>
      <c r="B725" s="598">
        <f t="shared" si="39"/>
        <v>41</v>
      </c>
      <c r="C725" s="598"/>
      <c r="D725" s="598">
        <v>12</v>
      </c>
      <c r="E725" s="598">
        <v>23</v>
      </c>
      <c r="F725" s="598">
        <v>5</v>
      </c>
      <c r="G725" s="598">
        <v>1</v>
      </c>
      <c r="H725" s="598">
        <v>0</v>
      </c>
      <c r="I725" s="598">
        <v>0</v>
      </c>
      <c r="R725" s="600"/>
      <c r="S725" s="600"/>
      <c r="T725" s="600"/>
      <c r="U725" s="600"/>
      <c r="V725" s="600"/>
      <c r="W725" s="600"/>
      <c r="X725" s="600"/>
    </row>
    <row r="726" spans="1:24" s="263" customFormat="1" ht="9" customHeight="1" x14ac:dyDescent="0.25">
      <c r="A726" s="263" t="s">
        <v>51</v>
      </c>
      <c r="B726" s="598">
        <f t="shared" si="39"/>
        <v>144</v>
      </c>
      <c r="C726" s="598"/>
      <c r="D726" s="598">
        <v>37</v>
      </c>
      <c r="E726" s="598">
        <v>62</v>
      </c>
      <c r="F726" s="598">
        <v>25</v>
      </c>
      <c r="G726" s="598">
        <v>12</v>
      </c>
      <c r="H726" s="598">
        <v>6</v>
      </c>
      <c r="I726" s="598">
        <v>2</v>
      </c>
      <c r="R726" s="600"/>
      <c r="S726" s="600"/>
      <c r="T726" s="600"/>
      <c r="U726" s="600"/>
      <c r="V726" s="600"/>
      <c r="W726" s="600"/>
      <c r="X726" s="600"/>
    </row>
    <row r="727" spans="1:24" s="263" customFormat="1" ht="9" customHeight="1" x14ac:dyDescent="0.25">
      <c r="A727" s="263" t="s">
        <v>52</v>
      </c>
      <c r="B727" s="598">
        <f t="shared" si="39"/>
        <v>27</v>
      </c>
      <c r="C727" s="598"/>
      <c r="D727" s="598">
        <v>7</v>
      </c>
      <c r="E727" s="598">
        <v>10</v>
      </c>
      <c r="F727" s="598">
        <v>2</v>
      </c>
      <c r="G727" s="598">
        <v>4</v>
      </c>
      <c r="H727" s="598">
        <v>1</v>
      </c>
      <c r="I727" s="598">
        <v>3</v>
      </c>
      <c r="R727" s="600"/>
      <c r="S727" s="600"/>
      <c r="T727" s="600"/>
      <c r="U727" s="600"/>
      <c r="V727" s="600"/>
      <c r="W727" s="600"/>
      <c r="X727" s="600"/>
    </row>
    <row r="728" spans="1:24" s="263" customFormat="1" ht="9" customHeight="1" x14ac:dyDescent="0.25">
      <c r="A728" s="267" t="s">
        <v>53</v>
      </c>
      <c r="B728" s="599">
        <f t="shared" si="39"/>
        <v>32</v>
      </c>
      <c r="C728" s="599"/>
      <c r="D728" s="599">
        <v>7</v>
      </c>
      <c r="E728" s="599">
        <v>12</v>
      </c>
      <c r="F728" s="599">
        <v>7</v>
      </c>
      <c r="G728" s="599">
        <v>2</v>
      </c>
      <c r="H728" s="599">
        <v>3</v>
      </c>
      <c r="I728" s="599">
        <v>1</v>
      </c>
      <c r="R728" s="600"/>
      <c r="S728" s="600"/>
      <c r="T728" s="600"/>
      <c r="U728" s="600"/>
      <c r="V728" s="600"/>
      <c r="W728" s="600"/>
      <c r="X728" s="600"/>
    </row>
    <row r="729" spans="1:24" s="263" customFormat="1" ht="9" customHeight="1" x14ac:dyDescent="0.25">
      <c r="A729" s="286"/>
      <c r="B729" s="613"/>
      <c r="C729" s="613"/>
      <c r="D729" s="286"/>
      <c r="E729" s="286"/>
      <c r="F729" s="286"/>
      <c r="G729" s="286"/>
      <c r="H729" s="286"/>
      <c r="I729" s="286"/>
    </row>
    <row r="730" spans="1:24" s="263" customFormat="1" ht="9" customHeight="1" x14ac:dyDescent="0.25">
      <c r="A730" s="261">
        <v>2015</v>
      </c>
      <c r="B730" s="262"/>
      <c r="E730" s="262"/>
      <c r="F730" s="262"/>
      <c r="G730" s="262"/>
      <c r="H730" s="262"/>
      <c r="I730" s="262"/>
    </row>
    <row r="731" spans="1:24" s="263" customFormat="1" ht="9" customHeight="1" x14ac:dyDescent="0.25">
      <c r="A731" s="265" t="s">
        <v>21</v>
      </c>
      <c r="B731" s="597">
        <f>SUM(B733:B764)</f>
        <v>2960</v>
      </c>
      <c r="C731" s="597"/>
      <c r="D731" s="597">
        <f t="shared" ref="D731:I731" si="40">SUM(D733:D764)</f>
        <v>780</v>
      </c>
      <c r="E731" s="597">
        <f t="shared" si="40"/>
        <v>1203</v>
      </c>
      <c r="F731" s="597">
        <f t="shared" si="40"/>
        <v>454</v>
      </c>
      <c r="G731" s="597">
        <f t="shared" si="40"/>
        <v>280</v>
      </c>
      <c r="H731" s="597">
        <f t="shared" si="40"/>
        <v>149</v>
      </c>
      <c r="I731" s="597">
        <f t="shared" si="40"/>
        <v>94</v>
      </c>
      <c r="J731" s="600"/>
      <c r="K731" s="606"/>
    </row>
    <row r="732" spans="1:24" s="263" customFormat="1" ht="3.95" customHeight="1" x14ac:dyDescent="0.25">
      <c r="A732" s="265"/>
      <c r="B732" s="597"/>
      <c r="C732" s="597"/>
      <c r="D732" s="597"/>
      <c r="E732" s="597"/>
      <c r="F732" s="597"/>
      <c r="G732" s="597"/>
      <c r="H732" s="597"/>
      <c r="I732" s="597"/>
      <c r="J732" s="600"/>
    </row>
    <row r="733" spans="1:24" s="263" customFormat="1" ht="9" customHeight="1" x14ac:dyDescent="0.25">
      <c r="A733" s="263" t="s">
        <v>23</v>
      </c>
      <c r="B733" s="598">
        <f>SUM(D733:I733)</f>
        <v>19</v>
      </c>
      <c r="C733" s="598"/>
      <c r="D733" s="598">
        <v>1</v>
      </c>
      <c r="E733" s="598">
        <v>8</v>
      </c>
      <c r="F733" s="598">
        <v>3</v>
      </c>
      <c r="G733" s="598">
        <v>2</v>
      </c>
      <c r="H733" s="598">
        <v>5</v>
      </c>
      <c r="I733" s="598">
        <v>0</v>
      </c>
    </row>
    <row r="734" spans="1:24" s="263" customFormat="1" ht="9" customHeight="1" x14ac:dyDescent="0.25">
      <c r="A734" s="263" t="s">
        <v>24</v>
      </c>
      <c r="B734" s="598">
        <f t="shared" ref="B734:B764" si="41">SUM(D734:I734)</f>
        <v>151</v>
      </c>
      <c r="C734" s="598"/>
      <c r="D734" s="598">
        <v>68</v>
      </c>
      <c r="E734" s="598">
        <v>48</v>
      </c>
      <c r="F734" s="598">
        <v>10</v>
      </c>
      <c r="G734" s="598">
        <v>17</v>
      </c>
      <c r="H734" s="598">
        <v>7</v>
      </c>
      <c r="I734" s="598">
        <v>1</v>
      </c>
    </row>
    <row r="735" spans="1:24" s="263" customFormat="1" ht="9" customHeight="1" x14ac:dyDescent="0.25">
      <c r="A735" s="263" t="s">
        <v>25</v>
      </c>
      <c r="B735" s="598">
        <f t="shared" si="41"/>
        <v>13</v>
      </c>
      <c r="C735" s="598"/>
      <c r="D735" s="598">
        <v>2</v>
      </c>
      <c r="E735" s="598">
        <v>9</v>
      </c>
      <c r="F735" s="598">
        <v>1</v>
      </c>
      <c r="G735" s="598">
        <v>1</v>
      </c>
      <c r="H735" s="598">
        <v>0</v>
      </c>
      <c r="I735" s="598">
        <v>0</v>
      </c>
    </row>
    <row r="736" spans="1:24" s="263" customFormat="1" ht="9" customHeight="1" x14ac:dyDescent="0.25">
      <c r="A736" s="267" t="s">
        <v>26</v>
      </c>
      <c r="B736" s="599">
        <f t="shared" si="41"/>
        <v>9</v>
      </c>
      <c r="C736" s="599"/>
      <c r="D736" s="599">
        <v>0</v>
      </c>
      <c r="E736" s="599">
        <v>4</v>
      </c>
      <c r="F736" s="599">
        <v>2</v>
      </c>
      <c r="G736" s="599">
        <v>3</v>
      </c>
      <c r="H736" s="599">
        <v>0</v>
      </c>
      <c r="I736" s="599">
        <v>0</v>
      </c>
    </row>
    <row r="737" spans="1:9" s="263" customFormat="1" ht="9" customHeight="1" x14ac:dyDescent="0.25">
      <c r="A737" s="263" t="s">
        <v>27</v>
      </c>
      <c r="B737" s="598">
        <f t="shared" si="41"/>
        <v>37</v>
      </c>
      <c r="C737" s="598"/>
      <c r="D737" s="598">
        <v>2</v>
      </c>
      <c r="E737" s="598">
        <v>13</v>
      </c>
      <c r="F737" s="598">
        <v>7</v>
      </c>
      <c r="G737" s="598">
        <v>4</v>
      </c>
      <c r="H737" s="598">
        <v>5</v>
      </c>
      <c r="I737" s="598">
        <v>6</v>
      </c>
    </row>
    <row r="738" spans="1:9" s="263" customFormat="1" ht="9" customHeight="1" x14ac:dyDescent="0.25">
      <c r="A738" s="263" t="s">
        <v>28</v>
      </c>
      <c r="B738" s="598">
        <f t="shared" si="41"/>
        <v>13</v>
      </c>
      <c r="C738" s="598"/>
      <c r="D738" s="598">
        <v>0</v>
      </c>
      <c r="E738" s="598">
        <v>6</v>
      </c>
      <c r="F738" s="598">
        <v>4</v>
      </c>
      <c r="G738" s="598">
        <v>2</v>
      </c>
      <c r="H738" s="598">
        <v>1</v>
      </c>
      <c r="I738" s="598">
        <v>0</v>
      </c>
    </row>
    <row r="739" spans="1:9" s="263" customFormat="1" ht="9" customHeight="1" x14ac:dyDescent="0.25">
      <c r="A739" s="263" t="s">
        <v>29</v>
      </c>
      <c r="B739" s="598">
        <f t="shared" si="41"/>
        <v>66</v>
      </c>
      <c r="C739" s="598"/>
      <c r="D739" s="598">
        <v>15</v>
      </c>
      <c r="E739" s="598">
        <v>28</v>
      </c>
      <c r="F739" s="598">
        <v>14</v>
      </c>
      <c r="G739" s="598">
        <v>6</v>
      </c>
      <c r="H739" s="598">
        <v>2</v>
      </c>
      <c r="I739" s="598">
        <v>1</v>
      </c>
    </row>
    <row r="740" spans="1:9" s="263" customFormat="1" ht="9" customHeight="1" x14ac:dyDescent="0.25">
      <c r="A740" s="267" t="s">
        <v>30</v>
      </c>
      <c r="B740" s="599">
        <f t="shared" si="41"/>
        <v>70</v>
      </c>
      <c r="C740" s="599"/>
      <c r="D740" s="599">
        <v>17</v>
      </c>
      <c r="E740" s="599">
        <v>24</v>
      </c>
      <c r="F740" s="599">
        <v>13</v>
      </c>
      <c r="G740" s="599">
        <v>5</v>
      </c>
      <c r="H740" s="599">
        <v>5</v>
      </c>
      <c r="I740" s="599">
        <v>6</v>
      </c>
    </row>
    <row r="741" spans="1:9" s="263" customFormat="1" ht="9" customHeight="1" x14ac:dyDescent="0.25">
      <c r="A741" s="263" t="s">
        <v>63</v>
      </c>
      <c r="B741" s="598">
        <f t="shared" si="41"/>
        <v>281</v>
      </c>
      <c r="C741" s="598"/>
      <c r="D741" s="598">
        <v>76</v>
      </c>
      <c r="E741" s="598">
        <v>102</v>
      </c>
      <c r="F741" s="598">
        <v>33</v>
      </c>
      <c r="G741" s="598">
        <v>25</v>
      </c>
      <c r="H741" s="598">
        <v>23</v>
      </c>
      <c r="I741" s="598">
        <v>22</v>
      </c>
    </row>
    <row r="742" spans="1:9" s="263" customFormat="1" ht="9" customHeight="1" x14ac:dyDescent="0.25">
      <c r="A742" s="263" t="s">
        <v>31</v>
      </c>
      <c r="B742" s="598">
        <f t="shared" si="41"/>
        <v>32</v>
      </c>
      <c r="C742" s="598"/>
      <c r="D742" s="598">
        <v>7</v>
      </c>
      <c r="E742" s="598">
        <v>12</v>
      </c>
      <c r="F742" s="598">
        <v>5</v>
      </c>
      <c r="G742" s="598">
        <v>8</v>
      </c>
      <c r="H742" s="598">
        <v>0</v>
      </c>
      <c r="I742" s="598">
        <v>0</v>
      </c>
    </row>
    <row r="743" spans="1:9" s="263" customFormat="1" ht="9" customHeight="1" x14ac:dyDescent="0.25">
      <c r="A743" s="263" t="s">
        <v>32</v>
      </c>
      <c r="B743" s="598">
        <f t="shared" si="41"/>
        <v>218</v>
      </c>
      <c r="C743" s="598"/>
      <c r="D743" s="598">
        <v>44</v>
      </c>
      <c r="E743" s="598">
        <v>96</v>
      </c>
      <c r="F743" s="598">
        <v>49</v>
      </c>
      <c r="G743" s="598">
        <v>15</v>
      </c>
      <c r="H743" s="598">
        <v>11</v>
      </c>
      <c r="I743" s="598">
        <v>3</v>
      </c>
    </row>
    <row r="744" spans="1:9" s="263" customFormat="1" ht="9" customHeight="1" x14ac:dyDescent="0.25">
      <c r="A744" s="267" t="s">
        <v>33</v>
      </c>
      <c r="B744" s="599">
        <f t="shared" si="41"/>
        <v>105</v>
      </c>
      <c r="C744" s="599"/>
      <c r="D744" s="599">
        <v>37</v>
      </c>
      <c r="E744" s="599">
        <v>40</v>
      </c>
      <c r="F744" s="599">
        <v>18</v>
      </c>
      <c r="G744" s="599">
        <v>8</v>
      </c>
      <c r="H744" s="599">
        <v>2</v>
      </c>
      <c r="I744" s="599">
        <v>0</v>
      </c>
    </row>
    <row r="745" spans="1:9" s="263" customFormat="1" ht="9" customHeight="1" x14ac:dyDescent="0.25">
      <c r="A745" s="263" t="s">
        <v>34</v>
      </c>
      <c r="B745" s="598">
        <f t="shared" si="41"/>
        <v>119</v>
      </c>
      <c r="C745" s="598"/>
      <c r="D745" s="598">
        <v>47</v>
      </c>
      <c r="E745" s="598">
        <v>55</v>
      </c>
      <c r="F745" s="598">
        <v>8</v>
      </c>
      <c r="G745" s="598">
        <v>4</v>
      </c>
      <c r="H745" s="598">
        <v>5</v>
      </c>
      <c r="I745" s="598">
        <v>0</v>
      </c>
    </row>
    <row r="746" spans="1:9" s="263" customFormat="1" ht="9" customHeight="1" x14ac:dyDescent="0.25">
      <c r="A746" s="263" t="s">
        <v>35</v>
      </c>
      <c r="B746" s="598">
        <f t="shared" si="41"/>
        <v>210</v>
      </c>
      <c r="C746" s="598"/>
      <c r="D746" s="598">
        <v>44</v>
      </c>
      <c r="E746" s="598">
        <v>72</v>
      </c>
      <c r="F746" s="598">
        <v>41</v>
      </c>
      <c r="G746" s="598">
        <v>28</v>
      </c>
      <c r="H746" s="598">
        <v>15</v>
      </c>
      <c r="I746" s="598">
        <v>10</v>
      </c>
    </row>
    <row r="747" spans="1:9" s="263" customFormat="1" ht="9" customHeight="1" x14ac:dyDescent="0.25">
      <c r="A747" s="263" t="s">
        <v>36</v>
      </c>
      <c r="B747" s="598">
        <f t="shared" si="41"/>
        <v>459</v>
      </c>
      <c r="C747" s="598"/>
      <c r="D747" s="598">
        <v>152</v>
      </c>
      <c r="E747" s="598">
        <v>210</v>
      </c>
      <c r="F747" s="598">
        <v>63</v>
      </c>
      <c r="G747" s="598">
        <v>21</v>
      </c>
      <c r="H747" s="598">
        <v>7</v>
      </c>
      <c r="I747" s="598">
        <v>6</v>
      </c>
    </row>
    <row r="748" spans="1:9" s="263" customFormat="1" ht="9" customHeight="1" x14ac:dyDescent="0.25">
      <c r="A748" s="267" t="s">
        <v>37</v>
      </c>
      <c r="B748" s="599">
        <f t="shared" si="41"/>
        <v>149</v>
      </c>
      <c r="C748" s="599"/>
      <c r="D748" s="599">
        <v>23</v>
      </c>
      <c r="E748" s="599">
        <v>65</v>
      </c>
      <c r="F748" s="599">
        <v>27</v>
      </c>
      <c r="G748" s="599">
        <v>24</v>
      </c>
      <c r="H748" s="599">
        <v>7</v>
      </c>
      <c r="I748" s="599">
        <v>3</v>
      </c>
    </row>
    <row r="749" spans="1:9" s="263" customFormat="1" ht="9" customHeight="1" x14ac:dyDescent="0.25">
      <c r="A749" s="263" t="s">
        <v>38</v>
      </c>
      <c r="B749" s="598">
        <f t="shared" si="41"/>
        <v>70</v>
      </c>
      <c r="C749" s="598"/>
      <c r="D749" s="598">
        <v>33</v>
      </c>
      <c r="E749" s="598">
        <v>20</v>
      </c>
      <c r="F749" s="598">
        <v>11</v>
      </c>
      <c r="G749" s="598">
        <v>4</v>
      </c>
      <c r="H749" s="598">
        <v>2</v>
      </c>
      <c r="I749" s="598">
        <v>0</v>
      </c>
    </row>
    <row r="750" spans="1:9" s="263" customFormat="1" ht="9" customHeight="1" x14ac:dyDescent="0.25">
      <c r="A750" s="263" t="s">
        <v>39</v>
      </c>
      <c r="B750" s="598">
        <f t="shared" si="41"/>
        <v>14</v>
      </c>
      <c r="C750" s="598"/>
      <c r="D750" s="598">
        <v>8</v>
      </c>
      <c r="E750" s="598">
        <v>4</v>
      </c>
      <c r="F750" s="598">
        <v>0</v>
      </c>
      <c r="G750" s="598">
        <v>1</v>
      </c>
      <c r="H750" s="598">
        <v>1</v>
      </c>
      <c r="I750" s="598">
        <v>0</v>
      </c>
    </row>
    <row r="751" spans="1:9" s="263" customFormat="1" ht="9" customHeight="1" x14ac:dyDescent="0.25">
      <c r="A751" s="263" t="s">
        <v>40</v>
      </c>
      <c r="B751" s="598">
        <f t="shared" si="41"/>
        <v>75</v>
      </c>
      <c r="C751" s="598"/>
      <c r="D751" s="598">
        <v>9</v>
      </c>
      <c r="E751" s="598">
        <v>20</v>
      </c>
      <c r="F751" s="598">
        <v>8</v>
      </c>
      <c r="G751" s="598">
        <v>17</v>
      </c>
      <c r="H751" s="598">
        <v>8</v>
      </c>
      <c r="I751" s="598">
        <v>13</v>
      </c>
    </row>
    <row r="752" spans="1:9" s="263" customFormat="1" ht="9" customHeight="1" x14ac:dyDescent="0.25">
      <c r="A752" s="267" t="s">
        <v>41</v>
      </c>
      <c r="B752" s="599">
        <f t="shared" si="41"/>
        <v>114</v>
      </c>
      <c r="C752" s="599"/>
      <c r="D752" s="599">
        <v>36</v>
      </c>
      <c r="E752" s="599">
        <v>56</v>
      </c>
      <c r="F752" s="599">
        <v>16</v>
      </c>
      <c r="G752" s="599">
        <v>6</v>
      </c>
      <c r="H752" s="599">
        <v>0</v>
      </c>
      <c r="I752" s="599">
        <v>0</v>
      </c>
    </row>
    <row r="753" spans="1:11" s="263" customFormat="1" ht="9" customHeight="1" x14ac:dyDescent="0.25">
      <c r="A753" s="263" t="s">
        <v>42</v>
      </c>
      <c r="B753" s="598">
        <f t="shared" si="41"/>
        <v>148</v>
      </c>
      <c r="C753" s="598"/>
      <c r="D753" s="598">
        <v>15</v>
      </c>
      <c r="E753" s="598">
        <v>75</v>
      </c>
      <c r="F753" s="598">
        <v>25</v>
      </c>
      <c r="G753" s="598">
        <v>23</v>
      </c>
      <c r="H753" s="598">
        <v>4</v>
      </c>
      <c r="I753" s="598">
        <v>6</v>
      </c>
    </row>
    <row r="754" spans="1:11" s="263" customFormat="1" ht="9" customHeight="1" x14ac:dyDescent="0.25">
      <c r="A754" s="263" t="s">
        <v>43</v>
      </c>
      <c r="B754" s="598">
        <f t="shared" si="41"/>
        <v>66</v>
      </c>
      <c r="C754" s="598"/>
      <c r="D754" s="598">
        <v>26</v>
      </c>
      <c r="E754" s="598">
        <v>18</v>
      </c>
      <c r="F754" s="598">
        <v>10</v>
      </c>
      <c r="G754" s="598">
        <v>5</v>
      </c>
      <c r="H754" s="598">
        <v>4</v>
      </c>
      <c r="I754" s="598">
        <v>3</v>
      </c>
    </row>
    <row r="755" spans="1:11" s="263" customFormat="1" ht="9" customHeight="1" x14ac:dyDescent="0.25">
      <c r="A755" s="263" t="s">
        <v>44</v>
      </c>
      <c r="B755" s="598">
        <f t="shared" si="41"/>
        <v>36</v>
      </c>
      <c r="C755" s="598"/>
      <c r="D755" s="598">
        <v>12</v>
      </c>
      <c r="E755" s="598">
        <v>13</v>
      </c>
      <c r="F755" s="598">
        <v>6</v>
      </c>
      <c r="G755" s="598">
        <v>4</v>
      </c>
      <c r="H755" s="598">
        <v>1</v>
      </c>
      <c r="I755" s="598">
        <v>0</v>
      </c>
    </row>
    <row r="756" spans="1:11" s="263" customFormat="1" ht="9" customHeight="1" x14ac:dyDescent="0.25">
      <c r="A756" s="267" t="s">
        <v>45</v>
      </c>
      <c r="B756" s="599">
        <f t="shared" si="41"/>
        <v>40</v>
      </c>
      <c r="C756" s="599"/>
      <c r="D756" s="599">
        <v>7</v>
      </c>
      <c r="E756" s="599">
        <v>14</v>
      </c>
      <c r="F756" s="599">
        <v>8</v>
      </c>
      <c r="G756" s="599">
        <v>4</v>
      </c>
      <c r="H756" s="599">
        <v>4</v>
      </c>
      <c r="I756" s="599">
        <v>3</v>
      </c>
    </row>
    <row r="757" spans="1:11" s="263" customFormat="1" ht="9" customHeight="1" x14ac:dyDescent="0.25">
      <c r="A757" s="263" t="s">
        <v>46</v>
      </c>
      <c r="B757" s="598">
        <f t="shared" si="41"/>
        <v>61</v>
      </c>
      <c r="C757" s="598"/>
      <c r="D757" s="598">
        <v>16</v>
      </c>
      <c r="E757" s="598">
        <v>25</v>
      </c>
      <c r="F757" s="598">
        <v>6</v>
      </c>
      <c r="G757" s="598">
        <v>9</v>
      </c>
      <c r="H757" s="598">
        <v>4</v>
      </c>
      <c r="I757" s="598">
        <v>1</v>
      </c>
    </row>
    <row r="758" spans="1:11" s="263" customFormat="1" ht="9" customHeight="1" x14ac:dyDescent="0.25">
      <c r="A758" s="263" t="s">
        <v>47</v>
      </c>
      <c r="B758" s="598">
        <f t="shared" si="41"/>
        <v>44</v>
      </c>
      <c r="C758" s="598"/>
      <c r="D758" s="598">
        <v>5</v>
      </c>
      <c r="E758" s="598">
        <v>20</v>
      </c>
      <c r="F758" s="598">
        <v>8</v>
      </c>
      <c r="G758" s="598">
        <v>4</v>
      </c>
      <c r="H758" s="598">
        <v>4</v>
      </c>
      <c r="I758" s="598">
        <v>3</v>
      </c>
    </row>
    <row r="759" spans="1:11" s="263" customFormat="1" ht="9" customHeight="1" x14ac:dyDescent="0.25">
      <c r="A759" s="263" t="s">
        <v>48</v>
      </c>
      <c r="B759" s="598">
        <f t="shared" si="41"/>
        <v>50</v>
      </c>
      <c r="C759" s="598"/>
      <c r="D759" s="598">
        <v>15</v>
      </c>
      <c r="E759" s="598">
        <v>20</v>
      </c>
      <c r="F759" s="598">
        <v>8</v>
      </c>
      <c r="G759" s="598">
        <v>2</v>
      </c>
      <c r="H759" s="598">
        <v>5</v>
      </c>
      <c r="I759" s="598">
        <v>0</v>
      </c>
    </row>
    <row r="760" spans="1:11" s="263" customFormat="1" ht="9" customHeight="1" x14ac:dyDescent="0.25">
      <c r="A760" s="267" t="s">
        <v>49</v>
      </c>
      <c r="B760" s="599">
        <f t="shared" si="41"/>
        <v>54</v>
      </c>
      <c r="C760" s="599"/>
      <c r="D760" s="599">
        <v>6</v>
      </c>
      <c r="E760" s="599">
        <v>21</v>
      </c>
      <c r="F760" s="599">
        <v>8</v>
      </c>
      <c r="G760" s="599">
        <v>12</v>
      </c>
      <c r="H760" s="599">
        <v>5</v>
      </c>
      <c r="I760" s="599">
        <v>2</v>
      </c>
    </row>
    <row r="761" spans="1:11" s="263" customFormat="1" ht="9" customHeight="1" x14ac:dyDescent="0.25">
      <c r="A761" s="263" t="s">
        <v>50</v>
      </c>
      <c r="B761" s="598">
        <f t="shared" si="41"/>
        <v>41</v>
      </c>
      <c r="C761" s="598"/>
      <c r="D761" s="598">
        <v>10</v>
      </c>
      <c r="E761" s="598">
        <v>25</v>
      </c>
      <c r="F761" s="598">
        <v>5</v>
      </c>
      <c r="G761" s="598">
        <v>1</v>
      </c>
      <c r="H761" s="598">
        <v>0</v>
      </c>
      <c r="I761" s="598">
        <v>0</v>
      </c>
    </row>
    <row r="762" spans="1:11" s="263" customFormat="1" ht="9" customHeight="1" x14ac:dyDescent="0.25">
      <c r="A762" s="263" t="s">
        <v>51</v>
      </c>
      <c r="B762" s="598">
        <f t="shared" si="41"/>
        <v>140</v>
      </c>
      <c r="C762" s="598"/>
      <c r="D762" s="598">
        <v>32</v>
      </c>
      <c r="E762" s="598">
        <v>60</v>
      </c>
      <c r="F762" s="598">
        <v>31</v>
      </c>
      <c r="G762" s="598">
        <v>7</v>
      </c>
      <c r="H762" s="598">
        <v>8</v>
      </c>
      <c r="I762" s="598">
        <v>2</v>
      </c>
    </row>
    <row r="763" spans="1:11" s="263" customFormat="1" ht="9" customHeight="1" x14ac:dyDescent="0.25">
      <c r="A763" s="263" t="s">
        <v>52</v>
      </c>
      <c r="B763" s="598">
        <f t="shared" si="41"/>
        <v>24</v>
      </c>
      <c r="C763" s="598"/>
      <c r="D763" s="598">
        <v>8</v>
      </c>
      <c r="E763" s="598">
        <v>7</v>
      </c>
      <c r="F763" s="598">
        <v>0</v>
      </c>
      <c r="G763" s="598">
        <v>5</v>
      </c>
      <c r="H763" s="598">
        <v>1</v>
      </c>
      <c r="I763" s="598">
        <v>3</v>
      </c>
    </row>
    <row r="764" spans="1:11" s="263" customFormat="1" ht="9" customHeight="1" x14ac:dyDescent="0.25">
      <c r="A764" s="267" t="s">
        <v>53</v>
      </c>
      <c r="B764" s="599">
        <f t="shared" si="41"/>
        <v>32</v>
      </c>
      <c r="C764" s="599"/>
      <c r="D764" s="599">
        <v>7</v>
      </c>
      <c r="E764" s="599">
        <v>13</v>
      </c>
      <c r="F764" s="599">
        <v>6</v>
      </c>
      <c r="G764" s="599">
        <v>3</v>
      </c>
      <c r="H764" s="599">
        <v>3</v>
      </c>
      <c r="I764" s="599">
        <v>0</v>
      </c>
    </row>
    <row r="765" spans="1:11" s="263" customFormat="1" ht="9" customHeight="1" x14ac:dyDescent="0.25">
      <c r="A765" s="286"/>
      <c r="B765" s="613"/>
      <c r="C765" s="613"/>
      <c r="D765" s="286"/>
      <c r="E765" s="286"/>
      <c r="F765" s="286"/>
      <c r="G765" s="286"/>
      <c r="H765" s="286"/>
      <c r="I765" s="286"/>
    </row>
    <row r="766" spans="1:11" s="263" customFormat="1" ht="9" customHeight="1" x14ac:dyDescent="0.25">
      <c r="A766" s="261">
        <v>2016</v>
      </c>
      <c r="B766" s="262"/>
      <c r="E766" s="262"/>
      <c r="F766" s="262"/>
      <c r="G766" s="262"/>
      <c r="H766" s="262"/>
      <c r="I766" s="262"/>
    </row>
    <row r="767" spans="1:11" s="263" customFormat="1" ht="9" customHeight="1" x14ac:dyDescent="0.25">
      <c r="A767" s="265" t="s">
        <v>21</v>
      </c>
      <c r="B767" s="597">
        <f>SUM(B769:B800)</f>
        <v>2906</v>
      </c>
      <c r="C767" s="597"/>
      <c r="D767" s="597">
        <f t="shared" ref="D767:I767" si="42">SUM(D769:D800)</f>
        <v>739</v>
      </c>
      <c r="E767" s="597">
        <f t="shared" si="42"/>
        <v>1182</v>
      </c>
      <c r="F767" s="597">
        <f t="shared" si="42"/>
        <v>468</v>
      </c>
      <c r="G767" s="597">
        <f t="shared" si="42"/>
        <v>264</v>
      </c>
      <c r="H767" s="597">
        <f t="shared" si="42"/>
        <v>160</v>
      </c>
      <c r="I767" s="597">
        <f t="shared" si="42"/>
        <v>93</v>
      </c>
      <c r="J767" s="600"/>
      <c r="K767" s="606"/>
    </row>
    <row r="768" spans="1:11" s="263" customFormat="1" ht="3.95" customHeight="1" x14ac:dyDescent="0.25">
      <c r="A768" s="265"/>
      <c r="B768" s="597"/>
      <c r="C768" s="597"/>
      <c r="D768" s="597"/>
      <c r="E768" s="597"/>
      <c r="F768" s="597"/>
      <c r="G768" s="597"/>
      <c r="H768" s="597"/>
      <c r="I768" s="597"/>
      <c r="J768" s="600"/>
    </row>
    <row r="769" spans="1:9" s="263" customFormat="1" ht="9" customHeight="1" x14ac:dyDescent="0.25">
      <c r="A769" s="263" t="s">
        <v>23</v>
      </c>
      <c r="B769" s="598">
        <f>SUM(D769:I769)</f>
        <v>18</v>
      </c>
      <c r="C769" s="598"/>
      <c r="D769" s="598">
        <v>2</v>
      </c>
      <c r="E769" s="598">
        <v>6</v>
      </c>
      <c r="F769" s="598">
        <v>3</v>
      </c>
      <c r="G769" s="598">
        <v>2</v>
      </c>
      <c r="H769" s="598">
        <v>5</v>
      </c>
      <c r="I769" s="598">
        <v>0</v>
      </c>
    </row>
    <row r="770" spans="1:9" s="263" customFormat="1" ht="9" customHeight="1" x14ac:dyDescent="0.25">
      <c r="A770" s="263" t="s">
        <v>24</v>
      </c>
      <c r="B770" s="598">
        <f t="shared" ref="B770:B800" si="43">SUM(D770:I770)</f>
        <v>142</v>
      </c>
      <c r="C770" s="598"/>
      <c r="D770" s="598">
        <v>55</v>
      </c>
      <c r="E770" s="598">
        <v>51</v>
      </c>
      <c r="F770" s="598">
        <v>13</v>
      </c>
      <c r="G770" s="598">
        <v>15</v>
      </c>
      <c r="H770" s="598">
        <v>7</v>
      </c>
      <c r="I770" s="598">
        <v>1</v>
      </c>
    </row>
    <row r="771" spans="1:9" s="263" customFormat="1" ht="9" customHeight="1" x14ac:dyDescent="0.25">
      <c r="A771" s="263" t="s">
        <v>25</v>
      </c>
      <c r="B771" s="598">
        <f t="shared" si="43"/>
        <v>13</v>
      </c>
      <c r="C771" s="598"/>
      <c r="D771" s="598">
        <v>2</v>
      </c>
      <c r="E771" s="598">
        <v>8</v>
      </c>
      <c r="F771" s="598">
        <v>1</v>
      </c>
      <c r="G771" s="598">
        <v>1</v>
      </c>
      <c r="H771" s="598">
        <v>1</v>
      </c>
      <c r="I771" s="598">
        <v>0</v>
      </c>
    </row>
    <row r="772" spans="1:9" s="263" customFormat="1" ht="9" customHeight="1" x14ac:dyDescent="0.25">
      <c r="A772" s="267" t="s">
        <v>26</v>
      </c>
      <c r="B772" s="599">
        <f t="shared" si="43"/>
        <v>9</v>
      </c>
      <c r="C772" s="599"/>
      <c r="D772" s="599">
        <v>0</v>
      </c>
      <c r="E772" s="599">
        <v>4</v>
      </c>
      <c r="F772" s="599">
        <v>2</v>
      </c>
      <c r="G772" s="599">
        <v>3</v>
      </c>
      <c r="H772" s="599">
        <v>0</v>
      </c>
      <c r="I772" s="599">
        <v>0</v>
      </c>
    </row>
    <row r="773" spans="1:9" s="263" customFormat="1" ht="9" customHeight="1" x14ac:dyDescent="0.25">
      <c r="A773" s="263" t="s">
        <v>27</v>
      </c>
      <c r="B773" s="598">
        <f t="shared" si="43"/>
        <v>38</v>
      </c>
      <c r="C773" s="598"/>
      <c r="D773" s="598">
        <v>4</v>
      </c>
      <c r="E773" s="598">
        <v>10</v>
      </c>
      <c r="F773" s="598">
        <v>9</v>
      </c>
      <c r="G773" s="598">
        <v>4</v>
      </c>
      <c r="H773" s="598">
        <v>5</v>
      </c>
      <c r="I773" s="598">
        <v>6</v>
      </c>
    </row>
    <row r="774" spans="1:9" s="263" customFormat="1" ht="9" customHeight="1" x14ac:dyDescent="0.25">
      <c r="A774" s="263" t="s">
        <v>28</v>
      </c>
      <c r="B774" s="598">
        <f t="shared" si="43"/>
        <v>13</v>
      </c>
      <c r="C774" s="598"/>
      <c r="D774" s="598">
        <v>0</v>
      </c>
      <c r="E774" s="598">
        <v>6</v>
      </c>
      <c r="F774" s="598">
        <v>3</v>
      </c>
      <c r="G774" s="598">
        <v>3</v>
      </c>
      <c r="H774" s="598">
        <v>1</v>
      </c>
      <c r="I774" s="598">
        <v>0</v>
      </c>
    </row>
    <row r="775" spans="1:9" s="263" customFormat="1" ht="9" customHeight="1" x14ac:dyDescent="0.25">
      <c r="A775" s="263" t="s">
        <v>29</v>
      </c>
      <c r="B775" s="598">
        <f t="shared" si="43"/>
        <v>64</v>
      </c>
      <c r="C775" s="598"/>
      <c r="D775" s="598">
        <v>16</v>
      </c>
      <c r="E775" s="598">
        <v>24</v>
      </c>
      <c r="F775" s="598">
        <v>17</v>
      </c>
      <c r="G775" s="598">
        <v>4</v>
      </c>
      <c r="H775" s="598">
        <v>2</v>
      </c>
      <c r="I775" s="598">
        <v>1</v>
      </c>
    </row>
    <row r="776" spans="1:9" s="263" customFormat="1" ht="9" customHeight="1" x14ac:dyDescent="0.25">
      <c r="A776" s="267" t="s">
        <v>30</v>
      </c>
      <c r="B776" s="599">
        <f t="shared" si="43"/>
        <v>70</v>
      </c>
      <c r="C776" s="599"/>
      <c r="D776" s="599">
        <v>16</v>
      </c>
      <c r="E776" s="599">
        <v>26</v>
      </c>
      <c r="F776" s="599">
        <v>12</v>
      </c>
      <c r="G776" s="599">
        <v>5</v>
      </c>
      <c r="H776" s="599">
        <v>4</v>
      </c>
      <c r="I776" s="599">
        <v>7</v>
      </c>
    </row>
    <row r="777" spans="1:9" s="263" customFormat="1" ht="9" customHeight="1" x14ac:dyDescent="0.25">
      <c r="A777" s="263" t="s">
        <v>63</v>
      </c>
      <c r="B777" s="598">
        <f t="shared" si="43"/>
        <v>271</v>
      </c>
      <c r="C777" s="598"/>
      <c r="D777" s="598">
        <v>74</v>
      </c>
      <c r="E777" s="598">
        <v>100</v>
      </c>
      <c r="F777" s="598">
        <v>30</v>
      </c>
      <c r="G777" s="598">
        <v>21</v>
      </c>
      <c r="H777" s="598">
        <v>23</v>
      </c>
      <c r="I777" s="598">
        <v>23</v>
      </c>
    </row>
    <row r="778" spans="1:9" s="263" customFormat="1" ht="9" customHeight="1" x14ac:dyDescent="0.25">
      <c r="A778" s="263" t="s">
        <v>31</v>
      </c>
      <c r="B778" s="598">
        <f t="shared" si="43"/>
        <v>31</v>
      </c>
      <c r="C778" s="598"/>
      <c r="D778" s="598">
        <v>6</v>
      </c>
      <c r="E778" s="598">
        <v>8</v>
      </c>
      <c r="F778" s="598">
        <v>12</v>
      </c>
      <c r="G778" s="598">
        <v>5</v>
      </c>
      <c r="H778" s="598">
        <v>0</v>
      </c>
      <c r="I778" s="598">
        <v>0</v>
      </c>
    </row>
    <row r="779" spans="1:9" s="263" customFormat="1" ht="9" customHeight="1" x14ac:dyDescent="0.25">
      <c r="A779" s="263" t="s">
        <v>32</v>
      </c>
      <c r="B779" s="598">
        <f t="shared" si="43"/>
        <v>209</v>
      </c>
      <c r="C779" s="598"/>
      <c r="D779" s="598">
        <v>42</v>
      </c>
      <c r="E779" s="598">
        <v>90</v>
      </c>
      <c r="F779" s="598">
        <v>49</v>
      </c>
      <c r="G779" s="598">
        <v>14</v>
      </c>
      <c r="H779" s="598">
        <v>11</v>
      </c>
      <c r="I779" s="598">
        <v>3</v>
      </c>
    </row>
    <row r="780" spans="1:9" s="263" customFormat="1" ht="9" customHeight="1" x14ac:dyDescent="0.25">
      <c r="A780" s="267" t="s">
        <v>33</v>
      </c>
      <c r="B780" s="599">
        <f t="shared" si="43"/>
        <v>109</v>
      </c>
      <c r="C780" s="599"/>
      <c r="D780" s="599">
        <v>36</v>
      </c>
      <c r="E780" s="599">
        <v>48</v>
      </c>
      <c r="F780" s="599">
        <v>15</v>
      </c>
      <c r="G780" s="599">
        <v>6</v>
      </c>
      <c r="H780" s="599">
        <v>4</v>
      </c>
      <c r="I780" s="599">
        <v>0</v>
      </c>
    </row>
    <row r="781" spans="1:9" s="263" customFormat="1" ht="9" customHeight="1" x14ac:dyDescent="0.25">
      <c r="A781" s="263" t="s">
        <v>34</v>
      </c>
      <c r="B781" s="598">
        <f t="shared" si="43"/>
        <v>112</v>
      </c>
      <c r="C781" s="598"/>
      <c r="D781" s="598">
        <v>38</v>
      </c>
      <c r="E781" s="598">
        <v>54</v>
      </c>
      <c r="F781" s="598">
        <v>10</v>
      </c>
      <c r="G781" s="598">
        <v>4</v>
      </c>
      <c r="H781" s="598">
        <v>6</v>
      </c>
      <c r="I781" s="598">
        <v>0</v>
      </c>
    </row>
    <row r="782" spans="1:9" s="263" customFormat="1" ht="9" customHeight="1" x14ac:dyDescent="0.25">
      <c r="A782" s="263" t="s">
        <v>35</v>
      </c>
      <c r="B782" s="598">
        <f t="shared" si="43"/>
        <v>209</v>
      </c>
      <c r="C782" s="598"/>
      <c r="D782" s="598">
        <v>41</v>
      </c>
      <c r="E782" s="598">
        <v>74</v>
      </c>
      <c r="F782" s="598">
        <v>38</v>
      </c>
      <c r="G782" s="598">
        <v>29</v>
      </c>
      <c r="H782" s="598">
        <v>17</v>
      </c>
      <c r="I782" s="598">
        <v>10</v>
      </c>
    </row>
    <row r="783" spans="1:9" s="263" customFormat="1" ht="9" customHeight="1" x14ac:dyDescent="0.25">
      <c r="A783" s="263" t="s">
        <v>36</v>
      </c>
      <c r="B783" s="598">
        <f t="shared" si="43"/>
        <v>468</v>
      </c>
      <c r="C783" s="598"/>
      <c r="D783" s="598">
        <v>143</v>
      </c>
      <c r="E783" s="598">
        <v>220</v>
      </c>
      <c r="F783" s="598">
        <v>65</v>
      </c>
      <c r="G783" s="598">
        <v>25</v>
      </c>
      <c r="H783" s="598">
        <v>9</v>
      </c>
      <c r="I783" s="598">
        <v>6</v>
      </c>
    </row>
    <row r="784" spans="1:9" s="263" customFormat="1" ht="9" customHeight="1" x14ac:dyDescent="0.25">
      <c r="A784" s="267" t="s">
        <v>37</v>
      </c>
      <c r="B784" s="599">
        <f t="shared" si="43"/>
        <v>149</v>
      </c>
      <c r="C784" s="599"/>
      <c r="D784" s="599">
        <v>23</v>
      </c>
      <c r="E784" s="599">
        <v>65</v>
      </c>
      <c r="F784" s="599">
        <v>25</v>
      </c>
      <c r="G784" s="599">
        <v>25</v>
      </c>
      <c r="H784" s="599">
        <v>8</v>
      </c>
      <c r="I784" s="599">
        <v>3</v>
      </c>
    </row>
    <row r="785" spans="1:9" s="263" customFormat="1" ht="9" customHeight="1" x14ac:dyDescent="0.25">
      <c r="A785" s="263" t="s">
        <v>38</v>
      </c>
      <c r="B785" s="598">
        <f t="shared" si="43"/>
        <v>64</v>
      </c>
      <c r="C785" s="598"/>
      <c r="D785" s="598">
        <v>29</v>
      </c>
      <c r="E785" s="598">
        <v>21</v>
      </c>
      <c r="F785" s="598">
        <v>10</v>
      </c>
      <c r="G785" s="598">
        <v>2</v>
      </c>
      <c r="H785" s="598">
        <v>2</v>
      </c>
      <c r="I785" s="598">
        <v>0</v>
      </c>
    </row>
    <row r="786" spans="1:9" s="263" customFormat="1" ht="9" customHeight="1" x14ac:dyDescent="0.25">
      <c r="A786" s="263" t="s">
        <v>39</v>
      </c>
      <c r="B786" s="598">
        <f t="shared" si="43"/>
        <v>12</v>
      </c>
      <c r="C786" s="598"/>
      <c r="D786" s="598">
        <v>8</v>
      </c>
      <c r="E786" s="598">
        <v>2</v>
      </c>
      <c r="F786" s="598">
        <v>0</v>
      </c>
      <c r="G786" s="598">
        <v>1</v>
      </c>
      <c r="H786" s="598">
        <v>1</v>
      </c>
      <c r="I786" s="598">
        <v>0</v>
      </c>
    </row>
    <row r="787" spans="1:9" s="263" customFormat="1" ht="9" customHeight="1" x14ac:dyDescent="0.25">
      <c r="A787" s="263" t="s">
        <v>40</v>
      </c>
      <c r="B787" s="598">
        <f t="shared" si="43"/>
        <v>75</v>
      </c>
      <c r="C787" s="598"/>
      <c r="D787" s="598">
        <v>11</v>
      </c>
      <c r="E787" s="598">
        <v>18</v>
      </c>
      <c r="F787" s="598">
        <v>9</v>
      </c>
      <c r="G787" s="598">
        <v>14</v>
      </c>
      <c r="H787" s="598">
        <v>12</v>
      </c>
      <c r="I787" s="598">
        <v>11</v>
      </c>
    </row>
    <row r="788" spans="1:9" s="263" customFormat="1" ht="9" customHeight="1" x14ac:dyDescent="0.25">
      <c r="A788" s="267" t="s">
        <v>41</v>
      </c>
      <c r="B788" s="599">
        <f t="shared" si="43"/>
        <v>107</v>
      </c>
      <c r="C788" s="599"/>
      <c r="D788" s="599">
        <v>32</v>
      </c>
      <c r="E788" s="599">
        <v>49</v>
      </c>
      <c r="F788" s="599">
        <v>19</v>
      </c>
      <c r="G788" s="599">
        <v>7</v>
      </c>
      <c r="H788" s="599">
        <v>0</v>
      </c>
      <c r="I788" s="599">
        <v>0</v>
      </c>
    </row>
    <row r="789" spans="1:9" s="263" customFormat="1" ht="9" customHeight="1" x14ac:dyDescent="0.25">
      <c r="A789" s="263" t="s">
        <v>42</v>
      </c>
      <c r="B789" s="598">
        <f t="shared" si="43"/>
        <v>146</v>
      </c>
      <c r="C789" s="598"/>
      <c r="D789" s="598">
        <v>16</v>
      </c>
      <c r="E789" s="598">
        <v>71</v>
      </c>
      <c r="F789" s="598">
        <v>30</v>
      </c>
      <c r="G789" s="598">
        <v>19</v>
      </c>
      <c r="H789" s="598">
        <v>4</v>
      </c>
      <c r="I789" s="598">
        <v>6</v>
      </c>
    </row>
    <row r="790" spans="1:9" s="263" customFormat="1" ht="9" customHeight="1" x14ac:dyDescent="0.25">
      <c r="A790" s="263" t="s">
        <v>43</v>
      </c>
      <c r="B790" s="598">
        <f t="shared" si="43"/>
        <v>65</v>
      </c>
      <c r="C790" s="598"/>
      <c r="D790" s="598">
        <v>25</v>
      </c>
      <c r="E790" s="598">
        <v>19</v>
      </c>
      <c r="F790" s="598">
        <v>11</v>
      </c>
      <c r="G790" s="598">
        <v>3</v>
      </c>
      <c r="H790" s="598">
        <v>4</v>
      </c>
      <c r="I790" s="598">
        <v>3</v>
      </c>
    </row>
    <row r="791" spans="1:9" s="263" customFormat="1" ht="9" customHeight="1" x14ac:dyDescent="0.25">
      <c r="A791" s="263" t="s">
        <v>44</v>
      </c>
      <c r="B791" s="598">
        <f t="shared" si="43"/>
        <v>35</v>
      </c>
      <c r="C791" s="598"/>
      <c r="D791" s="598">
        <v>13</v>
      </c>
      <c r="E791" s="598">
        <v>11</v>
      </c>
      <c r="F791" s="598">
        <v>7</v>
      </c>
      <c r="G791" s="598">
        <v>3</v>
      </c>
      <c r="H791" s="598">
        <v>1</v>
      </c>
      <c r="I791" s="598">
        <v>0</v>
      </c>
    </row>
    <row r="792" spans="1:9" s="263" customFormat="1" ht="9" customHeight="1" x14ac:dyDescent="0.25">
      <c r="A792" s="267" t="s">
        <v>45</v>
      </c>
      <c r="B792" s="599">
        <f t="shared" si="43"/>
        <v>37</v>
      </c>
      <c r="C792" s="599"/>
      <c r="D792" s="599">
        <v>7</v>
      </c>
      <c r="E792" s="599">
        <v>12</v>
      </c>
      <c r="F792" s="599">
        <v>7</v>
      </c>
      <c r="G792" s="599">
        <v>4</v>
      </c>
      <c r="H792" s="599">
        <v>4</v>
      </c>
      <c r="I792" s="599">
        <v>3</v>
      </c>
    </row>
    <row r="793" spans="1:9" s="263" customFormat="1" ht="9" customHeight="1" x14ac:dyDescent="0.25">
      <c r="A793" s="263" t="s">
        <v>46</v>
      </c>
      <c r="B793" s="598">
        <f t="shared" si="43"/>
        <v>61</v>
      </c>
      <c r="C793" s="598"/>
      <c r="D793" s="598">
        <v>15</v>
      </c>
      <c r="E793" s="598">
        <v>26</v>
      </c>
      <c r="F793" s="598">
        <v>5</v>
      </c>
      <c r="G793" s="598">
        <v>10</v>
      </c>
      <c r="H793" s="598">
        <v>4</v>
      </c>
      <c r="I793" s="598">
        <v>1</v>
      </c>
    </row>
    <row r="794" spans="1:9" s="263" customFormat="1" ht="9" customHeight="1" x14ac:dyDescent="0.25">
      <c r="A794" s="263" t="s">
        <v>47</v>
      </c>
      <c r="B794" s="598">
        <f t="shared" si="43"/>
        <v>42</v>
      </c>
      <c r="C794" s="598"/>
      <c r="D794" s="598">
        <v>5</v>
      </c>
      <c r="E794" s="598">
        <v>17</v>
      </c>
      <c r="F794" s="598">
        <v>9</v>
      </c>
      <c r="G794" s="598">
        <v>5</v>
      </c>
      <c r="H794" s="598">
        <v>3</v>
      </c>
      <c r="I794" s="598">
        <v>3</v>
      </c>
    </row>
    <row r="795" spans="1:9" s="263" customFormat="1" ht="9" customHeight="1" x14ac:dyDescent="0.25">
      <c r="A795" s="263" t="s">
        <v>48</v>
      </c>
      <c r="B795" s="598">
        <f t="shared" si="43"/>
        <v>50</v>
      </c>
      <c r="C795" s="598"/>
      <c r="D795" s="598">
        <v>17</v>
      </c>
      <c r="E795" s="598">
        <v>21</v>
      </c>
      <c r="F795" s="598">
        <v>6</v>
      </c>
      <c r="G795" s="598">
        <v>1</v>
      </c>
      <c r="H795" s="598">
        <v>5</v>
      </c>
      <c r="I795" s="598">
        <v>0</v>
      </c>
    </row>
    <row r="796" spans="1:9" s="263" customFormat="1" ht="9" customHeight="1" x14ac:dyDescent="0.25">
      <c r="A796" s="267" t="s">
        <v>49</v>
      </c>
      <c r="B796" s="599">
        <f t="shared" si="43"/>
        <v>54</v>
      </c>
      <c r="C796" s="599"/>
      <c r="D796" s="599">
        <v>7</v>
      </c>
      <c r="E796" s="599">
        <v>19</v>
      </c>
      <c r="F796" s="599">
        <v>11</v>
      </c>
      <c r="G796" s="599">
        <v>9</v>
      </c>
      <c r="H796" s="599">
        <v>6</v>
      </c>
      <c r="I796" s="599">
        <v>2</v>
      </c>
    </row>
    <row r="797" spans="1:9" s="263" customFormat="1" ht="9" customHeight="1" x14ac:dyDescent="0.25">
      <c r="A797" s="263" t="s">
        <v>50</v>
      </c>
      <c r="B797" s="598">
        <f t="shared" si="43"/>
        <v>41</v>
      </c>
      <c r="C797" s="598"/>
      <c r="D797" s="598">
        <v>12</v>
      </c>
      <c r="E797" s="598">
        <v>23</v>
      </c>
      <c r="F797" s="598">
        <v>4</v>
      </c>
      <c r="G797" s="598">
        <v>2</v>
      </c>
      <c r="H797" s="598">
        <v>0</v>
      </c>
      <c r="I797" s="598">
        <v>0</v>
      </c>
    </row>
    <row r="798" spans="1:9" s="263" customFormat="1" ht="9" customHeight="1" x14ac:dyDescent="0.25">
      <c r="A798" s="263" t="s">
        <v>51</v>
      </c>
      <c r="B798" s="598">
        <f t="shared" si="43"/>
        <v>136</v>
      </c>
      <c r="C798" s="598"/>
      <c r="D798" s="598">
        <v>33</v>
      </c>
      <c r="E798" s="598">
        <v>57</v>
      </c>
      <c r="F798" s="598">
        <v>27</v>
      </c>
      <c r="G798" s="598">
        <v>11</v>
      </c>
      <c r="H798" s="598">
        <v>7</v>
      </c>
      <c r="I798" s="598">
        <v>1</v>
      </c>
    </row>
    <row r="799" spans="1:9" s="263" customFormat="1" ht="9" customHeight="1" x14ac:dyDescent="0.25">
      <c r="A799" s="263" t="s">
        <v>52</v>
      </c>
      <c r="B799" s="598">
        <f t="shared" si="43"/>
        <v>24</v>
      </c>
      <c r="C799" s="598"/>
      <c r="D799" s="598">
        <v>6</v>
      </c>
      <c r="E799" s="598">
        <v>9</v>
      </c>
      <c r="F799" s="598">
        <v>1</v>
      </c>
      <c r="G799" s="598">
        <v>4</v>
      </c>
      <c r="H799" s="598">
        <v>1</v>
      </c>
      <c r="I799" s="598">
        <v>3</v>
      </c>
    </row>
    <row r="800" spans="1:9" s="263" customFormat="1" ht="9" customHeight="1" x14ac:dyDescent="0.25">
      <c r="A800" s="267" t="s">
        <v>53</v>
      </c>
      <c r="B800" s="599">
        <f t="shared" si="43"/>
        <v>32</v>
      </c>
      <c r="C800" s="599"/>
      <c r="D800" s="599">
        <v>5</v>
      </c>
      <c r="E800" s="599">
        <v>13</v>
      </c>
      <c r="F800" s="599">
        <v>8</v>
      </c>
      <c r="G800" s="599">
        <v>3</v>
      </c>
      <c r="H800" s="599">
        <v>3</v>
      </c>
      <c r="I800" s="599">
        <v>0</v>
      </c>
    </row>
    <row r="801" spans="1:11" s="263" customFormat="1" ht="9" customHeight="1" x14ac:dyDescent="0.25">
      <c r="A801" s="286"/>
      <c r="B801" s="613"/>
      <c r="C801" s="613"/>
      <c r="D801" s="286"/>
      <c r="E801" s="286"/>
      <c r="F801" s="286"/>
      <c r="G801" s="286"/>
      <c r="H801" s="286"/>
      <c r="I801" s="286"/>
    </row>
    <row r="802" spans="1:11" s="263" customFormat="1" ht="9" customHeight="1" x14ac:dyDescent="0.25">
      <c r="A802" s="261">
        <v>2017</v>
      </c>
      <c r="B802" s="262"/>
      <c r="E802" s="262"/>
      <c r="F802" s="262"/>
      <c r="G802" s="262"/>
      <c r="H802" s="262"/>
      <c r="I802" s="262"/>
    </row>
    <row r="803" spans="1:11" s="263" customFormat="1" ht="9" customHeight="1" x14ac:dyDescent="0.25">
      <c r="A803" s="265" t="s">
        <v>21</v>
      </c>
      <c r="B803" s="597">
        <f>SUM(B805:B836)</f>
        <v>2877</v>
      </c>
      <c r="C803" s="597"/>
      <c r="D803" s="597">
        <f t="shared" ref="D803:I803" si="44">SUM(D805:D836)</f>
        <v>714</v>
      </c>
      <c r="E803" s="597">
        <f t="shared" si="44"/>
        <v>1161</v>
      </c>
      <c r="F803" s="597">
        <f t="shared" si="44"/>
        <v>494</v>
      </c>
      <c r="G803" s="597">
        <f t="shared" si="44"/>
        <v>256</v>
      </c>
      <c r="H803" s="597">
        <f t="shared" si="44"/>
        <v>155</v>
      </c>
      <c r="I803" s="597">
        <f t="shared" si="44"/>
        <v>97</v>
      </c>
      <c r="J803" s="600"/>
      <c r="K803" s="606"/>
    </row>
    <row r="804" spans="1:11" s="263" customFormat="1" ht="3.95" customHeight="1" x14ac:dyDescent="0.25">
      <c r="A804" s="265"/>
      <c r="B804" s="597"/>
      <c r="C804" s="597"/>
      <c r="D804" s="597"/>
      <c r="E804" s="597"/>
      <c r="F804" s="597"/>
      <c r="G804" s="597"/>
      <c r="H804" s="597"/>
      <c r="I804" s="597"/>
      <c r="J804" s="600"/>
    </row>
    <row r="805" spans="1:11" s="263" customFormat="1" ht="9" customHeight="1" x14ac:dyDescent="0.25">
      <c r="A805" s="263" t="s">
        <v>23</v>
      </c>
      <c r="B805" s="598">
        <f>SUM(D805:I805)</f>
        <v>18</v>
      </c>
      <c r="C805" s="598"/>
      <c r="D805" s="598">
        <v>2</v>
      </c>
      <c r="E805" s="598">
        <v>5</v>
      </c>
      <c r="F805" s="598">
        <v>4</v>
      </c>
      <c r="G805" s="598">
        <v>2</v>
      </c>
      <c r="H805" s="598">
        <v>5</v>
      </c>
      <c r="I805" s="598">
        <v>0</v>
      </c>
    </row>
    <row r="806" spans="1:11" s="263" customFormat="1" ht="9" customHeight="1" x14ac:dyDescent="0.25">
      <c r="A806" s="263" t="s">
        <v>24</v>
      </c>
      <c r="B806" s="598">
        <f t="shared" ref="B806:B836" si="45">SUM(D806:I806)</f>
        <v>133</v>
      </c>
      <c r="C806" s="598"/>
      <c r="D806" s="598">
        <v>54</v>
      </c>
      <c r="E806" s="598">
        <v>40</v>
      </c>
      <c r="F806" s="598">
        <v>16</v>
      </c>
      <c r="G806" s="598">
        <v>14</v>
      </c>
      <c r="H806" s="598">
        <v>8</v>
      </c>
      <c r="I806" s="598">
        <v>1</v>
      </c>
    </row>
    <row r="807" spans="1:11" s="263" customFormat="1" ht="9" customHeight="1" x14ac:dyDescent="0.25">
      <c r="A807" s="263" t="s">
        <v>25</v>
      </c>
      <c r="B807" s="598">
        <f t="shared" si="45"/>
        <v>13</v>
      </c>
      <c r="C807" s="598"/>
      <c r="D807" s="598">
        <v>3</v>
      </c>
      <c r="E807" s="598">
        <v>7</v>
      </c>
      <c r="F807" s="598">
        <v>1</v>
      </c>
      <c r="G807" s="598">
        <v>1</v>
      </c>
      <c r="H807" s="598">
        <v>1</v>
      </c>
      <c r="I807" s="598">
        <v>0</v>
      </c>
    </row>
    <row r="808" spans="1:11" s="263" customFormat="1" ht="9" customHeight="1" x14ac:dyDescent="0.25">
      <c r="A808" s="267" t="s">
        <v>26</v>
      </c>
      <c r="B808" s="599">
        <f t="shared" si="45"/>
        <v>8</v>
      </c>
      <c r="C808" s="599"/>
      <c r="D808" s="599">
        <v>1</v>
      </c>
      <c r="E808" s="599">
        <v>3</v>
      </c>
      <c r="F808" s="599">
        <v>2</v>
      </c>
      <c r="G808" s="599">
        <v>2</v>
      </c>
      <c r="H808" s="599">
        <v>0</v>
      </c>
      <c r="I808" s="599">
        <v>0</v>
      </c>
    </row>
    <row r="809" spans="1:11" s="263" customFormat="1" ht="9" customHeight="1" x14ac:dyDescent="0.25">
      <c r="A809" s="263" t="s">
        <v>27</v>
      </c>
      <c r="B809" s="598">
        <f t="shared" si="45"/>
        <v>41</v>
      </c>
      <c r="C809" s="598"/>
      <c r="D809" s="598">
        <v>5</v>
      </c>
      <c r="E809" s="598">
        <v>10</v>
      </c>
      <c r="F809" s="598">
        <v>11</v>
      </c>
      <c r="G809" s="598">
        <v>4</v>
      </c>
      <c r="H809" s="598">
        <v>5</v>
      </c>
      <c r="I809" s="598">
        <v>6</v>
      </c>
    </row>
    <row r="810" spans="1:11" s="263" customFormat="1" ht="9" customHeight="1" x14ac:dyDescent="0.25">
      <c r="A810" s="263" t="s">
        <v>28</v>
      </c>
      <c r="B810" s="598">
        <f t="shared" si="45"/>
        <v>13</v>
      </c>
      <c r="C810" s="598"/>
      <c r="D810" s="598">
        <v>0</v>
      </c>
      <c r="E810" s="598">
        <v>6</v>
      </c>
      <c r="F810" s="598">
        <v>3</v>
      </c>
      <c r="G810" s="598">
        <v>3</v>
      </c>
      <c r="H810" s="598">
        <v>1</v>
      </c>
      <c r="I810" s="598">
        <v>0</v>
      </c>
    </row>
    <row r="811" spans="1:11" s="263" customFormat="1" ht="9" customHeight="1" x14ac:dyDescent="0.25">
      <c r="A811" s="263" t="s">
        <v>29</v>
      </c>
      <c r="B811" s="598">
        <f t="shared" si="45"/>
        <v>64</v>
      </c>
      <c r="C811" s="598"/>
      <c r="D811" s="598">
        <v>13</v>
      </c>
      <c r="E811" s="598">
        <v>29</v>
      </c>
      <c r="F811" s="598">
        <v>17</v>
      </c>
      <c r="G811" s="598">
        <v>3</v>
      </c>
      <c r="H811" s="598">
        <v>0</v>
      </c>
      <c r="I811" s="598">
        <v>2</v>
      </c>
    </row>
    <row r="812" spans="1:11" s="263" customFormat="1" ht="9" customHeight="1" x14ac:dyDescent="0.25">
      <c r="A812" s="267" t="s">
        <v>30</v>
      </c>
      <c r="B812" s="599">
        <f t="shared" si="45"/>
        <v>77</v>
      </c>
      <c r="C812" s="599"/>
      <c r="D812" s="599">
        <v>15</v>
      </c>
      <c r="E812" s="599">
        <v>28</v>
      </c>
      <c r="F812" s="599">
        <v>11</v>
      </c>
      <c r="G812" s="599">
        <v>10</v>
      </c>
      <c r="H812" s="599">
        <v>6</v>
      </c>
      <c r="I812" s="599">
        <v>7</v>
      </c>
    </row>
    <row r="813" spans="1:11" s="263" customFormat="1" ht="9" customHeight="1" x14ac:dyDescent="0.25">
      <c r="A813" s="263" t="s">
        <v>63</v>
      </c>
      <c r="B813" s="598">
        <f t="shared" si="45"/>
        <v>269</v>
      </c>
      <c r="C813" s="598"/>
      <c r="D813" s="598">
        <v>72</v>
      </c>
      <c r="E813" s="598">
        <v>101</v>
      </c>
      <c r="F813" s="598">
        <v>30</v>
      </c>
      <c r="G813" s="598">
        <v>20</v>
      </c>
      <c r="H813" s="598">
        <v>23</v>
      </c>
      <c r="I813" s="598">
        <v>23</v>
      </c>
    </row>
    <row r="814" spans="1:11" s="263" customFormat="1" ht="9" customHeight="1" x14ac:dyDescent="0.25">
      <c r="A814" s="263" t="s">
        <v>31</v>
      </c>
      <c r="B814" s="598">
        <f t="shared" si="45"/>
        <v>30</v>
      </c>
      <c r="C814" s="598"/>
      <c r="D814" s="598">
        <v>4</v>
      </c>
      <c r="E814" s="598">
        <v>11</v>
      </c>
      <c r="F814" s="598">
        <v>8</v>
      </c>
      <c r="G814" s="598">
        <v>6</v>
      </c>
      <c r="H814" s="598">
        <v>0</v>
      </c>
      <c r="I814" s="598">
        <v>1</v>
      </c>
    </row>
    <row r="815" spans="1:11" s="263" customFormat="1" ht="9" customHeight="1" x14ac:dyDescent="0.25">
      <c r="A815" s="263" t="s">
        <v>32</v>
      </c>
      <c r="B815" s="598">
        <f t="shared" si="45"/>
        <v>205</v>
      </c>
      <c r="C815" s="598"/>
      <c r="D815" s="598">
        <v>42</v>
      </c>
      <c r="E815" s="598">
        <v>83</v>
      </c>
      <c r="F815" s="598">
        <v>53</v>
      </c>
      <c r="G815" s="598">
        <v>14</v>
      </c>
      <c r="H815" s="598">
        <v>9</v>
      </c>
      <c r="I815" s="598">
        <v>4</v>
      </c>
    </row>
    <row r="816" spans="1:11" s="263" customFormat="1" ht="9" customHeight="1" x14ac:dyDescent="0.25">
      <c r="A816" s="267" t="s">
        <v>33</v>
      </c>
      <c r="B816" s="599">
        <f t="shared" si="45"/>
        <v>111</v>
      </c>
      <c r="C816" s="599"/>
      <c r="D816" s="599">
        <v>36</v>
      </c>
      <c r="E816" s="599">
        <v>47</v>
      </c>
      <c r="F816" s="599">
        <v>21</v>
      </c>
      <c r="G816" s="599">
        <v>6</v>
      </c>
      <c r="H816" s="599">
        <v>1</v>
      </c>
      <c r="I816" s="599">
        <v>0</v>
      </c>
    </row>
    <row r="817" spans="1:9" s="263" customFormat="1" ht="9" customHeight="1" x14ac:dyDescent="0.25">
      <c r="A817" s="263" t="s">
        <v>34</v>
      </c>
      <c r="B817" s="598">
        <f t="shared" si="45"/>
        <v>112</v>
      </c>
      <c r="C817" s="598"/>
      <c r="D817" s="598">
        <v>40</v>
      </c>
      <c r="E817" s="598">
        <v>52</v>
      </c>
      <c r="F817" s="598">
        <v>12</v>
      </c>
      <c r="G817" s="598">
        <v>4</v>
      </c>
      <c r="H817" s="598">
        <v>4</v>
      </c>
      <c r="I817" s="598">
        <v>0</v>
      </c>
    </row>
    <row r="818" spans="1:9" s="263" customFormat="1" ht="9" customHeight="1" x14ac:dyDescent="0.25">
      <c r="A818" s="263" t="s">
        <v>35</v>
      </c>
      <c r="B818" s="598">
        <f t="shared" si="45"/>
        <v>211</v>
      </c>
      <c r="C818" s="598"/>
      <c r="D818" s="598">
        <v>43</v>
      </c>
      <c r="E818" s="598">
        <v>72</v>
      </c>
      <c r="F818" s="598">
        <v>41</v>
      </c>
      <c r="G818" s="598">
        <v>26</v>
      </c>
      <c r="H818" s="598">
        <v>19</v>
      </c>
      <c r="I818" s="598">
        <v>10</v>
      </c>
    </row>
    <row r="819" spans="1:9" s="263" customFormat="1" ht="9" customHeight="1" x14ac:dyDescent="0.25">
      <c r="A819" s="263" t="s">
        <v>36</v>
      </c>
      <c r="B819" s="598">
        <f t="shared" si="45"/>
        <v>460</v>
      </c>
      <c r="C819" s="598"/>
      <c r="D819" s="598">
        <v>141</v>
      </c>
      <c r="E819" s="598">
        <v>212</v>
      </c>
      <c r="F819" s="598">
        <v>74</v>
      </c>
      <c r="G819" s="598">
        <v>16</v>
      </c>
      <c r="H819" s="598">
        <v>11</v>
      </c>
      <c r="I819" s="598">
        <v>6</v>
      </c>
    </row>
    <row r="820" spans="1:9" s="263" customFormat="1" ht="9" customHeight="1" x14ac:dyDescent="0.25">
      <c r="A820" s="267" t="s">
        <v>37</v>
      </c>
      <c r="B820" s="599">
        <f t="shared" si="45"/>
        <v>148</v>
      </c>
      <c r="C820" s="599"/>
      <c r="D820" s="599">
        <v>21</v>
      </c>
      <c r="E820" s="599">
        <v>67</v>
      </c>
      <c r="F820" s="599">
        <v>24</v>
      </c>
      <c r="G820" s="599">
        <v>24</v>
      </c>
      <c r="H820" s="599">
        <v>9</v>
      </c>
      <c r="I820" s="599">
        <v>3</v>
      </c>
    </row>
    <row r="821" spans="1:9" s="263" customFormat="1" ht="9" customHeight="1" x14ac:dyDescent="0.25">
      <c r="A821" s="263" t="s">
        <v>38</v>
      </c>
      <c r="B821" s="598">
        <f t="shared" si="45"/>
        <v>63</v>
      </c>
      <c r="C821" s="598"/>
      <c r="D821" s="598">
        <v>25</v>
      </c>
      <c r="E821" s="598">
        <v>23</v>
      </c>
      <c r="F821" s="598">
        <v>10</v>
      </c>
      <c r="G821" s="598">
        <v>2</v>
      </c>
      <c r="H821" s="598">
        <v>3</v>
      </c>
      <c r="I821" s="598">
        <v>0</v>
      </c>
    </row>
    <row r="822" spans="1:9" s="263" customFormat="1" ht="9" customHeight="1" x14ac:dyDescent="0.25">
      <c r="A822" s="263" t="s">
        <v>39</v>
      </c>
      <c r="B822" s="598">
        <f t="shared" si="45"/>
        <v>11</v>
      </c>
      <c r="C822" s="598"/>
      <c r="D822" s="598">
        <v>6</v>
      </c>
      <c r="E822" s="598">
        <v>2</v>
      </c>
      <c r="F822" s="598">
        <v>1</v>
      </c>
      <c r="G822" s="598">
        <v>1</v>
      </c>
      <c r="H822" s="598">
        <v>1</v>
      </c>
      <c r="I822" s="598">
        <v>0</v>
      </c>
    </row>
    <row r="823" spans="1:9" s="263" customFormat="1" ht="9" customHeight="1" x14ac:dyDescent="0.25">
      <c r="A823" s="263" t="s">
        <v>40</v>
      </c>
      <c r="B823" s="598">
        <f t="shared" si="45"/>
        <v>70</v>
      </c>
      <c r="C823" s="598"/>
      <c r="D823" s="598">
        <v>8</v>
      </c>
      <c r="E823" s="598">
        <v>19</v>
      </c>
      <c r="F823" s="598">
        <v>8</v>
      </c>
      <c r="G823" s="598">
        <v>14</v>
      </c>
      <c r="H823" s="598">
        <v>9</v>
      </c>
      <c r="I823" s="598">
        <v>12</v>
      </c>
    </row>
    <row r="824" spans="1:9" s="263" customFormat="1" ht="9" customHeight="1" x14ac:dyDescent="0.25">
      <c r="A824" s="267" t="s">
        <v>41</v>
      </c>
      <c r="B824" s="599">
        <f t="shared" si="45"/>
        <v>108</v>
      </c>
      <c r="C824" s="599"/>
      <c r="D824" s="599">
        <v>31</v>
      </c>
      <c r="E824" s="599">
        <v>55</v>
      </c>
      <c r="F824" s="599">
        <v>15</v>
      </c>
      <c r="G824" s="599">
        <v>7</v>
      </c>
      <c r="H824" s="599">
        <v>0</v>
      </c>
      <c r="I824" s="599">
        <v>0</v>
      </c>
    </row>
    <row r="825" spans="1:9" s="263" customFormat="1" ht="9" customHeight="1" x14ac:dyDescent="0.25">
      <c r="A825" s="263" t="s">
        <v>42</v>
      </c>
      <c r="B825" s="598">
        <f t="shared" si="45"/>
        <v>144</v>
      </c>
      <c r="C825" s="598"/>
      <c r="D825" s="598">
        <v>11</v>
      </c>
      <c r="E825" s="598">
        <v>69</v>
      </c>
      <c r="F825" s="598">
        <v>34</v>
      </c>
      <c r="G825" s="598">
        <v>21</v>
      </c>
      <c r="H825" s="598">
        <v>3</v>
      </c>
      <c r="I825" s="598">
        <v>6</v>
      </c>
    </row>
    <row r="826" spans="1:9" s="263" customFormat="1" ht="9" customHeight="1" x14ac:dyDescent="0.25">
      <c r="A826" s="263" t="s">
        <v>43</v>
      </c>
      <c r="B826" s="598">
        <f t="shared" si="45"/>
        <v>63</v>
      </c>
      <c r="C826" s="598"/>
      <c r="D826" s="598">
        <v>23</v>
      </c>
      <c r="E826" s="598">
        <v>16</v>
      </c>
      <c r="F826" s="598">
        <v>13</v>
      </c>
      <c r="G826" s="598">
        <v>4</v>
      </c>
      <c r="H826" s="598">
        <v>4</v>
      </c>
      <c r="I826" s="598">
        <v>3</v>
      </c>
    </row>
    <row r="827" spans="1:9" s="263" customFormat="1" ht="9" customHeight="1" x14ac:dyDescent="0.25">
      <c r="A827" s="263" t="s">
        <v>44</v>
      </c>
      <c r="B827" s="598">
        <f t="shared" si="45"/>
        <v>36</v>
      </c>
      <c r="C827" s="598"/>
      <c r="D827" s="598">
        <v>14</v>
      </c>
      <c r="E827" s="598">
        <v>10</v>
      </c>
      <c r="F827" s="598">
        <v>7</v>
      </c>
      <c r="G827" s="598">
        <v>4</v>
      </c>
      <c r="H827" s="598">
        <v>1</v>
      </c>
      <c r="I827" s="598">
        <v>0</v>
      </c>
    </row>
    <row r="828" spans="1:9" s="263" customFormat="1" ht="9" customHeight="1" x14ac:dyDescent="0.25">
      <c r="A828" s="267" t="s">
        <v>45</v>
      </c>
      <c r="B828" s="599">
        <f t="shared" si="45"/>
        <v>37</v>
      </c>
      <c r="C828" s="599"/>
      <c r="D828" s="599">
        <v>7</v>
      </c>
      <c r="E828" s="599">
        <v>11</v>
      </c>
      <c r="F828" s="599">
        <v>7</v>
      </c>
      <c r="G828" s="599">
        <v>6</v>
      </c>
      <c r="H828" s="599">
        <v>3</v>
      </c>
      <c r="I828" s="599">
        <v>3</v>
      </c>
    </row>
    <row r="829" spans="1:9" s="263" customFormat="1" ht="9" customHeight="1" x14ac:dyDescent="0.25">
      <c r="A829" s="263" t="s">
        <v>46</v>
      </c>
      <c r="B829" s="598">
        <f t="shared" si="45"/>
        <v>61</v>
      </c>
      <c r="C829" s="598"/>
      <c r="D829" s="598">
        <v>17</v>
      </c>
      <c r="E829" s="598">
        <v>23</v>
      </c>
      <c r="F829" s="598">
        <v>6</v>
      </c>
      <c r="G829" s="598">
        <v>11</v>
      </c>
      <c r="H829" s="598">
        <v>3</v>
      </c>
      <c r="I829" s="598">
        <v>1</v>
      </c>
    </row>
    <row r="830" spans="1:9" s="263" customFormat="1" ht="9" customHeight="1" x14ac:dyDescent="0.25">
      <c r="A830" s="263" t="s">
        <v>47</v>
      </c>
      <c r="B830" s="598">
        <f t="shared" si="45"/>
        <v>42</v>
      </c>
      <c r="C830" s="598"/>
      <c r="D830" s="598">
        <v>5</v>
      </c>
      <c r="E830" s="598">
        <v>18</v>
      </c>
      <c r="F830" s="598">
        <v>8</v>
      </c>
      <c r="G830" s="598">
        <v>5</v>
      </c>
      <c r="H830" s="598">
        <v>3</v>
      </c>
      <c r="I830" s="598">
        <v>3</v>
      </c>
    </row>
    <row r="831" spans="1:9" s="263" customFormat="1" ht="9" customHeight="1" x14ac:dyDescent="0.25">
      <c r="A831" s="263" t="s">
        <v>48</v>
      </c>
      <c r="B831" s="598">
        <f t="shared" si="45"/>
        <v>48</v>
      </c>
      <c r="C831" s="598"/>
      <c r="D831" s="598">
        <v>14</v>
      </c>
      <c r="E831" s="598">
        <v>22</v>
      </c>
      <c r="F831" s="598">
        <v>5</v>
      </c>
      <c r="G831" s="598">
        <v>2</v>
      </c>
      <c r="H831" s="598">
        <v>5</v>
      </c>
      <c r="I831" s="598">
        <v>0</v>
      </c>
    </row>
    <row r="832" spans="1:9" s="263" customFormat="1" ht="9" customHeight="1" x14ac:dyDescent="0.25">
      <c r="A832" s="267" t="s">
        <v>49</v>
      </c>
      <c r="B832" s="599">
        <f t="shared" si="45"/>
        <v>52</v>
      </c>
      <c r="C832" s="599"/>
      <c r="D832" s="599">
        <v>8</v>
      </c>
      <c r="E832" s="599">
        <v>19</v>
      </c>
      <c r="F832" s="599">
        <v>10</v>
      </c>
      <c r="G832" s="599">
        <v>7</v>
      </c>
      <c r="H832" s="599">
        <v>6</v>
      </c>
      <c r="I832" s="599">
        <v>2</v>
      </c>
    </row>
    <row r="833" spans="1:11" s="263" customFormat="1" ht="9" customHeight="1" x14ac:dyDescent="0.25">
      <c r="A833" s="263" t="s">
        <v>50</v>
      </c>
      <c r="B833" s="598">
        <f t="shared" si="45"/>
        <v>38</v>
      </c>
      <c r="C833" s="598"/>
      <c r="D833" s="598">
        <v>10</v>
      </c>
      <c r="E833" s="598">
        <v>21</v>
      </c>
      <c r="F833" s="598">
        <v>5</v>
      </c>
      <c r="G833" s="598">
        <v>2</v>
      </c>
      <c r="H833" s="598">
        <v>0</v>
      </c>
      <c r="I833" s="598">
        <v>0</v>
      </c>
    </row>
    <row r="834" spans="1:11" s="263" customFormat="1" ht="9" customHeight="1" x14ac:dyDescent="0.25">
      <c r="A834" s="263" t="s">
        <v>51</v>
      </c>
      <c r="B834" s="598">
        <f t="shared" si="45"/>
        <v>135</v>
      </c>
      <c r="C834" s="598"/>
      <c r="D834" s="598">
        <v>32</v>
      </c>
      <c r="E834" s="598">
        <v>59</v>
      </c>
      <c r="F834" s="598">
        <v>27</v>
      </c>
      <c r="G834" s="598">
        <v>8</v>
      </c>
      <c r="H834" s="598">
        <v>8</v>
      </c>
      <c r="I834" s="598">
        <v>1</v>
      </c>
    </row>
    <row r="835" spans="1:11" s="263" customFormat="1" ht="9" customHeight="1" x14ac:dyDescent="0.25">
      <c r="A835" s="263" t="s">
        <v>52</v>
      </c>
      <c r="B835" s="598">
        <f t="shared" si="45"/>
        <v>23</v>
      </c>
      <c r="C835" s="598"/>
      <c r="D835" s="598">
        <v>7</v>
      </c>
      <c r="E835" s="598">
        <v>7</v>
      </c>
      <c r="F835" s="598">
        <v>1</v>
      </c>
      <c r="G835" s="598">
        <v>4</v>
      </c>
      <c r="H835" s="598">
        <v>1</v>
      </c>
      <c r="I835" s="598">
        <v>3</v>
      </c>
    </row>
    <row r="836" spans="1:11" s="263" customFormat="1" ht="9" customHeight="1" x14ac:dyDescent="0.25">
      <c r="A836" s="267" t="s">
        <v>53</v>
      </c>
      <c r="B836" s="599">
        <f t="shared" si="45"/>
        <v>33</v>
      </c>
      <c r="C836" s="599"/>
      <c r="D836" s="599">
        <v>4</v>
      </c>
      <c r="E836" s="599">
        <v>14</v>
      </c>
      <c r="F836" s="599">
        <v>9</v>
      </c>
      <c r="G836" s="599">
        <v>3</v>
      </c>
      <c r="H836" s="599">
        <v>3</v>
      </c>
      <c r="I836" s="599">
        <v>0</v>
      </c>
    </row>
    <row r="837" spans="1:11" s="263" customFormat="1" ht="9" customHeight="1" x14ac:dyDescent="0.25">
      <c r="A837" s="286"/>
      <c r="B837" s="613"/>
      <c r="C837" s="613"/>
      <c r="D837" s="286"/>
      <c r="E837" s="286"/>
      <c r="F837" s="286"/>
      <c r="G837" s="286"/>
      <c r="H837" s="286"/>
      <c r="I837" s="286"/>
    </row>
    <row r="838" spans="1:11" s="263" customFormat="1" ht="9" customHeight="1" x14ac:dyDescent="0.25">
      <c r="A838" s="261">
        <v>2018</v>
      </c>
      <c r="B838" s="262"/>
      <c r="E838" s="262"/>
      <c r="F838" s="262"/>
      <c r="G838" s="262"/>
      <c r="H838" s="262"/>
      <c r="I838" s="262"/>
    </row>
    <row r="839" spans="1:11" s="263" customFormat="1" ht="9" customHeight="1" x14ac:dyDescent="0.25">
      <c r="A839" s="265" t="s">
        <v>21</v>
      </c>
      <c r="B839" s="597">
        <f>SUM(B841:B872)</f>
        <v>2863</v>
      </c>
      <c r="C839" s="597"/>
      <c r="D839" s="597">
        <f t="shared" ref="D839:I839" si="46">SUM(D841:D872)</f>
        <v>715</v>
      </c>
      <c r="E839" s="597">
        <f t="shared" si="46"/>
        <v>1171</v>
      </c>
      <c r="F839" s="597">
        <f t="shared" si="46"/>
        <v>465</v>
      </c>
      <c r="G839" s="597">
        <f t="shared" si="46"/>
        <v>254</v>
      </c>
      <c r="H839" s="597">
        <f t="shared" si="46"/>
        <v>162</v>
      </c>
      <c r="I839" s="597">
        <f t="shared" si="46"/>
        <v>96</v>
      </c>
      <c r="J839" s="600"/>
      <c r="K839" s="606"/>
    </row>
    <row r="840" spans="1:11" s="263" customFormat="1" ht="3.95" customHeight="1" x14ac:dyDescent="0.25">
      <c r="A840" s="265"/>
      <c r="B840" s="597"/>
      <c r="C840" s="597"/>
      <c r="D840" s="597"/>
      <c r="E840" s="597"/>
      <c r="F840" s="597"/>
      <c r="G840" s="597"/>
      <c r="H840" s="597"/>
      <c r="I840" s="597"/>
      <c r="J840" s="600"/>
    </row>
    <row r="841" spans="1:11" s="263" customFormat="1" ht="9" customHeight="1" x14ac:dyDescent="0.25">
      <c r="A841" s="263" t="s">
        <v>23</v>
      </c>
      <c r="B841" s="598">
        <f>SUM(D841:I841)</f>
        <v>20</v>
      </c>
      <c r="C841" s="598"/>
      <c r="D841" s="598">
        <v>3</v>
      </c>
      <c r="E841" s="598">
        <v>6</v>
      </c>
      <c r="F841" s="598">
        <v>4</v>
      </c>
      <c r="G841" s="598">
        <v>2</v>
      </c>
      <c r="H841" s="598">
        <v>5</v>
      </c>
      <c r="I841" s="598">
        <v>0</v>
      </c>
    </row>
    <row r="842" spans="1:11" s="263" customFormat="1" ht="9" customHeight="1" x14ac:dyDescent="0.25">
      <c r="A842" s="263" t="s">
        <v>24</v>
      </c>
      <c r="B842" s="598">
        <f t="shared" ref="B842:B872" si="47">SUM(D842:I842)</f>
        <v>132</v>
      </c>
      <c r="C842" s="598"/>
      <c r="D842" s="598">
        <v>48</v>
      </c>
      <c r="E842" s="598">
        <v>44</v>
      </c>
      <c r="F842" s="598">
        <v>15</v>
      </c>
      <c r="G842" s="598">
        <v>13</v>
      </c>
      <c r="H842" s="598">
        <v>11</v>
      </c>
      <c r="I842" s="598">
        <v>1</v>
      </c>
    </row>
    <row r="843" spans="1:11" s="263" customFormat="1" ht="9" customHeight="1" x14ac:dyDescent="0.25">
      <c r="A843" s="263" t="s">
        <v>25</v>
      </c>
      <c r="B843" s="598">
        <f t="shared" si="47"/>
        <v>13</v>
      </c>
      <c r="C843" s="598"/>
      <c r="D843" s="598">
        <v>4</v>
      </c>
      <c r="E843" s="598">
        <v>6</v>
      </c>
      <c r="F843" s="598">
        <v>1</v>
      </c>
      <c r="G843" s="598">
        <v>1</v>
      </c>
      <c r="H843" s="598">
        <v>1</v>
      </c>
      <c r="I843" s="598">
        <v>0</v>
      </c>
    </row>
    <row r="844" spans="1:11" s="263" customFormat="1" ht="9" customHeight="1" x14ac:dyDescent="0.25">
      <c r="A844" s="267" t="s">
        <v>26</v>
      </c>
      <c r="B844" s="599">
        <f t="shared" si="47"/>
        <v>9</v>
      </c>
      <c r="C844" s="599"/>
      <c r="D844" s="599">
        <v>1</v>
      </c>
      <c r="E844" s="599">
        <v>3</v>
      </c>
      <c r="F844" s="599">
        <v>2</v>
      </c>
      <c r="G844" s="599">
        <v>3</v>
      </c>
      <c r="H844" s="599">
        <v>0</v>
      </c>
      <c r="I844" s="599">
        <v>0</v>
      </c>
    </row>
    <row r="845" spans="1:11" s="263" customFormat="1" ht="9" customHeight="1" x14ac:dyDescent="0.25">
      <c r="A845" s="263" t="s">
        <v>27</v>
      </c>
      <c r="B845" s="598">
        <f t="shared" si="47"/>
        <v>40</v>
      </c>
      <c r="C845" s="598"/>
      <c r="D845" s="598">
        <v>4</v>
      </c>
      <c r="E845" s="598">
        <v>11</v>
      </c>
      <c r="F845" s="598">
        <v>9</v>
      </c>
      <c r="G845" s="598">
        <v>5</v>
      </c>
      <c r="H845" s="598">
        <v>5</v>
      </c>
      <c r="I845" s="598">
        <v>6</v>
      </c>
    </row>
    <row r="846" spans="1:11" s="263" customFormat="1" ht="9" customHeight="1" x14ac:dyDescent="0.25">
      <c r="A846" s="263" t="s">
        <v>28</v>
      </c>
      <c r="B846" s="598">
        <f t="shared" si="47"/>
        <v>13</v>
      </c>
      <c r="C846" s="598"/>
      <c r="D846" s="598">
        <v>0</v>
      </c>
      <c r="E846" s="598">
        <v>6</v>
      </c>
      <c r="F846" s="598">
        <v>3</v>
      </c>
      <c r="G846" s="598">
        <v>3</v>
      </c>
      <c r="H846" s="598">
        <v>1</v>
      </c>
      <c r="I846" s="598">
        <v>0</v>
      </c>
    </row>
    <row r="847" spans="1:11" s="263" customFormat="1" ht="9" customHeight="1" x14ac:dyDescent="0.25">
      <c r="A847" s="263" t="s">
        <v>29</v>
      </c>
      <c r="B847" s="598">
        <f t="shared" si="47"/>
        <v>63</v>
      </c>
      <c r="C847" s="598"/>
      <c r="D847" s="598">
        <v>13</v>
      </c>
      <c r="E847" s="598">
        <v>29</v>
      </c>
      <c r="F847" s="598">
        <v>15</v>
      </c>
      <c r="G847" s="598">
        <v>4</v>
      </c>
      <c r="H847" s="598">
        <v>0</v>
      </c>
      <c r="I847" s="598">
        <v>2</v>
      </c>
    </row>
    <row r="848" spans="1:11" s="263" customFormat="1" ht="9" customHeight="1" x14ac:dyDescent="0.25">
      <c r="A848" s="267" t="s">
        <v>30</v>
      </c>
      <c r="B848" s="599">
        <f t="shared" si="47"/>
        <v>79</v>
      </c>
      <c r="C848" s="599"/>
      <c r="D848" s="599">
        <v>14</v>
      </c>
      <c r="E848" s="599">
        <v>30</v>
      </c>
      <c r="F848" s="599">
        <v>12</v>
      </c>
      <c r="G848" s="599">
        <v>12</v>
      </c>
      <c r="H848" s="599">
        <v>5</v>
      </c>
      <c r="I848" s="599">
        <v>6</v>
      </c>
    </row>
    <row r="849" spans="1:9" s="263" customFormat="1" ht="9" customHeight="1" x14ac:dyDescent="0.25">
      <c r="A849" s="263" t="s">
        <v>63</v>
      </c>
      <c r="B849" s="598">
        <f t="shared" si="47"/>
        <v>260</v>
      </c>
      <c r="C849" s="598"/>
      <c r="D849" s="598">
        <v>68</v>
      </c>
      <c r="E849" s="598">
        <v>100</v>
      </c>
      <c r="F849" s="598">
        <v>29</v>
      </c>
      <c r="G849" s="598">
        <v>20</v>
      </c>
      <c r="H849" s="598">
        <v>20</v>
      </c>
      <c r="I849" s="598">
        <v>23</v>
      </c>
    </row>
    <row r="850" spans="1:9" s="263" customFormat="1" ht="9" customHeight="1" x14ac:dyDescent="0.25">
      <c r="A850" s="263" t="s">
        <v>31</v>
      </c>
      <c r="B850" s="598">
        <f t="shared" si="47"/>
        <v>30</v>
      </c>
      <c r="C850" s="598"/>
      <c r="D850" s="598">
        <v>4</v>
      </c>
      <c r="E850" s="598">
        <v>12</v>
      </c>
      <c r="F850" s="598">
        <v>8</v>
      </c>
      <c r="G850" s="598">
        <v>6</v>
      </c>
      <c r="H850" s="598">
        <v>0</v>
      </c>
      <c r="I850" s="598">
        <v>0</v>
      </c>
    </row>
    <row r="851" spans="1:9" s="263" customFormat="1" ht="9" customHeight="1" x14ac:dyDescent="0.25">
      <c r="A851" s="263" t="s">
        <v>32</v>
      </c>
      <c r="B851" s="598">
        <f t="shared" si="47"/>
        <v>203</v>
      </c>
      <c r="C851" s="598"/>
      <c r="D851" s="598">
        <v>46</v>
      </c>
      <c r="E851" s="598">
        <v>83</v>
      </c>
      <c r="F851" s="598">
        <v>50</v>
      </c>
      <c r="G851" s="598">
        <v>10</v>
      </c>
      <c r="H851" s="598">
        <v>10</v>
      </c>
      <c r="I851" s="598">
        <v>4</v>
      </c>
    </row>
    <row r="852" spans="1:9" s="263" customFormat="1" ht="9" customHeight="1" x14ac:dyDescent="0.25">
      <c r="A852" s="267" t="s">
        <v>33</v>
      </c>
      <c r="B852" s="599">
        <f t="shared" si="47"/>
        <v>112</v>
      </c>
      <c r="C852" s="599"/>
      <c r="D852" s="599">
        <v>36</v>
      </c>
      <c r="E852" s="599">
        <v>53</v>
      </c>
      <c r="F852" s="599">
        <v>17</v>
      </c>
      <c r="G852" s="599">
        <v>4</v>
      </c>
      <c r="H852" s="599">
        <v>2</v>
      </c>
      <c r="I852" s="599">
        <v>0</v>
      </c>
    </row>
    <row r="853" spans="1:9" s="263" customFormat="1" ht="9" customHeight="1" x14ac:dyDescent="0.25">
      <c r="A853" s="263" t="s">
        <v>34</v>
      </c>
      <c r="B853" s="598">
        <f t="shared" si="47"/>
        <v>117</v>
      </c>
      <c r="C853" s="598"/>
      <c r="D853" s="598">
        <v>37</v>
      </c>
      <c r="E853" s="598">
        <v>60</v>
      </c>
      <c r="F853" s="598">
        <v>12</v>
      </c>
      <c r="G853" s="598">
        <v>4</v>
      </c>
      <c r="H853" s="598">
        <v>4</v>
      </c>
      <c r="I853" s="598">
        <v>0</v>
      </c>
    </row>
    <row r="854" spans="1:9" s="263" customFormat="1" ht="9" customHeight="1" x14ac:dyDescent="0.25">
      <c r="A854" s="263" t="s">
        <v>35</v>
      </c>
      <c r="B854" s="598">
        <f t="shared" si="47"/>
        <v>214</v>
      </c>
      <c r="C854" s="598"/>
      <c r="D854" s="598">
        <v>47</v>
      </c>
      <c r="E854" s="598">
        <v>70</v>
      </c>
      <c r="F854" s="598">
        <v>41</v>
      </c>
      <c r="G854" s="598">
        <v>25</v>
      </c>
      <c r="H854" s="598">
        <v>21</v>
      </c>
      <c r="I854" s="598">
        <v>10</v>
      </c>
    </row>
    <row r="855" spans="1:9" s="263" customFormat="1" ht="9" customHeight="1" x14ac:dyDescent="0.25">
      <c r="A855" s="263" t="s">
        <v>36</v>
      </c>
      <c r="B855" s="598">
        <f t="shared" si="47"/>
        <v>460</v>
      </c>
      <c r="C855" s="598"/>
      <c r="D855" s="598">
        <v>138</v>
      </c>
      <c r="E855" s="598">
        <v>217</v>
      </c>
      <c r="F855" s="598">
        <v>66</v>
      </c>
      <c r="G855" s="598">
        <v>20</v>
      </c>
      <c r="H855" s="598">
        <v>13</v>
      </c>
      <c r="I855" s="598">
        <v>6</v>
      </c>
    </row>
    <row r="856" spans="1:9" s="263" customFormat="1" ht="9" customHeight="1" x14ac:dyDescent="0.25">
      <c r="A856" s="267" t="s">
        <v>37</v>
      </c>
      <c r="B856" s="599">
        <f t="shared" si="47"/>
        <v>145</v>
      </c>
      <c r="C856" s="599"/>
      <c r="D856" s="599">
        <v>24</v>
      </c>
      <c r="E856" s="599">
        <v>60</v>
      </c>
      <c r="F856" s="599">
        <v>25</v>
      </c>
      <c r="G856" s="599">
        <v>24</v>
      </c>
      <c r="H856" s="599">
        <v>9</v>
      </c>
      <c r="I856" s="599">
        <v>3</v>
      </c>
    </row>
    <row r="857" spans="1:9" s="263" customFormat="1" ht="9" customHeight="1" x14ac:dyDescent="0.25">
      <c r="A857" s="263" t="s">
        <v>38</v>
      </c>
      <c r="B857" s="598">
        <f t="shared" si="47"/>
        <v>60</v>
      </c>
      <c r="C857" s="598"/>
      <c r="D857" s="598">
        <v>28</v>
      </c>
      <c r="E857" s="598">
        <v>19</v>
      </c>
      <c r="F857" s="598">
        <v>9</v>
      </c>
      <c r="G857" s="598">
        <v>2</v>
      </c>
      <c r="H857" s="598">
        <v>2</v>
      </c>
      <c r="I857" s="598">
        <v>0</v>
      </c>
    </row>
    <row r="858" spans="1:9" s="263" customFormat="1" ht="9" customHeight="1" x14ac:dyDescent="0.25">
      <c r="A858" s="263" t="s">
        <v>39</v>
      </c>
      <c r="B858" s="598">
        <f t="shared" si="47"/>
        <v>11</v>
      </c>
      <c r="C858" s="598"/>
      <c r="D858" s="598">
        <v>6</v>
      </c>
      <c r="E858" s="598">
        <v>3</v>
      </c>
      <c r="F858" s="598">
        <v>0</v>
      </c>
      <c r="G858" s="598">
        <v>1</v>
      </c>
      <c r="H858" s="598">
        <v>1</v>
      </c>
      <c r="I858" s="598">
        <v>0</v>
      </c>
    </row>
    <row r="859" spans="1:9" s="263" customFormat="1" ht="9" customHeight="1" x14ac:dyDescent="0.25">
      <c r="A859" s="263" t="s">
        <v>40</v>
      </c>
      <c r="B859" s="598">
        <f t="shared" si="47"/>
        <v>69</v>
      </c>
      <c r="C859" s="598"/>
      <c r="D859" s="598">
        <v>10</v>
      </c>
      <c r="E859" s="598">
        <v>14</v>
      </c>
      <c r="F859" s="598">
        <v>9</v>
      </c>
      <c r="G859" s="598">
        <v>16</v>
      </c>
      <c r="H859" s="598">
        <v>7</v>
      </c>
      <c r="I859" s="598">
        <v>13</v>
      </c>
    </row>
    <row r="860" spans="1:9" s="263" customFormat="1" ht="9" customHeight="1" x14ac:dyDescent="0.25">
      <c r="A860" s="267" t="s">
        <v>41</v>
      </c>
      <c r="B860" s="599">
        <f t="shared" si="47"/>
        <v>113</v>
      </c>
      <c r="C860" s="599"/>
      <c r="D860" s="599">
        <v>34</v>
      </c>
      <c r="E860" s="599">
        <v>55</v>
      </c>
      <c r="F860" s="599">
        <v>18</v>
      </c>
      <c r="G860" s="599">
        <v>6</v>
      </c>
      <c r="H860" s="599">
        <v>0</v>
      </c>
      <c r="I860" s="599">
        <v>0</v>
      </c>
    </row>
    <row r="861" spans="1:9" s="263" customFormat="1" ht="9" customHeight="1" x14ac:dyDescent="0.25">
      <c r="A861" s="263" t="s">
        <v>42</v>
      </c>
      <c r="B861" s="598">
        <f t="shared" si="47"/>
        <v>141</v>
      </c>
      <c r="C861" s="598"/>
      <c r="D861" s="598">
        <v>11</v>
      </c>
      <c r="E861" s="598">
        <v>68</v>
      </c>
      <c r="F861" s="598">
        <v>33</v>
      </c>
      <c r="G861" s="598">
        <v>20</v>
      </c>
      <c r="H861" s="598">
        <v>3</v>
      </c>
      <c r="I861" s="598">
        <v>6</v>
      </c>
    </row>
    <row r="862" spans="1:9" s="263" customFormat="1" ht="9" customHeight="1" x14ac:dyDescent="0.25">
      <c r="A862" s="263" t="s">
        <v>43</v>
      </c>
      <c r="B862" s="598">
        <f t="shared" si="47"/>
        <v>61</v>
      </c>
      <c r="C862" s="598"/>
      <c r="D862" s="598">
        <v>21</v>
      </c>
      <c r="E862" s="598">
        <v>16</v>
      </c>
      <c r="F862" s="598">
        <v>12</v>
      </c>
      <c r="G862" s="598">
        <v>4</v>
      </c>
      <c r="H862" s="598">
        <v>5</v>
      </c>
      <c r="I862" s="598">
        <v>3</v>
      </c>
    </row>
    <row r="863" spans="1:9" s="263" customFormat="1" ht="9" customHeight="1" x14ac:dyDescent="0.25">
      <c r="A863" s="263" t="s">
        <v>44</v>
      </c>
      <c r="B863" s="598">
        <f t="shared" si="47"/>
        <v>35</v>
      </c>
      <c r="C863" s="598"/>
      <c r="D863" s="598">
        <v>16</v>
      </c>
      <c r="E863" s="598">
        <v>9</v>
      </c>
      <c r="F863" s="598">
        <v>5</v>
      </c>
      <c r="G863" s="598">
        <v>3</v>
      </c>
      <c r="H863" s="598">
        <v>2</v>
      </c>
      <c r="I863" s="598">
        <v>0</v>
      </c>
    </row>
    <row r="864" spans="1:9" s="263" customFormat="1" ht="9" customHeight="1" x14ac:dyDescent="0.25">
      <c r="A864" s="267" t="s">
        <v>45</v>
      </c>
      <c r="B864" s="599">
        <f t="shared" si="47"/>
        <v>37</v>
      </c>
      <c r="C864" s="599"/>
      <c r="D864" s="599">
        <v>6</v>
      </c>
      <c r="E864" s="599">
        <v>13</v>
      </c>
      <c r="F864" s="599">
        <v>7</v>
      </c>
      <c r="G864" s="599">
        <v>5</v>
      </c>
      <c r="H864" s="599">
        <v>3</v>
      </c>
      <c r="I864" s="599">
        <v>3</v>
      </c>
    </row>
    <row r="865" spans="1:9" s="263" customFormat="1" ht="9" customHeight="1" x14ac:dyDescent="0.25">
      <c r="A865" s="263" t="s">
        <v>46</v>
      </c>
      <c r="B865" s="598">
        <f t="shared" si="47"/>
        <v>59</v>
      </c>
      <c r="C865" s="598"/>
      <c r="D865" s="598">
        <v>15</v>
      </c>
      <c r="E865" s="598">
        <v>23</v>
      </c>
      <c r="F865" s="598">
        <v>6</v>
      </c>
      <c r="G865" s="598">
        <v>9</v>
      </c>
      <c r="H865" s="598">
        <v>5</v>
      </c>
      <c r="I865" s="598">
        <v>1</v>
      </c>
    </row>
    <row r="866" spans="1:9" s="263" customFormat="1" ht="9" customHeight="1" x14ac:dyDescent="0.25">
      <c r="A866" s="263" t="s">
        <v>47</v>
      </c>
      <c r="B866" s="598">
        <f t="shared" si="47"/>
        <v>42</v>
      </c>
      <c r="C866" s="598"/>
      <c r="D866" s="598">
        <v>4</v>
      </c>
      <c r="E866" s="598">
        <v>19</v>
      </c>
      <c r="F866" s="598">
        <v>8</v>
      </c>
      <c r="G866" s="598">
        <v>5</v>
      </c>
      <c r="H866" s="598">
        <v>3</v>
      </c>
      <c r="I866" s="598">
        <v>3</v>
      </c>
    </row>
    <row r="867" spans="1:9" s="263" customFormat="1" ht="9" customHeight="1" x14ac:dyDescent="0.25">
      <c r="A867" s="263" t="s">
        <v>48</v>
      </c>
      <c r="B867" s="598">
        <f t="shared" si="47"/>
        <v>48</v>
      </c>
      <c r="C867" s="598"/>
      <c r="D867" s="598">
        <v>16</v>
      </c>
      <c r="E867" s="598">
        <v>22</v>
      </c>
      <c r="F867" s="598">
        <v>4</v>
      </c>
      <c r="G867" s="598">
        <v>2</v>
      </c>
      <c r="H867" s="598">
        <v>4</v>
      </c>
      <c r="I867" s="598">
        <v>0</v>
      </c>
    </row>
    <row r="868" spans="1:9" s="263" customFormat="1" ht="9" customHeight="1" x14ac:dyDescent="0.25">
      <c r="A868" s="267" t="s">
        <v>49</v>
      </c>
      <c r="B868" s="599">
        <f t="shared" si="47"/>
        <v>52</v>
      </c>
      <c r="C868" s="599"/>
      <c r="D868" s="599">
        <v>9</v>
      </c>
      <c r="E868" s="599">
        <v>17</v>
      </c>
      <c r="F868" s="599">
        <v>8</v>
      </c>
      <c r="G868" s="599">
        <v>8</v>
      </c>
      <c r="H868" s="599">
        <v>8</v>
      </c>
      <c r="I868" s="599">
        <v>2</v>
      </c>
    </row>
    <row r="869" spans="1:9" s="263" customFormat="1" ht="9" customHeight="1" x14ac:dyDescent="0.25">
      <c r="A869" s="263" t="s">
        <v>50</v>
      </c>
      <c r="B869" s="598">
        <f t="shared" si="47"/>
        <v>37</v>
      </c>
      <c r="C869" s="598"/>
      <c r="D869" s="598">
        <v>12</v>
      </c>
      <c r="E869" s="598">
        <v>19</v>
      </c>
      <c r="F869" s="598">
        <v>4</v>
      </c>
      <c r="G869" s="598">
        <v>2</v>
      </c>
      <c r="H869" s="598">
        <v>0</v>
      </c>
      <c r="I869" s="598">
        <v>0</v>
      </c>
    </row>
    <row r="870" spans="1:9" s="263" customFormat="1" ht="9" customHeight="1" x14ac:dyDescent="0.25">
      <c r="A870" s="263" t="s">
        <v>51</v>
      </c>
      <c r="B870" s="598">
        <f t="shared" si="47"/>
        <v>132</v>
      </c>
      <c r="C870" s="598"/>
      <c r="D870" s="598">
        <v>27</v>
      </c>
      <c r="E870" s="598">
        <v>64</v>
      </c>
      <c r="F870" s="598">
        <v>24</v>
      </c>
      <c r="G870" s="598">
        <v>8</v>
      </c>
      <c r="H870" s="598">
        <v>8</v>
      </c>
      <c r="I870" s="598">
        <v>1</v>
      </c>
    </row>
    <row r="871" spans="1:9" s="263" customFormat="1" ht="9" customHeight="1" x14ac:dyDescent="0.25">
      <c r="A871" s="263" t="s">
        <v>52</v>
      </c>
      <c r="B871" s="598">
        <f t="shared" si="47"/>
        <v>23</v>
      </c>
      <c r="C871" s="598"/>
      <c r="D871" s="598">
        <v>7</v>
      </c>
      <c r="E871" s="598">
        <v>7</v>
      </c>
      <c r="F871" s="598">
        <v>1</v>
      </c>
      <c r="G871" s="598">
        <v>4</v>
      </c>
      <c r="H871" s="598">
        <v>1</v>
      </c>
      <c r="I871" s="598">
        <v>3</v>
      </c>
    </row>
    <row r="872" spans="1:9" s="263" customFormat="1" ht="9" customHeight="1" x14ac:dyDescent="0.25">
      <c r="A872" s="267" t="s">
        <v>53</v>
      </c>
      <c r="B872" s="599">
        <f t="shared" si="47"/>
        <v>33</v>
      </c>
      <c r="C872" s="599"/>
      <c r="D872" s="599">
        <v>6</v>
      </c>
      <c r="E872" s="599">
        <v>13</v>
      </c>
      <c r="F872" s="599">
        <v>8</v>
      </c>
      <c r="G872" s="599">
        <v>3</v>
      </c>
      <c r="H872" s="599">
        <v>3</v>
      </c>
      <c r="I872" s="599">
        <v>0</v>
      </c>
    </row>
    <row r="873" spans="1:9" ht="3" customHeight="1" x14ac:dyDescent="0.2">
      <c r="A873" s="257"/>
      <c r="B873" s="257"/>
      <c r="C873" s="257"/>
      <c r="D873" s="257"/>
      <c r="E873" s="614"/>
      <c r="F873" s="614"/>
      <c r="G873" s="614"/>
      <c r="H873" s="614"/>
      <c r="I873" s="614"/>
    </row>
    <row r="874" spans="1:9" ht="3" customHeight="1" x14ac:dyDescent="0.25"/>
    <row r="875" spans="1:9" s="260" customFormat="1" ht="9" customHeight="1" x14ac:dyDescent="0.25">
      <c r="A875" s="607" t="s">
        <v>445</v>
      </c>
      <c r="B875" s="608"/>
    </row>
    <row r="876" spans="1:9" ht="11.25" hidden="1" customHeight="1" x14ac:dyDescent="0.25"/>
    <row r="877" spans="1:9" ht="11.25" hidden="1" customHeight="1" x14ac:dyDescent="0.25"/>
  </sheetData>
  <sheetProtection sheet="1" objects="1" scenarios="1"/>
  <mergeCells count="2">
    <mergeCell ref="A6:A7"/>
    <mergeCell ref="B6:B7"/>
  </mergeCells>
  <hyperlinks>
    <hyperlink ref="I1" location="Índice!A1" tooltip="Ir a Índice" display="Índice!A1"/>
  </hyperlinks>
  <printOptions horizontalCentered="1" verticalCentered="1" gridLinesSet="0"/>
  <pageMargins left="0.39370078740157483" right="0.39370078740157483" top="0.39370078740157483" bottom="0.39370078740157483" header="0.39370078740157483" footer="0.39370078740157483"/>
  <pageSetup orientation="portrait" r:id="rId1"/>
  <headerFooter>
    <oddHeader>&amp;L&amp;"Arial,Normal"&amp;10&amp;K000080INEGI. Anuario estadístico y geográfico por entidad federativa 2019.</oddHeader>
  </headerFooter>
  <rowBreaks count="11" manualBreakCount="11">
    <brk id="80" max="8" man="1"/>
    <brk id="152" max="8" man="1"/>
    <brk id="224" max="8" man="1"/>
    <brk id="297" max="8" man="1"/>
    <brk id="369" max="8" man="1"/>
    <brk id="441" max="8" man="1"/>
    <brk id="513" max="8" man="1"/>
    <brk id="585" max="8" man="1"/>
    <brk id="657" max="8" man="1"/>
    <brk id="729" max="8" man="1"/>
    <brk id="801" max="8" man="1"/>
  </rowBreak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880"/>
  <sheetViews>
    <sheetView showGridLines="0" showRowColHeaders="0" zoomScale="130" zoomScaleNormal="130" workbookViewId="0">
      <pane xSplit="1" ySplit="9" topLeftCell="B10" activePane="bottomRight" state="frozen"/>
      <selection activeCell="B5" sqref="B5"/>
      <selection pane="topRight" activeCell="B5" sqref="B5"/>
      <selection pane="bottomLeft" activeCell="B5" sqref="B5"/>
      <selection pane="bottomRight"/>
    </sheetView>
  </sheetViews>
  <sheetFormatPr baseColWidth="10" defaultColWidth="0" defaultRowHeight="11.25" customHeight="1" zeroHeight="1" x14ac:dyDescent="0.25"/>
  <cols>
    <col min="1" max="1" width="17.5703125" style="258" customWidth="1"/>
    <col min="2" max="2" width="9.42578125" style="258" customWidth="1"/>
    <col min="3" max="7" width="10.7109375" style="258" customWidth="1"/>
    <col min="8" max="8" width="11" style="258" customWidth="1"/>
    <col min="9" max="9" width="0.85546875" style="258" hidden="1" customWidth="1"/>
    <col min="10" max="32" width="6.7109375" style="258" hidden="1" customWidth="1"/>
    <col min="33" max="16384" width="11.5703125" style="258" hidden="1"/>
  </cols>
  <sheetData>
    <row r="1" spans="1:8" s="256" customFormat="1" ht="12" customHeight="1" x14ac:dyDescent="0.2">
      <c r="A1" s="312" t="s">
        <v>457</v>
      </c>
      <c r="B1" s="255"/>
      <c r="C1" s="255"/>
      <c r="D1" s="255"/>
      <c r="E1" s="255"/>
      <c r="F1" s="255"/>
      <c r="G1" s="255"/>
      <c r="H1" s="761" t="s">
        <v>458</v>
      </c>
    </row>
    <row r="2" spans="1:8" s="256" customFormat="1" ht="12" customHeight="1" x14ac:dyDescent="0.2">
      <c r="A2" s="312" t="s">
        <v>459</v>
      </c>
      <c r="B2" s="255"/>
      <c r="C2" s="255"/>
      <c r="D2" s="255"/>
      <c r="E2" s="255"/>
      <c r="F2" s="255"/>
      <c r="G2" s="255"/>
      <c r="H2" s="52"/>
    </row>
    <row r="3" spans="1:8" s="256" customFormat="1" ht="12" customHeight="1" x14ac:dyDescent="0.25">
      <c r="A3" s="56" t="s">
        <v>423</v>
      </c>
      <c r="B3" s="255"/>
      <c r="C3" s="255"/>
      <c r="D3" s="255"/>
      <c r="E3" s="255"/>
      <c r="F3" s="255"/>
      <c r="G3" s="255"/>
      <c r="H3" s="255"/>
    </row>
    <row r="4" spans="1:8" ht="3" customHeight="1" x14ac:dyDescent="0.25">
      <c r="A4" s="257" t="s">
        <v>460</v>
      </c>
      <c r="B4" s="257"/>
      <c r="C4" s="257"/>
      <c r="D4" s="257"/>
      <c r="E4" s="257"/>
      <c r="F4" s="257"/>
      <c r="G4" s="257"/>
      <c r="H4" s="257"/>
    </row>
    <row r="5" spans="1:8" ht="3" customHeight="1" x14ac:dyDescent="0.25">
      <c r="A5" s="259"/>
      <c r="B5" s="259"/>
      <c r="C5" s="259"/>
      <c r="D5" s="259"/>
      <c r="E5" s="259"/>
      <c r="F5" s="259"/>
      <c r="G5" s="259"/>
      <c r="H5" s="259"/>
    </row>
    <row r="6" spans="1:8" s="260" customFormat="1" ht="9" customHeight="1" x14ac:dyDescent="0.25">
      <c r="A6" s="837" t="s">
        <v>4</v>
      </c>
      <c r="B6" s="815" t="s">
        <v>206</v>
      </c>
      <c r="C6" s="815" t="s">
        <v>207</v>
      </c>
      <c r="D6" s="815" t="s">
        <v>208</v>
      </c>
      <c r="E6" s="815" t="s">
        <v>209</v>
      </c>
      <c r="F6" s="815" t="s">
        <v>461</v>
      </c>
      <c r="G6" s="815" t="s">
        <v>462</v>
      </c>
      <c r="H6" s="815" t="s">
        <v>212</v>
      </c>
    </row>
    <row r="7" spans="1:8" s="260" customFormat="1" ht="9" customHeight="1" x14ac:dyDescent="0.25">
      <c r="A7" s="838"/>
      <c r="B7" s="815"/>
      <c r="C7" s="815"/>
      <c r="D7" s="815"/>
      <c r="E7" s="816"/>
      <c r="F7" s="816"/>
      <c r="G7" s="816"/>
      <c r="H7" s="816"/>
    </row>
    <row r="8" spans="1:8" s="260" customFormat="1" ht="9" customHeight="1" x14ac:dyDescent="0.25">
      <c r="A8" s="838"/>
      <c r="B8" s="815"/>
      <c r="C8" s="815"/>
      <c r="D8" s="815"/>
      <c r="E8" s="816"/>
      <c r="F8" s="816"/>
      <c r="G8" s="816"/>
      <c r="H8" s="758"/>
    </row>
    <row r="9" spans="1:8" ht="3" customHeight="1" x14ac:dyDescent="0.25">
      <c r="A9" s="257"/>
      <c r="B9" s="257"/>
      <c r="C9" s="257"/>
      <c r="D9" s="257"/>
      <c r="E9" s="257"/>
      <c r="F9" s="257"/>
      <c r="G9" s="257"/>
      <c r="H9" s="257"/>
    </row>
    <row r="10" spans="1:8" ht="3" customHeight="1" x14ac:dyDescent="0.25">
      <c r="A10" s="259"/>
      <c r="B10" s="259"/>
      <c r="C10" s="259"/>
      <c r="D10" s="259"/>
      <c r="E10" s="259"/>
      <c r="F10" s="259"/>
      <c r="G10" s="259"/>
      <c r="H10" s="259"/>
    </row>
    <row r="11" spans="1:8" s="263" customFormat="1" ht="9" customHeight="1" x14ac:dyDescent="0.25">
      <c r="A11" s="261">
        <v>1995</v>
      </c>
      <c r="B11" s="262"/>
      <c r="C11" s="262"/>
      <c r="D11" s="262"/>
      <c r="E11" s="262"/>
      <c r="F11" s="262"/>
      <c r="G11" s="262"/>
      <c r="H11" s="262"/>
    </row>
    <row r="12" spans="1:8" s="265" customFormat="1" ht="9" customHeight="1" x14ac:dyDescent="0.25">
      <c r="A12" s="265" t="s">
        <v>21</v>
      </c>
      <c r="B12" s="262">
        <f>SUM(B14:B45)</f>
        <v>27612</v>
      </c>
      <c r="C12" s="262">
        <f t="shared" ref="C12:H12" si="0">SUM(C14:C45)</f>
        <v>3566</v>
      </c>
      <c r="D12" s="262">
        <f t="shared" si="0"/>
        <v>6584</v>
      </c>
      <c r="E12" s="262">
        <f t="shared" si="0"/>
        <v>614</v>
      </c>
      <c r="F12" s="262">
        <f t="shared" si="0"/>
        <v>806</v>
      </c>
      <c r="G12" s="262">
        <f t="shared" si="0"/>
        <v>2558</v>
      </c>
      <c r="H12" s="262">
        <f t="shared" si="0"/>
        <v>1769</v>
      </c>
    </row>
    <row r="13" spans="1:8" s="265" customFormat="1" ht="3.95" customHeight="1" x14ac:dyDescent="0.25">
      <c r="B13" s="262"/>
      <c r="C13" s="262"/>
      <c r="D13" s="262"/>
      <c r="E13" s="262"/>
      <c r="F13" s="262"/>
      <c r="G13" s="262"/>
      <c r="H13" s="262"/>
    </row>
    <row r="14" spans="1:8" s="263" customFormat="1" ht="9" customHeight="1" x14ac:dyDescent="0.25">
      <c r="A14" s="263" t="s">
        <v>23</v>
      </c>
      <c r="B14" s="266">
        <v>186</v>
      </c>
      <c r="C14" s="266">
        <v>24</v>
      </c>
      <c r="D14" s="266">
        <v>33</v>
      </c>
      <c r="E14" s="266">
        <v>4</v>
      </c>
      <c r="F14" s="266">
        <v>5</v>
      </c>
      <c r="G14" s="266">
        <v>30</v>
      </c>
      <c r="H14" s="266">
        <v>11</v>
      </c>
    </row>
    <row r="15" spans="1:8" s="263" customFormat="1" ht="9" customHeight="1" x14ac:dyDescent="0.25">
      <c r="A15" s="263" t="s">
        <v>24</v>
      </c>
      <c r="B15" s="266">
        <v>721</v>
      </c>
      <c r="C15" s="266">
        <v>117</v>
      </c>
      <c r="D15" s="266">
        <v>169</v>
      </c>
      <c r="E15" s="266">
        <v>22</v>
      </c>
      <c r="F15" s="266">
        <v>25</v>
      </c>
      <c r="G15" s="266">
        <v>94</v>
      </c>
      <c r="H15" s="266">
        <v>59</v>
      </c>
    </row>
    <row r="16" spans="1:8" s="263" customFormat="1" ht="9" customHeight="1" x14ac:dyDescent="0.25">
      <c r="A16" s="263" t="s">
        <v>25</v>
      </c>
      <c r="B16" s="266">
        <v>17</v>
      </c>
      <c r="C16" s="266">
        <v>15</v>
      </c>
      <c r="D16" s="266">
        <v>23</v>
      </c>
      <c r="E16" s="266">
        <v>3</v>
      </c>
      <c r="F16" s="266">
        <v>2</v>
      </c>
      <c r="G16" s="266">
        <v>6</v>
      </c>
      <c r="H16" s="266">
        <v>4</v>
      </c>
    </row>
    <row r="17" spans="1:8" s="263" customFormat="1" ht="9" customHeight="1" x14ac:dyDescent="0.25">
      <c r="A17" s="267" t="s">
        <v>26</v>
      </c>
      <c r="B17" s="268">
        <v>73</v>
      </c>
      <c r="C17" s="268">
        <v>9</v>
      </c>
      <c r="D17" s="268">
        <v>22</v>
      </c>
      <c r="E17" s="268">
        <v>3</v>
      </c>
      <c r="F17" s="268">
        <v>4</v>
      </c>
      <c r="G17" s="268">
        <v>8</v>
      </c>
      <c r="H17" s="268">
        <v>7</v>
      </c>
    </row>
    <row r="18" spans="1:8" s="263" customFormat="1" ht="9" customHeight="1" x14ac:dyDescent="0.25">
      <c r="A18" s="263" t="s">
        <v>27</v>
      </c>
      <c r="B18" s="266">
        <v>461</v>
      </c>
      <c r="C18" s="266">
        <v>91</v>
      </c>
      <c r="D18" s="266">
        <v>256</v>
      </c>
      <c r="E18" s="266">
        <v>20</v>
      </c>
      <c r="F18" s="266">
        <v>18</v>
      </c>
      <c r="G18" s="266">
        <v>51</v>
      </c>
      <c r="H18" s="266">
        <v>30</v>
      </c>
    </row>
    <row r="19" spans="1:8" s="263" customFormat="1" ht="9" customHeight="1" x14ac:dyDescent="0.25">
      <c r="A19" s="263" t="s">
        <v>28</v>
      </c>
      <c r="B19" s="266">
        <v>79</v>
      </c>
      <c r="C19" s="266">
        <v>2</v>
      </c>
      <c r="D19" s="266">
        <v>18</v>
      </c>
      <c r="E19" s="266">
        <v>4</v>
      </c>
      <c r="F19" s="266">
        <v>5</v>
      </c>
      <c r="G19" s="266">
        <v>9</v>
      </c>
      <c r="H19" s="266">
        <v>6</v>
      </c>
    </row>
    <row r="20" spans="1:8" s="263" customFormat="1" ht="9" customHeight="1" x14ac:dyDescent="0.25">
      <c r="A20" s="263" t="s">
        <v>29</v>
      </c>
      <c r="B20" s="266">
        <v>458</v>
      </c>
      <c r="C20" s="266">
        <v>78</v>
      </c>
      <c r="D20" s="266">
        <v>143</v>
      </c>
      <c r="E20" s="266">
        <v>14</v>
      </c>
      <c r="F20" s="266">
        <v>16</v>
      </c>
      <c r="G20" s="266">
        <v>56</v>
      </c>
      <c r="H20" s="266">
        <v>41</v>
      </c>
    </row>
    <row r="21" spans="1:8" s="263" customFormat="1" ht="9" customHeight="1" x14ac:dyDescent="0.25">
      <c r="A21" s="267" t="s">
        <v>30</v>
      </c>
      <c r="B21" s="268">
        <v>865</v>
      </c>
      <c r="C21" s="268">
        <v>158</v>
      </c>
      <c r="D21" s="268">
        <v>122</v>
      </c>
      <c r="E21" s="268">
        <v>22</v>
      </c>
      <c r="F21" s="268">
        <v>37</v>
      </c>
      <c r="G21" s="268">
        <v>67</v>
      </c>
      <c r="H21" s="268">
        <v>51</v>
      </c>
    </row>
    <row r="22" spans="1:8" s="263" customFormat="1" ht="9" customHeight="1" x14ac:dyDescent="0.25">
      <c r="A22" s="263" t="s">
        <v>63</v>
      </c>
      <c r="B22" s="266">
        <v>6687</v>
      </c>
      <c r="C22" s="266">
        <v>732</v>
      </c>
      <c r="D22" s="266">
        <v>1255</v>
      </c>
      <c r="E22" s="266">
        <v>78</v>
      </c>
      <c r="F22" s="266">
        <v>102</v>
      </c>
      <c r="G22" s="266">
        <v>349</v>
      </c>
      <c r="H22" s="266">
        <v>170</v>
      </c>
    </row>
    <row r="23" spans="1:8" s="263" customFormat="1" ht="9" customHeight="1" x14ac:dyDescent="0.25">
      <c r="A23" s="263" t="s">
        <v>31</v>
      </c>
      <c r="B23" s="266">
        <v>328</v>
      </c>
      <c r="C23" s="266">
        <v>16</v>
      </c>
      <c r="D23" s="266">
        <v>39</v>
      </c>
      <c r="E23" s="266">
        <v>8</v>
      </c>
      <c r="F23" s="266">
        <v>9</v>
      </c>
      <c r="G23" s="266">
        <v>32</v>
      </c>
      <c r="H23" s="266">
        <v>24</v>
      </c>
    </row>
    <row r="24" spans="1:8" s="263" customFormat="1" ht="9" customHeight="1" x14ac:dyDescent="0.25">
      <c r="A24" s="263" t="s">
        <v>32</v>
      </c>
      <c r="B24" s="266">
        <v>1709</v>
      </c>
      <c r="C24" s="266">
        <v>243</v>
      </c>
      <c r="D24" s="266">
        <v>509</v>
      </c>
      <c r="E24" s="266">
        <v>40</v>
      </c>
      <c r="F24" s="266">
        <v>94</v>
      </c>
      <c r="G24" s="266">
        <v>200</v>
      </c>
      <c r="H24" s="266">
        <v>169</v>
      </c>
    </row>
    <row r="25" spans="1:8" s="263" customFormat="1" ht="9" customHeight="1" x14ac:dyDescent="0.25">
      <c r="A25" s="267" t="s">
        <v>33</v>
      </c>
      <c r="B25" s="268">
        <v>623</v>
      </c>
      <c r="C25" s="268">
        <v>95</v>
      </c>
      <c r="D25" s="268">
        <v>191</v>
      </c>
      <c r="E25" s="268">
        <v>21</v>
      </c>
      <c r="F25" s="268">
        <v>23</v>
      </c>
      <c r="G25" s="268">
        <v>75</v>
      </c>
      <c r="H25" s="268">
        <v>59</v>
      </c>
    </row>
    <row r="26" spans="1:8" s="263" customFormat="1" ht="9" customHeight="1" x14ac:dyDescent="0.25">
      <c r="A26" s="263" t="s">
        <v>34</v>
      </c>
      <c r="B26" s="266">
        <v>477</v>
      </c>
      <c r="C26" s="266">
        <v>44</v>
      </c>
      <c r="D26" s="266">
        <v>145</v>
      </c>
      <c r="E26" s="266">
        <v>11</v>
      </c>
      <c r="F26" s="266">
        <v>26</v>
      </c>
      <c r="G26" s="266">
        <v>68</v>
      </c>
      <c r="H26" s="266">
        <v>60</v>
      </c>
    </row>
    <row r="27" spans="1:8" s="263" customFormat="1" ht="9" customHeight="1" x14ac:dyDescent="0.25">
      <c r="A27" s="263" t="s">
        <v>35</v>
      </c>
      <c r="B27" s="266">
        <v>2126</v>
      </c>
      <c r="C27" s="266">
        <v>166</v>
      </c>
      <c r="D27" s="266">
        <v>319</v>
      </c>
      <c r="E27" s="266">
        <v>44</v>
      </c>
      <c r="F27" s="266">
        <v>65</v>
      </c>
      <c r="G27" s="266">
        <v>178</v>
      </c>
      <c r="H27" s="266">
        <v>122</v>
      </c>
    </row>
    <row r="28" spans="1:8" s="263" customFormat="1" ht="9" customHeight="1" x14ac:dyDescent="0.25">
      <c r="A28" s="263" t="s">
        <v>36</v>
      </c>
      <c r="B28" s="266">
        <v>2268</v>
      </c>
      <c r="C28" s="266">
        <v>422</v>
      </c>
      <c r="D28" s="266">
        <v>781</v>
      </c>
      <c r="E28" s="266">
        <v>56</v>
      </c>
      <c r="F28" s="266">
        <v>63</v>
      </c>
      <c r="G28" s="266">
        <v>348</v>
      </c>
      <c r="H28" s="266">
        <v>290</v>
      </c>
    </row>
    <row r="29" spans="1:8" s="263" customFormat="1" ht="9" customHeight="1" x14ac:dyDescent="0.25">
      <c r="A29" s="267" t="s">
        <v>37</v>
      </c>
      <c r="B29" s="268">
        <v>830</v>
      </c>
      <c r="C29" s="268">
        <v>93</v>
      </c>
      <c r="D29" s="268">
        <v>89</v>
      </c>
      <c r="E29" s="268">
        <v>12</v>
      </c>
      <c r="F29" s="268">
        <v>25</v>
      </c>
      <c r="G29" s="268">
        <v>53</v>
      </c>
      <c r="H29" s="268">
        <v>40</v>
      </c>
    </row>
    <row r="30" spans="1:8" s="263" customFormat="1" ht="9" customHeight="1" x14ac:dyDescent="0.25">
      <c r="A30" s="263" t="s">
        <v>38</v>
      </c>
      <c r="B30" s="266">
        <v>418</v>
      </c>
      <c r="C30" s="266">
        <v>51</v>
      </c>
      <c r="D30" s="266">
        <v>102</v>
      </c>
      <c r="E30" s="266">
        <v>7</v>
      </c>
      <c r="F30" s="266">
        <v>13</v>
      </c>
      <c r="G30" s="266">
        <v>70</v>
      </c>
      <c r="H30" s="266">
        <v>50</v>
      </c>
    </row>
    <row r="31" spans="1:8" s="263" customFormat="1" ht="9" customHeight="1" x14ac:dyDescent="0.25">
      <c r="A31" s="263" t="s">
        <v>39</v>
      </c>
      <c r="B31" s="266">
        <v>150</v>
      </c>
      <c r="C31" s="266">
        <v>24</v>
      </c>
      <c r="D31" s="266">
        <v>27</v>
      </c>
      <c r="E31" s="266">
        <v>7</v>
      </c>
      <c r="F31" s="266">
        <v>7</v>
      </c>
      <c r="G31" s="266">
        <v>18</v>
      </c>
      <c r="H31" s="266">
        <v>13</v>
      </c>
    </row>
    <row r="32" spans="1:8" s="263" customFormat="1" ht="9" customHeight="1" x14ac:dyDescent="0.25">
      <c r="A32" s="263" t="s">
        <v>40</v>
      </c>
      <c r="B32" s="266">
        <v>2315</v>
      </c>
      <c r="C32" s="266">
        <v>262</v>
      </c>
      <c r="D32" s="266">
        <v>264</v>
      </c>
      <c r="E32" s="266">
        <v>24</v>
      </c>
      <c r="F32" s="266">
        <v>30</v>
      </c>
      <c r="G32" s="266">
        <v>84</v>
      </c>
      <c r="H32" s="266">
        <v>34</v>
      </c>
    </row>
    <row r="33" spans="1:8" s="263" customFormat="1" ht="9" customHeight="1" x14ac:dyDescent="0.25">
      <c r="A33" s="267" t="s">
        <v>41</v>
      </c>
      <c r="B33" s="268">
        <v>324</v>
      </c>
      <c r="C33" s="268">
        <v>70</v>
      </c>
      <c r="D33" s="268">
        <v>111</v>
      </c>
      <c r="E33" s="268">
        <v>11</v>
      </c>
      <c r="F33" s="268">
        <v>13</v>
      </c>
      <c r="G33" s="268">
        <v>40</v>
      </c>
      <c r="H33" s="268">
        <v>28</v>
      </c>
    </row>
    <row r="34" spans="1:8" s="263" customFormat="1" ht="9" customHeight="1" x14ac:dyDescent="0.25">
      <c r="A34" s="263" t="s">
        <v>42</v>
      </c>
      <c r="B34" s="266">
        <v>1705</v>
      </c>
      <c r="C34" s="266">
        <v>193</v>
      </c>
      <c r="D34" s="266">
        <v>349</v>
      </c>
      <c r="E34" s="266">
        <v>28</v>
      </c>
      <c r="F34" s="266">
        <v>38</v>
      </c>
      <c r="G34" s="266">
        <v>155</v>
      </c>
      <c r="H34" s="266">
        <v>105</v>
      </c>
    </row>
    <row r="35" spans="1:8" s="263" customFormat="1" ht="9" customHeight="1" x14ac:dyDescent="0.25">
      <c r="A35" s="263" t="s">
        <v>43</v>
      </c>
      <c r="B35" s="266">
        <v>242</v>
      </c>
      <c r="C35" s="266">
        <v>47</v>
      </c>
      <c r="D35" s="266">
        <v>42</v>
      </c>
      <c r="E35" s="266">
        <v>3</v>
      </c>
      <c r="F35" s="266">
        <v>5</v>
      </c>
      <c r="G35" s="266">
        <v>28</v>
      </c>
      <c r="H35" s="266">
        <v>17</v>
      </c>
    </row>
    <row r="36" spans="1:8" s="263" customFormat="1" ht="9" customHeight="1" x14ac:dyDescent="0.25">
      <c r="A36" s="263" t="s">
        <v>44</v>
      </c>
      <c r="B36" s="266">
        <v>195</v>
      </c>
      <c r="C36" s="266">
        <v>29</v>
      </c>
      <c r="D36" s="266">
        <v>131</v>
      </c>
      <c r="E36" s="266">
        <v>13</v>
      </c>
      <c r="F36" s="266">
        <v>12</v>
      </c>
      <c r="G36" s="266">
        <v>24</v>
      </c>
      <c r="H36" s="266">
        <v>19</v>
      </c>
    </row>
    <row r="37" spans="1:8" s="263" customFormat="1" ht="9" customHeight="1" x14ac:dyDescent="0.25">
      <c r="A37" s="267" t="s">
        <v>45</v>
      </c>
      <c r="B37" s="268">
        <v>491</v>
      </c>
      <c r="C37" s="268">
        <v>94</v>
      </c>
      <c r="D37" s="268">
        <v>211</v>
      </c>
      <c r="E37" s="268">
        <v>14</v>
      </c>
      <c r="F37" s="268">
        <v>23</v>
      </c>
      <c r="G37" s="268">
        <v>44</v>
      </c>
      <c r="H37" s="268">
        <v>34</v>
      </c>
    </row>
    <row r="38" spans="1:8" s="263" customFormat="1" ht="9" customHeight="1" x14ac:dyDescent="0.25">
      <c r="A38" s="263" t="s">
        <v>46</v>
      </c>
      <c r="B38" s="266">
        <v>440</v>
      </c>
      <c r="C38" s="266">
        <v>89</v>
      </c>
      <c r="D38" s="266">
        <v>108</v>
      </c>
      <c r="E38" s="266">
        <v>20</v>
      </c>
      <c r="F38" s="266">
        <v>24</v>
      </c>
      <c r="G38" s="266">
        <v>58</v>
      </c>
      <c r="H38" s="266">
        <v>37</v>
      </c>
    </row>
    <row r="39" spans="1:8" s="263" customFormat="1" ht="9" customHeight="1" x14ac:dyDescent="0.25">
      <c r="A39" s="263" t="s">
        <v>47</v>
      </c>
      <c r="B39" s="266">
        <v>396</v>
      </c>
      <c r="C39" s="266">
        <v>63</v>
      </c>
      <c r="D39" s="266">
        <v>78</v>
      </c>
      <c r="E39" s="266">
        <v>14</v>
      </c>
      <c r="F39" s="266">
        <v>21</v>
      </c>
      <c r="G39" s="266">
        <v>54</v>
      </c>
      <c r="H39" s="266">
        <v>37</v>
      </c>
    </row>
    <row r="40" spans="1:8" s="263" customFormat="1" ht="9" customHeight="1" x14ac:dyDescent="0.25">
      <c r="A40" s="263" t="s">
        <v>48</v>
      </c>
      <c r="B40" s="266">
        <v>399</v>
      </c>
      <c r="C40" s="266">
        <v>58</v>
      </c>
      <c r="D40" s="266">
        <v>120</v>
      </c>
      <c r="E40" s="266">
        <v>13</v>
      </c>
      <c r="F40" s="266">
        <v>19</v>
      </c>
      <c r="G40" s="266">
        <v>51</v>
      </c>
      <c r="H40" s="266">
        <v>30</v>
      </c>
    </row>
    <row r="41" spans="1:8" s="263" customFormat="1" ht="9" customHeight="1" x14ac:dyDescent="0.25">
      <c r="A41" s="267" t="s">
        <v>49</v>
      </c>
      <c r="B41" s="268">
        <v>632</v>
      </c>
      <c r="C41" s="268">
        <v>80</v>
      </c>
      <c r="D41" s="268">
        <v>216</v>
      </c>
      <c r="E41" s="268">
        <v>28</v>
      </c>
      <c r="F41" s="268">
        <v>24</v>
      </c>
      <c r="G41" s="268">
        <v>74</v>
      </c>
      <c r="H41" s="268">
        <v>60</v>
      </c>
    </row>
    <row r="42" spans="1:8" s="263" customFormat="1" ht="9" customHeight="1" x14ac:dyDescent="0.25">
      <c r="A42" s="263" t="s">
        <v>50</v>
      </c>
      <c r="B42" s="266">
        <v>198</v>
      </c>
      <c r="C42" s="266">
        <v>29</v>
      </c>
      <c r="D42" s="266">
        <v>66</v>
      </c>
      <c r="E42" s="266">
        <v>7</v>
      </c>
      <c r="F42" s="266">
        <v>6</v>
      </c>
      <c r="G42" s="266">
        <v>33</v>
      </c>
      <c r="H42" s="266">
        <v>30</v>
      </c>
    </row>
    <row r="43" spans="1:8" s="263" customFormat="1" ht="9" customHeight="1" x14ac:dyDescent="0.25">
      <c r="A43" s="263" t="s">
        <v>51</v>
      </c>
      <c r="B43" s="266">
        <v>1105</v>
      </c>
      <c r="C43" s="266">
        <v>102</v>
      </c>
      <c r="D43" s="266">
        <v>237</v>
      </c>
      <c r="E43" s="266">
        <v>38</v>
      </c>
      <c r="F43" s="266">
        <v>29</v>
      </c>
      <c r="G43" s="266">
        <v>128</v>
      </c>
      <c r="H43" s="266">
        <v>86</v>
      </c>
    </row>
    <row r="44" spans="1:8" s="263" customFormat="1" ht="9" customHeight="1" x14ac:dyDescent="0.25">
      <c r="A44" s="263" t="s">
        <v>52</v>
      </c>
      <c r="B44" s="266">
        <v>503</v>
      </c>
      <c r="C44" s="266">
        <v>51</v>
      </c>
      <c r="D44" s="266">
        <v>345</v>
      </c>
      <c r="E44" s="266">
        <v>19</v>
      </c>
      <c r="F44" s="266">
        <v>14</v>
      </c>
      <c r="G44" s="266">
        <v>55</v>
      </c>
      <c r="H44" s="266">
        <v>31</v>
      </c>
    </row>
    <row r="45" spans="1:8" s="263" customFormat="1" ht="9" customHeight="1" x14ac:dyDescent="0.25">
      <c r="A45" s="267" t="s">
        <v>53</v>
      </c>
      <c r="B45" s="268">
        <v>191</v>
      </c>
      <c r="C45" s="268">
        <v>19</v>
      </c>
      <c r="D45" s="268">
        <v>63</v>
      </c>
      <c r="E45" s="268">
        <v>6</v>
      </c>
      <c r="F45" s="268">
        <v>9</v>
      </c>
      <c r="G45" s="268">
        <v>18</v>
      </c>
      <c r="H45" s="268">
        <v>15</v>
      </c>
    </row>
    <row r="46" spans="1:8" s="263" customFormat="1" ht="9" customHeight="1" x14ac:dyDescent="0.25">
      <c r="B46" s="266"/>
      <c r="C46" s="266"/>
      <c r="D46" s="266"/>
      <c r="E46" s="266"/>
      <c r="F46" s="266"/>
      <c r="G46" s="266"/>
      <c r="H46" s="266"/>
    </row>
    <row r="47" spans="1:8" s="263" customFormat="1" ht="9" customHeight="1" x14ac:dyDescent="0.25">
      <c r="A47" s="261">
        <v>1996</v>
      </c>
      <c r="B47" s="262"/>
      <c r="C47" s="262"/>
      <c r="D47" s="262"/>
      <c r="E47" s="262"/>
      <c r="F47" s="262"/>
      <c r="G47" s="262"/>
      <c r="H47" s="262"/>
    </row>
    <row r="48" spans="1:8" s="263" customFormat="1" ht="9" customHeight="1" x14ac:dyDescent="0.25">
      <c r="A48" s="265" t="s">
        <v>21</v>
      </c>
      <c r="B48" s="262">
        <f t="shared" ref="B48:G48" si="1">SUM(B50:B81)</f>
        <v>27052</v>
      </c>
      <c r="C48" s="262">
        <f t="shared" si="1"/>
        <v>3744</v>
      </c>
      <c r="D48" s="262">
        <f t="shared" si="1"/>
        <v>6948</v>
      </c>
      <c r="E48" s="262">
        <f t="shared" si="1"/>
        <v>607</v>
      </c>
      <c r="F48" s="262">
        <f t="shared" si="1"/>
        <v>897</v>
      </c>
      <c r="G48" s="262">
        <f t="shared" si="1"/>
        <v>2831</v>
      </c>
      <c r="H48" s="262">
        <f>SUM(H50:H81)</f>
        <v>1886</v>
      </c>
    </row>
    <row r="49" spans="1:8" s="263" customFormat="1" ht="3.95" customHeight="1" x14ac:dyDescent="0.25">
      <c r="A49" s="265"/>
      <c r="B49" s="262"/>
      <c r="C49" s="262"/>
      <c r="D49" s="262"/>
      <c r="E49" s="262"/>
      <c r="F49" s="262"/>
      <c r="G49" s="262"/>
      <c r="H49" s="262"/>
    </row>
    <row r="50" spans="1:8" s="263" customFormat="1" ht="9" customHeight="1" x14ac:dyDescent="0.25">
      <c r="A50" s="263" t="s">
        <v>23</v>
      </c>
      <c r="B50" s="266">
        <v>219</v>
      </c>
      <c r="C50" s="266">
        <v>52</v>
      </c>
      <c r="D50" s="266">
        <v>57</v>
      </c>
      <c r="E50" s="266">
        <v>8</v>
      </c>
      <c r="F50" s="266">
        <v>9</v>
      </c>
      <c r="G50" s="266">
        <v>33</v>
      </c>
      <c r="H50" s="266">
        <v>12</v>
      </c>
    </row>
    <row r="51" spans="1:8" s="263" customFormat="1" ht="9" customHeight="1" x14ac:dyDescent="0.25">
      <c r="A51" s="263" t="s">
        <v>24</v>
      </c>
      <c r="B51" s="266">
        <v>611</v>
      </c>
      <c r="C51" s="266">
        <v>99</v>
      </c>
      <c r="D51" s="266">
        <v>154</v>
      </c>
      <c r="E51" s="266">
        <v>18</v>
      </c>
      <c r="F51" s="266">
        <v>27</v>
      </c>
      <c r="G51" s="266">
        <v>90</v>
      </c>
      <c r="H51" s="266">
        <v>58</v>
      </c>
    </row>
    <row r="52" spans="1:8" s="263" customFormat="1" ht="9" customHeight="1" x14ac:dyDescent="0.25">
      <c r="A52" s="263" t="s">
        <v>25</v>
      </c>
      <c r="B52" s="266">
        <v>21</v>
      </c>
      <c r="C52" s="266">
        <v>6</v>
      </c>
      <c r="D52" s="266">
        <v>26</v>
      </c>
      <c r="E52" s="266">
        <v>3</v>
      </c>
      <c r="F52" s="266">
        <v>2</v>
      </c>
      <c r="G52" s="266">
        <v>6</v>
      </c>
      <c r="H52" s="266">
        <v>4</v>
      </c>
    </row>
    <row r="53" spans="1:8" s="263" customFormat="1" ht="9" customHeight="1" x14ac:dyDescent="0.25">
      <c r="A53" s="267" t="s">
        <v>26</v>
      </c>
      <c r="B53" s="268">
        <v>76</v>
      </c>
      <c r="C53" s="268">
        <v>9</v>
      </c>
      <c r="D53" s="268">
        <v>26</v>
      </c>
      <c r="E53" s="268">
        <v>3</v>
      </c>
      <c r="F53" s="268">
        <v>5</v>
      </c>
      <c r="G53" s="268">
        <v>9</v>
      </c>
      <c r="H53" s="268">
        <v>6</v>
      </c>
    </row>
    <row r="54" spans="1:8" s="263" customFormat="1" ht="9" customHeight="1" x14ac:dyDescent="0.25">
      <c r="A54" s="263" t="s">
        <v>27</v>
      </c>
      <c r="B54" s="266">
        <v>501</v>
      </c>
      <c r="C54" s="266">
        <v>117</v>
      </c>
      <c r="D54" s="266">
        <v>244</v>
      </c>
      <c r="E54" s="266">
        <v>12</v>
      </c>
      <c r="F54" s="266">
        <v>21</v>
      </c>
      <c r="G54" s="266">
        <v>52</v>
      </c>
      <c r="H54" s="266">
        <v>29</v>
      </c>
    </row>
    <row r="55" spans="1:8" s="263" customFormat="1" ht="9" customHeight="1" x14ac:dyDescent="0.25">
      <c r="A55" s="263" t="s">
        <v>28</v>
      </c>
      <c r="B55" s="266">
        <v>92</v>
      </c>
      <c r="C55" s="266">
        <v>3</v>
      </c>
      <c r="D55" s="266">
        <v>22</v>
      </c>
      <c r="E55" s="266">
        <v>5</v>
      </c>
      <c r="F55" s="266">
        <v>6</v>
      </c>
      <c r="G55" s="266">
        <v>11</v>
      </c>
      <c r="H55" s="266">
        <v>9</v>
      </c>
    </row>
    <row r="56" spans="1:8" s="263" customFormat="1" ht="9" customHeight="1" x14ac:dyDescent="0.25">
      <c r="A56" s="263" t="s">
        <v>29</v>
      </c>
      <c r="B56" s="266">
        <v>455</v>
      </c>
      <c r="C56" s="266">
        <v>92</v>
      </c>
      <c r="D56" s="266">
        <v>163</v>
      </c>
      <c r="E56" s="266">
        <v>14</v>
      </c>
      <c r="F56" s="266">
        <v>19</v>
      </c>
      <c r="G56" s="266">
        <v>63</v>
      </c>
      <c r="H56" s="266">
        <v>43</v>
      </c>
    </row>
    <row r="57" spans="1:8" s="263" customFormat="1" ht="9" customHeight="1" x14ac:dyDescent="0.25">
      <c r="A57" s="267" t="s">
        <v>30</v>
      </c>
      <c r="B57" s="268">
        <v>889</v>
      </c>
      <c r="C57" s="268">
        <v>147</v>
      </c>
      <c r="D57" s="268">
        <v>117</v>
      </c>
      <c r="E57" s="268">
        <v>23</v>
      </c>
      <c r="F57" s="268">
        <v>38</v>
      </c>
      <c r="G57" s="268">
        <v>73</v>
      </c>
      <c r="H57" s="268">
        <v>49</v>
      </c>
    </row>
    <row r="58" spans="1:8" s="263" customFormat="1" ht="9" customHeight="1" x14ac:dyDescent="0.25">
      <c r="A58" s="263" t="s">
        <v>63</v>
      </c>
      <c r="B58" s="266">
        <v>7049</v>
      </c>
      <c r="C58" s="266">
        <v>747</v>
      </c>
      <c r="D58" s="266">
        <v>1173</v>
      </c>
      <c r="E58" s="266">
        <v>70</v>
      </c>
      <c r="F58" s="266">
        <v>131</v>
      </c>
      <c r="G58" s="266">
        <v>411</v>
      </c>
      <c r="H58" s="266">
        <v>213</v>
      </c>
    </row>
    <row r="59" spans="1:8" s="263" customFormat="1" ht="9" customHeight="1" x14ac:dyDescent="0.25">
      <c r="A59" s="263" t="s">
        <v>31</v>
      </c>
      <c r="B59" s="266">
        <v>347</v>
      </c>
      <c r="C59" s="266">
        <v>13</v>
      </c>
      <c r="D59" s="266">
        <v>36</v>
      </c>
      <c r="E59" s="266">
        <v>11</v>
      </c>
      <c r="F59" s="266">
        <v>11</v>
      </c>
      <c r="G59" s="266">
        <v>38</v>
      </c>
      <c r="H59" s="266">
        <v>19</v>
      </c>
    </row>
    <row r="60" spans="1:8" s="263" customFormat="1" ht="9" customHeight="1" x14ac:dyDescent="0.25">
      <c r="A60" s="263" t="s">
        <v>32</v>
      </c>
      <c r="B60" s="266">
        <v>1738</v>
      </c>
      <c r="C60" s="266">
        <v>248</v>
      </c>
      <c r="D60" s="266">
        <v>530</v>
      </c>
      <c r="E60" s="266">
        <v>32</v>
      </c>
      <c r="F60" s="266">
        <v>90</v>
      </c>
      <c r="G60" s="266">
        <v>199</v>
      </c>
      <c r="H60" s="266">
        <v>163</v>
      </c>
    </row>
    <row r="61" spans="1:8" s="263" customFormat="1" ht="9" customHeight="1" x14ac:dyDescent="0.25">
      <c r="A61" s="267" t="s">
        <v>33</v>
      </c>
      <c r="B61" s="268">
        <v>666</v>
      </c>
      <c r="C61" s="268">
        <v>98</v>
      </c>
      <c r="D61" s="268">
        <v>217</v>
      </c>
      <c r="E61" s="268">
        <v>20</v>
      </c>
      <c r="F61" s="268">
        <v>29</v>
      </c>
      <c r="G61" s="268">
        <v>86</v>
      </c>
      <c r="H61" s="268">
        <v>67</v>
      </c>
    </row>
    <row r="62" spans="1:8" s="263" customFormat="1" ht="9" customHeight="1" x14ac:dyDescent="0.25">
      <c r="A62" s="263" t="s">
        <v>34</v>
      </c>
      <c r="B62" s="266">
        <v>511</v>
      </c>
      <c r="C62" s="266">
        <v>70</v>
      </c>
      <c r="D62" s="266">
        <v>157</v>
      </c>
      <c r="E62" s="266">
        <v>12</v>
      </c>
      <c r="F62" s="266">
        <v>27</v>
      </c>
      <c r="G62" s="266">
        <v>72</v>
      </c>
      <c r="H62" s="266">
        <v>61</v>
      </c>
    </row>
    <row r="63" spans="1:8" s="263" customFormat="1" ht="9" customHeight="1" x14ac:dyDescent="0.25">
      <c r="A63" s="263" t="s">
        <v>35</v>
      </c>
      <c r="B63" s="266">
        <v>2183</v>
      </c>
      <c r="C63" s="266">
        <v>225</v>
      </c>
      <c r="D63" s="266">
        <v>356</v>
      </c>
      <c r="E63" s="266">
        <v>42</v>
      </c>
      <c r="F63" s="266">
        <v>77</v>
      </c>
      <c r="G63" s="266">
        <v>197</v>
      </c>
      <c r="H63" s="266">
        <v>102</v>
      </c>
    </row>
    <row r="64" spans="1:8" s="263" customFormat="1" ht="9" customHeight="1" x14ac:dyDescent="0.25">
      <c r="A64" s="263" t="s">
        <v>36</v>
      </c>
      <c r="B64" s="266">
        <v>2840</v>
      </c>
      <c r="C64" s="266">
        <v>479</v>
      </c>
      <c r="D64" s="266">
        <v>927</v>
      </c>
      <c r="E64" s="266">
        <v>68</v>
      </c>
      <c r="F64" s="266">
        <v>76</v>
      </c>
      <c r="G64" s="266">
        <v>452</v>
      </c>
      <c r="H64" s="266">
        <v>349</v>
      </c>
    </row>
    <row r="65" spans="1:8" s="263" customFormat="1" ht="9" customHeight="1" x14ac:dyDescent="0.25">
      <c r="A65" s="267" t="s">
        <v>37</v>
      </c>
      <c r="B65" s="268">
        <v>860</v>
      </c>
      <c r="C65" s="268">
        <v>97</v>
      </c>
      <c r="D65" s="268">
        <v>134</v>
      </c>
      <c r="E65" s="268">
        <v>14</v>
      </c>
      <c r="F65" s="268">
        <v>26</v>
      </c>
      <c r="G65" s="268">
        <v>61</v>
      </c>
      <c r="H65" s="268">
        <v>45</v>
      </c>
    </row>
    <row r="66" spans="1:8" s="263" customFormat="1" ht="9" customHeight="1" x14ac:dyDescent="0.25">
      <c r="A66" s="263" t="s">
        <v>38</v>
      </c>
      <c r="B66" s="266">
        <v>415</v>
      </c>
      <c r="C66" s="266">
        <v>55</v>
      </c>
      <c r="D66" s="266">
        <v>107</v>
      </c>
      <c r="E66" s="266">
        <v>6</v>
      </c>
      <c r="F66" s="266">
        <v>10</v>
      </c>
      <c r="G66" s="266">
        <v>73</v>
      </c>
      <c r="H66" s="266">
        <v>49</v>
      </c>
    </row>
    <row r="67" spans="1:8" s="263" customFormat="1" ht="9" customHeight="1" x14ac:dyDescent="0.25">
      <c r="A67" s="263" t="s">
        <v>39</v>
      </c>
      <c r="B67" s="266">
        <v>144</v>
      </c>
      <c r="C67" s="266">
        <v>29</v>
      </c>
      <c r="D67" s="266">
        <v>30</v>
      </c>
      <c r="E67" s="266">
        <v>7</v>
      </c>
      <c r="F67" s="266">
        <v>7</v>
      </c>
      <c r="G67" s="266">
        <v>20</v>
      </c>
      <c r="H67" s="266">
        <v>15</v>
      </c>
    </row>
    <row r="68" spans="1:8" s="263" customFormat="1" ht="9" customHeight="1" x14ac:dyDescent="0.25">
      <c r="A68" s="263" t="s">
        <v>40</v>
      </c>
      <c r="B68" s="266">
        <v>1085</v>
      </c>
      <c r="C68" s="266">
        <v>291</v>
      </c>
      <c r="D68" s="266">
        <v>309</v>
      </c>
      <c r="E68" s="266">
        <v>24</v>
      </c>
      <c r="F68" s="266">
        <v>34</v>
      </c>
      <c r="G68" s="266">
        <v>94</v>
      </c>
      <c r="H68" s="266">
        <v>45</v>
      </c>
    </row>
    <row r="69" spans="1:8" s="263" customFormat="1" ht="9" customHeight="1" x14ac:dyDescent="0.25">
      <c r="A69" s="267" t="s">
        <v>41</v>
      </c>
      <c r="B69" s="268">
        <v>305</v>
      </c>
      <c r="C69" s="268">
        <v>71</v>
      </c>
      <c r="D69" s="268">
        <v>117</v>
      </c>
      <c r="E69" s="268">
        <v>10</v>
      </c>
      <c r="F69" s="268">
        <v>13</v>
      </c>
      <c r="G69" s="268">
        <v>36</v>
      </c>
      <c r="H69" s="268">
        <v>30</v>
      </c>
    </row>
    <row r="70" spans="1:8" s="263" customFormat="1" ht="9" customHeight="1" x14ac:dyDescent="0.25">
      <c r="A70" s="263" t="s">
        <v>42</v>
      </c>
      <c r="B70" s="266">
        <v>1452</v>
      </c>
      <c r="C70" s="266">
        <v>162</v>
      </c>
      <c r="D70" s="266">
        <v>353</v>
      </c>
      <c r="E70" s="266">
        <v>32</v>
      </c>
      <c r="F70" s="266">
        <v>39</v>
      </c>
      <c r="G70" s="266">
        <v>160</v>
      </c>
      <c r="H70" s="266">
        <v>113</v>
      </c>
    </row>
    <row r="71" spans="1:8" s="263" customFormat="1" ht="9" customHeight="1" x14ac:dyDescent="0.25">
      <c r="A71" s="263" t="s">
        <v>43</v>
      </c>
      <c r="B71" s="266">
        <v>225</v>
      </c>
      <c r="C71" s="266">
        <v>47</v>
      </c>
      <c r="D71" s="266">
        <v>43</v>
      </c>
      <c r="E71" s="266">
        <v>2</v>
      </c>
      <c r="F71" s="266">
        <v>6</v>
      </c>
      <c r="G71" s="266">
        <v>26</v>
      </c>
      <c r="H71" s="266">
        <v>17</v>
      </c>
    </row>
    <row r="72" spans="1:8" s="263" customFormat="1" ht="9" customHeight="1" x14ac:dyDescent="0.25">
      <c r="A72" s="263" t="s">
        <v>44</v>
      </c>
      <c r="B72" s="266">
        <v>206</v>
      </c>
      <c r="C72" s="266">
        <v>27</v>
      </c>
      <c r="D72" s="266">
        <v>157</v>
      </c>
      <c r="E72" s="266">
        <v>16</v>
      </c>
      <c r="F72" s="266">
        <v>15</v>
      </c>
      <c r="G72" s="266">
        <v>27</v>
      </c>
      <c r="H72" s="266">
        <v>20</v>
      </c>
    </row>
    <row r="73" spans="1:8" s="263" customFormat="1" ht="9" customHeight="1" x14ac:dyDescent="0.25">
      <c r="A73" s="267" t="s">
        <v>45</v>
      </c>
      <c r="B73" s="268">
        <v>477</v>
      </c>
      <c r="C73" s="268">
        <v>69</v>
      </c>
      <c r="D73" s="268">
        <v>156</v>
      </c>
      <c r="E73" s="268">
        <v>13</v>
      </c>
      <c r="F73" s="268">
        <v>21</v>
      </c>
      <c r="G73" s="268">
        <v>44</v>
      </c>
      <c r="H73" s="268">
        <v>32</v>
      </c>
    </row>
    <row r="74" spans="1:8" s="263" customFormat="1" ht="9" customHeight="1" x14ac:dyDescent="0.25">
      <c r="A74" s="263" t="s">
        <v>46</v>
      </c>
      <c r="B74" s="266">
        <v>497</v>
      </c>
      <c r="C74" s="266">
        <v>72</v>
      </c>
      <c r="D74" s="266">
        <v>151</v>
      </c>
      <c r="E74" s="266">
        <v>25</v>
      </c>
      <c r="F74" s="266">
        <v>25</v>
      </c>
      <c r="G74" s="266">
        <v>73</v>
      </c>
      <c r="H74" s="266">
        <v>44</v>
      </c>
    </row>
    <row r="75" spans="1:8" s="263" customFormat="1" ht="9" customHeight="1" x14ac:dyDescent="0.25">
      <c r="A75" s="263" t="s">
        <v>47</v>
      </c>
      <c r="B75" s="266">
        <v>482</v>
      </c>
      <c r="C75" s="266">
        <v>66</v>
      </c>
      <c r="D75" s="266">
        <v>196</v>
      </c>
      <c r="E75" s="266">
        <v>17</v>
      </c>
      <c r="F75" s="266">
        <v>30</v>
      </c>
      <c r="G75" s="266">
        <v>63</v>
      </c>
      <c r="H75" s="266">
        <v>39</v>
      </c>
    </row>
    <row r="76" spans="1:8" s="263" customFormat="1" ht="9" customHeight="1" x14ac:dyDescent="0.25">
      <c r="A76" s="263" t="s">
        <v>48</v>
      </c>
      <c r="B76" s="266">
        <v>297</v>
      </c>
      <c r="C76" s="266">
        <v>48</v>
      </c>
      <c r="D76" s="266">
        <v>113</v>
      </c>
      <c r="E76" s="266">
        <v>13</v>
      </c>
      <c r="F76" s="266">
        <v>20</v>
      </c>
      <c r="G76" s="266">
        <v>51</v>
      </c>
      <c r="H76" s="266">
        <v>34</v>
      </c>
    </row>
    <row r="77" spans="1:8" s="263" customFormat="1" ht="9" customHeight="1" x14ac:dyDescent="0.25">
      <c r="A77" s="267" t="s">
        <v>49</v>
      </c>
      <c r="B77" s="268">
        <v>649</v>
      </c>
      <c r="C77" s="268">
        <v>109</v>
      </c>
      <c r="D77" s="268">
        <v>204</v>
      </c>
      <c r="E77" s="268">
        <v>21</v>
      </c>
      <c r="F77" s="268">
        <v>23</v>
      </c>
      <c r="G77" s="268">
        <v>86</v>
      </c>
      <c r="H77" s="268">
        <v>67</v>
      </c>
    </row>
    <row r="78" spans="1:8" s="263" customFormat="1" ht="9" customHeight="1" x14ac:dyDescent="0.25">
      <c r="A78" s="263" t="s">
        <v>50</v>
      </c>
      <c r="B78" s="266">
        <v>219</v>
      </c>
      <c r="C78" s="266">
        <v>42</v>
      </c>
      <c r="D78" s="266">
        <v>84</v>
      </c>
      <c r="E78" s="266">
        <v>8</v>
      </c>
      <c r="F78" s="266">
        <v>6</v>
      </c>
      <c r="G78" s="266">
        <v>38</v>
      </c>
      <c r="H78" s="266">
        <v>33</v>
      </c>
    </row>
    <row r="79" spans="1:8" s="263" customFormat="1" ht="9" customHeight="1" x14ac:dyDescent="0.25">
      <c r="A79" s="263" t="s">
        <v>51</v>
      </c>
      <c r="B79" s="266">
        <v>888</v>
      </c>
      <c r="C79" s="266">
        <v>99</v>
      </c>
      <c r="D79" s="266">
        <v>220</v>
      </c>
      <c r="E79" s="266">
        <v>27</v>
      </c>
      <c r="F79" s="266">
        <v>27</v>
      </c>
      <c r="G79" s="266">
        <v>116</v>
      </c>
      <c r="H79" s="266">
        <v>78</v>
      </c>
    </row>
    <row r="80" spans="1:8" s="263" customFormat="1" ht="9" customHeight="1" x14ac:dyDescent="0.25">
      <c r="A80" s="263" t="s">
        <v>52</v>
      </c>
      <c r="B80" s="266">
        <v>470</v>
      </c>
      <c r="C80" s="266">
        <v>25</v>
      </c>
      <c r="D80" s="266">
        <v>311</v>
      </c>
      <c r="E80" s="266">
        <v>25</v>
      </c>
      <c r="F80" s="266">
        <v>18</v>
      </c>
      <c r="G80" s="266">
        <v>53</v>
      </c>
      <c r="H80" s="266">
        <v>27</v>
      </c>
    </row>
    <row r="81" spans="1:8" s="263" customFormat="1" ht="9" customHeight="1" x14ac:dyDescent="0.25">
      <c r="A81" s="267" t="s">
        <v>53</v>
      </c>
      <c r="B81" s="268">
        <v>183</v>
      </c>
      <c r="C81" s="268">
        <v>30</v>
      </c>
      <c r="D81" s="268">
        <v>58</v>
      </c>
      <c r="E81" s="268">
        <v>6</v>
      </c>
      <c r="F81" s="268">
        <v>9</v>
      </c>
      <c r="G81" s="268">
        <v>18</v>
      </c>
      <c r="H81" s="268">
        <v>14</v>
      </c>
    </row>
    <row r="82" spans="1:8" s="263" customFormat="1" ht="9" customHeight="1" x14ac:dyDescent="0.25">
      <c r="B82" s="266"/>
      <c r="C82" s="266"/>
      <c r="D82" s="266"/>
      <c r="E82" s="266"/>
      <c r="F82" s="266"/>
      <c r="G82" s="266"/>
      <c r="H82" s="266"/>
    </row>
    <row r="83" spans="1:8" s="263" customFormat="1" ht="9" customHeight="1" x14ac:dyDescent="0.25">
      <c r="A83" s="261">
        <v>1997</v>
      </c>
      <c r="B83" s="262"/>
      <c r="C83" s="262"/>
      <c r="D83" s="262"/>
      <c r="E83" s="262"/>
      <c r="F83" s="262"/>
      <c r="G83" s="262"/>
      <c r="H83" s="262"/>
    </row>
    <row r="84" spans="1:8" s="263" customFormat="1" ht="9" customHeight="1" x14ac:dyDescent="0.25">
      <c r="A84" s="265" t="s">
        <v>21</v>
      </c>
      <c r="B84" s="262">
        <f t="shared" ref="B84:H84" si="2">SUM(B86:B117)</f>
        <v>27316</v>
      </c>
      <c r="C84" s="262">
        <f t="shared" si="2"/>
        <v>3661</v>
      </c>
      <c r="D84" s="262">
        <f t="shared" si="2"/>
        <v>7410</v>
      </c>
      <c r="E84" s="262">
        <f t="shared" si="2"/>
        <v>642</v>
      </c>
      <c r="F84" s="262">
        <f t="shared" si="2"/>
        <v>907</v>
      </c>
      <c r="G84" s="262">
        <f t="shared" si="2"/>
        <v>2967</v>
      </c>
      <c r="H84" s="262">
        <f t="shared" si="2"/>
        <v>1988</v>
      </c>
    </row>
    <row r="85" spans="1:8" s="263" customFormat="1" ht="3.95" customHeight="1" x14ac:dyDescent="0.25">
      <c r="A85" s="265"/>
      <c r="B85" s="262"/>
      <c r="C85" s="262"/>
      <c r="D85" s="262"/>
      <c r="E85" s="262"/>
      <c r="F85" s="262"/>
      <c r="G85" s="262"/>
      <c r="H85" s="262"/>
    </row>
    <row r="86" spans="1:8" s="263" customFormat="1" ht="9" customHeight="1" x14ac:dyDescent="0.25">
      <c r="A86" s="263" t="s">
        <v>23</v>
      </c>
      <c r="B86" s="266">
        <v>231</v>
      </c>
      <c r="C86" s="266">
        <v>26</v>
      </c>
      <c r="D86" s="266">
        <v>63</v>
      </c>
      <c r="E86" s="266">
        <v>9</v>
      </c>
      <c r="F86" s="266">
        <v>10</v>
      </c>
      <c r="G86" s="266">
        <v>34</v>
      </c>
      <c r="H86" s="266">
        <v>14</v>
      </c>
    </row>
    <row r="87" spans="1:8" s="263" customFormat="1" ht="9" customHeight="1" x14ac:dyDescent="0.25">
      <c r="A87" s="263" t="s">
        <v>24</v>
      </c>
      <c r="B87" s="266">
        <v>618</v>
      </c>
      <c r="C87" s="266">
        <v>86</v>
      </c>
      <c r="D87" s="266">
        <v>169</v>
      </c>
      <c r="E87" s="266">
        <v>10</v>
      </c>
      <c r="F87" s="266">
        <v>17</v>
      </c>
      <c r="G87" s="266">
        <v>88</v>
      </c>
      <c r="H87" s="266">
        <v>52</v>
      </c>
    </row>
    <row r="88" spans="1:8" s="263" customFormat="1" ht="9" customHeight="1" x14ac:dyDescent="0.25">
      <c r="A88" s="263" t="s">
        <v>25</v>
      </c>
      <c r="B88" s="266">
        <v>26</v>
      </c>
      <c r="C88" s="266">
        <v>7</v>
      </c>
      <c r="D88" s="266">
        <v>30</v>
      </c>
      <c r="E88" s="266">
        <v>2</v>
      </c>
      <c r="F88" s="266">
        <v>2</v>
      </c>
      <c r="G88" s="266">
        <v>7</v>
      </c>
      <c r="H88" s="266">
        <v>5</v>
      </c>
    </row>
    <row r="89" spans="1:8" s="263" customFormat="1" ht="9" customHeight="1" x14ac:dyDescent="0.25">
      <c r="A89" s="267" t="s">
        <v>26</v>
      </c>
      <c r="B89" s="268">
        <v>70</v>
      </c>
      <c r="C89" s="268">
        <v>8</v>
      </c>
      <c r="D89" s="268">
        <v>22</v>
      </c>
      <c r="E89" s="268">
        <v>3</v>
      </c>
      <c r="F89" s="268">
        <v>5</v>
      </c>
      <c r="G89" s="268">
        <v>9</v>
      </c>
      <c r="H89" s="268">
        <v>6</v>
      </c>
    </row>
    <row r="90" spans="1:8" s="263" customFormat="1" ht="9" customHeight="1" x14ac:dyDescent="0.25">
      <c r="A90" s="263" t="s">
        <v>27</v>
      </c>
      <c r="B90" s="266">
        <v>461</v>
      </c>
      <c r="C90" s="266">
        <v>69</v>
      </c>
      <c r="D90" s="266">
        <v>266</v>
      </c>
      <c r="E90" s="266">
        <v>20</v>
      </c>
      <c r="F90" s="266">
        <v>21</v>
      </c>
      <c r="G90" s="266">
        <v>56</v>
      </c>
      <c r="H90" s="266">
        <v>33</v>
      </c>
    </row>
    <row r="91" spans="1:8" s="263" customFormat="1" ht="9" customHeight="1" x14ac:dyDescent="0.25">
      <c r="A91" s="263" t="s">
        <v>28</v>
      </c>
      <c r="B91" s="266">
        <v>130</v>
      </c>
      <c r="C91" s="266">
        <v>10</v>
      </c>
      <c r="D91" s="266">
        <v>32</v>
      </c>
      <c r="E91" s="266">
        <v>11</v>
      </c>
      <c r="F91" s="266">
        <v>9</v>
      </c>
      <c r="G91" s="266">
        <v>19</v>
      </c>
      <c r="H91" s="266">
        <v>14</v>
      </c>
    </row>
    <row r="92" spans="1:8" s="263" customFormat="1" ht="9" customHeight="1" x14ac:dyDescent="0.25">
      <c r="A92" s="263" t="s">
        <v>29</v>
      </c>
      <c r="B92" s="266">
        <v>546</v>
      </c>
      <c r="C92" s="266">
        <v>116</v>
      </c>
      <c r="D92" s="266">
        <v>181</v>
      </c>
      <c r="E92" s="266">
        <v>13</v>
      </c>
      <c r="F92" s="266">
        <v>19</v>
      </c>
      <c r="G92" s="266">
        <v>70</v>
      </c>
      <c r="H92" s="266">
        <v>50</v>
      </c>
    </row>
    <row r="93" spans="1:8" s="263" customFormat="1" ht="9" customHeight="1" x14ac:dyDescent="0.25">
      <c r="A93" s="267" t="s">
        <v>30</v>
      </c>
      <c r="B93" s="268">
        <v>898</v>
      </c>
      <c r="C93" s="268">
        <v>158</v>
      </c>
      <c r="D93" s="268">
        <v>141</v>
      </c>
      <c r="E93" s="268">
        <v>20</v>
      </c>
      <c r="F93" s="268">
        <v>35</v>
      </c>
      <c r="G93" s="268">
        <v>73</v>
      </c>
      <c r="H93" s="268">
        <v>52</v>
      </c>
    </row>
    <row r="94" spans="1:8" s="263" customFormat="1" ht="9" customHeight="1" x14ac:dyDescent="0.25">
      <c r="A94" s="263" t="s">
        <v>63</v>
      </c>
      <c r="B94" s="266">
        <v>6437</v>
      </c>
      <c r="C94" s="266">
        <v>779</v>
      </c>
      <c r="D94" s="266">
        <v>1264</v>
      </c>
      <c r="E94" s="266">
        <v>67</v>
      </c>
      <c r="F94" s="266">
        <v>118</v>
      </c>
      <c r="G94" s="266">
        <v>403</v>
      </c>
      <c r="H94" s="266">
        <v>204</v>
      </c>
    </row>
    <row r="95" spans="1:8" s="263" customFormat="1" ht="9" customHeight="1" x14ac:dyDescent="0.25">
      <c r="A95" s="263" t="s">
        <v>31</v>
      </c>
      <c r="B95" s="266">
        <v>243</v>
      </c>
      <c r="C95" s="266">
        <v>5</v>
      </c>
      <c r="D95" s="266">
        <v>29</v>
      </c>
      <c r="E95" s="266">
        <v>7</v>
      </c>
      <c r="F95" s="266">
        <v>9</v>
      </c>
      <c r="G95" s="266">
        <v>34</v>
      </c>
      <c r="H95" s="266">
        <v>20</v>
      </c>
    </row>
    <row r="96" spans="1:8" s="263" customFormat="1" ht="9" customHeight="1" x14ac:dyDescent="0.25">
      <c r="A96" s="263" t="s">
        <v>32</v>
      </c>
      <c r="B96" s="266">
        <v>1787</v>
      </c>
      <c r="C96" s="266">
        <v>247</v>
      </c>
      <c r="D96" s="266">
        <v>549</v>
      </c>
      <c r="E96" s="266">
        <v>40</v>
      </c>
      <c r="F96" s="266">
        <v>97</v>
      </c>
      <c r="G96" s="266">
        <v>214</v>
      </c>
      <c r="H96" s="266">
        <v>170</v>
      </c>
    </row>
    <row r="97" spans="1:8" s="263" customFormat="1" ht="9" customHeight="1" x14ac:dyDescent="0.25">
      <c r="A97" s="267" t="s">
        <v>33</v>
      </c>
      <c r="B97" s="268">
        <v>736</v>
      </c>
      <c r="C97" s="268">
        <v>73</v>
      </c>
      <c r="D97" s="268">
        <v>247</v>
      </c>
      <c r="E97" s="268">
        <v>19</v>
      </c>
      <c r="F97" s="268">
        <v>31</v>
      </c>
      <c r="G97" s="268">
        <v>83</v>
      </c>
      <c r="H97" s="268">
        <v>67</v>
      </c>
    </row>
    <row r="98" spans="1:8" s="263" customFormat="1" ht="9" customHeight="1" x14ac:dyDescent="0.25">
      <c r="A98" s="263" t="s">
        <v>34</v>
      </c>
      <c r="B98" s="266">
        <v>495</v>
      </c>
      <c r="C98" s="266">
        <v>50</v>
      </c>
      <c r="D98" s="266">
        <v>156</v>
      </c>
      <c r="E98" s="266">
        <v>19</v>
      </c>
      <c r="F98" s="266">
        <v>32</v>
      </c>
      <c r="G98" s="266">
        <v>70</v>
      </c>
      <c r="H98" s="266">
        <v>64</v>
      </c>
    </row>
    <row r="99" spans="1:8" s="263" customFormat="1" ht="9" customHeight="1" x14ac:dyDescent="0.25">
      <c r="A99" s="263" t="s">
        <v>35</v>
      </c>
      <c r="B99" s="266">
        <v>2222</v>
      </c>
      <c r="C99" s="266">
        <v>193</v>
      </c>
      <c r="D99" s="266">
        <v>331</v>
      </c>
      <c r="E99" s="266">
        <v>46</v>
      </c>
      <c r="F99" s="266">
        <v>72</v>
      </c>
      <c r="G99" s="266">
        <v>192</v>
      </c>
      <c r="H99" s="266">
        <v>115</v>
      </c>
    </row>
    <row r="100" spans="1:8" s="263" customFormat="1" ht="9" customHeight="1" x14ac:dyDescent="0.25">
      <c r="A100" s="263" t="s">
        <v>36</v>
      </c>
      <c r="B100" s="266">
        <v>2811</v>
      </c>
      <c r="C100" s="266">
        <v>435</v>
      </c>
      <c r="D100" s="266">
        <v>933</v>
      </c>
      <c r="E100" s="266">
        <v>56</v>
      </c>
      <c r="F100" s="266">
        <v>66</v>
      </c>
      <c r="G100" s="266">
        <v>466</v>
      </c>
      <c r="H100" s="266">
        <v>331</v>
      </c>
    </row>
    <row r="101" spans="1:8" s="263" customFormat="1" ht="9" customHeight="1" x14ac:dyDescent="0.25">
      <c r="A101" s="267" t="s">
        <v>37</v>
      </c>
      <c r="B101" s="268">
        <v>871</v>
      </c>
      <c r="C101" s="268">
        <v>87</v>
      </c>
      <c r="D101" s="268">
        <v>136</v>
      </c>
      <c r="E101" s="268">
        <v>16</v>
      </c>
      <c r="F101" s="268">
        <v>32</v>
      </c>
      <c r="G101" s="268">
        <v>69</v>
      </c>
      <c r="H101" s="268">
        <v>50</v>
      </c>
    </row>
    <row r="102" spans="1:8" s="263" customFormat="1" ht="9" customHeight="1" x14ac:dyDescent="0.25">
      <c r="A102" s="263" t="s">
        <v>38</v>
      </c>
      <c r="B102" s="266">
        <v>443</v>
      </c>
      <c r="C102" s="266">
        <v>71</v>
      </c>
      <c r="D102" s="266">
        <v>132</v>
      </c>
      <c r="E102" s="266">
        <v>9</v>
      </c>
      <c r="F102" s="266">
        <v>14</v>
      </c>
      <c r="G102" s="266">
        <v>84</v>
      </c>
      <c r="H102" s="266">
        <v>62</v>
      </c>
    </row>
    <row r="103" spans="1:8" s="263" customFormat="1" ht="9" customHeight="1" x14ac:dyDescent="0.25">
      <c r="A103" s="263" t="s">
        <v>39</v>
      </c>
      <c r="B103" s="266">
        <v>142</v>
      </c>
      <c r="C103" s="266">
        <v>11</v>
      </c>
      <c r="D103" s="266">
        <v>23</v>
      </c>
      <c r="E103" s="266">
        <v>8</v>
      </c>
      <c r="F103" s="266">
        <v>8</v>
      </c>
      <c r="G103" s="266">
        <v>19</v>
      </c>
      <c r="H103" s="266">
        <v>14</v>
      </c>
    </row>
    <row r="104" spans="1:8" s="263" customFormat="1" ht="9" customHeight="1" x14ac:dyDescent="0.25">
      <c r="A104" s="263" t="s">
        <v>40</v>
      </c>
      <c r="B104" s="266">
        <v>1278</v>
      </c>
      <c r="C104" s="266">
        <v>314</v>
      </c>
      <c r="D104" s="266">
        <v>335</v>
      </c>
      <c r="E104" s="266">
        <v>39</v>
      </c>
      <c r="F104" s="266">
        <v>44</v>
      </c>
      <c r="G104" s="266">
        <v>101</v>
      </c>
      <c r="H104" s="266">
        <v>57</v>
      </c>
    </row>
    <row r="105" spans="1:8" s="263" customFormat="1" ht="9" customHeight="1" x14ac:dyDescent="0.25">
      <c r="A105" s="267" t="s">
        <v>41</v>
      </c>
      <c r="B105" s="268">
        <v>387</v>
      </c>
      <c r="C105" s="268">
        <v>79</v>
      </c>
      <c r="D105" s="268">
        <v>165</v>
      </c>
      <c r="E105" s="268">
        <v>17</v>
      </c>
      <c r="F105" s="268">
        <v>15</v>
      </c>
      <c r="G105" s="268">
        <v>52</v>
      </c>
      <c r="H105" s="268">
        <v>45</v>
      </c>
    </row>
    <row r="106" spans="1:8" s="263" customFormat="1" ht="9" customHeight="1" x14ac:dyDescent="0.25">
      <c r="A106" s="263" t="s">
        <v>42</v>
      </c>
      <c r="B106" s="266">
        <v>1389</v>
      </c>
      <c r="C106" s="266">
        <v>179</v>
      </c>
      <c r="D106" s="266">
        <v>362</v>
      </c>
      <c r="E106" s="266">
        <v>29</v>
      </c>
      <c r="F106" s="266">
        <v>37</v>
      </c>
      <c r="G106" s="266">
        <v>152</v>
      </c>
      <c r="H106" s="266">
        <v>111</v>
      </c>
    </row>
    <row r="107" spans="1:8" s="263" customFormat="1" ht="9" customHeight="1" x14ac:dyDescent="0.25">
      <c r="A107" s="263" t="s">
        <v>43</v>
      </c>
      <c r="B107" s="266">
        <v>270</v>
      </c>
      <c r="C107" s="266">
        <v>63</v>
      </c>
      <c r="D107" s="266">
        <v>51</v>
      </c>
      <c r="E107" s="266">
        <v>4</v>
      </c>
      <c r="F107" s="266">
        <v>7</v>
      </c>
      <c r="G107" s="266">
        <v>34</v>
      </c>
      <c r="H107" s="266">
        <v>22</v>
      </c>
    </row>
    <row r="108" spans="1:8" s="263" customFormat="1" ht="9" customHeight="1" x14ac:dyDescent="0.25">
      <c r="A108" s="263" t="s">
        <v>44</v>
      </c>
      <c r="B108" s="266">
        <v>207</v>
      </c>
      <c r="C108" s="266">
        <v>28</v>
      </c>
      <c r="D108" s="266">
        <v>149</v>
      </c>
      <c r="E108" s="266">
        <v>15</v>
      </c>
      <c r="F108" s="266">
        <v>15</v>
      </c>
      <c r="G108" s="266">
        <v>28</v>
      </c>
      <c r="H108" s="266">
        <v>19</v>
      </c>
    </row>
    <row r="109" spans="1:8" s="263" customFormat="1" ht="9" customHeight="1" x14ac:dyDescent="0.25">
      <c r="A109" s="267" t="s">
        <v>45</v>
      </c>
      <c r="B109" s="268">
        <v>515</v>
      </c>
      <c r="C109" s="268">
        <v>69</v>
      </c>
      <c r="D109" s="268">
        <v>143</v>
      </c>
      <c r="E109" s="268">
        <v>14</v>
      </c>
      <c r="F109" s="268">
        <v>16</v>
      </c>
      <c r="G109" s="268">
        <v>47</v>
      </c>
      <c r="H109" s="268">
        <v>34</v>
      </c>
    </row>
    <row r="110" spans="1:8" s="263" customFormat="1" ht="9" customHeight="1" x14ac:dyDescent="0.25">
      <c r="A110" s="263" t="s">
        <v>46</v>
      </c>
      <c r="B110" s="266">
        <v>552</v>
      </c>
      <c r="C110" s="266">
        <v>90</v>
      </c>
      <c r="D110" s="266">
        <v>188</v>
      </c>
      <c r="E110" s="266">
        <v>23</v>
      </c>
      <c r="F110" s="266">
        <v>25</v>
      </c>
      <c r="G110" s="266">
        <v>84</v>
      </c>
      <c r="H110" s="266">
        <v>48</v>
      </c>
    </row>
    <row r="111" spans="1:8" s="263" customFormat="1" ht="9" customHeight="1" x14ac:dyDescent="0.25">
      <c r="A111" s="263" t="s">
        <v>47</v>
      </c>
      <c r="B111" s="266">
        <v>545</v>
      </c>
      <c r="C111" s="266">
        <v>56</v>
      </c>
      <c r="D111" s="266">
        <v>209</v>
      </c>
      <c r="E111" s="266">
        <v>19</v>
      </c>
      <c r="F111" s="266">
        <v>29</v>
      </c>
      <c r="G111" s="266">
        <v>68</v>
      </c>
      <c r="H111" s="266">
        <v>41</v>
      </c>
    </row>
    <row r="112" spans="1:8" s="263" customFormat="1" ht="9" customHeight="1" x14ac:dyDescent="0.25">
      <c r="A112" s="263" t="s">
        <v>48</v>
      </c>
      <c r="B112" s="266">
        <v>339</v>
      </c>
      <c r="C112" s="266">
        <v>38</v>
      </c>
      <c r="D112" s="266">
        <v>109</v>
      </c>
      <c r="E112" s="266">
        <v>15</v>
      </c>
      <c r="F112" s="266">
        <v>21</v>
      </c>
      <c r="G112" s="266">
        <v>52</v>
      </c>
      <c r="H112" s="266">
        <v>35</v>
      </c>
    </row>
    <row r="113" spans="1:8" s="263" customFormat="1" ht="9" customHeight="1" x14ac:dyDescent="0.25">
      <c r="A113" s="267" t="s">
        <v>49</v>
      </c>
      <c r="B113" s="268">
        <v>716</v>
      </c>
      <c r="C113" s="268">
        <v>83</v>
      </c>
      <c r="D113" s="268">
        <v>241</v>
      </c>
      <c r="E113" s="268">
        <v>32</v>
      </c>
      <c r="F113" s="268">
        <v>35</v>
      </c>
      <c r="G113" s="268">
        <v>94</v>
      </c>
      <c r="H113" s="268">
        <v>73</v>
      </c>
    </row>
    <row r="114" spans="1:8" s="263" customFormat="1" ht="9" customHeight="1" x14ac:dyDescent="0.25">
      <c r="A114" s="263" t="s">
        <v>50</v>
      </c>
      <c r="B114" s="266">
        <v>203</v>
      </c>
      <c r="C114" s="266">
        <v>34</v>
      </c>
      <c r="D114" s="266">
        <v>84</v>
      </c>
      <c r="E114" s="266">
        <v>6</v>
      </c>
      <c r="F114" s="266">
        <v>7</v>
      </c>
      <c r="G114" s="266">
        <v>40</v>
      </c>
      <c r="H114" s="266">
        <v>36</v>
      </c>
    </row>
    <row r="115" spans="1:8" s="263" customFormat="1" ht="9" customHeight="1" x14ac:dyDescent="0.25">
      <c r="A115" s="263" t="s">
        <v>51</v>
      </c>
      <c r="B115" s="266">
        <v>991</v>
      </c>
      <c r="C115" s="266">
        <v>114</v>
      </c>
      <c r="D115" s="266">
        <v>251</v>
      </c>
      <c r="E115" s="266">
        <v>21</v>
      </c>
      <c r="F115" s="266">
        <v>28</v>
      </c>
      <c r="G115" s="266">
        <v>138</v>
      </c>
      <c r="H115" s="266">
        <v>89</v>
      </c>
    </row>
    <row r="116" spans="1:8" s="263" customFormat="1" ht="9" customHeight="1" x14ac:dyDescent="0.25">
      <c r="A116" s="263" t="s">
        <v>52</v>
      </c>
      <c r="B116" s="266">
        <v>482</v>
      </c>
      <c r="C116" s="266">
        <v>49</v>
      </c>
      <c r="D116" s="266">
        <v>336</v>
      </c>
      <c r="E116" s="266">
        <v>23</v>
      </c>
      <c r="F116" s="266">
        <v>19</v>
      </c>
      <c r="G116" s="266">
        <v>57</v>
      </c>
      <c r="H116" s="266">
        <v>33</v>
      </c>
    </row>
    <row r="117" spans="1:8" s="263" customFormat="1" ht="9" customHeight="1" x14ac:dyDescent="0.25">
      <c r="A117" s="267" t="s">
        <v>53</v>
      </c>
      <c r="B117" s="268">
        <v>275</v>
      </c>
      <c r="C117" s="268">
        <v>34</v>
      </c>
      <c r="D117" s="268">
        <v>83</v>
      </c>
      <c r="E117" s="268">
        <v>10</v>
      </c>
      <c r="F117" s="268">
        <v>12</v>
      </c>
      <c r="G117" s="268">
        <v>30</v>
      </c>
      <c r="H117" s="268">
        <v>22</v>
      </c>
    </row>
    <row r="118" spans="1:8" s="263" customFormat="1" ht="9" customHeight="1" x14ac:dyDescent="0.25">
      <c r="B118" s="266"/>
      <c r="C118" s="266"/>
      <c r="D118" s="266"/>
      <c r="E118" s="266"/>
      <c r="F118" s="266"/>
      <c r="G118" s="266"/>
      <c r="H118" s="266"/>
    </row>
    <row r="119" spans="1:8" s="263" customFormat="1" ht="9" customHeight="1" x14ac:dyDescent="0.25">
      <c r="A119" s="261">
        <v>1998</v>
      </c>
      <c r="B119" s="262"/>
      <c r="C119" s="262"/>
      <c r="D119" s="262"/>
      <c r="E119" s="262"/>
      <c r="F119" s="262"/>
      <c r="G119" s="262"/>
      <c r="H119" s="262"/>
    </row>
    <row r="120" spans="1:8" s="265" customFormat="1" ht="9" customHeight="1" x14ac:dyDescent="0.25">
      <c r="A120" s="265" t="s">
        <v>21</v>
      </c>
      <c r="B120" s="262">
        <f>SUM(B122:B153)</f>
        <v>27446</v>
      </c>
      <c r="C120" s="262">
        <f t="shared" ref="C120:H120" si="3">SUM(C122:C153)</f>
        <v>4026</v>
      </c>
      <c r="D120" s="262">
        <f t="shared" si="3"/>
        <v>8390</v>
      </c>
      <c r="E120" s="262">
        <f t="shared" si="3"/>
        <v>676</v>
      </c>
      <c r="F120" s="262">
        <f t="shared" si="3"/>
        <v>797</v>
      </c>
      <c r="G120" s="262">
        <f t="shared" si="3"/>
        <v>3011</v>
      </c>
      <c r="H120" s="262">
        <f t="shared" si="3"/>
        <v>2009</v>
      </c>
    </row>
    <row r="121" spans="1:8" s="265" customFormat="1" ht="3.95" customHeight="1" x14ac:dyDescent="0.25">
      <c r="B121" s="262"/>
      <c r="C121" s="262"/>
      <c r="D121" s="262"/>
      <c r="E121" s="262"/>
      <c r="F121" s="262"/>
      <c r="G121" s="262"/>
      <c r="H121" s="262"/>
    </row>
    <row r="122" spans="1:8" s="263" customFormat="1" ht="9" customHeight="1" x14ac:dyDescent="0.25">
      <c r="A122" s="263" t="s">
        <v>23</v>
      </c>
      <c r="B122" s="266">
        <v>241</v>
      </c>
      <c r="C122" s="266">
        <v>35</v>
      </c>
      <c r="D122" s="266">
        <v>50</v>
      </c>
      <c r="E122" s="266">
        <v>6</v>
      </c>
      <c r="F122" s="266">
        <v>7</v>
      </c>
      <c r="G122" s="266">
        <v>28</v>
      </c>
      <c r="H122" s="266">
        <v>13</v>
      </c>
    </row>
    <row r="123" spans="1:8" s="263" customFormat="1" ht="9" customHeight="1" x14ac:dyDescent="0.25">
      <c r="A123" s="263" t="s">
        <v>24</v>
      </c>
      <c r="B123" s="266">
        <v>697</v>
      </c>
      <c r="C123" s="266">
        <v>80</v>
      </c>
      <c r="D123" s="266">
        <v>146</v>
      </c>
      <c r="E123" s="266">
        <v>18</v>
      </c>
      <c r="F123" s="266">
        <v>13</v>
      </c>
      <c r="G123" s="266">
        <v>79</v>
      </c>
      <c r="H123" s="266">
        <v>53</v>
      </c>
    </row>
    <row r="124" spans="1:8" s="263" customFormat="1" ht="9" customHeight="1" x14ac:dyDescent="0.25">
      <c r="A124" s="263" t="s">
        <v>25</v>
      </c>
      <c r="B124" s="266">
        <v>40</v>
      </c>
      <c r="C124" s="266">
        <v>17</v>
      </c>
      <c r="D124" s="266">
        <v>36</v>
      </c>
      <c r="E124" s="266">
        <v>6</v>
      </c>
      <c r="F124" s="266">
        <v>4</v>
      </c>
      <c r="G124" s="266">
        <v>9</v>
      </c>
      <c r="H124" s="266">
        <v>6</v>
      </c>
    </row>
    <row r="125" spans="1:8" s="263" customFormat="1" ht="9" customHeight="1" x14ac:dyDescent="0.25">
      <c r="A125" s="267" t="s">
        <v>26</v>
      </c>
      <c r="B125" s="268">
        <v>66</v>
      </c>
      <c r="C125" s="268">
        <v>7</v>
      </c>
      <c r="D125" s="268">
        <v>23</v>
      </c>
      <c r="E125" s="268">
        <v>3</v>
      </c>
      <c r="F125" s="268">
        <v>4</v>
      </c>
      <c r="G125" s="268">
        <v>9</v>
      </c>
      <c r="H125" s="268">
        <v>6</v>
      </c>
    </row>
    <row r="126" spans="1:8" s="263" customFormat="1" ht="9" customHeight="1" x14ac:dyDescent="0.25">
      <c r="A126" s="263" t="s">
        <v>27</v>
      </c>
      <c r="B126" s="266">
        <v>592</v>
      </c>
      <c r="C126" s="266">
        <v>90</v>
      </c>
      <c r="D126" s="266">
        <v>276</v>
      </c>
      <c r="E126" s="266">
        <v>20</v>
      </c>
      <c r="F126" s="266">
        <v>24</v>
      </c>
      <c r="G126" s="266">
        <v>65</v>
      </c>
      <c r="H126" s="266">
        <v>33</v>
      </c>
    </row>
    <row r="127" spans="1:8" s="263" customFormat="1" ht="9" customHeight="1" x14ac:dyDescent="0.25">
      <c r="A127" s="263" t="s">
        <v>28</v>
      </c>
      <c r="B127" s="266">
        <v>124</v>
      </c>
      <c r="C127" s="266">
        <v>5</v>
      </c>
      <c r="D127" s="266">
        <v>31</v>
      </c>
      <c r="E127" s="266">
        <v>10</v>
      </c>
      <c r="F127" s="266">
        <v>10</v>
      </c>
      <c r="G127" s="266">
        <v>19</v>
      </c>
      <c r="H127" s="266">
        <v>13</v>
      </c>
    </row>
    <row r="128" spans="1:8" s="263" customFormat="1" ht="9" customHeight="1" x14ac:dyDescent="0.25">
      <c r="A128" s="263" t="s">
        <v>29</v>
      </c>
      <c r="B128" s="266">
        <v>521</v>
      </c>
      <c r="C128" s="266">
        <v>102</v>
      </c>
      <c r="D128" s="266">
        <v>165</v>
      </c>
      <c r="E128" s="266">
        <v>16</v>
      </c>
      <c r="F128" s="266">
        <v>13</v>
      </c>
      <c r="G128" s="266">
        <v>66</v>
      </c>
      <c r="H128" s="266">
        <v>39</v>
      </c>
    </row>
    <row r="129" spans="1:8" s="263" customFormat="1" ht="9" customHeight="1" x14ac:dyDescent="0.25">
      <c r="A129" s="267" t="s">
        <v>30</v>
      </c>
      <c r="B129" s="268">
        <v>977</v>
      </c>
      <c r="C129" s="268">
        <v>174</v>
      </c>
      <c r="D129" s="268">
        <v>1116</v>
      </c>
      <c r="E129" s="268">
        <v>23</v>
      </c>
      <c r="F129" s="268">
        <v>38</v>
      </c>
      <c r="G129" s="268">
        <v>76</v>
      </c>
      <c r="H129" s="268">
        <v>57</v>
      </c>
    </row>
    <row r="130" spans="1:8" s="263" customFormat="1" ht="9" customHeight="1" x14ac:dyDescent="0.25">
      <c r="A130" s="263" t="s">
        <v>63</v>
      </c>
      <c r="B130" s="266">
        <v>5700</v>
      </c>
      <c r="C130" s="266">
        <v>978</v>
      </c>
      <c r="D130" s="266">
        <v>1473</v>
      </c>
      <c r="E130" s="266">
        <v>89</v>
      </c>
      <c r="F130" s="266">
        <v>110</v>
      </c>
      <c r="G130" s="266">
        <v>440</v>
      </c>
      <c r="H130" s="266">
        <v>231</v>
      </c>
    </row>
    <row r="131" spans="1:8" s="263" customFormat="1" ht="9" customHeight="1" x14ac:dyDescent="0.25">
      <c r="A131" s="263" t="s">
        <v>31</v>
      </c>
      <c r="B131" s="266">
        <v>357</v>
      </c>
      <c r="C131" s="266">
        <v>19</v>
      </c>
      <c r="D131" s="266">
        <v>51</v>
      </c>
      <c r="E131" s="266">
        <v>9</v>
      </c>
      <c r="F131" s="266">
        <v>8</v>
      </c>
      <c r="G131" s="266">
        <v>47</v>
      </c>
      <c r="H131" s="266">
        <v>28</v>
      </c>
    </row>
    <row r="132" spans="1:8" s="263" customFormat="1" ht="9" customHeight="1" x14ac:dyDescent="0.25">
      <c r="A132" s="263" t="s">
        <v>32</v>
      </c>
      <c r="B132" s="266">
        <v>1825</v>
      </c>
      <c r="C132" s="266">
        <v>357</v>
      </c>
      <c r="D132" s="266">
        <v>627</v>
      </c>
      <c r="E132" s="266">
        <v>36</v>
      </c>
      <c r="F132" s="266">
        <v>79</v>
      </c>
      <c r="G132" s="266">
        <v>223</v>
      </c>
      <c r="H132" s="266">
        <v>178</v>
      </c>
    </row>
    <row r="133" spans="1:8" s="263" customFormat="1" ht="9" customHeight="1" x14ac:dyDescent="0.25">
      <c r="A133" s="267" t="s">
        <v>33</v>
      </c>
      <c r="B133" s="268">
        <v>629</v>
      </c>
      <c r="C133" s="268">
        <v>94</v>
      </c>
      <c r="D133" s="268">
        <v>256</v>
      </c>
      <c r="E133" s="268">
        <v>20</v>
      </c>
      <c r="F133" s="268">
        <v>24</v>
      </c>
      <c r="G133" s="268">
        <v>79</v>
      </c>
      <c r="H133" s="268">
        <v>55</v>
      </c>
    </row>
    <row r="134" spans="1:8" s="263" customFormat="1" ht="9" customHeight="1" x14ac:dyDescent="0.25">
      <c r="A134" s="263" t="s">
        <v>34</v>
      </c>
      <c r="B134" s="266">
        <v>507</v>
      </c>
      <c r="C134" s="266">
        <v>58</v>
      </c>
      <c r="D134" s="266">
        <v>176</v>
      </c>
      <c r="E134" s="266">
        <v>17</v>
      </c>
      <c r="F134" s="266">
        <v>19</v>
      </c>
      <c r="G134" s="266">
        <v>73</v>
      </c>
      <c r="H134" s="266">
        <v>74</v>
      </c>
    </row>
    <row r="135" spans="1:8" s="263" customFormat="1" ht="9" customHeight="1" x14ac:dyDescent="0.25">
      <c r="A135" s="263" t="s">
        <v>35</v>
      </c>
      <c r="B135" s="266">
        <v>2222</v>
      </c>
      <c r="C135" s="266">
        <v>227</v>
      </c>
      <c r="D135" s="266">
        <v>354</v>
      </c>
      <c r="E135" s="266">
        <v>47</v>
      </c>
      <c r="F135" s="266">
        <v>64</v>
      </c>
      <c r="G135" s="266">
        <v>209</v>
      </c>
      <c r="H135" s="266">
        <v>112</v>
      </c>
    </row>
    <row r="136" spans="1:8" s="263" customFormat="1" ht="9" customHeight="1" x14ac:dyDescent="0.25">
      <c r="A136" s="263" t="s">
        <v>36</v>
      </c>
      <c r="B136" s="266">
        <v>3126</v>
      </c>
      <c r="C136" s="266">
        <v>355</v>
      </c>
      <c r="D136" s="266">
        <v>856</v>
      </c>
      <c r="E136" s="266">
        <v>54</v>
      </c>
      <c r="F136" s="266">
        <v>56</v>
      </c>
      <c r="G136" s="266">
        <v>433</v>
      </c>
      <c r="H136" s="266">
        <v>336</v>
      </c>
    </row>
    <row r="137" spans="1:8" s="263" customFormat="1" ht="9" customHeight="1" x14ac:dyDescent="0.25">
      <c r="A137" s="267" t="s">
        <v>37</v>
      </c>
      <c r="B137" s="268">
        <v>949</v>
      </c>
      <c r="C137" s="268">
        <v>81</v>
      </c>
      <c r="D137" s="268">
        <v>154</v>
      </c>
      <c r="E137" s="268">
        <v>14</v>
      </c>
      <c r="F137" s="268">
        <v>26</v>
      </c>
      <c r="G137" s="268">
        <v>75</v>
      </c>
      <c r="H137" s="268">
        <v>56</v>
      </c>
    </row>
    <row r="138" spans="1:8" s="263" customFormat="1" ht="9" customHeight="1" x14ac:dyDescent="0.25">
      <c r="A138" s="263" t="s">
        <v>38</v>
      </c>
      <c r="B138" s="266">
        <v>412</v>
      </c>
      <c r="C138" s="266">
        <v>74</v>
      </c>
      <c r="D138" s="266">
        <v>114</v>
      </c>
      <c r="E138" s="266">
        <v>11</v>
      </c>
      <c r="F138" s="266">
        <v>9</v>
      </c>
      <c r="G138" s="266">
        <v>79</v>
      </c>
      <c r="H138" s="266">
        <v>58</v>
      </c>
    </row>
    <row r="139" spans="1:8" s="263" customFormat="1" ht="9" customHeight="1" x14ac:dyDescent="0.25">
      <c r="A139" s="263" t="s">
        <v>39</v>
      </c>
      <c r="B139" s="266">
        <v>135</v>
      </c>
      <c r="C139" s="266">
        <v>21</v>
      </c>
      <c r="D139" s="266">
        <v>27</v>
      </c>
      <c r="E139" s="266">
        <v>7</v>
      </c>
      <c r="F139" s="266">
        <v>7</v>
      </c>
      <c r="G139" s="266">
        <v>19</v>
      </c>
      <c r="H139" s="266">
        <v>14</v>
      </c>
    </row>
    <row r="140" spans="1:8" s="263" customFormat="1" ht="9" customHeight="1" x14ac:dyDescent="0.25">
      <c r="A140" s="263" t="s">
        <v>40</v>
      </c>
      <c r="B140" s="266">
        <v>1166</v>
      </c>
      <c r="C140" s="266">
        <v>295</v>
      </c>
      <c r="D140" s="266">
        <v>230</v>
      </c>
      <c r="E140" s="266">
        <v>28</v>
      </c>
      <c r="F140" s="266">
        <v>28</v>
      </c>
      <c r="G140" s="266">
        <v>103</v>
      </c>
      <c r="H140" s="266">
        <v>64</v>
      </c>
    </row>
    <row r="141" spans="1:8" s="263" customFormat="1" ht="9" customHeight="1" x14ac:dyDescent="0.25">
      <c r="A141" s="267" t="s">
        <v>41</v>
      </c>
      <c r="B141" s="268">
        <v>380</v>
      </c>
      <c r="C141" s="268">
        <v>50</v>
      </c>
      <c r="D141" s="268">
        <v>151</v>
      </c>
      <c r="E141" s="268">
        <v>16</v>
      </c>
      <c r="F141" s="268">
        <v>12</v>
      </c>
      <c r="G141" s="268">
        <v>51</v>
      </c>
      <c r="H141" s="268">
        <v>41</v>
      </c>
    </row>
    <row r="142" spans="1:8" s="263" customFormat="1" ht="9" customHeight="1" x14ac:dyDescent="0.25">
      <c r="A142" s="263" t="s">
        <v>42</v>
      </c>
      <c r="B142" s="266">
        <v>1622</v>
      </c>
      <c r="C142" s="266">
        <v>175</v>
      </c>
      <c r="D142" s="266">
        <v>339</v>
      </c>
      <c r="E142" s="266">
        <v>30</v>
      </c>
      <c r="F142" s="266">
        <v>41</v>
      </c>
      <c r="G142" s="266">
        <v>149</v>
      </c>
      <c r="H142" s="266">
        <v>106</v>
      </c>
    </row>
    <row r="143" spans="1:8" s="263" customFormat="1" ht="9" customHeight="1" x14ac:dyDescent="0.25">
      <c r="A143" s="263" t="s">
        <v>43</v>
      </c>
      <c r="B143" s="266">
        <v>284</v>
      </c>
      <c r="C143" s="266">
        <v>54</v>
      </c>
      <c r="D143" s="266">
        <v>50</v>
      </c>
      <c r="E143" s="266">
        <v>7</v>
      </c>
      <c r="F143" s="266">
        <v>8</v>
      </c>
      <c r="G143" s="266">
        <v>35</v>
      </c>
      <c r="H143" s="266">
        <v>22</v>
      </c>
    </row>
    <row r="144" spans="1:8" s="263" customFormat="1" ht="9" customHeight="1" x14ac:dyDescent="0.25">
      <c r="A144" s="263" t="s">
        <v>44</v>
      </c>
      <c r="B144" s="266">
        <v>215</v>
      </c>
      <c r="C144" s="266">
        <v>33</v>
      </c>
      <c r="D144" s="266">
        <v>153</v>
      </c>
      <c r="E144" s="266">
        <v>15</v>
      </c>
      <c r="F144" s="266">
        <v>13</v>
      </c>
      <c r="G144" s="266">
        <v>36</v>
      </c>
      <c r="H144" s="266">
        <v>22</v>
      </c>
    </row>
    <row r="145" spans="1:8" s="263" customFormat="1" ht="9" customHeight="1" x14ac:dyDescent="0.25">
      <c r="A145" s="267" t="s">
        <v>45</v>
      </c>
      <c r="B145" s="268">
        <v>556</v>
      </c>
      <c r="C145" s="268">
        <v>59</v>
      </c>
      <c r="D145" s="268">
        <v>88</v>
      </c>
      <c r="E145" s="268">
        <v>16</v>
      </c>
      <c r="F145" s="268">
        <v>14</v>
      </c>
      <c r="G145" s="268">
        <v>46</v>
      </c>
      <c r="H145" s="268">
        <v>38</v>
      </c>
    </row>
    <row r="146" spans="1:8" s="263" customFormat="1" ht="9" customHeight="1" x14ac:dyDescent="0.25">
      <c r="A146" s="263" t="s">
        <v>46</v>
      </c>
      <c r="B146" s="266">
        <v>548</v>
      </c>
      <c r="C146" s="266">
        <v>136</v>
      </c>
      <c r="D146" s="266">
        <v>165</v>
      </c>
      <c r="E146" s="266">
        <v>19</v>
      </c>
      <c r="F146" s="266">
        <v>19</v>
      </c>
      <c r="G146" s="266">
        <v>82</v>
      </c>
      <c r="H146" s="266">
        <v>46</v>
      </c>
    </row>
    <row r="147" spans="1:8" s="263" customFormat="1" ht="9" customHeight="1" x14ac:dyDescent="0.25">
      <c r="A147" s="263" t="s">
        <v>47</v>
      </c>
      <c r="B147" s="266">
        <v>525</v>
      </c>
      <c r="C147" s="266">
        <v>87</v>
      </c>
      <c r="D147" s="266">
        <v>217</v>
      </c>
      <c r="E147" s="266">
        <v>22</v>
      </c>
      <c r="F147" s="266">
        <v>21</v>
      </c>
      <c r="G147" s="266">
        <v>65</v>
      </c>
      <c r="H147" s="266">
        <v>37</v>
      </c>
    </row>
    <row r="148" spans="1:8" s="263" customFormat="1" ht="9" customHeight="1" x14ac:dyDescent="0.25">
      <c r="A148" s="263" t="s">
        <v>48</v>
      </c>
      <c r="B148" s="266">
        <v>310</v>
      </c>
      <c r="C148" s="266">
        <v>57</v>
      </c>
      <c r="D148" s="266">
        <v>114</v>
      </c>
      <c r="E148" s="266">
        <v>15</v>
      </c>
      <c r="F148" s="266">
        <v>19</v>
      </c>
      <c r="G148" s="266">
        <v>55</v>
      </c>
      <c r="H148" s="266">
        <v>34</v>
      </c>
    </row>
    <row r="149" spans="1:8" s="263" customFormat="1" ht="9" customHeight="1" x14ac:dyDescent="0.25">
      <c r="A149" s="267" t="s">
        <v>49</v>
      </c>
      <c r="B149" s="268">
        <v>737</v>
      </c>
      <c r="C149" s="268">
        <v>99</v>
      </c>
      <c r="D149" s="268">
        <v>228</v>
      </c>
      <c r="E149" s="268">
        <v>37</v>
      </c>
      <c r="F149" s="268">
        <v>40</v>
      </c>
      <c r="G149" s="268">
        <v>97</v>
      </c>
      <c r="H149" s="268">
        <v>64</v>
      </c>
    </row>
    <row r="150" spans="1:8" s="263" customFormat="1" ht="9" customHeight="1" x14ac:dyDescent="0.25">
      <c r="A150" s="263" t="s">
        <v>50</v>
      </c>
      <c r="B150" s="266">
        <v>230</v>
      </c>
      <c r="C150" s="266">
        <v>26</v>
      </c>
      <c r="D150" s="266">
        <v>80</v>
      </c>
      <c r="E150" s="266">
        <v>8</v>
      </c>
      <c r="F150" s="266">
        <v>6</v>
      </c>
      <c r="G150" s="266">
        <v>39</v>
      </c>
      <c r="H150" s="266">
        <v>32</v>
      </c>
    </row>
    <row r="151" spans="1:8" s="263" customFormat="1" ht="9" customHeight="1" x14ac:dyDescent="0.25">
      <c r="A151" s="263" t="s">
        <v>51</v>
      </c>
      <c r="B151" s="266">
        <v>969</v>
      </c>
      <c r="C151" s="266">
        <v>87</v>
      </c>
      <c r="D151" s="266">
        <v>239</v>
      </c>
      <c r="E151" s="266">
        <v>24</v>
      </c>
      <c r="F151" s="266">
        <v>27</v>
      </c>
      <c r="G151" s="266">
        <v>137</v>
      </c>
      <c r="H151" s="266">
        <v>84</v>
      </c>
    </row>
    <row r="152" spans="1:8" s="263" customFormat="1" ht="9" customHeight="1" x14ac:dyDescent="0.25">
      <c r="A152" s="263" t="s">
        <v>52</v>
      </c>
      <c r="B152" s="266">
        <v>485</v>
      </c>
      <c r="C152" s="266">
        <v>69</v>
      </c>
      <c r="D152" s="266">
        <v>328</v>
      </c>
      <c r="E152" s="266">
        <v>24</v>
      </c>
      <c r="F152" s="266">
        <v>20</v>
      </c>
      <c r="G152" s="266">
        <v>59</v>
      </c>
      <c r="H152" s="266">
        <v>36</v>
      </c>
    </row>
    <row r="153" spans="1:8" s="263" customFormat="1" ht="9" customHeight="1" x14ac:dyDescent="0.25">
      <c r="A153" s="267" t="s">
        <v>53</v>
      </c>
      <c r="B153" s="268">
        <v>299</v>
      </c>
      <c r="C153" s="268">
        <v>25</v>
      </c>
      <c r="D153" s="268">
        <v>77</v>
      </c>
      <c r="E153" s="268">
        <v>9</v>
      </c>
      <c r="F153" s="268">
        <v>14</v>
      </c>
      <c r="G153" s="268">
        <v>29</v>
      </c>
      <c r="H153" s="268">
        <v>21</v>
      </c>
    </row>
    <row r="154" spans="1:8" s="263" customFormat="1" ht="9" customHeight="1" x14ac:dyDescent="0.25">
      <c r="B154" s="266"/>
      <c r="C154" s="266"/>
      <c r="D154" s="266"/>
      <c r="E154" s="266"/>
      <c r="F154" s="266"/>
      <c r="G154" s="266"/>
      <c r="H154" s="266"/>
    </row>
    <row r="155" spans="1:8" s="263" customFormat="1" ht="9" customHeight="1" x14ac:dyDescent="0.25">
      <c r="A155" s="261">
        <v>1999</v>
      </c>
      <c r="B155" s="262"/>
      <c r="C155" s="262"/>
      <c r="D155" s="262"/>
      <c r="E155" s="262"/>
      <c r="F155" s="262"/>
      <c r="G155" s="262"/>
      <c r="H155" s="262"/>
    </row>
    <row r="156" spans="1:8" s="265" customFormat="1" ht="9" customHeight="1" x14ac:dyDescent="0.25">
      <c r="A156" s="265" t="s">
        <v>21</v>
      </c>
      <c r="B156" s="262">
        <f>SUM(B158:B189)</f>
        <v>27325</v>
      </c>
      <c r="C156" s="262">
        <f t="shared" ref="C156:H156" si="4">SUM(C158:C189)</f>
        <v>4480</v>
      </c>
      <c r="D156" s="262">
        <f t="shared" si="4"/>
        <v>7435</v>
      </c>
      <c r="E156" s="262">
        <f t="shared" si="4"/>
        <v>632</v>
      </c>
      <c r="F156" s="262">
        <f t="shared" si="4"/>
        <v>736</v>
      </c>
      <c r="G156" s="262">
        <f t="shared" si="4"/>
        <v>3119</v>
      </c>
      <c r="H156" s="262">
        <f t="shared" si="4"/>
        <v>2099</v>
      </c>
    </row>
    <row r="157" spans="1:8" s="265" customFormat="1" ht="3.95" customHeight="1" x14ac:dyDescent="0.25">
      <c r="B157" s="262"/>
      <c r="C157" s="262"/>
      <c r="D157" s="262"/>
      <c r="E157" s="262"/>
      <c r="F157" s="262"/>
      <c r="G157" s="262"/>
      <c r="H157" s="262"/>
    </row>
    <row r="158" spans="1:8" s="263" customFormat="1" ht="9" customHeight="1" x14ac:dyDescent="0.25">
      <c r="A158" s="263" t="s">
        <v>23</v>
      </c>
      <c r="B158" s="600">
        <v>252</v>
      </c>
      <c r="C158" s="600">
        <v>33</v>
      </c>
      <c r="D158" s="600">
        <v>62</v>
      </c>
      <c r="E158" s="600">
        <v>5</v>
      </c>
      <c r="F158" s="600">
        <v>6</v>
      </c>
      <c r="G158" s="600">
        <v>30</v>
      </c>
      <c r="H158" s="600">
        <v>16</v>
      </c>
    </row>
    <row r="159" spans="1:8" s="263" customFormat="1" ht="9" customHeight="1" x14ac:dyDescent="0.25">
      <c r="A159" s="263" t="s">
        <v>24</v>
      </c>
      <c r="B159" s="600">
        <v>921</v>
      </c>
      <c r="C159" s="600">
        <v>128</v>
      </c>
      <c r="D159" s="600">
        <v>200</v>
      </c>
      <c r="E159" s="600">
        <v>19</v>
      </c>
      <c r="F159" s="600">
        <v>20</v>
      </c>
      <c r="G159" s="600">
        <v>135</v>
      </c>
      <c r="H159" s="600">
        <v>89</v>
      </c>
    </row>
    <row r="160" spans="1:8" s="263" customFormat="1" ht="9" customHeight="1" x14ac:dyDescent="0.25">
      <c r="A160" s="263" t="s">
        <v>25</v>
      </c>
      <c r="B160" s="600">
        <v>43</v>
      </c>
      <c r="C160" s="600">
        <v>19</v>
      </c>
      <c r="D160" s="600">
        <v>35</v>
      </c>
      <c r="E160" s="600">
        <v>5</v>
      </c>
      <c r="F160" s="600">
        <v>4</v>
      </c>
      <c r="G160" s="600">
        <v>9</v>
      </c>
      <c r="H160" s="600">
        <v>6</v>
      </c>
    </row>
    <row r="161" spans="1:8" s="263" customFormat="1" ht="9" customHeight="1" x14ac:dyDescent="0.25">
      <c r="A161" s="267" t="s">
        <v>26</v>
      </c>
      <c r="B161" s="604">
        <v>59</v>
      </c>
      <c r="C161" s="604">
        <v>9</v>
      </c>
      <c r="D161" s="604">
        <v>28</v>
      </c>
      <c r="E161" s="604">
        <v>3</v>
      </c>
      <c r="F161" s="604">
        <v>4</v>
      </c>
      <c r="G161" s="604">
        <v>8</v>
      </c>
      <c r="H161" s="604">
        <v>8</v>
      </c>
    </row>
    <row r="162" spans="1:8" s="263" customFormat="1" ht="9" customHeight="1" x14ac:dyDescent="0.25">
      <c r="A162" s="263" t="s">
        <v>27</v>
      </c>
      <c r="B162" s="600">
        <v>487</v>
      </c>
      <c r="C162" s="600">
        <v>68</v>
      </c>
      <c r="D162" s="600">
        <v>104</v>
      </c>
      <c r="E162" s="600">
        <v>18</v>
      </c>
      <c r="F162" s="600">
        <v>19</v>
      </c>
      <c r="G162" s="600">
        <v>57</v>
      </c>
      <c r="H162" s="600">
        <v>32</v>
      </c>
    </row>
    <row r="163" spans="1:8" s="263" customFormat="1" ht="9" customHeight="1" x14ac:dyDescent="0.25">
      <c r="A163" s="263" t="s">
        <v>28</v>
      </c>
      <c r="B163" s="600">
        <v>115</v>
      </c>
      <c r="C163" s="600">
        <v>6</v>
      </c>
      <c r="D163" s="600">
        <v>23</v>
      </c>
      <c r="E163" s="600">
        <v>7</v>
      </c>
      <c r="F163" s="600">
        <v>6</v>
      </c>
      <c r="G163" s="600">
        <v>16</v>
      </c>
      <c r="H163" s="600">
        <v>11</v>
      </c>
    </row>
    <row r="164" spans="1:8" s="263" customFormat="1" ht="9" customHeight="1" x14ac:dyDescent="0.25">
      <c r="A164" s="263" t="s">
        <v>29</v>
      </c>
      <c r="B164" s="600">
        <v>531</v>
      </c>
      <c r="C164" s="600">
        <v>104</v>
      </c>
      <c r="D164" s="600">
        <v>161</v>
      </c>
      <c r="E164" s="600">
        <v>12</v>
      </c>
      <c r="F164" s="600">
        <v>9</v>
      </c>
      <c r="G164" s="600">
        <v>65</v>
      </c>
      <c r="H164" s="600">
        <v>41</v>
      </c>
    </row>
    <row r="165" spans="1:8" s="263" customFormat="1" ht="9" customHeight="1" x14ac:dyDescent="0.25">
      <c r="A165" s="267" t="s">
        <v>30</v>
      </c>
      <c r="B165" s="604">
        <v>855</v>
      </c>
      <c r="C165" s="604">
        <v>163</v>
      </c>
      <c r="D165" s="604">
        <v>138</v>
      </c>
      <c r="E165" s="604">
        <v>20</v>
      </c>
      <c r="F165" s="604">
        <v>33</v>
      </c>
      <c r="G165" s="604">
        <v>66</v>
      </c>
      <c r="H165" s="604">
        <v>51</v>
      </c>
    </row>
    <row r="166" spans="1:8" s="263" customFormat="1" ht="9" customHeight="1" x14ac:dyDescent="0.25">
      <c r="A166" s="263" t="s">
        <v>63</v>
      </c>
      <c r="B166" s="600">
        <v>5714</v>
      </c>
      <c r="C166" s="600">
        <v>891</v>
      </c>
      <c r="D166" s="600">
        <v>1419</v>
      </c>
      <c r="E166" s="600">
        <v>55</v>
      </c>
      <c r="F166" s="600">
        <v>102</v>
      </c>
      <c r="G166" s="600">
        <v>432</v>
      </c>
      <c r="H166" s="600">
        <v>235</v>
      </c>
    </row>
    <row r="167" spans="1:8" s="263" customFormat="1" ht="9" customHeight="1" x14ac:dyDescent="0.25">
      <c r="A167" s="263" t="s">
        <v>31</v>
      </c>
      <c r="B167" s="600">
        <v>338</v>
      </c>
      <c r="C167" s="600">
        <v>66</v>
      </c>
      <c r="D167" s="600">
        <v>39</v>
      </c>
      <c r="E167" s="600">
        <v>8</v>
      </c>
      <c r="F167" s="600">
        <v>8</v>
      </c>
      <c r="G167" s="600">
        <v>44</v>
      </c>
      <c r="H167" s="600">
        <v>24</v>
      </c>
    </row>
    <row r="168" spans="1:8" s="263" customFormat="1" ht="9" customHeight="1" x14ac:dyDescent="0.25">
      <c r="A168" s="263" t="s">
        <v>32</v>
      </c>
      <c r="B168" s="600">
        <v>1767</v>
      </c>
      <c r="C168" s="600">
        <v>340</v>
      </c>
      <c r="D168" s="600">
        <v>580</v>
      </c>
      <c r="E168" s="600">
        <v>33</v>
      </c>
      <c r="F168" s="600">
        <v>69</v>
      </c>
      <c r="G168" s="600">
        <v>220</v>
      </c>
      <c r="H168" s="600">
        <v>174</v>
      </c>
    </row>
    <row r="169" spans="1:8" s="263" customFormat="1" ht="9" customHeight="1" x14ac:dyDescent="0.25">
      <c r="A169" s="267" t="s">
        <v>33</v>
      </c>
      <c r="B169" s="604">
        <v>624</v>
      </c>
      <c r="C169" s="604">
        <v>123</v>
      </c>
      <c r="D169" s="604">
        <v>251</v>
      </c>
      <c r="E169" s="604">
        <v>26</v>
      </c>
      <c r="F169" s="604">
        <v>18</v>
      </c>
      <c r="G169" s="604">
        <v>77</v>
      </c>
      <c r="H169" s="604">
        <v>64</v>
      </c>
    </row>
    <row r="170" spans="1:8" s="263" customFormat="1" ht="9" customHeight="1" x14ac:dyDescent="0.25">
      <c r="A170" s="263" t="s">
        <v>34</v>
      </c>
      <c r="B170" s="600">
        <v>504</v>
      </c>
      <c r="C170" s="600">
        <v>65</v>
      </c>
      <c r="D170" s="600">
        <v>179</v>
      </c>
      <c r="E170" s="600">
        <v>18</v>
      </c>
      <c r="F170" s="600">
        <v>27</v>
      </c>
      <c r="G170" s="600">
        <v>76</v>
      </c>
      <c r="H170" s="600">
        <v>62</v>
      </c>
    </row>
    <row r="171" spans="1:8" s="263" customFormat="1" ht="9" customHeight="1" x14ac:dyDescent="0.25">
      <c r="A171" s="263" t="s">
        <v>35</v>
      </c>
      <c r="B171" s="600">
        <v>2326</v>
      </c>
      <c r="C171" s="600">
        <v>275</v>
      </c>
      <c r="D171" s="600">
        <v>374</v>
      </c>
      <c r="E171" s="600">
        <v>51</v>
      </c>
      <c r="F171" s="600">
        <v>57</v>
      </c>
      <c r="G171" s="600">
        <v>229</v>
      </c>
      <c r="H171" s="600">
        <v>117</v>
      </c>
    </row>
    <row r="172" spans="1:8" s="263" customFormat="1" ht="9" customHeight="1" x14ac:dyDescent="0.25">
      <c r="A172" s="263" t="s">
        <v>36</v>
      </c>
      <c r="B172" s="600">
        <v>2728</v>
      </c>
      <c r="C172" s="600">
        <v>460</v>
      </c>
      <c r="D172" s="600">
        <v>917</v>
      </c>
      <c r="E172" s="600">
        <v>47</v>
      </c>
      <c r="F172" s="600">
        <v>55</v>
      </c>
      <c r="G172" s="600">
        <v>453</v>
      </c>
      <c r="H172" s="600">
        <v>377</v>
      </c>
    </row>
    <row r="173" spans="1:8" s="263" customFormat="1" ht="9" customHeight="1" x14ac:dyDescent="0.25">
      <c r="A173" s="267" t="s">
        <v>37</v>
      </c>
      <c r="B173" s="604">
        <v>1060</v>
      </c>
      <c r="C173" s="604">
        <v>137</v>
      </c>
      <c r="D173" s="604">
        <v>189</v>
      </c>
      <c r="E173" s="604">
        <v>17</v>
      </c>
      <c r="F173" s="604">
        <v>30</v>
      </c>
      <c r="G173" s="604">
        <v>96</v>
      </c>
      <c r="H173" s="604">
        <v>72</v>
      </c>
    </row>
    <row r="174" spans="1:8" s="263" customFormat="1" ht="9" customHeight="1" x14ac:dyDescent="0.25">
      <c r="A174" s="263" t="s">
        <v>38</v>
      </c>
      <c r="B174" s="600">
        <v>455</v>
      </c>
      <c r="C174" s="600">
        <v>76</v>
      </c>
      <c r="D174" s="600">
        <v>130</v>
      </c>
      <c r="E174" s="600">
        <v>8</v>
      </c>
      <c r="F174" s="600">
        <v>8</v>
      </c>
      <c r="G174" s="600">
        <v>89</v>
      </c>
      <c r="H174" s="600">
        <v>66</v>
      </c>
    </row>
    <row r="175" spans="1:8" s="263" customFormat="1" ht="9" customHeight="1" x14ac:dyDescent="0.25">
      <c r="A175" s="263" t="s">
        <v>39</v>
      </c>
      <c r="B175" s="600">
        <v>141</v>
      </c>
      <c r="C175" s="600">
        <v>21</v>
      </c>
      <c r="D175" s="600">
        <v>19</v>
      </c>
      <c r="E175" s="600">
        <v>4</v>
      </c>
      <c r="F175" s="600">
        <v>3</v>
      </c>
      <c r="G175" s="600">
        <v>21</v>
      </c>
      <c r="H175" s="600">
        <v>15</v>
      </c>
    </row>
    <row r="176" spans="1:8" s="263" customFormat="1" ht="9" customHeight="1" x14ac:dyDescent="0.25">
      <c r="A176" s="263" t="s">
        <v>40</v>
      </c>
      <c r="B176" s="600">
        <v>1197</v>
      </c>
      <c r="C176" s="600">
        <v>377</v>
      </c>
      <c r="D176" s="600">
        <v>301</v>
      </c>
      <c r="E176" s="600">
        <v>31</v>
      </c>
      <c r="F176" s="600">
        <v>32</v>
      </c>
      <c r="G176" s="600">
        <v>109</v>
      </c>
      <c r="H176" s="600">
        <v>48</v>
      </c>
    </row>
    <row r="177" spans="1:8" s="263" customFormat="1" ht="9" customHeight="1" x14ac:dyDescent="0.25">
      <c r="A177" s="267" t="s">
        <v>41</v>
      </c>
      <c r="B177" s="604">
        <v>411</v>
      </c>
      <c r="C177" s="604">
        <v>75</v>
      </c>
      <c r="D177" s="604">
        <v>157</v>
      </c>
      <c r="E177" s="604">
        <v>19</v>
      </c>
      <c r="F177" s="604">
        <v>15</v>
      </c>
      <c r="G177" s="604">
        <v>53</v>
      </c>
      <c r="H177" s="604">
        <v>40</v>
      </c>
    </row>
    <row r="178" spans="1:8" s="263" customFormat="1" ht="9" customHeight="1" x14ac:dyDescent="0.25">
      <c r="A178" s="263" t="s">
        <v>42</v>
      </c>
      <c r="B178" s="600">
        <v>1596</v>
      </c>
      <c r="C178" s="600">
        <v>192</v>
      </c>
      <c r="D178" s="600">
        <v>359</v>
      </c>
      <c r="E178" s="600">
        <v>31</v>
      </c>
      <c r="F178" s="600">
        <v>31</v>
      </c>
      <c r="G178" s="600">
        <v>149</v>
      </c>
      <c r="H178" s="600">
        <v>96</v>
      </c>
    </row>
    <row r="179" spans="1:8" s="263" customFormat="1" ht="9" customHeight="1" x14ac:dyDescent="0.25">
      <c r="A179" s="263" t="s">
        <v>43</v>
      </c>
      <c r="B179" s="600">
        <v>398</v>
      </c>
      <c r="C179" s="600">
        <v>102</v>
      </c>
      <c r="D179" s="600">
        <v>74</v>
      </c>
      <c r="E179" s="600">
        <v>5</v>
      </c>
      <c r="F179" s="600">
        <v>7</v>
      </c>
      <c r="G179" s="600">
        <v>47</v>
      </c>
      <c r="H179" s="600">
        <v>28</v>
      </c>
    </row>
    <row r="180" spans="1:8" s="263" customFormat="1" ht="9" customHeight="1" x14ac:dyDescent="0.25">
      <c r="A180" s="263" t="s">
        <v>44</v>
      </c>
      <c r="B180" s="600">
        <v>181</v>
      </c>
      <c r="C180" s="600">
        <v>37</v>
      </c>
      <c r="D180" s="600">
        <v>146</v>
      </c>
      <c r="E180" s="600">
        <v>15</v>
      </c>
      <c r="F180" s="600">
        <v>11</v>
      </c>
      <c r="G180" s="600">
        <v>31</v>
      </c>
      <c r="H180" s="600">
        <v>24</v>
      </c>
    </row>
    <row r="181" spans="1:8" s="263" customFormat="1" ht="9" customHeight="1" x14ac:dyDescent="0.25">
      <c r="A181" s="267" t="s">
        <v>45</v>
      </c>
      <c r="B181" s="604">
        <v>561</v>
      </c>
      <c r="C181" s="604">
        <v>76</v>
      </c>
      <c r="D181" s="604">
        <v>100</v>
      </c>
      <c r="E181" s="604">
        <v>17</v>
      </c>
      <c r="F181" s="604">
        <v>14</v>
      </c>
      <c r="G181" s="604">
        <v>45</v>
      </c>
      <c r="H181" s="604">
        <v>40</v>
      </c>
    </row>
    <row r="182" spans="1:8" s="263" customFormat="1" ht="9" customHeight="1" x14ac:dyDescent="0.25">
      <c r="A182" s="263" t="s">
        <v>46</v>
      </c>
      <c r="B182" s="600">
        <v>572</v>
      </c>
      <c r="C182" s="600">
        <v>134</v>
      </c>
      <c r="D182" s="600">
        <v>147</v>
      </c>
      <c r="E182" s="600">
        <v>18</v>
      </c>
      <c r="F182" s="600">
        <v>15</v>
      </c>
      <c r="G182" s="600">
        <v>87</v>
      </c>
      <c r="H182" s="600">
        <v>48</v>
      </c>
    </row>
    <row r="183" spans="1:8" s="263" customFormat="1" ht="9" customHeight="1" x14ac:dyDescent="0.25">
      <c r="A183" s="263" t="s">
        <v>47</v>
      </c>
      <c r="B183" s="600">
        <v>595</v>
      </c>
      <c r="C183" s="600">
        <v>116</v>
      </c>
      <c r="D183" s="600">
        <v>266</v>
      </c>
      <c r="E183" s="600">
        <v>24</v>
      </c>
      <c r="F183" s="600">
        <v>25</v>
      </c>
      <c r="G183" s="600">
        <v>73</v>
      </c>
      <c r="H183" s="600">
        <v>39</v>
      </c>
    </row>
    <row r="184" spans="1:8" s="263" customFormat="1" ht="9" customHeight="1" x14ac:dyDescent="0.25">
      <c r="A184" s="263" t="s">
        <v>48</v>
      </c>
      <c r="B184" s="600">
        <v>296</v>
      </c>
      <c r="C184" s="600">
        <v>61</v>
      </c>
      <c r="D184" s="600">
        <v>112</v>
      </c>
      <c r="E184" s="600">
        <v>14</v>
      </c>
      <c r="F184" s="600">
        <v>18</v>
      </c>
      <c r="G184" s="600">
        <v>47</v>
      </c>
      <c r="H184" s="600">
        <v>30</v>
      </c>
    </row>
    <row r="185" spans="1:8" s="263" customFormat="1" ht="9" customHeight="1" x14ac:dyDescent="0.25">
      <c r="A185" s="267" t="s">
        <v>49</v>
      </c>
      <c r="B185" s="604">
        <v>642</v>
      </c>
      <c r="C185" s="604">
        <v>84</v>
      </c>
      <c r="D185" s="604">
        <v>180</v>
      </c>
      <c r="E185" s="604">
        <v>37</v>
      </c>
      <c r="F185" s="604">
        <v>30</v>
      </c>
      <c r="G185" s="604">
        <v>93</v>
      </c>
      <c r="H185" s="604">
        <v>59</v>
      </c>
    </row>
    <row r="186" spans="1:8" s="263" customFormat="1" ht="9" customHeight="1" x14ac:dyDescent="0.25">
      <c r="A186" s="263" t="s">
        <v>50</v>
      </c>
      <c r="B186" s="600">
        <v>237</v>
      </c>
      <c r="C186" s="600">
        <v>45</v>
      </c>
      <c r="D186" s="600">
        <v>93</v>
      </c>
      <c r="E186" s="600">
        <v>8</v>
      </c>
      <c r="F186" s="600">
        <v>7</v>
      </c>
      <c r="G186" s="600">
        <v>37</v>
      </c>
      <c r="H186" s="600">
        <v>36</v>
      </c>
    </row>
    <row r="187" spans="1:8" s="263" customFormat="1" ht="9" customHeight="1" x14ac:dyDescent="0.25">
      <c r="A187" s="263" t="s">
        <v>51</v>
      </c>
      <c r="B187" s="600">
        <v>997</v>
      </c>
      <c r="C187" s="600">
        <v>98</v>
      </c>
      <c r="D187" s="600">
        <v>263</v>
      </c>
      <c r="E187" s="600">
        <v>27</v>
      </c>
      <c r="F187" s="600">
        <v>29</v>
      </c>
      <c r="G187" s="600">
        <v>140</v>
      </c>
      <c r="H187" s="600">
        <v>95</v>
      </c>
    </row>
    <row r="188" spans="1:8" s="263" customFormat="1" ht="9" customHeight="1" x14ac:dyDescent="0.25">
      <c r="A188" s="263" t="s">
        <v>52</v>
      </c>
      <c r="B188" s="600">
        <v>433</v>
      </c>
      <c r="C188" s="600">
        <v>72</v>
      </c>
      <c r="D188" s="600">
        <v>310</v>
      </c>
      <c r="E188" s="600">
        <v>20</v>
      </c>
      <c r="F188" s="600">
        <v>13</v>
      </c>
      <c r="G188" s="600">
        <v>55</v>
      </c>
      <c r="H188" s="600">
        <v>34</v>
      </c>
    </row>
    <row r="189" spans="1:8" s="263" customFormat="1" ht="9" customHeight="1" x14ac:dyDescent="0.25">
      <c r="A189" s="267" t="s">
        <v>53</v>
      </c>
      <c r="B189" s="604">
        <v>289</v>
      </c>
      <c r="C189" s="604">
        <v>27</v>
      </c>
      <c r="D189" s="604">
        <v>79</v>
      </c>
      <c r="E189" s="604">
        <v>10</v>
      </c>
      <c r="F189" s="604">
        <v>11</v>
      </c>
      <c r="G189" s="604">
        <v>30</v>
      </c>
      <c r="H189" s="604">
        <v>22</v>
      </c>
    </row>
    <row r="190" spans="1:8" s="263" customFormat="1" ht="8.25" customHeight="1" x14ac:dyDescent="0.25">
      <c r="B190" s="266"/>
      <c r="C190" s="266"/>
      <c r="D190" s="266"/>
      <c r="E190" s="266"/>
      <c r="F190" s="266"/>
      <c r="G190" s="266"/>
      <c r="H190" s="266"/>
    </row>
    <row r="191" spans="1:8" s="263" customFormat="1" ht="9" customHeight="1" x14ac:dyDescent="0.25">
      <c r="A191" s="261">
        <v>2000</v>
      </c>
      <c r="B191" s="262"/>
      <c r="C191" s="262"/>
      <c r="D191" s="262"/>
      <c r="E191" s="262"/>
      <c r="F191" s="262"/>
      <c r="G191" s="262"/>
      <c r="H191" s="262"/>
    </row>
    <row r="192" spans="1:8" s="265" customFormat="1" ht="9" customHeight="1" x14ac:dyDescent="0.25">
      <c r="A192" s="265" t="s">
        <v>21</v>
      </c>
      <c r="B192" s="262">
        <f>SUM(B194:B225)</f>
        <v>27015</v>
      </c>
      <c r="C192" s="262">
        <f t="shared" ref="C192:H192" si="5">SUM(C194:C225)</f>
        <v>4582</v>
      </c>
      <c r="D192" s="262">
        <f t="shared" si="5"/>
        <v>8064</v>
      </c>
      <c r="E192" s="262">
        <f t="shared" si="5"/>
        <v>590</v>
      </c>
      <c r="F192" s="262">
        <f t="shared" si="5"/>
        <v>753</v>
      </c>
      <c r="G192" s="262">
        <f t="shared" si="5"/>
        <v>3115</v>
      </c>
      <c r="H192" s="262">
        <f t="shared" si="5"/>
        <v>2053</v>
      </c>
    </row>
    <row r="193" spans="1:8" s="265" customFormat="1" ht="3.95" customHeight="1" x14ac:dyDescent="0.25">
      <c r="B193" s="262"/>
      <c r="C193" s="262"/>
      <c r="D193" s="262"/>
      <c r="E193" s="262"/>
      <c r="F193" s="262"/>
      <c r="G193" s="262"/>
      <c r="H193" s="262"/>
    </row>
    <row r="194" spans="1:8" s="263" customFormat="1" ht="9" customHeight="1" x14ac:dyDescent="0.25">
      <c r="A194" s="263" t="s">
        <v>23</v>
      </c>
      <c r="B194" s="600">
        <v>277</v>
      </c>
      <c r="C194" s="600">
        <v>37</v>
      </c>
      <c r="D194" s="600">
        <v>68</v>
      </c>
      <c r="E194" s="600">
        <v>7</v>
      </c>
      <c r="F194" s="600">
        <v>6</v>
      </c>
      <c r="G194" s="600">
        <v>32</v>
      </c>
      <c r="H194" s="600">
        <v>15</v>
      </c>
    </row>
    <row r="195" spans="1:8" s="263" customFormat="1" ht="9" customHeight="1" x14ac:dyDescent="0.25">
      <c r="A195" s="263" t="s">
        <v>24</v>
      </c>
      <c r="B195" s="600">
        <v>906</v>
      </c>
      <c r="C195" s="600">
        <v>117</v>
      </c>
      <c r="D195" s="600">
        <v>192</v>
      </c>
      <c r="E195" s="600">
        <v>10</v>
      </c>
      <c r="F195" s="600">
        <v>14</v>
      </c>
      <c r="G195" s="600">
        <v>140</v>
      </c>
      <c r="H195" s="600">
        <v>89</v>
      </c>
    </row>
    <row r="196" spans="1:8" s="263" customFormat="1" ht="9" customHeight="1" x14ac:dyDescent="0.25">
      <c r="A196" s="263" t="s">
        <v>25</v>
      </c>
      <c r="B196" s="600">
        <v>42</v>
      </c>
      <c r="C196" s="600">
        <v>21</v>
      </c>
      <c r="D196" s="600">
        <v>36</v>
      </c>
      <c r="E196" s="600">
        <v>4</v>
      </c>
      <c r="F196" s="600">
        <v>4</v>
      </c>
      <c r="G196" s="600">
        <v>10</v>
      </c>
      <c r="H196" s="600">
        <v>7</v>
      </c>
    </row>
    <row r="197" spans="1:8" s="263" customFormat="1" ht="9" customHeight="1" x14ac:dyDescent="0.25">
      <c r="A197" s="267" t="s">
        <v>26</v>
      </c>
      <c r="B197" s="604">
        <v>70</v>
      </c>
      <c r="C197" s="604">
        <v>10</v>
      </c>
      <c r="D197" s="604">
        <v>36</v>
      </c>
      <c r="E197" s="604">
        <v>4</v>
      </c>
      <c r="F197" s="604">
        <v>3</v>
      </c>
      <c r="G197" s="604">
        <v>9</v>
      </c>
      <c r="H197" s="604">
        <v>9</v>
      </c>
    </row>
    <row r="198" spans="1:8" s="263" customFormat="1" ht="9" customHeight="1" x14ac:dyDescent="0.25">
      <c r="A198" s="263" t="s">
        <v>27</v>
      </c>
      <c r="B198" s="600">
        <v>454</v>
      </c>
      <c r="C198" s="600">
        <v>107</v>
      </c>
      <c r="D198" s="600">
        <v>146</v>
      </c>
      <c r="E198" s="600">
        <v>15</v>
      </c>
      <c r="F198" s="600">
        <v>19</v>
      </c>
      <c r="G198" s="600">
        <v>58</v>
      </c>
      <c r="H198" s="600">
        <v>27</v>
      </c>
    </row>
    <row r="199" spans="1:8" s="263" customFormat="1" ht="9" customHeight="1" x14ac:dyDescent="0.25">
      <c r="A199" s="263" t="s">
        <v>28</v>
      </c>
      <c r="B199" s="600">
        <v>105</v>
      </c>
      <c r="C199" s="600">
        <v>19</v>
      </c>
      <c r="D199" s="600">
        <v>42</v>
      </c>
      <c r="E199" s="600">
        <v>6</v>
      </c>
      <c r="F199" s="600">
        <v>7</v>
      </c>
      <c r="G199" s="600">
        <v>16</v>
      </c>
      <c r="H199" s="600">
        <v>10</v>
      </c>
    </row>
    <row r="200" spans="1:8" s="263" customFormat="1" ht="9" customHeight="1" x14ac:dyDescent="0.25">
      <c r="A200" s="263" t="s">
        <v>29</v>
      </c>
      <c r="B200" s="600">
        <v>538</v>
      </c>
      <c r="C200" s="600">
        <v>94</v>
      </c>
      <c r="D200" s="600">
        <v>167</v>
      </c>
      <c r="E200" s="600">
        <v>12</v>
      </c>
      <c r="F200" s="600">
        <v>10</v>
      </c>
      <c r="G200" s="600">
        <v>63</v>
      </c>
      <c r="H200" s="600">
        <v>45</v>
      </c>
    </row>
    <row r="201" spans="1:8" s="263" customFormat="1" ht="9" customHeight="1" x14ac:dyDescent="0.25">
      <c r="A201" s="267" t="s">
        <v>30</v>
      </c>
      <c r="B201" s="604">
        <v>861</v>
      </c>
      <c r="C201" s="604">
        <v>193</v>
      </c>
      <c r="D201" s="604">
        <v>173</v>
      </c>
      <c r="E201" s="604">
        <v>18</v>
      </c>
      <c r="F201" s="604">
        <v>31</v>
      </c>
      <c r="G201" s="604">
        <v>65</v>
      </c>
      <c r="H201" s="604">
        <v>44</v>
      </c>
    </row>
    <row r="202" spans="1:8" s="263" customFormat="1" ht="9" customHeight="1" x14ac:dyDescent="0.25">
      <c r="A202" s="263" t="s">
        <v>63</v>
      </c>
      <c r="B202" s="600">
        <v>5673</v>
      </c>
      <c r="C202" s="600">
        <v>950</v>
      </c>
      <c r="D202" s="600">
        <v>1556</v>
      </c>
      <c r="E202" s="600">
        <v>51</v>
      </c>
      <c r="F202" s="600">
        <v>102</v>
      </c>
      <c r="G202" s="600">
        <v>440</v>
      </c>
      <c r="H202" s="600">
        <v>229</v>
      </c>
    </row>
    <row r="203" spans="1:8" s="263" customFormat="1" ht="9" customHeight="1" x14ac:dyDescent="0.25">
      <c r="A203" s="263" t="s">
        <v>31</v>
      </c>
      <c r="B203" s="600">
        <v>335</v>
      </c>
      <c r="C203" s="600">
        <v>17</v>
      </c>
      <c r="D203" s="600">
        <v>36</v>
      </c>
      <c r="E203" s="600">
        <v>7</v>
      </c>
      <c r="F203" s="600">
        <v>7</v>
      </c>
      <c r="G203" s="600">
        <v>39</v>
      </c>
      <c r="H203" s="600">
        <v>24</v>
      </c>
    </row>
    <row r="204" spans="1:8" s="263" customFormat="1" ht="9" customHeight="1" x14ac:dyDescent="0.25">
      <c r="A204" s="263" t="s">
        <v>32</v>
      </c>
      <c r="B204" s="600">
        <v>1803</v>
      </c>
      <c r="C204" s="600">
        <v>350</v>
      </c>
      <c r="D204" s="600">
        <v>586</v>
      </c>
      <c r="E204" s="600">
        <v>37</v>
      </c>
      <c r="F204" s="600">
        <v>72</v>
      </c>
      <c r="G204" s="600">
        <v>215</v>
      </c>
      <c r="H204" s="600">
        <v>163</v>
      </c>
    </row>
    <row r="205" spans="1:8" s="263" customFormat="1" ht="9" customHeight="1" x14ac:dyDescent="0.25">
      <c r="A205" s="267" t="s">
        <v>33</v>
      </c>
      <c r="B205" s="604">
        <v>603</v>
      </c>
      <c r="C205" s="604">
        <v>122</v>
      </c>
      <c r="D205" s="604">
        <v>267</v>
      </c>
      <c r="E205" s="604">
        <v>25</v>
      </c>
      <c r="F205" s="604">
        <v>24</v>
      </c>
      <c r="G205" s="604">
        <v>80</v>
      </c>
      <c r="H205" s="604">
        <v>62</v>
      </c>
    </row>
    <row r="206" spans="1:8" s="263" customFormat="1" ht="9" customHeight="1" x14ac:dyDescent="0.25">
      <c r="A206" s="263" t="s">
        <v>34</v>
      </c>
      <c r="B206" s="600">
        <v>489</v>
      </c>
      <c r="C206" s="600">
        <v>59</v>
      </c>
      <c r="D206" s="600">
        <v>182</v>
      </c>
      <c r="E206" s="600">
        <v>18</v>
      </c>
      <c r="F206" s="600">
        <v>28</v>
      </c>
      <c r="G206" s="600">
        <v>73</v>
      </c>
      <c r="H206" s="600">
        <v>62</v>
      </c>
    </row>
    <row r="207" spans="1:8" s="263" customFormat="1" ht="9" customHeight="1" x14ac:dyDescent="0.25">
      <c r="A207" s="263" t="s">
        <v>35</v>
      </c>
      <c r="B207" s="600">
        <v>2235</v>
      </c>
      <c r="C207" s="600">
        <v>285</v>
      </c>
      <c r="D207" s="600">
        <v>358</v>
      </c>
      <c r="E207" s="600">
        <v>45</v>
      </c>
      <c r="F207" s="600">
        <v>63</v>
      </c>
      <c r="G207" s="600">
        <v>223</v>
      </c>
      <c r="H207" s="600">
        <v>117</v>
      </c>
    </row>
    <row r="208" spans="1:8" s="263" customFormat="1" ht="9" customHeight="1" x14ac:dyDescent="0.25">
      <c r="A208" s="263" t="s">
        <v>36</v>
      </c>
      <c r="B208" s="600">
        <v>2755</v>
      </c>
      <c r="C208" s="600">
        <v>421</v>
      </c>
      <c r="D208" s="600">
        <v>977</v>
      </c>
      <c r="E208" s="600">
        <v>49</v>
      </c>
      <c r="F208" s="600">
        <v>59</v>
      </c>
      <c r="G208" s="600">
        <v>441</v>
      </c>
      <c r="H208" s="600">
        <v>352</v>
      </c>
    </row>
    <row r="209" spans="1:8" s="263" customFormat="1" ht="9" customHeight="1" x14ac:dyDescent="0.25">
      <c r="A209" s="267" t="s">
        <v>37</v>
      </c>
      <c r="B209" s="604">
        <v>1004</v>
      </c>
      <c r="C209" s="604">
        <v>97</v>
      </c>
      <c r="D209" s="604">
        <v>193</v>
      </c>
      <c r="E209" s="604">
        <v>12</v>
      </c>
      <c r="F209" s="604">
        <v>24</v>
      </c>
      <c r="G209" s="604">
        <v>104</v>
      </c>
      <c r="H209" s="604">
        <v>69</v>
      </c>
    </row>
    <row r="210" spans="1:8" s="263" customFormat="1" ht="9" customHeight="1" x14ac:dyDescent="0.25">
      <c r="A210" s="263" t="s">
        <v>38</v>
      </c>
      <c r="B210" s="600">
        <v>452</v>
      </c>
      <c r="C210" s="600">
        <v>93</v>
      </c>
      <c r="D210" s="600">
        <v>161</v>
      </c>
      <c r="E210" s="600">
        <v>7</v>
      </c>
      <c r="F210" s="600">
        <v>11</v>
      </c>
      <c r="G210" s="600">
        <v>91</v>
      </c>
      <c r="H210" s="600">
        <v>66</v>
      </c>
    </row>
    <row r="211" spans="1:8" s="263" customFormat="1" ht="9" customHeight="1" x14ac:dyDescent="0.25">
      <c r="A211" s="263" t="s">
        <v>39</v>
      </c>
      <c r="B211" s="600">
        <v>150</v>
      </c>
      <c r="C211" s="600">
        <v>28</v>
      </c>
      <c r="D211" s="600">
        <v>24</v>
      </c>
      <c r="E211" s="600">
        <v>6</v>
      </c>
      <c r="F211" s="600">
        <v>6</v>
      </c>
      <c r="G211" s="600">
        <v>24</v>
      </c>
      <c r="H211" s="600">
        <v>17</v>
      </c>
    </row>
    <row r="212" spans="1:8" s="263" customFormat="1" ht="9" customHeight="1" x14ac:dyDescent="0.25">
      <c r="A212" s="263" t="s">
        <v>40</v>
      </c>
      <c r="B212" s="600">
        <v>1251</v>
      </c>
      <c r="C212" s="600">
        <v>478</v>
      </c>
      <c r="D212" s="600">
        <v>368</v>
      </c>
      <c r="E212" s="600">
        <v>29</v>
      </c>
      <c r="F212" s="600">
        <v>32</v>
      </c>
      <c r="G212" s="600">
        <v>120</v>
      </c>
      <c r="H212" s="600">
        <v>56</v>
      </c>
    </row>
    <row r="213" spans="1:8" s="263" customFormat="1" ht="9" customHeight="1" x14ac:dyDescent="0.25">
      <c r="A213" s="267" t="s">
        <v>41</v>
      </c>
      <c r="B213" s="604">
        <v>420</v>
      </c>
      <c r="C213" s="604">
        <v>45</v>
      </c>
      <c r="D213" s="604">
        <v>143</v>
      </c>
      <c r="E213" s="604">
        <v>14</v>
      </c>
      <c r="F213" s="604">
        <v>11</v>
      </c>
      <c r="G213" s="604">
        <v>53</v>
      </c>
      <c r="H213" s="604">
        <v>41</v>
      </c>
    </row>
    <row r="214" spans="1:8" s="263" customFormat="1" ht="9" customHeight="1" x14ac:dyDescent="0.25">
      <c r="A214" s="263" t="s">
        <v>42</v>
      </c>
      <c r="B214" s="600">
        <v>1604</v>
      </c>
      <c r="C214" s="600">
        <v>163</v>
      </c>
      <c r="D214" s="600">
        <v>359</v>
      </c>
      <c r="E214" s="600">
        <v>34</v>
      </c>
      <c r="F214" s="600">
        <v>38</v>
      </c>
      <c r="G214" s="600">
        <v>150</v>
      </c>
      <c r="H214" s="600">
        <v>100</v>
      </c>
    </row>
    <row r="215" spans="1:8" s="263" customFormat="1" ht="9" customHeight="1" x14ac:dyDescent="0.25">
      <c r="A215" s="263" t="s">
        <v>43</v>
      </c>
      <c r="B215" s="600">
        <v>337</v>
      </c>
      <c r="C215" s="600">
        <v>91</v>
      </c>
      <c r="D215" s="600">
        <v>69</v>
      </c>
      <c r="E215" s="600">
        <v>7</v>
      </c>
      <c r="F215" s="600">
        <v>9</v>
      </c>
      <c r="G215" s="600">
        <v>43</v>
      </c>
      <c r="H215" s="600">
        <v>24</v>
      </c>
    </row>
    <row r="216" spans="1:8" s="263" customFormat="1" ht="9" customHeight="1" x14ac:dyDescent="0.25">
      <c r="A216" s="263" t="s">
        <v>44</v>
      </c>
      <c r="B216" s="600">
        <v>212</v>
      </c>
      <c r="C216" s="600">
        <v>36</v>
      </c>
      <c r="D216" s="600">
        <v>159</v>
      </c>
      <c r="E216" s="600">
        <v>21</v>
      </c>
      <c r="F216" s="600">
        <v>13</v>
      </c>
      <c r="G216" s="600">
        <v>37</v>
      </c>
      <c r="H216" s="600">
        <v>27</v>
      </c>
    </row>
    <row r="217" spans="1:8" s="263" customFormat="1" ht="9" customHeight="1" x14ac:dyDescent="0.25">
      <c r="A217" s="267" t="s">
        <v>45</v>
      </c>
      <c r="B217" s="604">
        <v>581</v>
      </c>
      <c r="C217" s="604">
        <v>68</v>
      </c>
      <c r="D217" s="604">
        <v>203</v>
      </c>
      <c r="E217" s="604">
        <v>18</v>
      </c>
      <c r="F217" s="604">
        <v>14</v>
      </c>
      <c r="G217" s="604">
        <v>49</v>
      </c>
      <c r="H217" s="604">
        <v>42</v>
      </c>
    </row>
    <row r="218" spans="1:8" s="263" customFormat="1" ht="9" customHeight="1" x14ac:dyDescent="0.25">
      <c r="A218" s="263" t="s">
        <v>46</v>
      </c>
      <c r="B218" s="600">
        <v>560</v>
      </c>
      <c r="C218" s="600">
        <v>161</v>
      </c>
      <c r="D218" s="600">
        <v>163</v>
      </c>
      <c r="E218" s="600">
        <v>17</v>
      </c>
      <c r="F218" s="600">
        <v>17</v>
      </c>
      <c r="G218" s="600">
        <v>87</v>
      </c>
      <c r="H218" s="600">
        <v>54</v>
      </c>
    </row>
    <row r="219" spans="1:8" s="263" customFormat="1" ht="9" customHeight="1" x14ac:dyDescent="0.25">
      <c r="A219" s="263" t="s">
        <v>47</v>
      </c>
      <c r="B219" s="600">
        <v>476</v>
      </c>
      <c r="C219" s="600">
        <v>89</v>
      </c>
      <c r="D219" s="600">
        <v>324</v>
      </c>
      <c r="E219" s="600">
        <v>23</v>
      </c>
      <c r="F219" s="600">
        <v>25</v>
      </c>
      <c r="G219" s="600">
        <v>63</v>
      </c>
      <c r="H219" s="600">
        <v>37</v>
      </c>
    </row>
    <row r="220" spans="1:8" s="263" customFormat="1" ht="9" customHeight="1" x14ac:dyDescent="0.25">
      <c r="A220" s="263" t="s">
        <v>48</v>
      </c>
      <c r="B220" s="600">
        <v>280</v>
      </c>
      <c r="C220" s="600">
        <v>35</v>
      </c>
      <c r="D220" s="600">
        <v>129</v>
      </c>
      <c r="E220" s="600">
        <v>14</v>
      </c>
      <c r="F220" s="600">
        <v>17</v>
      </c>
      <c r="G220" s="600">
        <v>44</v>
      </c>
      <c r="H220" s="600">
        <v>28</v>
      </c>
    </row>
    <row r="221" spans="1:8" s="263" customFormat="1" ht="9" customHeight="1" x14ac:dyDescent="0.25">
      <c r="A221" s="267" t="s">
        <v>49</v>
      </c>
      <c r="B221" s="604">
        <v>682</v>
      </c>
      <c r="C221" s="604">
        <v>124</v>
      </c>
      <c r="D221" s="604">
        <v>216</v>
      </c>
      <c r="E221" s="604">
        <v>24</v>
      </c>
      <c r="F221" s="604">
        <v>27</v>
      </c>
      <c r="G221" s="604">
        <v>87</v>
      </c>
      <c r="H221" s="604">
        <v>57</v>
      </c>
    </row>
    <row r="222" spans="1:8" s="263" customFormat="1" ht="9" customHeight="1" x14ac:dyDescent="0.25">
      <c r="A222" s="263" t="s">
        <v>50</v>
      </c>
      <c r="B222" s="600">
        <v>231</v>
      </c>
      <c r="C222" s="600">
        <v>33</v>
      </c>
      <c r="D222" s="600">
        <v>80</v>
      </c>
      <c r="E222" s="600">
        <v>4</v>
      </c>
      <c r="F222" s="600">
        <v>6</v>
      </c>
      <c r="G222" s="600">
        <v>39</v>
      </c>
      <c r="H222" s="600">
        <v>35</v>
      </c>
    </row>
    <row r="223" spans="1:8" s="263" customFormat="1" ht="9" customHeight="1" x14ac:dyDescent="0.25">
      <c r="A223" s="263" t="s">
        <v>51</v>
      </c>
      <c r="B223" s="600">
        <v>937</v>
      </c>
      <c r="C223" s="600">
        <v>109</v>
      </c>
      <c r="D223" s="600">
        <v>248</v>
      </c>
      <c r="E223" s="600">
        <v>24</v>
      </c>
      <c r="F223" s="600">
        <v>28</v>
      </c>
      <c r="G223" s="600">
        <v>135</v>
      </c>
      <c r="H223" s="600">
        <v>89</v>
      </c>
    </row>
    <row r="224" spans="1:8" s="263" customFormat="1" ht="9" customHeight="1" x14ac:dyDescent="0.25">
      <c r="A224" s="263" t="s">
        <v>52</v>
      </c>
      <c r="B224" s="600">
        <v>418</v>
      </c>
      <c r="C224" s="600">
        <v>96</v>
      </c>
      <c r="D224" s="600">
        <v>326</v>
      </c>
      <c r="E224" s="600">
        <v>17</v>
      </c>
      <c r="F224" s="600">
        <v>14</v>
      </c>
      <c r="G224" s="600">
        <v>56</v>
      </c>
      <c r="H224" s="600">
        <v>35</v>
      </c>
    </row>
    <row r="225" spans="1:8" s="263" customFormat="1" ht="9" customHeight="1" x14ac:dyDescent="0.25">
      <c r="A225" s="267" t="s">
        <v>53</v>
      </c>
      <c r="B225" s="604">
        <v>274</v>
      </c>
      <c r="C225" s="604">
        <v>34</v>
      </c>
      <c r="D225" s="604">
        <v>77</v>
      </c>
      <c r="E225" s="604">
        <v>11</v>
      </c>
      <c r="F225" s="604">
        <v>12</v>
      </c>
      <c r="G225" s="604">
        <v>29</v>
      </c>
      <c r="H225" s="604">
        <v>21</v>
      </c>
    </row>
    <row r="226" spans="1:8" s="263" customFormat="1" ht="9" customHeight="1" x14ac:dyDescent="0.25">
      <c r="B226" s="262"/>
      <c r="C226" s="262"/>
      <c r="D226" s="262"/>
      <c r="E226" s="262"/>
      <c r="F226" s="262"/>
      <c r="G226" s="262"/>
      <c r="H226" s="262"/>
    </row>
    <row r="227" spans="1:8" s="263" customFormat="1" ht="9" customHeight="1" x14ac:dyDescent="0.25">
      <c r="A227" s="261">
        <v>2001</v>
      </c>
      <c r="B227" s="262"/>
      <c r="C227" s="262"/>
      <c r="D227" s="262"/>
      <c r="E227" s="262"/>
      <c r="F227" s="262"/>
      <c r="G227" s="262"/>
      <c r="H227" s="262"/>
    </row>
    <row r="228" spans="1:8" s="265" customFormat="1" ht="9" customHeight="1" x14ac:dyDescent="0.25">
      <c r="A228" s="265" t="s">
        <v>21</v>
      </c>
      <c r="B228" s="262">
        <f t="shared" ref="B228:G228" si="6">SUM(B230:B261)</f>
        <v>30564</v>
      </c>
      <c r="C228" s="262">
        <f t="shared" si="6"/>
        <v>6561</v>
      </c>
      <c r="D228" s="262">
        <f t="shared" si="6"/>
        <v>9764</v>
      </c>
      <c r="E228" s="262">
        <f t="shared" si="6"/>
        <v>763</v>
      </c>
      <c r="F228" s="262">
        <f t="shared" si="6"/>
        <v>1028</v>
      </c>
      <c r="G228" s="262">
        <f t="shared" si="6"/>
        <v>3824</v>
      </c>
      <c r="H228" s="262">
        <f>SUM(H230:H261)</f>
        <v>2520</v>
      </c>
    </row>
    <row r="229" spans="1:8" s="265" customFormat="1" ht="3.95" customHeight="1" x14ac:dyDescent="0.25">
      <c r="B229" s="262"/>
      <c r="C229" s="262"/>
      <c r="D229" s="262"/>
      <c r="E229" s="262"/>
      <c r="F229" s="262"/>
      <c r="G229" s="262"/>
      <c r="H229" s="262"/>
    </row>
    <row r="230" spans="1:8" s="263" customFormat="1" ht="9" customHeight="1" x14ac:dyDescent="0.25">
      <c r="A230" s="263" t="s">
        <v>23</v>
      </c>
      <c r="B230" s="600">
        <v>281</v>
      </c>
      <c r="C230" s="600">
        <v>57</v>
      </c>
      <c r="D230" s="600">
        <v>87</v>
      </c>
      <c r="E230" s="600">
        <v>11</v>
      </c>
      <c r="F230" s="600">
        <v>10</v>
      </c>
      <c r="G230" s="600">
        <v>39</v>
      </c>
      <c r="H230" s="600">
        <v>13</v>
      </c>
    </row>
    <row r="231" spans="1:8" s="263" customFormat="1" ht="9" customHeight="1" x14ac:dyDescent="0.25">
      <c r="A231" s="263" t="s">
        <v>24</v>
      </c>
      <c r="B231" s="598" t="s">
        <v>22</v>
      </c>
      <c r="C231" s="598" t="s">
        <v>22</v>
      </c>
      <c r="D231" s="598" t="s">
        <v>22</v>
      </c>
      <c r="E231" s="598" t="s">
        <v>22</v>
      </c>
      <c r="F231" s="598" t="s">
        <v>22</v>
      </c>
      <c r="G231" s="598" t="s">
        <v>22</v>
      </c>
      <c r="H231" s="598" t="s">
        <v>22</v>
      </c>
    </row>
    <row r="232" spans="1:8" s="263" customFormat="1" ht="9" customHeight="1" x14ac:dyDescent="0.25">
      <c r="A232" s="263" t="s">
        <v>25</v>
      </c>
      <c r="B232" s="600">
        <v>75</v>
      </c>
      <c r="C232" s="600">
        <v>22</v>
      </c>
      <c r="D232" s="600">
        <v>48</v>
      </c>
      <c r="E232" s="600">
        <v>6</v>
      </c>
      <c r="F232" s="600">
        <v>7</v>
      </c>
      <c r="G232" s="600">
        <v>14</v>
      </c>
      <c r="H232" s="600">
        <v>8</v>
      </c>
    </row>
    <row r="233" spans="1:8" s="263" customFormat="1" ht="9" customHeight="1" x14ac:dyDescent="0.25">
      <c r="A233" s="267" t="s">
        <v>26</v>
      </c>
      <c r="B233" s="604">
        <v>68</v>
      </c>
      <c r="C233" s="604">
        <v>32</v>
      </c>
      <c r="D233" s="604">
        <v>46</v>
      </c>
      <c r="E233" s="604">
        <v>2</v>
      </c>
      <c r="F233" s="604">
        <v>5</v>
      </c>
      <c r="G233" s="604">
        <v>8</v>
      </c>
      <c r="H233" s="604">
        <v>6</v>
      </c>
    </row>
    <row r="234" spans="1:8" s="263" customFormat="1" ht="9" customHeight="1" x14ac:dyDescent="0.25">
      <c r="A234" s="263" t="s">
        <v>27</v>
      </c>
      <c r="B234" s="600">
        <v>430</v>
      </c>
      <c r="C234" s="600">
        <v>96</v>
      </c>
      <c r="D234" s="600">
        <v>315</v>
      </c>
      <c r="E234" s="600">
        <v>24</v>
      </c>
      <c r="F234" s="600">
        <v>30</v>
      </c>
      <c r="G234" s="600">
        <v>64</v>
      </c>
      <c r="H234" s="600">
        <v>31</v>
      </c>
    </row>
    <row r="235" spans="1:8" s="263" customFormat="1" ht="9" customHeight="1" x14ac:dyDescent="0.25">
      <c r="A235" s="263" t="s">
        <v>28</v>
      </c>
      <c r="B235" s="600">
        <v>153</v>
      </c>
      <c r="C235" s="600">
        <v>26</v>
      </c>
      <c r="D235" s="600">
        <v>71</v>
      </c>
      <c r="E235" s="600">
        <v>21</v>
      </c>
      <c r="F235" s="600">
        <v>13</v>
      </c>
      <c r="G235" s="600">
        <v>20</v>
      </c>
      <c r="H235" s="600">
        <v>13</v>
      </c>
    </row>
    <row r="236" spans="1:8" s="263" customFormat="1" ht="9" customHeight="1" x14ac:dyDescent="0.25">
      <c r="A236" s="263" t="s">
        <v>29</v>
      </c>
      <c r="B236" s="600">
        <v>631</v>
      </c>
      <c r="C236" s="600">
        <v>175</v>
      </c>
      <c r="D236" s="600">
        <v>209</v>
      </c>
      <c r="E236" s="600">
        <v>14</v>
      </c>
      <c r="F236" s="600">
        <v>19</v>
      </c>
      <c r="G236" s="600">
        <v>83</v>
      </c>
      <c r="H236" s="600">
        <v>45</v>
      </c>
    </row>
    <row r="237" spans="1:8" s="263" customFormat="1" ht="9" customHeight="1" x14ac:dyDescent="0.25">
      <c r="A237" s="267" t="s">
        <v>30</v>
      </c>
      <c r="B237" s="604">
        <v>945</v>
      </c>
      <c r="C237" s="604">
        <v>201</v>
      </c>
      <c r="D237" s="604">
        <v>293</v>
      </c>
      <c r="E237" s="604">
        <v>26</v>
      </c>
      <c r="F237" s="604">
        <v>36</v>
      </c>
      <c r="G237" s="604">
        <v>79</v>
      </c>
      <c r="H237" s="604">
        <v>52</v>
      </c>
    </row>
    <row r="238" spans="1:8" s="263" customFormat="1" ht="9" customHeight="1" x14ac:dyDescent="0.25">
      <c r="A238" s="263" t="s">
        <v>63</v>
      </c>
      <c r="B238" s="600">
        <v>5667</v>
      </c>
      <c r="C238" s="600">
        <v>1105</v>
      </c>
      <c r="D238" s="600">
        <v>1650</v>
      </c>
      <c r="E238" s="600">
        <v>65</v>
      </c>
      <c r="F238" s="600">
        <v>113</v>
      </c>
      <c r="G238" s="600">
        <v>518</v>
      </c>
      <c r="H238" s="600">
        <v>267</v>
      </c>
    </row>
    <row r="239" spans="1:8" s="263" customFormat="1" ht="9" customHeight="1" x14ac:dyDescent="0.25">
      <c r="A239" s="263" t="s">
        <v>31</v>
      </c>
      <c r="B239" s="600">
        <v>262</v>
      </c>
      <c r="C239" s="600">
        <v>24</v>
      </c>
      <c r="D239" s="600">
        <v>44</v>
      </c>
      <c r="E239" s="600">
        <v>12</v>
      </c>
      <c r="F239" s="600">
        <v>13</v>
      </c>
      <c r="G239" s="600">
        <v>42</v>
      </c>
      <c r="H239" s="600">
        <v>26</v>
      </c>
    </row>
    <row r="240" spans="1:8" s="263" customFormat="1" ht="9" customHeight="1" x14ac:dyDescent="0.25">
      <c r="A240" s="263" t="s">
        <v>32</v>
      </c>
      <c r="B240" s="600">
        <v>2039</v>
      </c>
      <c r="C240" s="600">
        <v>435</v>
      </c>
      <c r="D240" s="600">
        <v>698</v>
      </c>
      <c r="E240" s="600">
        <v>49</v>
      </c>
      <c r="F240" s="600">
        <v>72</v>
      </c>
      <c r="G240" s="600">
        <v>268</v>
      </c>
      <c r="H240" s="600">
        <v>201</v>
      </c>
    </row>
    <row r="241" spans="1:8" s="263" customFormat="1" ht="9" customHeight="1" x14ac:dyDescent="0.25">
      <c r="A241" s="267" t="s">
        <v>33</v>
      </c>
      <c r="B241" s="604">
        <v>794</v>
      </c>
      <c r="C241" s="604">
        <v>166</v>
      </c>
      <c r="D241" s="604">
        <v>321</v>
      </c>
      <c r="E241" s="604">
        <v>20</v>
      </c>
      <c r="F241" s="604">
        <v>29</v>
      </c>
      <c r="G241" s="604">
        <v>112</v>
      </c>
      <c r="H241" s="604">
        <v>75</v>
      </c>
    </row>
    <row r="242" spans="1:8" s="263" customFormat="1" ht="9" customHeight="1" x14ac:dyDescent="0.25">
      <c r="A242" s="263" t="s">
        <v>34</v>
      </c>
      <c r="B242" s="600">
        <v>567</v>
      </c>
      <c r="C242" s="600">
        <v>102</v>
      </c>
      <c r="D242" s="600">
        <v>187</v>
      </c>
      <c r="E242" s="600">
        <v>17</v>
      </c>
      <c r="F242" s="600">
        <v>24</v>
      </c>
      <c r="G242" s="600">
        <v>86</v>
      </c>
      <c r="H242" s="600">
        <v>71</v>
      </c>
    </row>
    <row r="243" spans="1:8" s="263" customFormat="1" ht="9" customHeight="1" x14ac:dyDescent="0.25">
      <c r="A243" s="263" t="s">
        <v>35</v>
      </c>
      <c r="B243" s="600">
        <v>2434</v>
      </c>
      <c r="C243" s="600">
        <v>391</v>
      </c>
      <c r="D243" s="600">
        <v>483</v>
      </c>
      <c r="E243" s="600">
        <v>64</v>
      </c>
      <c r="F243" s="600">
        <v>72</v>
      </c>
      <c r="G243" s="600">
        <v>242</v>
      </c>
      <c r="H243" s="600">
        <v>146</v>
      </c>
    </row>
    <row r="244" spans="1:8" s="263" customFormat="1" ht="9" customHeight="1" x14ac:dyDescent="0.25">
      <c r="A244" s="263" t="s">
        <v>36</v>
      </c>
      <c r="B244" s="600">
        <v>3824</v>
      </c>
      <c r="C244" s="600">
        <v>925</v>
      </c>
      <c r="D244" s="600">
        <v>1455</v>
      </c>
      <c r="E244" s="600">
        <v>77</v>
      </c>
      <c r="F244" s="600">
        <v>104</v>
      </c>
      <c r="G244" s="600">
        <v>629</v>
      </c>
      <c r="H244" s="600">
        <v>510</v>
      </c>
    </row>
    <row r="245" spans="1:8" s="263" customFormat="1" ht="9" customHeight="1" x14ac:dyDescent="0.25">
      <c r="A245" s="267" t="s">
        <v>37</v>
      </c>
      <c r="B245" s="604">
        <v>1989</v>
      </c>
      <c r="C245" s="604">
        <v>357</v>
      </c>
      <c r="D245" s="604">
        <v>488</v>
      </c>
      <c r="E245" s="604">
        <v>38</v>
      </c>
      <c r="F245" s="604">
        <v>72</v>
      </c>
      <c r="G245" s="604">
        <v>248</v>
      </c>
      <c r="H245" s="604">
        <v>186</v>
      </c>
    </row>
    <row r="246" spans="1:8" s="263" customFormat="1" ht="9" customHeight="1" x14ac:dyDescent="0.25">
      <c r="A246" s="263" t="s">
        <v>38</v>
      </c>
      <c r="B246" s="600">
        <v>449</v>
      </c>
      <c r="C246" s="600">
        <v>209</v>
      </c>
      <c r="D246" s="600">
        <v>124</v>
      </c>
      <c r="E246" s="600">
        <v>8</v>
      </c>
      <c r="F246" s="600">
        <v>12</v>
      </c>
      <c r="G246" s="600">
        <v>80</v>
      </c>
      <c r="H246" s="600">
        <v>62</v>
      </c>
    </row>
    <row r="247" spans="1:8" s="263" customFormat="1" ht="9" customHeight="1" x14ac:dyDescent="0.25">
      <c r="A247" s="263" t="s">
        <v>39</v>
      </c>
      <c r="B247" s="600">
        <v>165</v>
      </c>
      <c r="C247" s="600">
        <v>25</v>
      </c>
      <c r="D247" s="600">
        <v>38</v>
      </c>
      <c r="E247" s="600">
        <v>9</v>
      </c>
      <c r="F247" s="600">
        <v>10</v>
      </c>
      <c r="G247" s="600">
        <v>25</v>
      </c>
      <c r="H247" s="600">
        <v>17</v>
      </c>
    </row>
    <row r="248" spans="1:8" s="263" customFormat="1" ht="9" customHeight="1" x14ac:dyDescent="0.25">
      <c r="A248" s="263" t="s">
        <v>40</v>
      </c>
      <c r="B248" s="600">
        <v>1348</v>
      </c>
      <c r="C248" s="600">
        <v>446</v>
      </c>
      <c r="D248" s="600">
        <v>265</v>
      </c>
      <c r="E248" s="600">
        <v>31</v>
      </c>
      <c r="F248" s="600">
        <v>45</v>
      </c>
      <c r="G248" s="600">
        <v>115</v>
      </c>
      <c r="H248" s="600">
        <v>53</v>
      </c>
    </row>
    <row r="249" spans="1:8" s="263" customFormat="1" ht="9" customHeight="1" x14ac:dyDescent="0.25">
      <c r="A249" s="267" t="s">
        <v>41</v>
      </c>
      <c r="B249" s="604">
        <v>704</v>
      </c>
      <c r="C249" s="604">
        <v>89</v>
      </c>
      <c r="D249" s="604">
        <v>260</v>
      </c>
      <c r="E249" s="604">
        <v>24</v>
      </c>
      <c r="F249" s="604">
        <v>29</v>
      </c>
      <c r="G249" s="604">
        <v>96</v>
      </c>
      <c r="H249" s="604">
        <v>70</v>
      </c>
    </row>
    <row r="250" spans="1:8" s="263" customFormat="1" ht="9" customHeight="1" x14ac:dyDescent="0.25">
      <c r="A250" s="263" t="s">
        <v>42</v>
      </c>
      <c r="B250" s="600">
        <v>1771</v>
      </c>
      <c r="C250" s="600">
        <v>275</v>
      </c>
      <c r="D250" s="600">
        <v>455</v>
      </c>
      <c r="E250" s="600">
        <v>38</v>
      </c>
      <c r="F250" s="600">
        <v>51</v>
      </c>
      <c r="G250" s="600">
        <v>183</v>
      </c>
      <c r="H250" s="600">
        <v>114</v>
      </c>
    </row>
    <row r="251" spans="1:8" s="263" customFormat="1" ht="9" customHeight="1" x14ac:dyDescent="0.25">
      <c r="A251" s="263" t="s">
        <v>43</v>
      </c>
      <c r="B251" s="600">
        <v>402</v>
      </c>
      <c r="C251" s="600">
        <v>114</v>
      </c>
      <c r="D251" s="600">
        <v>106</v>
      </c>
      <c r="E251" s="600">
        <v>11</v>
      </c>
      <c r="F251" s="600">
        <v>19</v>
      </c>
      <c r="G251" s="600">
        <v>56</v>
      </c>
      <c r="H251" s="600">
        <v>39</v>
      </c>
    </row>
    <row r="252" spans="1:8" s="263" customFormat="1" ht="9" customHeight="1" x14ac:dyDescent="0.25">
      <c r="A252" s="263" t="s">
        <v>44</v>
      </c>
      <c r="B252" s="600">
        <v>224</v>
      </c>
      <c r="C252" s="600">
        <v>60</v>
      </c>
      <c r="D252" s="600">
        <v>188</v>
      </c>
      <c r="E252" s="600">
        <v>21</v>
      </c>
      <c r="F252" s="600">
        <v>24</v>
      </c>
      <c r="G252" s="600">
        <v>41</v>
      </c>
      <c r="H252" s="600">
        <v>24</v>
      </c>
    </row>
    <row r="253" spans="1:8" s="263" customFormat="1" ht="9" customHeight="1" x14ac:dyDescent="0.25">
      <c r="A253" s="267" t="s">
        <v>45</v>
      </c>
      <c r="B253" s="604">
        <v>583</v>
      </c>
      <c r="C253" s="604">
        <v>148</v>
      </c>
      <c r="D253" s="604">
        <v>181</v>
      </c>
      <c r="E253" s="604">
        <v>18</v>
      </c>
      <c r="F253" s="604">
        <v>25</v>
      </c>
      <c r="G253" s="604">
        <v>51</v>
      </c>
      <c r="H253" s="604">
        <v>37</v>
      </c>
    </row>
    <row r="254" spans="1:8" s="263" customFormat="1" ht="9" customHeight="1" x14ac:dyDescent="0.25">
      <c r="A254" s="263" t="s">
        <v>46</v>
      </c>
      <c r="B254" s="600">
        <v>611</v>
      </c>
      <c r="C254" s="600">
        <v>156</v>
      </c>
      <c r="D254" s="600">
        <v>186</v>
      </c>
      <c r="E254" s="600">
        <v>18</v>
      </c>
      <c r="F254" s="600">
        <v>24</v>
      </c>
      <c r="G254" s="600">
        <v>134</v>
      </c>
      <c r="H254" s="600">
        <v>61</v>
      </c>
    </row>
    <row r="255" spans="1:8" s="263" customFormat="1" ht="9" customHeight="1" x14ac:dyDescent="0.25">
      <c r="A255" s="263" t="s">
        <v>47</v>
      </c>
      <c r="B255" s="600">
        <v>566</v>
      </c>
      <c r="C255" s="600">
        <v>111</v>
      </c>
      <c r="D255" s="600">
        <v>236</v>
      </c>
      <c r="E255" s="600">
        <v>14</v>
      </c>
      <c r="F255" s="600">
        <v>26</v>
      </c>
      <c r="G255" s="600">
        <v>77</v>
      </c>
      <c r="H255" s="600">
        <v>49</v>
      </c>
    </row>
    <row r="256" spans="1:8" s="263" customFormat="1" ht="9" customHeight="1" x14ac:dyDescent="0.25">
      <c r="A256" s="263" t="s">
        <v>48</v>
      </c>
      <c r="B256" s="600">
        <v>334</v>
      </c>
      <c r="C256" s="600">
        <v>66</v>
      </c>
      <c r="D256" s="600">
        <v>145</v>
      </c>
      <c r="E256" s="600">
        <v>15</v>
      </c>
      <c r="F256" s="600">
        <v>20</v>
      </c>
      <c r="G256" s="600">
        <v>62</v>
      </c>
      <c r="H256" s="600">
        <v>40</v>
      </c>
    </row>
    <row r="257" spans="1:8" s="263" customFormat="1" ht="9" customHeight="1" x14ac:dyDescent="0.25">
      <c r="A257" s="267" t="s">
        <v>49</v>
      </c>
      <c r="B257" s="604">
        <v>833</v>
      </c>
      <c r="C257" s="604">
        <v>166</v>
      </c>
      <c r="D257" s="604">
        <v>244</v>
      </c>
      <c r="E257" s="604">
        <v>38</v>
      </c>
      <c r="F257" s="604">
        <v>50</v>
      </c>
      <c r="G257" s="604">
        <v>111</v>
      </c>
      <c r="H257" s="604">
        <v>68</v>
      </c>
    </row>
    <row r="258" spans="1:8" s="263" customFormat="1" ht="9" customHeight="1" x14ac:dyDescent="0.25">
      <c r="A258" s="263" t="s">
        <v>50</v>
      </c>
      <c r="B258" s="600">
        <v>280</v>
      </c>
      <c r="C258" s="600">
        <v>69</v>
      </c>
      <c r="D258" s="600">
        <v>92</v>
      </c>
      <c r="E258" s="600">
        <v>5</v>
      </c>
      <c r="F258" s="600">
        <v>3</v>
      </c>
      <c r="G258" s="600">
        <v>47</v>
      </c>
      <c r="H258" s="600">
        <v>41</v>
      </c>
    </row>
    <row r="259" spans="1:8" s="263" customFormat="1" ht="9" customHeight="1" x14ac:dyDescent="0.25">
      <c r="A259" s="263" t="s">
        <v>51</v>
      </c>
      <c r="B259" s="600">
        <v>1333</v>
      </c>
      <c r="C259" s="600">
        <v>344</v>
      </c>
      <c r="D259" s="600">
        <v>388</v>
      </c>
      <c r="E259" s="600">
        <v>32</v>
      </c>
      <c r="F259" s="600">
        <v>32</v>
      </c>
      <c r="G259" s="600">
        <v>193</v>
      </c>
      <c r="H259" s="600">
        <v>132</v>
      </c>
    </row>
    <row r="260" spans="1:8" s="263" customFormat="1" ht="9" customHeight="1" x14ac:dyDescent="0.25">
      <c r="A260" s="263" t="s">
        <v>52</v>
      </c>
      <c r="B260" s="600">
        <v>437</v>
      </c>
      <c r="C260" s="600">
        <v>100</v>
      </c>
      <c r="D260" s="600">
        <v>299</v>
      </c>
      <c r="E260" s="600">
        <v>14</v>
      </c>
      <c r="F260" s="600">
        <v>18</v>
      </c>
      <c r="G260" s="600">
        <v>57</v>
      </c>
      <c r="H260" s="600">
        <v>35</v>
      </c>
    </row>
    <row r="261" spans="1:8" s="263" customFormat="1" ht="9" customHeight="1" x14ac:dyDescent="0.25">
      <c r="A261" s="267" t="s">
        <v>53</v>
      </c>
      <c r="B261" s="604">
        <v>365</v>
      </c>
      <c r="C261" s="604">
        <v>69</v>
      </c>
      <c r="D261" s="604">
        <v>162</v>
      </c>
      <c r="E261" s="604">
        <v>21</v>
      </c>
      <c r="F261" s="604">
        <v>21</v>
      </c>
      <c r="G261" s="604">
        <v>44</v>
      </c>
      <c r="H261" s="604">
        <v>28</v>
      </c>
    </row>
    <row r="262" spans="1:8" s="263" customFormat="1" ht="9" customHeight="1" x14ac:dyDescent="0.25">
      <c r="B262" s="266"/>
      <c r="C262" s="266"/>
      <c r="D262" s="266"/>
      <c r="E262" s="266"/>
      <c r="F262" s="266"/>
      <c r="G262" s="266"/>
      <c r="H262" s="266"/>
    </row>
    <row r="263" spans="1:8" s="263" customFormat="1" ht="9" customHeight="1" x14ac:dyDescent="0.25">
      <c r="A263" s="261">
        <v>2002</v>
      </c>
      <c r="B263" s="262"/>
      <c r="C263" s="262"/>
      <c r="D263" s="262"/>
      <c r="E263" s="262"/>
      <c r="F263" s="262"/>
      <c r="G263" s="262"/>
      <c r="H263" s="262"/>
    </row>
    <row r="264" spans="1:8" s="265" customFormat="1" ht="9" customHeight="1" x14ac:dyDescent="0.25">
      <c r="A264" s="265" t="s">
        <v>21</v>
      </c>
      <c r="B264" s="615">
        <f>SUM(B266:B297)</f>
        <v>33099</v>
      </c>
      <c r="C264" s="615">
        <f t="shared" ref="C264:H264" si="7">SUM(C266:C297)</f>
        <v>6380</v>
      </c>
      <c r="D264" s="615">
        <f t="shared" si="7"/>
        <v>11149</v>
      </c>
      <c r="E264" s="615">
        <f t="shared" si="7"/>
        <v>866</v>
      </c>
      <c r="F264" s="615">
        <f t="shared" si="7"/>
        <v>1147</v>
      </c>
      <c r="G264" s="615">
        <f t="shared" si="7"/>
        <v>4225</v>
      </c>
      <c r="H264" s="615">
        <f t="shared" si="7"/>
        <v>2782</v>
      </c>
    </row>
    <row r="265" spans="1:8" s="265" customFormat="1" ht="3.95" customHeight="1" x14ac:dyDescent="0.25">
      <c r="B265" s="615"/>
      <c r="C265" s="615"/>
      <c r="D265" s="615"/>
      <c r="E265" s="615"/>
      <c r="F265" s="615"/>
      <c r="G265" s="615"/>
      <c r="H265" s="615"/>
    </row>
    <row r="266" spans="1:8" s="263" customFormat="1" ht="9" customHeight="1" x14ac:dyDescent="0.25">
      <c r="A266" s="263" t="s">
        <v>23</v>
      </c>
      <c r="B266" s="616">
        <v>281</v>
      </c>
      <c r="C266" s="616">
        <v>55</v>
      </c>
      <c r="D266" s="616">
        <v>86</v>
      </c>
      <c r="E266" s="616">
        <v>9</v>
      </c>
      <c r="F266" s="616">
        <v>9</v>
      </c>
      <c r="G266" s="616">
        <v>39</v>
      </c>
      <c r="H266" s="616">
        <v>15</v>
      </c>
    </row>
    <row r="267" spans="1:8" s="263" customFormat="1" ht="9" customHeight="1" x14ac:dyDescent="0.25">
      <c r="A267" s="263" t="s">
        <v>24</v>
      </c>
      <c r="B267" s="617">
        <v>1233</v>
      </c>
      <c r="C267" s="617">
        <v>202</v>
      </c>
      <c r="D267" s="617">
        <v>405</v>
      </c>
      <c r="E267" s="617">
        <v>30</v>
      </c>
      <c r="F267" s="617">
        <v>35</v>
      </c>
      <c r="G267" s="617">
        <v>223</v>
      </c>
      <c r="H267" s="617">
        <v>130</v>
      </c>
    </row>
    <row r="268" spans="1:8" s="263" customFormat="1" ht="9" customHeight="1" x14ac:dyDescent="0.25">
      <c r="A268" s="263" t="s">
        <v>25</v>
      </c>
      <c r="B268" s="616">
        <v>80</v>
      </c>
      <c r="C268" s="616">
        <v>37</v>
      </c>
      <c r="D268" s="616">
        <v>46</v>
      </c>
      <c r="E268" s="616">
        <v>6</v>
      </c>
      <c r="F268" s="616">
        <v>9</v>
      </c>
      <c r="G268" s="616">
        <v>15</v>
      </c>
      <c r="H268" s="616">
        <v>8</v>
      </c>
    </row>
    <row r="269" spans="1:8" s="263" customFormat="1" ht="9" customHeight="1" x14ac:dyDescent="0.25">
      <c r="A269" s="267" t="s">
        <v>26</v>
      </c>
      <c r="B269" s="618">
        <v>64</v>
      </c>
      <c r="C269" s="618">
        <v>6</v>
      </c>
      <c r="D269" s="618">
        <v>55</v>
      </c>
      <c r="E269" s="618">
        <v>3</v>
      </c>
      <c r="F269" s="618">
        <v>3</v>
      </c>
      <c r="G269" s="618">
        <v>8</v>
      </c>
      <c r="H269" s="618">
        <v>6</v>
      </c>
    </row>
    <row r="270" spans="1:8" s="263" customFormat="1" ht="9" customHeight="1" x14ac:dyDescent="0.25">
      <c r="A270" s="263" t="s">
        <v>27</v>
      </c>
      <c r="B270" s="616">
        <v>468</v>
      </c>
      <c r="C270" s="616">
        <v>132</v>
      </c>
      <c r="D270" s="616">
        <v>294</v>
      </c>
      <c r="E270" s="616">
        <v>21</v>
      </c>
      <c r="F270" s="616">
        <v>35</v>
      </c>
      <c r="G270" s="616">
        <v>63</v>
      </c>
      <c r="H270" s="616">
        <v>34</v>
      </c>
    </row>
    <row r="271" spans="1:8" s="263" customFormat="1" ht="9" customHeight="1" x14ac:dyDescent="0.25">
      <c r="A271" s="263" t="s">
        <v>28</v>
      </c>
      <c r="B271" s="616">
        <v>128</v>
      </c>
      <c r="C271" s="616">
        <v>12</v>
      </c>
      <c r="D271" s="616">
        <v>67</v>
      </c>
      <c r="E271" s="616">
        <v>10</v>
      </c>
      <c r="F271" s="616">
        <v>12</v>
      </c>
      <c r="G271" s="616">
        <v>18</v>
      </c>
      <c r="H271" s="616">
        <v>11</v>
      </c>
    </row>
    <row r="272" spans="1:8" s="263" customFormat="1" ht="9" customHeight="1" x14ac:dyDescent="0.25">
      <c r="A272" s="263" t="s">
        <v>29</v>
      </c>
      <c r="B272" s="616">
        <v>580</v>
      </c>
      <c r="C272" s="616">
        <v>109</v>
      </c>
      <c r="D272" s="616">
        <v>197</v>
      </c>
      <c r="E272" s="616">
        <v>18</v>
      </c>
      <c r="F272" s="616">
        <v>22</v>
      </c>
      <c r="G272" s="616">
        <v>80</v>
      </c>
      <c r="H272" s="616">
        <v>53</v>
      </c>
    </row>
    <row r="273" spans="1:8" s="263" customFormat="1" ht="9" customHeight="1" x14ac:dyDescent="0.25">
      <c r="A273" s="267" t="s">
        <v>30</v>
      </c>
      <c r="B273" s="618">
        <v>1055</v>
      </c>
      <c r="C273" s="618">
        <v>218</v>
      </c>
      <c r="D273" s="618">
        <v>168</v>
      </c>
      <c r="E273" s="618">
        <v>23</v>
      </c>
      <c r="F273" s="618">
        <v>48</v>
      </c>
      <c r="G273" s="618">
        <v>111</v>
      </c>
      <c r="H273" s="618">
        <v>65</v>
      </c>
    </row>
    <row r="274" spans="1:8" s="263" customFormat="1" ht="9" customHeight="1" x14ac:dyDescent="0.25">
      <c r="A274" s="263" t="s">
        <v>63</v>
      </c>
      <c r="B274" s="616">
        <v>5779</v>
      </c>
      <c r="C274" s="616">
        <v>1054</v>
      </c>
      <c r="D274" s="616">
        <v>1832</v>
      </c>
      <c r="E274" s="616">
        <v>67</v>
      </c>
      <c r="F274" s="616">
        <v>113</v>
      </c>
      <c r="G274" s="616">
        <v>574</v>
      </c>
      <c r="H274" s="616">
        <v>273</v>
      </c>
    </row>
    <row r="275" spans="1:8" s="263" customFormat="1" ht="9" customHeight="1" x14ac:dyDescent="0.25">
      <c r="A275" s="263" t="s">
        <v>31</v>
      </c>
      <c r="B275" s="616">
        <v>272</v>
      </c>
      <c r="C275" s="616">
        <v>21</v>
      </c>
      <c r="D275" s="616">
        <v>44</v>
      </c>
      <c r="E275" s="616">
        <v>18</v>
      </c>
      <c r="F275" s="616">
        <v>13</v>
      </c>
      <c r="G275" s="616">
        <v>46</v>
      </c>
      <c r="H275" s="616">
        <v>33</v>
      </c>
    </row>
    <row r="276" spans="1:8" s="263" customFormat="1" ht="9" customHeight="1" x14ac:dyDescent="0.25">
      <c r="A276" s="263" t="s">
        <v>32</v>
      </c>
      <c r="B276" s="616">
        <v>2177</v>
      </c>
      <c r="C276" s="616">
        <v>562</v>
      </c>
      <c r="D276" s="616">
        <v>1016</v>
      </c>
      <c r="E276" s="616">
        <v>54</v>
      </c>
      <c r="F276" s="616">
        <v>89</v>
      </c>
      <c r="G276" s="616">
        <v>297</v>
      </c>
      <c r="H276" s="616">
        <v>208</v>
      </c>
    </row>
    <row r="277" spans="1:8" s="263" customFormat="1" ht="9" customHeight="1" x14ac:dyDescent="0.25">
      <c r="A277" s="267" t="s">
        <v>33</v>
      </c>
      <c r="B277" s="618">
        <v>775</v>
      </c>
      <c r="C277" s="618">
        <v>150</v>
      </c>
      <c r="D277" s="618">
        <v>300</v>
      </c>
      <c r="E277" s="618">
        <v>23</v>
      </c>
      <c r="F277" s="618">
        <v>33</v>
      </c>
      <c r="G277" s="618">
        <v>110</v>
      </c>
      <c r="H277" s="618">
        <v>78</v>
      </c>
    </row>
    <row r="278" spans="1:8" s="263" customFormat="1" ht="9" customHeight="1" x14ac:dyDescent="0.25">
      <c r="A278" s="263" t="s">
        <v>34</v>
      </c>
      <c r="B278" s="616">
        <v>563</v>
      </c>
      <c r="C278" s="616">
        <v>80</v>
      </c>
      <c r="D278" s="616">
        <v>191</v>
      </c>
      <c r="E278" s="616">
        <v>20</v>
      </c>
      <c r="F278" s="616">
        <v>23</v>
      </c>
      <c r="G278" s="616">
        <v>80</v>
      </c>
      <c r="H278" s="616">
        <v>74</v>
      </c>
    </row>
    <row r="279" spans="1:8" s="263" customFormat="1" ht="9" customHeight="1" x14ac:dyDescent="0.25">
      <c r="A279" s="263" t="s">
        <v>35</v>
      </c>
      <c r="B279" s="616">
        <v>2753</v>
      </c>
      <c r="C279" s="616">
        <v>393</v>
      </c>
      <c r="D279" s="616">
        <v>534</v>
      </c>
      <c r="E279" s="616">
        <v>64</v>
      </c>
      <c r="F279" s="616">
        <v>92</v>
      </c>
      <c r="G279" s="616">
        <v>289</v>
      </c>
      <c r="H279" s="616">
        <v>166</v>
      </c>
    </row>
    <row r="280" spans="1:8" s="263" customFormat="1" ht="9" customHeight="1" x14ac:dyDescent="0.25">
      <c r="A280" s="263" t="s">
        <v>36</v>
      </c>
      <c r="B280" s="616">
        <v>4236</v>
      </c>
      <c r="C280" s="616">
        <v>696</v>
      </c>
      <c r="D280" s="616">
        <v>1817</v>
      </c>
      <c r="E280" s="616">
        <v>93</v>
      </c>
      <c r="F280" s="616">
        <v>121</v>
      </c>
      <c r="G280" s="616">
        <v>643</v>
      </c>
      <c r="H280" s="616">
        <v>510</v>
      </c>
    </row>
    <row r="281" spans="1:8" s="263" customFormat="1" ht="9" customHeight="1" x14ac:dyDescent="0.25">
      <c r="A281" s="267" t="s">
        <v>37</v>
      </c>
      <c r="B281" s="618">
        <v>2078</v>
      </c>
      <c r="C281" s="618">
        <v>279</v>
      </c>
      <c r="D281" s="618">
        <v>600</v>
      </c>
      <c r="E281" s="618">
        <v>37</v>
      </c>
      <c r="F281" s="618">
        <v>70</v>
      </c>
      <c r="G281" s="618">
        <v>246</v>
      </c>
      <c r="H281" s="618">
        <v>194</v>
      </c>
    </row>
    <row r="282" spans="1:8" s="263" customFormat="1" ht="9" customHeight="1" x14ac:dyDescent="0.25">
      <c r="A282" s="263" t="s">
        <v>38</v>
      </c>
      <c r="B282" s="616">
        <v>437</v>
      </c>
      <c r="C282" s="616">
        <v>117</v>
      </c>
      <c r="D282" s="616">
        <v>150</v>
      </c>
      <c r="E282" s="616">
        <v>14</v>
      </c>
      <c r="F282" s="616">
        <v>15</v>
      </c>
      <c r="G282" s="616">
        <v>83</v>
      </c>
      <c r="H282" s="616">
        <v>61</v>
      </c>
    </row>
    <row r="283" spans="1:8" s="263" customFormat="1" ht="9" customHeight="1" x14ac:dyDescent="0.25">
      <c r="A283" s="263" t="s">
        <v>39</v>
      </c>
      <c r="B283" s="616">
        <v>170</v>
      </c>
      <c r="C283" s="616">
        <v>15</v>
      </c>
      <c r="D283" s="616">
        <v>29</v>
      </c>
      <c r="E283" s="616">
        <v>15</v>
      </c>
      <c r="F283" s="616">
        <v>5</v>
      </c>
      <c r="G283" s="616">
        <v>26</v>
      </c>
      <c r="H283" s="616">
        <v>18</v>
      </c>
    </row>
    <row r="284" spans="1:8" s="263" customFormat="1" ht="9" customHeight="1" x14ac:dyDescent="0.25">
      <c r="A284" s="263" t="s">
        <v>40</v>
      </c>
      <c r="B284" s="616">
        <v>1408</v>
      </c>
      <c r="C284" s="616">
        <v>523</v>
      </c>
      <c r="D284" s="616">
        <v>285</v>
      </c>
      <c r="E284" s="616">
        <v>25</v>
      </c>
      <c r="F284" s="616">
        <v>50</v>
      </c>
      <c r="G284" s="616">
        <v>124</v>
      </c>
      <c r="H284" s="616">
        <v>64</v>
      </c>
    </row>
    <row r="285" spans="1:8" s="263" customFormat="1" ht="9" customHeight="1" x14ac:dyDescent="0.25">
      <c r="A285" s="267" t="s">
        <v>41</v>
      </c>
      <c r="B285" s="618">
        <v>632</v>
      </c>
      <c r="C285" s="618">
        <v>73</v>
      </c>
      <c r="D285" s="618">
        <v>271</v>
      </c>
      <c r="E285" s="618">
        <v>24</v>
      </c>
      <c r="F285" s="618">
        <v>18</v>
      </c>
      <c r="G285" s="618">
        <v>95</v>
      </c>
      <c r="H285" s="618">
        <v>64</v>
      </c>
    </row>
    <row r="286" spans="1:8" s="263" customFormat="1" ht="9" customHeight="1" x14ac:dyDescent="0.25">
      <c r="A286" s="263" t="s">
        <v>42</v>
      </c>
      <c r="B286" s="616">
        <v>1807</v>
      </c>
      <c r="C286" s="616">
        <v>197</v>
      </c>
      <c r="D286" s="616">
        <v>408</v>
      </c>
      <c r="E286" s="616">
        <v>48</v>
      </c>
      <c r="F286" s="616">
        <v>47</v>
      </c>
      <c r="G286" s="616">
        <v>194</v>
      </c>
      <c r="H286" s="616">
        <v>123</v>
      </c>
    </row>
    <row r="287" spans="1:8" s="263" customFormat="1" ht="9" customHeight="1" x14ac:dyDescent="0.25">
      <c r="A287" s="263" t="s">
        <v>43</v>
      </c>
      <c r="B287" s="616">
        <v>491</v>
      </c>
      <c r="C287" s="616">
        <v>146</v>
      </c>
      <c r="D287" s="616">
        <v>260</v>
      </c>
      <c r="E287" s="616">
        <v>14</v>
      </c>
      <c r="F287" s="616">
        <v>21</v>
      </c>
      <c r="G287" s="616">
        <v>70</v>
      </c>
      <c r="H287" s="616">
        <v>54</v>
      </c>
    </row>
    <row r="288" spans="1:8" s="263" customFormat="1" ht="9" customHeight="1" x14ac:dyDescent="0.25">
      <c r="A288" s="263" t="s">
        <v>44</v>
      </c>
      <c r="B288" s="616">
        <v>219</v>
      </c>
      <c r="C288" s="616">
        <v>54</v>
      </c>
      <c r="D288" s="616">
        <v>195</v>
      </c>
      <c r="E288" s="616">
        <v>19</v>
      </c>
      <c r="F288" s="616">
        <v>20</v>
      </c>
      <c r="G288" s="616">
        <v>39</v>
      </c>
      <c r="H288" s="616">
        <v>30</v>
      </c>
    </row>
    <row r="289" spans="1:8" s="263" customFormat="1" ht="9" customHeight="1" x14ac:dyDescent="0.25">
      <c r="A289" s="267" t="s">
        <v>45</v>
      </c>
      <c r="B289" s="618">
        <v>581</v>
      </c>
      <c r="C289" s="618">
        <v>81</v>
      </c>
      <c r="D289" s="618">
        <v>182</v>
      </c>
      <c r="E289" s="618">
        <v>38</v>
      </c>
      <c r="F289" s="618">
        <v>22</v>
      </c>
      <c r="G289" s="618">
        <v>51</v>
      </c>
      <c r="H289" s="618">
        <v>42</v>
      </c>
    </row>
    <row r="290" spans="1:8" s="263" customFormat="1" ht="9" customHeight="1" x14ac:dyDescent="0.25">
      <c r="A290" s="263" t="s">
        <v>46</v>
      </c>
      <c r="B290" s="616">
        <v>616</v>
      </c>
      <c r="C290" s="616">
        <v>177</v>
      </c>
      <c r="D290" s="616">
        <v>183</v>
      </c>
      <c r="E290" s="616">
        <v>19</v>
      </c>
      <c r="F290" s="616">
        <v>24</v>
      </c>
      <c r="G290" s="616">
        <v>100</v>
      </c>
      <c r="H290" s="616">
        <v>59</v>
      </c>
    </row>
    <row r="291" spans="1:8" s="263" customFormat="1" ht="9" customHeight="1" x14ac:dyDescent="0.25">
      <c r="A291" s="263" t="s">
        <v>47</v>
      </c>
      <c r="B291" s="616">
        <v>558</v>
      </c>
      <c r="C291" s="616">
        <v>135</v>
      </c>
      <c r="D291" s="616">
        <v>191</v>
      </c>
      <c r="E291" s="616">
        <v>19</v>
      </c>
      <c r="F291" s="616">
        <v>30</v>
      </c>
      <c r="G291" s="616">
        <v>80</v>
      </c>
      <c r="H291" s="616">
        <v>51</v>
      </c>
    </row>
    <row r="292" spans="1:8" s="263" customFormat="1" ht="9" customHeight="1" x14ac:dyDescent="0.25">
      <c r="A292" s="263" t="s">
        <v>48</v>
      </c>
      <c r="B292" s="616">
        <v>410</v>
      </c>
      <c r="C292" s="616">
        <v>138</v>
      </c>
      <c r="D292" s="616">
        <v>184</v>
      </c>
      <c r="E292" s="616">
        <v>20</v>
      </c>
      <c r="F292" s="616">
        <v>26</v>
      </c>
      <c r="G292" s="616">
        <v>74</v>
      </c>
      <c r="H292" s="616">
        <v>50</v>
      </c>
    </row>
    <row r="293" spans="1:8" s="263" customFormat="1" ht="9" customHeight="1" x14ac:dyDescent="0.25">
      <c r="A293" s="267" t="s">
        <v>49</v>
      </c>
      <c r="B293" s="618">
        <v>800</v>
      </c>
      <c r="C293" s="618">
        <v>178</v>
      </c>
      <c r="D293" s="618">
        <v>235</v>
      </c>
      <c r="E293" s="618">
        <v>34</v>
      </c>
      <c r="F293" s="618">
        <v>46</v>
      </c>
      <c r="G293" s="618">
        <v>103</v>
      </c>
      <c r="H293" s="618">
        <v>66</v>
      </c>
    </row>
    <row r="294" spans="1:8" s="263" customFormat="1" ht="9" customHeight="1" x14ac:dyDescent="0.25">
      <c r="A294" s="263" t="s">
        <v>50</v>
      </c>
      <c r="B294" s="616">
        <v>252</v>
      </c>
      <c r="C294" s="616">
        <v>44</v>
      </c>
      <c r="D294" s="616">
        <v>94</v>
      </c>
      <c r="E294" s="616">
        <v>5</v>
      </c>
      <c r="F294" s="616">
        <v>7</v>
      </c>
      <c r="G294" s="616">
        <v>43</v>
      </c>
      <c r="H294" s="616">
        <v>40</v>
      </c>
    </row>
    <row r="295" spans="1:8" s="263" customFormat="1" ht="9" customHeight="1" x14ac:dyDescent="0.25">
      <c r="A295" s="263" t="s">
        <v>51</v>
      </c>
      <c r="B295" s="616">
        <v>1361</v>
      </c>
      <c r="C295" s="616">
        <v>333</v>
      </c>
      <c r="D295" s="616">
        <v>380</v>
      </c>
      <c r="E295" s="616">
        <v>39</v>
      </c>
      <c r="F295" s="616">
        <v>49</v>
      </c>
      <c r="G295" s="616">
        <v>201</v>
      </c>
      <c r="H295" s="616">
        <v>139</v>
      </c>
    </row>
    <row r="296" spans="1:8" s="263" customFormat="1" ht="9" customHeight="1" x14ac:dyDescent="0.25">
      <c r="A296" s="263" t="s">
        <v>52</v>
      </c>
      <c r="B296" s="616">
        <v>428</v>
      </c>
      <c r="C296" s="616">
        <v>105</v>
      </c>
      <c r="D296" s="616">
        <v>292</v>
      </c>
      <c r="E296" s="616">
        <v>17</v>
      </c>
      <c r="F296" s="616">
        <v>17</v>
      </c>
      <c r="G296" s="616">
        <v>57</v>
      </c>
      <c r="H296" s="616">
        <v>32</v>
      </c>
    </row>
    <row r="297" spans="1:8" s="263" customFormat="1" ht="9" customHeight="1" x14ac:dyDescent="0.25">
      <c r="A297" s="267" t="s">
        <v>53</v>
      </c>
      <c r="B297" s="618">
        <v>407</v>
      </c>
      <c r="C297" s="618">
        <v>58</v>
      </c>
      <c r="D297" s="618">
        <v>158</v>
      </c>
      <c r="E297" s="618">
        <v>20</v>
      </c>
      <c r="F297" s="618">
        <v>23</v>
      </c>
      <c r="G297" s="618">
        <v>43</v>
      </c>
      <c r="H297" s="618">
        <v>31</v>
      </c>
    </row>
    <row r="298" spans="1:8" s="263" customFormat="1" ht="9" customHeight="1" x14ac:dyDescent="0.25">
      <c r="A298" s="286"/>
      <c r="B298" s="619"/>
      <c r="C298" s="619"/>
      <c r="D298" s="619"/>
      <c r="E298" s="619"/>
      <c r="F298" s="619"/>
      <c r="G298" s="619"/>
      <c r="H298" s="619"/>
    </row>
    <row r="299" spans="1:8" s="263" customFormat="1" ht="9" customHeight="1" x14ac:dyDescent="0.25">
      <c r="A299" s="261">
        <v>2003</v>
      </c>
      <c r="B299" s="262"/>
      <c r="C299" s="262"/>
      <c r="D299" s="262"/>
      <c r="E299" s="262"/>
      <c r="F299" s="262"/>
      <c r="G299" s="262"/>
      <c r="H299" s="262"/>
    </row>
    <row r="300" spans="1:8" s="265" customFormat="1" ht="9" customHeight="1" x14ac:dyDescent="0.25">
      <c r="A300" s="265" t="s">
        <v>21</v>
      </c>
      <c r="B300" s="615">
        <f t="shared" ref="B300:G300" si="8">SUM(B302:B333)</f>
        <v>33156</v>
      </c>
      <c r="C300" s="615">
        <f t="shared" si="8"/>
        <v>6984</v>
      </c>
      <c r="D300" s="615">
        <f t="shared" si="8"/>
        <v>11772</v>
      </c>
      <c r="E300" s="615">
        <f t="shared" si="8"/>
        <v>863</v>
      </c>
      <c r="F300" s="615">
        <f t="shared" si="8"/>
        <v>1184</v>
      </c>
      <c r="G300" s="615">
        <f t="shared" si="8"/>
        <v>4280</v>
      </c>
      <c r="H300" s="615">
        <f>SUM(H302:H333)</f>
        <v>2765</v>
      </c>
    </row>
    <row r="301" spans="1:8" s="265" customFormat="1" ht="3.95" customHeight="1" x14ac:dyDescent="0.25">
      <c r="B301" s="615"/>
      <c r="C301" s="615"/>
      <c r="D301" s="615"/>
      <c r="E301" s="615"/>
      <c r="F301" s="615"/>
      <c r="G301" s="615"/>
      <c r="H301" s="615"/>
    </row>
    <row r="302" spans="1:8" s="263" customFormat="1" ht="9" customHeight="1" x14ac:dyDescent="0.25">
      <c r="A302" s="263" t="s">
        <v>23</v>
      </c>
      <c r="B302" s="616">
        <v>299</v>
      </c>
      <c r="C302" s="616">
        <v>48</v>
      </c>
      <c r="D302" s="616">
        <v>91</v>
      </c>
      <c r="E302" s="616">
        <v>8</v>
      </c>
      <c r="F302" s="616">
        <v>5</v>
      </c>
      <c r="G302" s="616">
        <v>38</v>
      </c>
      <c r="H302" s="616">
        <v>13</v>
      </c>
    </row>
    <row r="303" spans="1:8" s="263" customFormat="1" ht="9" customHeight="1" x14ac:dyDescent="0.25">
      <c r="A303" s="263" t="s">
        <v>24</v>
      </c>
      <c r="B303" s="617">
        <v>1151</v>
      </c>
      <c r="C303" s="617">
        <v>203</v>
      </c>
      <c r="D303" s="617">
        <v>348</v>
      </c>
      <c r="E303" s="617">
        <v>23</v>
      </c>
      <c r="F303" s="617">
        <v>33</v>
      </c>
      <c r="G303" s="617">
        <v>162</v>
      </c>
      <c r="H303" s="617">
        <v>129</v>
      </c>
    </row>
    <row r="304" spans="1:8" s="263" customFormat="1" ht="9" customHeight="1" x14ac:dyDescent="0.25">
      <c r="A304" s="263" t="s">
        <v>25</v>
      </c>
      <c r="B304" s="616">
        <v>76</v>
      </c>
      <c r="C304" s="616">
        <v>33</v>
      </c>
      <c r="D304" s="616">
        <v>62</v>
      </c>
      <c r="E304" s="616">
        <v>6</v>
      </c>
      <c r="F304" s="616">
        <v>8</v>
      </c>
      <c r="G304" s="616">
        <v>15</v>
      </c>
      <c r="H304" s="616">
        <v>9</v>
      </c>
    </row>
    <row r="305" spans="1:8" s="263" customFormat="1" ht="9" customHeight="1" x14ac:dyDescent="0.25">
      <c r="A305" s="267" t="s">
        <v>26</v>
      </c>
      <c r="B305" s="618">
        <v>83</v>
      </c>
      <c r="C305" s="618">
        <v>3</v>
      </c>
      <c r="D305" s="618">
        <v>63</v>
      </c>
      <c r="E305" s="618">
        <v>3</v>
      </c>
      <c r="F305" s="618">
        <v>6</v>
      </c>
      <c r="G305" s="618">
        <v>11</v>
      </c>
      <c r="H305" s="618">
        <v>7</v>
      </c>
    </row>
    <row r="306" spans="1:8" s="263" customFormat="1" ht="9" customHeight="1" x14ac:dyDescent="0.25">
      <c r="A306" s="263" t="s">
        <v>27</v>
      </c>
      <c r="B306" s="616">
        <v>507</v>
      </c>
      <c r="C306" s="616">
        <v>139</v>
      </c>
      <c r="D306" s="616">
        <v>324</v>
      </c>
      <c r="E306" s="616">
        <v>24</v>
      </c>
      <c r="F306" s="616">
        <v>31</v>
      </c>
      <c r="G306" s="616">
        <v>68</v>
      </c>
      <c r="H306" s="616">
        <v>31</v>
      </c>
    </row>
    <row r="307" spans="1:8" s="263" customFormat="1" ht="9" customHeight="1" x14ac:dyDescent="0.25">
      <c r="A307" s="263" t="s">
        <v>28</v>
      </c>
      <c r="B307" s="616">
        <v>124</v>
      </c>
      <c r="C307" s="616">
        <v>6</v>
      </c>
      <c r="D307" s="616">
        <v>71</v>
      </c>
      <c r="E307" s="616">
        <v>10</v>
      </c>
      <c r="F307" s="616">
        <v>10</v>
      </c>
      <c r="G307" s="616">
        <v>17</v>
      </c>
      <c r="H307" s="616">
        <v>9</v>
      </c>
    </row>
    <row r="308" spans="1:8" s="263" customFormat="1" ht="9" customHeight="1" x14ac:dyDescent="0.25">
      <c r="A308" s="263" t="s">
        <v>29</v>
      </c>
      <c r="B308" s="616">
        <v>625</v>
      </c>
      <c r="C308" s="616">
        <v>132</v>
      </c>
      <c r="D308" s="616">
        <v>193</v>
      </c>
      <c r="E308" s="616">
        <v>23</v>
      </c>
      <c r="F308" s="616">
        <v>24</v>
      </c>
      <c r="G308" s="616">
        <v>78</v>
      </c>
      <c r="H308" s="616">
        <v>49</v>
      </c>
    </row>
    <row r="309" spans="1:8" s="263" customFormat="1" ht="9" customHeight="1" x14ac:dyDescent="0.25">
      <c r="A309" s="267" t="s">
        <v>30</v>
      </c>
      <c r="B309" s="618">
        <v>1052</v>
      </c>
      <c r="C309" s="618">
        <v>231</v>
      </c>
      <c r="D309" s="618">
        <v>254</v>
      </c>
      <c r="E309" s="618">
        <v>26</v>
      </c>
      <c r="F309" s="618">
        <v>49</v>
      </c>
      <c r="G309" s="618">
        <v>87</v>
      </c>
      <c r="H309" s="618">
        <v>57</v>
      </c>
    </row>
    <row r="310" spans="1:8" s="263" customFormat="1" ht="9" customHeight="1" x14ac:dyDescent="0.25">
      <c r="A310" s="263" t="s">
        <v>63</v>
      </c>
      <c r="B310" s="616">
        <v>5758</v>
      </c>
      <c r="C310" s="616">
        <v>1261</v>
      </c>
      <c r="D310" s="616">
        <v>1929</v>
      </c>
      <c r="E310" s="616">
        <v>71</v>
      </c>
      <c r="F310" s="616">
        <v>130</v>
      </c>
      <c r="G310" s="616">
        <v>558</v>
      </c>
      <c r="H310" s="616">
        <v>278</v>
      </c>
    </row>
    <row r="311" spans="1:8" s="263" customFormat="1" ht="9" customHeight="1" x14ac:dyDescent="0.25">
      <c r="A311" s="263" t="s">
        <v>31</v>
      </c>
      <c r="B311" s="616">
        <v>316</v>
      </c>
      <c r="C311" s="616">
        <v>86</v>
      </c>
      <c r="D311" s="616">
        <v>50</v>
      </c>
      <c r="E311" s="616">
        <v>5</v>
      </c>
      <c r="F311" s="616">
        <v>14</v>
      </c>
      <c r="G311" s="616">
        <v>51</v>
      </c>
      <c r="H311" s="616">
        <v>31</v>
      </c>
    </row>
    <row r="312" spans="1:8" s="263" customFormat="1" ht="9" customHeight="1" x14ac:dyDescent="0.25">
      <c r="A312" s="263" t="s">
        <v>32</v>
      </c>
      <c r="B312" s="616">
        <v>2251</v>
      </c>
      <c r="C312" s="616">
        <v>581</v>
      </c>
      <c r="D312" s="616">
        <v>1007</v>
      </c>
      <c r="E312" s="616">
        <v>50</v>
      </c>
      <c r="F312" s="616">
        <v>94</v>
      </c>
      <c r="G312" s="616">
        <v>319</v>
      </c>
      <c r="H312" s="616">
        <v>218</v>
      </c>
    </row>
    <row r="313" spans="1:8" s="263" customFormat="1" ht="9" customHeight="1" x14ac:dyDescent="0.25">
      <c r="A313" s="267" t="s">
        <v>33</v>
      </c>
      <c r="B313" s="618">
        <v>759</v>
      </c>
      <c r="C313" s="618">
        <v>170</v>
      </c>
      <c r="D313" s="618">
        <v>298</v>
      </c>
      <c r="E313" s="618">
        <v>39</v>
      </c>
      <c r="F313" s="618">
        <v>34</v>
      </c>
      <c r="G313" s="618">
        <v>107</v>
      </c>
      <c r="H313" s="618">
        <v>78</v>
      </c>
    </row>
    <row r="314" spans="1:8" s="263" customFormat="1" ht="9" customHeight="1" x14ac:dyDescent="0.25">
      <c r="A314" s="263" t="s">
        <v>34</v>
      </c>
      <c r="B314" s="616">
        <v>669</v>
      </c>
      <c r="C314" s="616">
        <v>105</v>
      </c>
      <c r="D314" s="616">
        <v>249</v>
      </c>
      <c r="E314" s="616">
        <v>22</v>
      </c>
      <c r="F314" s="616">
        <v>29</v>
      </c>
      <c r="G314" s="616">
        <v>99</v>
      </c>
      <c r="H314" s="616">
        <v>82</v>
      </c>
    </row>
    <row r="315" spans="1:8" s="263" customFormat="1" ht="9" customHeight="1" x14ac:dyDescent="0.25">
      <c r="A315" s="263" t="s">
        <v>35</v>
      </c>
      <c r="B315" s="616">
        <v>2692</v>
      </c>
      <c r="C315" s="616">
        <v>438</v>
      </c>
      <c r="D315" s="616">
        <v>542</v>
      </c>
      <c r="E315" s="616">
        <v>61</v>
      </c>
      <c r="F315" s="616">
        <v>92</v>
      </c>
      <c r="G315" s="616">
        <v>302</v>
      </c>
      <c r="H315" s="616">
        <v>160</v>
      </c>
    </row>
    <row r="316" spans="1:8" s="263" customFormat="1" ht="9" customHeight="1" x14ac:dyDescent="0.25">
      <c r="A316" s="263" t="s">
        <v>36</v>
      </c>
      <c r="B316" s="616">
        <v>4077</v>
      </c>
      <c r="C316" s="616">
        <v>830</v>
      </c>
      <c r="D316" s="616">
        <v>1858</v>
      </c>
      <c r="E316" s="616">
        <v>111</v>
      </c>
      <c r="F316" s="616">
        <v>119</v>
      </c>
      <c r="G316" s="616">
        <v>683</v>
      </c>
      <c r="H316" s="616">
        <v>507</v>
      </c>
    </row>
    <row r="317" spans="1:8" s="263" customFormat="1" ht="9" customHeight="1" x14ac:dyDescent="0.25">
      <c r="A317" s="267" t="s">
        <v>37</v>
      </c>
      <c r="B317" s="618">
        <v>2065</v>
      </c>
      <c r="C317" s="618">
        <v>271</v>
      </c>
      <c r="D317" s="618">
        <v>596</v>
      </c>
      <c r="E317" s="618">
        <v>44</v>
      </c>
      <c r="F317" s="618">
        <v>76</v>
      </c>
      <c r="G317" s="618">
        <v>254</v>
      </c>
      <c r="H317" s="618">
        <v>186</v>
      </c>
    </row>
    <row r="318" spans="1:8" s="263" customFormat="1" ht="9" customHeight="1" x14ac:dyDescent="0.25">
      <c r="A318" s="263" t="s">
        <v>38</v>
      </c>
      <c r="B318" s="616">
        <v>473</v>
      </c>
      <c r="C318" s="616">
        <v>145</v>
      </c>
      <c r="D318" s="616">
        <v>200</v>
      </c>
      <c r="E318" s="616">
        <v>19</v>
      </c>
      <c r="F318" s="616">
        <v>17</v>
      </c>
      <c r="G318" s="616">
        <v>90</v>
      </c>
      <c r="H318" s="616">
        <v>65</v>
      </c>
    </row>
    <row r="319" spans="1:8" s="263" customFormat="1" ht="9" customHeight="1" x14ac:dyDescent="0.25">
      <c r="A319" s="263" t="s">
        <v>39</v>
      </c>
      <c r="B319" s="616">
        <v>155</v>
      </c>
      <c r="C319" s="616">
        <v>29</v>
      </c>
      <c r="D319" s="616">
        <v>28</v>
      </c>
      <c r="E319" s="616">
        <v>7</v>
      </c>
      <c r="F319" s="616">
        <v>5</v>
      </c>
      <c r="G319" s="616">
        <v>24</v>
      </c>
      <c r="H319" s="616">
        <v>18</v>
      </c>
    </row>
    <row r="320" spans="1:8" s="263" customFormat="1" ht="9" customHeight="1" x14ac:dyDescent="0.25">
      <c r="A320" s="263" t="s">
        <v>40</v>
      </c>
      <c r="B320" s="616">
        <v>1369</v>
      </c>
      <c r="C320" s="616">
        <v>424</v>
      </c>
      <c r="D320" s="616">
        <v>285</v>
      </c>
      <c r="E320" s="616">
        <v>31</v>
      </c>
      <c r="F320" s="616">
        <v>60</v>
      </c>
      <c r="G320" s="616">
        <v>132</v>
      </c>
      <c r="H320" s="616">
        <v>67</v>
      </c>
    </row>
    <row r="321" spans="1:23" s="263" customFormat="1" ht="9" customHeight="1" x14ac:dyDescent="0.25">
      <c r="A321" s="267" t="s">
        <v>41</v>
      </c>
      <c r="B321" s="618">
        <v>632</v>
      </c>
      <c r="C321" s="618">
        <v>69</v>
      </c>
      <c r="D321" s="618">
        <v>291</v>
      </c>
      <c r="E321" s="618">
        <v>20</v>
      </c>
      <c r="F321" s="618">
        <v>17</v>
      </c>
      <c r="G321" s="618">
        <v>94</v>
      </c>
      <c r="H321" s="618">
        <v>67</v>
      </c>
    </row>
    <row r="322" spans="1:23" s="263" customFormat="1" ht="9" customHeight="1" x14ac:dyDescent="0.25">
      <c r="A322" s="263" t="s">
        <v>42</v>
      </c>
      <c r="B322" s="616">
        <v>1845</v>
      </c>
      <c r="C322" s="616">
        <v>228</v>
      </c>
      <c r="D322" s="616">
        <v>445</v>
      </c>
      <c r="E322" s="616">
        <v>43</v>
      </c>
      <c r="F322" s="616">
        <v>48</v>
      </c>
      <c r="G322" s="616">
        <v>189</v>
      </c>
      <c r="H322" s="616">
        <v>123</v>
      </c>
    </row>
    <row r="323" spans="1:23" s="263" customFormat="1" ht="9" customHeight="1" x14ac:dyDescent="0.25">
      <c r="A323" s="263" t="s">
        <v>43</v>
      </c>
      <c r="B323" s="616">
        <v>516</v>
      </c>
      <c r="C323" s="616">
        <v>139</v>
      </c>
      <c r="D323" s="616">
        <v>263</v>
      </c>
      <c r="E323" s="616">
        <v>11</v>
      </c>
      <c r="F323" s="616">
        <v>22</v>
      </c>
      <c r="G323" s="616">
        <v>74</v>
      </c>
      <c r="H323" s="616">
        <v>57</v>
      </c>
    </row>
    <row r="324" spans="1:23" s="263" customFormat="1" ht="9" customHeight="1" x14ac:dyDescent="0.25">
      <c r="A324" s="263" t="s">
        <v>44</v>
      </c>
      <c r="B324" s="616">
        <v>215</v>
      </c>
      <c r="C324" s="616">
        <v>87</v>
      </c>
      <c r="D324" s="616">
        <v>222</v>
      </c>
      <c r="E324" s="616">
        <v>19</v>
      </c>
      <c r="F324" s="616">
        <v>15</v>
      </c>
      <c r="G324" s="616">
        <v>44</v>
      </c>
      <c r="H324" s="616">
        <v>25</v>
      </c>
    </row>
    <row r="325" spans="1:23" s="263" customFormat="1" ht="9" customHeight="1" x14ac:dyDescent="0.25">
      <c r="A325" s="267" t="s">
        <v>45</v>
      </c>
      <c r="B325" s="618">
        <v>574</v>
      </c>
      <c r="C325" s="618">
        <v>142</v>
      </c>
      <c r="D325" s="618">
        <v>190</v>
      </c>
      <c r="E325" s="618">
        <v>17</v>
      </c>
      <c r="F325" s="618">
        <v>23</v>
      </c>
      <c r="G325" s="618">
        <v>55</v>
      </c>
      <c r="H325" s="618">
        <v>41</v>
      </c>
    </row>
    <row r="326" spans="1:23" s="263" customFormat="1" ht="9" customHeight="1" x14ac:dyDescent="0.25">
      <c r="A326" s="263" t="s">
        <v>46</v>
      </c>
      <c r="B326" s="616">
        <v>600</v>
      </c>
      <c r="C326" s="616">
        <v>166</v>
      </c>
      <c r="D326" s="616">
        <v>190</v>
      </c>
      <c r="E326" s="616">
        <v>18</v>
      </c>
      <c r="F326" s="616">
        <v>24</v>
      </c>
      <c r="G326" s="616">
        <v>97</v>
      </c>
      <c r="H326" s="616">
        <v>60</v>
      </c>
    </row>
    <row r="327" spans="1:23" s="263" customFormat="1" ht="9" customHeight="1" x14ac:dyDescent="0.25">
      <c r="A327" s="263" t="s">
        <v>47</v>
      </c>
      <c r="B327" s="616">
        <v>551</v>
      </c>
      <c r="C327" s="616">
        <v>166</v>
      </c>
      <c r="D327" s="616">
        <v>203</v>
      </c>
      <c r="E327" s="616">
        <v>20</v>
      </c>
      <c r="F327" s="616">
        <v>28</v>
      </c>
      <c r="G327" s="616">
        <v>77</v>
      </c>
      <c r="H327" s="616">
        <v>51</v>
      </c>
    </row>
    <row r="328" spans="1:23" s="263" customFormat="1" ht="9" customHeight="1" x14ac:dyDescent="0.25">
      <c r="A328" s="263" t="s">
        <v>48</v>
      </c>
      <c r="B328" s="616">
        <v>386</v>
      </c>
      <c r="C328" s="616">
        <v>98</v>
      </c>
      <c r="D328" s="616">
        <v>310</v>
      </c>
      <c r="E328" s="616">
        <v>18</v>
      </c>
      <c r="F328" s="616">
        <v>27</v>
      </c>
      <c r="G328" s="616">
        <v>72</v>
      </c>
      <c r="H328" s="616">
        <v>48</v>
      </c>
    </row>
    <row r="329" spans="1:23" s="263" customFormat="1" ht="9" customHeight="1" x14ac:dyDescent="0.25">
      <c r="A329" s="267" t="s">
        <v>49</v>
      </c>
      <c r="B329" s="618">
        <v>795</v>
      </c>
      <c r="C329" s="618">
        <v>178</v>
      </c>
      <c r="D329" s="618">
        <v>238</v>
      </c>
      <c r="E329" s="618">
        <v>35</v>
      </c>
      <c r="F329" s="618">
        <v>49</v>
      </c>
      <c r="G329" s="618">
        <v>109</v>
      </c>
      <c r="H329" s="618">
        <v>61</v>
      </c>
    </row>
    <row r="330" spans="1:23" s="263" customFormat="1" ht="9" customHeight="1" x14ac:dyDescent="0.25">
      <c r="A330" s="263" t="s">
        <v>50</v>
      </c>
      <c r="B330" s="616">
        <v>277</v>
      </c>
      <c r="C330" s="616">
        <v>62</v>
      </c>
      <c r="D330" s="616">
        <v>106</v>
      </c>
      <c r="E330" s="616">
        <v>5</v>
      </c>
      <c r="F330" s="616">
        <v>5</v>
      </c>
      <c r="G330" s="616">
        <v>49</v>
      </c>
      <c r="H330" s="616">
        <v>43</v>
      </c>
    </row>
    <row r="331" spans="1:23" s="263" customFormat="1" ht="9" customHeight="1" x14ac:dyDescent="0.25">
      <c r="A331" s="263" t="s">
        <v>51</v>
      </c>
      <c r="B331" s="616">
        <v>1424</v>
      </c>
      <c r="C331" s="616">
        <v>341</v>
      </c>
      <c r="D331" s="616">
        <v>410</v>
      </c>
      <c r="E331" s="616">
        <v>42</v>
      </c>
      <c r="F331" s="616">
        <v>47</v>
      </c>
      <c r="G331" s="616">
        <v>218</v>
      </c>
      <c r="H331" s="616">
        <v>133</v>
      </c>
    </row>
    <row r="332" spans="1:23" s="263" customFormat="1" ht="9" customHeight="1" x14ac:dyDescent="0.25">
      <c r="A332" s="263" t="s">
        <v>52</v>
      </c>
      <c r="B332" s="616">
        <v>416</v>
      </c>
      <c r="C332" s="616">
        <v>110</v>
      </c>
      <c r="D332" s="616">
        <v>301</v>
      </c>
      <c r="E332" s="616">
        <v>15</v>
      </c>
      <c r="F332" s="616">
        <v>18</v>
      </c>
      <c r="G332" s="616">
        <v>64</v>
      </c>
      <c r="H332" s="616">
        <v>32</v>
      </c>
    </row>
    <row r="333" spans="1:23" s="263" customFormat="1" ht="9" customHeight="1" x14ac:dyDescent="0.25">
      <c r="A333" s="267" t="s">
        <v>53</v>
      </c>
      <c r="B333" s="618">
        <v>424</v>
      </c>
      <c r="C333" s="618">
        <v>63</v>
      </c>
      <c r="D333" s="618">
        <v>155</v>
      </c>
      <c r="E333" s="618">
        <v>17</v>
      </c>
      <c r="F333" s="618">
        <v>25</v>
      </c>
      <c r="G333" s="618">
        <v>43</v>
      </c>
      <c r="H333" s="618">
        <v>30</v>
      </c>
    </row>
    <row r="334" spans="1:23" s="263" customFormat="1" ht="9" customHeight="1" x14ac:dyDescent="0.25">
      <c r="A334" s="286"/>
      <c r="B334" s="619"/>
      <c r="C334" s="619"/>
      <c r="D334" s="619"/>
      <c r="E334" s="619"/>
      <c r="F334" s="619"/>
      <c r="G334" s="619"/>
      <c r="H334" s="619"/>
    </row>
    <row r="335" spans="1:23" s="263" customFormat="1" ht="9" customHeight="1" x14ac:dyDescent="0.25">
      <c r="A335" s="261">
        <v>2004</v>
      </c>
      <c r="B335" s="262"/>
      <c r="C335" s="262"/>
      <c r="D335" s="262"/>
      <c r="E335" s="262"/>
      <c r="F335" s="262"/>
      <c r="G335" s="262"/>
      <c r="H335" s="262"/>
    </row>
    <row r="336" spans="1:23" s="265" customFormat="1" ht="9" customHeight="1" x14ac:dyDescent="0.25">
      <c r="A336" s="265" t="s">
        <v>21</v>
      </c>
      <c r="B336" s="615">
        <f t="shared" ref="B336:G336" si="9">SUM(B338:B369)</f>
        <v>33367</v>
      </c>
      <c r="C336" s="615">
        <f t="shared" si="9"/>
        <v>6847</v>
      </c>
      <c r="D336" s="615">
        <f t="shared" si="9"/>
        <v>11699</v>
      </c>
      <c r="E336" s="615">
        <f t="shared" si="9"/>
        <v>916</v>
      </c>
      <c r="F336" s="615">
        <f t="shared" si="9"/>
        <v>1201</v>
      </c>
      <c r="G336" s="615">
        <f t="shared" si="9"/>
        <v>4281</v>
      </c>
      <c r="H336" s="615">
        <f>SUM(H338:H369)</f>
        <v>2758</v>
      </c>
      <c r="Q336" s="620"/>
      <c r="R336" s="620"/>
      <c r="S336" s="620"/>
      <c r="T336" s="620"/>
      <c r="U336" s="620"/>
      <c r="V336" s="620"/>
      <c r="W336" s="620"/>
    </row>
    <row r="337" spans="1:23" s="265" customFormat="1" ht="3.95" customHeight="1" x14ac:dyDescent="0.25">
      <c r="B337" s="615"/>
      <c r="C337" s="615"/>
      <c r="D337" s="615"/>
      <c r="E337" s="615"/>
      <c r="F337" s="615"/>
      <c r="G337" s="615"/>
      <c r="H337" s="615"/>
      <c r="Q337" s="620"/>
      <c r="R337" s="620"/>
      <c r="S337" s="620"/>
      <c r="T337" s="620"/>
      <c r="U337" s="620"/>
      <c r="V337" s="620"/>
      <c r="W337" s="620"/>
    </row>
    <row r="338" spans="1:23" s="263" customFormat="1" ht="9" customHeight="1" x14ac:dyDescent="0.25">
      <c r="A338" s="263" t="s">
        <v>23</v>
      </c>
      <c r="B338" s="616">
        <v>314</v>
      </c>
      <c r="C338" s="616">
        <v>43</v>
      </c>
      <c r="D338" s="616">
        <v>88</v>
      </c>
      <c r="E338" s="616">
        <v>9</v>
      </c>
      <c r="F338" s="616">
        <v>6</v>
      </c>
      <c r="G338" s="616">
        <v>42</v>
      </c>
      <c r="H338" s="616">
        <v>13</v>
      </c>
      <c r="Q338" s="620"/>
      <c r="R338" s="620"/>
      <c r="S338" s="620"/>
      <c r="T338" s="620"/>
      <c r="U338" s="620"/>
      <c r="V338" s="620"/>
      <c r="W338" s="620"/>
    </row>
    <row r="339" spans="1:23" s="263" customFormat="1" ht="9" customHeight="1" x14ac:dyDescent="0.25">
      <c r="A339" s="263" t="s">
        <v>24</v>
      </c>
      <c r="B339" s="617">
        <v>1105</v>
      </c>
      <c r="C339" s="617">
        <v>181</v>
      </c>
      <c r="D339" s="617">
        <v>336</v>
      </c>
      <c r="E339" s="617">
        <v>47</v>
      </c>
      <c r="F339" s="617">
        <v>23</v>
      </c>
      <c r="G339" s="617">
        <v>179</v>
      </c>
      <c r="H339" s="617">
        <v>122</v>
      </c>
      <c r="Q339" s="620"/>
      <c r="R339" s="620"/>
      <c r="S339" s="620"/>
      <c r="T339" s="620"/>
      <c r="U339" s="620"/>
      <c r="V339" s="620"/>
      <c r="W339" s="620"/>
    </row>
    <row r="340" spans="1:23" s="263" customFormat="1" ht="9" customHeight="1" x14ac:dyDescent="0.25">
      <c r="A340" s="263" t="s">
        <v>25</v>
      </c>
      <c r="B340" s="616">
        <v>85</v>
      </c>
      <c r="C340" s="616">
        <v>39</v>
      </c>
      <c r="D340" s="616">
        <v>68</v>
      </c>
      <c r="E340" s="616">
        <v>7</v>
      </c>
      <c r="F340" s="616">
        <v>9</v>
      </c>
      <c r="G340" s="616">
        <v>18</v>
      </c>
      <c r="H340" s="616">
        <v>11</v>
      </c>
      <c r="Q340" s="620"/>
      <c r="R340" s="620"/>
      <c r="S340" s="620"/>
      <c r="T340" s="620"/>
      <c r="U340" s="620"/>
      <c r="V340" s="620"/>
      <c r="W340" s="620"/>
    </row>
    <row r="341" spans="1:23" s="263" customFormat="1" ht="9" customHeight="1" x14ac:dyDescent="0.25">
      <c r="A341" s="267" t="s">
        <v>26</v>
      </c>
      <c r="B341" s="618">
        <v>67</v>
      </c>
      <c r="C341" s="618">
        <v>13</v>
      </c>
      <c r="D341" s="618">
        <v>38</v>
      </c>
      <c r="E341" s="618">
        <v>1</v>
      </c>
      <c r="F341" s="618">
        <v>4</v>
      </c>
      <c r="G341" s="618">
        <v>9</v>
      </c>
      <c r="H341" s="618">
        <v>7</v>
      </c>
      <c r="Q341" s="620"/>
      <c r="R341" s="620"/>
      <c r="S341" s="620"/>
      <c r="T341" s="620"/>
      <c r="U341" s="620"/>
      <c r="V341" s="620"/>
      <c r="W341" s="620"/>
    </row>
    <row r="342" spans="1:23" s="263" customFormat="1" ht="9" customHeight="1" x14ac:dyDescent="0.25">
      <c r="A342" s="263" t="s">
        <v>27</v>
      </c>
      <c r="B342" s="616">
        <v>490</v>
      </c>
      <c r="C342" s="616">
        <v>143</v>
      </c>
      <c r="D342" s="616">
        <v>313</v>
      </c>
      <c r="E342" s="616">
        <v>23</v>
      </c>
      <c r="F342" s="616">
        <v>34</v>
      </c>
      <c r="G342" s="616">
        <v>65</v>
      </c>
      <c r="H342" s="616">
        <v>29</v>
      </c>
      <c r="Q342" s="620"/>
      <c r="R342" s="620"/>
      <c r="S342" s="620"/>
      <c r="T342" s="620"/>
      <c r="U342" s="620"/>
      <c r="V342" s="620"/>
      <c r="W342" s="620"/>
    </row>
    <row r="343" spans="1:23" s="263" customFormat="1" ht="9" customHeight="1" x14ac:dyDescent="0.25">
      <c r="A343" s="263" t="s">
        <v>28</v>
      </c>
      <c r="B343" s="616">
        <v>130</v>
      </c>
      <c r="C343" s="616">
        <v>4</v>
      </c>
      <c r="D343" s="616">
        <v>77</v>
      </c>
      <c r="E343" s="616">
        <v>11</v>
      </c>
      <c r="F343" s="616">
        <v>9</v>
      </c>
      <c r="G343" s="616">
        <v>19</v>
      </c>
      <c r="H343" s="616">
        <v>9</v>
      </c>
      <c r="Q343" s="620"/>
      <c r="R343" s="620"/>
      <c r="S343" s="620"/>
      <c r="T343" s="620"/>
      <c r="U343" s="620"/>
      <c r="V343" s="620"/>
      <c r="W343" s="620"/>
    </row>
    <row r="344" spans="1:23" s="263" customFormat="1" ht="9" customHeight="1" x14ac:dyDescent="0.25">
      <c r="A344" s="263" t="s">
        <v>29</v>
      </c>
      <c r="B344" s="616">
        <v>605</v>
      </c>
      <c r="C344" s="616">
        <v>110</v>
      </c>
      <c r="D344" s="616">
        <v>198</v>
      </c>
      <c r="E344" s="616">
        <v>17</v>
      </c>
      <c r="F344" s="616">
        <v>24</v>
      </c>
      <c r="G344" s="616">
        <v>82</v>
      </c>
      <c r="H344" s="616">
        <v>42</v>
      </c>
      <c r="Q344" s="620"/>
      <c r="R344" s="620"/>
      <c r="S344" s="620"/>
      <c r="T344" s="620"/>
      <c r="U344" s="620"/>
      <c r="V344" s="620"/>
      <c r="W344" s="620"/>
    </row>
    <row r="345" spans="1:23" s="263" customFormat="1" ht="9" customHeight="1" x14ac:dyDescent="0.25">
      <c r="A345" s="267" t="s">
        <v>30</v>
      </c>
      <c r="B345" s="618">
        <v>999</v>
      </c>
      <c r="C345" s="618">
        <v>229</v>
      </c>
      <c r="D345" s="618">
        <v>243</v>
      </c>
      <c r="E345" s="618">
        <v>24</v>
      </c>
      <c r="F345" s="618">
        <v>47</v>
      </c>
      <c r="G345" s="618">
        <v>81</v>
      </c>
      <c r="H345" s="618">
        <v>56</v>
      </c>
      <c r="Q345" s="620"/>
      <c r="R345" s="620"/>
      <c r="S345" s="620"/>
      <c r="T345" s="620"/>
      <c r="U345" s="620"/>
      <c r="V345" s="620"/>
      <c r="W345" s="620"/>
    </row>
    <row r="346" spans="1:23" s="263" customFormat="1" ht="9" customHeight="1" x14ac:dyDescent="0.25">
      <c r="A346" s="263" t="s">
        <v>63</v>
      </c>
      <c r="B346" s="616">
        <v>5775</v>
      </c>
      <c r="C346" s="616">
        <v>1199</v>
      </c>
      <c r="D346" s="616">
        <v>1807</v>
      </c>
      <c r="E346" s="616">
        <v>88</v>
      </c>
      <c r="F346" s="616">
        <v>128</v>
      </c>
      <c r="G346" s="616">
        <v>560</v>
      </c>
      <c r="H346" s="616">
        <v>265</v>
      </c>
      <c r="Q346" s="620"/>
      <c r="R346" s="620"/>
      <c r="S346" s="620"/>
      <c r="T346" s="620"/>
      <c r="U346" s="620"/>
      <c r="V346" s="620"/>
      <c r="W346" s="620"/>
    </row>
    <row r="347" spans="1:23" s="263" customFormat="1" ht="9" customHeight="1" x14ac:dyDescent="0.25">
      <c r="A347" s="263" t="s">
        <v>31</v>
      </c>
      <c r="B347" s="616">
        <v>329</v>
      </c>
      <c r="C347" s="616">
        <v>51</v>
      </c>
      <c r="D347" s="616">
        <v>60</v>
      </c>
      <c r="E347" s="616">
        <v>10</v>
      </c>
      <c r="F347" s="616">
        <v>16</v>
      </c>
      <c r="G347" s="616">
        <v>51</v>
      </c>
      <c r="H347" s="616">
        <v>35</v>
      </c>
      <c r="Q347" s="620"/>
      <c r="R347" s="620"/>
      <c r="S347" s="620"/>
      <c r="T347" s="620"/>
      <c r="U347" s="620"/>
      <c r="V347" s="620"/>
      <c r="W347" s="620"/>
    </row>
    <row r="348" spans="1:23" s="263" customFormat="1" ht="9" customHeight="1" x14ac:dyDescent="0.25">
      <c r="A348" s="263" t="s">
        <v>32</v>
      </c>
      <c r="B348" s="616">
        <v>2274</v>
      </c>
      <c r="C348" s="616">
        <v>608</v>
      </c>
      <c r="D348" s="616">
        <v>1065</v>
      </c>
      <c r="E348" s="616">
        <v>55</v>
      </c>
      <c r="F348" s="616">
        <v>90</v>
      </c>
      <c r="G348" s="616">
        <v>311</v>
      </c>
      <c r="H348" s="616">
        <v>211</v>
      </c>
      <c r="Q348" s="620"/>
      <c r="R348" s="620"/>
      <c r="S348" s="620"/>
      <c r="T348" s="620"/>
      <c r="U348" s="620"/>
      <c r="V348" s="620"/>
      <c r="W348" s="620"/>
    </row>
    <row r="349" spans="1:23" s="263" customFormat="1" ht="9" customHeight="1" x14ac:dyDescent="0.25">
      <c r="A349" s="267" t="s">
        <v>33</v>
      </c>
      <c r="B349" s="618">
        <v>779</v>
      </c>
      <c r="C349" s="618">
        <v>139</v>
      </c>
      <c r="D349" s="618">
        <v>327</v>
      </c>
      <c r="E349" s="618">
        <v>33</v>
      </c>
      <c r="F349" s="618">
        <v>33</v>
      </c>
      <c r="G349" s="618">
        <v>111</v>
      </c>
      <c r="H349" s="618">
        <v>78</v>
      </c>
      <c r="Q349" s="620"/>
      <c r="R349" s="620"/>
      <c r="S349" s="620"/>
      <c r="T349" s="620"/>
      <c r="U349" s="620"/>
      <c r="V349" s="620"/>
      <c r="W349" s="620"/>
    </row>
    <row r="350" spans="1:23" s="263" customFormat="1" ht="9" customHeight="1" x14ac:dyDescent="0.25">
      <c r="A350" s="263" t="s">
        <v>34</v>
      </c>
      <c r="B350" s="616">
        <v>644</v>
      </c>
      <c r="C350" s="616">
        <v>155</v>
      </c>
      <c r="D350" s="616">
        <v>228</v>
      </c>
      <c r="E350" s="616">
        <v>25</v>
      </c>
      <c r="F350" s="616">
        <v>33</v>
      </c>
      <c r="G350" s="616">
        <v>98</v>
      </c>
      <c r="H350" s="616">
        <v>78</v>
      </c>
      <c r="Q350" s="620"/>
      <c r="R350" s="620"/>
      <c r="S350" s="620"/>
      <c r="T350" s="620"/>
      <c r="U350" s="620"/>
      <c r="V350" s="620"/>
      <c r="W350" s="620"/>
    </row>
    <row r="351" spans="1:23" s="263" customFormat="1" ht="9" customHeight="1" x14ac:dyDescent="0.25">
      <c r="A351" s="263" t="s">
        <v>35</v>
      </c>
      <c r="B351" s="616">
        <v>2702</v>
      </c>
      <c r="C351" s="616">
        <v>419</v>
      </c>
      <c r="D351" s="616">
        <v>565</v>
      </c>
      <c r="E351" s="616">
        <v>68</v>
      </c>
      <c r="F351" s="616">
        <v>93</v>
      </c>
      <c r="G351" s="616">
        <v>299</v>
      </c>
      <c r="H351" s="616">
        <v>169</v>
      </c>
      <c r="Q351" s="620"/>
      <c r="R351" s="620"/>
      <c r="S351" s="620"/>
      <c r="T351" s="620"/>
      <c r="U351" s="620"/>
      <c r="V351" s="620"/>
      <c r="W351" s="620"/>
    </row>
    <row r="352" spans="1:23" s="263" customFormat="1" ht="9" customHeight="1" x14ac:dyDescent="0.25">
      <c r="A352" s="263" t="s">
        <v>36</v>
      </c>
      <c r="B352" s="616">
        <v>3986</v>
      </c>
      <c r="C352" s="616">
        <v>714</v>
      </c>
      <c r="D352" s="616">
        <v>1813</v>
      </c>
      <c r="E352" s="616">
        <v>113</v>
      </c>
      <c r="F352" s="616">
        <v>124</v>
      </c>
      <c r="G352" s="616">
        <v>658</v>
      </c>
      <c r="H352" s="616">
        <v>508</v>
      </c>
      <c r="Q352" s="620"/>
      <c r="R352" s="620"/>
      <c r="S352" s="620"/>
      <c r="T352" s="620"/>
      <c r="U352" s="620"/>
      <c r="V352" s="620"/>
      <c r="W352" s="620"/>
    </row>
    <row r="353" spans="1:23" s="263" customFormat="1" ht="9" customHeight="1" x14ac:dyDescent="0.25">
      <c r="A353" s="267" t="s">
        <v>37</v>
      </c>
      <c r="B353" s="618">
        <v>2119</v>
      </c>
      <c r="C353" s="618">
        <v>234</v>
      </c>
      <c r="D353" s="618">
        <v>606</v>
      </c>
      <c r="E353" s="618">
        <v>45</v>
      </c>
      <c r="F353" s="618">
        <v>85</v>
      </c>
      <c r="G353" s="618">
        <v>261</v>
      </c>
      <c r="H353" s="618">
        <v>185</v>
      </c>
      <c r="Q353" s="620"/>
      <c r="R353" s="620"/>
      <c r="S353" s="620"/>
      <c r="T353" s="620"/>
      <c r="U353" s="620"/>
      <c r="V353" s="620"/>
      <c r="W353" s="620"/>
    </row>
    <row r="354" spans="1:23" s="263" customFormat="1" ht="9" customHeight="1" x14ac:dyDescent="0.25">
      <c r="A354" s="263" t="s">
        <v>38</v>
      </c>
      <c r="B354" s="616">
        <v>479</v>
      </c>
      <c r="C354" s="616">
        <v>129</v>
      </c>
      <c r="D354" s="616">
        <v>191</v>
      </c>
      <c r="E354" s="616">
        <v>18</v>
      </c>
      <c r="F354" s="616">
        <v>17</v>
      </c>
      <c r="G354" s="616">
        <v>89</v>
      </c>
      <c r="H354" s="616">
        <v>60</v>
      </c>
      <c r="Q354" s="620"/>
      <c r="R354" s="620"/>
      <c r="S354" s="620"/>
      <c r="T354" s="620"/>
      <c r="U354" s="620"/>
      <c r="V354" s="620"/>
      <c r="W354" s="620"/>
    </row>
    <row r="355" spans="1:23" s="263" customFormat="1" ht="9" customHeight="1" x14ac:dyDescent="0.25">
      <c r="A355" s="263" t="s">
        <v>39</v>
      </c>
      <c r="B355" s="616">
        <v>163</v>
      </c>
      <c r="C355" s="616">
        <v>22</v>
      </c>
      <c r="D355" s="616">
        <v>27</v>
      </c>
      <c r="E355" s="616">
        <v>6</v>
      </c>
      <c r="F355" s="616">
        <v>8</v>
      </c>
      <c r="G355" s="616">
        <v>27</v>
      </c>
      <c r="H355" s="616">
        <v>21</v>
      </c>
      <c r="Q355" s="620"/>
      <c r="R355" s="620"/>
      <c r="S355" s="620"/>
      <c r="T355" s="620"/>
      <c r="U355" s="620"/>
      <c r="V355" s="620"/>
      <c r="W355" s="620"/>
    </row>
    <row r="356" spans="1:23" s="263" customFormat="1" ht="9" customHeight="1" x14ac:dyDescent="0.25">
      <c r="A356" s="263" t="s">
        <v>40</v>
      </c>
      <c r="B356" s="616">
        <v>1397</v>
      </c>
      <c r="C356" s="616">
        <v>539</v>
      </c>
      <c r="D356" s="616">
        <v>294</v>
      </c>
      <c r="E356" s="616">
        <v>29</v>
      </c>
      <c r="F356" s="616">
        <v>86</v>
      </c>
      <c r="G356" s="616">
        <v>127</v>
      </c>
      <c r="H356" s="616">
        <v>70</v>
      </c>
      <c r="Q356" s="620"/>
      <c r="R356" s="620"/>
      <c r="S356" s="620"/>
      <c r="T356" s="620"/>
      <c r="U356" s="620"/>
      <c r="V356" s="620"/>
      <c r="W356" s="620"/>
    </row>
    <row r="357" spans="1:23" s="263" customFormat="1" ht="9" customHeight="1" x14ac:dyDescent="0.25">
      <c r="A357" s="267" t="s">
        <v>41</v>
      </c>
      <c r="B357" s="618">
        <v>650</v>
      </c>
      <c r="C357" s="618">
        <v>84</v>
      </c>
      <c r="D357" s="618">
        <v>304</v>
      </c>
      <c r="E357" s="618">
        <v>18</v>
      </c>
      <c r="F357" s="618">
        <v>17</v>
      </c>
      <c r="G357" s="618">
        <v>98</v>
      </c>
      <c r="H357" s="618">
        <v>68</v>
      </c>
      <c r="Q357" s="620"/>
      <c r="R357" s="620"/>
      <c r="S357" s="620"/>
      <c r="T357" s="620"/>
      <c r="U357" s="620"/>
      <c r="V357" s="620"/>
      <c r="W357" s="620"/>
    </row>
    <row r="358" spans="1:23" s="263" customFormat="1" ht="9" customHeight="1" x14ac:dyDescent="0.25">
      <c r="A358" s="263" t="s">
        <v>42</v>
      </c>
      <c r="B358" s="616">
        <v>1870</v>
      </c>
      <c r="C358" s="616">
        <v>267</v>
      </c>
      <c r="D358" s="616">
        <v>443</v>
      </c>
      <c r="E358" s="616">
        <v>50</v>
      </c>
      <c r="F358" s="616">
        <v>46</v>
      </c>
      <c r="G358" s="616">
        <v>188</v>
      </c>
      <c r="H358" s="616">
        <v>124</v>
      </c>
      <c r="Q358" s="620"/>
      <c r="R358" s="620"/>
      <c r="S358" s="620"/>
      <c r="T358" s="620"/>
      <c r="U358" s="620"/>
      <c r="V358" s="620"/>
      <c r="W358" s="620"/>
    </row>
    <row r="359" spans="1:23" s="263" customFormat="1" ht="9" customHeight="1" x14ac:dyDescent="0.25">
      <c r="A359" s="263" t="s">
        <v>43</v>
      </c>
      <c r="B359" s="616">
        <v>560</v>
      </c>
      <c r="C359" s="616">
        <v>173</v>
      </c>
      <c r="D359" s="616">
        <v>283</v>
      </c>
      <c r="E359" s="616">
        <v>14</v>
      </c>
      <c r="F359" s="616">
        <v>25</v>
      </c>
      <c r="G359" s="616">
        <v>83</v>
      </c>
      <c r="H359" s="616">
        <v>56</v>
      </c>
      <c r="Q359" s="620"/>
      <c r="R359" s="620"/>
      <c r="S359" s="620"/>
      <c r="T359" s="620"/>
      <c r="U359" s="620"/>
      <c r="V359" s="620"/>
      <c r="W359" s="620"/>
    </row>
    <row r="360" spans="1:23" s="263" customFormat="1" ht="9" customHeight="1" x14ac:dyDescent="0.25">
      <c r="A360" s="263" t="s">
        <v>44</v>
      </c>
      <c r="B360" s="616">
        <v>181</v>
      </c>
      <c r="C360" s="616">
        <v>68</v>
      </c>
      <c r="D360" s="616">
        <v>198</v>
      </c>
      <c r="E360" s="616">
        <v>19</v>
      </c>
      <c r="F360" s="616">
        <v>15</v>
      </c>
      <c r="G360" s="616">
        <v>34</v>
      </c>
      <c r="H360" s="616">
        <v>23</v>
      </c>
      <c r="Q360" s="620"/>
      <c r="R360" s="620"/>
      <c r="S360" s="620"/>
      <c r="T360" s="620"/>
      <c r="U360" s="620"/>
      <c r="V360" s="620"/>
      <c r="W360" s="620"/>
    </row>
    <row r="361" spans="1:23" s="263" customFormat="1" ht="9" customHeight="1" x14ac:dyDescent="0.25">
      <c r="A361" s="267" t="s">
        <v>45</v>
      </c>
      <c r="B361" s="618">
        <v>599</v>
      </c>
      <c r="C361" s="618">
        <v>103</v>
      </c>
      <c r="D361" s="618">
        <v>113</v>
      </c>
      <c r="E361" s="618">
        <v>16</v>
      </c>
      <c r="F361" s="618">
        <v>25</v>
      </c>
      <c r="G361" s="618">
        <v>63</v>
      </c>
      <c r="H361" s="618">
        <v>44</v>
      </c>
      <c r="Q361" s="620"/>
      <c r="R361" s="620"/>
      <c r="S361" s="620"/>
      <c r="T361" s="620"/>
      <c r="U361" s="620"/>
      <c r="V361" s="620"/>
      <c r="W361" s="620"/>
    </row>
    <row r="362" spans="1:23" s="263" customFormat="1" ht="9" customHeight="1" x14ac:dyDescent="0.25">
      <c r="A362" s="263" t="s">
        <v>46</v>
      </c>
      <c r="B362" s="616">
        <v>636</v>
      </c>
      <c r="C362" s="616">
        <v>161</v>
      </c>
      <c r="D362" s="616">
        <v>180</v>
      </c>
      <c r="E362" s="616">
        <v>19</v>
      </c>
      <c r="F362" s="616">
        <v>24</v>
      </c>
      <c r="G362" s="616">
        <v>102</v>
      </c>
      <c r="H362" s="616">
        <v>61</v>
      </c>
      <c r="Q362" s="620"/>
      <c r="R362" s="620"/>
      <c r="S362" s="620"/>
      <c r="T362" s="620"/>
      <c r="U362" s="620"/>
      <c r="V362" s="620"/>
      <c r="W362" s="620"/>
    </row>
    <row r="363" spans="1:23" s="263" customFormat="1" ht="9" customHeight="1" x14ac:dyDescent="0.25">
      <c r="A363" s="263" t="s">
        <v>47</v>
      </c>
      <c r="B363" s="616">
        <v>579</v>
      </c>
      <c r="C363" s="616">
        <v>161</v>
      </c>
      <c r="D363" s="616">
        <v>206</v>
      </c>
      <c r="E363" s="616">
        <v>21</v>
      </c>
      <c r="F363" s="616">
        <v>28</v>
      </c>
      <c r="G363" s="616">
        <v>79</v>
      </c>
      <c r="H363" s="616">
        <v>51</v>
      </c>
      <c r="Q363" s="620"/>
      <c r="R363" s="620"/>
      <c r="S363" s="620"/>
      <c r="T363" s="620"/>
      <c r="U363" s="620"/>
      <c r="V363" s="620"/>
      <c r="W363" s="620"/>
    </row>
    <row r="364" spans="1:23" s="263" customFormat="1" ht="9" customHeight="1" x14ac:dyDescent="0.25">
      <c r="A364" s="263" t="s">
        <v>48</v>
      </c>
      <c r="B364" s="616">
        <v>427</v>
      </c>
      <c r="C364" s="616">
        <v>105</v>
      </c>
      <c r="D364" s="616">
        <v>314</v>
      </c>
      <c r="E364" s="616">
        <v>21</v>
      </c>
      <c r="F364" s="616">
        <v>26</v>
      </c>
      <c r="G364" s="616">
        <v>74</v>
      </c>
      <c r="H364" s="616">
        <v>51</v>
      </c>
      <c r="Q364" s="620"/>
      <c r="R364" s="620"/>
      <c r="S364" s="620"/>
      <c r="T364" s="620"/>
      <c r="U364" s="620"/>
      <c r="V364" s="620"/>
      <c r="W364" s="620"/>
    </row>
    <row r="365" spans="1:23" s="263" customFormat="1" ht="9" customHeight="1" x14ac:dyDescent="0.25">
      <c r="A365" s="267" t="s">
        <v>49</v>
      </c>
      <c r="B365" s="618">
        <v>785</v>
      </c>
      <c r="C365" s="618">
        <v>183</v>
      </c>
      <c r="D365" s="618">
        <v>262</v>
      </c>
      <c r="E365" s="618">
        <v>31</v>
      </c>
      <c r="F365" s="618">
        <v>39</v>
      </c>
      <c r="G365" s="618">
        <v>108</v>
      </c>
      <c r="H365" s="618">
        <v>59</v>
      </c>
      <c r="Q365" s="620"/>
      <c r="R365" s="620"/>
      <c r="S365" s="620"/>
      <c r="T365" s="620"/>
      <c r="U365" s="620"/>
      <c r="V365" s="620"/>
      <c r="W365" s="620"/>
    </row>
    <row r="366" spans="1:23" s="263" customFormat="1" ht="9" customHeight="1" x14ac:dyDescent="0.25">
      <c r="A366" s="263" t="s">
        <v>50</v>
      </c>
      <c r="B366" s="616">
        <v>293</v>
      </c>
      <c r="C366" s="616">
        <v>70</v>
      </c>
      <c r="D366" s="616">
        <v>109</v>
      </c>
      <c r="E366" s="616">
        <v>7</v>
      </c>
      <c r="F366" s="616">
        <v>4</v>
      </c>
      <c r="G366" s="616">
        <v>53</v>
      </c>
      <c r="H366" s="616">
        <v>46</v>
      </c>
      <c r="Q366" s="620"/>
      <c r="R366" s="620"/>
      <c r="S366" s="620"/>
      <c r="T366" s="620"/>
      <c r="U366" s="620"/>
      <c r="V366" s="620"/>
      <c r="W366" s="620"/>
    </row>
    <row r="367" spans="1:23" s="263" customFormat="1" ht="9" customHeight="1" x14ac:dyDescent="0.25">
      <c r="A367" s="263" t="s">
        <v>51</v>
      </c>
      <c r="B367" s="616">
        <v>1489</v>
      </c>
      <c r="C367" s="616">
        <v>307</v>
      </c>
      <c r="D367" s="616">
        <v>424</v>
      </c>
      <c r="E367" s="616">
        <v>39</v>
      </c>
      <c r="F367" s="616">
        <v>43</v>
      </c>
      <c r="G367" s="616">
        <v>208</v>
      </c>
      <c r="H367" s="616">
        <v>142</v>
      </c>
      <c r="Q367" s="620"/>
      <c r="R367" s="620"/>
      <c r="S367" s="620"/>
      <c r="T367" s="620"/>
      <c r="U367" s="620"/>
      <c r="V367" s="620"/>
      <c r="W367" s="620"/>
    </row>
    <row r="368" spans="1:23" s="263" customFormat="1" ht="9" customHeight="1" x14ac:dyDescent="0.25">
      <c r="A368" s="263" t="s">
        <v>52</v>
      </c>
      <c r="B368" s="616">
        <v>410</v>
      </c>
      <c r="C368" s="616">
        <v>110</v>
      </c>
      <c r="D368" s="616">
        <v>318</v>
      </c>
      <c r="E368" s="616">
        <v>11</v>
      </c>
      <c r="F368" s="616">
        <v>16</v>
      </c>
      <c r="G368" s="616">
        <v>53</v>
      </c>
      <c r="H368" s="616">
        <v>32</v>
      </c>
      <c r="Q368" s="620"/>
      <c r="R368" s="620"/>
      <c r="S368" s="620"/>
      <c r="T368" s="620"/>
      <c r="U368" s="620"/>
      <c r="V368" s="620"/>
      <c r="W368" s="620"/>
    </row>
    <row r="369" spans="1:23" s="263" customFormat="1" ht="9" customHeight="1" x14ac:dyDescent="0.25">
      <c r="A369" s="267" t="s">
        <v>53</v>
      </c>
      <c r="B369" s="618">
        <v>446</v>
      </c>
      <c r="C369" s="618">
        <v>84</v>
      </c>
      <c r="D369" s="618">
        <v>201</v>
      </c>
      <c r="E369" s="618">
        <v>21</v>
      </c>
      <c r="F369" s="618">
        <v>24</v>
      </c>
      <c r="G369" s="618">
        <v>51</v>
      </c>
      <c r="H369" s="618">
        <v>32</v>
      </c>
      <c r="Q369" s="620"/>
      <c r="R369" s="620"/>
      <c r="S369" s="620"/>
      <c r="T369" s="620"/>
      <c r="U369" s="620"/>
      <c r="V369" s="620"/>
      <c r="W369" s="620"/>
    </row>
    <row r="370" spans="1:23" s="263" customFormat="1" ht="9" customHeight="1" x14ac:dyDescent="0.25">
      <c r="A370" s="286"/>
      <c r="B370" s="619"/>
      <c r="C370" s="619"/>
      <c r="D370" s="619"/>
      <c r="E370" s="619"/>
      <c r="F370" s="619"/>
      <c r="G370" s="619"/>
      <c r="H370" s="619"/>
      <c r="Q370" s="620"/>
      <c r="R370" s="620"/>
      <c r="S370" s="620"/>
      <c r="T370" s="620"/>
      <c r="U370" s="620"/>
      <c r="V370" s="620"/>
      <c r="W370" s="620"/>
    </row>
    <row r="371" spans="1:23" s="263" customFormat="1" ht="9" customHeight="1" x14ac:dyDescent="0.25">
      <c r="A371" s="261">
        <v>2005</v>
      </c>
      <c r="B371" s="262"/>
      <c r="C371" s="262"/>
      <c r="D371" s="262"/>
      <c r="E371" s="262"/>
      <c r="F371" s="262"/>
      <c r="G371" s="262"/>
      <c r="H371" s="262"/>
      <c r="Q371" s="620"/>
      <c r="R371" s="620"/>
      <c r="S371" s="620"/>
      <c r="T371" s="620"/>
      <c r="U371" s="620"/>
      <c r="V371" s="620"/>
      <c r="W371" s="620"/>
    </row>
    <row r="372" spans="1:23" s="265" customFormat="1" ht="9" customHeight="1" x14ac:dyDescent="0.25">
      <c r="A372" s="265" t="s">
        <v>21</v>
      </c>
      <c r="B372" s="615">
        <f t="shared" ref="B372:G372" si="10">SUM(B374:B405)</f>
        <v>34576</v>
      </c>
      <c r="C372" s="615">
        <f t="shared" si="10"/>
        <v>7416</v>
      </c>
      <c r="D372" s="615">
        <f t="shared" si="10"/>
        <v>12762</v>
      </c>
      <c r="E372" s="615">
        <f t="shared" si="10"/>
        <v>927</v>
      </c>
      <c r="F372" s="615">
        <f t="shared" si="10"/>
        <v>1196</v>
      </c>
      <c r="G372" s="615">
        <f t="shared" si="10"/>
        <v>4545</v>
      </c>
      <c r="H372" s="615">
        <f>SUM(H374:H405)</f>
        <v>2868</v>
      </c>
      <c r="Q372" s="620"/>
      <c r="R372" s="620"/>
      <c r="S372" s="620"/>
      <c r="T372" s="620"/>
      <c r="U372" s="620"/>
      <c r="V372" s="620"/>
      <c r="W372" s="620"/>
    </row>
    <row r="373" spans="1:23" s="265" customFormat="1" ht="3.95" customHeight="1" x14ac:dyDescent="0.25">
      <c r="B373" s="615"/>
      <c r="C373" s="615"/>
      <c r="D373" s="615"/>
      <c r="E373" s="615"/>
      <c r="F373" s="615"/>
      <c r="G373" s="615"/>
      <c r="H373" s="615"/>
      <c r="Q373" s="620"/>
      <c r="R373" s="620"/>
      <c r="S373" s="620"/>
      <c r="T373" s="620"/>
      <c r="U373" s="620"/>
      <c r="V373" s="620"/>
      <c r="W373" s="620"/>
    </row>
    <row r="374" spans="1:23" s="263" customFormat="1" ht="9" customHeight="1" x14ac:dyDescent="0.25">
      <c r="A374" s="550" t="s">
        <v>23</v>
      </c>
      <c r="B374" s="621">
        <v>374</v>
      </c>
      <c r="C374" s="621">
        <v>109</v>
      </c>
      <c r="D374" s="621">
        <v>339</v>
      </c>
      <c r="E374" s="621">
        <v>12</v>
      </c>
      <c r="F374" s="621">
        <v>9</v>
      </c>
      <c r="G374" s="621">
        <v>53</v>
      </c>
      <c r="H374" s="621">
        <v>16</v>
      </c>
      <c r="Q374" s="620"/>
      <c r="R374" s="620"/>
      <c r="S374" s="620"/>
      <c r="T374" s="620"/>
      <c r="U374" s="620"/>
      <c r="V374" s="620"/>
      <c r="W374" s="620"/>
    </row>
    <row r="375" spans="1:23" s="263" customFormat="1" ht="9" customHeight="1" x14ac:dyDescent="0.25">
      <c r="A375" s="550" t="s">
        <v>24</v>
      </c>
      <c r="B375" s="622">
        <v>1187</v>
      </c>
      <c r="C375" s="622">
        <v>205</v>
      </c>
      <c r="D375" s="622">
        <v>353</v>
      </c>
      <c r="E375" s="622">
        <v>16</v>
      </c>
      <c r="F375" s="622">
        <v>27</v>
      </c>
      <c r="G375" s="622">
        <v>202</v>
      </c>
      <c r="H375" s="622">
        <v>122</v>
      </c>
      <c r="Q375" s="620"/>
      <c r="R375" s="620"/>
      <c r="S375" s="620"/>
      <c r="T375" s="620"/>
      <c r="U375" s="620"/>
      <c r="V375" s="620"/>
      <c r="W375" s="620"/>
    </row>
    <row r="376" spans="1:23" s="263" customFormat="1" ht="9" customHeight="1" x14ac:dyDescent="0.25">
      <c r="A376" s="550" t="s">
        <v>25</v>
      </c>
      <c r="B376" s="621">
        <v>85</v>
      </c>
      <c r="C376" s="621">
        <v>38</v>
      </c>
      <c r="D376" s="621">
        <v>80</v>
      </c>
      <c r="E376" s="621">
        <v>7</v>
      </c>
      <c r="F376" s="621">
        <v>7</v>
      </c>
      <c r="G376" s="621">
        <v>20</v>
      </c>
      <c r="H376" s="621">
        <v>11</v>
      </c>
      <c r="Q376" s="620"/>
      <c r="R376" s="620"/>
      <c r="S376" s="620"/>
      <c r="T376" s="620"/>
      <c r="U376" s="620"/>
      <c r="V376" s="620"/>
      <c r="W376" s="620"/>
    </row>
    <row r="377" spans="1:23" s="263" customFormat="1" ht="9" customHeight="1" x14ac:dyDescent="0.25">
      <c r="A377" s="603" t="s">
        <v>26</v>
      </c>
      <c r="B377" s="623">
        <v>75</v>
      </c>
      <c r="C377" s="623">
        <v>36</v>
      </c>
      <c r="D377" s="623">
        <v>71</v>
      </c>
      <c r="E377" s="623">
        <v>2</v>
      </c>
      <c r="F377" s="623">
        <v>7</v>
      </c>
      <c r="G377" s="623">
        <v>9</v>
      </c>
      <c r="H377" s="623">
        <v>8</v>
      </c>
      <c r="Q377" s="620"/>
      <c r="R377" s="620"/>
      <c r="S377" s="620"/>
      <c r="T377" s="620"/>
      <c r="U377" s="620"/>
      <c r="V377" s="620"/>
      <c r="W377" s="620"/>
    </row>
    <row r="378" spans="1:23" s="263" customFormat="1" ht="9" customHeight="1" x14ac:dyDescent="0.25">
      <c r="A378" s="550" t="s">
        <v>27</v>
      </c>
      <c r="B378" s="621">
        <v>422</v>
      </c>
      <c r="C378" s="621">
        <v>126</v>
      </c>
      <c r="D378" s="621">
        <v>332</v>
      </c>
      <c r="E378" s="621">
        <v>18</v>
      </c>
      <c r="F378" s="621">
        <v>25</v>
      </c>
      <c r="G378" s="621">
        <v>54</v>
      </c>
      <c r="H378" s="621">
        <v>24</v>
      </c>
      <c r="Q378" s="620"/>
      <c r="R378" s="620"/>
      <c r="S378" s="620"/>
      <c r="T378" s="620"/>
      <c r="U378" s="620"/>
      <c r="V378" s="620"/>
      <c r="W378" s="620"/>
    </row>
    <row r="379" spans="1:23" s="263" customFormat="1" ht="9" customHeight="1" x14ac:dyDescent="0.25">
      <c r="A379" s="550" t="s">
        <v>28</v>
      </c>
      <c r="B379" s="621">
        <v>129</v>
      </c>
      <c r="C379" s="621">
        <v>5</v>
      </c>
      <c r="D379" s="621">
        <v>44</v>
      </c>
      <c r="E379" s="621">
        <v>9</v>
      </c>
      <c r="F379" s="621">
        <v>8</v>
      </c>
      <c r="G379" s="621">
        <v>19</v>
      </c>
      <c r="H379" s="621">
        <v>9</v>
      </c>
      <c r="Q379" s="620"/>
      <c r="R379" s="620"/>
      <c r="S379" s="620"/>
      <c r="T379" s="620"/>
      <c r="U379" s="620"/>
      <c r="V379" s="620"/>
      <c r="W379" s="620"/>
    </row>
    <row r="380" spans="1:23" s="263" customFormat="1" ht="9" customHeight="1" x14ac:dyDescent="0.25">
      <c r="A380" s="550" t="s">
        <v>29</v>
      </c>
      <c r="B380" s="621">
        <v>642</v>
      </c>
      <c r="C380" s="621">
        <v>131</v>
      </c>
      <c r="D380" s="621">
        <v>209</v>
      </c>
      <c r="E380" s="621">
        <v>23</v>
      </c>
      <c r="F380" s="621">
        <v>23</v>
      </c>
      <c r="G380" s="621">
        <v>86</v>
      </c>
      <c r="H380" s="621">
        <v>55</v>
      </c>
      <c r="Q380" s="620"/>
      <c r="R380" s="620"/>
      <c r="S380" s="620"/>
      <c r="T380" s="620"/>
      <c r="U380" s="620"/>
      <c r="V380" s="620"/>
      <c r="W380" s="620"/>
    </row>
    <row r="381" spans="1:23" s="263" customFormat="1" ht="9" customHeight="1" x14ac:dyDescent="0.25">
      <c r="A381" s="603" t="s">
        <v>30</v>
      </c>
      <c r="B381" s="623">
        <v>1073</v>
      </c>
      <c r="C381" s="623">
        <v>243</v>
      </c>
      <c r="D381" s="623">
        <v>365</v>
      </c>
      <c r="E381" s="623">
        <v>32</v>
      </c>
      <c r="F381" s="623">
        <v>49</v>
      </c>
      <c r="G381" s="623">
        <v>98</v>
      </c>
      <c r="H381" s="623">
        <v>71</v>
      </c>
      <c r="Q381" s="620"/>
      <c r="R381" s="620"/>
      <c r="S381" s="620"/>
      <c r="T381" s="620"/>
      <c r="U381" s="620"/>
      <c r="V381" s="620"/>
      <c r="W381" s="620"/>
    </row>
    <row r="382" spans="1:23" s="263" customFormat="1" ht="9" customHeight="1" x14ac:dyDescent="0.25">
      <c r="A382" s="550" t="s">
        <v>63</v>
      </c>
      <c r="B382" s="621">
        <v>5915</v>
      </c>
      <c r="C382" s="621">
        <v>1350</v>
      </c>
      <c r="D382" s="621">
        <v>2032</v>
      </c>
      <c r="E382" s="621">
        <v>91</v>
      </c>
      <c r="F382" s="621">
        <v>124</v>
      </c>
      <c r="G382" s="621">
        <v>593</v>
      </c>
      <c r="H382" s="621">
        <v>277</v>
      </c>
      <c r="Q382" s="620"/>
      <c r="R382" s="620"/>
      <c r="S382" s="620"/>
      <c r="T382" s="620"/>
      <c r="U382" s="620"/>
      <c r="V382" s="620"/>
      <c r="W382" s="620"/>
    </row>
    <row r="383" spans="1:23" s="263" customFormat="1" ht="9" customHeight="1" x14ac:dyDescent="0.25">
      <c r="A383" s="550" t="s">
        <v>31</v>
      </c>
      <c r="B383" s="621">
        <v>340</v>
      </c>
      <c r="C383" s="621">
        <v>66</v>
      </c>
      <c r="D383" s="621">
        <v>61</v>
      </c>
      <c r="E383" s="621">
        <v>12</v>
      </c>
      <c r="F383" s="621">
        <v>17</v>
      </c>
      <c r="G383" s="621">
        <v>54</v>
      </c>
      <c r="H383" s="621">
        <v>35</v>
      </c>
      <c r="Q383" s="620"/>
      <c r="R383" s="620"/>
      <c r="S383" s="620"/>
      <c r="T383" s="620"/>
      <c r="U383" s="620"/>
      <c r="V383" s="620"/>
      <c r="W383" s="620"/>
    </row>
    <row r="384" spans="1:23" s="263" customFormat="1" ht="9" customHeight="1" x14ac:dyDescent="0.25">
      <c r="A384" s="550" t="s">
        <v>32</v>
      </c>
      <c r="B384" s="621">
        <v>2352</v>
      </c>
      <c r="C384" s="621">
        <v>616</v>
      </c>
      <c r="D384" s="621">
        <v>1096</v>
      </c>
      <c r="E384" s="621">
        <v>60</v>
      </c>
      <c r="F384" s="621">
        <v>106</v>
      </c>
      <c r="G384" s="621">
        <v>328</v>
      </c>
      <c r="H384" s="621">
        <v>215</v>
      </c>
      <c r="Q384" s="620"/>
      <c r="R384" s="620"/>
      <c r="S384" s="620"/>
      <c r="T384" s="620"/>
      <c r="U384" s="620"/>
      <c r="V384" s="620"/>
      <c r="W384" s="620"/>
    </row>
    <row r="385" spans="1:23" s="263" customFormat="1" ht="9" customHeight="1" x14ac:dyDescent="0.25">
      <c r="A385" s="603" t="s">
        <v>33</v>
      </c>
      <c r="B385" s="623">
        <v>851</v>
      </c>
      <c r="C385" s="623">
        <v>143</v>
      </c>
      <c r="D385" s="623">
        <v>345</v>
      </c>
      <c r="E385" s="623">
        <v>28</v>
      </c>
      <c r="F385" s="623">
        <v>32</v>
      </c>
      <c r="G385" s="623">
        <v>127</v>
      </c>
      <c r="H385" s="623">
        <v>79</v>
      </c>
      <c r="Q385" s="620"/>
      <c r="R385" s="620"/>
      <c r="S385" s="620"/>
      <c r="T385" s="620"/>
      <c r="U385" s="620"/>
      <c r="V385" s="620"/>
      <c r="W385" s="620"/>
    </row>
    <row r="386" spans="1:23" s="263" customFormat="1" ht="9" customHeight="1" x14ac:dyDescent="0.25">
      <c r="A386" s="550" t="s">
        <v>34</v>
      </c>
      <c r="B386" s="621">
        <v>639</v>
      </c>
      <c r="C386" s="621">
        <v>99</v>
      </c>
      <c r="D386" s="621">
        <v>232</v>
      </c>
      <c r="E386" s="621">
        <v>18</v>
      </c>
      <c r="F386" s="621">
        <v>25</v>
      </c>
      <c r="G386" s="621">
        <v>102</v>
      </c>
      <c r="H386" s="621">
        <v>81</v>
      </c>
      <c r="Q386" s="620"/>
      <c r="R386" s="620"/>
      <c r="S386" s="620"/>
      <c r="T386" s="620"/>
      <c r="U386" s="620"/>
      <c r="V386" s="620"/>
      <c r="W386" s="620"/>
    </row>
    <row r="387" spans="1:23" s="263" customFormat="1" ht="9" customHeight="1" x14ac:dyDescent="0.25">
      <c r="A387" s="550" t="s">
        <v>35</v>
      </c>
      <c r="B387" s="621">
        <v>2972</v>
      </c>
      <c r="C387" s="621">
        <v>638</v>
      </c>
      <c r="D387" s="621">
        <v>660</v>
      </c>
      <c r="E387" s="621">
        <v>83</v>
      </c>
      <c r="F387" s="621">
        <v>123</v>
      </c>
      <c r="G387" s="621">
        <v>346</v>
      </c>
      <c r="H387" s="621">
        <v>184</v>
      </c>
      <c r="Q387" s="620"/>
      <c r="R387" s="620"/>
      <c r="S387" s="620"/>
      <c r="T387" s="620"/>
      <c r="U387" s="620"/>
      <c r="V387" s="620"/>
      <c r="W387" s="620"/>
    </row>
    <row r="388" spans="1:23" s="263" customFormat="1" ht="9" customHeight="1" x14ac:dyDescent="0.25">
      <c r="A388" s="550" t="s">
        <v>36</v>
      </c>
      <c r="B388" s="621">
        <v>3978</v>
      </c>
      <c r="C388" s="621">
        <v>703</v>
      </c>
      <c r="D388" s="621">
        <v>1923</v>
      </c>
      <c r="E388" s="621">
        <v>110</v>
      </c>
      <c r="F388" s="621">
        <v>119</v>
      </c>
      <c r="G388" s="621">
        <v>645</v>
      </c>
      <c r="H388" s="621">
        <v>513</v>
      </c>
      <c r="Q388" s="620"/>
      <c r="R388" s="620"/>
      <c r="S388" s="620"/>
      <c r="T388" s="620"/>
      <c r="U388" s="620"/>
      <c r="V388" s="620"/>
      <c r="W388" s="620"/>
    </row>
    <row r="389" spans="1:23" s="263" customFormat="1" ht="9" customHeight="1" x14ac:dyDescent="0.25">
      <c r="A389" s="603" t="s">
        <v>37</v>
      </c>
      <c r="B389" s="623">
        <v>2159</v>
      </c>
      <c r="C389" s="623">
        <v>266</v>
      </c>
      <c r="D389" s="623">
        <v>666</v>
      </c>
      <c r="E389" s="623">
        <v>56</v>
      </c>
      <c r="F389" s="623">
        <v>84</v>
      </c>
      <c r="G389" s="623">
        <v>277</v>
      </c>
      <c r="H389" s="623">
        <v>205</v>
      </c>
      <c r="Q389" s="620"/>
      <c r="R389" s="620"/>
      <c r="S389" s="620"/>
      <c r="T389" s="620"/>
      <c r="U389" s="620"/>
      <c r="V389" s="620"/>
      <c r="W389" s="620"/>
    </row>
    <row r="390" spans="1:23" s="263" customFormat="1" ht="9" customHeight="1" x14ac:dyDescent="0.25">
      <c r="A390" s="550" t="s">
        <v>38</v>
      </c>
      <c r="B390" s="621">
        <v>459</v>
      </c>
      <c r="C390" s="621">
        <v>128</v>
      </c>
      <c r="D390" s="621">
        <v>162</v>
      </c>
      <c r="E390" s="621">
        <v>15</v>
      </c>
      <c r="F390" s="621">
        <v>12</v>
      </c>
      <c r="G390" s="621">
        <v>100</v>
      </c>
      <c r="H390" s="621">
        <v>62</v>
      </c>
      <c r="Q390" s="620"/>
      <c r="R390" s="620"/>
      <c r="S390" s="620"/>
      <c r="T390" s="620"/>
      <c r="U390" s="620"/>
      <c r="V390" s="620"/>
      <c r="W390" s="620"/>
    </row>
    <row r="391" spans="1:23" s="263" customFormat="1" ht="9" customHeight="1" x14ac:dyDescent="0.25">
      <c r="A391" s="550" t="s">
        <v>39</v>
      </c>
      <c r="B391" s="621">
        <v>157</v>
      </c>
      <c r="C391" s="621">
        <v>25</v>
      </c>
      <c r="D391" s="621">
        <v>34</v>
      </c>
      <c r="E391" s="621">
        <v>10</v>
      </c>
      <c r="F391" s="621">
        <v>6</v>
      </c>
      <c r="G391" s="621">
        <v>25</v>
      </c>
      <c r="H391" s="621">
        <v>16</v>
      </c>
      <c r="Q391" s="620"/>
      <c r="R391" s="620"/>
      <c r="S391" s="620"/>
      <c r="T391" s="620"/>
      <c r="U391" s="620"/>
      <c r="V391" s="620"/>
      <c r="W391" s="620"/>
    </row>
    <row r="392" spans="1:23" s="263" customFormat="1" ht="9" customHeight="1" x14ac:dyDescent="0.25">
      <c r="A392" s="550" t="s">
        <v>40</v>
      </c>
      <c r="B392" s="621">
        <v>1396</v>
      </c>
      <c r="C392" s="621">
        <v>538</v>
      </c>
      <c r="D392" s="621">
        <v>323</v>
      </c>
      <c r="E392" s="621">
        <v>29</v>
      </c>
      <c r="F392" s="621">
        <v>64</v>
      </c>
      <c r="G392" s="621">
        <v>131</v>
      </c>
      <c r="H392" s="621">
        <v>58</v>
      </c>
      <c r="Q392" s="620"/>
      <c r="R392" s="620"/>
      <c r="S392" s="620"/>
      <c r="T392" s="620"/>
      <c r="U392" s="620"/>
      <c r="V392" s="620"/>
      <c r="W392" s="620"/>
    </row>
    <row r="393" spans="1:23" s="263" customFormat="1" ht="9" customHeight="1" x14ac:dyDescent="0.25">
      <c r="A393" s="603" t="s">
        <v>41</v>
      </c>
      <c r="B393" s="623">
        <v>704</v>
      </c>
      <c r="C393" s="623">
        <v>107</v>
      </c>
      <c r="D393" s="623">
        <v>327</v>
      </c>
      <c r="E393" s="623">
        <v>24</v>
      </c>
      <c r="F393" s="623">
        <v>16</v>
      </c>
      <c r="G393" s="623">
        <v>107</v>
      </c>
      <c r="H393" s="623">
        <v>76</v>
      </c>
      <c r="Q393" s="620"/>
      <c r="R393" s="620"/>
      <c r="S393" s="620"/>
      <c r="T393" s="620"/>
      <c r="U393" s="620"/>
      <c r="V393" s="620"/>
      <c r="W393" s="620"/>
    </row>
    <row r="394" spans="1:23" s="263" customFormat="1" ht="9" customHeight="1" x14ac:dyDescent="0.25">
      <c r="A394" s="550" t="s">
        <v>42</v>
      </c>
      <c r="B394" s="621">
        <v>2029</v>
      </c>
      <c r="C394" s="621">
        <v>282</v>
      </c>
      <c r="D394" s="621">
        <v>504</v>
      </c>
      <c r="E394" s="621">
        <v>53</v>
      </c>
      <c r="F394" s="621">
        <v>35</v>
      </c>
      <c r="G394" s="621">
        <v>207</v>
      </c>
      <c r="H394" s="621">
        <v>135</v>
      </c>
      <c r="Q394" s="620"/>
      <c r="R394" s="620"/>
      <c r="S394" s="620"/>
      <c r="T394" s="620"/>
      <c r="U394" s="620"/>
      <c r="V394" s="620"/>
      <c r="W394" s="620"/>
    </row>
    <row r="395" spans="1:23" s="263" customFormat="1" ht="9" customHeight="1" x14ac:dyDescent="0.25">
      <c r="A395" s="550" t="s">
        <v>43</v>
      </c>
      <c r="B395" s="621">
        <v>529</v>
      </c>
      <c r="C395" s="621">
        <v>133</v>
      </c>
      <c r="D395" s="621">
        <v>282</v>
      </c>
      <c r="E395" s="621">
        <v>20</v>
      </c>
      <c r="F395" s="621">
        <v>23</v>
      </c>
      <c r="G395" s="621">
        <v>80</v>
      </c>
      <c r="H395" s="621">
        <v>54</v>
      </c>
      <c r="Q395" s="620"/>
      <c r="R395" s="620"/>
      <c r="S395" s="620"/>
      <c r="T395" s="620"/>
      <c r="U395" s="620"/>
      <c r="V395" s="620"/>
      <c r="W395" s="620"/>
    </row>
    <row r="396" spans="1:23" s="263" customFormat="1" ht="9" customHeight="1" x14ac:dyDescent="0.25">
      <c r="A396" s="550" t="s">
        <v>44</v>
      </c>
      <c r="B396" s="621">
        <v>255</v>
      </c>
      <c r="C396" s="621">
        <v>98</v>
      </c>
      <c r="D396" s="621">
        <v>218</v>
      </c>
      <c r="E396" s="621">
        <v>23</v>
      </c>
      <c r="F396" s="621">
        <v>23</v>
      </c>
      <c r="G396" s="621">
        <v>37</v>
      </c>
      <c r="H396" s="621">
        <v>30</v>
      </c>
      <c r="Q396" s="620"/>
      <c r="R396" s="620"/>
      <c r="S396" s="620"/>
      <c r="T396" s="620"/>
      <c r="U396" s="620"/>
      <c r="V396" s="620"/>
      <c r="W396" s="620"/>
    </row>
    <row r="397" spans="1:23" s="263" customFormat="1" ht="9" customHeight="1" x14ac:dyDescent="0.25">
      <c r="A397" s="603" t="s">
        <v>45</v>
      </c>
      <c r="B397" s="623">
        <v>686</v>
      </c>
      <c r="C397" s="623">
        <v>88</v>
      </c>
      <c r="D397" s="623">
        <v>152</v>
      </c>
      <c r="E397" s="623">
        <v>20</v>
      </c>
      <c r="F397" s="623">
        <v>15</v>
      </c>
      <c r="G397" s="623">
        <v>90</v>
      </c>
      <c r="H397" s="623">
        <v>46</v>
      </c>
      <c r="Q397" s="620"/>
      <c r="R397" s="620"/>
      <c r="S397" s="620"/>
      <c r="T397" s="620"/>
      <c r="U397" s="620"/>
      <c r="V397" s="620"/>
      <c r="W397" s="620"/>
    </row>
    <row r="398" spans="1:23" s="263" customFormat="1" ht="9" customHeight="1" x14ac:dyDescent="0.25">
      <c r="A398" s="550" t="s">
        <v>46</v>
      </c>
      <c r="B398" s="621">
        <v>660</v>
      </c>
      <c r="C398" s="621">
        <v>151</v>
      </c>
      <c r="D398" s="621">
        <v>192</v>
      </c>
      <c r="E398" s="621">
        <v>20</v>
      </c>
      <c r="F398" s="621">
        <v>27</v>
      </c>
      <c r="G398" s="621">
        <v>111</v>
      </c>
      <c r="H398" s="621">
        <v>58</v>
      </c>
      <c r="Q398" s="620"/>
      <c r="R398" s="620"/>
      <c r="S398" s="620"/>
      <c r="T398" s="620"/>
      <c r="U398" s="620"/>
      <c r="V398" s="620"/>
      <c r="W398" s="620"/>
    </row>
    <row r="399" spans="1:23" s="263" customFormat="1" ht="9" customHeight="1" x14ac:dyDescent="0.25">
      <c r="A399" s="550" t="s">
        <v>47</v>
      </c>
      <c r="B399" s="621">
        <v>599</v>
      </c>
      <c r="C399" s="621">
        <v>193</v>
      </c>
      <c r="D399" s="621">
        <v>191</v>
      </c>
      <c r="E399" s="621">
        <v>18</v>
      </c>
      <c r="F399" s="621">
        <v>31</v>
      </c>
      <c r="G399" s="621">
        <v>85</v>
      </c>
      <c r="H399" s="621">
        <v>57</v>
      </c>
      <c r="Q399" s="620"/>
      <c r="R399" s="620"/>
      <c r="S399" s="620"/>
      <c r="T399" s="620"/>
      <c r="U399" s="620"/>
      <c r="V399" s="620"/>
      <c r="W399" s="620"/>
    </row>
    <row r="400" spans="1:23" s="263" customFormat="1" ht="9" customHeight="1" x14ac:dyDescent="0.25">
      <c r="A400" s="550" t="s">
        <v>48</v>
      </c>
      <c r="B400" s="621">
        <v>434</v>
      </c>
      <c r="C400" s="621">
        <v>85</v>
      </c>
      <c r="D400" s="621">
        <v>215</v>
      </c>
      <c r="E400" s="621">
        <v>16</v>
      </c>
      <c r="F400" s="621">
        <v>34</v>
      </c>
      <c r="G400" s="621">
        <v>74</v>
      </c>
      <c r="H400" s="621">
        <v>50</v>
      </c>
      <c r="Q400" s="620"/>
      <c r="R400" s="620"/>
      <c r="S400" s="620"/>
      <c r="T400" s="620"/>
      <c r="U400" s="620"/>
      <c r="V400" s="620"/>
      <c r="W400" s="620"/>
    </row>
    <row r="401" spans="1:23" s="263" customFormat="1" ht="9" customHeight="1" x14ac:dyDescent="0.25">
      <c r="A401" s="603" t="s">
        <v>49</v>
      </c>
      <c r="B401" s="623">
        <v>772</v>
      </c>
      <c r="C401" s="623">
        <v>177</v>
      </c>
      <c r="D401" s="623">
        <v>245</v>
      </c>
      <c r="E401" s="623">
        <v>28</v>
      </c>
      <c r="F401" s="623">
        <v>37</v>
      </c>
      <c r="G401" s="623">
        <v>100</v>
      </c>
      <c r="H401" s="623">
        <v>56</v>
      </c>
      <c r="Q401" s="620"/>
      <c r="R401" s="620"/>
      <c r="S401" s="620"/>
      <c r="T401" s="620"/>
      <c r="U401" s="620"/>
      <c r="V401" s="620"/>
      <c r="W401" s="620"/>
    </row>
    <row r="402" spans="1:23" s="263" customFormat="1" ht="9" customHeight="1" x14ac:dyDescent="0.25">
      <c r="A402" s="550" t="s">
        <v>50</v>
      </c>
      <c r="B402" s="621">
        <v>316</v>
      </c>
      <c r="C402" s="621">
        <v>88</v>
      </c>
      <c r="D402" s="621">
        <v>122</v>
      </c>
      <c r="E402" s="621">
        <v>4</v>
      </c>
      <c r="F402" s="621">
        <v>5</v>
      </c>
      <c r="G402" s="621">
        <v>57</v>
      </c>
      <c r="H402" s="621">
        <v>50</v>
      </c>
      <c r="Q402" s="620"/>
      <c r="R402" s="620"/>
      <c r="S402" s="620"/>
      <c r="T402" s="620"/>
      <c r="U402" s="620"/>
      <c r="V402" s="620"/>
      <c r="W402" s="620"/>
    </row>
    <row r="403" spans="1:23" s="263" customFormat="1" ht="9" customHeight="1" x14ac:dyDescent="0.25">
      <c r="A403" s="550" t="s">
        <v>51</v>
      </c>
      <c r="B403" s="621">
        <v>1480</v>
      </c>
      <c r="C403" s="621">
        <v>353</v>
      </c>
      <c r="D403" s="621">
        <v>426</v>
      </c>
      <c r="E403" s="621">
        <v>41</v>
      </c>
      <c r="F403" s="621">
        <v>43</v>
      </c>
      <c r="G403" s="621">
        <v>216</v>
      </c>
      <c r="H403" s="621">
        <v>143</v>
      </c>
      <c r="Q403" s="620"/>
      <c r="R403" s="620"/>
      <c r="S403" s="620"/>
      <c r="T403" s="620"/>
      <c r="U403" s="620"/>
      <c r="V403" s="620"/>
      <c r="W403" s="620"/>
    </row>
    <row r="404" spans="1:23" s="263" customFormat="1" ht="9" customHeight="1" x14ac:dyDescent="0.25">
      <c r="A404" s="550" t="s">
        <v>52</v>
      </c>
      <c r="B404" s="621">
        <v>444</v>
      </c>
      <c r="C404" s="621">
        <v>129</v>
      </c>
      <c r="D404" s="621">
        <v>351</v>
      </c>
      <c r="E404" s="621">
        <v>12</v>
      </c>
      <c r="F404" s="621">
        <v>18</v>
      </c>
      <c r="G404" s="621">
        <v>56</v>
      </c>
      <c r="H404" s="621">
        <v>34</v>
      </c>
      <c r="Q404" s="620"/>
      <c r="R404" s="620"/>
      <c r="S404" s="620"/>
      <c r="T404" s="620"/>
      <c r="U404" s="620"/>
      <c r="V404" s="620"/>
      <c r="W404" s="620"/>
    </row>
    <row r="405" spans="1:23" s="263" customFormat="1" ht="9" customHeight="1" x14ac:dyDescent="0.25">
      <c r="A405" s="267" t="s">
        <v>53</v>
      </c>
      <c r="B405" s="618">
        <v>463</v>
      </c>
      <c r="C405" s="618">
        <v>67</v>
      </c>
      <c r="D405" s="618">
        <v>210</v>
      </c>
      <c r="E405" s="618">
        <v>17</v>
      </c>
      <c r="F405" s="618">
        <v>22</v>
      </c>
      <c r="G405" s="618">
        <v>56</v>
      </c>
      <c r="H405" s="618">
        <v>38</v>
      </c>
      <c r="Q405" s="620"/>
      <c r="R405" s="620"/>
      <c r="S405" s="620"/>
      <c r="T405" s="620"/>
      <c r="U405" s="620"/>
      <c r="V405" s="620"/>
      <c r="W405" s="620"/>
    </row>
    <row r="406" spans="1:23" s="263" customFormat="1" ht="9" customHeight="1" x14ac:dyDescent="0.25">
      <c r="A406" s="286"/>
      <c r="B406" s="619"/>
      <c r="C406" s="619"/>
      <c r="D406" s="619"/>
      <c r="E406" s="619"/>
      <c r="F406" s="619"/>
      <c r="G406" s="619"/>
      <c r="H406" s="619"/>
      <c r="Q406" s="620"/>
      <c r="R406" s="620"/>
      <c r="S406" s="620"/>
      <c r="T406" s="620"/>
      <c r="U406" s="620"/>
      <c r="V406" s="620"/>
      <c r="W406" s="620"/>
    </row>
    <row r="407" spans="1:23" s="263" customFormat="1" ht="9" customHeight="1" x14ac:dyDescent="0.25">
      <c r="A407" s="261">
        <v>2006</v>
      </c>
      <c r="B407" s="262"/>
      <c r="C407" s="262"/>
      <c r="D407" s="262"/>
      <c r="E407" s="262"/>
      <c r="F407" s="262"/>
      <c r="G407" s="262"/>
      <c r="H407" s="262"/>
      <c r="Q407" s="620"/>
      <c r="R407" s="620"/>
      <c r="S407" s="620"/>
      <c r="T407" s="620"/>
      <c r="U407" s="620"/>
      <c r="V407" s="620"/>
      <c r="W407" s="620"/>
    </row>
    <row r="408" spans="1:23" s="265" customFormat="1" ht="9" customHeight="1" x14ac:dyDescent="0.25">
      <c r="A408" s="265" t="s">
        <v>21</v>
      </c>
      <c r="B408" s="615">
        <f t="shared" ref="B408:G408" si="11">SUM(B410:B441)</f>
        <v>34183</v>
      </c>
      <c r="C408" s="615">
        <f t="shared" si="11"/>
        <v>7554</v>
      </c>
      <c r="D408" s="615">
        <f t="shared" si="11"/>
        <v>12648</v>
      </c>
      <c r="E408" s="615">
        <f t="shared" si="11"/>
        <v>891</v>
      </c>
      <c r="F408" s="615">
        <f t="shared" si="11"/>
        <v>1149</v>
      </c>
      <c r="G408" s="615">
        <f t="shared" si="11"/>
        <v>4630</v>
      </c>
      <c r="H408" s="615">
        <f>SUM(H410:H441)</f>
        <v>2883</v>
      </c>
      <c r="Q408" s="620"/>
      <c r="R408" s="620"/>
      <c r="S408" s="620"/>
      <c r="T408" s="620"/>
      <c r="U408" s="620"/>
      <c r="V408" s="620"/>
      <c r="W408" s="620"/>
    </row>
    <row r="409" spans="1:23" s="265" customFormat="1" ht="3.95" customHeight="1" x14ac:dyDescent="0.25">
      <c r="B409" s="615"/>
      <c r="C409" s="615"/>
      <c r="D409" s="615"/>
      <c r="E409" s="615"/>
      <c r="F409" s="615"/>
      <c r="G409" s="615"/>
      <c r="H409" s="615"/>
      <c r="Q409" s="620"/>
      <c r="R409" s="620"/>
      <c r="S409" s="620"/>
      <c r="T409" s="620"/>
      <c r="U409" s="620"/>
      <c r="V409" s="620"/>
      <c r="W409" s="620"/>
    </row>
    <row r="410" spans="1:23" s="263" customFormat="1" ht="9" customHeight="1" x14ac:dyDescent="0.25">
      <c r="A410" s="550" t="s">
        <v>23</v>
      </c>
      <c r="B410" s="621">
        <v>363</v>
      </c>
      <c r="C410" s="621">
        <v>58</v>
      </c>
      <c r="D410" s="621">
        <v>97</v>
      </c>
      <c r="E410" s="621">
        <v>12</v>
      </c>
      <c r="F410" s="621">
        <v>9</v>
      </c>
      <c r="G410" s="621">
        <v>51</v>
      </c>
      <c r="H410" s="621">
        <v>15</v>
      </c>
      <c r="Q410" s="620"/>
      <c r="R410" s="620"/>
      <c r="S410" s="620"/>
      <c r="T410" s="620"/>
      <c r="U410" s="620"/>
      <c r="V410" s="620"/>
      <c r="W410" s="620"/>
    </row>
    <row r="411" spans="1:23" s="263" customFormat="1" ht="9" customHeight="1" x14ac:dyDescent="0.25">
      <c r="A411" s="550" t="s">
        <v>24</v>
      </c>
      <c r="B411" s="622">
        <v>1180</v>
      </c>
      <c r="C411" s="622">
        <v>212</v>
      </c>
      <c r="D411" s="622">
        <v>349</v>
      </c>
      <c r="E411" s="622">
        <v>18</v>
      </c>
      <c r="F411" s="622">
        <v>29</v>
      </c>
      <c r="G411" s="622">
        <v>202</v>
      </c>
      <c r="H411" s="622">
        <v>119</v>
      </c>
      <c r="Q411" s="620"/>
      <c r="R411" s="620"/>
      <c r="S411" s="620"/>
      <c r="T411" s="620"/>
      <c r="U411" s="620"/>
      <c r="V411" s="620"/>
      <c r="W411" s="620"/>
    </row>
    <row r="412" spans="1:23" s="263" customFormat="1" ht="9" customHeight="1" x14ac:dyDescent="0.25">
      <c r="A412" s="550" t="s">
        <v>25</v>
      </c>
      <c r="B412" s="621">
        <v>87</v>
      </c>
      <c r="C412" s="621">
        <v>39</v>
      </c>
      <c r="D412" s="621">
        <v>78</v>
      </c>
      <c r="E412" s="621">
        <v>5</v>
      </c>
      <c r="F412" s="621">
        <v>8</v>
      </c>
      <c r="G412" s="621">
        <v>18</v>
      </c>
      <c r="H412" s="621">
        <v>11</v>
      </c>
      <c r="Q412" s="620"/>
      <c r="R412" s="620"/>
      <c r="S412" s="620"/>
      <c r="T412" s="620"/>
      <c r="U412" s="620"/>
      <c r="V412" s="620"/>
      <c r="W412" s="620"/>
    </row>
    <row r="413" spans="1:23" s="263" customFormat="1" ht="9" customHeight="1" x14ac:dyDescent="0.25">
      <c r="A413" s="603" t="s">
        <v>26</v>
      </c>
      <c r="B413" s="623">
        <v>79</v>
      </c>
      <c r="C413" s="623">
        <v>37</v>
      </c>
      <c r="D413" s="623">
        <v>71</v>
      </c>
      <c r="E413" s="623">
        <v>3</v>
      </c>
      <c r="F413" s="623">
        <v>5</v>
      </c>
      <c r="G413" s="623">
        <v>9</v>
      </c>
      <c r="H413" s="623">
        <v>9</v>
      </c>
      <c r="Q413" s="620"/>
      <c r="R413" s="620"/>
      <c r="S413" s="620"/>
      <c r="T413" s="620"/>
      <c r="U413" s="620"/>
      <c r="V413" s="620"/>
      <c r="W413" s="620"/>
    </row>
    <row r="414" spans="1:23" s="263" customFormat="1" ht="9" customHeight="1" x14ac:dyDescent="0.25">
      <c r="A414" s="550" t="s">
        <v>27</v>
      </c>
      <c r="B414" s="621">
        <v>540</v>
      </c>
      <c r="C414" s="621">
        <v>201</v>
      </c>
      <c r="D414" s="621">
        <v>411</v>
      </c>
      <c r="E414" s="621">
        <v>19</v>
      </c>
      <c r="F414" s="621">
        <v>28</v>
      </c>
      <c r="G414" s="621">
        <v>72</v>
      </c>
      <c r="H414" s="621">
        <v>25</v>
      </c>
      <c r="Q414" s="620"/>
      <c r="R414" s="620"/>
      <c r="S414" s="620"/>
      <c r="T414" s="620"/>
      <c r="U414" s="620"/>
      <c r="V414" s="620"/>
      <c r="W414" s="620"/>
    </row>
    <row r="415" spans="1:23" s="263" customFormat="1" ht="9" customHeight="1" x14ac:dyDescent="0.25">
      <c r="A415" s="550" t="s">
        <v>28</v>
      </c>
      <c r="B415" s="621">
        <v>131</v>
      </c>
      <c r="C415" s="621">
        <v>9</v>
      </c>
      <c r="D415" s="621">
        <v>55</v>
      </c>
      <c r="E415" s="621">
        <v>8</v>
      </c>
      <c r="F415" s="621">
        <v>8</v>
      </c>
      <c r="G415" s="621">
        <v>19</v>
      </c>
      <c r="H415" s="621">
        <v>9</v>
      </c>
      <c r="Q415" s="620"/>
      <c r="R415" s="620"/>
      <c r="S415" s="620"/>
      <c r="T415" s="620"/>
      <c r="U415" s="620"/>
      <c r="V415" s="620"/>
      <c r="W415" s="620"/>
    </row>
    <row r="416" spans="1:23" s="263" customFormat="1" ht="9" customHeight="1" x14ac:dyDescent="0.25">
      <c r="A416" s="550" t="s">
        <v>29</v>
      </c>
      <c r="B416" s="621">
        <v>640</v>
      </c>
      <c r="C416" s="621">
        <v>127</v>
      </c>
      <c r="D416" s="621">
        <v>197</v>
      </c>
      <c r="E416" s="621">
        <v>16</v>
      </c>
      <c r="F416" s="621">
        <v>16</v>
      </c>
      <c r="G416" s="621">
        <v>91</v>
      </c>
      <c r="H416" s="621">
        <v>46</v>
      </c>
      <c r="Q416" s="620"/>
      <c r="R416" s="620"/>
      <c r="S416" s="620"/>
      <c r="T416" s="620"/>
      <c r="U416" s="620"/>
      <c r="V416" s="620"/>
      <c r="W416" s="620"/>
    </row>
    <row r="417" spans="1:23" s="263" customFormat="1" ht="9" customHeight="1" x14ac:dyDescent="0.25">
      <c r="A417" s="603" t="s">
        <v>30</v>
      </c>
      <c r="B417" s="623">
        <v>1049</v>
      </c>
      <c r="C417" s="623">
        <v>232</v>
      </c>
      <c r="D417" s="623">
        <v>450</v>
      </c>
      <c r="E417" s="623">
        <v>32</v>
      </c>
      <c r="F417" s="623">
        <v>49</v>
      </c>
      <c r="G417" s="623">
        <v>134</v>
      </c>
      <c r="H417" s="623">
        <v>80</v>
      </c>
      <c r="Q417" s="620"/>
      <c r="R417" s="620"/>
      <c r="S417" s="620"/>
      <c r="T417" s="620"/>
      <c r="U417" s="620"/>
      <c r="V417" s="620"/>
      <c r="W417" s="620"/>
    </row>
    <row r="418" spans="1:23" s="263" customFormat="1" ht="9" customHeight="1" x14ac:dyDescent="0.25">
      <c r="A418" s="550" t="s">
        <v>63</v>
      </c>
      <c r="B418" s="621">
        <v>5233</v>
      </c>
      <c r="C418" s="621">
        <v>1246</v>
      </c>
      <c r="D418" s="621">
        <v>2076</v>
      </c>
      <c r="E418" s="621">
        <v>83</v>
      </c>
      <c r="F418" s="621">
        <v>114</v>
      </c>
      <c r="G418" s="621">
        <v>587</v>
      </c>
      <c r="H418" s="621">
        <v>271</v>
      </c>
      <c r="Q418" s="620"/>
      <c r="R418" s="620"/>
      <c r="S418" s="620"/>
      <c r="T418" s="620"/>
      <c r="U418" s="620"/>
      <c r="V418" s="620"/>
      <c r="W418" s="620"/>
    </row>
    <row r="419" spans="1:23" s="263" customFormat="1" ht="9" customHeight="1" x14ac:dyDescent="0.25">
      <c r="A419" s="550" t="s">
        <v>31</v>
      </c>
      <c r="B419" s="621">
        <v>326</v>
      </c>
      <c r="C419" s="621">
        <v>27</v>
      </c>
      <c r="D419" s="621">
        <v>51</v>
      </c>
      <c r="E419" s="621">
        <v>12</v>
      </c>
      <c r="F419" s="621">
        <v>16</v>
      </c>
      <c r="G419" s="621">
        <v>57</v>
      </c>
      <c r="H419" s="621">
        <v>32</v>
      </c>
      <c r="Q419" s="620"/>
      <c r="R419" s="620"/>
      <c r="S419" s="620"/>
      <c r="T419" s="620"/>
      <c r="U419" s="620"/>
      <c r="V419" s="620"/>
      <c r="W419" s="620"/>
    </row>
    <row r="420" spans="1:23" s="263" customFormat="1" ht="9" customHeight="1" x14ac:dyDescent="0.25">
      <c r="A420" s="550" t="s">
        <v>32</v>
      </c>
      <c r="B420" s="621">
        <v>2317</v>
      </c>
      <c r="C420" s="621">
        <v>655</v>
      </c>
      <c r="D420" s="621">
        <v>1132</v>
      </c>
      <c r="E420" s="621">
        <v>52</v>
      </c>
      <c r="F420" s="621">
        <v>96</v>
      </c>
      <c r="G420" s="621">
        <v>324</v>
      </c>
      <c r="H420" s="621">
        <v>250</v>
      </c>
      <c r="Q420" s="620"/>
      <c r="R420" s="620"/>
      <c r="S420" s="620"/>
      <c r="T420" s="620"/>
      <c r="U420" s="620"/>
      <c r="V420" s="620"/>
      <c r="W420" s="620"/>
    </row>
    <row r="421" spans="1:23" s="263" customFormat="1" ht="9" customHeight="1" x14ac:dyDescent="0.25">
      <c r="A421" s="603" t="s">
        <v>33</v>
      </c>
      <c r="B421" s="623">
        <v>831</v>
      </c>
      <c r="C421" s="623">
        <v>165</v>
      </c>
      <c r="D421" s="623">
        <v>357</v>
      </c>
      <c r="E421" s="623">
        <v>38</v>
      </c>
      <c r="F421" s="623">
        <v>23</v>
      </c>
      <c r="G421" s="623">
        <v>136</v>
      </c>
      <c r="H421" s="623">
        <v>80</v>
      </c>
      <c r="Q421" s="620"/>
      <c r="R421" s="620"/>
      <c r="S421" s="620"/>
      <c r="T421" s="620"/>
      <c r="U421" s="620"/>
      <c r="V421" s="620"/>
      <c r="W421" s="620"/>
    </row>
    <row r="422" spans="1:23" s="263" customFormat="1" ht="9" customHeight="1" x14ac:dyDescent="0.25">
      <c r="A422" s="550" t="s">
        <v>34</v>
      </c>
      <c r="B422" s="621">
        <v>628</v>
      </c>
      <c r="C422" s="621">
        <v>89</v>
      </c>
      <c r="D422" s="621">
        <v>228</v>
      </c>
      <c r="E422" s="621">
        <v>17</v>
      </c>
      <c r="F422" s="621">
        <v>21</v>
      </c>
      <c r="G422" s="621">
        <v>98</v>
      </c>
      <c r="H422" s="621">
        <v>75</v>
      </c>
      <c r="Q422" s="620"/>
      <c r="R422" s="620"/>
      <c r="S422" s="620"/>
      <c r="T422" s="620"/>
      <c r="U422" s="620"/>
      <c r="V422" s="620"/>
      <c r="W422" s="620"/>
    </row>
    <row r="423" spans="1:23" s="263" customFormat="1" ht="9" customHeight="1" x14ac:dyDescent="0.25">
      <c r="A423" s="550" t="s">
        <v>35</v>
      </c>
      <c r="B423" s="621">
        <v>3005</v>
      </c>
      <c r="C423" s="621">
        <v>677</v>
      </c>
      <c r="D423" s="621">
        <v>653</v>
      </c>
      <c r="E423" s="621">
        <v>76</v>
      </c>
      <c r="F423" s="621">
        <v>117</v>
      </c>
      <c r="G423" s="621">
        <v>357</v>
      </c>
      <c r="H423" s="621">
        <v>185</v>
      </c>
      <c r="Q423" s="620"/>
      <c r="R423" s="620"/>
      <c r="S423" s="620"/>
      <c r="T423" s="620"/>
      <c r="U423" s="620"/>
      <c r="V423" s="620"/>
      <c r="W423" s="620"/>
    </row>
    <row r="424" spans="1:23" s="263" customFormat="1" ht="9" customHeight="1" x14ac:dyDescent="0.25">
      <c r="A424" s="550" t="s">
        <v>36</v>
      </c>
      <c r="B424" s="621">
        <v>4073</v>
      </c>
      <c r="C424" s="621">
        <v>813</v>
      </c>
      <c r="D424" s="621">
        <v>1993</v>
      </c>
      <c r="E424" s="621">
        <v>115</v>
      </c>
      <c r="F424" s="621">
        <v>121</v>
      </c>
      <c r="G424" s="621">
        <v>668</v>
      </c>
      <c r="H424" s="621">
        <v>524</v>
      </c>
      <c r="Q424" s="620"/>
      <c r="R424" s="620"/>
      <c r="S424" s="620"/>
      <c r="T424" s="620"/>
      <c r="U424" s="620"/>
      <c r="V424" s="620"/>
      <c r="W424" s="620"/>
    </row>
    <row r="425" spans="1:23" s="263" customFormat="1" ht="9" customHeight="1" x14ac:dyDescent="0.25">
      <c r="A425" s="603" t="s">
        <v>37</v>
      </c>
      <c r="B425" s="623">
        <v>2091</v>
      </c>
      <c r="C425" s="623">
        <v>238</v>
      </c>
      <c r="D425" s="623">
        <v>674</v>
      </c>
      <c r="E425" s="623">
        <v>49</v>
      </c>
      <c r="F425" s="623">
        <v>71</v>
      </c>
      <c r="G425" s="623">
        <v>258</v>
      </c>
      <c r="H425" s="623">
        <v>189</v>
      </c>
      <c r="Q425" s="620"/>
      <c r="R425" s="620"/>
      <c r="S425" s="620"/>
      <c r="T425" s="620"/>
      <c r="U425" s="620"/>
      <c r="V425" s="620"/>
      <c r="W425" s="620"/>
    </row>
    <row r="426" spans="1:23" s="263" customFormat="1" ht="9" customHeight="1" x14ac:dyDescent="0.25">
      <c r="A426" s="550" t="s">
        <v>38</v>
      </c>
      <c r="B426" s="621">
        <v>474</v>
      </c>
      <c r="C426" s="621">
        <v>165</v>
      </c>
      <c r="D426" s="621">
        <v>166</v>
      </c>
      <c r="E426" s="621">
        <v>15</v>
      </c>
      <c r="F426" s="621">
        <v>11</v>
      </c>
      <c r="G426" s="621">
        <v>92</v>
      </c>
      <c r="H426" s="621">
        <v>63</v>
      </c>
      <c r="Q426" s="620"/>
      <c r="R426" s="620"/>
      <c r="S426" s="620"/>
      <c r="T426" s="620"/>
      <c r="U426" s="620"/>
      <c r="V426" s="620"/>
      <c r="W426" s="620"/>
    </row>
    <row r="427" spans="1:23" s="263" customFormat="1" ht="9" customHeight="1" x14ac:dyDescent="0.25">
      <c r="A427" s="550" t="s">
        <v>39</v>
      </c>
      <c r="B427" s="621">
        <v>157</v>
      </c>
      <c r="C427" s="621">
        <v>14</v>
      </c>
      <c r="D427" s="621">
        <v>40</v>
      </c>
      <c r="E427" s="621">
        <v>10</v>
      </c>
      <c r="F427" s="621">
        <v>11</v>
      </c>
      <c r="G427" s="621">
        <v>24</v>
      </c>
      <c r="H427" s="621">
        <v>12</v>
      </c>
      <c r="Q427" s="620"/>
      <c r="R427" s="620"/>
      <c r="S427" s="620"/>
      <c r="T427" s="620"/>
      <c r="U427" s="620"/>
      <c r="V427" s="620"/>
      <c r="W427" s="620"/>
    </row>
    <row r="428" spans="1:23" s="263" customFormat="1" ht="9" customHeight="1" x14ac:dyDescent="0.25">
      <c r="A428" s="550" t="s">
        <v>40</v>
      </c>
      <c r="B428" s="621">
        <v>1497</v>
      </c>
      <c r="C428" s="621">
        <v>574</v>
      </c>
      <c r="D428" s="621">
        <v>362</v>
      </c>
      <c r="E428" s="621">
        <v>37</v>
      </c>
      <c r="F428" s="621">
        <v>71</v>
      </c>
      <c r="G428" s="621">
        <v>148</v>
      </c>
      <c r="H428" s="621">
        <v>67</v>
      </c>
      <c r="Q428" s="620"/>
      <c r="R428" s="620"/>
      <c r="S428" s="620"/>
      <c r="T428" s="620"/>
      <c r="U428" s="620"/>
      <c r="V428" s="620"/>
      <c r="W428" s="620"/>
    </row>
    <row r="429" spans="1:23" s="263" customFormat="1" ht="9" customHeight="1" x14ac:dyDescent="0.25">
      <c r="A429" s="603" t="s">
        <v>41</v>
      </c>
      <c r="B429" s="623">
        <v>719</v>
      </c>
      <c r="C429" s="623">
        <v>70</v>
      </c>
      <c r="D429" s="623">
        <v>344</v>
      </c>
      <c r="E429" s="623">
        <v>28</v>
      </c>
      <c r="F429" s="623">
        <v>19</v>
      </c>
      <c r="G429" s="623">
        <v>121</v>
      </c>
      <c r="H429" s="623">
        <v>81</v>
      </c>
      <c r="Q429" s="620"/>
      <c r="R429" s="620"/>
      <c r="S429" s="620"/>
      <c r="T429" s="620"/>
      <c r="U429" s="620"/>
      <c r="V429" s="620"/>
      <c r="W429" s="620"/>
    </row>
    <row r="430" spans="1:23" s="263" customFormat="1" ht="9" customHeight="1" x14ac:dyDescent="0.25">
      <c r="A430" s="550" t="s">
        <v>42</v>
      </c>
      <c r="B430" s="621">
        <v>2116</v>
      </c>
      <c r="C430" s="621">
        <v>258</v>
      </c>
      <c r="D430" s="621">
        <v>532</v>
      </c>
      <c r="E430" s="621">
        <v>54</v>
      </c>
      <c r="F430" s="621">
        <v>48</v>
      </c>
      <c r="G430" s="621">
        <v>231</v>
      </c>
      <c r="H430" s="621">
        <v>145</v>
      </c>
      <c r="Q430" s="620"/>
      <c r="R430" s="620"/>
      <c r="S430" s="620"/>
      <c r="T430" s="620"/>
      <c r="U430" s="620"/>
      <c r="V430" s="620"/>
      <c r="W430" s="620"/>
    </row>
    <row r="431" spans="1:23" s="263" customFormat="1" ht="9" customHeight="1" x14ac:dyDescent="0.25">
      <c r="A431" s="550" t="s">
        <v>43</v>
      </c>
      <c r="B431" s="621">
        <v>532</v>
      </c>
      <c r="C431" s="621">
        <v>158</v>
      </c>
      <c r="D431" s="621">
        <v>299</v>
      </c>
      <c r="E431" s="621">
        <v>19</v>
      </c>
      <c r="F431" s="621">
        <v>22</v>
      </c>
      <c r="G431" s="621">
        <v>76</v>
      </c>
      <c r="H431" s="621">
        <v>52</v>
      </c>
      <c r="Q431" s="620"/>
      <c r="R431" s="620"/>
      <c r="S431" s="620"/>
      <c r="T431" s="620"/>
      <c r="U431" s="620"/>
      <c r="V431" s="620"/>
      <c r="W431" s="620"/>
    </row>
    <row r="432" spans="1:23" s="263" customFormat="1" ht="9" customHeight="1" x14ac:dyDescent="0.25">
      <c r="A432" s="550" t="s">
        <v>44</v>
      </c>
      <c r="B432" s="621">
        <v>249</v>
      </c>
      <c r="C432" s="621">
        <v>97</v>
      </c>
      <c r="D432" s="621">
        <v>175</v>
      </c>
      <c r="E432" s="621">
        <v>18</v>
      </c>
      <c r="F432" s="621">
        <v>22</v>
      </c>
      <c r="G432" s="621">
        <v>38</v>
      </c>
      <c r="H432" s="621">
        <v>26</v>
      </c>
      <c r="Q432" s="620"/>
      <c r="R432" s="620"/>
      <c r="S432" s="620"/>
      <c r="T432" s="620"/>
      <c r="U432" s="620"/>
      <c r="V432" s="620"/>
      <c r="W432" s="620"/>
    </row>
    <row r="433" spans="1:23" s="263" customFormat="1" ht="9" customHeight="1" x14ac:dyDescent="0.25">
      <c r="A433" s="603" t="s">
        <v>45</v>
      </c>
      <c r="B433" s="623">
        <v>716</v>
      </c>
      <c r="C433" s="623">
        <v>169</v>
      </c>
      <c r="D433" s="623">
        <v>164</v>
      </c>
      <c r="E433" s="623">
        <v>17</v>
      </c>
      <c r="F433" s="623">
        <v>19</v>
      </c>
      <c r="G433" s="623">
        <v>77</v>
      </c>
      <c r="H433" s="623">
        <v>48</v>
      </c>
      <c r="Q433" s="620"/>
      <c r="R433" s="620"/>
      <c r="S433" s="620"/>
      <c r="T433" s="620"/>
      <c r="U433" s="620"/>
      <c r="V433" s="620"/>
      <c r="W433" s="620"/>
    </row>
    <row r="434" spans="1:23" s="263" customFormat="1" ht="9" customHeight="1" x14ac:dyDescent="0.25">
      <c r="A434" s="550" t="s">
        <v>46</v>
      </c>
      <c r="B434" s="621">
        <v>724</v>
      </c>
      <c r="C434" s="621">
        <v>162</v>
      </c>
      <c r="D434" s="621">
        <v>189</v>
      </c>
      <c r="E434" s="621">
        <v>20</v>
      </c>
      <c r="F434" s="621">
        <v>30</v>
      </c>
      <c r="G434" s="621">
        <v>103</v>
      </c>
      <c r="H434" s="621">
        <v>57</v>
      </c>
      <c r="Q434" s="620"/>
      <c r="R434" s="620"/>
      <c r="S434" s="620"/>
      <c r="T434" s="620"/>
      <c r="U434" s="620"/>
      <c r="V434" s="620"/>
      <c r="W434" s="620"/>
    </row>
    <row r="435" spans="1:23" s="263" customFormat="1" ht="9" customHeight="1" x14ac:dyDescent="0.25">
      <c r="A435" s="550" t="s">
        <v>47</v>
      </c>
      <c r="B435" s="621">
        <v>572</v>
      </c>
      <c r="C435" s="621">
        <v>198</v>
      </c>
      <c r="D435" s="621">
        <v>177</v>
      </c>
      <c r="E435" s="621">
        <v>16</v>
      </c>
      <c r="F435" s="621">
        <v>26</v>
      </c>
      <c r="G435" s="621">
        <v>84</v>
      </c>
      <c r="H435" s="621">
        <v>57</v>
      </c>
      <c r="Q435" s="620"/>
      <c r="R435" s="620"/>
      <c r="S435" s="620"/>
      <c r="T435" s="620"/>
      <c r="U435" s="620"/>
      <c r="V435" s="620"/>
      <c r="W435" s="620"/>
    </row>
    <row r="436" spans="1:23" s="263" customFormat="1" ht="9" customHeight="1" x14ac:dyDescent="0.25">
      <c r="A436" s="550" t="s">
        <v>48</v>
      </c>
      <c r="B436" s="621">
        <v>422</v>
      </c>
      <c r="C436" s="621">
        <v>70</v>
      </c>
      <c r="D436" s="621">
        <v>213</v>
      </c>
      <c r="E436" s="621">
        <v>10</v>
      </c>
      <c r="F436" s="621">
        <v>26</v>
      </c>
      <c r="G436" s="621">
        <v>72</v>
      </c>
      <c r="H436" s="621">
        <v>48</v>
      </c>
      <c r="Q436" s="620"/>
      <c r="R436" s="620"/>
      <c r="S436" s="620"/>
      <c r="T436" s="620"/>
      <c r="U436" s="620"/>
      <c r="V436" s="620"/>
      <c r="W436" s="620"/>
    </row>
    <row r="437" spans="1:23" s="263" customFormat="1" ht="9" customHeight="1" x14ac:dyDescent="0.25">
      <c r="A437" s="603" t="s">
        <v>49</v>
      </c>
      <c r="B437" s="623">
        <v>747</v>
      </c>
      <c r="C437" s="623">
        <v>162</v>
      </c>
      <c r="D437" s="623">
        <v>243</v>
      </c>
      <c r="E437" s="623">
        <v>31</v>
      </c>
      <c r="F437" s="623">
        <v>31</v>
      </c>
      <c r="G437" s="623">
        <v>103</v>
      </c>
      <c r="H437" s="623">
        <v>53</v>
      </c>
      <c r="Q437" s="620"/>
      <c r="R437" s="620"/>
      <c r="S437" s="620"/>
      <c r="T437" s="620"/>
      <c r="U437" s="620"/>
      <c r="V437" s="620"/>
      <c r="W437" s="620"/>
    </row>
    <row r="438" spans="1:23" s="263" customFormat="1" ht="9" customHeight="1" x14ac:dyDescent="0.25">
      <c r="A438" s="550" t="s">
        <v>50</v>
      </c>
      <c r="B438" s="621">
        <v>313</v>
      </c>
      <c r="C438" s="621">
        <v>87</v>
      </c>
      <c r="D438" s="621">
        <v>121</v>
      </c>
      <c r="E438" s="621">
        <v>4</v>
      </c>
      <c r="F438" s="621">
        <v>4</v>
      </c>
      <c r="G438" s="621">
        <v>57</v>
      </c>
      <c r="H438" s="621">
        <v>51</v>
      </c>
      <c r="Q438" s="620"/>
      <c r="R438" s="620"/>
      <c r="S438" s="620"/>
      <c r="T438" s="620"/>
      <c r="U438" s="620"/>
      <c r="V438" s="620"/>
      <c r="W438" s="620"/>
    </row>
    <row r="439" spans="1:23" s="263" customFormat="1" ht="9" customHeight="1" x14ac:dyDescent="0.25">
      <c r="A439" s="550" t="s">
        <v>51</v>
      </c>
      <c r="B439" s="621">
        <v>1378</v>
      </c>
      <c r="C439" s="621">
        <v>288</v>
      </c>
      <c r="D439" s="621">
        <v>374</v>
      </c>
      <c r="E439" s="621">
        <v>27</v>
      </c>
      <c r="F439" s="621">
        <v>31</v>
      </c>
      <c r="G439" s="621">
        <v>202</v>
      </c>
      <c r="H439" s="621">
        <v>129</v>
      </c>
      <c r="Q439" s="620"/>
      <c r="R439" s="620"/>
      <c r="S439" s="620"/>
      <c r="T439" s="620"/>
      <c r="U439" s="620"/>
      <c r="V439" s="620"/>
      <c r="W439" s="620"/>
    </row>
    <row r="440" spans="1:23" s="263" customFormat="1" ht="9" customHeight="1" x14ac:dyDescent="0.25">
      <c r="A440" s="550" t="s">
        <v>52</v>
      </c>
      <c r="B440" s="621">
        <v>493</v>
      </c>
      <c r="C440" s="621">
        <v>161</v>
      </c>
      <c r="D440" s="621">
        <v>145</v>
      </c>
      <c r="E440" s="621">
        <v>13</v>
      </c>
      <c r="F440" s="621">
        <v>26</v>
      </c>
      <c r="G440" s="621">
        <v>61</v>
      </c>
      <c r="H440" s="621">
        <v>35</v>
      </c>
      <c r="Q440" s="620"/>
      <c r="R440" s="620"/>
      <c r="S440" s="620"/>
      <c r="T440" s="620"/>
      <c r="U440" s="620"/>
      <c r="V440" s="620"/>
      <c r="W440" s="620"/>
    </row>
    <row r="441" spans="1:23" s="263" customFormat="1" ht="9" customHeight="1" x14ac:dyDescent="0.25">
      <c r="A441" s="267" t="s">
        <v>53</v>
      </c>
      <c r="B441" s="618">
        <v>501</v>
      </c>
      <c r="C441" s="618">
        <v>96</v>
      </c>
      <c r="D441" s="618">
        <v>232</v>
      </c>
      <c r="E441" s="618">
        <v>17</v>
      </c>
      <c r="F441" s="618">
        <v>21</v>
      </c>
      <c r="G441" s="618">
        <v>60</v>
      </c>
      <c r="H441" s="618">
        <v>39</v>
      </c>
      <c r="Q441" s="620"/>
      <c r="R441" s="620"/>
      <c r="S441" s="620"/>
      <c r="T441" s="620"/>
      <c r="U441" s="620"/>
      <c r="V441" s="620"/>
      <c r="W441" s="620"/>
    </row>
    <row r="442" spans="1:23" s="263" customFormat="1" ht="9" customHeight="1" x14ac:dyDescent="0.25">
      <c r="A442" s="286"/>
      <c r="B442" s="619"/>
      <c r="C442" s="619"/>
      <c r="D442" s="619"/>
      <c r="E442" s="619"/>
      <c r="F442" s="619"/>
      <c r="G442" s="619"/>
      <c r="H442" s="619"/>
      <c r="Q442" s="620"/>
      <c r="R442" s="620"/>
      <c r="S442" s="620"/>
      <c r="T442" s="620"/>
      <c r="U442" s="620"/>
      <c r="V442" s="620"/>
      <c r="W442" s="620"/>
    </row>
    <row r="443" spans="1:23" s="263" customFormat="1" ht="9" customHeight="1" x14ac:dyDescent="0.25">
      <c r="A443" s="261">
        <v>2007</v>
      </c>
      <c r="B443" s="262"/>
      <c r="C443" s="262"/>
      <c r="D443" s="262"/>
      <c r="E443" s="262"/>
      <c r="F443" s="262"/>
      <c r="G443" s="262"/>
      <c r="H443" s="262"/>
      <c r="Q443" s="620"/>
      <c r="R443" s="620"/>
      <c r="S443" s="620"/>
      <c r="T443" s="620"/>
      <c r="U443" s="620"/>
      <c r="V443" s="620"/>
      <c r="W443" s="620"/>
    </row>
    <row r="444" spans="1:23" s="265" customFormat="1" ht="9" customHeight="1" x14ac:dyDescent="0.25">
      <c r="A444" s="265" t="s">
        <v>21</v>
      </c>
      <c r="B444" s="615">
        <f t="shared" ref="B444:G444" si="12">SUM(B446:B477)</f>
        <v>34634</v>
      </c>
      <c r="C444" s="615">
        <f t="shared" si="12"/>
        <v>8004</v>
      </c>
      <c r="D444" s="615">
        <f t="shared" si="12"/>
        <v>12956</v>
      </c>
      <c r="E444" s="615">
        <f t="shared" si="12"/>
        <v>913</v>
      </c>
      <c r="F444" s="615">
        <f t="shared" si="12"/>
        <v>1214</v>
      </c>
      <c r="G444" s="615">
        <f t="shared" si="12"/>
        <v>4674</v>
      </c>
      <c r="H444" s="615">
        <f>SUM(H446:H477)</f>
        <v>2910</v>
      </c>
      <c r="Q444" s="620"/>
      <c r="R444" s="620"/>
      <c r="S444" s="620"/>
      <c r="T444" s="620"/>
      <c r="U444" s="620"/>
      <c r="V444" s="620"/>
      <c r="W444" s="620"/>
    </row>
    <row r="445" spans="1:23" s="265" customFormat="1" ht="3.95" customHeight="1" x14ac:dyDescent="0.25">
      <c r="B445" s="615"/>
      <c r="C445" s="615"/>
      <c r="D445" s="615"/>
      <c r="E445" s="615"/>
      <c r="F445" s="615"/>
      <c r="G445" s="615"/>
      <c r="H445" s="615"/>
      <c r="Q445" s="620"/>
      <c r="R445" s="620"/>
      <c r="S445" s="620"/>
      <c r="T445" s="620"/>
      <c r="U445" s="620"/>
      <c r="V445" s="620"/>
      <c r="W445" s="620"/>
    </row>
    <row r="446" spans="1:23" s="263" customFormat="1" ht="9" customHeight="1" x14ac:dyDescent="0.25">
      <c r="A446" s="550" t="s">
        <v>23</v>
      </c>
      <c r="B446" s="621">
        <v>387</v>
      </c>
      <c r="C446" s="621">
        <v>135</v>
      </c>
      <c r="D446" s="621">
        <v>91</v>
      </c>
      <c r="E446" s="621">
        <v>12</v>
      </c>
      <c r="F446" s="621">
        <v>14</v>
      </c>
      <c r="G446" s="621">
        <v>52</v>
      </c>
      <c r="H446" s="621">
        <v>16</v>
      </c>
      <c r="Q446" s="620"/>
      <c r="R446" s="620"/>
      <c r="S446" s="620"/>
      <c r="T446" s="620"/>
      <c r="U446" s="620"/>
      <c r="V446" s="620"/>
      <c r="W446" s="620"/>
    </row>
    <row r="447" spans="1:23" s="263" customFormat="1" ht="9" customHeight="1" x14ac:dyDescent="0.25">
      <c r="A447" s="550" t="s">
        <v>24</v>
      </c>
      <c r="B447" s="622">
        <v>1101</v>
      </c>
      <c r="C447" s="622">
        <v>193</v>
      </c>
      <c r="D447" s="622">
        <v>358</v>
      </c>
      <c r="E447" s="622">
        <v>17</v>
      </c>
      <c r="F447" s="622">
        <v>22</v>
      </c>
      <c r="G447" s="622">
        <v>187</v>
      </c>
      <c r="H447" s="622">
        <v>120</v>
      </c>
      <c r="Q447" s="620"/>
      <c r="R447" s="620"/>
      <c r="S447" s="620"/>
      <c r="T447" s="620"/>
      <c r="U447" s="620"/>
      <c r="V447" s="620"/>
      <c r="W447" s="620"/>
    </row>
    <row r="448" spans="1:23" s="263" customFormat="1" ht="9" customHeight="1" x14ac:dyDescent="0.25">
      <c r="A448" s="550" t="s">
        <v>25</v>
      </c>
      <c r="B448" s="621">
        <v>90</v>
      </c>
      <c r="C448" s="621">
        <v>29</v>
      </c>
      <c r="D448" s="621">
        <v>74</v>
      </c>
      <c r="E448" s="621">
        <v>5</v>
      </c>
      <c r="F448" s="621">
        <v>8</v>
      </c>
      <c r="G448" s="621">
        <v>19</v>
      </c>
      <c r="H448" s="621">
        <v>11</v>
      </c>
      <c r="Q448" s="620"/>
      <c r="R448" s="620"/>
      <c r="S448" s="620"/>
      <c r="T448" s="620"/>
      <c r="U448" s="620"/>
      <c r="V448" s="620"/>
      <c r="W448" s="620"/>
    </row>
    <row r="449" spans="1:23" s="263" customFormat="1" ht="9" customHeight="1" x14ac:dyDescent="0.25">
      <c r="A449" s="603" t="s">
        <v>26</v>
      </c>
      <c r="B449" s="623">
        <v>85</v>
      </c>
      <c r="C449" s="623">
        <v>4</v>
      </c>
      <c r="D449" s="623">
        <v>156</v>
      </c>
      <c r="E449" s="623">
        <v>3</v>
      </c>
      <c r="F449" s="623">
        <v>4</v>
      </c>
      <c r="G449" s="623">
        <v>9</v>
      </c>
      <c r="H449" s="623">
        <v>9</v>
      </c>
      <c r="Q449" s="620"/>
      <c r="R449" s="620"/>
      <c r="S449" s="620"/>
      <c r="T449" s="620"/>
      <c r="U449" s="620"/>
      <c r="V449" s="620"/>
      <c r="W449" s="620"/>
    </row>
    <row r="450" spans="1:23" s="263" customFormat="1" ht="9" customHeight="1" x14ac:dyDescent="0.25">
      <c r="A450" s="550" t="s">
        <v>27</v>
      </c>
      <c r="B450" s="621">
        <v>533</v>
      </c>
      <c r="C450" s="621">
        <v>194</v>
      </c>
      <c r="D450" s="621">
        <v>422</v>
      </c>
      <c r="E450" s="621">
        <v>19</v>
      </c>
      <c r="F450" s="621">
        <v>27</v>
      </c>
      <c r="G450" s="621">
        <v>68</v>
      </c>
      <c r="H450" s="621">
        <v>27</v>
      </c>
      <c r="Q450" s="620"/>
      <c r="R450" s="620"/>
      <c r="S450" s="620"/>
      <c r="T450" s="620"/>
      <c r="U450" s="620"/>
      <c r="V450" s="620"/>
      <c r="W450" s="620"/>
    </row>
    <row r="451" spans="1:23" s="263" customFormat="1" ht="9" customHeight="1" x14ac:dyDescent="0.25">
      <c r="A451" s="550" t="s">
        <v>28</v>
      </c>
      <c r="B451" s="621">
        <v>128</v>
      </c>
      <c r="C451" s="621">
        <v>9</v>
      </c>
      <c r="D451" s="621">
        <v>54</v>
      </c>
      <c r="E451" s="621">
        <v>8</v>
      </c>
      <c r="F451" s="621">
        <v>9</v>
      </c>
      <c r="G451" s="621">
        <v>19</v>
      </c>
      <c r="H451" s="621">
        <v>9</v>
      </c>
      <c r="Q451" s="620"/>
      <c r="R451" s="620"/>
      <c r="S451" s="620"/>
      <c r="T451" s="620"/>
      <c r="U451" s="620"/>
      <c r="V451" s="620"/>
      <c r="W451" s="620"/>
    </row>
    <row r="452" spans="1:23" s="263" customFormat="1" ht="9" customHeight="1" x14ac:dyDescent="0.25">
      <c r="A452" s="550" t="s">
        <v>29</v>
      </c>
      <c r="B452" s="621">
        <v>667</v>
      </c>
      <c r="C452" s="621">
        <v>133</v>
      </c>
      <c r="D452" s="621">
        <v>184</v>
      </c>
      <c r="E452" s="621">
        <v>14</v>
      </c>
      <c r="F452" s="621">
        <v>16</v>
      </c>
      <c r="G452" s="621">
        <v>95</v>
      </c>
      <c r="H452" s="621">
        <v>52</v>
      </c>
      <c r="Q452" s="620"/>
      <c r="R452" s="620"/>
      <c r="S452" s="620"/>
      <c r="T452" s="620"/>
      <c r="U452" s="620"/>
      <c r="V452" s="620"/>
      <c r="W452" s="620"/>
    </row>
    <row r="453" spans="1:23" s="263" customFormat="1" ht="9" customHeight="1" x14ac:dyDescent="0.25">
      <c r="A453" s="603" t="s">
        <v>30</v>
      </c>
      <c r="B453" s="623">
        <v>1351</v>
      </c>
      <c r="C453" s="623">
        <v>343</v>
      </c>
      <c r="D453" s="623">
        <v>540</v>
      </c>
      <c r="E453" s="623">
        <v>33</v>
      </c>
      <c r="F453" s="623">
        <v>58</v>
      </c>
      <c r="G453" s="623">
        <v>137</v>
      </c>
      <c r="H453" s="623">
        <v>99</v>
      </c>
      <c r="Q453" s="620"/>
      <c r="R453" s="620"/>
      <c r="S453" s="620"/>
      <c r="T453" s="620"/>
      <c r="U453" s="620"/>
      <c r="V453" s="620"/>
      <c r="W453" s="620"/>
    </row>
    <row r="454" spans="1:23" s="263" customFormat="1" ht="9" customHeight="1" x14ac:dyDescent="0.25">
      <c r="A454" s="550" t="s">
        <v>63</v>
      </c>
      <c r="B454" s="621">
        <v>5081</v>
      </c>
      <c r="C454" s="621">
        <v>1312</v>
      </c>
      <c r="D454" s="621">
        <v>2023</v>
      </c>
      <c r="E454" s="621">
        <v>77</v>
      </c>
      <c r="F454" s="621">
        <v>121</v>
      </c>
      <c r="G454" s="621">
        <v>571</v>
      </c>
      <c r="H454" s="621">
        <v>281</v>
      </c>
      <c r="Q454" s="620"/>
      <c r="R454" s="620"/>
      <c r="S454" s="620"/>
      <c r="T454" s="620"/>
      <c r="U454" s="620"/>
      <c r="V454" s="620"/>
      <c r="W454" s="620"/>
    </row>
    <row r="455" spans="1:23" s="263" customFormat="1" ht="9" customHeight="1" x14ac:dyDescent="0.25">
      <c r="A455" s="550" t="s">
        <v>31</v>
      </c>
      <c r="B455" s="621">
        <v>349</v>
      </c>
      <c r="C455" s="621">
        <v>38</v>
      </c>
      <c r="D455" s="621">
        <v>67</v>
      </c>
      <c r="E455" s="621">
        <v>14</v>
      </c>
      <c r="F455" s="621">
        <v>18</v>
      </c>
      <c r="G455" s="621">
        <v>61</v>
      </c>
      <c r="H455" s="621">
        <v>31</v>
      </c>
      <c r="Q455" s="620"/>
      <c r="R455" s="620"/>
      <c r="S455" s="620"/>
      <c r="T455" s="620"/>
      <c r="U455" s="620"/>
      <c r="V455" s="620"/>
      <c r="W455" s="620"/>
    </row>
    <row r="456" spans="1:23" s="263" customFormat="1" ht="9" customHeight="1" x14ac:dyDescent="0.25">
      <c r="A456" s="550" t="s">
        <v>32</v>
      </c>
      <c r="B456" s="621">
        <v>2371</v>
      </c>
      <c r="C456" s="621">
        <v>664</v>
      </c>
      <c r="D456" s="621">
        <v>1133</v>
      </c>
      <c r="E456" s="621">
        <v>61</v>
      </c>
      <c r="F456" s="621">
        <v>110</v>
      </c>
      <c r="G456" s="621">
        <v>326</v>
      </c>
      <c r="H456" s="621">
        <v>211</v>
      </c>
      <c r="Q456" s="620"/>
      <c r="R456" s="620"/>
      <c r="S456" s="620"/>
      <c r="T456" s="620"/>
      <c r="U456" s="620"/>
      <c r="V456" s="620"/>
      <c r="W456" s="620"/>
    </row>
    <row r="457" spans="1:23" s="263" customFormat="1" ht="9" customHeight="1" x14ac:dyDescent="0.25">
      <c r="A457" s="603" t="s">
        <v>33</v>
      </c>
      <c r="B457" s="623">
        <v>786</v>
      </c>
      <c r="C457" s="623">
        <v>154</v>
      </c>
      <c r="D457" s="623">
        <v>348</v>
      </c>
      <c r="E457" s="623">
        <v>24</v>
      </c>
      <c r="F457" s="623">
        <v>23</v>
      </c>
      <c r="G457" s="623">
        <v>116</v>
      </c>
      <c r="H457" s="623">
        <v>81</v>
      </c>
      <c r="Q457" s="620"/>
      <c r="R457" s="620"/>
      <c r="S457" s="620"/>
      <c r="T457" s="620"/>
      <c r="U457" s="620"/>
      <c r="V457" s="620"/>
      <c r="W457" s="620"/>
    </row>
    <row r="458" spans="1:23" s="263" customFormat="1" ht="9" customHeight="1" x14ac:dyDescent="0.25">
      <c r="A458" s="550" t="s">
        <v>34</v>
      </c>
      <c r="B458" s="621">
        <v>639</v>
      </c>
      <c r="C458" s="621">
        <v>93</v>
      </c>
      <c r="D458" s="621">
        <v>230</v>
      </c>
      <c r="E458" s="621">
        <v>13</v>
      </c>
      <c r="F458" s="621">
        <v>24</v>
      </c>
      <c r="G458" s="621">
        <v>102</v>
      </c>
      <c r="H458" s="621">
        <v>76</v>
      </c>
      <c r="Q458" s="620"/>
      <c r="R458" s="620"/>
      <c r="S458" s="620"/>
      <c r="T458" s="620"/>
      <c r="U458" s="620"/>
      <c r="V458" s="620"/>
      <c r="W458" s="620"/>
    </row>
    <row r="459" spans="1:23" s="263" customFormat="1" ht="9" customHeight="1" x14ac:dyDescent="0.25">
      <c r="A459" s="550" t="s">
        <v>35</v>
      </c>
      <c r="B459" s="621">
        <v>3060</v>
      </c>
      <c r="C459" s="621">
        <v>590</v>
      </c>
      <c r="D459" s="621">
        <v>679</v>
      </c>
      <c r="E459" s="621">
        <v>82</v>
      </c>
      <c r="F459" s="621">
        <v>119</v>
      </c>
      <c r="G459" s="621">
        <v>368</v>
      </c>
      <c r="H459" s="621">
        <v>181</v>
      </c>
      <c r="Q459" s="620"/>
      <c r="R459" s="620"/>
      <c r="S459" s="620"/>
      <c r="T459" s="620"/>
      <c r="U459" s="620"/>
      <c r="V459" s="620"/>
      <c r="W459" s="620"/>
    </row>
    <row r="460" spans="1:23" s="263" customFormat="1" ht="9" customHeight="1" x14ac:dyDescent="0.25">
      <c r="A460" s="550" t="s">
        <v>36</v>
      </c>
      <c r="B460" s="621">
        <v>4033</v>
      </c>
      <c r="C460" s="621">
        <v>769</v>
      </c>
      <c r="D460" s="621">
        <v>1950</v>
      </c>
      <c r="E460" s="621">
        <v>111</v>
      </c>
      <c r="F460" s="621">
        <v>121</v>
      </c>
      <c r="G460" s="621">
        <v>652</v>
      </c>
      <c r="H460" s="621">
        <v>522</v>
      </c>
      <c r="Q460" s="620"/>
      <c r="R460" s="620"/>
      <c r="S460" s="620"/>
      <c r="T460" s="620"/>
      <c r="U460" s="620"/>
      <c r="V460" s="620"/>
      <c r="W460" s="620"/>
    </row>
    <row r="461" spans="1:23" s="263" customFormat="1" ht="9" customHeight="1" x14ac:dyDescent="0.25">
      <c r="A461" s="603" t="s">
        <v>37</v>
      </c>
      <c r="B461" s="623">
        <v>2047</v>
      </c>
      <c r="C461" s="623">
        <v>266</v>
      </c>
      <c r="D461" s="623">
        <v>649</v>
      </c>
      <c r="E461" s="623">
        <v>55</v>
      </c>
      <c r="F461" s="623">
        <v>79</v>
      </c>
      <c r="G461" s="623">
        <v>257</v>
      </c>
      <c r="H461" s="623">
        <v>186</v>
      </c>
      <c r="Q461" s="620"/>
      <c r="R461" s="620"/>
      <c r="S461" s="620"/>
      <c r="T461" s="620"/>
      <c r="U461" s="620"/>
      <c r="V461" s="620"/>
      <c r="W461" s="620"/>
    </row>
    <row r="462" spans="1:23" s="263" customFormat="1" ht="9" customHeight="1" x14ac:dyDescent="0.25">
      <c r="A462" s="550" t="s">
        <v>38</v>
      </c>
      <c r="B462" s="621">
        <v>474</v>
      </c>
      <c r="C462" s="621">
        <v>156</v>
      </c>
      <c r="D462" s="621">
        <v>163</v>
      </c>
      <c r="E462" s="621">
        <v>15</v>
      </c>
      <c r="F462" s="621">
        <v>12</v>
      </c>
      <c r="G462" s="621">
        <v>93</v>
      </c>
      <c r="H462" s="621">
        <v>64</v>
      </c>
      <c r="Q462" s="620"/>
      <c r="R462" s="620"/>
      <c r="S462" s="620"/>
      <c r="T462" s="620"/>
      <c r="U462" s="620"/>
      <c r="V462" s="620"/>
      <c r="W462" s="620"/>
    </row>
    <row r="463" spans="1:23" s="263" customFormat="1" ht="9" customHeight="1" x14ac:dyDescent="0.25">
      <c r="A463" s="550" t="s">
        <v>39</v>
      </c>
      <c r="B463" s="621">
        <v>164</v>
      </c>
      <c r="C463" s="621">
        <v>13</v>
      </c>
      <c r="D463" s="621">
        <v>36</v>
      </c>
      <c r="E463" s="621">
        <v>10</v>
      </c>
      <c r="F463" s="621">
        <v>9</v>
      </c>
      <c r="G463" s="621">
        <v>23</v>
      </c>
      <c r="H463" s="621">
        <v>11</v>
      </c>
      <c r="Q463" s="620"/>
      <c r="R463" s="620"/>
      <c r="S463" s="620"/>
      <c r="T463" s="620"/>
      <c r="U463" s="620"/>
      <c r="V463" s="620"/>
      <c r="W463" s="620"/>
    </row>
    <row r="464" spans="1:23" s="263" customFormat="1" ht="9" customHeight="1" x14ac:dyDescent="0.25">
      <c r="A464" s="550" t="s">
        <v>40</v>
      </c>
      <c r="B464" s="621">
        <v>1572</v>
      </c>
      <c r="C464" s="621">
        <v>616</v>
      </c>
      <c r="D464" s="621">
        <v>448</v>
      </c>
      <c r="E464" s="621">
        <v>46</v>
      </c>
      <c r="F464" s="621">
        <v>84</v>
      </c>
      <c r="G464" s="621">
        <v>169</v>
      </c>
      <c r="H464" s="621">
        <v>74</v>
      </c>
      <c r="Q464" s="620"/>
      <c r="R464" s="620"/>
      <c r="S464" s="620"/>
      <c r="T464" s="620"/>
      <c r="U464" s="620"/>
      <c r="V464" s="620"/>
      <c r="W464" s="620"/>
    </row>
    <row r="465" spans="1:23" s="263" customFormat="1" ht="9" customHeight="1" x14ac:dyDescent="0.25">
      <c r="A465" s="603" t="s">
        <v>41</v>
      </c>
      <c r="B465" s="623">
        <v>712</v>
      </c>
      <c r="C465" s="623">
        <v>60</v>
      </c>
      <c r="D465" s="623">
        <v>361</v>
      </c>
      <c r="E465" s="623">
        <v>29</v>
      </c>
      <c r="F465" s="623">
        <v>22</v>
      </c>
      <c r="G465" s="623">
        <v>116</v>
      </c>
      <c r="H465" s="623">
        <v>81</v>
      </c>
      <c r="Q465" s="620"/>
      <c r="R465" s="620"/>
      <c r="S465" s="620"/>
      <c r="T465" s="620"/>
      <c r="U465" s="620"/>
      <c r="V465" s="620"/>
      <c r="W465" s="620"/>
    </row>
    <row r="466" spans="1:23" s="263" customFormat="1" ht="9" customHeight="1" x14ac:dyDescent="0.25">
      <c r="A466" s="550" t="s">
        <v>42</v>
      </c>
      <c r="B466" s="621">
        <v>2192</v>
      </c>
      <c r="C466" s="621">
        <v>362</v>
      </c>
      <c r="D466" s="621">
        <v>547</v>
      </c>
      <c r="E466" s="621">
        <v>47</v>
      </c>
      <c r="F466" s="621">
        <v>40</v>
      </c>
      <c r="G466" s="621">
        <v>248</v>
      </c>
      <c r="H466" s="621">
        <v>146</v>
      </c>
      <c r="Q466" s="620"/>
      <c r="R466" s="620"/>
      <c r="S466" s="620"/>
      <c r="T466" s="620"/>
      <c r="U466" s="620"/>
      <c r="V466" s="620"/>
      <c r="W466" s="620"/>
    </row>
    <row r="467" spans="1:23" s="263" customFormat="1" ht="9" customHeight="1" x14ac:dyDescent="0.25">
      <c r="A467" s="550" t="s">
        <v>43</v>
      </c>
      <c r="B467" s="621">
        <v>579</v>
      </c>
      <c r="C467" s="621">
        <v>199</v>
      </c>
      <c r="D467" s="621">
        <v>332</v>
      </c>
      <c r="E467" s="621">
        <v>16</v>
      </c>
      <c r="F467" s="621">
        <v>22</v>
      </c>
      <c r="G467" s="621">
        <v>88</v>
      </c>
      <c r="H467" s="621">
        <v>52</v>
      </c>
      <c r="Q467" s="620"/>
      <c r="R467" s="620"/>
      <c r="S467" s="620"/>
      <c r="T467" s="620"/>
      <c r="U467" s="620"/>
      <c r="V467" s="620"/>
      <c r="W467" s="620"/>
    </row>
    <row r="468" spans="1:23" s="263" customFormat="1" ht="9" customHeight="1" x14ac:dyDescent="0.25">
      <c r="A468" s="550" t="s">
        <v>44</v>
      </c>
      <c r="B468" s="621">
        <v>249</v>
      </c>
      <c r="C468" s="621">
        <v>103</v>
      </c>
      <c r="D468" s="621">
        <v>174</v>
      </c>
      <c r="E468" s="621">
        <v>20</v>
      </c>
      <c r="F468" s="621">
        <v>21</v>
      </c>
      <c r="G468" s="621">
        <v>38</v>
      </c>
      <c r="H468" s="621">
        <v>23</v>
      </c>
      <c r="Q468" s="620"/>
      <c r="R468" s="620"/>
      <c r="S468" s="620"/>
      <c r="T468" s="620"/>
      <c r="U468" s="620"/>
      <c r="V468" s="620"/>
      <c r="W468" s="620"/>
    </row>
    <row r="469" spans="1:23" s="263" customFormat="1" ht="9" customHeight="1" x14ac:dyDescent="0.25">
      <c r="A469" s="603" t="s">
        <v>45</v>
      </c>
      <c r="B469" s="623">
        <v>672</v>
      </c>
      <c r="C469" s="623">
        <v>193</v>
      </c>
      <c r="D469" s="623">
        <v>199</v>
      </c>
      <c r="E469" s="623">
        <v>25</v>
      </c>
      <c r="F469" s="623">
        <v>20</v>
      </c>
      <c r="G469" s="623">
        <v>82</v>
      </c>
      <c r="H469" s="623">
        <v>49</v>
      </c>
      <c r="Q469" s="620"/>
      <c r="R469" s="620"/>
      <c r="S469" s="620"/>
      <c r="T469" s="620"/>
      <c r="U469" s="620"/>
      <c r="V469" s="620"/>
      <c r="W469" s="620"/>
    </row>
    <row r="470" spans="1:23" s="263" customFormat="1" ht="9" customHeight="1" x14ac:dyDescent="0.25">
      <c r="A470" s="550" t="s">
        <v>46</v>
      </c>
      <c r="B470" s="621">
        <v>696</v>
      </c>
      <c r="C470" s="621">
        <v>178</v>
      </c>
      <c r="D470" s="621">
        <v>184</v>
      </c>
      <c r="E470" s="621">
        <v>21</v>
      </c>
      <c r="F470" s="621">
        <v>30</v>
      </c>
      <c r="G470" s="621">
        <v>109</v>
      </c>
      <c r="H470" s="621">
        <v>54</v>
      </c>
      <c r="Q470" s="620"/>
      <c r="R470" s="620"/>
      <c r="S470" s="620"/>
      <c r="T470" s="620"/>
      <c r="U470" s="620"/>
      <c r="V470" s="620"/>
      <c r="W470" s="620"/>
    </row>
    <row r="471" spans="1:23" s="263" customFormat="1" ht="9" customHeight="1" x14ac:dyDescent="0.25">
      <c r="A471" s="550" t="s">
        <v>47</v>
      </c>
      <c r="B471" s="621">
        <v>613</v>
      </c>
      <c r="C471" s="621">
        <v>199</v>
      </c>
      <c r="D471" s="621">
        <v>197</v>
      </c>
      <c r="E471" s="621">
        <v>22</v>
      </c>
      <c r="F471" s="621">
        <v>31</v>
      </c>
      <c r="G471" s="621">
        <v>90</v>
      </c>
      <c r="H471" s="621">
        <v>62</v>
      </c>
      <c r="Q471" s="620"/>
      <c r="R471" s="620"/>
      <c r="S471" s="620"/>
      <c r="T471" s="620"/>
      <c r="U471" s="620"/>
      <c r="V471" s="620"/>
      <c r="W471" s="620"/>
    </row>
    <row r="472" spans="1:23" s="263" customFormat="1" ht="9" customHeight="1" x14ac:dyDescent="0.25">
      <c r="A472" s="550" t="s">
        <v>48</v>
      </c>
      <c r="B472" s="621">
        <v>442</v>
      </c>
      <c r="C472" s="621">
        <v>99</v>
      </c>
      <c r="D472" s="621">
        <v>209</v>
      </c>
      <c r="E472" s="621">
        <v>13</v>
      </c>
      <c r="F472" s="621">
        <v>22</v>
      </c>
      <c r="G472" s="621">
        <v>71</v>
      </c>
      <c r="H472" s="621">
        <v>47</v>
      </c>
      <c r="Q472" s="620"/>
      <c r="R472" s="620"/>
      <c r="S472" s="620"/>
      <c r="T472" s="620"/>
      <c r="U472" s="620"/>
      <c r="V472" s="620"/>
      <c r="W472" s="620"/>
    </row>
    <row r="473" spans="1:23" s="263" customFormat="1" ht="9" customHeight="1" x14ac:dyDescent="0.25">
      <c r="A473" s="603" t="s">
        <v>49</v>
      </c>
      <c r="B473" s="623">
        <v>746</v>
      </c>
      <c r="C473" s="623">
        <v>180</v>
      </c>
      <c r="D473" s="623">
        <v>240</v>
      </c>
      <c r="E473" s="623">
        <v>27</v>
      </c>
      <c r="F473" s="623">
        <v>34</v>
      </c>
      <c r="G473" s="623">
        <v>102</v>
      </c>
      <c r="H473" s="623">
        <v>58</v>
      </c>
      <c r="Q473" s="620"/>
      <c r="R473" s="620"/>
      <c r="S473" s="620"/>
      <c r="T473" s="620"/>
      <c r="U473" s="620"/>
      <c r="V473" s="620"/>
      <c r="W473" s="620"/>
    </row>
    <row r="474" spans="1:23" s="263" customFormat="1" ht="9" customHeight="1" x14ac:dyDescent="0.25">
      <c r="A474" s="550" t="s">
        <v>50</v>
      </c>
      <c r="B474" s="621">
        <v>337</v>
      </c>
      <c r="C474" s="621">
        <v>83</v>
      </c>
      <c r="D474" s="621">
        <v>132</v>
      </c>
      <c r="E474" s="621">
        <v>6</v>
      </c>
      <c r="F474" s="621">
        <v>6</v>
      </c>
      <c r="G474" s="621">
        <v>61</v>
      </c>
      <c r="H474" s="621">
        <v>56</v>
      </c>
      <c r="Q474" s="620"/>
      <c r="R474" s="620"/>
      <c r="S474" s="620"/>
      <c r="T474" s="620"/>
      <c r="U474" s="620"/>
      <c r="V474" s="620"/>
      <c r="W474" s="620"/>
    </row>
    <row r="475" spans="1:23" s="263" customFormat="1" ht="9" customHeight="1" x14ac:dyDescent="0.25">
      <c r="A475" s="550" t="s">
        <v>51</v>
      </c>
      <c r="B475" s="621">
        <v>1513</v>
      </c>
      <c r="C475" s="621">
        <v>380</v>
      </c>
      <c r="D475" s="621">
        <v>423</v>
      </c>
      <c r="E475" s="621">
        <v>36</v>
      </c>
      <c r="F475" s="621">
        <v>41</v>
      </c>
      <c r="G475" s="621">
        <v>231</v>
      </c>
      <c r="H475" s="621">
        <v>149</v>
      </c>
      <c r="Q475" s="620"/>
      <c r="R475" s="620"/>
      <c r="S475" s="620"/>
      <c r="T475" s="620"/>
      <c r="U475" s="620"/>
      <c r="V475" s="620"/>
      <c r="W475" s="620"/>
    </row>
    <row r="476" spans="1:23" s="263" customFormat="1" ht="9" customHeight="1" x14ac:dyDescent="0.25">
      <c r="A476" s="550" t="s">
        <v>52</v>
      </c>
      <c r="B476" s="621">
        <v>471</v>
      </c>
      <c r="C476" s="621">
        <v>165</v>
      </c>
      <c r="D476" s="621">
        <v>124</v>
      </c>
      <c r="E476" s="621">
        <v>14</v>
      </c>
      <c r="F476" s="621">
        <v>28</v>
      </c>
      <c r="G476" s="621">
        <v>56</v>
      </c>
      <c r="H476" s="621">
        <v>34</v>
      </c>
      <c r="Q476" s="620"/>
      <c r="R476" s="620"/>
      <c r="S476" s="620"/>
      <c r="T476" s="620"/>
      <c r="U476" s="620"/>
      <c r="V476" s="620"/>
      <c r="W476" s="620"/>
    </row>
    <row r="477" spans="1:23" s="263" customFormat="1" ht="9" customHeight="1" x14ac:dyDescent="0.25">
      <c r="A477" s="267" t="s">
        <v>53</v>
      </c>
      <c r="B477" s="618">
        <v>494</v>
      </c>
      <c r="C477" s="618">
        <v>92</v>
      </c>
      <c r="D477" s="618">
        <v>229</v>
      </c>
      <c r="E477" s="618">
        <v>18</v>
      </c>
      <c r="F477" s="618">
        <v>19</v>
      </c>
      <c r="G477" s="618">
        <v>58</v>
      </c>
      <c r="H477" s="618">
        <v>38</v>
      </c>
      <c r="Q477" s="620"/>
      <c r="R477" s="620"/>
      <c r="S477" s="620"/>
      <c r="T477" s="620"/>
      <c r="U477" s="620"/>
      <c r="V477" s="620"/>
      <c r="W477" s="620"/>
    </row>
    <row r="478" spans="1:23" s="263" customFormat="1" ht="9" customHeight="1" x14ac:dyDescent="0.25">
      <c r="A478" s="286"/>
      <c r="B478" s="619"/>
      <c r="C478" s="619"/>
      <c r="D478" s="619"/>
      <c r="E478" s="619"/>
      <c r="F478" s="619"/>
      <c r="G478" s="619"/>
      <c r="H478" s="619"/>
      <c r="Q478" s="620"/>
      <c r="R478" s="620"/>
      <c r="S478" s="620"/>
      <c r="T478" s="620"/>
      <c r="U478" s="620"/>
      <c r="V478" s="620"/>
      <c r="W478" s="620"/>
    </row>
    <row r="479" spans="1:23" s="263" customFormat="1" ht="9" customHeight="1" x14ac:dyDescent="0.25">
      <c r="A479" s="261">
        <v>2008</v>
      </c>
      <c r="B479" s="262"/>
      <c r="C479" s="262"/>
      <c r="D479" s="262"/>
      <c r="E479" s="262"/>
      <c r="F479" s="262"/>
      <c r="G479" s="262"/>
      <c r="H479" s="262"/>
      <c r="Q479" s="620"/>
      <c r="R479" s="620"/>
      <c r="S479" s="620"/>
      <c r="T479" s="620"/>
      <c r="U479" s="620"/>
      <c r="V479" s="620"/>
      <c r="W479" s="620"/>
    </row>
    <row r="480" spans="1:23" s="265" customFormat="1" ht="9" customHeight="1" x14ac:dyDescent="0.25">
      <c r="A480" s="265" t="s">
        <v>21</v>
      </c>
      <c r="B480" s="615">
        <f t="shared" ref="B480:G480" si="13">SUM(B482:B513)</f>
        <v>34846</v>
      </c>
      <c r="C480" s="615">
        <f t="shared" si="13"/>
        <v>8258</v>
      </c>
      <c r="D480" s="615">
        <f t="shared" si="13"/>
        <v>13296</v>
      </c>
      <c r="E480" s="615">
        <f t="shared" si="13"/>
        <v>917</v>
      </c>
      <c r="F480" s="615">
        <f t="shared" si="13"/>
        <v>1220</v>
      </c>
      <c r="G480" s="615">
        <f t="shared" si="13"/>
        <v>4690</v>
      </c>
      <c r="H480" s="615">
        <f>SUM(H482:H513)</f>
        <v>2861</v>
      </c>
      <c r="Q480" s="620"/>
      <c r="R480" s="620"/>
      <c r="S480" s="620"/>
      <c r="T480" s="620"/>
      <c r="U480" s="620"/>
      <c r="V480" s="620"/>
      <c r="W480" s="620"/>
    </row>
    <row r="481" spans="1:23" s="265" customFormat="1" ht="3.95" customHeight="1" x14ac:dyDescent="0.25">
      <c r="B481" s="615"/>
      <c r="C481" s="615"/>
      <c r="D481" s="615"/>
      <c r="E481" s="615"/>
      <c r="F481" s="615"/>
      <c r="G481" s="615"/>
      <c r="H481" s="615"/>
      <c r="Q481" s="620"/>
      <c r="R481" s="620"/>
      <c r="S481" s="620"/>
      <c r="T481" s="620"/>
      <c r="U481" s="620"/>
      <c r="V481" s="620"/>
      <c r="W481" s="620"/>
    </row>
    <row r="482" spans="1:23" s="263" customFormat="1" ht="9" customHeight="1" x14ac:dyDescent="0.25">
      <c r="A482" s="550" t="s">
        <v>23</v>
      </c>
      <c r="B482" s="621">
        <v>373</v>
      </c>
      <c r="C482" s="621">
        <v>130</v>
      </c>
      <c r="D482" s="621">
        <v>94</v>
      </c>
      <c r="E482" s="621">
        <v>12</v>
      </c>
      <c r="F482" s="621">
        <v>14</v>
      </c>
      <c r="G482" s="621">
        <v>52</v>
      </c>
      <c r="H482" s="621">
        <v>15</v>
      </c>
      <c r="Q482" s="620"/>
      <c r="R482" s="620"/>
      <c r="S482" s="620"/>
      <c r="T482" s="620"/>
      <c r="U482" s="620"/>
      <c r="V482" s="620"/>
      <c r="W482" s="620"/>
    </row>
    <row r="483" spans="1:23" s="263" customFormat="1" ht="9" customHeight="1" x14ac:dyDescent="0.25">
      <c r="A483" s="550" t="s">
        <v>24</v>
      </c>
      <c r="B483" s="622">
        <v>1163</v>
      </c>
      <c r="C483" s="622">
        <v>198</v>
      </c>
      <c r="D483" s="622">
        <v>342</v>
      </c>
      <c r="E483" s="622">
        <v>15</v>
      </c>
      <c r="F483" s="622">
        <v>24</v>
      </c>
      <c r="G483" s="622">
        <v>180</v>
      </c>
      <c r="H483" s="622">
        <v>118</v>
      </c>
      <c r="Q483" s="620"/>
      <c r="R483" s="620"/>
      <c r="S483" s="620"/>
      <c r="T483" s="620"/>
      <c r="U483" s="620"/>
      <c r="V483" s="620"/>
      <c r="W483" s="620"/>
    </row>
    <row r="484" spans="1:23" s="263" customFormat="1" ht="9" customHeight="1" x14ac:dyDescent="0.25">
      <c r="A484" s="550" t="s">
        <v>25</v>
      </c>
      <c r="B484" s="621">
        <v>88</v>
      </c>
      <c r="C484" s="621">
        <v>34</v>
      </c>
      <c r="D484" s="621">
        <v>80</v>
      </c>
      <c r="E484" s="621">
        <v>5</v>
      </c>
      <c r="F484" s="621">
        <v>6</v>
      </c>
      <c r="G484" s="621">
        <v>17</v>
      </c>
      <c r="H484" s="621">
        <v>9</v>
      </c>
      <c r="Q484" s="620"/>
      <c r="R484" s="620"/>
      <c r="S484" s="620"/>
      <c r="T484" s="620"/>
      <c r="U484" s="620"/>
      <c r="V484" s="620"/>
      <c r="W484" s="620"/>
    </row>
    <row r="485" spans="1:23" s="263" customFormat="1" ht="9" customHeight="1" x14ac:dyDescent="0.25">
      <c r="A485" s="603" t="s">
        <v>26</v>
      </c>
      <c r="B485" s="623">
        <v>75</v>
      </c>
      <c r="C485" s="623">
        <v>5</v>
      </c>
      <c r="D485" s="623">
        <v>159</v>
      </c>
      <c r="E485" s="623">
        <v>4</v>
      </c>
      <c r="F485" s="623">
        <v>5</v>
      </c>
      <c r="G485" s="623">
        <v>10</v>
      </c>
      <c r="H485" s="623">
        <v>9</v>
      </c>
      <c r="Q485" s="620"/>
      <c r="R485" s="620"/>
      <c r="S485" s="620"/>
      <c r="T485" s="620"/>
      <c r="U485" s="620"/>
      <c r="V485" s="620"/>
      <c r="W485" s="620"/>
    </row>
    <row r="486" spans="1:23" s="263" customFormat="1" ht="9" customHeight="1" x14ac:dyDescent="0.25">
      <c r="A486" s="550" t="s">
        <v>27</v>
      </c>
      <c r="B486" s="621">
        <v>524</v>
      </c>
      <c r="C486" s="621">
        <v>185</v>
      </c>
      <c r="D486" s="621">
        <v>437</v>
      </c>
      <c r="E486" s="621">
        <v>18</v>
      </c>
      <c r="F486" s="621">
        <v>23</v>
      </c>
      <c r="G486" s="621">
        <v>64</v>
      </c>
      <c r="H486" s="621">
        <v>23</v>
      </c>
      <c r="Q486" s="620"/>
      <c r="R486" s="620"/>
      <c r="S486" s="620"/>
      <c r="T486" s="620"/>
      <c r="U486" s="620"/>
      <c r="V486" s="620"/>
      <c r="W486" s="620"/>
    </row>
    <row r="487" spans="1:23" s="263" customFormat="1" ht="9" customHeight="1" x14ac:dyDescent="0.25">
      <c r="A487" s="550" t="s">
        <v>28</v>
      </c>
      <c r="B487" s="621">
        <v>121</v>
      </c>
      <c r="C487" s="621">
        <v>10</v>
      </c>
      <c r="D487" s="621">
        <v>50</v>
      </c>
      <c r="E487" s="621">
        <v>9</v>
      </c>
      <c r="F487" s="621">
        <v>8</v>
      </c>
      <c r="G487" s="621">
        <v>18</v>
      </c>
      <c r="H487" s="621">
        <v>9</v>
      </c>
      <c r="Q487" s="620"/>
      <c r="R487" s="620"/>
      <c r="S487" s="620"/>
      <c r="T487" s="620"/>
      <c r="U487" s="620"/>
      <c r="V487" s="620"/>
      <c r="W487" s="620"/>
    </row>
    <row r="488" spans="1:23" s="263" customFormat="1" ht="9" customHeight="1" x14ac:dyDescent="0.25">
      <c r="A488" s="550" t="s">
        <v>29</v>
      </c>
      <c r="B488" s="621">
        <v>646</v>
      </c>
      <c r="C488" s="621">
        <v>103</v>
      </c>
      <c r="D488" s="621">
        <v>174</v>
      </c>
      <c r="E488" s="621">
        <v>14</v>
      </c>
      <c r="F488" s="621">
        <v>17</v>
      </c>
      <c r="G488" s="621">
        <v>91</v>
      </c>
      <c r="H488" s="621">
        <v>47</v>
      </c>
      <c r="Q488" s="620"/>
      <c r="R488" s="620"/>
      <c r="S488" s="620"/>
      <c r="T488" s="620"/>
      <c r="U488" s="620"/>
      <c r="V488" s="620"/>
      <c r="W488" s="620"/>
    </row>
    <row r="489" spans="1:23" s="263" customFormat="1" ht="9" customHeight="1" x14ac:dyDescent="0.25">
      <c r="A489" s="603" t="s">
        <v>30</v>
      </c>
      <c r="B489" s="623">
        <v>1417</v>
      </c>
      <c r="C489" s="623">
        <v>411</v>
      </c>
      <c r="D489" s="623">
        <v>666</v>
      </c>
      <c r="E489" s="623">
        <v>28</v>
      </c>
      <c r="F489" s="623">
        <v>49</v>
      </c>
      <c r="G489" s="623">
        <v>134</v>
      </c>
      <c r="H489" s="623">
        <v>92</v>
      </c>
      <c r="Q489" s="620"/>
      <c r="R489" s="620"/>
      <c r="S489" s="620"/>
      <c r="T489" s="620"/>
      <c r="U489" s="620"/>
      <c r="V489" s="620"/>
      <c r="W489" s="620"/>
    </row>
    <row r="490" spans="1:23" s="263" customFormat="1" ht="9" customHeight="1" x14ac:dyDescent="0.25">
      <c r="A490" s="550" t="s">
        <v>63</v>
      </c>
      <c r="B490" s="621">
        <v>5217</v>
      </c>
      <c r="C490" s="621">
        <v>1335</v>
      </c>
      <c r="D490" s="621">
        <v>2010</v>
      </c>
      <c r="E490" s="621">
        <v>86</v>
      </c>
      <c r="F490" s="621">
        <v>160</v>
      </c>
      <c r="G490" s="621">
        <v>592</v>
      </c>
      <c r="H490" s="621">
        <v>283</v>
      </c>
      <c r="Q490" s="620"/>
      <c r="R490" s="620"/>
      <c r="S490" s="620"/>
      <c r="T490" s="620"/>
      <c r="U490" s="620"/>
      <c r="V490" s="620"/>
      <c r="W490" s="620"/>
    </row>
    <row r="491" spans="1:23" s="263" customFormat="1" ht="9" customHeight="1" x14ac:dyDescent="0.25">
      <c r="A491" s="550" t="s">
        <v>31</v>
      </c>
      <c r="B491" s="621">
        <v>346</v>
      </c>
      <c r="C491" s="621">
        <v>29</v>
      </c>
      <c r="D491" s="621">
        <v>67</v>
      </c>
      <c r="E491" s="621">
        <v>11</v>
      </c>
      <c r="F491" s="621">
        <v>19</v>
      </c>
      <c r="G491" s="621">
        <v>59</v>
      </c>
      <c r="H491" s="621">
        <v>32</v>
      </c>
      <c r="Q491" s="620"/>
      <c r="R491" s="620"/>
      <c r="S491" s="620"/>
      <c r="T491" s="620"/>
      <c r="U491" s="620"/>
      <c r="V491" s="620"/>
      <c r="W491" s="620"/>
    </row>
    <row r="492" spans="1:23" s="263" customFormat="1" ht="9" customHeight="1" x14ac:dyDescent="0.25">
      <c r="A492" s="550" t="s">
        <v>32</v>
      </c>
      <c r="B492" s="621">
        <v>2283</v>
      </c>
      <c r="C492" s="621">
        <v>683</v>
      </c>
      <c r="D492" s="621">
        <v>1173</v>
      </c>
      <c r="E492" s="621">
        <v>61</v>
      </c>
      <c r="F492" s="621">
        <v>122</v>
      </c>
      <c r="G492" s="621">
        <v>325</v>
      </c>
      <c r="H492" s="621">
        <v>209</v>
      </c>
      <c r="Q492" s="620"/>
      <c r="R492" s="620"/>
      <c r="S492" s="620"/>
      <c r="T492" s="620"/>
      <c r="U492" s="620"/>
      <c r="V492" s="620"/>
      <c r="W492" s="620"/>
    </row>
    <row r="493" spans="1:23" s="263" customFormat="1" ht="9" customHeight="1" x14ac:dyDescent="0.25">
      <c r="A493" s="603" t="s">
        <v>33</v>
      </c>
      <c r="B493" s="623">
        <v>869</v>
      </c>
      <c r="C493" s="623">
        <v>147</v>
      </c>
      <c r="D493" s="623">
        <v>384</v>
      </c>
      <c r="E493" s="623">
        <v>25</v>
      </c>
      <c r="F493" s="623">
        <v>24</v>
      </c>
      <c r="G493" s="623">
        <v>126</v>
      </c>
      <c r="H493" s="623">
        <v>77</v>
      </c>
      <c r="Q493" s="620"/>
      <c r="R493" s="620"/>
      <c r="S493" s="620"/>
      <c r="T493" s="620"/>
      <c r="U493" s="620"/>
      <c r="V493" s="620"/>
      <c r="W493" s="620"/>
    </row>
    <row r="494" spans="1:23" s="263" customFormat="1" ht="9" customHeight="1" x14ac:dyDescent="0.25">
      <c r="A494" s="550" t="s">
        <v>34</v>
      </c>
      <c r="B494" s="621">
        <v>648</v>
      </c>
      <c r="C494" s="621">
        <v>132</v>
      </c>
      <c r="D494" s="621">
        <v>232</v>
      </c>
      <c r="E494" s="621">
        <v>17</v>
      </c>
      <c r="F494" s="621">
        <v>20</v>
      </c>
      <c r="G494" s="621">
        <v>100</v>
      </c>
      <c r="H494" s="621">
        <v>85</v>
      </c>
      <c r="Q494" s="620"/>
      <c r="R494" s="620"/>
      <c r="S494" s="620"/>
      <c r="T494" s="620"/>
      <c r="U494" s="620"/>
      <c r="V494" s="620"/>
      <c r="W494" s="620"/>
    </row>
    <row r="495" spans="1:23" s="263" customFormat="1" ht="9" customHeight="1" x14ac:dyDescent="0.25">
      <c r="A495" s="550" t="s">
        <v>35</v>
      </c>
      <c r="B495" s="621">
        <v>2904</v>
      </c>
      <c r="C495" s="621">
        <v>644</v>
      </c>
      <c r="D495" s="621">
        <v>669</v>
      </c>
      <c r="E495" s="621">
        <v>78</v>
      </c>
      <c r="F495" s="621">
        <v>106</v>
      </c>
      <c r="G495" s="621">
        <v>356</v>
      </c>
      <c r="H495" s="621">
        <v>172</v>
      </c>
      <c r="Q495" s="620"/>
      <c r="R495" s="620"/>
      <c r="S495" s="620"/>
      <c r="T495" s="620"/>
      <c r="U495" s="620"/>
      <c r="V495" s="620"/>
      <c r="W495" s="620"/>
    </row>
    <row r="496" spans="1:23" s="263" customFormat="1" ht="9" customHeight="1" x14ac:dyDescent="0.25">
      <c r="A496" s="550" t="s">
        <v>36</v>
      </c>
      <c r="B496" s="621">
        <v>4048</v>
      </c>
      <c r="C496" s="621">
        <v>825</v>
      </c>
      <c r="D496" s="621">
        <v>1911</v>
      </c>
      <c r="E496" s="621">
        <v>102</v>
      </c>
      <c r="F496" s="621">
        <v>104</v>
      </c>
      <c r="G496" s="621">
        <v>639</v>
      </c>
      <c r="H496" s="621">
        <v>505</v>
      </c>
      <c r="Q496" s="620"/>
      <c r="R496" s="620"/>
      <c r="S496" s="620"/>
      <c r="T496" s="620"/>
      <c r="U496" s="620"/>
      <c r="V496" s="620"/>
      <c r="W496" s="620"/>
    </row>
    <row r="497" spans="1:23" s="263" customFormat="1" ht="9" customHeight="1" x14ac:dyDescent="0.25">
      <c r="A497" s="603" t="s">
        <v>37</v>
      </c>
      <c r="B497" s="623">
        <v>1964</v>
      </c>
      <c r="C497" s="623">
        <v>266</v>
      </c>
      <c r="D497" s="623">
        <v>631</v>
      </c>
      <c r="E497" s="623">
        <v>59</v>
      </c>
      <c r="F497" s="623">
        <v>70</v>
      </c>
      <c r="G497" s="623">
        <v>236</v>
      </c>
      <c r="H497" s="623">
        <v>172</v>
      </c>
      <c r="Q497" s="620"/>
      <c r="R497" s="620"/>
      <c r="S497" s="620"/>
      <c r="T497" s="620"/>
      <c r="U497" s="620"/>
      <c r="V497" s="620"/>
      <c r="W497" s="620"/>
    </row>
    <row r="498" spans="1:23" s="263" customFormat="1" ht="9" customHeight="1" x14ac:dyDescent="0.25">
      <c r="A498" s="550" t="s">
        <v>38</v>
      </c>
      <c r="B498" s="621">
        <v>475</v>
      </c>
      <c r="C498" s="621">
        <v>150</v>
      </c>
      <c r="D498" s="621">
        <v>170</v>
      </c>
      <c r="E498" s="621">
        <v>12</v>
      </c>
      <c r="F498" s="621">
        <v>11</v>
      </c>
      <c r="G498" s="621">
        <v>92</v>
      </c>
      <c r="H498" s="621">
        <v>65</v>
      </c>
      <c r="Q498" s="620"/>
      <c r="R498" s="620"/>
      <c r="S498" s="620"/>
      <c r="T498" s="620"/>
      <c r="U498" s="620"/>
      <c r="V498" s="620"/>
      <c r="W498" s="620"/>
    </row>
    <row r="499" spans="1:23" s="263" customFormat="1" ht="9" customHeight="1" x14ac:dyDescent="0.25">
      <c r="A499" s="550" t="s">
        <v>39</v>
      </c>
      <c r="B499" s="621">
        <v>137</v>
      </c>
      <c r="C499" s="621">
        <v>18</v>
      </c>
      <c r="D499" s="621">
        <v>42</v>
      </c>
      <c r="E499" s="621">
        <v>11</v>
      </c>
      <c r="F499" s="621">
        <v>8</v>
      </c>
      <c r="G499" s="621">
        <v>26</v>
      </c>
      <c r="H499" s="621">
        <v>13</v>
      </c>
      <c r="Q499" s="620"/>
      <c r="R499" s="620"/>
      <c r="S499" s="620"/>
      <c r="T499" s="620"/>
      <c r="U499" s="620"/>
      <c r="V499" s="620"/>
      <c r="W499" s="620"/>
    </row>
    <row r="500" spans="1:23" s="263" customFormat="1" ht="9" customHeight="1" x14ac:dyDescent="0.25">
      <c r="A500" s="550" t="s">
        <v>40</v>
      </c>
      <c r="B500" s="621">
        <v>1609</v>
      </c>
      <c r="C500" s="621">
        <v>595</v>
      </c>
      <c r="D500" s="621">
        <v>464</v>
      </c>
      <c r="E500" s="621">
        <v>43</v>
      </c>
      <c r="F500" s="621">
        <v>83</v>
      </c>
      <c r="G500" s="621">
        <v>175</v>
      </c>
      <c r="H500" s="621">
        <v>79</v>
      </c>
      <c r="Q500" s="620"/>
      <c r="R500" s="620"/>
      <c r="S500" s="620"/>
      <c r="T500" s="620"/>
      <c r="U500" s="620"/>
      <c r="V500" s="620"/>
      <c r="W500" s="620"/>
    </row>
    <row r="501" spans="1:23" s="263" customFormat="1" ht="9" customHeight="1" x14ac:dyDescent="0.25">
      <c r="A501" s="603" t="s">
        <v>41</v>
      </c>
      <c r="B501" s="623">
        <v>789</v>
      </c>
      <c r="C501" s="623">
        <v>70</v>
      </c>
      <c r="D501" s="623">
        <v>387</v>
      </c>
      <c r="E501" s="623">
        <v>31</v>
      </c>
      <c r="F501" s="623">
        <v>25</v>
      </c>
      <c r="G501" s="623">
        <v>124</v>
      </c>
      <c r="H501" s="623">
        <v>95</v>
      </c>
      <c r="Q501" s="620"/>
      <c r="R501" s="620"/>
      <c r="S501" s="620"/>
      <c r="T501" s="620"/>
      <c r="U501" s="620"/>
      <c r="V501" s="620"/>
      <c r="W501" s="620"/>
    </row>
    <row r="502" spans="1:23" s="263" customFormat="1" ht="9" customHeight="1" x14ac:dyDescent="0.25">
      <c r="A502" s="550" t="s">
        <v>42</v>
      </c>
      <c r="B502" s="621">
        <v>2156</v>
      </c>
      <c r="C502" s="621">
        <v>429</v>
      </c>
      <c r="D502" s="621">
        <v>539</v>
      </c>
      <c r="E502" s="621">
        <v>52</v>
      </c>
      <c r="F502" s="621">
        <v>36</v>
      </c>
      <c r="G502" s="621">
        <v>243</v>
      </c>
      <c r="H502" s="621">
        <v>151</v>
      </c>
      <c r="Q502" s="620"/>
      <c r="R502" s="620"/>
      <c r="S502" s="620"/>
      <c r="T502" s="620"/>
      <c r="U502" s="620"/>
      <c r="V502" s="620"/>
      <c r="W502" s="620"/>
    </row>
    <row r="503" spans="1:23" s="263" customFormat="1" ht="9" customHeight="1" x14ac:dyDescent="0.25">
      <c r="A503" s="550" t="s">
        <v>43</v>
      </c>
      <c r="B503" s="621">
        <v>637</v>
      </c>
      <c r="C503" s="621">
        <v>173</v>
      </c>
      <c r="D503" s="621">
        <v>416</v>
      </c>
      <c r="E503" s="621">
        <v>20</v>
      </c>
      <c r="F503" s="621">
        <v>23</v>
      </c>
      <c r="G503" s="621">
        <v>125</v>
      </c>
      <c r="H503" s="621">
        <v>56</v>
      </c>
      <c r="Q503" s="620"/>
      <c r="R503" s="620"/>
      <c r="S503" s="620"/>
      <c r="T503" s="620"/>
      <c r="U503" s="620"/>
      <c r="V503" s="620"/>
      <c r="W503" s="620"/>
    </row>
    <row r="504" spans="1:23" s="263" customFormat="1" ht="9" customHeight="1" x14ac:dyDescent="0.25">
      <c r="A504" s="550" t="s">
        <v>44</v>
      </c>
      <c r="B504" s="621">
        <v>294</v>
      </c>
      <c r="C504" s="621">
        <v>120</v>
      </c>
      <c r="D504" s="621">
        <v>211</v>
      </c>
      <c r="E504" s="621">
        <v>21</v>
      </c>
      <c r="F504" s="621">
        <v>31</v>
      </c>
      <c r="G504" s="621">
        <v>46</v>
      </c>
      <c r="H504" s="621">
        <v>27</v>
      </c>
      <c r="Q504" s="620"/>
      <c r="R504" s="620"/>
      <c r="S504" s="620"/>
      <c r="T504" s="620"/>
      <c r="U504" s="620"/>
      <c r="V504" s="620"/>
      <c r="W504" s="620"/>
    </row>
    <row r="505" spans="1:23" s="263" customFormat="1" ht="9" customHeight="1" x14ac:dyDescent="0.25">
      <c r="A505" s="603" t="s">
        <v>45</v>
      </c>
      <c r="B505" s="623">
        <v>695</v>
      </c>
      <c r="C505" s="623">
        <v>270</v>
      </c>
      <c r="D505" s="623">
        <v>197</v>
      </c>
      <c r="E505" s="623">
        <v>25</v>
      </c>
      <c r="F505" s="623">
        <v>20</v>
      </c>
      <c r="G505" s="623">
        <v>88</v>
      </c>
      <c r="H505" s="623">
        <v>48</v>
      </c>
      <c r="Q505" s="620"/>
      <c r="R505" s="620"/>
      <c r="S505" s="620"/>
      <c r="T505" s="620"/>
      <c r="U505" s="620"/>
      <c r="V505" s="620"/>
      <c r="W505" s="620"/>
    </row>
    <row r="506" spans="1:23" s="263" customFormat="1" ht="9" customHeight="1" x14ac:dyDescent="0.25">
      <c r="A506" s="550" t="s">
        <v>46</v>
      </c>
      <c r="B506" s="621">
        <v>700</v>
      </c>
      <c r="C506" s="621">
        <v>186</v>
      </c>
      <c r="D506" s="621">
        <v>188</v>
      </c>
      <c r="E506" s="621">
        <v>22</v>
      </c>
      <c r="F506" s="621">
        <v>30</v>
      </c>
      <c r="G506" s="621">
        <v>112</v>
      </c>
      <c r="H506" s="621">
        <v>52</v>
      </c>
      <c r="Q506" s="620"/>
      <c r="R506" s="620"/>
      <c r="S506" s="620"/>
      <c r="T506" s="620"/>
      <c r="U506" s="620"/>
      <c r="V506" s="620"/>
      <c r="W506" s="620"/>
    </row>
    <row r="507" spans="1:23" s="263" customFormat="1" ht="9" customHeight="1" x14ac:dyDescent="0.25">
      <c r="A507" s="550" t="s">
        <v>47</v>
      </c>
      <c r="B507" s="621">
        <v>671</v>
      </c>
      <c r="C507" s="621">
        <v>185</v>
      </c>
      <c r="D507" s="621">
        <v>222</v>
      </c>
      <c r="E507" s="621">
        <v>19</v>
      </c>
      <c r="F507" s="621">
        <v>33</v>
      </c>
      <c r="G507" s="621">
        <v>90</v>
      </c>
      <c r="H507" s="621">
        <v>56</v>
      </c>
      <c r="Q507" s="620"/>
      <c r="R507" s="620"/>
      <c r="S507" s="620"/>
      <c r="T507" s="620"/>
      <c r="U507" s="620"/>
      <c r="V507" s="620"/>
      <c r="W507" s="620"/>
    </row>
    <row r="508" spans="1:23" s="263" customFormat="1" ht="9" customHeight="1" x14ac:dyDescent="0.25">
      <c r="A508" s="550" t="s">
        <v>48</v>
      </c>
      <c r="B508" s="621">
        <v>458</v>
      </c>
      <c r="C508" s="621">
        <v>86</v>
      </c>
      <c r="D508" s="621">
        <v>219</v>
      </c>
      <c r="E508" s="621">
        <v>12</v>
      </c>
      <c r="F508" s="621">
        <v>23</v>
      </c>
      <c r="G508" s="621">
        <v>72</v>
      </c>
      <c r="H508" s="621">
        <v>44</v>
      </c>
      <c r="Q508" s="620"/>
      <c r="R508" s="620"/>
      <c r="S508" s="620"/>
      <c r="T508" s="620"/>
      <c r="U508" s="620"/>
      <c r="V508" s="620"/>
      <c r="W508" s="620"/>
    </row>
    <row r="509" spans="1:23" s="263" customFormat="1" ht="9" customHeight="1" x14ac:dyDescent="0.25">
      <c r="A509" s="603" t="s">
        <v>49</v>
      </c>
      <c r="B509" s="623">
        <v>808</v>
      </c>
      <c r="C509" s="623">
        <v>202</v>
      </c>
      <c r="D509" s="623">
        <v>273</v>
      </c>
      <c r="E509" s="623">
        <v>31</v>
      </c>
      <c r="F509" s="623">
        <v>33</v>
      </c>
      <c r="G509" s="623">
        <v>110</v>
      </c>
      <c r="H509" s="623">
        <v>59</v>
      </c>
      <c r="Q509" s="620"/>
      <c r="R509" s="620"/>
      <c r="S509" s="620"/>
      <c r="T509" s="620"/>
      <c r="U509" s="620"/>
      <c r="V509" s="620"/>
      <c r="W509" s="620"/>
    </row>
    <row r="510" spans="1:23" s="263" customFormat="1" ht="9" customHeight="1" x14ac:dyDescent="0.25">
      <c r="A510" s="550" t="s">
        <v>50</v>
      </c>
      <c r="B510" s="621">
        <v>346</v>
      </c>
      <c r="C510" s="621">
        <v>78</v>
      </c>
      <c r="D510" s="621">
        <v>135</v>
      </c>
      <c r="E510" s="621">
        <v>7</v>
      </c>
      <c r="F510" s="621">
        <v>5</v>
      </c>
      <c r="G510" s="621">
        <v>60</v>
      </c>
      <c r="H510" s="621">
        <v>49</v>
      </c>
      <c r="Q510" s="620"/>
      <c r="R510" s="620"/>
      <c r="S510" s="620"/>
      <c r="T510" s="620"/>
      <c r="U510" s="620"/>
      <c r="V510" s="620"/>
      <c r="W510" s="620"/>
    </row>
    <row r="511" spans="1:23" s="263" customFormat="1" ht="9" customHeight="1" x14ac:dyDescent="0.25">
      <c r="A511" s="550" t="s">
        <v>51</v>
      </c>
      <c r="B511" s="621">
        <v>1498</v>
      </c>
      <c r="C511" s="621">
        <v>336</v>
      </c>
      <c r="D511" s="621">
        <v>460</v>
      </c>
      <c r="E511" s="621">
        <v>36</v>
      </c>
      <c r="F511" s="621">
        <v>43</v>
      </c>
      <c r="G511" s="621">
        <v>222</v>
      </c>
      <c r="H511" s="621">
        <v>148</v>
      </c>
      <c r="Q511" s="620"/>
      <c r="R511" s="620"/>
      <c r="S511" s="620"/>
      <c r="T511" s="620"/>
      <c r="U511" s="620"/>
      <c r="V511" s="620"/>
      <c r="W511" s="620"/>
    </row>
    <row r="512" spans="1:23" s="263" customFormat="1" ht="9" customHeight="1" x14ac:dyDescent="0.25">
      <c r="A512" s="550" t="s">
        <v>52</v>
      </c>
      <c r="B512" s="621">
        <v>463</v>
      </c>
      <c r="C512" s="621">
        <v>165</v>
      </c>
      <c r="D512" s="621">
        <v>118</v>
      </c>
      <c r="E512" s="621">
        <v>13</v>
      </c>
      <c r="F512" s="621">
        <v>24</v>
      </c>
      <c r="G512" s="621">
        <v>56</v>
      </c>
      <c r="H512" s="621">
        <v>28</v>
      </c>
      <c r="Q512" s="620"/>
      <c r="R512" s="620"/>
      <c r="S512" s="620"/>
      <c r="T512" s="620"/>
      <c r="U512" s="620"/>
      <c r="V512" s="620"/>
      <c r="W512" s="620"/>
    </row>
    <row r="513" spans="1:23" s="263" customFormat="1" ht="9" customHeight="1" x14ac:dyDescent="0.25">
      <c r="A513" s="267" t="s">
        <v>53</v>
      </c>
      <c r="B513" s="618">
        <v>424</v>
      </c>
      <c r="C513" s="618">
        <v>58</v>
      </c>
      <c r="D513" s="618">
        <v>176</v>
      </c>
      <c r="E513" s="618">
        <v>18</v>
      </c>
      <c r="F513" s="618">
        <v>21</v>
      </c>
      <c r="G513" s="618">
        <v>50</v>
      </c>
      <c r="H513" s="618">
        <v>34</v>
      </c>
      <c r="Q513" s="620"/>
      <c r="R513" s="620"/>
      <c r="S513" s="620"/>
      <c r="T513" s="620"/>
      <c r="U513" s="620"/>
      <c r="V513" s="620"/>
      <c r="W513" s="620"/>
    </row>
    <row r="514" spans="1:23" s="263" customFormat="1" ht="9" customHeight="1" x14ac:dyDescent="0.25">
      <c r="A514" s="286"/>
      <c r="B514" s="619"/>
      <c r="C514" s="619"/>
      <c r="D514" s="619"/>
      <c r="E514" s="619"/>
      <c r="F514" s="619"/>
      <c r="G514" s="619"/>
      <c r="H514" s="619"/>
      <c r="Q514" s="620"/>
      <c r="R514" s="620"/>
      <c r="S514" s="620"/>
      <c r="T514" s="620"/>
      <c r="U514" s="620"/>
      <c r="V514" s="620"/>
      <c r="W514" s="620"/>
    </row>
    <row r="515" spans="1:23" s="263" customFormat="1" ht="9" customHeight="1" x14ac:dyDescent="0.25">
      <c r="A515" s="261">
        <v>2009</v>
      </c>
      <c r="B515" s="262"/>
      <c r="C515" s="262"/>
      <c r="D515" s="262"/>
      <c r="E515" s="262"/>
      <c r="F515" s="262"/>
      <c r="G515" s="262"/>
      <c r="H515" s="262"/>
      <c r="Q515" s="620"/>
      <c r="R515" s="620"/>
      <c r="S515" s="620"/>
      <c r="T515" s="620"/>
      <c r="U515" s="620"/>
      <c r="V515" s="620"/>
      <c r="W515" s="620"/>
    </row>
    <row r="516" spans="1:23" s="265" customFormat="1" ht="9" customHeight="1" x14ac:dyDescent="0.25">
      <c r="A516" s="265" t="s">
        <v>21</v>
      </c>
      <c r="B516" s="615">
        <f t="shared" ref="B516:G516" si="14">SUM(B518:B549)</f>
        <v>34721</v>
      </c>
      <c r="C516" s="615">
        <f t="shared" si="14"/>
        <v>8391</v>
      </c>
      <c r="D516" s="615">
        <f t="shared" si="14"/>
        <v>13735</v>
      </c>
      <c r="E516" s="615">
        <f t="shared" si="14"/>
        <v>880</v>
      </c>
      <c r="F516" s="615">
        <f t="shared" si="14"/>
        <v>1203</v>
      </c>
      <c r="G516" s="624">
        <f t="shared" si="14"/>
        <v>4791</v>
      </c>
      <c r="H516" s="624">
        <f>SUM(H518:H549)</f>
        <v>2893</v>
      </c>
      <c r="Q516" s="620"/>
      <c r="R516" s="620"/>
      <c r="S516" s="620"/>
      <c r="T516" s="620"/>
      <c r="U516" s="620"/>
      <c r="V516" s="620"/>
      <c r="W516" s="620"/>
    </row>
    <row r="517" spans="1:23" s="265" customFormat="1" ht="3.95" customHeight="1" x14ac:dyDescent="0.25">
      <c r="B517" s="615"/>
      <c r="C517" s="615"/>
      <c r="D517" s="615"/>
      <c r="E517" s="615"/>
      <c r="F517" s="615"/>
      <c r="G517" s="615"/>
      <c r="H517" s="615"/>
      <c r="Q517" s="620"/>
      <c r="R517" s="620"/>
      <c r="S517" s="620"/>
      <c r="T517" s="620"/>
      <c r="U517" s="620"/>
      <c r="V517" s="620"/>
      <c r="W517" s="620"/>
    </row>
    <row r="518" spans="1:23" s="263" customFormat="1" ht="9" customHeight="1" x14ac:dyDescent="0.25">
      <c r="A518" s="550" t="s">
        <v>23</v>
      </c>
      <c r="B518" s="621">
        <v>382</v>
      </c>
      <c r="C518" s="621">
        <v>129</v>
      </c>
      <c r="D518" s="621">
        <v>104</v>
      </c>
      <c r="E518" s="621">
        <v>12</v>
      </c>
      <c r="F518" s="621">
        <v>14</v>
      </c>
      <c r="G518" s="621">
        <v>52</v>
      </c>
      <c r="H518" s="621">
        <v>16</v>
      </c>
      <c r="Q518" s="620"/>
      <c r="R518" s="620"/>
      <c r="S518" s="620"/>
      <c r="T518" s="620"/>
      <c r="U518" s="620"/>
      <c r="V518" s="620"/>
      <c r="W518" s="620"/>
    </row>
    <row r="519" spans="1:23" s="263" customFormat="1" ht="9" customHeight="1" x14ac:dyDescent="0.25">
      <c r="A519" s="550" t="s">
        <v>24</v>
      </c>
      <c r="B519" s="622">
        <v>1316</v>
      </c>
      <c r="C519" s="622">
        <v>256</v>
      </c>
      <c r="D519" s="622">
        <v>435</v>
      </c>
      <c r="E519" s="622">
        <v>25</v>
      </c>
      <c r="F519" s="622">
        <v>31</v>
      </c>
      <c r="G519" s="622">
        <v>221</v>
      </c>
      <c r="H519" s="622">
        <v>139</v>
      </c>
      <c r="Q519" s="620"/>
      <c r="R519" s="620"/>
      <c r="S519" s="620"/>
      <c r="T519" s="620"/>
      <c r="U519" s="620"/>
      <c r="V519" s="620"/>
      <c r="W519" s="620"/>
    </row>
    <row r="520" spans="1:23" s="263" customFormat="1" ht="9" customHeight="1" x14ac:dyDescent="0.25">
      <c r="A520" s="550" t="s">
        <v>25</v>
      </c>
      <c r="B520" s="621">
        <v>103</v>
      </c>
      <c r="C520" s="621">
        <v>54</v>
      </c>
      <c r="D520" s="621">
        <v>70</v>
      </c>
      <c r="E520" s="621">
        <v>6</v>
      </c>
      <c r="F520" s="621">
        <v>8</v>
      </c>
      <c r="G520" s="621">
        <v>20</v>
      </c>
      <c r="H520" s="621">
        <v>10</v>
      </c>
      <c r="Q520" s="620"/>
      <c r="R520" s="620"/>
      <c r="S520" s="620"/>
      <c r="T520" s="620"/>
      <c r="U520" s="620"/>
      <c r="V520" s="620"/>
      <c r="W520" s="620"/>
    </row>
    <row r="521" spans="1:23" s="263" customFormat="1" ht="9" customHeight="1" x14ac:dyDescent="0.25">
      <c r="A521" s="603" t="s">
        <v>26</v>
      </c>
      <c r="B521" s="623">
        <v>93</v>
      </c>
      <c r="C521" s="623">
        <v>6</v>
      </c>
      <c r="D521" s="623">
        <v>65</v>
      </c>
      <c r="E521" s="623">
        <v>4</v>
      </c>
      <c r="F521" s="623">
        <v>6</v>
      </c>
      <c r="G521" s="623">
        <v>12</v>
      </c>
      <c r="H521" s="623">
        <v>10</v>
      </c>
      <c r="Q521" s="620"/>
      <c r="R521" s="620"/>
      <c r="S521" s="620"/>
      <c r="T521" s="620"/>
      <c r="U521" s="620"/>
      <c r="V521" s="620"/>
      <c r="W521" s="620"/>
    </row>
    <row r="522" spans="1:23" s="263" customFormat="1" ht="9" customHeight="1" x14ac:dyDescent="0.25">
      <c r="A522" s="550" t="s">
        <v>27</v>
      </c>
      <c r="B522" s="621">
        <v>563</v>
      </c>
      <c r="C522" s="621">
        <v>200</v>
      </c>
      <c r="D522" s="621">
        <v>446</v>
      </c>
      <c r="E522" s="621">
        <v>17</v>
      </c>
      <c r="F522" s="621">
        <v>26</v>
      </c>
      <c r="G522" s="621">
        <v>66</v>
      </c>
      <c r="H522" s="621">
        <v>27</v>
      </c>
      <c r="Q522" s="620"/>
      <c r="R522" s="620"/>
      <c r="S522" s="620"/>
      <c r="T522" s="620"/>
      <c r="U522" s="620"/>
      <c r="V522" s="620"/>
      <c r="W522" s="620"/>
    </row>
    <row r="523" spans="1:23" s="263" customFormat="1" ht="9" customHeight="1" x14ac:dyDescent="0.25">
      <c r="A523" s="550" t="s">
        <v>28</v>
      </c>
      <c r="B523" s="621">
        <v>120</v>
      </c>
      <c r="C523" s="621">
        <v>9</v>
      </c>
      <c r="D523" s="621">
        <v>49</v>
      </c>
      <c r="E523" s="621">
        <v>9</v>
      </c>
      <c r="F523" s="621">
        <v>9</v>
      </c>
      <c r="G523" s="621">
        <v>18</v>
      </c>
      <c r="H523" s="621">
        <v>7</v>
      </c>
      <c r="Q523" s="620"/>
      <c r="R523" s="620"/>
      <c r="S523" s="620"/>
      <c r="T523" s="620"/>
      <c r="U523" s="620"/>
      <c r="V523" s="620"/>
      <c r="W523" s="620"/>
    </row>
    <row r="524" spans="1:23" s="263" customFormat="1" ht="9" customHeight="1" x14ac:dyDescent="0.25">
      <c r="A524" s="550" t="s">
        <v>29</v>
      </c>
      <c r="B524" s="621">
        <v>626</v>
      </c>
      <c r="C524" s="621">
        <v>142</v>
      </c>
      <c r="D524" s="621">
        <v>174</v>
      </c>
      <c r="E524" s="621">
        <v>11</v>
      </c>
      <c r="F524" s="621">
        <v>13</v>
      </c>
      <c r="G524" s="621">
        <v>88</v>
      </c>
      <c r="H524" s="621">
        <v>46</v>
      </c>
      <c r="Q524" s="620"/>
      <c r="R524" s="620"/>
      <c r="S524" s="620"/>
      <c r="T524" s="620"/>
      <c r="U524" s="620"/>
      <c r="V524" s="620"/>
      <c r="W524" s="620"/>
    </row>
    <row r="525" spans="1:23" s="263" customFormat="1" ht="9" customHeight="1" x14ac:dyDescent="0.25">
      <c r="A525" s="603" t="s">
        <v>30</v>
      </c>
      <c r="B525" s="623">
        <v>1166</v>
      </c>
      <c r="C525" s="623">
        <v>425</v>
      </c>
      <c r="D525" s="623">
        <v>657</v>
      </c>
      <c r="E525" s="623">
        <v>26</v>
      </c>
      <c r="F525" s="623">
        <v>44</v>
      </c>
      <c r="G525" s="623">
        <v>129</v>
      </c>
      <c r="H525" s="623">
        <v>78</v>
      </c>
      <c r="Q525" s="620"/>
      <c r="R525" s="620"/>
      <c r="S525" s="620"/>
      <c r="T525" s="620"/>
      <c r="U525" s="620"/>
      <c r="V525" s="620"/>
      <c r="W525" s="620"/>
    </row>
    <row r="526" spans="1:23" s="263" customFormat="1" ht="9" customHeight="1" x14ac:dyDescent="0.25">
      <c r="A526" s="550" t="s">
        <v>63</v>
      </c>
      <c r="B526" s="621">
        <v>5187</v>
      </c>
      <c r="C526" s="621">
        <v>1328</v>
      </c>
      <c r="D526" s="621">
        <v>2267</v>
      </c>
      <c r="E526" s="621">
        <v>82</v>
      </c>
      <c r="F526" s="621">
        <v>135</v>
      </c>
      <c r="G526" s="621">
        <v>607</v>
      </c>
      <c r="H526" s="621">
        <v>280</v>
      </c>
      <c r="Q526" s="620"/>
      <c r="R526" s="620"/>
      <c r="S526" s="620"/>
      <c r="T526" s="620"/>
      <c r="U526" s="620"/>
      <c r="V526" s="620"/>
      <c r="W526" s="620"/>
    </row>
    <row r="527" spans="1:23" s="263" customFormat="1" ht="9" customHeight="1" x14ac:dyDescent="0.25">
      <c r="A527" s="550" t="s">
        <v>31</v>
      </c>
      <c r="B527" s="621">
        <v>330</v>
      </c>
      <c r="C527" s="621">
        <v>15</v>
      </c>
      <c r="D527" s="621">
        <v>65</v>
      </c>
      <c r="E527" s="621">
        <v>11</v>
      </c>
      <c r="F527" s="621">
        <v>20</v>
      </c>
      <c r="G527" s="621">
        <v>57</v>
      </c>
      <c r="H527" s="621">
        <v>32</v>
      </c>
      <c r="Q527" s="620"/>
      <c r="R527" s="620"/>
      <c r="S527" s="620"/>
      <c r="T527" s="620"/>
      <c r="U527" s="620"/>
      <c r="V527" s="620"/>
      <c r="W527" s="620"/>
    </row>
    <row r="528" spans="1:23" s="263" customFormat="1" ht="9" customHeight="1" x14ac:dyDescent="0.25">
      <c r="A528" s="550" t="s">
        <v>32</v>
      </c>
      <c r="B528" s="621">
        <v>2204</v>
      </c>
      <c r="C528" s="621">
        <v>567</v>
      </c>
      <c r="D528" s="621">
        <v>1072</v>
      </c>
      <c r="E528" s="621">
        <v>61</v>
      </c>
      <c r="F528" s="621">
        <v>112</v>
      </c>
      <c r="G528" s="621">
        <v>322</v>
      </c>
      <c r="H528" s="621">
        <v>205</v>
      </c>
      <c r="Q528" s="620"/>
      <c r="R528" s="620"/>
      <c r="S528" s="620"/>
      <c r="T528" s="620"/>
      <c r="U528" s="620"/>
      <c r="V528" s="620"/>
      <c r="W528" s="620"/>
    </row>
    <row r="529" spans="1:23" s="263" customFormat="1" ht="9" customHeight="1" x14ac:dyDescent="0.25">
      <c r="A529" s="603" t="s">
        <v>33</v>
      </c>
      <c r="B529" s="623">
        <v>812</v>
      </c>
      <c r="C529" s="623">
        <v>140</v>
      </c>
      <c r="D529" s="623">
        <v>419</v>
      </c>
      <c r="E529" s="623">
        <v>23</v>
      </c>
      <c r="F529" s="623">
        <v>25</v>
      </c>
      <c r="G529" s="623">
        <v>122</v>
      </c>
      <c r="H529" s="623">
        <v>84</v>
      </c>
      <c r="Q529" s="620"/>
      <c r="R529" s="620"/>
      <c r="S529" s="620"/>
      <c r="T529" s="620"/>
      <c r="U529" s="620"/>
      <c r="V529" s="620"/>
      <c r="W529" s="620"/>
    </row>
    <row r="530" spans="1:23" s="263" customFormat="1" ht="9" customHeight="1" x14ac:dyDescent="0.25">
      <c r="A530" s="550" t="s">
        <v>34</v>
      </c>
      <c r="B530" s="621">
        <v>739</v>
      </c>
      <c r="C530" s="621">
        <v>160</v>
      </c>
      <c r="D530" s="621">
        <v>272</v>
      </c>
      <c r="E530" s="621">
        <v>17</v>
      </c>
      <c r="F530" s="621">
        <v>19</v>
      </c>
      <c r="G530" s="621">
        <v>124</v>
      </c>
      <c r="H530" s="621">
        <v>100</v>
      </c>
      <c r="Q530" s="620"/>
      <c r="R530" s="620"/>
      <c r="S530" s="620"/>
      <c r="T530" s="620"/>
      <c r="U530" s="620"/>
      <c r="V530" s="620"/>
      <c r="W530" s="620"/>
    </row>
    <row r="531" spans="1:23" s="263" customFormat="1" ht="9" customHeight="1" x14ac:dyDescent="0.25">
      <c r="A531" s="550" t="s">
        <v>35</v>
      </c>
      <c r="B531" s="621">
        <v>2970</v>
      </c>
      <c r="C531" s="621">
        <v>642</v>
      </c>
      <c r="D531" s="621">
        <v>693</v>
      </c>
      <c r="E531" s="621">
        <v>90</v>
      </c>
      <c r="F531" s="621">
        <v>111</v>
      </c>
      <c r="G531" s="621">
        <v>389</v>
      </c>
      <c r="H531" s="621">
        <v>180</v>
      </c>
      <c r="Q531" s="620"/>
      <c r="R531" s="620"/>
      <c r="S531" s="620"/>
      <c r="T531" s="620"/>
      <c r="U531" s="620"/>
      <c r="V531" s="620"/>
      <c r="W531" s="620"/>
    </row>
    <row r="532" spans="1:23" s="263" customFormat="1" ht="9" customHeight="1" x14ac:dyDescent="0.25">
      <c r="A532" s="550" t="s">
        <v>36</v>
      </c>
      <c r="B532" s="621">
        <v>4127</v>
      </c>
      <c r="C532" s="621">
        <v>832</v>
      </c>
      <c r="D532" s="621">
        <v>1921</v>
      </c>
      <c r="E532" s="621">
        <v>97</v>
      </c>
      <c r="F532" s="621">
        <v>124</v>
      </c>
      <c r="G532" s="621">
        <v>642</v>
      </c>
      <c r="H532" s="621">
        <v>518</v>
      </c>
      <c r="Q532" s="620"/>
      <c r="R532" s="620"/>
      <c r="S532" s="620"/>
      <c r="T532" s="620"/>
      <c r="U532" s="620"/>
      <c r="V532" s="620"/>
      <c r="W532" s="620"/>
    </row>
    <row r="533" spans="1:23" s="263" customFormat="1" ht="9" customHeight="1" x14ac:dyDescent="0.25">
      <c r="A533" s="603" t="s">
        <v>37</v>
      </c>
      <c r="B533" s="623">
        <v>1944</v>
      </c>
      <c r="C533" s="623">
        <v>265</v>
      </c>
      <c r="D533" s="623">
        <v>635</v>
      </c>
      <c r="E533" s="623">
        <v>43</v>
      </c>
      <c r="F533" s="623">
        <v>75</v>
      </c>
      <c r="G533" s="623">
        <v>243</v>
      </c>
      <c r="H533" s="623">
        <v>174</v>
      </c>
      <c r="Q533" s="620"/>
      <c r="R533" s="620"/>
      <c r="S533" s="620"/>
      <c r="T533" s="620"/>
      <c r="U533" s="620"/>
      <c r="V533" s="620"/>
      <c r="W533" s="620"/>
    </row>
    <row r="534" spans="1:23" s="263" customFormat="1" ht="9" customHeight="1" x14ac:dyDescent="0.25">
      <c r="A534" s="550" t="s">
        <v>38</v>
      </c>
      <c r="B534" s="621">
        <v>455</v>
      </c>
      <c r="C534" s="621">
        <v>124</v>
      </c>
      <c r="D534" s="621">
        <v>170</v>
      </c>
      <c r="E534" s="621">
        <v>12</v>
      </c>
      <c r="F534" s="621">
        <v>10</v>
      </c>
      <c r="G534" s="621">
        <v>89</v>
      </c>
      <c r="H534" s="621">
        <v>64</v>
      </c>
      <c r="Q534" s="620"/>
      <c r="R534" s="620"/>
      <c r="S534" s="620"/>
      <c r="T534" s="620"/>
      <c r="U534" s="620"/>
      <c r="V534" s="620"/>
      <c r="W534" s="620"/>
    </row>
    <row r="535" spans="1:23" s="263" customFormat="1" ht="9" customHeight="1" x14ac:dyDescent="0.25">
      <c r="A535" s="550" t="s">
        <v>39</v>
      </c>
      <c r="B535" s="621">
        <v>133</v>
      </c>
      <c r="C535" s="621">
        <v>18</v>
      </c>
      <c r="D535" s="621">
        <v>37</v>
      </c>
      <c r="E535" s="621">
        <v>10</v>
      </c>
      <c r="F535" s="621">
        <v>8</v>
      </c>
      <c r="G535" s="621">
        <v>25</v>
      </c>
      <c r="H535" s="621">
        <v>13</v>
      </c>
      <c r="Q535" s="620"/>
      <c r="R535" s="620"/>
      <c r="S535" s="620"/>
      <c r="T535" s="620"/>
      <c r="U535" s="620"/>
      <c r="V535" s="620"/>
      <c r="W535" s="620"/>
    </row>
    <row r="536" spans="1:23" s="263" customFormat="1" ht="9" customHeight="1" x14ac:dyDescent="0.25">
      <c r="A536" s="550" t="s">
        <v>40</v>
      </c>
      <c r="B536" s="621">
        <v>1699</v>
      </c>
      <c r="C536" s="621">
        <v>717</v>
      </c>
      <c r="D536" s="621">
        <v>458</v>
      </c>
      <c r="E536" s="621">
        <v>43</v>
      </c>
      <c r="F536" s="621">
        <v>80</v>
      </c>
      <c r="G536" s="621">
        <v>184</v>
      </c>
      <c r="H536" s="621">
        <v>82</v>
      </c>
      <c r="Q536" s="620"/>
      <c r="R536" s="620"/>
      <c r="S536" s="620"/>
      <c r="T536" s="620"/>
      <c r="U536" s="620"/>
      <c r="V536" s="620"/>
      <c r="W536" s="620"/>
    </row>
    <row r="537" spans="1:23" s="263" customFormat="1" ht="9" customHeight="1" x14ac:dyDescent="0.25">
      <c r="A537" s="603" t="s">
        <v>41</v>
      </c>
      <c r="B537" s="623">
        <v>767</v>
      </c>
      <c r="C537" s="623">
        <v>70</v>
      </c>
      <c r="D537" s="623">
        <v>384</v>
      </c>
      <c r="E537" s="623">
        <v>30</v>
      </c>
      <c r="F537" s="623">
        <v>29</v>
      </c>
      <c r="G537" s="623">
        <v>130</v>
      </c>
      <c r="H537" s="623">
        <v>94</v>
      </c>
      <c r="Q537" s="620"/>
      <c r="R537" s="620"/>
      <c r="S537" s="620"/>
      <c r="T537" s="620"/>
      <c r="U537" s="620"/>
      <c r="V537" s="620"/>
      <c r="W537" s="620"/>
    </row>
    <row r="538" spans="1:23" s="263" customFormat="1" ht="9" customHeight="1" x14ac:dyDescent="0.25">
      <c r="A538" s="550" t="s">
        <v>42</v>
      </c>
      <c r="B538" s="621">
        <v>2205</v>
      </c>
      <c r="C538" s="621">
        <v>455</v>
      </c>
      <c r="D538" s="621">
        <v>531</v>
      </c>
      <c r="E538" s="621">
        <v>40</v>
      </c>
      <c r="F538" s="621">
        <v>32</v>
      </c>
      <c r="G538" s="621">
        <v>246</v>
      </c>
      <c r="H538" s="621">
        <v>149</v>
      </c>
      <c r="Q538" s="620"/>
      <c r="R538" s="620"/>
      <c r="S538" s="620"/>
      <c r="T538" s="620"/>
      <c r="U538" s="620"/>
      <c r="V538" s="620"/>
      <c r="W538" s="620"/>
    </row>
    <row r="539" spans="1:23" s="263" customFormat="1" ht="9" customHeight="1" x14ac:dyDescent="0.25">
      <c r="A539" s="550" t="s">
        <v>43</v>
      </c>
      <c r="B539" s="621">
        <v>628</v>
      </c>
      <c r="C539" s="621">
        <v>145</v>
      </c>
      <c r="D539" s="621">
        <v>302</v>
      </c>
      <c r="E539" s="621">
        <v>16</v>
      </c>
      <c r="F539" s="621">
        <v>20</v>
      </c>
      <c r="G539" s="621">
        <v>100</v>
      </c>
      <c r="H539" s="621">
        <v>57</v>
      </c>
      <c r="Q539" s="620"/>
      <c r="R539" s="620"/>
      <c r="S539" s="620"/>
      <c r="T539" s="620"/>
      <c r="U539" s="620"/>
      <c r="V539" s="620"/>
      <c r="W539" s="620"/>
    </row>
    <row r="540" spans="1:23" s="263" customFormat="1" ht="9" customHeight="1" x14ac:dyDescent="0.25">
      <c r="A540" s="550" t="s">
        <v>44</v>
      </c>
      <c r="B540" s="621">
        <v>295</v>
      </c>
      <c r="C540" s="621">
        <v>120</v>
      </c>
      <c r="D540" s="621">
        <v>224</v>
      </c>
      <c r="E540" s="621">
        <v>20</v>
      </c>
      <c r="F540" s="621">
        <v>24</v>
      </c>
      <c r="G540" s="621">
        <v>49</v>
      </c>
      <c r="H540" s="621">
        <v>31</v>
      </c>
      <c r="Q540" s="620"/>
      <c r="R540" s="620"/>
      <c r="S540" s="620"/>
      <c r="T540" s="620"/>
      <c r="U540" s="620"/>
      <c r="V540" s="620"/>
      <c r="W540" s="620"/>
    </row>
    <row r="541" spans="1:23" s="263" customFormat="1" ht="9" customHeight="1" x14ac:dyDescent="0.25">
      <c r="A541" s="603" t="s">
        <v>45</v>
      </c>
      <c r="B541" s="623">
        <v>637</v>
      </c>
      <c r="C541" s="623">
        <v>290</v>
      </c>
      <c r="D541" s="623">
        <v>295</v>
      </c>
      <c r="E541" s="623">
        <v>21</v>
      </c>
      <c r="F541" s="623">
        <v>24</v>
      </c>
      <c r="G541" s="623">
        <v>88</v>
      </c>
      <c r="H541" s="623">
        <v>47</v>
      </c>
      <c r="Q541" s="620"/>
      <c r="R541" s="620"/>
      <c r="S541" s="620"/>
      <c r="T541" s="620"/>
      <c r="U541" s="620"/>
      <c r="V541" s="620"/>
      <c r="W541" s="620"/>
    </row>
    <row r="542" spans="1:23" s="263" customFormat="1" ht="9" customHeight="1" x14ac:dyDescent="0.25">
      <c r="A542" s="550" t="s">
        <v>46</v>
      </c>
      <c r="B542" s="621">
        <v>686</v>
      </c>
      <c r="C542" s="621">
        <v>194</v>
      </c>
      <c r="D542" s="621">
        <v>423</v>
      </c>
      <c r="E542" s="621">
        <v>19</v>
      </c>
      <c r="F542" s="621">
        <v>29</v>
      </c>
      <c r="G542" s="621">
        <v>114</v>
      </c>
      <c r="H542" s="621">
        <v>45</v>
      </c>
      <c r="Q542" s="620"/>
      <c r="R542" s="620"/>
      <c r="S542" s="620"/>
      <c r="T542" s="620"/>
      <c r="U542" s="620"/>
      <c r="V542" s="620"/>
      <c r="W542" s="620"/>
    </row>
    <row r="543" spans="1:23" s="263" customFormat="1" ht="9" customHeight="1" x14ac:dyDescent="0.25">
      <c r="A543" s="550" t="s">
        <v>47</v>
      </c>
      <c r="B543" s="621">
        <v>626</v>
      </c>
      <c r="C543" s="621">
        <v>170</v>
      </c>
      <c r="D543" s="621">
        <v>197</v>
      </c>
      <c r="E543" s="621">
        <v>16</v>
      </c>
      <c r="F543" s="621">
        <v>30</v>
      </c>
      <c r="G543" s="621">
        <v>90</v>
      </c>
      <c r="H543" s="621">
        <v>55</v>
      </c>
      <c r="Q543" s="620"/>
      <c r="R543" s="620"/>
      <c r="S543" s="620"/>
      <c r="T543" s="620"/>
      <c r="U543" s="620"/>
      <c r="V543" s="620"/>
      <c r="W543" s="620"/>
    </row>
    <row r="544" spans="1:23" s="263" customFormat="1" ht="9" customHeight="1" x14ac:dyDescent="0.25">
      <c r="A544" s="550" t="s">
        <v>48</v>
      </c>
      <c r="B544" s="621">
        <v>436</v>
      </c>
      <c r="C544" s="621">
        <v>71</v>
      </c>
      <c r="D544" s="621">
        <v>207</v>
      </c>
      <c r="E544" s="621">
        <v>16</v>
      </c>
      <c r="F544" s="621">
        <v>20</v>
      </c>
      <c r="G544" s="621">
        <v>72</v>
      </c>
      <c r="H544" s="621">
        <v>42</v>
      </c>
      <c r="Q544" s="620"/>
      <c r="R544" s="620"/>
      <c r="S544" s="620"/>
      <c r="T544" s="620"/>
      <c r="U544" s="620"/>
      <c r="V544" s="620"/>
      <c r="W544" s="620"/>
    </row>
    <row r="545" spans="1:23" s="263" customFormat="1" ht="9" customHeight="1" x14ac:dyDescent="0.25">
      <c r="A545" s="603" t="s">
        <v>49</v>
      </c>
      <c r="B545" s="623">
        <v>836</v>
      </c>
      <c r="C545" s="623">
        <v>205</v>
      </c>
      <c r="D545" s="623">
        <v>277</v>
      </c>
      <c r="E545" s="623">
        <v>31</v>
      </c>
      <c r="F545" s="623">
        <v>36</v>
      </c>
      <c r="G545" s="623">
        <v>115</v>
      </c>
      <c r="H545" s="623">
        <v>62</v>
      </c>
      <c r="Q545" s="620"/>
      <c r="R545" s="620"/>
      <c r="S545" s="620"/>
      <c r="T545" s="620"/>
      <c r="U545" s="620"/>
      <c r="V545" s="620"/>
      <c r="W545" s="620"/>
    </row>
    <row r="546" spans="1:23" s="263" customFormat="1" ht="9" customHeight="1" x14ac:dyDescent="0.25">
      <c r="A546" s="550" t="s">
        <v>50</v>
      </c>
      <c r="B546" s="621">
        <v>289</v>
      </c>
      <c r="C546" s="621">
        <v>79</v>
      </c>
      <c r="D546" s="621">
        <v>128</v>
      </c>
      <c r="E546" s="621">
        <v>4</v>
      </c>
      <c r="F546" s="621">
        <v>4</v>
      </c>
      <c r="G546" s="621">
        <v>56</v>
      </c>
      <c r="H546" s="621">
        <v>47</v>
      </c>
      <c r="Q546" s="620"/>
      <c r="R546" s="620"/>
      <c r="S546" s="620"/>
      <c r="T546" s="620"/>
      <c r="U546" s="620"/>
      <c r="V546" s="620"/>
      <c r="W546" s="620"/>
    </row>
    <row r="547" spans="1:23" s="263" customFormat="1" ht="9" customHeight="1" x14ac:dyDescent="0.25">
      <c r="A547" s="550" t="s">
        <v>51</v>
      </c>
      <c r="B547" s="621">
        <v>1468</v>
      </c>
      <c r="C547" s="621">
        <v>318</v>
      </c>
      <c r="D547" s="621">
        <v>457</v>
      </c>
      <c r="E547" s="621">
        <v>40</v>
      </c>
      <c r="F547" s="621">
        <v>43</v>
      </c>
      <c r="G547" s="621">
        <v>210</v>
      </c>
      <c r="H547" s="621">
        <v>138</v>
      </c>
      <c r="Q547" s="620"/>
      <c r="R547" s="620"/>
      <c r="S547" s="620"/>
      <c r="T547" s="620"/>
      <c r="U547" s="620"/>
      <c r="V547" s="620"/>
      <c r="W547" s="620"/>
    </row>
    <row r="548" spans="1:23" s="263" customFormat="1" ht="9" customHeight="1" x14ac:dyDescent="0.25">
      <c r="A548" s="550" t="s">
        <v>52</v>
      </c>
      <c r="B548" s="621">
        <v>448</v>
      </c>
      <c r="C548" s="621">
        <v>178</v>
      </c>
      <c r="D548" s="621">
        <v>125</v>
      </c>
      <c r="E548" s="621">
        <v>13</v>
      </c>
      <c r="F548" s="621">
        <v>23</v>
      </c>
      <c r="G548" s="621">
        <v>56</v>
      </c>
      <c r="H548" s="621">
        <v>27</v>
      </c>
      <c r="Q548" s="620"/>
      <c r="R548" s="620"/>
      <c r="S548" s="620"/>
      <c r="T548" s="620"/>
      <c r="U548" s="620"/>
      <c r="V548" s="620"/>
      <c r="W548" s="620"/>
    </row>
    <row r="549" spans="1:23" s="263" customFormat="1" ht="9" customHeight="1" x14ac:dyDescent="0.25">
      <c r="A549" s="267" t="s">
        <v>53</v>
      </c>
      <c r="B549" s="618">
        <v>431</v>
      </c>
      <c r="C549" s="618">
        <v>67</v>
      </c>
      <c r="D549" s="618">
        <v>176</v>
      </c>
      <c r="E549" s="618">
        <v>15</v>
      </c>
      <c r="F549" s="618">
        <v>19</v>
      </c>
      <c r="G549" s="618">
        <v>55</v>
      </c>
      <c r="H549" s="618">
        <v>34</v>
      </c>
      <c r="Q549" s="620"/>
      <c r="R549" s="620"/>
      <c r="S549" s="620"/>
      <c r="T549" s="620"/>
      <c r="U549" s="620"/>
      <c r="V549" s="620"/>
      <c r="W549" s="620"/>
    </row>
    <row r="550" spans="1:23" s="263" customFormat="1" ht="9" customHeight="1" x14ac:dyDescent="0.25">
      <c r="A550" s="286"/>
      <c r="B550" s="619"/>
      <c r="C550" s="619"/>
      <c r="D550" s="619"/>
      <c r="E550" s="619"/>
      <c r="F550" s="619"/>
      <c r="G550" s="619"/>
      <c r="H550" s="619"/>
      <c r="Q550" s="620"/>
      <c r="R550" s="620"/>
      <c r="S550" s="620"/>
      <c r="T550" s="620"/>
      <c r="U550" s="620"/>
      <c r="V550" s="620"/>
      <c r="W550" s="620"/>
    </row>
    <row r="551" spans="1:23" s="263" customFormat="1" ht="9" customHeight="1" x14ac:dyDescent="0.25">
      <c r="A551" s="261">
        <v>2010</v>
      </c>
      <c r="B551" s="262"/>
      <c r="C551" s="262"/>
      <c r="D551" s="262"/>
      <c r="E551" s="262"/>
      <c r="F551" s="262"/>
      <c r="G551" s="262"/>
      <c r="H551" s="262"/>
      <c r="Q551" s="620"/>
      <c r="R551" s="620"/>
      <c r="S551" s="620"/>
      <c r="T551" s="620"/>
      <c r="U551" s="620"/>
      <c r="V551" s="620"/>
      <c r="W551" s="620"/>
    </row>
    <row r="552" spans="1:23" s="265" customFormat="1" ht="9" customHeight="1" x14ac:dyDescent="0.25">
      <c r="A552" s="265" t="s">
        <v>21</v>
      </c>
      <c r="B552" s="615">
        <f t="shared" ref="B552:G552" si="15">SUM(B554:B585)</f>
        <v>34881</v>
      </c>
      <c r="C552" s="615">
        <f t="shared" si="15"/>
        <v>8892</v>
      </c>
      <c r="D552" s="615">
        <f t="shared" si="15"/>
        <v>13468</v>
      </c>
      <c r="E552" s="615">
        <f t="shared" si="15"/>
        <v>874</v>
      </c>
      <c r="F552" s="615">
        <f t="shared" si="15"/>
        <v>1299</v>
      </c>
      <c r="G552" s="624">
        <f t="shared" si="15"/>
        <v>4874</v>
      </c>
      <c r="H552" s="624">
        <f>SUM(H554:H585)</f>
        <v>2887</v>
      </c>
      <c r="Q552" s="620"/>
      <c r="R552" s="620"/>
      <c r="S552" s="620"/>
      <c r="T552" s="620"/>
      <c r="U552" s="620"/>
      <c r="V552" s="620"/>
      <c r="W552" s="620"/>
    </row>
    <row r="553" spans="1:23" s="265" customFormat="1" ht="3.95" customHeight="1" x14ac:dyDescent="0.25">
      <c r="B553" s="615"/>
      <c r="C553" s="615"/>
      <c r="D553" s="615"/>
      <c r="E553" s="615"/>
      <c r="F553" s="615"/>
      <c r="G553" s="615"/>
      <c r="H553" s="615"/>
      <c r="Q553" s="620"/>
      <c r="R553" s="620"/>
      <c r="S553" s="620"/>
      <c r="T553" s="620"/>
      <c r="U553" s="620"/>
      <c r="V553" s="620"/>
      <c r="W553" s="620"/>
    </row>
    <row r="554" spans="1:23" s="263" customFormat="1" ht="9" customHeight="1" x14ac:dyDescent="0.25">
      <c r="A554" s="550" t="s">
        <v>23</v>
      </c>
      <c r="B554" s="621">
        <v>379</v>
      </c>
      <c r="C554" s="621">
        <v>126</v>
      </c>
      <c r="D554" s="621">
        <v>100</v>
      </c>
      <c r="E554" s="621">
        <v>12</v>
      </c>
      <c r="F554" s="621">
        <v>14</v>
      </c>
      <c r="G554" s="621">
        <v>52</v>
      </c>
      <c r="H554" s="621">
        <v>15</v>
      </c>
      <c r="Q554" s="620"/>
      <c r="R554" s="620"/>
      <c r="S554" s="620"/>
      <c r="T554" s="620"/>
      <c r="U554" s="620"/>
      <c r="V554" s="620"/>
      <c r="W554" s="620"/>
    </row>
    <row r="555" spans="1:23" s="263" customFormat="1" ht="9" customHeight="1" x14ac:dyDescent="0.25">
      <c r="A555" s="550" t="s">
        <v>24</v>
      </c>
      <c r="B555" s="622">
        <v>1189</v>
      </c>
      <c r="C555" s="622">
        <v>311</v>
      </c>
      <c r="D555" s="622">
        <v>431</v>
      </c>
      <c r="E555" s="622">
        <v>27</v>
      </c>
      <c r="F555" s="622">
        <v>37</v>
      </c>
      <c r="G555" s="622">
        <v>213</v>
      </c>
      <c r="H555" s="622">
        <v>131</v>
      </c>
      <c r="Q555" s="620"/>
      <c r="R555" s="620"/>
      <c r="S555" s="620"/>
      <c r="T555" s="620"/>
      <c r="U555" s="620"/>
      <c r="V555" s="620"/>
      <c r="W555" s="620"/>
    </row>
    <row r="556" spans="1:23" s="263" customFormat="1" ht="9" customHeight="1" x14ac:dyDescent="0.25">
      <c r="A556" s="550" t="s">
        <v>25</v>
      </c>
      <c r="B556" s="621">
        <v>97</v>
      </c>
      <c r="C556" s="621">
        <v>61</v>
      </c>
      <c r="D556" s="621">
        <v>58</v>
      </c>
      <c r="E556" s="621">
        <v>5</v>
      </c>
      <c r="F556" s="621">
        <v>8</v>
      </c>
      <c r="G556" s="621">
        <v>15</v>
      </c>
      <c r="H556" s="621">
        <v>10</v>
      </c>
      <c r="Q556" s="620"/>
      <c r="R556" s="620"/>
      <c r="S556" s="620"/>
      <c r="T556" s="620"/>
      <c r="U556" s="620"/>
      <c r="V556" s="620"/>
      <c r="W556" s="620"/>
    </row>
    <row r="557" spans="1:23" s="263" customFormat="1" ht="9" customHeight="1" x14ac:dyDescent="0.25">
      <c r="A557" s="603" t="s">
        <v>26</v>
      </c>
      <c r="B557" s="623">
        <v>96</v>
      </c>
      <c r="C557" s="623">
        <v>6</v>
      </c>
      <c r="D557" s="623">
        <v>79</v>
      </c>
      <c r="E557" s="623">
        <v>5</v>
      </c>
      <c r="F557" s="623">
        <v>7</v>
      </c>
      <c r="G557" s="623">
        <v>13</v>
      </c>
      <c r="H557" s="623">
        <v>10</v>
      </c>
      <c r="Q557" s="620"/>
      <c r="R557" s="620"/>
      <c r="S557" s="620"/>
      <c r="T557" s="620"/>
      <c r="U557" s="620"/>
      <c r="V557" s="620"/>
      <c r="W557" s="620"/>
    </row>
    <row r="558" spans="1:23" s="263" customFormat="1" ht="9" customHeight="1" x14ac:dyDescent="0.25">
      <c r="A558" s="550" t="s">
        <v>27</v>
      </c>
      <c r="B558" s="621">
        <v>623</v>
      </c>
      <c r="C558" s="621">
        <v>254</v>
      </c>
      <c r="D558" s="621">
        <v>473</v>
      </c>
      <c r="E558" s="621">
        <v>19</v>
      </c>
      <c r="F558" s="621">
        <v>31</v>
      </c>
      <c r="G558" s="621">
        <v>69</v>
      </c>
      <c r="H558" s="621">
        <v>32</v>
      </c>
      <c r="Q558" s="620"/>
      <c r="R558" s="620"/>
      <c r="S558" s="620"/>
      <c r="T558" s="620"/>
      <c r="U558" s="620"/>
      <c r="V558" s="620"/>
      <c r="W558" s="620"/>
    </row>
    <row r="559" spans="1:23" s="263" customFormat="1" ht="9" customHeight="1" x14ac:dyDescent="0.25">
      <c r="A559" s="550" t="s">
        <v>28</v>
      </c>
      <c r="B559" s="621">
        <v>128</v>
      </c>
      <c r="C559" s="621">
        <v>28</v>
      </c>
      <c r="D559" s="621">
        <v>54</v>
      </c>
      <c r="E559" s="621">
        <v>10</v>
      </c>
      <c r="F559" s="621">
        <v>8</v>
      </c>
      <c r="G559" s="621">
        <v>19</v>
      </c>
      <c r="H559" s="621">
        <v>7</v>
      </c>
      <c r="Q559" s="620"/>
      <c r="R559" s="620"/>
      <c r="S559" s="620"/>
      <c r="T559" s="620"/>
      <c r="U559" s="620"/>
      <c r="V559" s="620"/>
      <c r="W559" s="620"/>
    </row>
    <row r="560" spans="1:23" s="263" customFormat="1" ht="9" customHeight="1" x14ac:dyDescent="0.25">
      <c r="A560" s="550" t="s">
        <v>29</v>
      </c>
      <c r="B560" s="621">
        <v>638</v>
      </c>
      <c r="C560" s="621">
        <v>144</v>
      </c>
      <c r="D560" s="621">
        <v>166</v>
      </c>
      <c r="E560" s="621">
        <v>11</v>
      </c>
      <c r="F560" s="621">
        <v>21</v>
      </c>
      <c r="G560" s="621">
        <v>88</v>
      </c>
      <c r="H560" s="621">
        <v>39</v>
      </c>
      <c r="Q560" s="620"/>
      <c r="R560" s="620"/>
      <c r="S560" s="620"/>
      <c r="T560" s="620"/>
      <c r="U560" s="620"/>
      <c r="V560" s="620"/>
      <c r="W560" s="620"/>
    </row>
    <row r="561" spans="1:23" s="263" customFormat="1" ht="9" customHeight="1" x14ac:dyDescent="0.25">
      <c r="A561" s="603" t="s">
        <v>30</v>
      </c>
      <c r="B561" s="623">
        <v>1155</v>
      </c>
      <c r="C561" s="623">
        <v>489</v>
      </c>
      <c r="D561" s="623">
        <v>640</v>
      </c>
      <c r="E561" s="623">
        <v>28</v>
      </c>
      <c r="F561" s="623">
        <v>51</v>
      </c>
      <c r="G561" s="623">
        <v>128</v>
      </c>
      <c r="H561" s="623">
        <v>76</v>
      </c>
      <c r="Q561" s="620"/>
      <c r="R561" s="620"/>
      <c r="S561" s="620"/>
      <c r="T561" s="620"/>
      <c r="U561" s="620"/>
      <c r="V561" s="620"/>
      <c r="W561" s="620"/>
    </row>
    <row r="562" spans="1:23" s="263" customFormat="1" ht="9" customHeight="1" x14ac:dyDescent="0.25">
      <c r="A562" s="550" t="s">
        <v>63</v>
      </c>
      <c r="B562" s="621">
        <v>5200</v>
      </c>
      <c r="C562" s="621">
        <v>1255</v>
      </c>
      <c r="D562" s="621">
        <v>2229</v>
      </c>
      <c r="E562" s="621">
        <v>71</v>
      </c>
      <c r="F562" s="621">
        <v>141</v>
      </c>
      <c r="G562" s="621">
        <v>601</v>
      </c>
      <c r="H562" s="621">
        <v>272</v>
      </c>
      <c r="Q562" s="620"/>
      <c r="R562" s="620"/>
      <c r="S562" s="620"/>
      <c r="T562" s="620"/>
      <c r="U562" s="620"/>
      <c r="V562" s="620"/>
      <c r="W562" s="620"/>
    </row>
    <row r="563" spans="1:23" s="263" customFormat="1" ht="9" customHeight="1" x14ac:dyDescent="0.25">
      <c r="A563" s="550" t="s">
        <v>31</v>
      </c>
      <c r="B563" s="621">
        <v>318</v>
      </c>
      <c r="C563" s="621">
        <v>23</v>
      </c>
      <c r="D563" s="621">
        <v>70</v>
      </c>
      <c r="E563" s="621">
        <v>8</v>
      </c>
      <c r="F563" s="621">
        <v>25</v>
      </c>
      <c r="G563" s="621">
        <v>54</v>
      </c>
      <c r="H563" s="621">
        <v>28</v>
      </c>
      <c r="Q563" s="620"/>
      <c r="R563" s="620"/>
      <c r="S563" s="620"/>
      <c r="T563" s="620"/>
      <c r="U563" s="620"/>
      <c r="V563" s="620"/>
      <c r="W563" s="620"/>
    </row>
    <row r="564" spans="1:23" s="263" customFormat="1" ht="9" customHeight="1" x14ac:dyDescent="0.25">
      <c r="A564" s="550" t="s">
        <v>32</v>
      </c>
      <c r="B564" s="621">
        <v>2410</v>
      </c>
      <c r="C564" s="621">
        <v>664</v>
      </c>
      <c r="D564" s="621">
        <v>1159</v>
      </c>
      <c r="E564" s="621">
        <v>67</v>
      </c>
      <c r="F564" s="621">
        <v>144</v>
      </c>
      <c r="G564" s="621">
        <v>364</v>
      </c>
      <c r="H564" s="621">
        <v>236</v>
      </c>
      <c r="Q564" s="620"/>
      <c r="R564" s="620"/>
      <c r="S564" s="620"/>
      <c r="T564" s="620"/>
      <c r="U564" s="620"/>
      <c r="V564" s="620"/>
      <c r="W564" s="620"/>
    </row>
    <row r="565" spans="1:23" s="263" customFormat="1" ht="9" customHeight="1" x14ac:dyDescent="0.25">
      <c r="A565" s="603" t="s">
        <v>33</v>
      </c>
      <c r="B565" s="623">
        <v>801</v>
      </c>
      <c r="C565" s="623">
        <v>167</v>
      </c>
      <c r="D565" s="623">
        <v>406</v>
      </c>
      <c r="E565" s="623">
        <v>22</v>
      </c>
      <c r="F565" s="623">
        <v>22</v>
      </c>
      <c r="G565" s="623">
        <v>119</v>
      </c>
      <c r="H565" s="623">
        <v>78</v>
      </c>
      <c r="Q565" s="620"/>
      <c r="R565" s="620"/>
      <c r="S565" s="620"/>
      <c r="T565" s="620"/>
      <c r="U565" s="620"/>
      <c r="V565" s="620"/>
      <c r="W565" s="620"/>
    </row>
    <row r="566" spans="1:23" s="263" customFormat="1" ht="9" customHeight="1" x14ac:dyDescent="0.25">
      <c r="A566" s="550" t="s">
        <v>34</v>
      </c>
      <c r="B566" s="621">
        <v>783</v>
      </c>
      <c r="C566" s="621">
        <v>154</v>
      </c>
      <c r="D566" s="621">
        <v>317</v>
      </c>
      <c r="E566" s="621">
        <v>11</v>
      </c>
      <c r="F566" s="621">
        <v>17</v>
      </c>
      <c r="G566" s="621">
        <v>128</v>
      </c>
      <c r="H566" s="621">
        <v>98</v>
      </c>
      <c r="Q566" s="620"/>
      <c r="R566" s="620"/>
      <c r="S566" s="620"/>
      <c r="T566" s="620"/>
      <c r="U566" s="620"/>
      <c r="V566" s="620"/>
      <c r="W566" s="620"/>
    </row>
    <row r="567" spans="1:23" s="263" customFormat="1" ht="9" customHeight="1" x14ac:dyDescent="0.25">
      <c r="A567" s="550" t="s">
        <v>35</v>
      </c>
      <c r="B567" s="621">
        <v>3109</v>
      </c>
      <c r="C567" s="621">
        <v>849</v>
      </c>
      <c r="D567" s="621">
        <v>703</v>
      </c>
      <c r="E567" s="621">
        <v>81</v>
      </c>
      <c r="F567" s="621">
        <v>111</v>
      </c>
      <c r="G567" s="621">
        <v>410</v>
      </c>
      <c r="H567" s="621">
        <v>195</v>
      </c>
      <c r="Q567" s="620"/>
      <c r="R567" s="620"/>
      <c r="S567" s="620"/>
      <c r="T567" s="620"/>
      <c r="U567" s="620"/>
      <c r="V567" s="620"/>
      <c r="W567" s="620"/>
    </row>
    <row r="568" spans="1:23" s="263" customFormat="1" ht="9" customHeight="1" x14ac:dyDescent="0.25">
      <c r="A568" s="550" t="s">
        <v>36</v>
      </c>
      <c r="B568" s="621">
        <v>4123</v>
      </c>
      <c r="C568" s="621">
        <v>815</v>
      </c>
      <c r="D568" s="621">
        <v>1966</v>
      </c>
      <c r="E568" s="621">
        <v>103</v>
      </c>
      <c r="F568" s="621">
        <v>142</v>
      </c>
      <c r="G568" s="621">
        <v>671</v>
      </c>
      <c r="H568" s="621">
        <v>512</v>
      </c>
      <c r="Q568" s="620"/>
      <c r="R568" s="620"/>
      <c r="S568" s="620"/>
      <c r="T568" s="620"/>
      <c r="U568" s="620"/>
      <c r="V568" s="620"/>
      <c r="W568" s="620"/>
    </row>
    <row r="569" spans="1:23" s="263" customFormat="1" ht="9" customHeight="1" x14ac:dyDescent="0.25">
      <c r="A569" s="603" t="s">
        <v>37</v>
      </c>
      <c r="B569" s="623">
        <v>1900</v>
      </c>
      <c r="C569" s="623">
        <v>245</v>
      </c>
      <c r="D569" s="623">
        <v>616</v>
      </c>
      <c r="E569" s="623">
        <v>49</v>
      </c>
      <c r="F569" s="623">
        <v>67</v>
      </c>
      <c r="G569" s="623">
        <v>242</v>
      </c>
      <c r="H569" s="623">
        <v>165</v>
      </c>
      <c r="Q569" s="620"/>
      <c r="R569" s="620"/>
      <c r="S569" s="620"/>
      <c r="T569" s="620"/>
      <c r="U569" s="620"/>
      <c r="V569" s="620"/>
      <c r="W569" s="620"/>
    </row>
    <row r="570" spans="1:23" s="263" customFormat="1" ht="9" customHeight="1" x14ac:dyDescent="0.25">
      <c r="A570" s="550" t="s">
        <v>38</v>
      </c>
      <c r="B570" s="621">
        <v>447</v>
      </c>
      <c r="C570" s="621">
        <v>138</v>
      </c>
      <c r="D570" s="621">
        <v>170</v>
      </c>
      <c r="E570" s="621">
        <v>14</v>
      </c>
      <c r="F570" s="621">
        <v>12</v>
      </c>
      <c r="G570" s="621">
        <v>88</v>
      </c>
      <c r="H570" s="621">
        <v>64</v>
      </c>
      <c r="Q570" s="620"/>
      <c r="R570" s="620"/>
      <c r="S570" s="620"/>
      <c r="T570" s="620"/>
      <c r="U570" s="620"/>
      <c r="V570" s="620"/>
      <c r="W570" s="620"/>
    </row>
    <row r="571" spans="1:23" s="263" customFormat="1" ht="9" customHeight="1" x14ac:dyDescent="0.25">
      <c r="A571" s="550" t="s">
        <v>39</v>
      </c>
      <c r="B571" s="621">
        <v>152</v>
      </c>
      <c r="C571" s="621">
        <v>12</v>
      </c>
      <c r="D571" s="621">
        <v>40</v>
      </c>
      <c r="E571" s="621">
        <v>12</v>
      </c>
      <c r="F571" s="621">
        <v>11</v>
      </c>
      <c r="G571" s="621">
        <v>24</v>
      </c>
      <c r="H571" s="621">
        <v>14</v>
      </c>
      <c r="Q571" s="620"/>
      <c r="R571" s="620"/>
      <c r="S571" s="620"/>
      <c r="T571" s="620"/>
      <c r="U571" s="620"/>
      <c r="V571" s="620"/>
      <c r="W571" s="620"/>
    </row>
    <row r="572" spans="1:23" s="263" customFormat="1" ht="9" customHeight="1" x14ac:dyDescent="0.25">
      <c r="A572" s="550" t="s">
        <v>40</v>
      </c>
      <c r="B572" s="621">
        <v>1710</v>
      </c>
      <c r="C572" s="621">
        <v>743</v>
      </c>
      <c r="D572" s="621">
        <v>443</v>
      </c>
      <c r="E572" s="621">
        <v>47</v>
      </c>
      <c r="F572" s="621">
        <v>95</v>
      </c>
      <c r="G572" s="621">
        <v>184</v>
      </c>
      <c r="H572" s="621">
        <v>78</v>
      </c>
      <c r="Q572" s="620"/>
      <c r="R572" s="620"/>
      <c r="S572" s="620"/>
      <c r="T572" s="620"/>
      <c r="U572" s="620"/>
      <c r="V572" s="620"/>
      <c r="W572" s="620"/>
    </row>
    <row r="573" spans="1:23" s="263" customFormat="1" ht="9" customHeight="1" x14ac:dyDescent="0.25">
      <c r="A573" s="603" t="s">
        <v>41</v>
      </c>
      <c r="B573" s="623">
        <v>803</v>
      </c>
      <c r="C573" s="623">
        <v>76</v>
      </c>
      <c r="D573" s="623">
        <v>418</v>
      </c>
      <c r="E573" s="623">
        <v>25</v>
      </c>
      <c r="F573" s="623">
        <v>28</v>
      </c>
      <c r="G573" s="623">
        <v>136</v>
      </c>
      <c r="H573" s="623">
        <v>101</v>
      </c>
      <c r="Q573" s="620"/>
      <c r="R573" s="620"/>
      <c r="S573" s="620"/>
      <c r="T573" s="620"/>
      <c r="U573" s="620"/>
      <c r="V573" s="620"/>
      <c r="W573" s="620"/>
    </row>
    <row r="574" spans="1:23" s="263" customFormat="1" ht="9" customHeight="1" x14ac:dyDescent="0.25">
      <c r="A574" s="550" t="s">
        <v>42</v>
      </c>
      <c r="B574" s="621">
        <v>2117</v>
      </c>
      <c r="C574" s="621">
        <v>410</v>
      </c>
      <c r="D574" s="621">
        <v>530</v>
      </c>
      <c r="E574" s="621">
        <v>56</v>
      </c>
      <c r="F574" s="621">
        <v>40</v>
      </c>
      <c r="G574" s="621">
        <v>255</v>
      </c>
      <c r="H574" s="621">
        <v>150</v>
      </c>
      <c r="Q574" s="620"/>
      <c r="R574" s="620"/>
      <c r="S574" s="620"/>
      <c r="T574" s="620"/>
      <c r="U574" s="620"/>
      <c r="V574" s="620"/>
      <c r="W574" s="620"/>
    </row>
    <row r="575" spans="1:23" s="263" customFormat="1" ht="9" customHeight="1" x14ac:dyDescent="0.25">
      <c r="A575" s="550" t="s">
        <v>43</v>
      </c>
      <c r="B575" s="621">
        <v>660</v>
      </c>
      <c r="C575" s="621">
        <v>172</v>
      </c>
      <c r="D575" s="621">
        <v>394</v>
      </c>
      <c r="E575" s="621">
        <v>14</v>
      </c>
      <c r="F575" s="621">
        <v>19</v>
      </c>
      <c r="G575" s="621">
        <v>105</v>
      </c>
      <c r="H575" s="621">
        <v>60</v>
      </c>
      <c r="Q575" s="620"/>
      <c r="R575" s="620"/>
      <c r="S575" s="620"/>
      <c r="T575" s="620"/>
      <c r="U575" s="620"/>
      <c r="V575" s="620"/>
      <c r="W575" s="620"/>
    </row>
    <row r="576" spans="1:23" s="263" customFormat="1" ht="9" customHeight="1" x14ac:dyDescent="0.25">
      <c r="A576" s="550" t="s">
        <v>44</v>
      </c>
      <c r="B576" s="621">
        <v>303</v>
      </c>
      <c r="C576" s="621">
        <v>136</v>
      </c>
      <c r="D576" s="621">
        <v>185</v>
      </c>
      <c r="E576" s="621">
        <v>20</v>
      </c>
      <c r="F576" s="621">
        <v>22</v>
      </c>
      <c r="G576" s="621">
        <v>49</v>
      </c>
      <c r="H576" s="621">
        <v>29</v>
      </c>
      <c r="Q576" s="620"/>
      <c r="R576" s="620"/>
      <c r="S576" s="620"/>
      <c r="T576" s="620"/>
      <c r="U576" s="620"/>
      <c r="V576" s="620"/>
      <c r="W576" s="620"/>
    </row>
    <row r="577" spans="1:23" s="263" customFormat="1" ht="9" customHeight="1" x14ac:dyDescent="0.25">
      <c r="A577" s="603" t="s">
        <v>45</v>
      </c>
      <c r="B577" s="623">
        <v>625</v>
      </c>
      <c r="C577" s="623">
        <v>276</v>
      </c>
      <c r="D577" s="623">
        <v>191</v>
      </c>
      <c r="E577" s="623">
        <v>18</v>
      </c>
      <c r="F577" s="623">
        <v>22</v>
      </c>
      <c r="G577" s="623">
        <v>88</v>
      </c>
      <c r="H577" s="623">
        <v>48</v>
      </c>
      <c r="Q577" s="620"/>
      <c r="R577" s="620"/>
      <c r="S577" s="620"/>
      <c r="T577" s="620"/>
      <c r="U577" s="620"/>
      <c r="V577" s="620"/>
      <c r="W577" s="620"/>
    </row>
    <row r="578" spans="1:23" s="263" customFormat="1" ht="9" customHeight="1" x14ac:dyDescent="0.25">
      <c r="A578" s="550" t="s">
        <v>46</v>
      </c>
      <c r="B578" s="621">
        <v>693</v>
      </c>
      <c r="C578" s="621">
        <v>195</v>
      </c>
      <c r="D578" s="621">
        <v>178</v>
      </c>
      <c r="E578" s="621">
        <v>16</v>
      </c>
      <c r="F578" s="621">
        <v>25</v>
      </c>
      <c r="G578" s="621">
        <v>107</v>
      </c>
      <c r="H578" s="621">
        <v>49</v>
      </c>
      <c r="Q578" s="620"/>
      <c r="R578" s="620"/>
      <c r="S578" s="620"/>
      <c r="T578" s="620"/>
      <c r="U578" s="620"/>
      <c r="V578" s="620"/>
      <c r="W578" s="620"/>
    </row>
    <row r="579" spans="1:23" s="263" customFormat="1" ht="9" customHeight="1" x14ac:dyDescent="0.25">
      <c r="A579" s="550" t="s">
        <v>47</v>
      </c>
      <c r="B579" s="621">
        <v>630</v>
      </c>
      <c r="C579" s="621">
        <v>177</v>
      </c>
      <c r="D579" s="621">
        <v>190</v>
      </c>
      <c r="E579" s="621">
        <v>14</v>
      </c>
      <c r="F579" s="621">
        <v>28</v>
      </c>
      <c r="G579" s="621">
        <v>90</v>
      </c>
      <c r="H579" s="621">
        <v>54</v>
      </c>
      <c r="Q579" s="620"/>
      <c r="R579" s="620"/>
      <c r="S579" s="620"/>
      <c r="T579" s="620"/>
      <c r="U579" s="620"/>
      <c r="V579" s="620"/>
      <c r="W579" s="620"/>
    </row>
    <row r="580" spans="1:23" s="263" customFormat="1" ht="9" customHeight="1" x14ac:dyDescent="0.25">
      <c r="A580" s="550" t="s">
        <v>48</v>
      </c>
      <c r="B580" s="621">
        <v>384</v>
      </c>
      <c r="C580" s="621">
        <v>79</v>
      </c>
      <c r="D580" s="621">
        <v>199</v>
      </c>
      <c r="E580" s="621">
        <v>13</v>
      </c>
      <c r="F580" s="621">
        <v>16</v>
      </c>
      <c r="G580" s="621">
        <v>70</v>
      </c>
      <c r="H580" s="621">
        <v>44</v>
      </c>
      <c r="Q580" s="620"/>
      <c r="R580" s="620"/>
      <c r="S580" s="620"/>
      <c r="T580" s="620"/>
      <c r="U580" s="620"/>
      <c r="V580" s="620"/>
      <c r="W580" s="620"/>
    </row>
    <row r="581" spans="1:23" s="263" customFormat="1" ht="9" customHeight="1" x14ac:dyDescent="0.25">
      <c r="A581" s="603" t="s">
        <v>49</v>
      </c>
      <c r="B581" s="623">
        <v>750</v>
      </c>
      <c r="C581" s="623">
        <v>222</v>
      </c>
      <c r="D581" s="623">
        <v>214</v>
      </c>
      <c r="E581" s="623">
        <v>27</v>
      </c>
      <c r="F581" s="623">
        <v>38</v>
      </c>
      <c r="G581" s="623">
        <v>106</v>
      </c>
      <c r="H581" s="623">
        <v>52</v>
      </c>
      <c r="Q581" s="620"/>
      <c r="R581" s="620"/>
      <c r="S581" s="620"/>
      <c r="T581" s="620"/>
      <c r="U581" s="620"/>
      <c r="V581" s="620"/>
      <c r="W581" s="620"/>
    </row>
    <row r="582" spans="1:23" s="263" customFormat="1" ht="9" customHeight="1" x14ac:dyDescent="0.25">
      <c r="A582" s="550" t="s">
        <v>50</v>
      </c>
      <c r="B582" s="621">
        <v>318</v>
      </c>
      <c r="C582" s="621">
        <v>96</v>
      </c>
      <c r="D582" s="621">
        <v>123</v>
      </c>
      <c r="E582" s="621">
        <v>6</v>
      </c>
      <c r="F582" s="621">
        <v>4</v>
      </c>
      <c r="G582" s="621">
        <v>59</v>
      </c>
      <c r="H582" s="621">
        <v>49</v>
      </c>
      <c r="Q582" s="620"/>
      <c r="R582" s="620"/>
      <c r="S582" s="620"/>
      <c r="T582" s="620"/>
      <c r="U582" s="620"/>
      <c r="V582" s="620"/>
      <c r="W582" s="620"/>
    </row>
    <row r="583" spans="1:23" s="263" customFormat="1" ht="9" customHeight="1" x14ac:dyDescent="0.25">
      <c r="A583" s="550" t="s">
        <v>51</v>
      </c>
      <c r="B583" s="621">
        <v>1449</v>
      </c>
      <c r="C583" s="621">
        <v>329</v>
      </c>
      <c r="D583" s="621">
        <v>439</v>
      </c>
      <c r="E583" s="621">
        <v>42</v>
      </c>
      <c r="F583" s="621">
        <v>55</v>
      </c>
      <c r="G583" s="621">
        <v>221</v>
      </c>
      <c r="H583" s="621">
        <v>134</v>
      </c>
      <c r="Q583" s="620"/>
      <c r="R583" s="620"/>
      <c r="S583" s="620"/>
      <c r="T583" s="620"/>
      <c r="U583" s="620"/>
      <c r="V583" s="620"/>
      <c r="W583" s="620"/>
    </row>
    <row r="584" spans="1:23" s="263" customFormat="1" ht="9" customHeight="1" x14ac:dyDescent="0.25">
      <c r="A584" s="550" t="s">
        <v>52</v>
      </c>
      <c r="B584" s="621">
        <v>451</v>
      </c>
      <c r="C584" s="621">
        <v>182</v>
      </c>
      <c r="D584" s="621">
        <v>111</v>
      </c>
      <c r="E584" s="621">
        <v>11</v>
      </c>
      <c r="F584" s="621">
        <v>22</v>
      </c>
      <c r="G584" s="621">
        <v>55</v>
      </c>
      <c r="H584" s="621">
        <v>28</v>
      </c>
      <c r="Q584" s="620"/>
      <c r="R584" s="620"/>
      <c r="S584" s="620"/>
      <c r="T584" s="620"/>
      <c r="U584" s="620"/>
      <c r="V584" s="620"/>
      <c r="W584" s="620"/>
    </row>
    <row r="585" spans="1:23" s="263" customFormat="1" ht="9" customHeight="1" x14ac:dyDescent="0.25">
      <c r="A585" s="267" t="s">
        <v>53</v>
      </c>
      <c r="B585" s="618">
        <v>440</v>
      </c>
      <c r="C585" s="618">
        <v>58</v>
      </c>
      <c r="D585" s="618">
        <v>176</v>
      </c>
      <c r="E585" s="618">
        <v>10</v>
      </c>
      <c r="F585" s="618">
        <v>16</v>
      </c>
      <c r="G585" s="618">
        <v>51</v>
      </c>
      <c r="H585" s="618">
        <v>29</v>
      </c>
      <c r="Q585" s="620"/>
      <c r="R585" s="620"/>
      <c r="S585" s="620"/>
      <c r="T585" s="620"/>
      <c r="U585" s="620"/>
      <c r="V585" s="620"/>
      <c r="W585" s="620"/>
    </row>
    <row r="586" spans="1:23" s="263" customFormat="1" ht="9" customHeight="1" x14ac:dyDescent="0.25">
      <c r="A586" s="286"/>
      <c r="B586" s="619"/>
      <c r="C586" s="619"/>
      <c r="D586" s="619"/>
      <c r="E586" s="619"/>
      <c r="F586" s="619"/>
      <c r="G586" s="619"/>
      <c r="H586" s="619"/>
      <c r="Q586" s="620"/>
      <c r="R586" s="620"/>
      <c r="S586" s="620"/>
      <c r="T586" s="620"/>
      <c r="U586" s="620"/>
      <c r="V586" s="620"/>
      <c r="W586" s="620"/>
    </row>
    <row r="587" spans="1:23" s="263" customFormat="1" ht="9" customHeight="1" x14ac:dyDescent="0.25">
      <c r="A587" s="261">
        <v>2011</v>
      </c>
      <c r="B587" s="262"/>
      <c r="C587" s="262"/>
      <c r="D587" s="262"/>
      <c r="E587" s="262"/>
      <c r="F587" s="262"/>
      <c r="G587" s="262"/>
      <c r="H587" s="262"/>
      <c r="Q587" s="620"/>
      <c r="R587" s="620"/>
      <c r="S587" s="620"/>
      <c r="T587" s="620"/>
      <c r="U587" s="620"/>
      <c r="V587" s="620"/>
      <c r="W587" s="620"/>
    </row>
    <row r="588" spans="1:23" s="265" customFormat="1" ht="9" customHeight="1" x14ac:dyDescent="0.25">
      <c r="A588" s="265" t="s">
        <v>21</v>
      </c>
      <c r="B588" s="615">
        <f t="shared" ref="B588:H588" si="16">SUM(B590:B621)</f>
        <v>34807</v>
      </c>
      <c r="C588" s="615">
        <f t="shared" si="16"/>
        <v>9308</v>
      </c>
      <c r="D588" s="615">
        <f t="shared" si="16"/>
        <v>13472</v>
      </c>
      <c r="E588" s="615">
        <f t="shared" si="16"/>
        <v>883</v>
      </c>
      <c r="F588" s="615">
        <f t="shared" si="16"/>
        <v>1237</v>
      </c>
      <c r="G588" s="624">
        <f t="shared" si="16"/>
        <v>4882</v>
      </c>
      <c r="H588" s="624">
        <f t="shared" si="16"/>
        <v>2862</v>
      </c>
      <c r="Q588" s="620"/>
      <c r="R588" s="620"/>
      <c r="S588" s="620"/>
      <c r="T588" s="620"/>
      <c r="U588" s="620"/>
      <c r="V588" s="620"/>
      <c r="W588" s="620"/>
    </row>
    <row r="589" spans="1:23" s="265" customFormat="1" ht="3.95" customHeight="1" x14ac:dyDescent="0.25">
      <c r="B589" s="615"/>
      <c r="C589" s="615"/>
      <c r="D589" s="615"/>
      <c r="E589" s="615"/>
      <c r="F589" s="615"/>
      <c r="G589" s="615"/>
      <c r="H589" s="615"/>
      <c r="Q589" s="620"/>
      <c r="R589" s="620"/>
      <c r="S589" s="620"/>
      <c r="T589" s="620"/>
      <c r="U589" s="620"/>
      <c r="V589" s="620"/>
      <c r="W589" s="620"/>
    </row>
    <row r="590" spans="1:23" s="263" customFormat="1" ht="9" customHeight="1" x14ac:dyDescent="0.25">
      <c r="A590" s="550" t="s">
        <v>23</v>
      </c>
      <c r="B590" s="621">
        <v>379</v>
      </c>
      <c r="C590" s="621">
        <v>126</v>
      </c>
      <c r="D590" s="621">
        <v>100</v>
      </c>
      <c r="E590" s="621">
        <v>12</v>
      </c>
      <c r="F590" s="621">
        <v>14</v>
      </c>
      <c r="G590" s="621">
        <v>52</v>
      </c>
      <c r="H590" s="621">
        <v>15</v>
      </c>
      <c r="Q590" s="620"/>
      <c r="R590" s="620"/>
      <c r="S590" s="620"/>
      <c r="T590" s="620"/>
      <c r="U590" s="620"/>
      <c r="V590" s="620"/>
      <c r="W590" s="620"/>
    </row>
    <row r="591" spans="1:23" s="263" customFormat="1" ht="9" customHeight="1" x14ac:dyDescent="0.25">
      <c r="A591" s="550" t="s">
        <v>24</v>
      </c>
      <c r="B591" s="622">
        <v>1267</v>
      </c>
      <c r="C591" s="622">
        <v>398</v>
      </c>
      <c r="D591" s="622">
        <v>433</v>
      </c>
      <c r="E591" s="622">
        <v>27</v>
      </c>
      <c r="F591" s="622">
        <v>32</v>
      </c>
      <c r="G591" s="622">
        <v>214</v>
      </c>
      <c r="H591" s="622">
        <v>122</v>
      </c>
      <c r="Q591" s="620"/>
      <c r="R591" s="620"/>
      <c r="S591" s="620"/>
      <c r="T591" s="620"/>
      <c r="U591" s="620"/>
      <c r="V591" s="620"/>
      <c r="W591" s="620"/>
    </row>
    <row r="592" spans="1:23" s="263" customFormat="1" ht="9" customHeight="1" x14ac:dyDescent="0.25">
      <c r="A592" s="550" t="s">
        <v>25</v>
      </c>
      <c r="B592" s="621">
        <v>101</v>
      </c>
      <c r="C592" s="621">
        <v>47</v>
      </c>
      <c r="D592" s="621">
        <v>69</v>
      </c>
      <c r="E592" s="621">
        <v>5</v>
      </c>
      <c r="F592" s="621">
        <v>8</v>
      </c>
      <c r="G592" s="621">
        <v>15</v>
      </c>
      <c r="H592" s="621">
        <v>11</v>
      </c>
      <c r="Q592" s="620"/>
      <c r="R592" s="620"/>
      <c r="S592" s="620"/>
      <c r="T592" s="620"/>
      <c r="U592" s="620"/>
      <c r="V592" s="620"/>
      <c r="W592" s="620"/>
    </row>
    <row r="593" spans="1:23" s="263" customFormat="1" ht="9" customHeight="1" x14ac:dyDescent="0.25">
      <c r="A593" s="603" t="s">
        <v>26</v>
      </c>
      <c r="B593" s="623">
        <v>108</v>
      </c>
      <c r="C593" s="623">
        <v>13</v>
      </c>
      <c r="D593" s="623">
        <v>106</v>
      </c>
      <c r="E593" s="623">
        <v>7</v>
      </c>
      <c r="F593" s="623">
        <v>9</v>
      </c>
      <c r="G593" s="623">
        <v>17</v>
      </c>
      <c r="H593" s="623">
        <v>11</v>
      </c>
      <c r="Q593" s="620"/>
      <c r="R593" s="620"/>
      <c r="S593" s="620"/>
      <c r="T593" s="620"/>
      <c r="U593" s="620"/>
      <c r="V593" s="620"/>
      <c r="W593" s="620"/>
    </row>
    <row r="594" spans="1:23" s="263" customFormat="1" ht="9" customHeight="1" x14ac:dyDescent="0.25">
      <c r="A594" s="550" t="s">
        <v>27</v>
      </c>
      <c r="B594" s="621">
        <v>615</v>
      </c>
      <c r="C594" s="621">
        <v>254</v>
      </c>
      <c r="D594" s="621">
        <v>453</v>
      </c>
      <c r="E594" s="621">
        <v>19</v>
      </c>
      <c r="F594" s="621">
        <v>28</v>
      </c>
      <c r="G594" s="621">
        <v>65</v>
      </c>
      <c r="H594" s="621">
        <v>28</v>
      </c>
      <c r="Q594" s="620"/>
      <c r="R594" s="620"/>
      <c r="S594" s="620"/>
      <c r="T594" s="620"/>
      <c r="U594" s="620"/>
      <c r="V594" s="620"/>
      <c r="W594" s="620"/>
    </row>
    <row r="595" spans="1:23" s="263" customFormat="1" ht="9" customHeight="1" x14ac:dyDescent="0.25">
      <c r="A595" s="550" t="s">
        <v>28</v>
      </c>
      <c r="B595" s="621">
        <v>129</v>
      </c>
      <c r="C595" s="621">
        <v>32</v>
      </c>
      <c r="D595" s="621">
        <v>41</v>
      </c>
      <c r="E595" s="621">
        <v>8</v>
      </c>
      <c r="F595" s="621">
        <v>7</v>
      </c>
      <c r="G595" s="621">
        <v>21</v>
      </c>
      <c r="H595" s="621">
        <v>12</v>
      </c>
      <c r="Q595" s="620"/>
      <c r="R595" s="620"/>
      <c r="S595" s="620"/>
      <c r="T595" s="620"/>
      <c r="U595" s="620"/>
      <c r="V595" s="620"/>
      <c r="W595" s="620"/>
    </row>
    <row r="596" spans="1:23" s="263" customFormat="1" ht="9" customHeight="1" x14ac:dyDescent="0.25">
      <c r="A596" s="550" t="s">
        <v>29</v>
      </c>
      <c r="B596" s="621">
        <v>623</v>
      </c>
      <c r="C596" s="621">
        <v>158</v>
      </c>
      <c r="D596" s="621">
        <v>177</v>
      </c>
      <c r="E596" s="621">
        <v>13</v>
      </c>
      <c r="F596" s="621">
        <v>16</v>
      </c>
      <c r="G596" s="621">
        <v>86</v>
      </c>
      <c r="H596" s="621">
        <v>44</v>
      </c>
      <c r="Q596" s="620"/>
      <c r="R596" s="620"/>
      <c r="S596" s="620"/>
      <c r="T596" s="620"/>
      <c r="U596" s="620"/>
      <c r="V596" s="620"/>
      <c r="W596" s="620"/>
    </row>
    <row r="597" spans="1:23" s="263" customFormat="1" ht="9" customHeight="1" x14ac:dyDescent="0.25">
      <c r="A597" s="603" t="s">
        <v>30</v>
      </c>
      <c r="B597" s="623">
        <v>1201</v>
      </c>
      <c r="C597" s="623">
        <v>511</v>
      </c>
      <c r="D597" s="623">
        <v>632</v>
      </c>
      <c r="E597" s="623">
        <v>31</v>
      </c>
      <c r="F597" s="623">
        <v>54</v>
      </c>
      <c r="G597" s="623">
        <v>132</v>
      </c>
      <c r="H597" s="623">
        <v>77</v>
      </c>
      <c r="Q597" s="620"/>
      <c r="R597" s="620"/>
      <c r="S597" s="620"/>
      <c r="T597" s="620"/>
      <c r="U597" s="620"/>
      <c r="V597" s="620"/>
      <c r="W597" s="620"/>
    </row>
    <row r="598" spans="1:23" s="263" customFormat="1" ht="9" customHeight="1" x14ac:dyDescent="0.25">
      <c r="A598" s="550" t="s">
        <v>63</v>
      </c>
      <c r="B598" s="621">
        <v>4856</v>
      </c>
      <c r="C598" s="621">
        <v>1294</v>
      </c>
      <c r="D598" s="621">
        <v>2031</v>
      </c>
      <c r="E598" s="621">
        <v>73</v>
      </c>
      <c r="F598" s="621">
        <v>127</v>
      </c>
      <c r="G598" s="621">
        <v>592</v>
      </c>
      <c r="H598" s="621">
        <v>264</v>
      </c>
      <c r="Q598" s="620"/>
      <c r="R598" s="620"/>
      <c r="S598" s="620"/>
      <c r="T598" s="620"/>
      <c r="U598" s="620"/>
      <c r="V598" s="620"/>
      <c r="W598" s="620"/>
    </row>
    <row r="599" spans="1:23" s="263" customFormat="1" ht="9" customHeight="1" x14ac:dyDescent="0.25">
      <c r="A599" s="550" t="s">
        <v>31</v>
      </c>
      <c r="B599" s="621">
        <v>305</v>
      </c>
      <c r="C599" s="621">
        <v>17</v>
      </c>
      <c r="D599" s="621">
        <v>63</v>
      </c>
      <c r="E599" s="621">
        <v>8</v>
      </c>
      <c r="F599" s="621">
        <v>19</v>
      </c>
      <c r="G599" s="621">
        <v>50</v>
      </c>
      <c r="H599" s="621">
        <v>26</v>
      </c>
      <c r="Q599" s="620"/>
      <c r="R599" s="620"/>
      <c r="S599" s="620"/>
      <c r="T599" s="620"/>
      <c r="U599" s="620"/>
      <c r="V599" s="620"/>
      <c r="W599" s="620"/>
    </row>
    <row r="600" spans="1:23" s="263" customFormat="1" ht="9" customHeight="1" x14ac:dyDescent="0.25">
      <c r="A600" s="550" t="s">
        <v>32</v>
      </c>
      <c r="B600" s="621">
        <v>2397</v>
      </c>
      <c r="C600" s="621">
        <v>619</v>
      </c>
      <c r="D600" s="621">
        <v>1155</v>
      </c>
      <c r="E600" s="621">
        <v>61</v>
      </c>
      <c r="F600" s="621">
        <v>130</v>
      </c>
      <c r="G600" s="621">
        <v>372</v>
      </c>
      <c r="H600" s="621">
        <v>235</v>
      </c>
      <c r="Q600" s="620"/>
      <c r="R600" s="620"/>
      <c r="S600" s="620"/>
      <c r="T600" s="620"/>
      <c r="U600" s="620"/>
      <c r="V600" s="620"/>
      <c r="W600" s="620"/>
    </row>
    <row r="601" spans="1:23" s="263" customFormat="1" ht="9" customHeight="1" x14ac:dyDescent="0.25">
      <c r="A601" s="603" t="s">
        <v>33</v>
      </c>
      <c r="B601" s="623">
        <v>743</v>
      </c>
      <c r="C601" s="623">
        <v>149</v>
      </c>
      <c r="D601" s="623">
        <v>390</v>
      </c>
      <c r="E601" s="623">
        <v>20</v>
      </c>
      <c r="F601" s="623">
        <v>23</v>
      </c>
      <c r="G601" s="623">
        <v>114</v>
      </c>
      <c r="H601" s="623">
        <v>75</v>
      </c>
      <c r="Q601" s="620"/>
      <c r="R601" s="620"/>
      <c r="S601" s="620"/>
      <c r="T601" s="620"/>
      <c r="U601" s="620"/>
      <c r="V601" s="620"/>
      <c r="W601" s="620"/>
    </row>
    <row r="602" spans="1:23" s="263" customFormat="1" ht="9" customHeight="1" x14ac:dyDescent="0.25">
      <c r="A602" s="550" t="s">
        <v>34</v>
      </c>
      <c r="B602" s="621">
        <v>790</v>
      </c>
      <c r="C602" s="621">
        <v>179</v>
      </c>
      <c r="D602" s="621">
        <v>313</v>
      </c>
      <c r="E602" s="621">
        <v>16</v>
      </c>
      <c r="F602" s="621">
        <v>18</v>
      </c>
      <c r="G602" s="621">
        <v>135</v>
      </c>
      <c r="H602" s="621">
        <v>108</v>
      </c>
      <c r="Q602" s="620"/>
      <c r="R602" s="620"/>
      <c r="S602" s="620"/>
      <c r="T602" s="620"/>
      <c r="U602" s="620"/>
      <c r="V602" s="620"/>
      <c r="W602" s="620"/>
    </row>
    <row r="603" spans="1:23" s="263" customFormat="1" ht="9" customHeight="1" x14ac:dyDescent="0.25">
      <c r="A603" s="550" t="s">
        <v>35</v>
      </c>
      <c r="B603" s="621">
        <v>3139</v>
      </c>
      <c r="C603" s="621">
        <v>951</v>
      </c>
      <c r="D603" s="621">
        <v>725</v>
      </c>
      <c r="E603" s="621">
        <v>86</v>
      </c>
      <c r="F603" s="621">
        <v>111</v>
      </c>
      <c r="G603" s="621">
        <v>424</v>
      </c>
      <c r="H603" s="621">
        <v>199</v>
      </c>
      <c r="Q603" s="620"/>
      <c r="R603" s="620"/>
      <c r="S603" s="620"/>
      <c r="T603" s="620"/>
      <c r="U603" s="620"/>
      <c r="V603" s="620"/>
      <c r="W603" s="620"/>
    </row>
    <row r="604" spans="1:23" s="263" customFormat="1" ht="9" customHeight="1" x14ac:dyDescent="0.25">
      <c r="A604" s="550" t="s">
        <v>36</v>
      </c>
      <c r="B604" s="621">
        <v>4213</v>
      </c>
      <c r="C604" s="621">
        <v>711</v>
      </c>
      <c r="D604" s="621">
        <v>2031</v>
      </c>
      <c r="E604" s="621">
        <v>104</v>
      </c>
      <c r="F604" s="621">
        <v>132</v>
      </c>
      <c r="G604" s="621">
        <v>653</v>
      </c>
      <c r="H604" s="621">
        <v>506</v>
      </c>
      <c r="Q604" s="620"/>
      <c r="R604" s="620"/>
      <c r="S604" s="620"/>
      <c r="T604" s="620"/>
      <c r="U604" s="620"/>
      <c r="V604" s="620"/>
      <c r="W604" s="620"/>
    </row>
    <row r="605" spans="1:23" s="263" customFormat="1" ht="9" customHeight="1" x14ac:dyDescent="0.25">
      <c r="A605" s="603" t="s">
        <v>37</v>
      </c>
      <c r="B605" s="623">
        <v>1859</v>
      </c>
      <c r="C605" s="623">
        <v>248</v>
      </c>
      <c r="D605" s="623">
        <v>610</v>
      </c>
      <c r="E605" s="623">
        <v>56</v>
      </c>
      <c r="F605" s="623">
        <v>76</v>
      </c>
      <c r="G605" s="623">
        <v>239</v>
      </c>
      <c r="H605" s="623">
        <v>166</v>
      </c>
      <c r="Q605" s="620"/>
      <c r="R605" s="620"/>
      <c r="S605" s="620"/>
      <c r="T605" s="620"/>
      <c r="U605" s="620"/>
      <c r="V605" s="620"/>
      <c r="W605" s="620"/>
    </row>
    <row r="606" spans="1:23" s="263" customFormat="1" ht="9" customHeight="1" x14ac:dyDescent="0.25">
      <c r="A606" s="550" t="s">
        <v>38</v>
      </c>
      <c r="B606" s="621">
        <v>439</v>
      </c>
      <c r="C606" s="621">
        <v>138</v>
      </c>
      <c r="D606" s="621">
        <v>176</v>
      </c>
      <c r="E606" s="621">
        <v>17</v>
      </c>
      <c r="F606" s="621">
        <v>12</v>
      </c>
      <c r="G606" s="621">
        <v>87</v>
      </c>
      <c r="H606" s="621">
        <v>61</v>
      </c>
      <c r="Q606" s="620"/>
      <c r="R606" s="620"/>
      <c r="S606" s="620"/>
      <c r="T606" s="620"/>
      <c r="U606" s="620"/>
      <c r="V606" s="620"/>
      <c r="W606" s="620"/>
    </row>
    <row r="607" spans="1:23" s="263" customFormat="1" ht="9" customHeight="1" x14ac:dyDescent="0.25">
      <c r="A607" s="550" t="s">
        <v>39</v>
      </c>
      <c r="B607" s="621">
        <v>140</v>
      </c>
      <c r="C607" s="621">
        <v>20</v>
      </c>
      <c r="D607" s="621">
        <v>55</v>
      </c>
      <c r="E607" s="621">
        <v>12</v>
      </c>
      <c r="F607" s="621">
        <v>11</v>
      </c>
      <c r="G607" s="621">
        <v>24</v>
      </c>
      <c r="H607" s="621">
        <v>16</v>
      </c>
      <c r="Q607" s="620"/>
      <c r="R607" s="620"/>
      <c r="S607" s="620"/>
      <c r="T607" s="620"/>
      <c r="U607" s="620"/>
      <c r="V607" s="620"/>
      <c r="W607" s="620"/>
    </row>
    <row r="608" spans="1:23" s="263" customFormat="1" ht="9" customHeight="1" x14ac:dyDescent="0.25">
      <c r="A608" s="550" t="s">
        <v>40</v>
      </c>
      <c r="B608" s="621">
        <v>1841</v>
      </c>
      <c r="C608" s="621">
        <v>897</v>
      </c>
      <c r="D608" s="621">
        <v>546</v>
      </c>
      <c r="E608" s="621">
        <v>47</v>
      </c>
      <c r="F608" s="621">
        <v>97</v>
      </c>
      <c r="G608" s="621">
        <v>218</v>
      </c>
      <c r="H608" s="621">
        <v>80</v>
      </c>
      <c r="Q608" s="620"/>
      <c r="R608" s="620"/>
      <c r="S608" s="620"/>
      <c r="T608" s="620"/>
      <c r="U608" s="620"/>
      <c r="V608" s="620"/>
      <c r="W608" s="620"/>
    </row>
    <row r="609" spans="1:23" s="263" customFormat="1" ht="9" customHeight="1" x14ac:dyDescent="0.25">
      <c r="A609" s="603" t="s">
        <v>41</v>
      </c>
      <c r="B609" s="623">
        <v>802</v>
      </c>
      <c r="C609" s="623">
        <v>79</v>
      </c>
      <c r="D609" s="623">
        <v>415</v>
      </c>
      <c r="E609" s="623">
        <v>24</v>
      </c>
      <c r="F609" s="623">
        <v>26</v>
      </c>
      <c r="G609" s="623">
        <v>137</v>
      </c>
      <c r="H609" s="623">
        <v>101</v>
      </c>
      <c r="Q609" s="620"/>
      <c r="R609" s="620"/>
      <c r="S609" s="620"/>
      <c r="T609" s="620"/>
      <c r="U609" s="620"/>
      <c r="V609" s="620"/>
      <c r="W609" s="620"/>
    </row>
    <row r="610" spans="1:23" s="263" customFormat="1" ht="9" customHeight="1" x14ac:dyDescent="0.25">
      <c r="A610" s="550" t="s">
        <v>42</v>
      </c>
      <c r="B610" s="621">
        <v>2158</v>
      </c>
      <c r="C610" s="621">
        <v>446</v>
      </c>
      <c r="D610" s="621">
        <v>537</v>
      </c>
      <c r="E610" s="621">
        <v>44</v>
      </c>
      <c r="F610" s="621">
        <v>39</v>
      </c>
      <c r="G610" s="621">
        <v>252</v>
      </c>
      <c r="H610" s="621">
        <v>147</v>
      </c>
      <c r="Q610" s="620"/>
      <c r="R610" s="620"/>
      <c r="S610" s="620"/>
      <c r="T610" s="620"/>
      <c r="U610" s="620"/>
      <c r="V610" s="620"/>
      <c r="W610" s="620"/>
    </row>
    <row r="611" spans="1:23" s="263" customFormat="1" ht="9" customHeight="1" x14ac:dyDescent="0.25">
      <c r="A611" s="550" t="s">
        <v>43</v>
      </c>
      <c r="B611" s="621">
        <v>637</v>
      </c>
      <c r="C611" s="621">
        <v>179</v>
      </c>
      <c r="D611" s="621">
        <v>364</v>
      </c>
      <c r="E611" s="621">
        <v>15</v>
      </c>
      <c r="F611" s="621">
        <v>17</v>
      </c>
      <c r="G611" s="621">
        <v>104</v>
      </c>
      <c r="H611" s="621">
        <v>59</v>
      </c>
      <c r="Q611" s="620"/>
      <c r="R611" s="620"/>
      <c r="S611" s="620"/>
      <c r="T611" s="620"/>
      <c r="U611" s="620"/>
      <c r="V611" s="620"/>
      <c r="W611" s="620"/>
    </row>
    <row r="612" spans="1:23" s="263" customFormat="1" ht="9" customHeight="1" x14ac:dyDescent="0.25">
      <c r="A612" s="550" t="s">
        <v>44</v>
      </c>
      <c r="B612" s="621">
        <v>334</v>
      </c>
      <c r="C612" s="621">
        <v>143</v>
      </c>
      <c r="D612" s="621">
        <v>230</v>
      </c>
      <c r="E612" s="621">
        <v>22</v>
      </c>
      <c r="F612" s="621">
        <v>18</v>
      </c>
      <c r="G612" s="621">
        <v>53</v>
      </c>
      <c r="H612" s="621">
        <v>32</v>
      </c>
      <c r="Q612" s="620"/>
      <c r="R612" s="620"/>
      <c r="S612" s="620"/>
      <c r="T612" s="620"/>
      <c r="U612" s="620"/>
      <c r="V612" s="620"/>
      <c r="W612" s="620"/>
    </row>
    <row r="613" spans="1:23" s="263" customFormat="1" ht="9" customHeight="1" x14ac:dyDescent="0.25">
      <c r="A613" s="603" t="s">
        <v>45</v>
      </c>
      <c r="B613" s="623">
        <v>628</v>
      </c>
      <c r="C613" s="623">
        <v>278</v>
      </c>
      <c r="D613" s="623">
        <v>174</v>
      </c>
      <c r="E613" s="623">
        <v>20</v>
      </c>
      <c r="F613" s="623">
        <v>21</v>
      </c>
      <c r="G613" s="623">
        <v>82</v>
      </c>
      <c r="H613" s="623">
        <v>44</v>
      </c>
      <c r="Q613" s="620"/>
      <c r="R613" s="620"/>
      <c r="S613" s="620"/>
      <c r="T613" s="620"/>
      <c r="U613" s="620"/>
      <c r="V613" s="620"/>
      <c r="W613" s="620"/>
    </row>
    <row r="614" spans="1:23" s="263" customFormat="1" ht="9" customHeight="1" x14ac:dyDescent="0.25">
      <c r="A614" s="550" t="s">
        <v>46</v>
      </c>
      <c r="B614" s="621">
        <v>684</v>
      </c>
      <c r="C614" s="621">
        <v>201</v>
      </c>
      <c r="D614" s="621">
        <v>172</v>
      </c>
      <c r="E614" s="621">
        <v>15</v>
      </c>
      <c r="F614" s="621">
        <v>25</v>
      </c>
      <c r="G614" s="621">
        <v>107</v>
      </c>
      <c r="H614" s="621">
        <v>54</v>
      </c>
      <c r="Q614" s="620"/>
      <c r="R614" s="620"/>
      <c r="S614" s="620"/>
      <c r="T614" s="620"/>
      <c r="U614" s="620"/>
      <c r="V614" s="620"/>
      <c r="W614" s="620"/>
    </row>
    <row r="615" spans="1:23" s="263" customFormat="1" ht="9" customHeight="1" x14ac:dyDescent="0.25">
      <c r="A615" s="550" t="s">
        <v>47</v>
      </c>
      <c r="B615" s="621">
        <v>620</v>
      </c>
      <c r="C615" s="621">
        <v>173</v>
      </c>
      <c r="D615" s="621">
        <v>190</v>
      </c>
      <c r="E615" s="621">
        <v>14</v>
      </c>
      <c r="F615" s="621">
        <v>30</v>
      </c>
      <c r="G615" s="621">
        <v>89</v>
      </c>
      <c r="H615" s="621">
        <v>51</v>
      </c>
      <c r="Q615" s="620"/>
      <c r="R615" s="620"/>
      <c r="S615" s="620"/>
      <c r="T615" s="620"/>
      <c r="U615" s="620"/>
      <c r="V615" s="620"/>
      <c r="W615" s="620"/>
    </row>
    <row r="616" spans="1:23" s="263" customFormat="1" ht="9" customHeight="1" x14ac:dyDescent="0.25">
      <c r="A616" s="550" t="s">
        <v>48</v>
      </c>
      <c r="B616" s="621">
        <v>436</v>
      </c>
      <c r="C616" s="621">
        <v>82</v>
      </c>
      <c r="D616" s="621">
        <v>196</v>
      </c>
      <c r="E616" s="621">
        <v>12</v>
      </c>
      <c r="F616" s="621">
        <v>18</v>
      </c>
      <c r="G616" s="621">
        <v>70</v>
      </c>
      <c r="H616" s="621">
        <v>45</v>
      </c>
      <c r="Q616" s="620"/>
      <c r="R616" s="620"/>
      <c r="S616" s="620"/>
      <c r="T616" s="620"/>
      <c r="U616" s="620"/>
      <c r="V616" s="620"/>
      <c r="W616" s="620"/>
    </row>
    <row r="617" spans="1:23" s="263" customFormat="1" ht="9" customHeight="1" x14ac:dyDescent="0.25">
      <c r="A617" s="603" t="s">
        <v>49</v>
      </c>
      <c r="B617" s="623">
        <v>771</v>
      </c>
      <c r="C617" s="623">
        <v>203</v>
      </c>
      <c r="D617" s="623">
        <v>210</v>
      </c>
      <c r="E617" s="623">
        <v>28</v>
      </c>
      <c r="F617" s="623">
        <v>35</v>
      </c>
      <c r="G617" s="623">
        <v>101</v>
      </c>
      <c r="H617" s="623">
        <v>49</v>
      </c>
      <c r="Q617" s="620"/>
      <c r="R617" s="620"/>
      <c r="S617" s="620"/>
      <c r="T617" s="620"/>
      <c r="U617" s="620"/>
      <c r="V617" s="620"/>
      <c r="W617" s="620"/>
    </row>
    <row r="618" spans="1:23" s="263" customFormat="1" ht="9" customHeight="1" x14ac:dyDescent="0.25">
      <c r="A618" s="550" t="s">
        <v>50</v>
      </c>
      <c r="B618" s="621">
        <v>266</v>
      </c>
      <c r="C618" s="621">
        <v>71</v>
      </c>
      <c r="D618" s="621">
        <v>111</v>
      </c>
      <c r="E618" s="621">
        <v>4</v>
      </c>
      <c r="F618" s="621">
        <v>3</v>
      </c>
      <c r="G618" s="621">
        <v>54</v>
      </c>
      <c r="H618" s="621">
        <v>46</v>
      </c>
      <c r="Q618" s="620"/>
      <c r="R618" s="620"/>
      <c r="S618" s="620"/>
      <c r="T618" s="620"/>
      <c r="U618" s="620"/>
      <c r="V618" s="620"/>
      <c r="W618" s="620"/>
    </row>
    <row r="619" spans="1:23" s="263" customFormat="1" ht="9" customHeight="1" x14ac:dyDescent="0.25">
      <c r="A619" s="550" t="s">
        <v>51</v>
      </c>
      <c r="B619" s="621">
        <v>1434</v>
      </c>
      <c r="C619" s="621">
        <v>396</v>
      </c>
      <c r="D619" s="621">
        <v>430</v>
      </c>
      <c r="E619" s="621">
        <v>41</v>
      </c>
      <c r="F619" s="621">
        <v>47</v>
      </c>
      <c r="G619" s="621">
        <v>214</v>
      </c>
      <c r="H619" s="621">
        <v>124</v>
      </c>
      <c r="Q619" s="620"/>
      <c r="R619" s="620"/>
      <c r="S619" s="620"/>
      <c r="T619" s="620"/>
      <c r="U619" s="620"/>
      <c r="V619" s="620"/>
      <c r="W619" s="620"/>
    </row>
    <row r="620" spans="1:23" s="263" customFormat="1" ht="9" customHeight="1" x14ac:dyDescent="0.25">
      <c r="A620" s="550" t="s">
        <v>52</v>
      </c>
      <c r="B620" s="621">
        <v>451</v>
      </c>
      <c r="C620" s="621">
        <v>220</v>
      </c>
      <c r="D620" s="621">
        <v>118</v>
      </c>
      <c r="E620" s="621">
        <v>11</v>
      </c>
      <c r="F620" s="621">
        <v>17</v>
      </c>
      <c r="G620" s="621">
        <v>56</v>
      </c>
      <c r="H620" s="621">
        <v>25</v>
      </c>
      <c r="Q620" s="620"/>
      <c r="R620" s="620"/>
      <c r="S620" s="620"/>
      <c r="T620" s="620"/>
      <c r="U620" s="620"/>
      <c r="V620" s="620"/>
      <c r="W620" s="620"/>
    </row>
    <row r="621" spans="1:23" s="263" customFormat="1" ht="9" customHeight="1" x14ac:dyDescent="0.25">
      <c r="A621" s="267" t="s">
        <v>53</v>
      </c>
      <c r="B621" s="618">
        <v>441</v>
      </c>
      <c r="C621" s="618">
        <v>75</v>
      </c>
      <c r="D621" s="618">
        <v>219</v>
      </c>
      <c r="E621" s="618">
        <v>11</v>
      </c>
      <c r="F621" s="618">
        <v>17</v>
      </c>
      <c r="G621" s="618">
        <v>53</v>
      </c>
      <c r="H621" s="618">
        <v>29</v>
      </c>
      <c r="Q621" s="620"/>
      <c r="R621" s="620"/>
      <c r="S621" s="620"/>
      <c r="T621" s="620"/>
      <c r="U621" s="620"/>
      <c r="V621" s="620"/>
      <c r="W621" s="620"/>
    </row>
    <row r="622" spans="1:23" s="263" customFormat="1" ht="9" customHeight="1" x14ac:dyDescent="0.25">
      <c r="A622" s="286"/>
      <c r="B622" s="619"/>
      <c r="C622" s="619"/>
      <c r="D622" s="619"/>
      <c r="E622" s="619"/>
      <c r="F622" s="619"/>
      <c r="G622" s="619"/>
      <c r="H622" s="619"/>
      <c r="Q622" s="620"/>
      <c r="R622" s="620"/>
      <c r="S622" s="620"/>
      <c r="T622" s="620"/>
      <c r="U622" s="620"/>
      <c r="V622" s="620"/>
      <c r="W622" s="620"/>
    </row>
    <row r="623" spans="1:23" s="263" customFormat="1" ht="9" customHeight="1" x14ac:dyDescent="0.25">
      <c r="A623" s="261">
        <v>2012</v>
      </c>
      <c r="B623" s="262"/>
      <c r="C623" s="262"/>
      <c r="D623" s="262"/>
      <c r="E623" s="262"/>
      <c r="F623" s="262"/>
      <c r="G623" s="262"/>
      <c r="H623" s="262"/>
      <c r="Q623" s="620"/>
      <c r="R623" s="620"/>
      <c r="S623" s="620"/>
      <c r="T623" s="620"/>
      <c r="U623" s="620"/>
      <c r="V623" s="620"/>
      <c r="W623" s="620"/>
    </row>
    <row r="624" spans="1:23" s="265" customFormat="1" ht="9" customHeight="1" x14ac:dyDescent="0.25">
      <c r="A624" s="265" t="s">
        <v>21</v>
      </c>
      <c r="B624" s="615">
        <f t="shared" ref="B624:H624" si="17">SUM(B626:B657)</f>
        <v>34420</v>
      </c>
      <c r="C624" s="615">
        <f t="shared" si="17"/>
        <v>9438</v>
      </c>
      <c r="D624" s="615">
        <f t="shared" si="17"/>
        <v>13517</v>
      </c>
      <c r="E624" s="615">
        <f t="shared" si="17"/>
        <v>856</v>
      </c>
      <c r="F624" s="615">
        <f t="shared" si="17"/>
        <v>1224</v>
      </c>
      <c r="G624" s="624">
        <f t="shared" si="17"/>
        <v>4883</v>
      </c>
      <c r="H624" s="624">
        <f t="shared" si="17"/>
        <v>2812</v>
      </c>
      <c r="Q624" s="620"/>
      <c r="R624" s="620"/>
      <c r="S624" s="620"/>
      <c r="T624" s="620"/>
      <c r="U624" s="620"/>
      <c r="V624" s="620"/>
      <c r="W624" s="620"/>
    </row>
    <row r="625" spans="1:23" s="265" customFormat="1" ht="3.95" customHeight="1" x14ac:dyDescent="0.25">
      <c r="B625" s="615"/>
      <c r="C625" s="615"/>
      <c r="D625" s="615"/>
      <c r="E625" s="615"/>
      <c r="F625" s="615"/>
      <c r="G625" s="615"/>
      <c r="H625" s="615"/>
      <c r="Q625" s="620"/>
      <c r="R625" s="620"/>
      <c r="S625" s="620"/>
      <c r="T625" s="620"/>
      <c r="U625" s="620"/>
      <c r="V625" s="620"/>
      <c r="W625" s="620"/>
    </row>
    <row r="626" spans="1:23" s="263" customFormat="1" ht="9" customHeight="1" x14ac:dyDescent="0.25">
      <c r="A626" s="550" t="s">
        <v>23</v>
      </c>
      <c r="B626" s="621">
        <v>386</v>
      </c>
      <c r="C626" s="621">
        <v>135</v>
      </c>
      <c r="D626" s="621">
        <v>101</v>
      </c>
      <c r="E626" s="621">
        <v>13</v>
      </c>
      <c r="F626" s="621">
        <v>15</v>
      </c>
      <c r="G626" s="621">
        <v>54</v>
      </c>
      <c r="H626" s="621">
        <v>15</v>
      </c>
      <c r="Q626" s="620"/>
      <c r="R626" s="620"/>
      <c r="S626" s="620"/>
      <c r="T626" s="620"/>
      <c r="U626" s="620"/>
      <c r="V626" s="620"/>
      <c r="W626" s="620"/>
    </row>
    <row r="627" spans="1:23" s="263" customFormat="1" ht="9" customHeight="1" x14ac:dyDescent="0.25">
      <c r="A627" s="550" t="s">
        <v>24</v>
      </c>
      <c r="B627" s="622">
        <v>1287</v>
      </c>
      <c r="C627" s="622">
        <v>362</v>
      </c>
      <c r="D627" s="622">
        <v>455</v>
      </c>
      <c r="E627" s="622">
        <v>16</v>
      </c>
      <c r="F627" s="622">
        <v>30</v>
      </c>
      <c r="G627" s="622">
        <v>235</v>
      </c>
      <c r="H627" s="622">
        <v>106</v>
      </c>
      <c r="Q627" s="620"/>
      <c r="R627" s="620"/>
      <c r="S627" s="620"/>
      <c r="T627" s="620"/>
      <c r="U627" s="620"/>
      <c r="V627" s="620"/>
      <c r="W627" s="620"/>
    </row>
    <row r="628" spans="1:23" s="263" customFormat="1" ht="9" customHeight="1" x14ac:dyDescent="0.25">
      <c r="A628" s="550" t="s">
        <v>25</v>
      </c>
      <c r="B628" s="621">
        <v>95</v>
      </c>
      <c r="C628" s="621">
        <v>35</v>
      </c>
      <c r="D628" s="621">
        <v>64</v>
      </c>
      <c r="E628" s="621">
        <v>5</v>
      </c>
      <c r="F628" s="621">
        <v>7</v>
      </c>
      <c r="G628" s="621">
        <v>17</v>
      </c>
      <c r="H628" s="621">
        <v>10</v>
      </c>
      <c r="Q628" s="620"/>
      <c r="R628" s="620"/>
      <c r="S628" s="620"/>
      <c r="T628" s="620"/>
      <c r="U628" s="620"/>
      <c r="V628" s="620"/>
      <c r="W628" s="620"/>
    </row>
    <row r="629" spans="1:23" s="263" customFormat="1" ht="9" customHeight="1" x14ac:dyDescent="0.25">
      <c r="A629" s="603" t="s">
        <v>26</v>
      </c>
      <c r="B629" s="623">
        <v>105</v>
      </c>
      <c r="C629" s="623">
        <v>13</v>
      </c>
      <c r="D629" s="623">
        <v>104</v>
      </c>
      <c r="E629" s="623">
        <v>7</v>
      </c>
      <c r="F629" s="623">
        <v>9</v>
      </c>
      <c r="G629" s="623">
        <v>16</v>
      </c>
      <c r="H629" s="623">
        <v>10</v>
      </c>
      <c r="Q629" s="620"/>
      <c r="R629" s="620"/>
      <c r="S629" s="620"/>
      <c r="T629" s="620"/>
      <c r="U629" s="620"/>
      <c r="V629" s="620"/>
      <c r="W629" s="620"/>
    </row>
    <row r="630" spans="1:23" s="263" customFormat="1" ht="9" customHeight="1" x14ac:dyDescent="0.25">
      <c r="A630" s="550" t="s">
        <v>27</v>
      </c>
      <c r="B630" s="621">
        <v>632</v>
      </c>
      <c r="C630" s="621">
        <v>253</v>
      </c>
      <c r="D630" s="621">
        <v>463</v>
      </c>
      <c r="E630" s="621">
        <v>18</v>
      </c>
      <c r="F630" s="621">
        <v>29</v>
      </c>
      <c r="G630" s="621">
        <v>66</v>
      </c>
      <c r="H630" s="621">
        <v>26</v>
      </c>
      <c r="Q630" s="620"/>
      <c r="R630" s="620"/>
      <c r="S630" s="620"/>
      <c r="T630" s="620"/>
      <c r="U630" s="620"/>
      <c r="V630" s="620"/>
      <c r="W630" s="620"/>
    </row>
    <row r="631" spans="1:23" s="263" customFormat="1" ht="9" customHeight="1" x14ac:dyDescent="0.25">
      <c r="A631" s="550" t="s">
        <v>28</v>
      </c>
      <c r="B631" s="621">
        <v>129</v>
      </c>
      <c r="C631" s="621">
        <v>29</v>
      </c>
      <c r="D631" s="621">
        <v>61</v>
      </c>
      <c r="E631" s="621">
        <v>7</v>
      </c>
      <c r="F631" s="621">
        <v>5</v>
      </c>
      <c r="G631" s="621">
        <v>21</v>
      </c>
      <c r="H631" s="621">
        <v>8</v>
      </c>
      <c r="Q631" s="620"/>
      <c r="R631" s="620"/>
      <c r="S631" s="620"/>
      <c r="T631" s="620"/>
      <c r="U631" s="620"/>
      <c r="V631" s="620"/>
      <c r="W631" s="620"/>
    </row>
    <row r="632" spans="1:23" s="263" customFormat="1" ht="9" customHeight="1" x14ac:dyDescent="0.25">
      <c r="A632" s="550" t="s">
        <v>29</v>
      </c>
      <c r="B632" s="621">
        <v>614</v>
      </c>
      <c r="C632" s="621">
        <v>157</v>
      </c>
      <c r="D632" s="621">
        <v>179</v>
      </c>
      <c r="E632" s="621">
        <v>9</v>
      </c>
      <c r="F632" s="621">
        <v>16</v>
      </c>
      <c r="G632" s="621">
        <v>86</v>
      </c>
      <c r="H632" s="621">
        <v>39</v>
      </c>
      <c r="Q632" s="620"/>
      <c r="R632" s="620"/>
      <c r="S632" s="620"/>
      <c r="T632" s="620"/>
      <c r="U632" s="620"/>
      <c r="V632" s="620"/>
      <c r="W632" s="620"/>
    </row>
    <row r="633" spans="1:23" s="263" customFormat="1" ht="9" customHeight="1" x14ac:dyDescent="0.25">
      <c r="A633" s="603" t="s">
        <v>30</v>
      </c>
      <c r="B633" s="623">
        <v>1123</v>
      </c>
      <c r="C633" s="623">
        <v>458</v>
      </c>
      <c r="D633" s="623">
        <v>615</v>
      </c>
      <c r="E633" s="623">
        <v>29</v>
      </c>
      <c r="F633" s="623">
        <v>49</v>
      </c>
      <c r="G633" s="623">
        <v>124</v>
      </c>
      <c r="H633" s="623">
        <v>73</v>
      </c>
      <c r="Q633" s="620"/>
      <c r="R633" s="620"/>
      <c r="S633" s="620"/>
      <c r="T633" s="620"/>
      <c r="U633" s="620"/>
      <c r="V633" s="620"/>
      <c r="W633" s="620"/>
    </row>
    <row r="634" spans="1:23" s="263" customFormat="1" ht="9" customHeight="1" x14ac:dyDescent="0.25">
      <c r="A634" s="550" t="s">
        <v>63</v>
      </c>
      <c r="B634" s="621">
        <v>4730</v>
      </c>
      <c r="C634" s="621">
        <v>1313</v>
      </c>
      <c r="D634" s="621">
        <v>2020</v>
      </c>
      <c r="E634" s="621">
        <v>70</v>
      </c>
      <c r="F634" s="621">
        <v>130</v>
      </c>
      <c r="G634" s="621">
        <v>589</v>
      </c>
      <c r="H634" s="621">
        <v>257</v>
      </c>
      <c r="Q634" s="620"/>
      <c r="R634" s="620"/>
      <c r="S634" s="620"/>
      <c r="T634" s="620"/>
      <c r="U634" s="620"/>
      <c r="V634" s="620"/>
      <c r="W634" s="620"/>
    </row>
    <row r="635" spans="1:23" s="263" customFormat="1" ht="9" customHeight="1" x14ac:dyDescent="0.25">
      <c r="A635" s="550" t="s">
        <v>31</v>
      </c>
      <c r="B635" s="621">
        <v>287</v>
      </c>
      <c r="C635" s="621">
        <v>24</v>
      </c>
      <c r="D635" s="621">
        <v>75</v>
      </c>
      <c r="E635" s="621">
        <v>7</v>
      </c>
      <c r="F635" s="621">
        <v>11</v>
      </c>
      <c r="G635" s="621">
        <v>48</v>
      </c>
      <c r="H635" s="621">
        <v>42</v>
      </c>
      <c r="Q635" s="620"/>
      <c r="R635" s="620"/>
      <c r="S635" s="620"/>
      <c r="T635" s="620"/>
      <c r="U635" s="620"/>
      <c r="V635" s="620"/>
      <c r="W635" s="620"/>
    </row>
    <row r="636" spans="1:23" s="263" customFormat="1" ht="9" customHeight="1" x14ac:dyDescent="0.25">
      <c r="A636" s="550" t="s">
        <v>32</v>
      </c>
      <c r="B636" s="621">
        <v>2323</v>
      </c>
      <c r="C636" s="621">
        <v>593</v>
      </c>
      <c r="D636" s="621">
        <v>1005</v>
      </c>
      <c r="E636" s="621">
        <v>60</v>
      </c>
      <c r="F636" s="621">
        <v>141</v>
      </c>
      <c r="G636" s="621">
        <v>355</v>
      </c>
      <c r="H636" s="621">
        <v>232</v>
      </c>
      <c r="Q636" s="620"/>
      <c r="R636" s="620"/>
      <c r="S636" s="620"/>
      <c r="T636" s="620"/>
      <c r="U636" s="620"/>
      <c r="V636" s="620"/>
      <c r="W636" s="620"/>
    </row>
    <row r="637" spans="1:23" s="263" customFormat="1" ht="9" customHeight="1" x14ac:dyDescent="0.25">
      <c r="A637" s="603" t="s">
        <v>33</v>
      </c>
      <c r="B637" s="623">
        <v>708</v>
      </c>
      <c r="C637" s="623">
        <v>145</v>
      </c>
      <c r="D637" s="623">
        <v>417</v>
      </c>
      <c r="E637" s="623">
        <v>21</v>
      </c>
      <c r="F637" s="623">
        <v>24</v>
      </c>
      <c r="G637" s="623">
        <v>122</v>
      </c>
      <c r="H637" s="623">
        <v>76</v>
      </c>
      <c r="Q637" s="620"/>
      <c r="R637" s="620"/>
      <c r="S637" s="620"/>
      <c r="T637" s="620"/>
      <c r="U637" s="620"/>
      <c r="V637" s="620"/>
      <c r="W637" s="620"/>
    </row>
    <row r="638" spans="1:23" s="263" customFormat="1" ht="9" customHeight="1" x14ac:dyDescent="0.25">
      <c r="A638" s="550" t="s">
        <v>34</v>
      </c>
      <c r="B638" s="621">
        <v>788</v>
      </c>
      <c r="C638" s="621">
        <v>188</v>
      </c>
      <c r="D638" s="621">
        <v>356</v>
      </c>
      <c r="E638" s="621">
        <v>13</v>
      </c>
      <c r="F638" s="621">
        <v>22</v>
      </c>
      <c r="G638" s="621">
        <v>136</v>
      </c>
      <c r="H638" s="621">
        <v>107</v>
      </c>
      <c r="Q638" s="620"/>
      <c r="R638" s="620"/>
      <c r="S638" s="620"/>
      <c r="T638" s="620"/>
      <c r="U638" s="620"/>
      <c r="V638" s="620"/>
      <c r="W638" s="620"/>
    </row>
    <row r="639" spans="1:23" s="263" customFormat="1" ht="9" customHeight="1" x14ac:dyDescent="0.25">
      <c r="A639" s="550" t="s">
        <v>35</v>
      </c>
      <c r="B639" s="621">
        <v>3005</v>
      </c>
      <c r="C639" s="621">
        <v>991</v>
      </c>
      <c r="D639" s="621">
        <v>698</v>
      </c>
      <c r="E639" s="621">
        <v>82</v>
      </c>
      <c r="F639" s="621">
        <v>101</v>
      </c>
      <c r="G639" s="621">
        <v>413</v>
      </c>
      <c r="H639" s="621">
        <v>197</v>
      </c>
      <c r="Q639" s="620"/>
      <c r="R639" s="620"/>
      <c r="S639" s="620"/>
      <c r="T639" s="620"/>
      <c r="U639" s="620"/>
      <c r="V639" s="620"/>
      <c r="W639" s="620"/>
    </row>
    <row r="640" spans="1:23" s="263" customFormat="1" ht="9" customHeight="1" x14ac:dyDescent="0.25">
      <c r="A640" s="550" t="s">
        <v>36</v>
      </c>
      <c r="B640" s="621">
        <v>4103</v>
      </c>
      <c r="C640" s="621">
        <v>669</v>
      </c>
      <c r="D640" s="621">
        <v>2058</v>
      </c>
      <c r="E640" s="621">
        <v>114</v>
      </c>
      <c r="F640" s="621">
        <v>132</v>
      </c>
      <c r="G640" s="621">
        <v>644</v>
      </c>
      <c r="H640" s="621">
        <v>498</v>
      </c>
      <c r="Q640" s="620"/>
      <c r="R640" s="620"/>
      <c r="S640" s="620"/>
      <c r="T640" s="620"/>
      <c r="U640" s="620"/>
      <c r="V640" s="620"/>
      <c r="W640" s="620"/>
    </row>
    <row r="641" spans="1:23" s="263" customFormat="1" ht="9" customHeight="1" x14ac:dyDescent="0.25">
      <c r="A641" s="603" t="s">
        <v>37</v>
      </c>
      <c r="B641" s="623">
        <v>1760</v>
      </c>
      <c r="C641" s="623">
        <v>241</v>
      </c>
      <c r="D641" s="623">
        <v>559</v>
      </c>
      <c r="E641" s="623">
        <v>42</v>
      </c>
      <c r="F641" s="623">
        <v>59</v>
      </c>
      <c r="G641" s="623">
        <v>235</v>
      </c>
      <c r="H641" s="623">
        <v>153</v>
      </c>
      <c r="Q641" s="620"/>
      <c r="R641" s="620"/>
      <c r="S641" s="620"/>
      <c r="T641" s="620"/>
      <c r="U641" s="620"/>
      <c r="V641" s="620"/>
      <c r="W641" s="620"/>
    </row>
    <row r="642" spans="1:23" s="263" customFormat="1" ht="9" customHeight="1" x14ac:dyDescent="0.25">
      <c r="A642" s="550" t="s">
        <v>38</v>
      </c>
      <c r="B642" s="621">
        <v>431</v>
      </c>
      <c r="C642" s="621">
        <v>136</v>
      </c>
      <c r="D642" s="621">
        <v>178</v>
      </c>
      <c r="E642" s="621">
        <v>18</v>
      </c>
      <c r="F642" s="621">
        <v>14</v>
      </c>
      <c r="G642" s="621">
        <v>85</v>
      </c>
      <c r="H642" s="621">
        <v>58</v>
      </c>
      <c r="Q642" s="620"/>
      <c r="R642" s="620"/>
      <c r="S642" s="620"/>
      <c r="T642" s="620"/>
      <c r="U642" s="620"/>
      <c r="V642" s="620"/>
      <c r="W642" s="620"/>
    </row>
    <row r="643" spans="1:23" s="263" customFormat="1" ht="9" customHeight="1" x14ac:dyDescent="0.25">
      <c r="A643" s="550" t="s">
        <v>39</v>
      </c>
      <c r="B643" s="621">
        <v>119</v>
      </c>
      <c r="C643" s="621">
        <v>27</v>
      </c>
      <c r="D643" s="621">
        <v>51</v>
      </c>
      <c r="E643" s="621">
        <v>10</v>
      </c>
      <c r="F643" s="621">
        <v>8</v>
      </c>
      <c r="G643" s="621">
        <v>21</v>
      </c>
      <c r="H643" s="621">
        <v>14</v>
      </c>
      <c r="Q643" s="620"/>
      <c r="R643" s="620"/>
      <c r="S643" s="620"/>
      <c r="T643" s="620"/>
      <c r="U643" s="620"/>
      <c r="V643" s="620"/>
      <c r="W643" s="620"/>
    </row>
    <row r="644" spans="1:23" s="263" customFormat="1" ht="9" customHeight="1" x14ac:dyDescent="0.25">
      <c r="A644" s="550" t="s">
        <v>40</v>
      </c>
      <c r="B644" s="621">
        <v>2190</v>
      </c>
      <c r="C644" s="621">
        <v>940</v>
      </c>
      <c r="D644" s="621">
        <v>579</v>
      </c>
      <c r="E644" s="621">
        <v>52</v>
      </c>
      <c r="F644" s="621">
        <v>108</v>
      </c>
      <c r="G644" s="621">
        <v>241</v>
      </c>
      <c r="H644" s="621">
        <v>88</v>
      </c>
      <c r="Q644" s="620"/>
      <c r="R644" s="620"/>
      <c r="S644" s="620"/>
      <c r="T644" s="620"/>
      <c r="U644" s="620"/>
      <c r="V644" s="620"/>
      <c r="W644" s="620"/>
    </row>
    <row r="645" spans="1:23" s="263" customFormat="1" ht="9" customHeight="1" x14ac:dyDescent="0.25">
      <c r="A645" s="603" t="s">
        <v>41</v>
      </c>
      <c r="B645" s="623">
        <v>778</v>
      </c>
      <c r="C645" s="623">
        <v>80</v>
      </c>
      <c r="D645" s="623">
        <v>413</v>
      </c>
      <c r="E645" s="623">
        <v>25</v>
      </c>
      <c r="F645" s="623">
        <v>23</v>
      </c>
      <c r="G645" s="623">
        <v>131</v>
      </c>
      <c r="H645" s="623">
        <v>99</v>
      </c>
      <c r="Q645" s="620"/>
      <c r="R645" s="620"/>
      <c r="S645" s="620"/>
      <c r="T645" s="620"/>
      <c r="U645" s="620"/>
      <c r="V645" s="620"/>
      <c r="W645" s="620"/>
    </row>
    <row r="646" spans="1:23" s="263" customFormat="1" ht="9" customHeight="1" x14ac:dyDescent="0.25">
      <c r="A646" s="550" t="s">
        <v>42</v>
      </c>
      <c r="B646" s="621">
        <v>2122</v>
      </c>
      <c r="C646" s="621">
        <v>466</v>
      </c>
      <c r="D646" s="621">
        <v>515</v>
      </c>
      <c r="E646" s="621">
        <v>42</v>
      </c>
      <c r="F646" s="621">
        <v>33</v>
      </c>
      <c r="G646" s="621">
        <v>245</v>
      </c>
      <c r="H646" s="621">
        <v>142</v>
      </c>
      <c r="Q646" s="620"/>
      <c r="R646" s="620"/>
      <c r="S646" s="620"/>
      <c r="T646" s="620"/>
      <c r="U646" s="620"/>
      <c r="V646" s="620"/>
      <c r="W646" s="620"/>
    </row>
    <row r="647" spans="1:23" s="263" customFormat="1" ht="9" customHeight="1" x14ac:dyDescent="0.25">
      <c r="A647" s="550" t="s">
        <v>43</v>
      </c>
      <c r="B647" s="621">
        <v>724</v>
      </c>
      <c r="C647" s="621">
        <v>356</v>
      </c>
      <c r="D647" s="621">
        <v>433</v>
      </c>
      <c r="E647" s="621">
        <v>20</v>
      </c>
      <c r="F647" s="621">
        <v>20</v>
      </c>
      <c r="G647" s="621">
        <v>111</v>
      </c>
      <c r="H647" s="621">
        <v>65</v>
      </c>
      <c r="Q647" s="620"/>
      <c r="R647" s="620"/>
      <c r="S647" s="620"/>
      <c r="T647" s="620"/>
      <c r="U647" s="620"/>
      <c r="V647" s="620"/>
      <c r="W647" s="620"/>
    </row>
    <row r="648" spans="1:23" s="263" customFormat="1" ht="9" customHeight="1" x14ac:dyDescent="0.25">
      <c r="A648" s="550" t="s">
        <v>44</v>
      </c>
      <c r="B648" s="621">
        <v>316</v>
      </c>
      <c r="C648" s="621">
        <v>132</v>
      </c>
      <c r="D648" s="621">
        <v>197</v>
      </c>
      <c r="E648" s="621">
        <v>22</v>
      </c>
      <c r="F648" s="621">
        <v>21</v>
      </c>
      <c r="G648" s="621">
        <v>53</v>
      </c>
      <c r="H648" s="621">
        <v>32</v>
      </c>
      <c r="Q648" s="620"/>
      <c r="R648" s="620"/>
      <c r="S648" s="620"/>
      <c r="T648" s="620"/>
      <c r="U648" s="620"/>
      <c r="V648" s="620"/>
      <c r="W648" s="620"/>
    </row>
    <row r="649" spans="1:23" s="263" customFormat="1" ht="9" customHeight="1" x14ac:dyDescent="0.25">
      <c r="A649" s="603" t="s">
        <v>45</v>
      </c>
      <c r="B649" s="623">
        <v>648</v>
      </c>
      <c r="C649" s="623">
        <v>298</v>
      </c>
      <c r="D649" s="623">
        <v>179</v>
      </c>
      <c r="E649" s="623">
        <v>21</v>
      </c>
      <c r="F649" s="623">
        <v>21</v>
      </c>
      <c r="G649" s="623">
        <v>86</v>
      </c>
      <c r="H649" s="623">
        <v>47</v>
      </c>
      <c r="Q649" s="620"/>
      <c r="R649" s="620"/>
      <c r="S649" s="620"/>
      <c r="T649" s="620"/>
      <c r="U649" s="620"/>
      <c r="V649" s="620"/>
      <c r="W649" s="620"/>
    </row>
    <row r="650" spans="1:23" s="263" customFormat="1" ht="9" customHeight="1" x14ac:dyDescent="0.25">
      <c r="A650" s="550" t="s">
        <v>46</v>
      </c>
      <c r="B650" s="621">
        <v>660</v>
      </c>
      <c r="C650" s="621">
        <v>210</v>
      </c>
      <c r="D650" s="621">
        <v>158</v>
      </c>
      <c r="E650" s="621">
        <v>13</v>
      </c>
      <c r="F650" s="621">
        <v>23</v>
      </c>
      <c r="G650" s="621">
        <v>109</v>
      </c>
      <c r="H650" s="621">
        <v>49</v>
      </c>
      <c r="Q650" s="620"/>
      <c r="R650" s="620"/>
      <c r="S650" s="620"/>
      <c r="T650" s="620"/>
      <c r="U650" s="620"/>
      <c r="V650" s="620"/>
      <c r="W650" s="620"/>
    </row>
    <row r="651" spans="1:23" s="263" customFormat="1" ht="9" customHeight="1" x14ac:dyDescent="0.25">
      <c r="A651" s="550" t="s">
        <v>47</v>
      </c>
      <c r="B651" s="621">
        <v>616</v>
      </c>
      <c r="C651" s="621">
        <v>177</v>
      </c>
      <c r="D651" s="621">
        <v>196</v>
      </c>
      <c r="E651" s="621">
        <v>15</v>
      </c>
      <c r="F651" s="621">
        <v>26</v>
      </c>
      <c r="G651" s="621">
        <v>90</v>
      </c>
      <c r="H651" s="621">
        <v>49</v>
      </c>
      <c r="Q651" s="620"/>
      <c r="R651" s="620"/>
      <c r="S651" s="620"/>
      <c r="T651" s="620"/>
      <c r="U651" s="620"/>
      <c r="V651" s="620"/>
      <c r="W651" s="620"/>
    </row>
    <row r="652" spans="1:23" s="263" customFormat="1" ht="9" customHeight="1" x14ac:dyDescent="0.25">
      <c r="A652" s="550" t="s">
        <v>48</v>
      </c>
      <c r="B652" s="621">
        <v>401</v>
      </c>
      <c r="C652" s="621">
        <v>84</v>
      </c>
      <c r="D652" s="621">
        <v>178</v>
      </c>
      <c r="E652" s="621">
        <v>15</v>
      </c>
      <c r="F652" s="621">
        <v>20</v>
      </c>
      <c r="G652" s="621">
        <v>72</v>
      </c>
      <c r="H652" s="621">
        <v>44</v>
      </c>
      <c r="Q652" s="620"/>
      <c r="R652" s="620"/>
      <c r="S652" s="620"/>
      <c r="T652" s="620"/>
      <c r="U652" s="620"/>
      <c r="V652" s="620"/>
      <c r="W652" s="620"/>
    </row>
    <row r="653" spans="1:23" s="263" customFormat="1" ht="9" customHeight="1" x14ac:dyDescent="0.25">
      <c r="A653" s="603" t="s">
        <v>49</v>
      </c>
      <c r="B653" s="623">
        <v>817</v>
      </c>
      <c r="C653" s="623">
        <v>241</v>
      </c>
      <c r="D653" s="623">
        <v>320</v>
      </c>
      <c r="E653" s="623">
        <v>28</v>
      </c>
      <c r="F653" s="623">
        <v>39</v>
      </c>
      <c r="G653" s="623">
        <v>108</v>
      </c>
      <c r="H653" s="623">
        <v>50</v>
      </c>
      <c r="Q653" s="620"/>
      <c r="R653" s="620"/>
      <c r="S653" s="620"/>
      <c r="T653" s="620"/>
      <c r="U653" s="620"/>
      <c r="V653" s="620"/>
      <c r="W653" s="620"/>
    </row>
    <row r="654" spans="1:23" s="263" customFormat="1" ht="9" customHeight="1" x14ac:dyDescent="0.25">
      <c r="A654" s="550" t="s">
        <v>50</v>
      </c>
      <c r="B654" s="621">
        <v>262</v>
      </c>
      <c r="C654" s="621">
        <v>75</v>
      </c>
      <c r="D654" s="621">
        <v>120</v>
      </c>
      <c r="E654" s="621">
        <v>4</v>
      </c>
      <c r="F654" s="621">
        <v>4</v>
      </c>
      <c r="G654" s="621">
        <v>58</v>
      </c>
      <c r="H654" s="621">
        <v>45</v>
      </c>
      <c r="Q654" s="620"/>
      <c r="R654" s="620"/>
      <c r="S654" s="620"/>
      <c r="T654" s="620"/>
      <c r="U654" s="620"/>
      <c r="V654" s="620"/>
      <c r="W654" s="620"/>
    </row>
    <row r="655" spans="1:23" s="263" customFormat="1" ht="9" customHeight="1" x14ac:dyDescent="0.25">
      <c r="A655" s="550" t="s">
        <v>51</v>
      </c>
      <c r="B655" s="621">
        <v>1394</v>
      </c>
      <c r="C655" s="621">
        <v>310</v>
      </c>
      <c r="D655" s="621">
        <v>440</v>
      </c>
      <c r="E655" s="621">
        <v>36</v>
      </c>
      <c r="F655" s="621">
        <v>51</v>
      </c>
      <c r="G655" s="621">
        <v>207</v>
      </c>
      <c r="H655" s="621">
        <v>126</v>
      </c>
      <c r="Q655" s="620"/>
      <c r="R655" s="620"/>
      <c r="S655" s="620"/>
      <c r="T655" s="620"/>
      <c r="U655" s="620"/>
      <c r="V655" s="620"/>
      <c r="W655" s="620"/>
    </row>
    <row r="656" spans="1:23" s="263" customFormat="1" ht="9" customHeight="1" x14ac:dyDescent="0.25">
      <c r="A656" s="550" t="s">
        <v>52</v>
      </c>
      <c r="B656" s="621">
        <v>428</v>
      </c>
      <c r="C656" s="621">
        <v>214</v>
      </c>
      <c r="D656" s="621">
        <v>113</v>
      </c>
      <c r="E656" s="621">
        <v>10</v>
      </c>
      <c r="F656" s="621">
        <v>16</v>
      </c>
      <c r="G656" s="621">
        <v>54</v>
      </c>
      <c r="H656" s="621">
        <v>24</v>
      </c>
      <c r="Q656" s="620"/>
      <c r="R656" s="620"/>
      <c r="S656" s="620"/>
      <c r="T656" s="620"/>
      <c r="U656" s="620"/>
      <c r="V656" s="620"/>
      <c r="W656" s="620"/>
    </row>
    <row r="657" spans="1:23" s="263" customFormat="1" ht="9" customHeight="1" x14ac:dyDescent="0.25">
      <c r="A657" s="267" t="s">
        <v>53</v>
      </c>
      <c r="B657" s="618">
        <v>439</v>
      </c>
      <c r="C657" s="618">
        <v>86</v>
      </c>
      <c r="D657" s="618">
        <v>217</v>
      </c>
      <c r="E657" s="618">
        <v>12</v>
      </c>
      <c r="F657" s="618">
        <v>17</v>
      </c>
      <c r="G657" s="618">
        <v>51</v>
      </c>
      <c r="H657" s="618">
        <v>31</v>
      </c>
      <c r="Q657" s="620"/>
      <c r="R657" s="620"/>
      <c r="S657" s="620"/>
      <c r="T657" s="620"/>
      <c r="U657" s="620"/>
      <c r="V657" s="620"/>
      <c r="W657" s="620"/>
    </row>
    <row r="658" spans="1:23" s="263" customFormat="1" ht="9" customHeight="1" x14ac:dyDescent="0.25">
      <c r="A658" s="286"/>
      <c r="B658" s="619"/>
      <c r="C658" s="619"/>
      <c r="D658" s="619"/>
      <c r="E658" s="619"/>
      <c r="F658" s="619"/>
      <c r="G658" s="619"/>
      <c r="H658" s="619"/>
      <c r="Q658" s="620"/>
      <c r="R658" s="620"/>
      <c r="S658" s="620"/>
      <c r="T658" s="620"/>
      <c r="U658" s="620"/>
      <c r="V658" s="620"/>
      <c r="W658" s="620"/>
    </row>
    <row r="659" spans="1:23" s="263" customFormat="1" ht="9" customHeight="1" x14ac:dyDescent="0.25">
      <c r="A659" s="261">
        <v>2013</v>
      </c>
      <c r="B659" s="262"/>
      <c r="C659" s="262"/>
      <c r="D659" s="262"/>
      <c r="E659" s="262"/>
      <c r="F659" s="262"/>
      <c r="G659" s="262"/>
      <c r="H659" s="262"/>
      <c r="Q659" s="620"/>
      <c r="R659" s="620"/>
      <c r="S659" s="620"/>
      <c r="T659" s="620"/>
      <c r="U659" s="620"/>
      <c r="V659" s="620"/>
      <c r="W659" s="620"/>
    </row>
    <row r="660" spans="1:23" s="265" customFormat="1" ht="9" customHeight="1" x14ac:dyDescent="0.25">
      <c r="A660" s="265" t="s">
        <v>21</v>
      </c>
      <c r="B660" s="615">
        <f t="shared" ref="B660:H660" si="18">SUM(B662:B693)</f>
        <v>34467</v>
      </c>
      <c r="C660" s="615">
        <f t="shared" si="18"/>
        <v>9924</v>
      </c>
      <c r="D660" s="615">
        <f t="shared" si="18"/>
        <v>13487</v>
      </c>
      <c r="E660" s="615">
        <f t="shared" si="18"/>
        <v>823</v>
      </c>
      <c r="F660" s="615">
        <f t="shared" si="18"/>
        <v>1223</v>
      </c>
      <c r="G660" s="624">
        <f t="shared" si="18"/>
        <v>4961</v>
      </c>
      <c r="H660" s="624">
        <f t="shared" si="18"/>
        <v>2758</v>
      </c>
      <c r="Q660" s="620"/>
      <c r="R660" s="620"/>
      <c r="S660" s="620"/>
      <c r="T660" s="620"/>
      <c r="U660" s="620"/>
      <c r="V660" s="620"/>
      <c r="W660" s="620"/>
    </row>
    <row r="661" spans="1:23" s="265" customFormat="1" ht="3.95" customHeight="1" x14ac:dyDescent="0.25">
      <c r="B661" s="615"/>
      <c r="C661" s="615"/>
      <c r="D661" s="615"/>
      <c r="E661" s="615"/>
      <c r="F661" s="615"/>
      <c r="G661" s="615"/>
      <c r="H661" s="615"/>
      <c r="Q661" s="620"/>
      <c r="R661" s="620"/>
      <c r="S661" s="620"/>
      <c r="T661" s="620"/>
      <c r="U661" s="620"/>
      <c r="V661" s="620"/>
      <c r="W661" s="620"/>
    </row>
    <row r="662" spans="1:23" s="263" customFormat="1" ht="9" customHeight="1" x14ac:dyDescent="0.25">
      <c r="A662" s="550" t="s">
        <v>23</v>
      </c>
      <c r="B662" s="621">
        <v>387</v>
      </c>
      <c r="C662" s="621">
        <v>130</v>
      </c>
      <c r="D662" s="621">
        <v>93</v>
      </c>
      <c r="E662" s="621">
        <v>13</v>
      </c>
      <c r="F662" s="621">
        <v>16</v>
      </c>
      <c r="G662" s="621">
        <v>56</v>
      </c>
      <c r="H662" s="621">
        <v>15</v>
      </c>
      <c r="Q662" s="620"/>
      <c r="R662" s="620"/>
      <c r="S662" s="620"/>
      <c r="T662" s="620"/>
      <c r="U662" s="620"/>
      <c r="V662" s="620"/>
      <c r="W662" s="620"/>
    </row>
    <row r="663" spans="1:23" s="263" customFormat="1" ht="9" customHeight="1" x14ac:dyDescent="0.25">
      <c r="A663" s="550" t="s">
        <v>24</v>
      </c>
      <c r="B663" s="622">
        <v>1382</v>
      </c>
      <c r="C663" s="622">
        <v>535</v>
      </c>
      <c r="D663" s="622">
        <v>479</v>
      </c>
      <c r="E663" s="622">
        <v>23</v>
      </c>
      <c r="F663" s="622">
        <v>36</v>
      </c>
      <c r="G663" s="622">
        <v>258</v>
      </c>
      <c r="H663" s="622">
        <v>115</v>
      </c>
      <c r="Q663" s="620"/>
      <c r="R663" s="620"/>
      <c r="S663" s="620"/>
      <c r="T663" s="620"/>
      <c r="U663" s="620"/>
      <c r="V663" s="620"/>
      <c r="W663" s="620"/>
    </row>
    <row r="664" spans="1:23" s="263" customFormat="1" ht="9" customHeight="1" x14ac:dyDescent="0.25">
      <c r="A664" s="550" t="s">
        <v>25</v>
      </c>
      <c r="B664" s="621">
        <v>90</v>
      </c>
      <c r="C664" s="621">
        <v>47</v>
      </c>
      <c r="D664" s="621">
        <v>62</v>
      </c>
      <c r="E664" s="621">
        <v>4</v>
      </c>
      <c r="F664" s="621">
        <v>7</v>
      </c>
      <c r="G664" s="621">
        <v>17</v>
      </c>
      <c r="H664" s="621">
        <v>10</v>
      </c>
      <c r="Q664" s="620"/>
      <c r="R664" s="620"/>
      <c r="S664" s="620"/>
      <c r="T664" s="620"/>
      <c r="U664" s="620"/>
      <c r="V664" s="620"/>
      <c r="W664" s="620"/>
    </row>
    <row r="665" spans="1:23" s="263" customFormat="1" ht="9" customHeight="1" x14ac:dyDescent="0.25">
      <c r="A665" s="603" t="s">
        <v>26</v>
      </c>
      <c r="B665" s="623">
        <v>103</v>
      </c>
      <c r="C665" s="623">
        <v>14</v>
      </c>
      <c r="D665" s="623">
        <v>104</v>
      </c>
      <c r="E665" s="623">
        <v>6</v>
      </c>
      <c r="F665" s="623">
        <v>8</v>
      </c>
      <c r="G665" s="623">
        <v>15</v>
      </c>
      <c r="H665" s="623">
        <v>9</v>
      </c>
      <c r="Q665" s="620"/>
      <c r="R665" s="620"/>
      <c r="S665" s="620"/>
      <c r="T665" s="620"/>
      <c r="U665" s="620"/>
      <c r="V665" s="620"/>
      <c r="W665" s="620"/>
    </row>
    <row r="666" spans="1:23" s="263" customFormat="1" ht="9" customHeight="1" x14ac:dyDescent="0.25">
      <c r="A666" s="550" t="s">
        <v>27</v>
      </c>
      <c r="B666" s="621">
        <v>650</v>
      </c>
      <c r="C666" s="621">
        <v>273</v>
      </c>
      <c r="D666" s="621">
        <v>488</v>
      </c>
      <c r="E666" s="621">
        <v>19</v>
      </c>
      <c r="F666" s="621">
        <v>27</v>
      </c>
      <c r="G666" s="621">
        <v>71</v>
      </c>
      <c r="H666" s="621">
        <v>28</v>
      </c>
      <c r="Q666" s="620"/>
      <c r="R666" s="620"/>
      <c r="S666" s="620"/>
      <c r="T666" s="620"/>
      <c r="U666" s="620"/>
      <c r="V666" s="620"/>
      <c r="W666" s="620"/>
    </row>
    <row r="667" spans="1:23" s="263" customFormat="1" ht="9" customHeight="1" x14ac:dyDescent="0.25">
      <c r="A667" s="550" t="s">
        <v>28</v>
      </c>
      <c r="B667" s="621">
        <v>157</v>
      </c>
      <c r="C667" s="621">
        <v>30</v>
      </c>
      <c r="D667" s="621">
        <v>74</v>
      </c>
      <c r="E667" s="621">
        <v>9</v>
      </c>
      <c r="F667" s="621">
        <v>6</v>
      </c>
      <c r="G667" s="621">
        <v>27</v>
      </c>
      <c r="H667" s="621">
        <v>9</v>
      </c>
      <c r="Q667" s="620"/>
      <c r="R667" s="620"/>
      <c r="S667" s="620"/>
      <c r="T667" s="620"/>
      <c r="U667" s="620"/>
      <c r="V667" s="620"/>
      <c r="W667" s="620"/>
    </row>
    <row r="668" spans="1:23" s="263" customFormat="1" ht="9" customHeight="1" x14ac:dyDescent="0.25">
      <c r="A668" s="550" t="s">
        <v>29</v>
      </c>
      <c r="B668" s="621">
        <v>631</v>
      </c>
      <c r="C668" s="621">
        <v>153</v>
      </c>
      <c r="D668" s="621">
        <v>195</v>
      </c>
      <c r="E668" s="621">
        <v>14</v>
      </c>
      <c r="F668" s="621">
        <v>11</v>
      </c>
      <c r="G668" s="621">
        <v>89</v>
      </c>
      <c r="H668" s="621">
        <v>41</v>
      </c>
      <c r="Q668" s="620"/>
      <c r="R668" s="620"/>
      <c r="S668" s="620"/>
      <c r="T668" s="620"/>
      <c r="U668" s="620"/>
      <c r="V668" s="620"/>
      <c r="W668" s="620"/>
    </row>
    <row r="669" spans="1:23" s="263" customFormat="1" ht="9" customHeight="1" x14ac:dyDescent="0.25">
      <c r="A669" s="603" t="s">
        <v>30</v>
      </c>
      <c r="B669" s="623">
        <v>1118</v>
      </c>
      <c r="C669" s="623">
        <v>449</v>
      </c>
      <c r="D669" s="623">
        <v>611</v>
      </c>
      <c r="E669" s="623">
        <v>27</v>
      </c>
      <c r="F669" s="623">
        <v>51</v>
      </c>
      <c r="G669" s="623">
        <v>126</v>
      </c>
      <c r="H669" s="623">
        <v>72</v>
      </c>
      <c r="Q669" s="620"/>
      <c r="R669" s="620"/>
      <c r="S669" s="620"/>
      <c r="T669" s="620"/>
      <c r="U669" s="620"/>
      <c r="V669" s="620"/>
      <c r="W669" s="620"/>
    </row>
    <row r="670" spans="1:23" s="263" customFormat="1" ht="9" customHeight="1" x14ac:dyDescent="0.25">
      <c r="A670" s="550" t="s">
        <v>63</v>
      </c>
      <c r="B670" s="621">
        <v>4869</v>
      </c>
      <c r="C670" s="621">
        <v>1454</v>
      </c>
      <c r="D670" s="621">
        <v>1996</v>
      </c>
      <c r="E670" s="621">
        <v>68</v>
      </c>
      <c r="F670" s="621">
        <v>125</v>
      </c>
      <c r="G670" s="621">
        <v>599</v>
      </c>
      <c r="H670" s="621">
        <v>248</v>
      </c>
      <c r="Q670" s="620"/>
      <c r="R670" s="620"/>
      <c r="S670" s="620"/>
      <c r="T670" s="620"/>
      <c r="U670" s="620"/>
      <c r="V670" s="620"/>
      <c r="W670" s="620"/>
    </row>
    <row r="671" spans="1:23" s="263" customFormat="1" ht="9" customHeight="1" x14ac:dyDescent="0.25">
      <c r="A671" s="550" t="s">
        <v>31</v>
      </c>
      <c r="B671" s="621">
        <v>303</v>
      </c>
      <c r="C671" s="621">
        <v>30</v>
      </c>
      <c r="D671" s="621">
        <v>76</v>
      </c>
      <c r="E671" s="621">
        <v>9</v>
      </c>
      <c r="F671" s="621">
        <v>15</v>
      </c>
      <c r="G671" s="621">
        <v>54</v>
      </c>
      <c r="H671" s="621">
        <v>26</v>
      </c>
      <c r="Q671" s="620"/>
      <c r="R671" s="620"/>
      <c r="S671" s="620"/>
      <c r="T671" s="620"/>
      <c r="U671" s="620"/>
      <c r="V671" s="620"/>
      <c r="W671" s="620"/>
    </row>
    <row r="672" spans="1:23" s="263" customFormat="1" ht="9" customHeight="1" x14ac:dyDescent="0.25">
      <c r="A672" s="550" t="s">
        <v>32</v>
      </c>
      <c r="B672" s="621">
        <v>2426</v>
      </c>
      <c r="C672" s="621">
        <v>621</v>
      </c>
      <c r="D672" s="621">
        <v>942</v>
      </c>
      <c r="E672" s="621">
        <v>63</v>
      </c>
      <c r="F672" s="621">
        <v>148</v>
      </c>
      <c r="G672" s="621">
        <v>378</v>
      </c>
      <c r="H672" s="621">
        <v>231</v>
      </c>
      <c r="Q672" s="620"/>
      <c r="R672" s="620"/>
      <c r="S672" s="620"/>
      <c r="T672" s="620"/>
      <c r="U672" s="620"/>
      <c r="V672" s="620"/>
      <c r="W672" s="620"/>
    </row>
    <row r="673" spans="1:23" s="263" customFormat="1" ht="9" customHeight="1" x14ac:dyDescent="0.25">
      <c r="A673" s="603" t="s">
        <v>33</v>
      </c>
      <c r="B673" s="623">
        <v>800</v>
      </c>
      <c r="C673" s="623">
        <v>151</v>
      </c>
      <c r="D673" s="623">
        <v>408</v>
      </c>
      <c r="E673" s="623">
        <v>25</v>
      </c>
      <c r="F673" s="623">
        <v>25</v>
      </c>
      <c r="G673" s="623">
        <v>134</v>
      </c>
      <c r="H673" s="623">
        <v>86</v>
      </c>
      <c r="Q673" s="620"/>
      <c r="R673" s="620"/>
      <c r="S673" s="620"/>
      <c r="T673" s="620"/>
      <c r="U673" s="620"/>
      <c r="V673" s="620"/>
      <c r="W673" s="620"/>
    </row>
    <row r="674" spans="1:23" s="263" customFormat="1" ht="9" customHeight="1" x14ac:dyDescent="0.25">
      <c r="A674" s="550" t="s">
        <v>34</v>
      </c>
      <c r="B674" s="621">
        <v>759</v>
      </c>
      <c r="C674" s="621">
        <v>178</v>
      </c>
      <c r="D674" s="621">
        <v>339</v>
      </c>
      <c r="E674" s="621">
        <v>15</v>
      </c>
      <c r="F674" s="621">
        <v>23</v>
      </c>
      <c r="G674" s="621">
        <v>129</v>
      </c>
      <c r="H674" s="621">
        <v>98</v>
      </c>
      <c r="Q674" s="620"/>
      <c r="R674" s="620"/>
      <c r="S674" s="620"/>
      <c r="T674" s="620"/>
      <c r="U674" s="620"/>
      <c r="V674" s="620"/>
      <c r="W674" s="620"/>
    </row>
    <row r="675" spans="1:23" s="263" customFormat="1" ht="9" customHeight="1" x14ac:dyDescent="0.25">
      <c r="A675" s="550" t="s">
        <v>35</v>
      </c>
      <c r="B675" s="621">
        <v>3063</v>
      </c>
      <c r="C675" s="621">
        <v>957</v>
      </c>
      <c r="D675" s="621">
        <v>725</v>
      </c>
      <c r="E675" s="621">
        <v>80</v>
      </c>
      <c r="F675" s="621">
        <v>102</v>
      </c>
      <c r="G675" s="621">
        <v>431</v>
      </c>
      <c r="H675" s="621">
        <v>197</v>
      </c>
      <c r="Q675" s="620"/>
      <c r="R675" s="620"/>
      <c r="S675" s="620"/>
      <c r="T675" s="620"/>
      <c r="U675" s="620"/>
      <c r="V675" s="620"/>
      <c r="W675" s="620"/>
    </row>
    <row r="676" spans="1:23" s="263" customFormat="1" ht="9" customHeight="1" x14ac:dyDescent="0.25">
      <c r="A676" s="550" t="s">
        <v>36</v>
      </c>
      <c r="B676" s="621">
        <v>4002</v>
      </c>
      <c r="C676" s="621">
        <v>712</v>
      </c>
      <c r="D676" s="621">
        <v>2017</v>
      </c>
      <c r="E676" s="621">
        <v>82</v>
      </c>
      <c r="F676" s="621">
        <v>116</v>
      </c>
      <c r="G676" s="621">
        <v>630</v>
      </c>
      <c r="H676" s="621">
        <v>475</v>
      </c>
      <c r="Q676" s="620"/>
      <c r="R676" s="620"/>
      <c r="S676" s="620"/>
      <c r="T676" s="620"/>
      <c r="U676" s="620"/>
      <c r="V676" s="620"/>
      <c r="W676" s="620"/>
    </row>
    <row r="677" spans="1:23" s="263" customFormat="1" ht="9" customHeight="1" x14ac:dyDescent="0.25">
      <c r="A677" s="603" t="s">
        <v>37</v>
      </c>
      <c r="B677" s="623">
        <v>1748</v>
      </c>
      <c r="C677" s="623">
        <v>252</v>
      </c>
      <c r="D677" s="623">
        <v>543</v>
      </c>
      <c r="E677" s="623">
        <v>33</v>
      </c>
      <c r="F677" s="623">
        <v>59</v>
      </c>
      <c r="G677" s="623">
        <v>226</v>
      </c>
      <c r="H677" s="623">
        <v>147</v>
      </c>
      <c r="Q677" s="620"/>
      <c r="R677" s="620"/>
      <c r="S677" s="620"/>
      <c r="T677" s="620"/>
      <c r="U677" s="620"/>
      <c r="V677" s="620"/>
      <c r="W677" s="620"/>
    </row>
    <row r="678" spans="1:23" s="263" customFormat="1" ht="9" customHeight="1" x14ac:dyDescent="0.25">
      <c r="A678" s="550" t="s">
        <v>38</v>
      </c>
      <c r="B678" s="621">
        <v>442</v>
      </c>
      <c r="C678" s="621">
        <v>141</v>
      </c>
      <c r="D678" s="621">
        <v>174</v>
      </c>
      <c r="E678" s="621">
        <v>16</v>
      </c>
      <c r="F678" s="621">
        <v>13</v>
      </c>
      <c r="G678" s="621">
        <v>85</v>
      </c>
      <c r="H678" s="621">
        <v>59</v>
      </c>
      <c r="Q678" s="620"/>
      <c r="R678" s="620"/>
      <c r="S678" s="620"/>
      <c r="T678" s="620"/>
      <c r="U678" s="620"/>
      <c r="V678" s="620"/>
      <c r="W678" s="620"/>
    </row>
    <row r="679" spans="1:23" s="263" customFormat="1" ht="9" customHeight="1" x14ac:dyDescent="0.25">
      <c r="A679" s="550" t="s">
        <v>39</v>
      </c>
      <c r="B679" s="621">
        <v>108</v>
      </c>
      <c r="C679" s="621">
        <v>20</v>
      </c>
      <c r="D679" s="621">
        <v>48</v>
      </c>
      <c r="E679" s="621">
        <v>8</v>
      </c>
      <c r="F679" s="621">
        <v>5</v>
      </c>
      <c r="G679" s="621">
        <v>18</v>
      </c>
      <c r="H679" s="621">
        <v>10</v>
      </c>
      <c r="Q679" s="620"/>
      <c r="R679" s="620"/>
      <c r="S679" s="620"/>
      <c r="T679" s="620"/>
      <c r="U679" s="620"/>
      <c r="V679" s="620"/>
      <c r="W679" s="620"/>
    </row>
    <row r="680" spans="1:23" s="263" customFormat="1" ht="9" customHeight="1" x14ac:dyDescent="0.25">
      <c r="A680" s="550" t="s">
        <v>40</v>
      </c>
      <c r="B680" s="621">
        <v>2069</v>
      </c>
      <c r="C680" s="621">
        <v>1002</v>
      </c>
      <c r="D680" s="621">
        <v>660</v>
      </c>
      <c r="E680" s="621">
        <v>57</v>
      </c>
      <c r="F680" s="621">
        <v>112</v>
      </c>
      <c r="G680" s="621">
        <v>243</v>
      </c>
      <c r="H680" s="621">
        <v>87</v>
      </c>
      <c r="Q680" s="620"/>
      <c r="R680" s="620"/>
      <c r="S680" s="620"/>
      <c r="T680" s="620"/>
      <c r="U680" s="620"/>
      <c r="V680" s="620"/>
      <c r="W680" s="620"/>
    </row>
    <row r="681" spans="1:23" s="263" customFormat="1" ht="9" customHeight="1" x14ac:dyDescent="0.25">
      <c r="A681" s="603" t="s">
        <v>41</v>
      </c>
      <c r="B681" s="623">
        <v>776</v>
      </c>
      <c r="C681" s="623">
        <v>74</v>
      </c>
      <c r="D681" s="623">
        <v>411</v>
      </c>
      <c r="E681" s="623">
        <v>25</v>
      </c>
      <c r="F681" s="623">
        <v>26</v>
      </c>
      <c r="G681" s="623">
        <v>132</v>
      </c>
      <c r="H681" s="623">
        <v>101</v>
      </c>
      <c r="Q681" s="620"/>
      <c r="R681" s="620"/>
      <c r="S681" s="620"/>
      <c r="T681" s="620"/>
      <c r="U681" s="620"/>
      <c r="V681" s="620"/>
      <c r="W681" s="620"/>
    </row>
    <row r="682" spans="1:23" s="263" customFormat="1" ht="9" customHeight="1" x14ac:dyDescent="0.25">
      <c r="A682" s="550" t="s">
        <v>42</v>
      </c>
      <c r="B682" s="621">
        <v>1945</v>
      </c>
      <c r="C682" s="621">
        <v>445</v>
      </c>
      <c r="D682" s="621">
        <v>513</v>
      </c>
      <c r="E682" s="621">
        <v>37</v>
      </c>
      <c r="F682" s="621">
        <v>36</v>
      </c>
      <c r="G682" s="621">
        <v>249</v>
      </c>
      <c r="H682" s="621">
        <v>143</v>
      </c>
      <c r="Q682" s="620"/>
      <c r="R682" s="620"/>
      <c r="S682" s="620"/>
      <c r="T682" s="620"/>
      <c r="U682" s="620"/>
      <c r="V682" s="620"/>
      <c r="W682" s="620"/>
    </row>
    <row r="683" spans="1:23" s="263" customFormat="1" ht="9" customHeight="1" x14ac:dyDescent="0.25">
      <c r="A683" s="550" t="s">
        <v>43</v>
      </c>
      <c r="B683" s="621">
        <v>774</v>
      </c>
      <c r="C683" s="621">
        <v>413</v>
      </c>
      <c r="D683" s="621">
        <v>427</v>
      </c>
      <c r="E683" s="621">
        <v>22</v>
      </c>
      <c r="F683" s="621">
        <v>21</v>
      </c>
      <c r="G683" s="621">
        <v>116</v>
      </c>
      <c r="H683" s="621">
        <v>61</v>
      </c>
      <c r="Q683" s="620"/>
      <c r="R683" s="620"/>
      <c r="S683" s="620"/>
      <c r="T683" s="620"/>
      <c r="U683" s="620"/>
      <c r="V683" s="620"/>
      <c r="W683" s="620"/>
    </row>
    <row r="684" spans="1:23" s="263" customFormat="1" ht="9" customHeight="1" x14ac:dyDescent="0.25">
      <c r="A684" s="550" t="s">
        <v>44</v>
      </c>
      <c r="B684" s="621">
        <v>316</v>
      </c>
      <c r="C684" s="621">
        <v>137</v>
      </c>
      <c r="D684" s="621">
        <v>199</v>
      </c>
      <c r="E684" s="621">
        <v>22</v>
      </c>
      <c r="F684" s="621">
        <v>24</v>
      </c>
      <c r="G684" s="621">
        <v>54</v>
      </c>
      <c r="H684" s="621">
        <v>33</v>
      </c>
      <c r="Q684" s="620"/>
      <c r="R684" s="620"/>
      <c r="S684" s="620"/>
      <c r="T684" s="620"/>
      <c r="U684" s="620"/>
      <c r="V684" s="620"/>
      <c r="W684" s="620"/>
    </row>
    <row r="685" spans="1:23" s="263" customFormat="1" ht="9" customHeight="1" x14ac:dyDescent="0.25">
      <c r="A685" s="603" t="s">
        <v>45</v>
      </c>
      <c r="B685" s="623">
        <v>675</v>
      </c>
      <c r="C685" s="623">
        <v>314</v>
      </c>
      <c r="D685" s="623">
        <v>182</v>
      </c>
      <c r="E685" s="623">
        <v>23</v>
      </c>
      <c r="F685" s="623">
        <v>23</v>
      </c>
      <c r="G685" s="623">
        <v>87</v>
      </c>
      <c r="H685" s="623">
        <v>48</v>
      </c>
      <c r="Q685" s="620"/>
      <c r="R685" s="620"/>
      <c r="S685" s="620"/>
      <c r="T685" s="620"/>
      <c r="U685" s="620"/>
      <c r="V685" s="620"/>
      <c r="W685" s="620"/>
    </row>
    <row r="686" spans="1:23" s="263" customFormat="1" ht="9" customHeight="1" x14ac:dyDescent="0.25">
      <c r="A686" s="550" t="s">
        <v>46</v>
      </c>
      <c r="B686" s="621">
        <v>646</v>
      </c>
      <c r="C686" s="621">
        <v>214</v>
      </c>
      <c r="D686" s="621">
        <v>175</v>
      </c>
      <c r="E686" s="621">
        <v>14</v>
      </c>
      <c r="F686" s="621">
        <v>23</v>
      </c>
      <c r="G686" s="621">
        <v>109</v>
      </c>
      <c r="H686" s="621">
        <v>48</v>
      </c>
      <c r="Q686" s="620"/>
      <c r="R686" s="620"/>
      <c r="S686" s="620"/>
      <c r="T686" s="620"/>
      <c r="U686" s="620"/>
      <c r="V686" s="620"/>
      <c r="W686" s="620"/>
    </row>
    <row r="687" spans="1:23" s="263" customFormat="1" ht="9" customHeight="1" x14ac:dyDescent="0.25">
      <c r="A687" s="550" t="s">
        <v>47</v>
      </c>
      <c r="B687" s="621">
        <v>602</v>
      </c>
      <c r="C687" s="621">
        <v>202</v>
      </c>
      <c r="D687" s="621">
        <v>188</v>
      </c>
      <c r="E687" s="621">
        <v>13</v>
      </c>
      <c r="F687" s="621">
        <v>26</v>
      </c>
      <c r="G687" s="621">
        <v>90</v>
      </c>
      <c r="H687" s="621">
        <v>48</v>
      </c>
      <c r="Q687" s="620"/>
      <c r="R687" s="620"/>
      <c r="S687" s="620"/>
      <c r="T687" s="620"/>
      <c r="U687" s="620"/>
      <c r="V687" s="620"/>
      <c r="W687" s="620"/>
    </row>
    <row r="688" spans="1:23" s="263" customFormat="1" ht="9" customHeight="1" x14ac:dyDescent="0.25">
      <c r="A688" s="550" t="s">
        <v>48</v>
      </c>
      <c r="B688" s="621">
        <v>433</v>
      </c>
      <c r="C688" s="621">
        <v>88</v>
      </c>
      <c r="D688" s="621">
        <v>205</v>
      </c>
      <c r="E688" s="621">
        <v>16</v>
      </c>
      <c r="F688" s="621">
        <v>21</v>
      </c>
      <c r="G688" s="621">
        <v>71</v>
      </c>
      <c r="H688" s="621">
        <v>47</v>
      </c>
      <c r="Q688" s="620"/>
      <c r="R688" s="620"/>
      <c r="S688" s="620"/>
      <c r="T688" s="620"/>
      <c r="U688" s="620"/>
      <c r="V688" s="620"/>
      <c r="W688" s="620"/>
    </row>
    <row r="689" spans="1:23" s="263" customFormat="1" ht="9" customHeight="1" x14ac:dyDescent="0.25">
      <c r="A689" s="603" t="s">
        <v>49</v>
      </c>
      <c r="B689" s="623">
        <v>737</v>
      </c>
      <c r="C689" s="623">
        <v>189</v>
      </c>
      <c r="D689" s="623">
        <v>292</v>
      </c>
      <c r="E689" s="623">
        <v>23</v>
      </c>
      <c r="F689" s="623">
        <v>32</v>
      </c>
      <c r="G689" s="623">
        <v>102</v>
      </c>
      <c r="H689" s="623">
        <v>47</v>
      </c>
      <c r="Q689" s="620"/>
      <c r="R689" s="620"/>
      <c r="S689" s="620"/>
      <c r="T689" s="620"/>
      <c r="U689" s="620"/>
      <c r="V689" s="620"/>
      <c r="W689" s="620"/>
    </row>
    <row r="690" spans="1:23" s="263" customFormat="1" ht="9" customHeight="1" x14ac:dyDescent="0.25">
      <c r="A690" s="550" t="s">
        <v>50</v>
      </c>
      <c r="B690" s="621">
        <v>267</v>
      </c>
      <c r="C690" s="621">
        <v>78</v>
      </c>
      <c r="D690" s="621">
        <v>120</v>
      </c>
      <c r="E690" s="621">
        <v>4</v>
      </c>
      <c r="F690" s="621">
        <v>4</v>
      </c>
      <c r="G690" s="621">
        <v>60</v>
      </c>
      <c r="H690" s="621">
        <v>45</v>
      </c>
      <c r="Q690" s="620"/>
      <c r="R690" s="620"/>
      <c r="S690" s="620"/>
      <c r="T690" s="620"/>
      <c r="U690" s="620"/>
      <c r="V690" s="620"/>
      <c r="W690" s="620"/>
    </row>
    <row r="691" spans="1:23" s="263" customFormat="1" ht="9" customHeight="1" x14ac:dyDescent="0.25">
      <c r="A691" s="550" t="s">
        <v>51</v>
      </c>
      <c r="B691" s="621">
        <v>1369</v>
      </c>
      <c r="C691" s="621">
        <v>339</v>
      </c>
      <c r="D691" s="621">
        <v>439</v>
      </c>
      <c r="E691" s="621">
        <v>35</v>
      </c>
      <c r="F691" s="621">
        <v>50</v>
      </c>
      <c r="G691" s="621">
        <v>206</v>
      </c>
      <c r="H691" s="621">
        <v>121</v>
      </c>
      <c r="Q691" s="620"/>
      <c r="R691" s="620"/>
      <c r="S691" s="620"/>
      <c r="T691" s="620"/>
      <c r="U691" s="620"/>
      <c r="V691" s="620"/>
      <c r="W691" s="620"/>
    </row>
    <row r="692" spans="1:23" s="263" customFormat="1" ht="9" customHeight="1" x14ac:dyDescent="0.25">
      <c r="A692" s="550" t="s">
        <v>52</v>
      </c>
      <c r="B692" s="621">
        <v>407</v>
      </c>
      <c r="C692" s="621">
        <v>203</v>
      </c>
      <c r="D692" s="621">
        <v>97</v>
      </c>
      <c r="E692" s="621">
        <v>8</v>
      </c>
      <c r="F692" s="621">
        <v>16</v>
      </c>
      <c r="G692" s="621">
        <v>50</v>
      </c>
      <c r="H692" s="621">
        <v>23</v>
      </c>
      <c r="Q692" s="620"/>
      <c r="R692" s="620"/>
      <c r="S692" s="620"/>
      <c r="T692" s="620"/>
      <c r="U692" s="620"/>
      <c r="V692" s="620"/>
      <c r="W692" s="620"/>
    </row>
    <row r="693" spans="1:23" s="263" customFormat="1" ht="9" customHeight="1" x14ac:dyDescent="0.25">
      <c r="A693" s="267" t="s">
        <v>53</v>
      </c>
      <c r="B693" s="618">
        <v>413</v>
      </c>
      <c r="C693" s="618">
        <v>79</v>
      </c>
      <c r="D693" s="618">
        <v>205</v>
      </c>
      <c r="E693" s="618">
        <v>10</v>
      </c>
      <c r="F693" s="618">
        <v>16</v>
      </c>
      <c r="G693" s="618">
        <v>49</v>
      </c>
      <c r="H693" s="618">
        <v>30</v>
      </c>
      <c r="Q693" s="620"/>
      <c r="R693" s="620"/>
      <c r="S693" s="620"/>
      <c r="T693" s="620"/>
      <c r="U693" s="620"/>
      <c r="V693" s="620"/>
      <c r="W693" s="620"/>
    </row>
    <row r="694" spans="1:23" s="263" customFormat="1" ht="9" customHeight="1" x14ac:dyDescent="0.25">
      <c r="A694" s="286"/>
      <c r="B694" s="619"/>
      <c r="C694" s="619"/>
      <c r="D694" s="619"/>
      <c r="E694" s="619"/>
      <c r="F694" s="619"/>
      <c r="G694" s="619"/>
      <c r="H694" s="619"/>
      <c r="Q694" s="620"/>
      <c r="R694" s="620"/>
      <c r="S694" s="620"/>
      <c r="T694" s="620"/>
      <c r="U694" s="620"/>
      <c r="V694" s="620"/>
      <c r="W694" s="620"/>
    </row>
    <row r="695" spans="1:23" s="263" customFormat="1" ht="9" customHeight="1" x14ac:dyDescent="0.25">
      <c r="A695" s="261">
        <v>2014</v>
      </c>
      <c r="B695" s="262"/>
      <c r="C695" s="262"/>
      <c r="D695" s="262"/>
      <c r="E695" s="262"/>
      <c r="F695" s="262"/>
      <c r="G695" s="262"/>
      <c r="H695" s="262"/>
      <c r="Q695" s="620"/>
      <c r="R695" s="620"/>
      <c r="S695" s="620"/>
      <c r="T695" s="620"/>
      <c r="U695" s="620"/>
      <c r="V695" s="620"/>
      <c r="W695" s="620"/>
    </row>
    <row r="696" spans="1:23" s="265" customFormat="1" ht="9" customHeight="1" x14ac:dyDescent="0.25">
      <c r="A696" s="265" t="s">
        <v>21</v>
      </c>
      <c r="B696" s="615">
        <f t="shared" ref="B696:H696" si="19">SUM(B698:B729)</f>
        <v>34205</v>
      </c>
      <c r="C696" s="615">
        <f t="shared" si="19"/>
        <v>9759</v>
      </c>
      <c r="D696" s="615">
        <f t="shared" si="19"/>
        <v>13284</v>
      </c>
      <c r="E696" s="615">
        <f t="shared" si="19"/>
        <v>820</v>
      </c>
      <c r="F696" s="615">
        <f t="shared" si="19"/>
        <v>1177</v>
      </c>
      <c r="G696" s="624">
        <f t="shared" si="19"/>
        <v>4899</v>
      </c>
      <c r="H696" s="624">
        <f t="shared" si="19"/>
        <v>2719</v>
      </c>
      <c r="Q696" s="620"/>
      <c r="R696" s="620"/>
      <c r="S696" s="620"/>
      <c r="T696" s="620"/>
      <c r="U696" s="620"/>
      <c r="V696" s="620"/>
      <c r="W696" s="620"/>
    </row>
    <row r="697" spans="1:23" s="265" customFormat="1" ht="3.95" customHeight="1" x14ac:dyDescent="0.25">
      <c r="B697" s="615"/>
      <c r="C697" s="615"/>
      <c r="D697" s="615"/>
      <c r="E697" s="615"/>
      <c r="F697" s="615"/>
      <c r="G697" s="615"/>
      <c r="H697" s="615"/>
      <c r="Q697" s="620"/>
      <c r="R697" s="620"/>
      <c r="S697" s="620"/>
      <c r="T697" s="620"/>
      <c r="U697" s="620"/>
      <c r="V697" s="620"/>
      <c r="W697" s="620"/>
    </row>
    <row r="698" spans="1:23" s="263" customFormat="1" ht="9" customHeight="1" x14ac:dyDescent="0.25">
      <c r="A698" s="550" t="s">
        <v>23</v>
      </c>
      <c r="B698" s="621">
        <v>387</v>
      </c>
      <c r="C698" s="621">
        <v>128</v>
      </c>
      <c r="D698" s="621">
        <v>94</v>
      </c>
      <c r="E698" s="621">
        <v>12</v>
      </c>
      <c r="F698" s="621">
        <v>16</v>
      </c>
      <c r="G698" s="621">
        <v>56</v>
      </c>
      <c r="H698" s="621">
        <v>15</v>
      </c>
      <c r="Q698" s="620"/>
      <c r="R698" s="620"/>
      <c r="S698" s="620"/>
      <c r="T698" s="620"/>
      <c r="U698" s="620"/>
      <c r="V698" s="620"/>
      <c r="W698" s="620"/>
    </row>
    <row r="699" spans="1:23" s="263" customFormat="1" ht="9" customHeight="1" x14ac:dyDescent="0.25">
      <c r="A699" s="550" t="s">
        <v>24</v>
      </c>
      <c r="B699" s="622">
        <v>1335</v>
      </c>
      <c r="C699" s="622">
        <v>569</v>
      </c>
      <c r="D699" s="622">
        <v>435</v>
      </c>
      <c r="E699" s="622">
        <v>16</v>
      </c>
      <c r="F699" s="622">
        <v>24</v>
      </c>
      <c r="G699" s="622">
        <v>251</v>
      </c>
      <c r="H699" s="622">
        <v>112</v>
      </c>
      <c r="Q699" s="620"/>
      <c r="R699" s="620"/>
      <c r="S699" s="620"/>
      <c r="T699" s="620"/>
      <c r="U699" s="620"/>
      <c r="V699" s="620"/>
      <c r="W699" s="620"/>
    </row>
    <row r="700" spans="1:23" s="263" customFormat="1" ht="9" customHeight="1" x14ac:dyDescent="0.25">
      <c r="A700" s="550" t="s">
        <v>25</v>
      </c>
      <c r="B700" s="621">
        <v>90</v>
      </c>
      <c r="C700" s="621">
        <v>34</v>
      </c>
      <c r="D700" s="621">
        <v>53</v>
      </c>
      <c r="E700" s="621">
        <v>3</v>
      </c>
      <c r="F700" s="621">
        <v>6</v>
      </c>
      <c r="G700" s="621">
        <v>15</v>
      </c>
      <c r="H700" s="621">
        <v>9</v>
      </c>
      <c r="Q700" s="620"/>
      <c r="R700" s="620"/>
      <c r="S700" s="620"/>
      <c r="T700" s="620"/>
      <c r="U700" s="620"/>
      <c r="V700" s="620"/>
      <c r="W700" s="620"/>
    </row>
    <row r="701" spans="1:23" s="263" customFormat="1" ht="9" customHeight="1" x14ac:dyDescent="0.25">
      <c r="A701" s="603" t="s">
        <v>26</v>
      </c>
      <c r="B701" s="623">
        <v>96</v>
      </c>
      <c r="C701" s="623">
        <v>15</v>
      </c>
      <c r="D701" s="623">
        <v>108</v>
      </c>
      <c r="E701" s="623">
        <v>6</v>
      </c>
      <c r="F701" s="623">
        <v>8</v>
      </c>
      <c r="G701" s="623">
        <v>15</v>
      </c>
      <c r="H701" s="623">
        <v>8</v>
      </c>
      <c r="Q701" s="620"/>
      <c r="R701" s="620"/>
      <c r="S701" s="620"/>
      <c r="T701" s="620"/>
      <c r="U701" s="620"/>
      <c r="V701" s="620"/>
      <c r="W701" s="620"/>
    </row>
    <row r="702" spans="1:23" s="263" customFormat="1" ht="9" customHeight="1" x14ac:dyDescent="0.25">
      <c r="A702" s="550" t="s">
        <v>27</v>
      </c>
      <c r="B702" s="621">
        <v>662</v>
      </c>
      <c r="C702" s="621">
        <v>283</v>
      </c>
      <c r="D702" s="621">
        <v>485</v>
      </c>
      <c r="E702" s="621">
        <v>17</v>
      </c>
      <c r="F702" s="621">
        <v>28</v>
      </c>
      <c r="G702" s="621">
        <v>70</v>
      </c>
      <c r="H702" s="621">
        <v>30</v>
      </c>
      <c r="Q702" s="620"/>
      <c r="R702" s="620"/>
      <c r="S702" s="620"/>
      <c r="T702" s="620"/>
      <c r="U702" s="620"/>
      <c r="V702" s="620"/>
      <c r="W702" s="620"/>
    </row>
    <row r="703" spans="1:23" s="263" customFormat="1" ht="9" customHeight="1" x14ac:dyDescent="0.25">
      <c r="A703" s="550" t="s">
        <v>28</v>
      </c>
      <c r="B703" s="621">
        <v>157</v>
      </c>
      <c r="C703" s="621">
        <v>30</v>
      </c>
      <c r="D703" s="621">
        <v>74</v>
      </c>
      <c r="E703" s="621">
        <v>9</v>
      </c>
      <c r="F703" s="621">
        <v>6</v>
      </c>
      <c r="G703" s="621">
        <v>27</v>
      </c>
      <c r="H703" s="621">
        <v>9</v>
      </c>
      <c r="Q703" s="620"/>
      <c r="R703" s="620"/>
      <c r="S703" s="620"/>
      <c r="T703" s="620"/>
      <c r="U703" s="620"/>
      <c r="V703" s="620"/>
      <c r="W703" s="620"/>
    </row>
    <row r="704" spans="1:23" s="263" customFormat="1" ht="9" customHeight="1" x14ac:dyDescent="0.25">
      <c r="A704" s="550" t="s">
        <v>29</v>
      </c>
      <c r="B704" s="621">
        <v>614</v>
      </c>
      <c r="C704" s="621">
        <v>110</v>
      </c>
      <c r="D704" s="621">
        <v>180</v>
      </c>
      <c r="E704" s="621">
        <v>15</v>
      </c>
      <c r="F704" s="621">
        <v>13</v>
      </c>
      <c r="G704" s="621">
        <v>89</v>
      </c>
      <c r="H704" s="621">
        <v>46</v>
      </c>
      <c r="Q704" s="620"/>
      <c r="R704" s="620"/>
      <c r="S704" s="620"/>
      <c r="T704" s="620"/>
      <c r="U704" s="620"/>
      <c r="V704" s="620"/>
      <c r="W704" s="620"/>
    </row>
    <row r="705" spans="1:23" s="263" customFormat="1" ht="9" customHeight="1" x14ac:dyDescent="0.25">
      <c r="A705" s="603" t="s">
        <v>30</v>
      </c>
      <c r="B705" s="623">
        <v>1041</v>
      </c>
      <c r="C705" s="623">
        <v>409</v>
      </c>
      <c r="D705" s="623">
        <v>590</v>
      </c>
      <c r="E705" s="623">
        <v>28</v>
      </c>
      <c r="F705" s="623">
        <v>39</v>
      </c>
      <c r="G705" s="623">
        <v>119</v>
      </c>
      <c r="H705" s="623">
        <v>68</v>
      </c>
      <c r="Q705" s="620"/>
      <c r="R705" s="620"/>
      <c r="S705" s="620"/>
      <c r="T705" s="620"/>
      <c r="U705" s="620"/>
      <c r="V705" s="620"/>
      <c r="W705" s="620"/>
    </row>
    <row r="706" spans="1:23" s="263" customFormat="1" ht="9" customHeight="1" x14ac:dyDescent="0.25">
      <c r="A706" s="550" t="s">
        <v>63</v>
      </c>
      <c r="B706" s="621">
        <v>4871</v>
      </c>
      <c r="C706" s="621">
        <v>1498</v>
      </c>
      <c r="D706" s="621">
        <v>1898</v>
      </c>
      <c r="E706" s="621">
        <v>67</v>
      </c>
      <c r="F706" s="621">
        <v>125</v>
      </c>
      <c r="G706" s="621">
        <v>593</v>
      </c>
      <c r="H706" s="621">
        <v>245</v>
      </c>
      <c r="Q706" s="620"/>
      <c r="R706" s="620"/>
      <c r="S706" s="620"/>
      <c r="T706" s="620"/>
      <c r="U706" s="620"/>
      <c r="V706" s="620"/>
      <c r="W706" s="620"/>
    </row>
    <row r="707" spans="1:23" s="263" customFormat="1" ht="9" customHeight="1" x14ac:dyDescent="0.25">
      <c r="A707" s="550" t="s">
        <v>31</v>
      </c>
      <c r="B707" s="621">
        <v>297</v>
      </c>
      <c r="C707" s="621">
        <v>28</v>
      </c>
      <c r="D707" s="621">
        <v>71</v>
      </c>
      <c r="E707" s="621">
        <v>6</v>
      </c>
      <c r="F707" s="621">
        <v>15</v>
      </c>
      <c r="G707" s="621">
        <v>57</v>
      </c>
      <c r="H707" s="621">
        <v>26</v>
      </c>
      <c r="Q707" s="620"/>
      <c r="R707" s="620"/>
      <c r="S707" s="620"/>
      <c r="T707" s="620"/>
      <c r="U707" s="620"/>
      <c r="V707" s="620"/>
      <c r="W707" s="620"/>
    </row>
    <row r="708" spans="1:23" s="263" customFormat="1" ht="9" customHeight="1" x14ac:dyDescent="0.25">
      <c r="A708" s="550" t="s">
        <v>32</v>
      </c>
      <c r="B708" s="621">
        <v>2277</v>
      </c>
      <c r="C708" s="621">
        <v>550</v>
      </c>
      <c r="D708" s="621">
        <v>951</v>
      </c>
      <c r="E708" s="621">
        <v>56</v>
      </c>
      <c r="F708" s="621">
        <v>132</v>
      </c>
      <c r="G708" s="621">
        <v>356</v>
      </c>
      <c r="H708" s="621">
        <v>223</v>
      </c>
      <c r="Q708" s="620"/>
      <c r="R708" s="620"/>
      <c r="S708" s="620"/>
      <c r="T708" s="620"/>
      <c r="U708" s="620"/>
      <c r="V708" s="620"/>
      <c r="W708" s="620"/>
    </row>
    <row r="709" spans="1:23" s="263" customFormat="1" ht="9" customHeight="1" x14ac:dyDescent="0.25">
      <c r="A709" s="603" t="s">
        <v>33</v>
      </c>
      <c r="B709" s="623">
        <v>808</v>
      </c>
      <c r="C709" s="623">
        <v>132</v>
      </c>
      <c r="D709" s="623">
        <v>399</v>
      </c>
      <c r="E709" s="623">
        <v>25</v>
      </c>
      <c r="F709" s="623">
        <v>26</v>
      </c>
      <c r="G709" s="623">
        <v>132</v>
      </c>
      <c r="H709" s="623">
        <v>76</v>
      </c>
      <c r="Q709" s="620"/>
      <c r="R709" s="620"/>
      <c r="S709" s="620"/>
      <c r="T709" s="620"/>
      <c r="U709" s="620"/>
      <c r="V709" s="620"/>
      <c r="W709" s="620"/>
    </row>
    <row r="710" spans="1:23" s="263" customFormat="1" ht="9" customHeight="1" x14ac:dyDescent="0.25">
      <c r="A710" s="550" t="s">
        <v>34</v>
      </c>
      <c r="B710" s="621">
        <v>858</v>
      </c>
      <c r="C710" s="621">
        <v>166</v>
      </c>
      <c r="D710" s="621">
        <v>398</v>
      </c>
      <c r="E710" s="621">
        <v>17</v>
      </c>
      <c r="F710" s="621">
        <v>18</v>
      </c>
      <c r="G710" s="621">
        <v>141</v>
      </c>
      <c r="H710" s="621">
        <v>99</v>
      </c>
      <c r="Q710" s="620"/>
      <c r="R710" s="620"/>
      <c r="S710" s="620"/>
      <c r="T710" s="620"/>
      <c r="U710" s="620"/>
      <c r="V710" s="620"/>
      <c r="W710" s="620"/>
    </row>
    <row r="711" spans="1:23" s="263" customFormat="1" ht="9" customHeight="1" x14ac:dyDescent="0.25">
      <c r="A711" s="550" t="s">
        <v>35</v>
      </c>
      <c r="B711" s="621">
        <v>3109</v>
      </c>
      <c r="C711" s="621">
        <v>919</v>
      </c>
      <c r="D711" s="621">
        <v>717</v>
      </c>
      <c r="E711" s="621">
        <v>82</v>
      </c>
      <c r="F711" s="621">
        <v>100</v>
      </c>
      <c r="G711" s="621">
        <v>421</v>
      </c>
      <c r="H711" s="621">
        <v>188</v>
      </c>
      <c r="Q711" s="620"/>
      <c r="R711" s="620"/>
      <c r="S711" s="620"/>
      <c r="T711" s="620"/>
      <c r="U711" s="620"/>
      <c r="V711" s="620"/>
      <c r="W711" s="620"/>
    </row>
    <row r="712" spans="1:23" s="263" customFormat="1" ht="9" customHeight="1" x14ac:dyDescent="0.25">
      <c r="A712" s="550" t="s">
        <v>36</v>
      </c>
      <c r="B712" s="621">
        <v>3807</v>
      </c>
      <c r="C712" s="621">
        <v>711</v>
      </c>
      <c r="D712" s="621">
        <v>1965</v>
      </c>
      <c r="E712" s="621">
        <v>77</v>
      </c>
      <c r="F712" s="621">
        <v>116</v>
      </c>
      <c r="G712" s="621">
        <v>617</v>
      </c>
      <c r="H712" s="621">
        <v>468</v>
      </c>
      <c r="Q712" s="620"/>
      <c r="R712" s="620"/>
      <c r="S712" s="620"/>
      <c r="T712" s="620"/>
      <c r="U712" s="620"/>
      <c r="V712" s="620"/>
      <c r="W712" s="620"/>
    </row>
    <row r="713" spans="1:23" s="263" customFormat="1" ht="9" customHeight="1" x14ac:dyDescent="0.25">
      <c r="A713" s="603" t="s">
        <v>37</v>
      </c>
      <c r="B713" s="623">
        <v>1726</v>
      </c>
      <c r="C713" s="623">
        <v>253</v>
      </c>
      <c r="D713" s="623">
        <v>566</v>
      </c>
      <c r="E713" s="623">
        <v>31</v>
      </c>
      <c r="F713" s="623">
        <v>56</v>
      </c>
      <c r="G713" s="623">
        <v>231</v>
      </c>
      <c r="H713" s="623">
        <v>154</v>
      </c>
      <c r="Q713" s="620"/>
      <c r="R713" s="620"/>
      <c r="S713" s="620"/>
      <c r="T713" s="620"/>
      <c r="U713" s="620"/>
      <c r="V713" s="620"/>
      <c r="W713" s="620"/>
    </row>
    <row r="714" spans="1:23" s="263" customFormat="1" ht="9" customHeight="1" x14ac:dyDescent="0.25">
      <c r="A714" s="550" t="s">
        <v>38</v>
      </c>
      <c r="B714" s="621">
        <v>431</v>
      </c>
      <c r="C714" s="621">
        <v>141</v>
      </c>
      <c r="D714" s="621">
        <v>159</v>
      </c>
      <c r="E714" s="621">
        <v>24</v>
      </c>
      <c r="F714" s="621">
        <v>10</v>
      </c>
      <c r="G714" s="621">
        <v>83</v>
      </c>
      <c r="H714" s="621">
        <v>57</v>
      </c>
      <c r="Q714" s="620"/>
      <c r="R714" s="620"/>
      <c r="S714" s="620"/>
      <c r="T714" s="620"/>
      <c r="U714" s="620"/>
      <c r="V714" s="620"/>
      <c r="W714" s="620"/>
    </row>
    <row r="715" spans="1:23" s="263" customFormat="1" ht="9" customHeight="1" x14ac:dyDescent="0.25">
      <c r="A715" s="550" t="s">
        <v>39</v>
      </c>
      <c r="B715" s="621">
        <v>104</v>
      </c>
      <c r="C715" s="621">
        <v>24</v>
      </c>
      <c r="D715" s="621">
        <v>47</v>
      </c>
      <c r="E715" s="621">
        <v>9</v>
      </c>
      <c r="F715" s="621">
        <v>6</v>
      </c>
      <c r="G715" s="621">
        <v>18</v>
      </c>
      <c r="H715" s="621">
        <v>11</v>
      </c>
      <c r="Q715" s="620"/>
      <c r="R715" s="620"/>
      <c r="S715" s="620"/>
      <c r="T715" s="620"/>
      <c r="U715" s="620"/>
      <c r="V715" s="620"/>
      <c r="W715" s="620"/>
    </row>
    <row r="716" spans="1:23" s="263" customFormat="1" ht="9" customHeight="1" x14ac:dyDescent="0.25">
      <c r="A716" s="550" t="s">
        <v>40</v>
      </c>
      <c r="B716" s="621">
        <v>2241</v>
      </c>
      <c r="C716" s="621">
        <v>1055</v>
      </c>
      <c r="D716" s="621">
        <v>646</v>
      </c>
      <c r="E716" s="621">
        <v>57</v>
      </c>
      <c r="F716" s="621">
        <v>115</v>
      </c>
      <c r="G716" s="621">
        <v>250</v>
      </c>
      <c r="H716" s="621">
        <v>88</v>
      </c>
      <c r="Q716" s="620"/>
      <c r="R716" s="620"/>
      <c r="S716" s="620"/>
      <c r="T716" s="620"/>
      <c r="U716" s="620"/>
      <c r="V716" s="620"/>
      <c r="W716" s="620"/>
    </row>
    <row r="717" spans="1:23" s="263" customFormat="1" ht="9" customHeight="1" x14ac:dyDescent="0.25">
      <c r="A717" s="603" t="s">
        <v>41</v>
      </c>
      <c r="B717" s="623">
        <v>793</v>
      </c>
      <c r="C717" s="623">
        <v>71</v>
      </c>
      <c r="D717" s="623">
        <v>422</v>
      </c>
      <c r="E717" s="623">
        <v>26</v>
      </c>
      <c r="F717" s="623">
        <v>29</v>
      </c>
      <c r="G717" s="623">
        <v>137</v>
      </c>
      <c r="H717" s="623">
        <v>95</v>
      </c>
      <c r="Q717" s="620"/>
      <c r="R717" s="620"/>
      <c r="S717" s="620"/>
      <c r="T717" s="620"/>
      <c r="U717" s="620"/>
      <c r="V717" s="620"/>
      <c r="W717" s="620"/>
    </row>
    <row r="718" spans="1:23" s="263" customFormat="1" ht="9" customHeight="1" x14ac:dyDescent="0.25">
      <c r="A718" s="550" t="s">
        <v>42</v>
      </c>
      <c r="B718" s="621">
        <v>1888</v>
      </c>
      <c r="C718" s="621">
        <v>484</v>
      </c>
      <c r="D718" s="621">
        <v>530</v>
      </c>
      <c r="E718" s="621">
        <v>43</v>
      </c>
      <c r="F718" s="621">
        <v>37</v>
      </c>
      <c r="G718" s="621">
        <v>244</v>
      </c>
      <c r="H718" s="621">
        <v>145</v>
      </c>
      <c r="Q718" s="620"/>
      <c r="R718" s="620"/>
      <c r="S718" s="620"/>
      <c r="T718" s="620"/>
      <c r="U718" s="620"/>
      <c r="V718" s="620"/>
      <c r="W718" s="620"/>
    </row>
    <row r="719" spans="1:23" s="263" customFormat="1" ht="9" customHeight="1" x14ac:dyDescent="0.25">
      <c r="A719" s="550" t="s">
        <v>43</v>
      </c>
      <c r="B719" s="621">
        <v>742</v>
      </c>
      <c r="C719" s="621">
        <v>348</v>
      </c>
      <c r="D719" s="621">
        <v>395</v>
      </c>
      <c r="E719" s="621">
        <v>21</v>
      </c>
      <c r="F719" s="621">
        <v>22</v>
      </c>
      <c r="G719" s="621">
        <v>110</v>
      </c>
      <c r="H719" s="621">
        <v>62</v>
      </c>
      <c r="Q719" s="620"/>
      <c r="R719" s="620"/>
      <c r="S719" s="620"/>
      <c r="T719" s="620"/>
      <c r="U719" s="620"/>
      <c r="V719" s="620"/>
      <c r="W719" s="620"/>
    </row>
    <row r="720" spans="1:23" s="263" customFormat="1" ht="9" customHeight="1" x14ac:dyDescent="0.25">
      <c r="A720" s="550" t="s">
        <v>44</v>
      </c>
      <c r="B720" s="621">
        <v>319</v>
      </c>
      <c r="C720" s="621">
        <v>127</v>
      </c>
      <c r="D720" s="621">
        <v>200</v>
      </c>
      <c r="E720" s="621">
        <v>22</v>
      </c>
      <c r="F720" s="621">
        <v>24</v>
      </c>
      <c r="G720" s="621">
        <v>52</v>
      </c>
      <c r="H720" s="621">
        <v>32</v>
      </c>
      <c r="Q720" s="620"/>
      <c r="R720" s="620"/>
      <c r="S720" s="620"/>
      <c r="T720" s="620"/>
      <c r="U720" s="620"/>
      <c r="V720" s="620"/>
      <c r="W720" s="620"/>
    </row>
    <row r="721" spans="1:23" s="263" customFormat="1" ht="9" customHeight="1" x14ac:dyDescent="0.25">
      <c r="A721" s="603" t="s">
        <v>45</v>
      </c>
      <c r="B721" s="623">
        <v>658</v>
      </c>
      <c r="C721" s="623">
        <v>294</v>
      </c>
      <c r="D721" s="623">
        <v>163</v>
      </c>
      <c r="E721" s="623">
        <v>20</v>
      </c>
      <c r="F721" s="623">
        <v>22</v>
      </c>
      <c r="G721" s="623">
        <v>82</v>
      </c>
      <c r="H721" s="623">
        <v>45</v>
      </c>
      <c r="Q721" s="620"/>
      <c r="R721" s="620"/>
      <c r="S721" s="620"/>
      <c r="T721" s="620"/>
      <c r="U721" s="620"/>
      <c r="V721" s="620"/>
      <c r="W721" s="620"/>
    </row>
    <row r="722" spans="1:23" s="263" customFormat="1" ht="9" customHeight="1" x14ac:dyDescent="0.25">
      <c r="A722" s="550" t="s">
        <v>46</v>
      </c>
      <c r="B722" s="621">
        <v>638</v>
      </c>
      <c r="C722" s="621">
        <v>215</v>
      </c>
      <c r="D722" s="621">
        <v>177</v>
      </c>
      <c r="E722" s="621">
        <v>13</v>
      </c>
      <c r="F722" s="621">
        <v>22</v>
      </c>
      <c r="G722" s="621">
        <v>112</v>
      </c>
      <c r="H722" s="621">
        <v>47</v>
      </c>
      <c r="Q722" s="620"/>
      <c r="R722" s="620"/>
      <c r="S722" s="620"/>
      <c r="T722" s="620"/>
      <c r="U722" s="620"/>
      <c r="V722" s="620"/>
      <c r="W722" s="620"/>
    </row>
    <row r="723" spans="1:23" s="263" customFormat="1" ht="9" customHeight="1" x14ac:dyDescent="0.25">
      <c r="A723" s="550" t="s">
        <v>47</v>
      </c>
      <c r="B723" s="621">
        <v>623</v>
      </c>
      <c r="C723" s="621">
        <v>174</v>
      </c>
      <c r="D723" s="621">
        <v>187</v>
      </c>
      <c r="E723" s="621">
        <v>12</v>
      </c>
      <c r="F723" s="621">
        <v>27</v>
      </c>
      <c r="G723" s="621">
        <v>89</v>
      </c>
      <c r="H723" s="621">
        <v>48</v>
      </c>
      <c r="Q723" s="620"/>
      <c r="R723" s="620"/>
      <c r="S723" s="620"/>
      <c r="T723" s="620"/>
      <c r="U723" s="620"/>
      <c r="V723" s="620"/>
      <c r="W723" s="620"/>
    </row>
    <row r="724" spans="1:23" s="263" customFormat="1" ht="9" customHeight="1" x14ac:dyDescent="0.25">
      <c r="A724" s="550" t="s">
        <v>48</v>
      </c>
      <c r="B724" s="621">
        <v>394</v>
      </c>
      <c r="C724" s="621">
        <v>91</v>
      </c>
      <c r="D724" s="621">
        <v>213</v>
      </c>
      <c r="E724" s="621">
        <v>28</v>
      </c>
      <c r="F724" s="621">
        <v>20</v>
      </c>
      <c r="G724" s="621">
        <v>72</v>
      </c>
      <c r="H724" s="621">
        <v>46</v>
      </c>
      <c r="Q724" s="620"/>
      <c r="R724" s="620"/>
      <c r="S724" s="620"/>
      <c r="T724" s="620"/>
      <c r="U724" s="620"/>
      <c r="V724" s="620"/>
      <c r="W724" s="620"/>
    </row>
    <row r="725" spans="1:23" s="263" customFormat="1" ht="9" customHeight="1" x14ac:dyDescent="0.25">
      <c r="A725" s="603" t="s">
        <v>49</v>
      </c>
      <c r="B725" s="623">
        <v>790</v>
      </c>
      <c r="C725" s="623">
        <v>239</v>
      </c>
      <c r="D725" s="623">
        <v>316</v>
      </c>
      <c r="E725" s="623">
        <v>24</v>
      </c>
      <c r="F725" s="623">
        <v>33</v>
      </c>
      <c r="G725" s="623">
        <v>108</v>
      </c>
      <c r="H725" s="623">
        <v>47</v>
      </c>
      <c r="Q725" s="620"/>
      <c r="R725" s="620"/>
      <c r="S725" s="620"/>
      <c r="T725" s="620"/>
      <c r="U725" s="620"/>
      <c r="V725" s="620"/>
      <c r="W725" s="620"/>
    </row>
    <row r="726" spans="1:23" s="263" customFormat="1" ht="9" customHeight="1" x14ac:dyDescent="0.25">
      <c r="A726" s="550" t="s">
        <v>50</v>
      </c>
      <c r="B726" s="621">
        <v>259</v>
      </c>
      <c r="C726" s="621">
        <v>71</v>
      </c>
      <c r="D726" s="621">
        <v>113</v>
      </c>
      <c r="E726" s="621">
        <v>4</v>
      </c>
      <c r="F726" s="621">
        <v>5</v>
      </c>
      <c r="G726" s="621">
        <v>56</v>
      </c>
      <c r="H726" s="621">
        <v>43</v>
      </c>
      <c r="Q726" s="620"/>
      <c r="R726" s="620"/>
      <c r="S726" s="620"/>
      <c r="T726" s="620"/>
      <c r="U726" s="620"/>
      <c r="V726" s="620"/>
      <c r="W726" s="620"/>
    </row>
    <row r="727" spans="1:23" s="263" customFormat="1" ht="9" customHeight="1" x14ac:dyDescent="0.25">
      <c r="A727" s="550" t="s">
        <v>51</v>
      </c>
      <c r="B727" s="621">
        <v>1366</v>
      </c>
      <c r="C727" s="621">
        <v>328</v>
      </c>
      <c r="D727" s="621">
        <v>436</v>
      </c>
      <c r="E727" s="621">
        <v>34</v>
      </c>
      <c r="F727" s="621">
        <v>45</v>
      </c>
      <c r="G727" s="621">
        <v>198</v>
      </c>
      <c r="H727" s="621">
        <v>122</v>
      </c>
      <c r="Q727" s="620"/>
      <c r="R727" s="620"/>
      <c r="S727" s="620"/>
      <c r="T727" s="620"/>
      <c r="U727" s="620"/>
      <c r="V727" s="620"/>
      <c r="W727" s="620"/>
    </row>
    <row r="728" spans="1:23" s="263" customFormat="1" ht="9" customHeight="1" x14ac:dyDescent="0.25">
      <c r="A728" s="550" t="s">
        <v>52</v>
      </c>
      <c r="B728" s="621">
        <v>401</v>
      </c>
      <c r="C728" s="621">
        <v>191</v>
      </c>
      <c r="D728" s="621">
        <v>99</v>
      </c>
      <c r="E728" s="621">
        <v>8</v>
      </c>
      <c r="F728" s="621">
        <v>15</v>
      </c>
      <c r="G728" s="621">
        <v>50</v>
      </c>
      <c r="H728" s="621">
        <v>23</v>
      </c>
      <c r="Q728" s="620"/>
      <c r="R728" s="620"/>
      <c r="S728" s="620"/>
      <c r="T728" s="620"/>
      <c r="U728" s="620"/>
      <c r="V728" s="620"/>
      <c r="W728" s="620"/>
    </row>
    <row r="729" spans="1:23" s="263" customFormat="1" ht="9" customHeight="1" x14ac:dyDescent="0.25">
      <c r="A729" s="267" t="s">
        <v>53</v>
      </c>
      <c r="B729" s="618">
        <v>423</v>
      </c>
      <c r="C729" s="618">
        <v>71</v>
      </c>
      <c r="D729" s="618">
        <v>197</v>
      </c>
      <c r="E729" s="618">
        <v>8</v>
      </c>
      <c r="F729" s="618">
        <v>17</v>
      </c>
      <c r="G729" s="618">
        <v>48</v>
      </c>
      <c r="H729" s="618">
        <v>32</v>
      </c>
      <c r="Q729" s="620"/>
      <c r="R729" s="620"/>
      <c r="S729" s="620"/>
      <c r="T729" s="620"/>
      <c r="U729" s="620"/>
      <c r="V729" s="620"/>
      <c r="W729" s="620"/>
    </row>
    <row r="730" spans="1:23" s="263" customFormat="1" ht="9" customHeight="1" x14ac:dyDescent="0.25">
      <c r="A730" s="286"/>
      <c r="B730" s="619"/>
      <c r="C730" s="619"/>
      <c r="D730" s="619"/>
      <c r="E730" s="619"/>
      <c r="F730" s="619"/>
      <c r="G730" s="619"/>
      <c r="H730" s="619"/>
    </row>
    <row r="731" spans="1:23" s="263" customFormat="1" ht="9" customHeight="1" x14ac:dyDescent="0.25">
      <c r="A731" s="261">
        <v>2015</v>
      </c>
      <c r="B731" s="262"/>
      <c r="C731" s="262"/>
      <c r="D731" s="262"/>
      <c r="E731" s="262"/>
      <c r="F731" s="262"/>
      <c r="G731" s="262"/>
      <c r="H731" s="262"/>
    </row>
    <row r="732" spans="1:23" s="265" customFormat="1" ht="9" customHeight="1" x14ac:dyDescent="0.25">
      <c r="A732" s="265" t="s">
        <v>21</v>
      </c>
      <c r="B732" s="615">
        <f t="shared" ref="B732:H732" si="20">SUM(B734:B765)</f>
        <v>33980</v>
      </c>
      <c r="C732" s="615">
        <f t="shared" si="20"/>
        <v>9949</v>
      </c>
      <c r="D732" s="615">
        <f t="shared" si="20"/>
        <v>13820</v>
      </c>
      <c r="E732" s="615">
        <f t="shared" si="20"/>
        <v>857</v>
      </c>
      <c r="F732" s="615">
        <f t="shared" si="20"/>
        <v>1193</v>
      </c>
      <c r="G732" s="624">
        <f t="shared" si="20"/>
        <v>4868</v>
      </c>
      <c r="H732" s="624">
        <f t="shared" si="20"/>
        <v>2712</v>
      </c>
      <c r="J732" s="606"/>
    </row>
    <row r="733" spans="1:23" s="265" customFormat="1" ht="3.95" customHeight="1" x14ac:dyDescent="0.25">
      <c r="B733" s="615"/>
      <c r="C733" s="615"/>
      <c r="D733" s="615"/>
      <c r="E733" s="615"/>
      <c r="F733" s="615"/>
      <c r="G733" s="615"/>
      <c r="H733" s="615"/>
    </row>
    <row r="734" spans="1:23" s="263" customFormat="1" ht="9" customHeight="1" x14ac:dyDescent="0.25">
      <c r="A734" s="550" t="s">
        <v>23</v>
      </c>
      <c r="B734" s="621">
        <v>353</v>
      </c>
      <c r="C734" s="621">
        <v>125</v>
      </c>
      <c r="D734" s="621">
        <v>90</v>
      </c>
      <c r="E734" s="621">
        <v>12</v>
      </c>
      <c r="F734" s="621">
        <v>16</v>
      </c>
      <c r="G734" s="621">
        <v>52</v>
      </c>
      <c r="H734" s="621">
        <v>15</v>
      </c>
    </row>
    <row r="735" spans="1:23" s="263" customFormat="1" ht="9" customHeight="1" x14ac:dyDescent="0.25">
      <c r="A735" s="550" t="s">
        <v>24</v>
      </c>
      <c r="B735" s="622">
        <v>1290</v>
      </c>
      <c r="C735" s="622">
        <v>535</v>
      </c>
      <c r="D735" s="622">
        <v>420</v>
      </c>
      <c r="E735" s="622">
        <v>19</v>
      </c>
      <c r="F735" s="622">
        <v>30</v>
      </c>
      <c r="G735" s="622">
        <v>243</v>
      </c>
      <c r="H735" s="622">
        <v>102</v>
      </c>
    </row>
    <row r="736" spans="1:23" s="263" customFormat="1" ht="9" customHeight="1" x14ac:dyDescent="0.25">
      <c r="A736" s="550" t="s">
        <v>25</v>
      </c>
      <c r="B736" s="621">
        <v>102</v>
      </c>
      <c r="C736" s="621">
        <v>38</v>
      </c>
      <c r="D736" s="621">
        <v>51</v>
      </c>
      <c r="E736" s="621">
        <v>7</v>
      </c>
      <c r="F736" s="621">
        <v>10</v>
      </c>
      <c r="G736" s="621">
        <v>19</v>
      </c>
      <c r="H736" s="621">
        <v>9</v>
      </c>
    </row>
    <row r="737" spans="1:8" s="263" customFormat="1" ht="9" customHeight="1" x14ac:dyDescent="0.25">
      <c r="A737" s="603" t="s">
        <v>26</v>
      </c>
      <c r="B737" s="623">
        <v>109</v>
      </c>
      <c r="C737" s="623">
        <v>15</v>
      </c>
      <c r="D737" s="623">
        <v>108</v>
      </c>
      <c r="E737" s="623">
        <v>6</v>
      </c>
      <c r="F737" s="623">
        <v>8</v>
      </c>
      <c r="G737" s="623">
        <v>15</v>
      </c>
      <c r="H737" s="623">
        <v>7</v>
      </c>
    </row>
    <row r="738" spans="1:8" s="263" customFormat="1" ht="9" customHeight="1" x14ac:dyDescent="0.25">
      <c r="A738" s="550" t="s">
        <v>27</v>
      </c>
      <c r="B738" s="621">
        <v>735</v>
      </c>
      <c r="C738" s="621">
        <v>311</v>
      </c>
      <c r="D738" s="621">
        <v>524</v>
      </c>
      <c r="E738" s="621">
        <v>19</v>
      </c>
      <c r="F738" s="621">
        <v>30</v>
      </c>
      <c r="G738" s="621">
        <v>74</v>
      </c>
      <c r="H738" s="621">
        <v>33</v>
      </c>
    </row>
    <row r="739" spans="1:8" s="263" customFormat="1" ht="9" customHeight="1" x14ac:dyDescent="0.25">
      <c r="A739" s="550" t="s">
        <v>28</v>
      </c>
      <c r="B739" s="621">
        <v>158</v>
      </c>
      <c r="C739" s="621">
        <v>27</v>
      </c>
      <c r="D739" s="621">
        <v>80</v>
      </c>
      <c r="E739" s="621">
        <v>9</v>
      </c>
      <c r="F739" s="621">
        <v>5</v>
      </c>
      <c r="G739" s="621">
        <v>27</v>
      </c>
      <c r="H739" s="621">
        <v>9</v>
      </c>
    </row>
    <row r="740" spans="1:8" s="263" customFormat="1" ht="9" customHeight="1" x14ac:dyDescent="0.25">
      <c r="A740" s="550" t="s">
        <v>29</v>
      </c>
      <c r="B740" s="621">
        <v>623</v>
      </c>
      <c r="C740" s="621">
        <v>90</v>
      </c>
      <c r="D740" s="621">
        <v>177</v>
      </c>
      <c r="E740" s="621">
        <v>17</v>
      </c>
      <c r="F740" s="621">
        <v>10</v>
      </c>
      <c r="G740" s="621">
        <v>85</v>
      </c>
      <c r="H740" s="621">
        <v>40</v>
      </c>
    </row>
    <row r="741" spans="1:8" s="263" customFormat="1" ht="9" customHeight="1" x14ac:dyDescent="0.25">
      <c r="A741" s="603" t="s">
        <v>30</v>
      </c>
      <c r="B741" s="623">
        <v>1044</v>
      </c>
      <c r="C741" s="623">
        <v>379</v>
      </c>
      <c r="D741" s="623">
        <v>534</v>
      </c>
      <c r="E741" s="623">
        <v>26</v>
      </c>
      <c r="F741" s="623">
        <v>48</v>
      </c>
      <c r="G741" s="623">
        <v>123</v>
      </c>
      <c r="H741" s="623">
        <v>66</v>
      </c>
    </row>
    <row r="742" spans="1:8" s="263" customFormat="1" ht="9" customHeight="1" x14ac:dyDescent="0.25">
      <c r="A742" s="550" t="s">
        <v>63</v>
      </c>
      <c r="B742" s="621">
        <v>4909</v>
      </c>
      <c r="C742" s="621">
        <v>1503</v>
      </c>
      <c r="D742" s="621">
        <v>2045</v>
      </c>
      <c r="E742" s="621">
        <v>66</v>
      </c>
      <c r="F742" s="621">
        <v>135</v>
      </c>
      <c r="G742" s="621">
        <v>597</v>
      </c>
      <c r="H742" s="621">
        <v>244</v>
      </c>
    </row>
    <row r="743" spans="1:8" s="263" customFormat="1" ht="9" customHeight="1" x14ac:dyDescent="0.25">
      <c r="A743" s="550" t="s">
        <v>31</v>
      </c>
      <c r="B743" s="621">
        <v>303</v>
      </c>
      <c r="C743" s="621">
        <v>35</v>
      </c>
      <c r="D743" s="621">
        <v>72</v>
      </c>
      <c r="E743" s="621">
        <v>12</v>
      </c>
      <c r="F743" s="621">
        <v>14</v>
      </c>
      <c r="G743" s="621">
        <v>58</v>
      </c>
      <c r="H743" s="621">
        <v>25</v>
      </c>
    </row>
    <row r="744" spans="1:8" s="263" customFormat="1" ht="9" customHeight="1" x14ac:dyDescent="0.25">
      <c r="A744" s="550" t="s">
        <v>32</v>
      </c>
      <c r="B744" s="621">
        <v>2217</v>
      </c>
      <c r="C744" s="621">
        <v>661</v>
      </c>
      <c r="D744" s="621">
        <v>1039</v>
      </c>
      <c r="E744" s="621">
        <v>52</v>
      </c>
      <c r="F744" s="621">
        <v>134</v>
      </c>
      <c r="G744" s="621">
        <v>358</v>
      </c>
      <c r="H744" s="621">
        <v>223</v>
      </c>
    </row>
    <row r="745" spans="1:8" s="263" customFormat="1" ht="9" customHeight="1" x14ac:dyDescent="0.25">
      <c r="A745" s="603" t="s">
        <v>33</v>
      </c>
      <c r="B745" s="623">
        <v>793</v>
      </c>
      <c r="C745" s="623">
        <v>154</v>
      </c>
      <c r="D745" s="623">
        <v>404</v>
      </c>
      <c r="E745" s="623">
        <v>24</v>
      </c>
      <c r="F745" s="623">
        <v>21</v>
      </c>
      <c r="G745" s="623">
        <v>130</v>
      </c>
      <c r="H745" s="623">
        <v>90</v>
      </c>
    </row>
    <row r="746" spans="1:8" s="263" customFormat="1" ht="9" customHeight="1" x14ac:dyDescent="0.25">
      <c r="A746" s="550" t="s">
        <v>34</v>
      </c>
      <c r="B746" s="621">
        <v>836</v>
      </c>
      <c r="C746" s="621">
        <v>176</v>
      </c>
      <c r="D746" s="621">
        <v>441</v>
      </c>
      <c r="E746" s="621">
        <v>16</v>
      </c>
      <c r="F746" s="621">
        <v>13</v>
      </c>
      <c r="G746" s="621">
        <v>140</v>
      </c>
      <c r="H746" s="621">
        <v>96</v>
      </c>
    </row>
    <row r="747" spans="1:8" s="263" customFormat="1" ht="9" customHeight="1" x14ac:dyDescent="0.25">
      <c r="A747" s="550" t="s">
        <v>35</v>
      </c>
      <c r="B747" s="621">
        <v>3082</v>
      </c>
      <c r="C747" s="621">
        <v>914</v>
      </c>
      <c r="D747" s="621">
        <v>732</v>
      </c>
      <c r="E747" s="621">
        <v>83</v>
      </c>
      <c r="F747" s="621">
        <v>95</v>
      </c>
      <c r="G747" s="621">
        <v>426</v>
      </c>
      <c r="H747" s="621">
        <v>188</v>
      </c>
    </row>
    <row r="748" spans="1:8" s="263" customFormat="1" ht="9" customHeight="1" x14ac:dyDescent="0.25">
      <c r="A748" s="550" t="s">
        <v>36</v>
      </c>
      <c r="B748" s="621">
        <v>3711</v>
      </c>
      <c r="C748" s="621">
        <v>722</v>
      </c>
      <c r="D748" s="621">
        <v>2073</v>
      </c>
      <c r="E748" s="621">
        <v>95</v>
      </c>
      <c r="F748" s="621">
        <v>119</v>
      </c>
      <c r="G748" s="621">
        <v>597</v>
      </c>
      <c r="H748" s="621">
        <v>455</v>
      </c>
    </row>
    <row r="749" spans="1:8" s="263" customFormat="1" ht="9" customHeight="1" x14ac:dyDescent="0.25">
      <c r="A749" s="603" t="s">
        <v>37</v>
      </c>
      <c r="B749" s="623">
        <v>1696</v>
      </c>
      <c r="C749" s="623">
        <v>216</v>
      </c>
      <c r="D749" s="623">
        <v>538</v>
      </c>
      <c r="E749" s="623">
        <v>33</v>
      </c>
      <c r="F749" s="623">
        <v>54</v>
      </c>
      <c r="G749" s="623">
        <v>221</v>
      </c>
      <c r="H749" s="623">
        <v>150</v>
      </c>
    </row>
    <row r="750" spans="1:8" s="263" customFormat="1" ht="9" customHeight="1" x14ac:dyDescent="0.25">
      <c r="A750" s="550" t="s">
        <v>38</v>
      </c>
      <c r="B750" s="621">
        <v>473</v>
      </c>
      <c r="C750" s="621">
        <v>155</v>
      </c>
      <c r="D750" s="621">
        <v>189</v>
      </c>
      <c r="E750" s="621">
        <v>26</v>
      </c>
      <c r="F750" s="621">
        <v>12</v>
      </c>
      <c r="G750" s="621">
        <v>100</v>
      </c>
      <c r="H750" s="621">
        <v>72</v>
      </c>
    </row>
    <row r="751" spans="1:8" s="263" customFormat="1" ht="9" customHeight="1" x14ac:dyDescent="0.25">
      <c r="A751" s="550" t="s">
        <v>39</v>
      </c>
      <c r="B751" s="621">
        <v>103</v>
      </c>
      <c r="C751" s="621">
        <v>20</v>
      </c>
      <c r="D751" s="621">
        <v>47</v>
      </c>
      <c r="E751" s="621">
        <v>9</v>
      </c>
      <c r="F751" s="621">
        <v>6</v>
      </c>
      <c r="G751" s="621">
        <v>17</v>
      </c>
      <c r="H751" s="621">
        <v>12</v>
      </c>
    </row>
    <row r="752" spans="1:8" s="263" customFormat="1" ht="9" customHeight="1" x14ac:dyDescent="0.25">
      <c r="A752" s="550" t="s">
        <v>40</v>
      </c>
      <c r="B752" s="621">
        <v>2253</v>
      </c>
      <c r="C752" s="621">
        <v>1008</v>
      </c>
      <c r="D752" s="621">
        <v>663</v>
      </c>
      <c r="E752" s="621">
        <v>59</v>
      </c>
      <c r="F752" s="621">
        <v>122</v>
      </c>
      <c r="G752" s="621">
        <v>247</v>
      </c>
      <c r="H752" s="621">
        <v>95</v>
      </c>
    </row>
    <row r="753" spans="1:10" s="263" customFormat="1" ht="9" customHeight="1" x14ac:dyDescent="0.25">
      <c r="A753" s="603" t="s">
        <v>41</v>
      </c>
      <c r="B753" s="623">
        <v>767</v>
      </c>
      <c r="C753" s="623">
        <v>76</v>
      </c>
      <c r="D753" s="623">
        <v>454</v>
      </c>
      <c r="E753" s="623">
        <v>29</v>
      </c>
      <c r="F753" s="623">
        <v>32</v>
      </c>
      <c r="G753" s="623">
        <v>135</v>
      </c>
      <c r="H753" s="623">
        <v>98</v>
      </c>
    </row>
    <row r="754" spans="1:10" s="263" customFormat="1" ht="9" customHeight="1" x14ac:dyDescent="0.25">
      <c r="A754" s="550" t="s">
        <v>42</v>
      </c>
      <c r="B754" s="621">
        <v>1838</v>
      </c>
      <c r="C754" s="621">
        <v>470</v>
      </c>
      <c r="D754" s="621">
        <v>514</v>
      </c>
      <c r="E754" s="621">
        <v>43</v>
      </c>
      <c r="F754" s="621">
        <v>32</v>
      </c>
      <c r="G754" s="621">
        <v>237</v>
      </c>
      <c r="H754" s="621">
        <v>137</v>
      </c>
    </row>
    <row r="755" spans="1:10" s="263" customFormat="1" ht="9" customHeight="1" x14ac:dyDescent="0.25">
      <c r="A755" s="550" t="s">
        <v>43</v>
      </c>
      <c r="B755" s="621">
        <v>728</v>
      </c>
      <c r="C755" s="621">
        <v>397</v>
      </c>
      <c r="D755" s="621">
        <v>412</v>
      </c>
      <c r="E755" s="621">
        <v>20</v>
      </c>
      <c r="F755" s="621">
        <v>23</v>
      </c>
      <c r="G755" s="621">
        <v>109</v>
      </c>
      <c r="H755" s="621">
        <v>60</v>
      </c>
    </row>
    <row r="756" spans="1:10" s="263" customFormat="1" ht="9" customHeight="1" x14ac:dyDescent="0.25">
      <c r="A756" s="550" t="s">
        <v>44</v>
      </c>
      <c r="B756" s="621">
        <v>308</v>
      </c>
      <c r="C756" s="621">
        <v>140</v>
      </c>
      <c r="D756" s="621">
        <v>199</v>
      </c>
      <c r="E756" s="621">
        <v>31</v>
      </c>
      <c r="F756" s="621">
        <v>21</v>
      </c>
      <c r="G756" s="621">
        <v>49</v>
      </c>
      <c r="H756" s="621">
        <v>29</v>
      </c>
    </row>
    <row r="757" spans="1:10" s="263" customFormat="1" ht="9" customHeight="1" x14ac:dyDescent="0.25">
      <c r="A757" s="603" t="s">
        <v>45</v>
      </c>
      <c r="B757" s="623">
        <v>628</v>
      </c>
      <c r="C757" s="623">
        <v>281</v>
      </c>
      <c r="D757" s="623">
        <v>162</v>
      </c>
      <c r="E757" s="623">
        <v>21</v>
      </c>
      <c r="F757" s="623">
        <v>22</v>
      </c>
      <c r="G757" s="623">
        <v>78</v>
      </c>
      <c r="H757" s="623">
        <v>42</v>
      </c>
    </row>
    <row r="758" spans="1:10" s="263" customFormat="1" ht="9" customHeight="1" x14ac:dyDescent="0.25">
      <c r="A758" s="550" t="s">
        <v>46</v>
      </c>
      <c r="B758" s="621">
        <v>659</v>
      </c>
      <c r="C758" s="621">
        <v>218</v>
      </c>
      <c r="D758" s="621">
        <v>165</v>
      </c>
      <c r="E758" s="621">
        <v>13</v>
      </c>
      <c r="F758" s="621">
        <v>21</v>
      </c>
      <c r="G758" s="621">
        <v>114</v>
      </c>
      <c r="H758" s="621">
        <v>48</v>
      </c>
    </row>
    <row r="759" spans="1:10" s="263" customFormat="1" ht="9" customHeight="1" x14ac:dyDescent="0.25">
      <c r="A759" s="550" t="s">
        <v>47</v>
      </c>
      <c r="B759" s="621">
        <v>614</v>
      </c>
      <c r="C759" s="621">
        <v>197</v>
      </c>
      <c r="D759" s="621">
        <v>183</v>
      </c>
      <c r="E759" s="621">
        <v>11</v>
      </c>
      <c r="F759" s="621">
        <v>28</v>
      </c>
      <c r="G759" s="621">
        <v>87</v>
      </c>
      <c r="H759" s="621">
        <v>44</v>
      </c>
    </row>
    <row r="760" spans="1:10" s="263" customFormat="1" ht="9" customHeight="1" x14ac:dyDescent="0.25">
      <c r="A760" s="550" t="s">
        <v>48</v>
      </c>
      <c r="B760" s="621">
        <v>459</v>
      </c>
      <c r="C760" s="621">
        <v>70</v>
      </c>
      <c r="D760" s="621">
        <v>239</v>
      </c>
      <c r="E760" s="621">
        <v>13</v>
      </c>
      <c r="F760" s="621">
        <v>18</v>
      </c>
      <c r="G760" s="621">
        <v>75</v>
      </c>
      <c r="H760" s="621">
        <v>57</v>
      </c>
    </row>
    <row r="761" spans="1:10" s="263" customFormat="1" ht="9" customHeight="1" x14ac:dyDescent="0.25">
      <c r="A761" s="603" t="s">
        <v>49</v>
      </c>
      <c r="B761" s="623">
        <v>819</v>
      </c>
      <c r="C761" s="623">
        <v>232</v>
      </c>
      <c r="D761" s="623">
        <v>331</v>
      </c>
      <c r="E761" s="623">
        <v>25</v>
      </c>
      <c r="F761" s="623">
        <v>36</v>
      </c>
      <c r="G761" s="623">
        <v>110</v>
      </c>
      <c r="H761" s="623">
        <v>49</v>
      </c>
    </row>
    <row r="762" spans="1:10" s="263" customFormat="1" ht="9" customHeight="1" x14ac:dyDescent="0.25">
      <c r="A762" s="550" t="s">
        <v>50</v>
      </c>
      <c r="B762" s="621">
        <v>260</v>
      </c>
      <c r="C762" s="621">
        <v>69</v>
      </c>
      <c r="D762" s="621">
        <v>113</v>
      </c>
      <c r="E762" s="621">
        <v>6</v>
      </c>
      <c r="F762" s="621">
        <v>4</v>
      </c>
      <c r="G762" s="621">
        <v>56</v>
      </c>
      <c r="H762" s="621">
        <v>42</v>
      </c>
    </row>
    <row r="763" spans="1:10" s="263" customFormat="1" ht="9" customHeight="1" x14ac:dyDescent="0.25">
      <c r="A763" s="550" t="s">
        <v>51</v>
      </c>
      <c r="B763" s="621">
        <v>1367</v>
      </c>
      <c r="C763" s="621">
        <v>456</v>
      </c>
      <c r="D763" s="621">
        <v>438</v>
      </c>
      <c r="E763" s="621">
        <v>37</v>
      </c>
      <c r="F763" s="621">
        <v>40</v>
      </c>
      <c r="G763" s="621">
        <v>194</v>
      </c>
      <c r="H763" s="621">
        <v>121</v>
      </c>
    </row>
    <row r="764" spans="1:10" s="263" customFormat="1" ht="9" customHeight="1" x14ac:dyDescent="0.25">
      <c r="A764" s="550" t="s">
        <v>52</v>
      </c>
      <c r="B764" s="621">
        <v>394</v>
      </c>
      <c r="C764" s="621">
        <v>181</v>
      </c>
      <c r="D764" s="621">
        <v>185</v>
      </c>
      <c r="E764" s="621">
        <v>8</v>
      </c>
      <c r="F764" s="621">
        <v>16</v>
      </c>
      <c r="G764" s="621">
        <v>47</v>
      </c>
      <c r="H764" s="621">
        <v>21</v>
      </c>
    </row>
    <row r="765" spans="1:10" s="263" customFormat="1" ht="9" customHeight="1" x14ac:dyDescent="0.25">
      <c r="A765" s="267" t="s">
        <v>53</v>
      </c>
      <c r="B765" s="618">
        <v>349</v>
      </c>
      <c r="C765" s="618">
        <v>78</v>
      </c>
      <c r="D765" s="618">
        <v>198</v>
      </c>
      <c r="E765" s="618">
        <v>10</v>
      </c>
      <c r="F765" s="618">
        <v>18</v>
      </c>
      <c r="G765" s="618">
        <v>48</v>
      </c>
      <c r="H765" s="618">
        <v>33</v>
      </c>
    </row>
    <row r="766" spans="1:10" s="263" customFormat="1" ht="9" customHeight="1" x14ac:dyDescent="0.25">
      <c r="A766" s="286"/>
      <c r="B766" s="619"/>
      <c r="C766" s="619"/>
      <c r="D766" s="619"/>
      <c r="E766" s="619"/>
      <c r="F766" s="619"/>
      <c r="G766" s="619"/>
      <c r="H766" s="619"/>
    </row>
    <row r="767" spans="1:10" s="263" customFormat="1" ht="9" customHeight="1" x14ac:dyDescent="0.25">
      <c r="A767" s="261">
        <v>2016</v>
      </c>
      <c r="B767" s="262"/>
      <c r="C767" s="262"/>
      <c r="D767" s="262"/>
      <c r="E767" s="262"/>
      <c r="F767" s="262"/>
      <c r="G767" s="262"/>
      <c r="H767" s="262"/>
    </row>
    <row r="768" spans="1:10" s="265" customFormat="1" ht="9" customHeight="1" x14ac:dyDescent="0.25">
      <c r="A768" s="265" t="s">
        <v>21</v>
      </c>
      <c r="B768" s="615">
        <f t="shared" ref="B768:H768" si="21">SUM(B770:B801)</f>
        <v>33900</v>
      </c>
      <c r="C768" s="615">
        <f t="shared" si="21"/>
        <v>10106</v>
      </c>
      <c r="D768" s="615">
        <f t="shared" si="21"/>
        <v>13937</v>
      </c>
      <c r="E768" s="615">
        <f t="shared" si="21"/>
        <v>903</v>
      </c>
      <c r="F768" s="615">
        <f t="shared" si="21"/>
        <v>1171</v>
      </c>
      <c r="G768" s="624">
        <f t="shared" si="21"/>
        <v>4963</v>
      </c>
      <c r="H768" s="624">
        <f t="shared" si="21"/>
        <v>2577</v>
      </c>
      <c r="J768" s="606"/>
    </row>
    <row r="769" spans="1:8" s="265" customFormat="1" ht="3.95" customHeight="1" x14ac:dyDescent="0.25">
      <c r="B769" s="615"/>
      <c r="C769" s="615"/>
      <c r="D769" s="615"/>
      <c r="E769" s="615"/>
      <c r="F769" s="615"/>
      <c r="G769" s="615"/>
      <c r="H769" s="615"/>
    </row>
    <row r="770" spans="1:8" s="263" customFormat="1" ht="9" customHeight="1" x14ac:dyDescent="0.25">
      <c r="A770" s="550" t="s">
        <v>23</v>
      </c>
      <c r="B770" s="621">
        <v>338</v>
      </c>
      <c r="C770" s="621">
        <v>124</v>
      </c>
      <c r="D770" s="621">
        <v>93</v>
      </c>
      <c r="E770" s="621">
        <v>12</v>
      </c>
      <c r="F770" s="621">
        <v>16</v>
      </c>
      <c r="G770" s="621">
        <v>49</v>
      </c>
      <c r="H770" s="621">
        <v>15</v>
      </c>
    </row>
    <row r="771" spans="1:8" s="263" customFormat="1" ht="9" customHeight="1" x14ac:dyDescent="0.25">
      <c r="A771" s="550" t="s">
        <v>24</v>
      </c>
      <c r="B771" s="622">
        <v>1278</v>
      </c>
      <c r="C771" s="622">
        <v>567</v>
      </c>
      <c r="D771" s="622">
        <v>396</v>
      </c>
      <c r="E771" s="622">
        <v>21</v>
      </c>
      <c r="F771" s="622">
        <v>33</v>
      </c>
      <c r="G771" s="622">
        <v>245</v>
      </c>
      <c r="H771" s="622">
        <v>92</v>
      </c>
    </row>
    <row r="772" spans="1:8" s="263" customFormat="1" ht="9" customHeight="1" x14ac:dyDescent="0.25">
      <c r="A772" s="550" t="s">
        <v>25</v>
      </c>
      <c r="B772" s="621">
        <v>121</v>
      </c>
      <c r="C772" s="621">
        <v>49</v>
      </c>
      <c r="D772" s="621">
        <v>42</v>
      </c>
      <c r="E772" s="621">
        <v>7</v>
      </c>
      <c r="F772" s="621">
        <v>12</v>
      </c>
      <c r="G772" s="621">
        <v>21</v>
      </c>
      <c r="H772" s="621">
        <v>9</v>
      </c>
    </row>
    <row r="773" spans="1:8" s="263" customFormat="1" ht="9" customHeight="1" x14ac:dyDescent="0.25">
      <c r="A773" s="603" t="s">
        <v>26</v>
      </c>
      <c r="B773" s="623">
        <v>112</v>
      </c>
      <c r="C773" s="623">
        <v>15</v>
      </c>
      <c r="D773" s="623">
        <v>93</v>
      </c>
      <c r="E773" s="623">
        <v>6</v>
      </c>
      <c r="F773" s="623">
        <v>8</v>
      </c>
      <c r="G773" s="623">
        <v>15</v>
      </c>
      <c r="H773" s="623">
        <v>7</v>
      </c>
    </row>
    <row r="774" spans="1:8" s="263" customFormat="1" ht="9" customHeight="1" x14ac:dyDescent="0.25">
      <c r="A774" s="550" t="s">
        <v>27</v>
      </c>
      <c r="B774" s="621">
        <v>746</v>
      </c>
      <c r="C774" s="621">
        <v>319</v>
      </c>
      <c r="D774" s="621">
        <v>552</v>
      </c>
      <c r="E774" s="621">
        <v>22</v>
      </c>
      <c r="F774" s="621">
        <v>32</v>
      </c>
      <c r="G774" s="621">
        <v>78</v>
      </c>
      <c r="H774" s="621">
        <v>30</v>
      </c>
    </row>
    <row r="775" spans="1:8" s="263" customFormat="1" ht="9" customHeight="1" x14ac:dyDescent="0.25">
      <c r="A775" s="550" t="s">
        <v>28</v>
      </c>
      <c r="B775" s="621">
        <v>161</v>
      </c>
      <c r="C775" s="621">
        <v>30</v>
      </c>
      <c r="D775" s="621">
        <v>76</v>
      </c>
      <c r="E775" s="621">
        <v>9</v>
      </c>
      <c r="F775" s="621">
        <v>7</v>
      </c>
      <c r="G775" s="621">
        <v>27</v>
      </c>
      <c r="H775" s="621">
        <v>9</v>
      </c>
    </row>
    <row r="776" spans="1:8" s="263" customFormat="1" ht="9" customHeight="1" x14ac:dyDescent="0.25">
      <c r="A776" s="550" t="s">
        <v>29</v>
      </c>
      <c r="B776" s="621">
        <v>595</v>
      </c>
      <c r="C776" s="621">
        <v>112</v>
      </c>
      <c r="D776" s="621">
        <v>204</v>
      </c>
      <c r="E776" s="621">
        <v>18</v>
      </c>
      <c r="F776" s="621">
        <v>10</v>
      </c>
      <c r="G776" s="621">
        <v>89</v>
      </c>
      <c r="H776" s="621">
        <v>41</v>
      </c>
    </row>
    <row r="777" spans="1:8" s="263" customFormat="1" ht="9" customHeight="1" x14ac:dyDescent="0.25">
      <c r="A777" s="603" t="s">
        <v>30</v>
      </c>
      <c r="B777" s="623">
        <v>1130</v>
      </c>
      <c r="C777" s="623">
        <v>424</v>
      </c>
      <c r="D777" s="623">
        <v>669</v>
      </c>
      <c r="E777" s="623">
        <v>30</v>
      </c>
      <c r="F777" s="623">
        <v>70</v>
      </c>
      <c r="G777" s="623">
        <v>136</v>
      </c>
      <c r="H777" s="623">
        <v>71</v>
      </c>
    </row>
    <row r="778" spans="1:8" s="263" customFormat="1" ht="9" customHeight="1" x14ac:dyDescent="0.25">
      <c r="A778" s="550" t="s">
        <v>63</v>
      </c>
      <c r="B778" s="621">
        <v>4925</v>
      </c>
      <c r="C778" s="621">
        <v>1574</v>
      </c>
      <c r="D778" s="621">
        <v>2227</v>
      </c>
      <c r="E778" s="621">
        <v>73</v>
      </c>
      <c r="F778" s="621">
        <v>123</v>
      </c>
      <c r="G778" s="621">
        <v>605</v>
      </c>
      <c r="H778" s="621">
        <v>257</v>
      </c>
    </row>
    <row r="779" spans="1:8" s="263" customFormat="1" ht="9" customHeight="1" x14ac:dyDescent="0.25">
      <c r="A779" s="550" t="s">
        <v>31</v>
      </c>
      <c r="B779" s="621">
        <v>305</v>
      </c>
      <c r="C779" s="621">
        <v>33</v>
      </c>
      <c r="D779" s="621">
        <v>68</v>
      </c>
      <c r="E779" s="621">
        <v>8</v>
      </c>
      <c r="F779" s="621">
        <v>13</v>
      </c>
      <c r="G779" s="621">
        <v>59</v>
      </c>
      <c r="H779" s="621">
        <v>24</v>
      </c>
    </row>
    <row r="780" spans="1:8" s="263" customFormat="1" ht="9" customHeight="1" x14ac:dyDescent="0.25">
      <c r="A780" s="550" t="s">
        <v>32</v>
      </c>
      <c r="B780" s="621">
        <v>2150</v>
      </c>
      <c r="C780" s="621">
        <v>608</v>
      </c>
      <c r="D780" s="621">
        <v>996</v>
      </c>
      <c r="E780" s="621">
        <v>49</v>
      </c>
      <c r="F780" s="621">
        <v>127</v>
      </c>
      <c r="G780" s="621">
        <v>338</v>
      </c>
      <c r="H780" s="621">
        <v>201</v>
      </c>
    </row>
    <row r="781" spans="1:8" s="263" customFormat="1" ht="9" customHeight="1" x14ac:dyDescent="0.25">
      <c r="A781" s="603" t="s">
        <v>33</v>
      </c>
      <c r="B781" s="623">
        <v>815</v>
      </c>
      <c r="C781" s="623">
        <v>169</v>
      </c>
      <c r="D781" s="623">
        <v>425</v>
      </c>
      <c r="E781" s="623">
        <v>30</v>
      </c>
      <c r="F781" s="623">
        <v>22</v>
      </c>
      <c r="G781" s="623">
        <v>140</v>
      </c>
      <c r="H781" s="623">
        <v>81</v>
      </c>
    </row>
    <row r="782" spans="1:8" s="263" customFormat="1" ht="9" customHeight="1" x14ac:dyDescent="0.25">
      <c r="A782" s="550" t="s">
        <v>34</v>
      </c>
      <c r="B782" s="621">
        <v>825</v>
      </c>
      <c r="C782" s="621">
        <v>193</v>
      </c>
      <c r="D782" s="621">
        <v>410</v>
      </c>
      <c r="E782" s="621">
        <v>20</v>
      </c>
      <c r="F782" s="621">
        <v>18</v>
      </c>
      <c r="G782" s="621">
        <v>138</v>
      </c>
      <c r="H782" s="621">
        <v>89</v>
      </c>
    </row>
    <row r="783" spans="1:8" s="263" customFormat="1" ht="9" customHeight="1" x14ac:dyDescent="0.25">
      <c r="A783" s="550" t="s">
        <v>35</v>
      </c>
      <c r="B783" s="621">
        <v>3102</v>
      </c>
      <c r="C783" s="621">
        <v>933</v>
      </c>
      <c r="D783" s="621">
        <v>753</v>
      </c>
      <c r="E783" s="621">
        <v>87</v>
      </c>
      <c r="F783" s="621">
        <v>98</v>
      </c>
      <c r="G783" s="621">
        <v>439</v>
      </c>
      <c r="H783" s="621">
        <v>183</v>
      </c>
    </row>
    <row r="784" spans="1:8" s="263" customFormat="1" ht="9" customHeight="1" x14ac:dyDescent="0.25">
      <c r="A784" s="550" t="s">
        <v>36</v>
      </c>
      <c r="B784" s="621">
        <v>3951</v>
      </c>
      <c r="C784" s="621">
        <v>797</v>
      </c>
      <c r="D784" s="621">
        <v>1964</v>
      </c>
      <c r="E784" s="621">
        <v>109</v>
      </c>
      <c r="F784" s="621">
        <v>115</v>
      </c>
      <c r="G784" s="621">
        <v>640</v>
      </c>
      <c r="H784" s="621">
        <v>430</v>
      </c>
    </row>
    <row r="785" spans="1:8" s="263" customFormat="1" ht="9" customHeight="1" x14ac:dyDescent="0.25">
      <c r="A785" s="603" t="s">
        <v>37</v>
      </c>
      <c r="B785" s="623">
        <v>1734</v>
      </c>
      <c r="C785" s="623">
        <v>225</v>
      </c>
      <c r="D785" s="623">
        <v>527</v>
      </c>
      <c r="E785" s="623">
        <v>33</v>
      </c>
      <c r="F785" s="623">
        <v>50</v>
      </c>
      <c r="G785" s="623">
        <v>228</v>
      </c>
      <c r="H785" s="623">
        <v>152</v>
      </c>
    </row>
    <row r="786" spans="1:8" s="263" customFormat="1" ht="9" customHeight="1" x14ac:dyDescent="0.25">
      <c r="A786" s="550" t="s">
        <v>38</v>
      </c>
      <c r="B786" s="621">
        <v>424</v>
      </c>
      <c r="C786" s="621">
        <v>146</v>
      </c>
      <c r="D786" s="621">
        <v>197</v>
      </c>
      <c r="E786" s="621">
        <v>27</v>
      </c>
      <c r="F786" s="621">
        <v>9</v>
      </c>
      <c r="G786" s="621">
        <v>93</v>
      </c>
      <c r="H786" s="621">
        <v>53</v>
      </c>
    </row>
    <row r="787" spans="1:8" s="263" customFormat="1" ht="9" customHeight="1" x14ac:dyDescent="0.25">
      <c r="A787" s="550" t="s">
        <v>39</v>
      </c>
      <c r="B787" s="621">
        <v>88</v>
      </c>
      <c r="C787" s="621">
        <v>16</v>
      </c>
      <c r="D787" s="621">
        <v>24</v>
      </c>
      <c r="E787" s="621">
        <v>8</v>
      </c>
      <c r="F787" s="621">
        <v>5</v>
      </c>
      <c r="G787" s="621">
        <v>15</v>
      </c>
      <c r="H787" s="621">
        <v>9</v>
      </c>
    </row>
    <row r="788" spans="1:8" s="263" customFormat="1" ht="9" customHeight="1" x14ac:dyDescent="0.25">
      <c r="A788" s="550" t="s">
        <v>40</v>
      </c>
      <c r="B788" s="621">
        <v>2115</v>
      </c>
      <c r="C788" s="621">
        <v>920</v>
      </c>
      <c r="D788" s="621">
        <v>592</v>
      </c>
      <c r="E788" s="621">
        <v>62</v>
      </c>
      <c r="F788" s="621">
        <v>107</v>
      </c>
      <c r="G788" s="621">
        <v>251</v>
      </c>
      <c r="H788" s="621">
        <v>85</v>
      </c>
    </row>
    <row r="789" spans="1:8" s="263" customFormat="1" ht="9" customHeight="1" x14ac:dyDescent="0.25">
      <c r="A789" s="603" t="s">
        <v>41</v>
      </c>
      <c r="B789" s="623">
        <v>771</v>
      </c>
      <c r="C789" s="623">
        <v>75</v>
      </c>
      <c r="D789" s="623">
        <v>437</v>
      </c>
      <c r="E789" s="623">
        <v>29</v>
      </c>
      <c r="F789" s="623">
        <v>30</v>
      </c>
      <c r="G789" s="623">
        <v>144</v>
      </c>
      <c r="H789" s="623">
        <v>85</v>
      </c>
    </row>
    <row r="790" spans="1:8" s="263" customFormat="1" ht="9" customHeight="1" x14ac:dyDescent="0.25">
      <c r="A790" s="550" t="s">
        <v>42</v>
      </c>
      <c r="B790" s="621">
        <v>1818</v>
      </c>
      <c r="C790" s="621">
        <v>426</v>
      </c>
      <c r="D790" s="621">
        <v>511</v>
      </c>
      <c r="E790" s="621">
        <v>47</v>
      </c>
      <c r="F790" s="621">
        <v>29</v>
      </c>
      <c r="G790" s="621">
        <v>238</v>
      </c>
      <c r="H790" s="621">
        <v>137</v>
      </c>
    </row>
    <row r="791" spans="1:8" s="263" customFormat="1" ht="9" customHeight="1" x14ac:dyDescent="0.25">
      <c r="A791" s="550" t="s">
        <v>43</v>
      </c>
      <c r="B791" s="621">
        <v>708</v>
      </c>
      <c r="C791" s="621">
        <v>405</v>
      </c>
      <c r="D791" s="621">
        <v>416</v>
      </c>
      <c r="E791" s="621">
        <v>22</v>
      </c>
      <c r="F791" s="621">
        <v>17</v>
      </c>
      <c r="G791" s="621">
        <v>107</v>
      </c>
      <c r="H791" s="621">
        <v>59</v>
      </c>
    </row>
    <row r="792" spans="1:8" s="263" customFormat="1" ht="9" customHeight="1" x14ac:dyDescent="0.25">
      <c r="A792" s="550" t="s">
        <v>44</v>
      </c>
      <c r="B792" s="621">
        <v>284</v>
      </c>
      <c r="C792" s="621">
        <v>105</v>
      </c>
      <c r="D792" s="621">
        <v>203</v>
      </c>
      <c r="E792" s="621">
        <v>20</v>
      </c>
      <c r="F792" s="621">
        <v>18</v>
      </c>
      <c r="G792" s="621">
        <v>44</v>
      </c>
      <c r="H792" s="621">
        <v>25</v>
      </c>
    </row>
    <row r="793" spans="1:8" s="263" customFormat="1" ht="9" customHeight="1" x14ac:dyDescent="0.25">
      <c r="A793" s="603" t="s">
        <v>45</v>
      </c>
      <c r="B793" s="623">
        <v>592</v>
      </c>
      <c r="C793" s="623">
        <v>290</v>
      </c>
      <c r="D793" s="623">
        <v>166</v>
      </c>
      <c r="E793" s="623">
        <v>19</v>
      </c>
      <c r="F793" s="623">
        <v>20</v>
      </c>
      <c r="G793" s="623">
        <v>73</v>
      </c>
      <c r="H793" s="623">
        <v>40</v>
      </c>
    </row>
    <row r="794" spans="1:8" s="263" customFormat="1" ht="9" customHeight="1" x14ac:dyDescent="0.25">
      <c r="A794" s="550" t="s">
        <v>46</v>
      </c>
      <c r="B794" s="621">
        <v>663</v>
      </c>
      <c r="C794" s="621">
        <v>219</v>
      </c>
      <c r="D794" s="621">
        <v>192</v>
      </c>
      <c r="E794" s="621">
        <v>20</v>
      </c>
      <c r="F794" s="621">
        <v>21</v>
      </c>
      <c r="G794" s="621">
        <v>115</v>
      </c>
      <c r="H794" s="621">
        <v>45</v>
      </c>
    </row>
    <row r="795" spans="1:8" s="263" customFormat="1" ht="9" customHeight="1" x14ac:dyDescent="0.25">
      <c r="A795" s="550" t="s">
        <v>47</v>
      </c>
      <c r="B795" s="621">
        <v>596</v>
      </c>
      <c r="C795" s="621">
        <v>191</v>
      </c>
      <c r="D795" s="621">
        <v>197</v>
      </c>
      <c r="E795" s="621">
        <v>13</v>
      </c>
      <c r="F795" s="621">
        <v>28</v>
      </c>
      <c r="G795" s="621">
        <v>85</v>
      </c>
      <c r="H795" s="621">
        <v>42</v>
      </c>
    </row>
    <row r="796" spans="1:8" s="263" customFormat="1" ht="9" customHeight="1" x14ac:dyDescent="0.25">
      <c r="A796" s="550" t="s">
        <v>48</v>
      </c>
      <c r="B796" s="621">
        <v>445</v>
      </c>
      <c r="C796" s="621">
        <v>119</v>
      </c>
      <c r="D796" s="621">
        <v>183</v>
      </c>
      <c r="E796" s="621">
        <v>15</v>
      </c>
      <c r="F796" s="621">
        <v>16</v>
      </c>
      <c r="G796" s="621">
        <v>79</v>
      </c>
      <c r="H796" s="621">
        <v>43</v>
      </c>
    </row>
    <row r="797" spans="1:8" s="263" customFormat="1" ht="9" customHeight="1" x14ac:dyDescent="0.25">
      <c r="A797" s="603" t="s">
        <v>49</v>
      </c>
      <c r="B797" s="623">
        <v>811</v>
      </c>
      <c r="C797" s="623">
        <v>246</v>
      </c>
      <c r="D797" s="623">
        <v>332</v>
      </c>
      <c r="E797" s="623">
        <v>25</v>
      </c>
      <c r="F797" s="623">
        <v>33</v>
      </c>
      <c r="G797" s="623">
        <v>117</v>
      </c>
      <c r="H797" s="623">
        <v>50</v>
      </c>
    </row>
    <row r="798" spans="1:8" s="263" customFormat="1" ht="9" customHeight="1" x14ac:dyDescent="0.25">
      <c r="A798" s="550" t="s">
        <v>50</v>
      </c>
      <c r="B798" s="621">
        <v>254</v>
      </c>
      <c r="C798" s="621">
        <v>66</v>
      </c>
      <c r="D798" s="621">
        <v>113</v>
      </c>
      <c r="E798" s="621">
        <v>6</v>
      </c>
      <c r="F798" s="621">
        <v>5</v>
      </c>
      <c r="G798" s="621">
        <v>57</v>
      </c>
      <c r="H798" s="621">
        <v>43</v>
      </c>
    </row>
    <row r="799" spans="1:8" s="263" customFormat="1" ht="9" customHeight="1" x14ac:dyDescent="0.25">
      <c r="A799" s="550" t="s">
        <v>51</v>
      </c>
      <c r="B799" s="621">
        <v>1298</v>
      </c>
      <c r="C799" s="621">
        <v>450</v>
      </c>
      <c r="D799" s="621">
        <v>482</v>
      </c>
      <c r="E799" s="621">
        <v>34</v>
      </c>
      <c r="F799" s="621">
        <v>44</v>
      </c>
      <c r="G799" s="621">
        <v>205</v>
      </c>
      <c r="H799" s="621">
        <v>116</v>
      </c>
    </row>
    <row r="800" spans="1:8" s="263" customFormat="1" ht="9" customHeight="1" x14ac:dyDescent="0.25">
      <c r="A800" s="550" t="s">
        <v>52</v>
      </c>
      <c r="B800" s="621">
        <v>389</v>
      </c>
      <c r="C800" s="621">
        <v>185</v>
      </c>
      <c r="D800" s="621">
        <v>199</v>
      </c>
      <c r="E800" s="621">
        <v>10</v>
      </c>
      <c r="F800" s="621">
        <v>16</v>
      </c>
      <c r="G800" s="621">
        <v>47</v>
      </c>
      <c r="H800" s="621">
        <v>21</v>
      </c>
    </row>
    <row r="801" spans="1:10" s="263" customFormat="1" ht="9" customHeight="1" x14ac:dyDescent="0.25">
      <c r="A801" s="267" t="s">
        <v>53</v>
      </c>
      <c r="B801" s="618">
        <v>356</v>
      </c>
      <c r="C801" s="618">
        <v>75</v>
      </c>
      <c r="D801" s="618">
        <v>198</v>
      </c>
      <c r="E801" s="618">
        <v>12</v>
      </c>
      <c r="F801" s="618">
        <v>19</v>
      </c>
      <c r="G801" s="618">
        <v>46</v>
      </c>
      <c r="H801" s="618">
        <v>33</v>
      </c>
    </row>
    <row r="802" spans="1:10" s="263" customFormat="1" ht="9" customHeight="1" x14ac:dyDescent="0.25">
      <c r="A802" s="286"/>
      <c r="B802" s="619"/>
      <c r="C802" s="619"/>
      <c r="D802" s="619"/>
      <c r="E802" s="619"/>
      <c r="F802" s="619"/>
      <c r="G802" s="619"/>
      <c r="H802" s="619"/>
    </row>
    <row r="803" spans="1:10" s="263" customFormat="1" ht="9" customHeight="1" x14ac:dyDescent="0.25">
      <c r="A803" s="261">
        <v>2017</v>
      </c>
      <c r="B803" s="262"/>
      <c r="C803" s="262"/>
      <c r="D803" s="262"/>
      <c r="E803" s="262"/>
      <c r="F803" s="262"/>
      <c r="G803" s="262"/>
      <c r="H803" s="262"/>
    </row>
    <row r="804" spans="1:10" s="265" customFormat="1" ht="9" customHeight="1" x14ac:dyDescent="0.25">
      <c r="A804" s="265" t="s">
        <v>21</v>
      </c>
      <c r="B804" s="615">
        <f t="shared" ref="B804:H804" si="22">SUM(B806:B837)</f>
        <v>33968</v>
      </c>
      <c r="C804" s="615">
        <f t="shared" si="22"/>
        <v>10157</v>
      </c>
      <c r="D804" s="615">
        <f t="shared" si="22"/>
        <v>15554</v>
      </c>
      <c r="E804" s="615">
        <f t="shared" si="22"/>
        <v>908</v>
      </c>
      <c r="F804" s="615">
        <f t="shared" si="22"/>
        <v>1187</v>
      </c>
      <c r="G804" s="624">
        <f t="shared" si="22"/>
        <v>5401</v>
      </c>
      <c r="H804" s="624">
        <f t="shared" si="22"/>
        <v>2532</v>
      </c>
      <c r="J804" s="606"/>
    </row>
    <row r="805" spans="1:10" s="265" customFormat="1" ht="3.95" customHeight="1" x14ac:dyDescent="0.25">
      <c r="B805" s="615"/>
      <c r="C805" s="615"/>
      <c r="D805" s="615"/>
      <c r="E805" s="615"/>
      <c r="F805" s="615"/>
      <c r="G805" s="615"/>
      <c r="H805" s="615"/>
    </row>
    <row r="806" spans="1:10" s="263" customFormat="1" ht="9" customHeight="1" x14ac:dyDescent="0.25">
      <c r="A806" s="550" t="s">
        <v>23</v>
      </c>
      <c r="B806" s="621">
        <v>338</v>
      </c>
      <c r="C806" s="621">
        <v>125</v>
      </c>
      <c r="D806" s="621">
        <v>90</v>
      </c>
      <c r="E806" s="621">
        <v>12</v>
      </c>
      <c r="F806" s="621">
        <v>16</v>
      </c>
      <c r="G806" s="621">
        <v>51</v>
      </c>
      <c r="H806" s="621">
        <v>17</v>
      </c>
    </row>
    <row r="807" spans="1:10" s="263" customFormat="1" ht="9" customHeight="1" x14ac:dyDescent="0.25">
      <c r="A807" s="550" t="s">
        <v>24</v>
      </c>
      <c r="B807" s="622">
        <v>1253</v>
      </c>
      <c r="C807" s="622">
        <v>693</v>
      </c>
      <c r="D807" s="622">
        <v>401</v>
      </c>
      <c r="E807" s="622">
        <v>21</v>
      </c>
      <c r="F807" s="622">
        <v>34</v>
      </c>
      <c r="G807" s="622">
        <v>236</v>
      </c>
      <c r="H807" s="622">
        <v>86</v>
      </c>
    </row>
    <row r="808" spans="1:10" s="263" customFormat="1" ht="9" customHeight="1" x14ac:dyDescent="0.25">
      <c r="A808" s="550" t="s">
        <v>25</v>
      </c>
      <c r="B808" s="621">
        <v>120</v>
      </c>
      <c r="C808" s="621">
        <v>31</v>
      </c>
      <c r="D808" s="621">
        <v>117</v>
      </c>
      <c r="E808" s="621">
        <v>9</v>
      </c>
      <c r="F808" s="621">
        <v>11</v>
      </c>
      <c r="G808" s="621">
        <v>23</v>
      </c>
      <c r="H808" s="621">
        <v>8</v>
      </c>
    </row>
    <row r="809" spans="1:10" s="263" customFormat="1" ht="9" customHeight="1" x14ac:dyDescent="0.25">
      <c r="A809" s="603" t="s">
        <v>26</v>
      </c>
      <c r="B809" s="623">
        <v>88</v>
      </c>
      <c r="C809" s="623">
        <v>15</v>
      </c>
      <c r="D809" s="623">
        <v>86</v>
      </c>
      <c r="E809" s="623">
        <v>5</v>
      </c>
      <c r="F809" s="623">
        <v>6</v>
      </c>
      <c r="G809" s="623">
        <v>13</v>
      </c>
      <c r="H809" s="623">
        <v>7</v>
      </c>
    </row>
    <row r="810" spans="1:10" s="263" customFormat="1" ht="9" customHeight="1" x14ac:dyDescent="0.25">
      <c r="A810" s="550" t="s">
        <v>27</v>
      </c>
      <c r="B810" s="621">
        <v>773</v>
      </c>
      <c r="C810" s="621">
        <v>289</v>
      </c>
      <c r="D810" s="621">
        <v>581</v>
      </c>
      <c r="E810" s="621">
        <v>21</v>
      </c>
      <c r="F810" s="621">
        <v>30</v>
      </c>
      <c r="G810" s="621">
        <v>505</v>
      </c>
      <c r="H810" s="621">
        <v>33</v>
      </c>
    </row>
    <row r="811" spans="1:10" s="263" customFormat="1" ht="9" customHeight="1" x14ac:dyDescent="0.25">
      <c r="A811" s="550" t="s">
        <v>28</v>
      </c>
      <c r="B811" s="621">
        <v>161</v>
      </c>
      <c r="C811" s="621">
        <v>30</v>
      </c>
      <c r="D811" s="621">
        <v>76</v>
      </c>
      <c r="E811" s="621">
        <v>10</v>
      </c>
      <c r="F811" s="621">
        <v>6</v>
      </c>
      <c r="G811" s="621">
        <v>28</v>
      </c>
      <c r="H811" s="621">
        <v>9</v>
      </c>
    </row>
    <row r="812" spans="1:10" s="263" customFormat="1" ht="9" customHeight="1" x14ac:dyDescent="0.25">
      <c r="A812" s="550" t="s">
        <v>29</v>
      </c>
      <c r="B812" s="621">
        <v>595</v>
      </c>
      <c r="C812" s="621">
        <v>146</v>
      </c>
      <c r="D812" s="621">
        <v>202</v>
      </c>
      <c r="E812" s="621">
        <v>16</v>
      </c>
      <c r="F812" s="621">
        <v>10</v>
      </c>
      <c r="G812" s="621">
        <v>89</v>
      </c>
      <c r="H812" s="621">
        <v>34</v>
      </c>
    </row>
    <row r="813" spans="1:10" s="263" customFormat="1" ht="9" customHeight="1" x14ac:dyDescent="0.25">
      <c r="A813" s="603" t="s">
        <v>30</v>
      </c>
      <c r="B813" s="623">
        <v>1270</v>
      </c>
      <c r="C813" s="623">
        <v>462</v>
      </c>
      <c r="D813" s="623">
        <v>535</v>
      </c>
      <c r="E813" s="623">
        <v>31</v>
      </c>
      <c r="F813" s="623">
        <v>74</v>
      </c>
      <c r="G813" s="623">
        <v>150</v>
      </c>
      <c r="H813" s="623">
        <v>75</v>
      </c>
    </row>
    <row r="814" spans="1:10" s="263" customFormat="1" ht="9" customHeight="1" x14ac:dyDescent="0.25">
      <c r="A814" s="550" t="s">
        <v>63</v>
      </c>
      <c r="B814" s="621">
        <v>4901</v>
      </c>
      <c r="C814" s="621">
        <v>1590</v>
      </c>
      <c r="D814" s="621">
        <v>2408</v>
      </c>
      <c r="E814" s="621">
        <v>73</v>
      </c>
      <c r="F814" s="621">
        <v>129</v>
      </c>
      <c r="G814" s="621">
        <v>609</v>
      </c>
      <c r="H814" s="621">
        <v>242</v>
      </c>
    </row>
    <row r="815" spans="1:10" s="263" customFormat="1" ht="9" customHeight="1" x14ac:dyDescent="0.25">
      <c r="A815" s="550" t="s">
        <v>31</v>
      </c>
      <c r="B815" s="621">
        <v>430</v>
      </c>
      <c r="C815" s="621">
        <v>45</v>
      </c>
      <c r="D815" s="621">
        <v>229</v>
      </c>
      <c r="E815" s="621">
        <v>12</v>
      </c>
      <c r="F815" s="621">
        <v>9</v>
      </c>
      <c r="G815" s="621">
        <v>51</v>
      </c>
      <c r="H815" s="621">
        <v>24</v>
      </c>
    </row>
    <row r="816" spans="1:10" s="263" customFormat="1" ht="9" customHeight="1" x14ac:dyDescent="0.25">
      <c r="A816" s="550" t="s">
        <v>32</v>
      </c>
      <c r="B816" s="621">
        <v>2142</v>
      </c>
      <c r="C816" s="621">
        <v>573</v>
      </c>
      <c r="D816" s="621">
        <v>1077</v>
      </c>
      <c r="E816" s="621">
        <v>60</v>
      </c>
      <c r="F816" s="621">
        <v>120</v>
      </c>
      <c r="G816" s="621">
        <v>345</v>
      </c>
      <c r="H816" s="621">
        <v>198</v>
      </c>
    </row>
    <row r="817" spans="1:8" s="263" customFormat="1" ht="9" customHeight="1" x14ac:dyDescent="0.25">
      <c r="A817" s="603" t="s">
        <v>33</v>
      </c>
      <c r="B817" s="623">
        <v>794</v>
      </c>
      <c r="C817" s="623">
        <v>142</v>
      </c>
      <c r="D817" s="623">
        <v>507</v>
      </c>
      <c r="E817" s="623">
        <v>28</v>
      </c>
      <c r="F817" s="623">
        <v>21</v>
      </c>
      <c r="G817" s="623">
        <v>140</v>
      </c>
      <c r="H817" s="623">
        <v>83</v>
      </c>
    </row>
    <row r="818" spans="1:8" s="263" customFormat="1" ht="9" customHeight="1" x14ac:dyDescent="0.25">
      <c r="A818" s="550" t="s">
        <v>34</v>
      </c>
      <c r="B818" s="621">
        <v>795</v>
      </c>
      <c r="C818" s="621">
        <v>230</v>
      </c>
      <c r="D818" s="621">
        <v>465</v>
      </c>
      <c r="E818" s="621">
        <v>23</v>
      </c>
      <c r="F818" s="621">
        <v>15</v>
      </c>
      <c r="G818" s="621">
        <v>138</v>
      </c>
      <c r="H818" s="621">
        <v>92</v>
      </c>
    </row>
    <row r="819" spans="1:8" s="263" customFormat="1" ht="9" customHeight="1" x14ac:dyDescent="0.25">
      <c r="A819" s="550" t="s">
        <v>35</v>
      </c>
      <c r="B819" s="621">
        <v>3119</v>
      </c>
      <c r="C819" s="621">
        <v>912</v>
      </c>
      <c r="D819" s="621">
        <v>831</v>
      </c>
      <c r="E819" s="621">
        <v>85</v>
      </c>
      <c r="F819" s="621">
        <v>95</v>
      </c>
      <c r="G819" s="621">
        <v>445</v>
      </c>
      <c r="H819" s="621">
        <v>182</v>
      </c>
    </row>
    <row r="820" spans="1:8" s="263" customFormat="1" ht="9" customHeight="1" x14ac:dyDescent="0.25">
      <c r="A820" s="550" t="s">
        <v>36</v>
      </c>
      <c r="B820" s="621">
        <v>3886</v>
      </c>
      <c r="C820" s="621">
        <v>792</v>
      </c>
      <c r="D820" s="621">
        <v>2978</v>
      </c>
      <c r="E820" s="621">
        <v>112</v>
      </c>
      <c r="F820" s="621">
        <v>126</v>
      </c>
      <c r="G820" s="621">
        <v>642</v>
      </c>
      <c r="H820" s="621">
        <v>424</v>
      </c>
    </row>
    <row r="821" spans="1:8" s="263" customFormat="1" ht="9" customHeight="1" x14ac:dyDescent="0.25">
      <c r="A821" s="603" t="s">
        <v>37</v>
      </c>
      <c r="B821" s="623">
        <v>1737</v>
      </c>
      <c r="C821" s="623">
        <v>207</v>
      </c>
      <c r="D821" s="623">
        <v>532</v>
      </c>
      <c r="E821" s="623">
        <v>34</v>
      </c>
      <c r="F821" s="623">
        <v>49</v>
      </c>
      <c r="G821" s="623">
        <v>232</v>
      </c>
      <c r="H821" s="623">
        <v>144</v>
      </c>
    </row>
    <row r="822" spans="1:8" s="263" customFormat="1" ht="9" customHeight="1" x14ac:dyDescent="0.25">
      <c r="A822" s="550" t="s">
        <v>38</v>
      </c>
      <c r="B822" s="621">
        <v>464</v>
      </c>
      <c r="C822" s="621">
        <v>150</v>
      </c>
      <c r="D822" s="621">
        <v>196</v>
      </c>
      <c r="E822" s="621">
        <v>25</v>
      </c>
      <c r="F822" s="621">
        <v>8</v>
      </c>
      <c r="G822" s="621">
        <v>103</v>
      </c>
      <c r="H822" s="621">
        <v>51</v>
      </c>
    </row>
    <row r="823" spans="1:8" s="263" customFormat="1" ht="9" customHeight="1" x14ac:dyDescent="0.25">
      <c r="A823" s="550" t="s">
        <v>39</v>
      </c>
      <c r="B823" s="621">
        <v>88</v>
      </c>
      <c r="C823" s="621">
        <v>15</v>
      </c>
      <c r="D823" s="621">
        <v>22</v>
      </c>
      <c r="E823" s="621">
        <v>8</v>
      </c>
      <c r="F823" s="621">
        <v>5</v>
      </c>
      <c r="G823" s="621">
        <v>13</v>
      </c>
      <c r="H823" s="621">
        <v>8</v>
      </c>
    </row>
    <row r="824" spans="1:8" s="263" customFormat="1" ht="9" customHeight="1" x14ac:dyDescent="0.25">
      <c r="A824" s="550" t="s">
        <v>40</v>
      </c>
      <c r="B824" s="621">
        <v>2064</v>
      </c>
      <c r="C824" s="621">
        <v>815</v>
      </c>
      <c r="D824" s="621">
        <v>544</v>
      </c>
      <c r="E824" s="621">
        <v>60</v>
      </c>
      <c r="F824" s="621">
        <v>117</v>
      </c>
      <c r="G824" s="621">
        <v>245</v>
      </c>
      <c r="H824" s="621">
        <v>82</v>
      </c>
    </row>
    <row r="825" spans="1:8" s="263" customFormat="1" ht="9" customHeight="1" x14ac:dyDescent="0.25">
      <c r="A825" s="603" t="s">
        <v>41</v>
      </c>
      <c r="B825" s="623">
        <v>773</v>
      </c>
      <c r="C825" s="623">
        <v>96</v>
      </c>
      <c r="D825" s="623">
        <v>445</v>
      </c>
      <c r="E825" s="623">
        <v>26</v>
      </c>
      <c r="F825" s="623">
        <v>26</v>
      </c>
      <c r="G825" s="623">
        <v>134</v>
      </c>
      <c r="H825" s="623">
        <v>87</v>
      </c>
    </row>
    <row r="826" spans="1:8" s="263" customFormat="1" ht="9" customHeight="1" x14ac:dyDescent="0.25">
      <c r="A826" s="550" t="s">
        <v>42</v>
      </c>
      <c r="B826" s="621">
        <v>1827</v>
      </c>
      <c r="C826" s="621">
        <v>414</v>
      </c>
      <c r="D826" s="621">
        <v>500</v>
      </c>
      <c r="E826" s="621">
        <v>46</v>
      </c>
      <c r="F826" s="621">
        <v>28</v>
      </c>
      <c r="G826" s="621">
        <v>237</v>
      </c>
      <c r="H826" s="621">
        <v>133</v>
      </c>
    </row>
    <row r="827" spans="1:8" s="263" customFormat="1" ht="9" customHeight="1" x14ac:dyDescent="0.25">
      <c r="A827" s="550" t="s">
        <v>43</v>
      </c>
      <c r="B827" s="621">
        <v>734</v>
      </c>
      <c r="C827" s="621">
        <v>335</v>
      </c>
      <c r="D827" s="621">
        <v>447</v>
      </c>
      <c r="E827" s="621">
        <v>23</v>
      </c>
      <c r="F827" s="621">
        <v>19</v>
      </c>
      <c r="G827" s="621">
        <v>108</v>
      </c>
      <c r="H827" s="621">
        <v>55</v>
      </c>
    </row>
    <row r="828" spans="1:8" s="263" customFormat="1" ht="9" customHeight="1" x14ac:dyDescent="0.25">
      <c r="A828" s="550" t="s">
        <v>44</v>
      </c>
      <c r="B828" s="621">
        <v>295</v>
      </c>
      <c r="C828" s="621">
        <v>115</v>
      </c>
      <c r="D828" s="621">
        <v>215</v>
      </c>
      <c r="E828" s="621">
        <v>19</v>
      </c>
      <c r="F828" s="621">
        <v>18</v>
      </c>
      <c r="G828" s="621">
        <v>44</v>
      </c>
      <c r="H828" s="621">
        <v>23</v>
      </c>
    </row>
    <row r="829" spans="1:8" s="263" customFormat="1" ht="9" customHeight="1" x14ac:dyDescent="0.25">
      <c r="A829" s="603" t="s">
        <v>45</v>
      </c>
      <c r="B829" s="623">
        <v>576</v>
      </c>
      <c r="C829" s="623">
        <v>342</v>
      </c>
      <c r="D829" s="623">
        <v>172</v>
      </c>
      <c r="E829" s="623">
        <v>22</v>
      </c>
      <c r="F829" s="623">
        <v>38</v>
      </c>
      <c r="G829" s="623">
        <v>80</v>
      </c>
      <c r="H829" s="623">
        <v>41</v>
      </c>
    </row>
    <row r="830" spans="1:8" s="263" customFormat="1" ht="9" customHeight="1" x14ac:dyDescent="0.25">
      <c r="A830" s="550" t="s">
        <v>46</v>
      </c>
      <c r="B830" s="621">
        <v>671</v>
      </c>
      <c r="C830" s="621">
        <v>249</v>
      </c>
      <c r="D830" s="621">
        <v>211</v>
      </c>
      <c r="E830" s="621">
        <v>13</v>
      </c>
      <c r="F830" s="621">
        <v>21</v>
      </c>
      <c r="G830" s="621">
        <v>116</v>
      </c>
      <c r="H830" s="621">
        <v>48</v>
      </c>
    </row>
    <row r="831" spans="1:8" s="263" customFormat="1" ht="9" customHeight="1" x14ac:dyDescent="0.25">
      <c r="A831" s="550" t="s">
        <v>47</v>
      </c>
      <c r="B831" s="621">
        <v>598</v>
      </c>
      <c r="C831" s="621">
        <v>186</v>
      </c>
      <c r="D831" s="621">
        <v>198</v>
      </c>
      <c r="E831" s="621">
        <v>13</v>
      </c>
      <c r="F831" s="621">
        <v>26</v>
      </c>
      <c r="G831" s="621">
        <v>86</v>
      </c>
      <c r="H831" s="621">
        <v>44</v>
      </c>
    </row>
    <row r="832" spans="1:8" s="263" customFormat="1" ht="9" customHeight="1" x14ac:dyDescent="0.25">
      <c r="A832" s="550" t="s">
        <v>48</v>
      </c>
      <c r="B832" s="621">
        <v>444</v>
      </c>
      <c r="C832" s="621">
        <v>120</v>
      </c>
      <c r="D832" s="621">
        <v>167</v>
      </c>
      <c r="E832" s="621">
        <v>18</v>
      </c>
      <c r="F832" s="621">
        <v>16</v>
      </c>
      <c r="G832" s="621">
        <v>78</v>
      </c>
      <c r="H832" s="621">
        <v>43</v>
      </c>
    </row>
    <row r="833" spans="1:10" s="263" customFormat="1" ht="9" customHeight="1" x14ac:dyDescent="0.25">
      <c r="A833" s="603" t="s">
        <v>49</v>
      </c>
      <c r="B833" s="623">
        <v>778</v>
      </c>
      <c r="C833" s="623">
        <v>247</v>
      </c>
      <c r="D833" s="623">
        <v>323</v>
      </c>
      <c r="E833" s="623">
        <v>21</v>
      </c>
      <c r="F833" s="623">
        <v>30</v>
      </c>
      <c r="G833" s="623">
        <v>114</v>
      </c>
      <c r="H833" s="623">
        <v>53</v>
      </c>
    </row>
    <row r="834" spans="1:10" s="263" customFormat="1" ht="9" customHeight="1" x14ac:dyDescent="0.25">
      <c r="A834" s="550" t="s">
        <v>50</v>
      </c>
      <c r="B834" s="621">
        <v>250</v>
      </c>
      <c r="C834" s="621">
        <v>74</v>
      </c>
      <c r="D834" s="621">
        <v>114</v>
      </c>
      <c r="E834" s="621">
        <v>7</v>
      </c>
      <c r="F834" s="621">
        <v>5</v>
      </c>
      <c r="G834" s="621">
        <v>54</v>
      </c>
      <c r="H834" s="621">
        <v>42</v>
      </c>
    </row>
    <row r="835" spans="1:10" s="263" customFormat="1" ht="9" customHeight="1" x14ac:dyDescent="0.25">
      <c r="A835" s="550" t="s">
        <v>51</v>
      </c>
      <c r="B835" s="621">
        <v>1251</v>
      </c>
      <c r="C835" s="621">
        <v>441</v>
      </c>
      <c r="D835" s="621">
        <v>490</v>
      </c>
      <c r="E835" s="621">
        <v>35</v>
      </c>
      <c r="F835" s="621">
        <v>40</v>
      </c>
      <c r="G835" s="621">
        <v>200</v>
      </c>
      <c r="H835" s="621">
        <v>111</v>
      </c>
    </row>
    <row r="836" spans="1:10" s="263" customFormat="1" ht="9" customHeight="1" x14ac:dyDescent="0.25">
      <c r="A836" s="550" t="s">
        <v>52</v>
      </c>
      <c r="B836" s="621">
        <v>384</v>
      </c>
      <c r="C836" s="621">
        <v>190</v>
      </c>
      <c r="D836" s="621">
        <v>203</v>
      </c>
      <c r="E836" s="621">
        <v>9</v>
      </c>
      <c r="F836" s="621">
        <v>16</v>
      </c>
      <c r="G836" s="621">
        <v>46</v>
      </c>
      <c r="H836" s="621">
        <v>21</v>
      </c>
    </row>
    <row r="837" spans="1:10" s="263" customFormat="1" ht="9" customHeight="1" x14ac:dyDescent="0.25">
      <c r="A837" s="267" t="s">
        <v>53</v>
      </c>
      <c r="B837" s="618">
        <v>369</v>
      </c>
      <c r="C837" s="618">
        <v>86</v>
      </c>
      <c r="D837" s="618">
        <v>192</v>
      </c>
      <c r="E837" s="618">
        <v>11</v>
      </c>
      <c r="F837" s="618">
        <v>23</v>
      </c>
      <c r="G837" s="618">
        <v>46</v>
      </c>
      <c r="H837" s="618">
        <v>32</v>
      </c>
    </row>
    <row r="838" spans="1:10" s="263" customFormat="1" ht="9" customHeight="1" x14ac:dyDescent="0.25">
      <c r="A838" s="286"/>
      <c r="B838" s="619"/>
      <c r="C838" s="619"/>
      <c r="D838" s="619"/>
      <c r="E838" s="619"/>
      <c r="F838" s="619"/>
      <c r="G838" s="619"/>
      <c r="H838" s="619"/>
    </row>
    <row r="839" spans="1:10" s="263" customFormat="1" ht="9" customHeight="1" x14ac:dyDescent="0.25">
      <c r="A839" s="261">
        <v>2018</v>
      </c>
      <c r="B839" s="262"/>
      <c r="C839" s="262"/>
      <c r="D839" s="262"/>
      <c r="E839" s="262"/>
      <c r="F839" s="262"/>
      <c r="G839" s="262"/>
      <c r="H839" s="262"/>
    </row>
    <row r="840" spans="1:10" s="265" customFormat="1" ht="9" customHeight="1" x14ac:dyDescent="0.25">
      <c r="A840" s="265" t="s">
        <v>21</v>
      </c>
      <c r="B840" s="615">
        <f t="shared" ref="B840:H840" si="23">SUM(B842:B873)</f>
        <v>33630</v>
      </c>
      <c r="C840" s="615">
        <f t="shared" si="23"/>
        <v>10164</v>
      </c>
      <c r="D840" s="615">
        <f t="shared" si="23"/>
        <v>15556</v>
      </c>
      <c r="E840" s="615">
        <f t="shared" si="23"/>
        <v>892</v>
      </c>
      <c r="F840" s="615">
        <f t="shared" si="23"/>
        <v>1212</v>
      </c>
      <c r="G840" s="624">
        <f t="shared" si="23"/>
        <v>4978</v>
      </c>
      <c r="H840" s="624">
        <f t="shared" si="23"/>
        <v>2482</v>
      </c>
      <c r="J840" s="606"/>
    </row>
    <row r="841" spans="1:10" s="265" customFormat="1" ht="3.95" customHeight="1" x14ac:dyDescent="0.25">
      <c r="B841" s="615"/>
      <c r="C841" s="615"/>
      <c r="D841" s="615"/>
      <c r="E841" s="615"/>
      <c r="F841" s="615"/>
      <c r="G841" s="615"/>
      <c r="H841" s="615"/>
    </row>
    <row r="842" spans="1:10" s="263" customFormat="1" ht="9" customHeight="1" x14ac:dyDescent="0.25">
      <c r="A842" s="550" t="s">
        <v>23</v>
      </c>
      <c r="B842" s="621">
        <v>351</v>
      </c>
      <c r="C842" s="621">
        <v>132</v>
      </c>
      <c r="D842" s="621">
        <v>99</v>
      </c>
      <c r="E842" s="621">
        <v>13</v>
      </c>
      <c r="F842" s="621">
        <v>16</v>
      </c>
      <c r="G842" s="621">
        <v>55</v>
      </c>
      <c r="H842" s="621">
        <v>19</v>
      </c>
    </row>
    <row r="843" spans="1:10" s="263" customFormat="1" ht="9" customHeight="1" x14ac:dyDescent="0.25">
      <c r="A843" s="550" t="s">
        <v>24</v>
      </c>
      <c r="B843" s="622">
        <v>1309</v>
      </c>
      <c r="C843" s="622">
        <v>613</v>
      </c>
      <c r="D843" s="622">
        <v>405</v>
      </c>
      <c r="E843" s="622">
        <v>33</v>
      </c>
      <c r="F843" s="622">
        <v>36</v>
      </c>
      <c r="G843" s="622">
        <v>238</v>
      </c>
      <c r="H843" s="622">
        <v>81</v>
      </c>
    </row>
    <row r="844" spans="1:10" s="263" customFormat="1" ht="9" customHeight="1" x14ac:dyDescent="0.25">
      <c r="A844" s="550" t="s">
        <v>25</v>
      </c>
      <c r="B844" s="621">
        <v>111</v>
      </c>
      <c r="C844" s="621">
        <v>29</v>
      </c>
      <c r="D844" s="621">
        <v>133</v>
      </c>
      <c r="E844" s="621">
        <v>7</v>
      </c>
      <c r="F844" s="621">
        <v>7</v>
      </c>
      <c r="G844" s="621">
        <v>22</v>
      </c>
      <c r="H844" s="621">
        <v>8</v>
      </c>
    </row>
    <row r="845" spans="1:10" s="263" customFormat="1" ht="9" customHeight="1" x14ac:dyDescent="0.25">
      <c r="A845" s="603" t="s">
        <v>26</v>
      </c>
      <c r="B845" s="623">
        <v>108</v>
      </c>
      <c r="C845" s="623">
        <v>27</v>
      </c>
      <c r="D845" s="623">
        <v>89</v>
      </c>
      <c r="E845" s="623">
        <v>6</v>
      </c>
      <c r="F845" s="623">
        <v>7</v>
      </c>
      <c r="G845" s="623">
        <v>16</v>
      </c>
      <c r="H845" s="623">
        <v>8</v>
      </c>
    </row>
    <row r="846" spans="1:10" s="263" customFormat="1" ht="9" customHeight="1" x14ac:dyDescent="0.25">
      <c r="A846" s="550" t="s">
        <v>27</v>
      </c>
      <c r="B846" s="621">
        <v>775</v>
      </c>
      <c r="C846" s="621">
        <v>279</v>
      </c>
      <c r="D846" s="621">
        <v>582</v>
      </c>
      <c r="E846" s="621">
        <v>24</v>
      </c>
      <c r="F846" s="621">
        <v>31</v>
      </c>
      <c r="G846" s="621">
        <v>90</v>
      </c>
      <c r="H846" s="621">
        <v>33</v>
      </c>
    </row>
    <row r="847" spans="1:10" s="263" customFormat="1" ht="9" customHeight="1" x14ac:dyDescent="0.25">
      <c r="A847" s="550" t="s">
        <v>28</v>
      </c>
      <c r="B847" s="621">
        <v>161</v>
      </c>
      <c r="C847" s="621">
        <v>30</v>
      </c>
      <c r="D847" s="621">
        <v>76</v>
      </c>
      <c r="E847" s="621">
        <v>9</v>
      </c>
      <c r="F847" s="621">
        <v>6</v>
      </c>
      <c r="G847" s="621">
        <v>27</v>
      </c>
      <c r="H847" s="621">
        <v>9</v>
      </c>
    </row>
    <row r="848" spans="1:10" s="263" customFormat="1" ht="9" customHeight="1" x14ac:dyDescent="0.25">
      <c r="A848" s="550" t="s">
        <v>29</v>
      </c>
      <c r="B848" s="621">
        <v>599</v>
      </c>
      <c r="C848" s="621">
        <v>128</v>
      </c>
      <c r="D848" s="621">
        <v>199</v>
      </c>
      <c r="E848" s="621">
        <v>17</v>
      </c>
      <c r="F848" s="621">
        <v>11</v>
      </c>
      <c r="G848" s="621">
        <v>85</v>
      </c>
      <c r="H848" s="621">
        <v>36</v>
      </c>
    </row>
    <row r="849" spans="1:8" s="263" customFormat="1" ht="9" customHeight="1" x14ac:dyDescent="0.25">
      <c r="A849" s="603" t="s">
        <v>30</v>
      </c>
      <c r="B849" s="623">
        <v>1248</v>
      </c>
      <c r="C849" s="623">
        <v>469</v>
      </c>
      <c r="D849" s="623">
        <v>627</v>
      </c>
      <c r="E849" s="623">
        <v>32</v>
      </c>
      <c r="F849" s="623">
        <v>70</v>
      </c>
      <c r="G849" s="623">
        <v>149</v>
      </c>
      <c r="H849" s="623">
        <v>75</v>
      </c>
    </row>
    <row r="850" spans="1:8" s="263" customFormat="1" ht="9" customHeight="1" x14ac:dyDescent="0.25">
      <c r="A850" s="550" t="s">
        <v>63</v>
      </c>
      <c r="B850" s="621">
        <v>4731</v>
      </c>
      <c r="C850" s="621">
        <v>1579</v>
      </c>
      <c r="D850" s="621">
        <v>2326</v>
      </c>
      <c r="E850" s="621">
        <v>62</v>
      </c>
      <c r="F850" s="621">
        <v>151</v>
      </c>
      <c r="G850" s="621">
        <v>580</v>
      </c>
      <c r="H850" s="621">
        <v>244</v>
      </c>
    </row>
    <row r="851" spans="1:8" s="263" customFormat="1" ht="9" customHeight="1" x14ac:dyDescent="0.25">
      <c r="A851" s="550" t="s">
        <v>31</v>
      </c>
      <c r="B851" s="621">
        <v>291</v>
      </c>
      <c r="C851" s="621">
        <v>28</v>
      </c>
      <c r="D851" s="621">
        <v>87</v>
      </c>
      <c r="E851" s="621">
        <v>13</v>
      </c>
      <c r="F851" s="621">
        <v>12</v>
      </c>
      <c r="G851" s="621">
        <v>51</v>
      </c>
      <c r="H851" s="621">
        <v>26</v>
      </c>
    </row>
    <row r="852" spans="1:8" s="263" customFormat="1" ht="9" customHeight="1" x14ac:dyDescent="0.25">
      <c r="A852" s="550" t="s">
        <v>32</v>
      </c>
      <c r="B852" s="621">
        <v>2095</v>
      </c>
      <c r="C852" s="621">
        <v>545</v>
      </c>
      <c r="D852" s="621">
        <v>1082</v>
      </c>
      <c r="E852" s="621">
        <v>50</v>
      </c>
      <c r="F852" s="621">
        <v>115</v>
      </c>
      <c r="G852" s="621">
        <v>343</v>
      </c>
      <c r="H852" s="621">
        <v>199</v>
      </c>
    </row>
    <row r="853" spans="1:8" s="263" customFormat="1" ht="9" customHeight="1" x14ac:dyDescent="0.25">
      <c r="A853" s="603" t="s">
        <v>33</v>
      </c>
      <c r="B853" s="623">
        <v>789</v>
      </c>
      <c r="C853" s="623">
        <v>179</v>
      </c>
      <c r="D853" s="623">
        <v>564</v>
      </c>
      <c r="E853" s="623">
        <v>27</v>
      </c>
      <c r="F853" s="623">
        <v>25</v>
      </c>
      <c r="G853" s="623">
        <v>142</v>
      </c>
      <c r="H853" s="623">
        <v>78</v>
      </c>
    </row>
    <row r="854" spans="1:8" s="263" customFormat="1" ht="9" customHeight="1" x14ac:dyDescent="0.25">
      <c r="A854" s="550" t="s">
        <v>34</v>
      </c>
      <c r="B854" s="621">
        <v>838</v>
      </c>
      <c r="C854" s="621">
        <v>247</v>
      </c>
      <c r="D854" s="621">
        <v>483</v>
      </c>
      <c r="E854" s="621">
        <v>23</v>
      </c>
      <c r="F854" s="621">
        <v>11</v>
      </c>
      <c r="G854" s="621">
        <v>153</v>
      </c>
      <c r="H854" s="621">
        <v>93</v>
      </c>
    </row>
    <row r="855" spans="1:8" s="263" customFormat="1" ht="9" customHeight="1" x14ac:dyDescent="0.25">
      <c r="A855" s="550" t="s">
        <v>35</v>
      </c>
      <c r="B855" s="621">
        <v>3130</v>
      </c>
      <c r="C855" s="621">
        <v>922</v>
      </c>
      <c r="D855" s="621">
        <v>870</v>
      </c>
      <c r="E855" s="621">
        <v>77</v>
      </c>
      <c r="F855" s="621">
        <v>96</v>
      </c>
      <c r="G855" s="621">
        <v>451</v>
      </c>
      <c r="H855" s="621">
        <v>180</v>
      </c>
    </row>
    <row r="856" spans="1:8" s="263" customFormat="1" ht="9" customHeight="1" x14ac:dyDescent="0.25">
      <c r="A856" s="550" t="s">
        <v>36</v>
      </c>
      <c r="B856" s="621">
        <v>3949</v>
      </c>
      <c r="C856" s="621">
        <v>779</v>
      </c>
      <c r="D856" s="621">
        <v>2841</v>
      </c>
      <c r="E856" s="621">
        <v>115</v>
      </c>
      <c r="F856" s="621">
        <v>121</v>
      </c>
      <c r="G856" s="621">
        <v>653</v>
      </c>
      <c r="H856" s="621">
        <v>409</v>
      </c>
    </row>
    <row r="857" spans="1:8" s="263" customFormat="1" ht="9" customHeight="1" x14ac:dyDescent="0.25">
      <c r="A857" s="603" t="s">
        <v>37</v>
      </c>
      <c r="B857" s="623">
        <v>1712</v>
      </c>
      <c r="C857" s="623">
        <v>228</v>
      </c>
      <c r="D857" s="623">
        <v>518</v>
      </c>
      <c r="E857" s="623">
        <v>31</v>
      </c>
      <c r="F857" s="623">
        <v>46</v>
      </c>
      <c r="G857" s="623">
        <v>238</v>
      </c>
      <c r="H857" s="623">
        <v>139</v>
      </c>
    </row>
    <row r="858" spans="1:8" s="263" customFormat="1" ht="9" customHeight="1" x14ac:dyDescent="0.25">
      <c r="A858" s="550" t="s">
        <v>38</v>
      </c>
      <c r="B858" s="621">
        <v>400</v>
      </c>
      <c r="C858" s="621">
        <v>120</v>
      </c>
      <c r="D858" s="621">
        <v>187</v>
      </c>
      <c r="E858" s="621">
        <v>22</v>
      </c>
      <c r="F858" s="621">
        <v>6</v>
      </c>
      <c r="G858" s="621">
        <v>86</v>
      </c>
      <c r="H858" s="621">
        <v>45</v>
      </c>
    </row>
    <row r="859" spans="1:8" s="263" customFormat="1" ht="9" customHeight="1" x14ac:dyDescent="0.25">
      <c r="A859" s="550" t="s">
        <v>39</v>
      </c>
      <c r="B859" s="621">
        <v>90</v>
      </c>
      <c r="C859" s="621">
        <v>17</v>
      </c>
      <c r="D859" s="621">
        <v>36</v>
      </c>
      <c r="E859" s="621">
        <v>8</v>
      </c>
      <c r="F859" s="621">
        <v>4</v>
      </c>
      <c r="G859" s="621">
        <v>13</v>
      </c>
      <c r="H859" s="621">
        <v>9</v>
      </c>
    </row>
    <row r="860" spans="1:8" s="263" customFormat="1" ht="9" customHeight="1" x14ac:dyDescent="0.25">
      <c r="A860" s="550" t="s">
        <v>40</v>
      </c>
      <c r="B860" s="621">
        <v>2036</v>
      </c>
      <c r="C860" s="621">
        <v>921</v>
      </c>
      <c r="D860" s="621">
        <v>619</v>
      </c>
      <c r="E860" s="621">
        <v>63</v>
      </c>
      <c r="F860" s="621">
        <v>116</v>
      </c>
      <c r="G860" s="621">
        <v>244</v>
      </c>
      <c r="H860" s="621">
        <v>81</v>
      </c>
    </row>
    <row r="861" spans="1:8" s="263" customFormat="1" ht="9" customHeight="1" x14ac:dyDescent="0.25">
      <c r="A861" s="603" t="s">
        <v>41</v>
      </c>
      <c r="B861" s="623">
        <v>798</v>
      </c>
      <c r="C861" s="623">
        <v>120</v>
      </c>
      <c r="D861" s="623">
        <v>450</v>
      </c>
      <c r="E861" s="623">
        <v>26</v>
      </c>
      <c r="F861" s="623">
        <v>32</v>
      </c>
      <c r="G861" s="623">
        <v>137</v>
      </c>
      <c r="H861" s="623">
        <v>82</v>
      </c>
    </row>
    <row r="862" spans="1:8" s="263" customFormat="1" ht="9" customHeight="1" x14ac:dyDescent="0.25">
      <c r="A862" s="550" t="s">
        <v>42</v>
      </c>
      <c r="B862" s="621">
        <v>1785</v>
      </c>
      <c r="C862" s="621">
        <v>422</v>
      </c>
      <c r="D862" s="621">
        <v>500</v>
      </c>
      <c r="E862" s="621">
        <v>49</v>
      </c>
      <c r="F862" s="621">
        <v>34</v>
      </c>
      <c r="G862" s="621">
        <v>229</v>
      </c>
      <c r="H862" s="621">
        <v>132</v>
      </c>
    </row>
    <row r="863" spans="1:8" s="263" customFormat="1" ht="9" customHeight="1" x14ac:dyDescent="0.25">
      <c r="A863" s="550" t="s">
        <v>43</v>
      </c>
      <c r="B863" s="621">
        <v>381</v>
      </c>
      <c r="C863" s="621">
        <v>201</v>
      </c>
      <c r="D863" s="621">
        <v>221</v>
      </c>
      <c r="E863" s="621">
        <v>9</v>
      </c>
      <c r="F863" s="621">
        <v>18</v>
      </c>
      <c r="G863" s="621">
        <v>46</v>
      </c>
      <c r="H863" s="621">
        <v>21</v>
      </c>
    </row>
    <row r="864" spans="1:8" s="263" customFormat="1" ht="9" customHeight="1" x14ac:dyDescent="0.25">
      <c r="A864" s="550" t="s">
        <v>44</v>
      </c>
      <c r="B864" s="621">
        <v>751</v>
      </c>
      <c r="C864" s="621">
        <v>324</v>
      </c>
      <c r="D864" s="621">
        <v>474</v>
      </c>
      <c r="E864" s="621">
        <v>25</v>
      </c>
      <c r="F864" s="621">
        <v>18</v>
      </c>
      <c r="G864" s="621">
        <v>110</v>
      </c>
      <c r="H864" s="621">
        <v>53</v>
      </c>
    </row>
    <row r="865" spans="1:9" s="263" customFormat="1" ht="9" customHeight="1" x14ac:dyDescent="0.25">
      <c r="A865" s="603" t="s">
        <v>45</v>
      </c>
      <c r="B865" s="623">
        <v>287</v>
      </c>
      <c r="C865" s="623">
        <v>125</v>
      </c>
      <c r="D865" s="623">
        <v>237</v>
      </c>
      <c r="E865" s="623">
        <v>20</v>
      </c>
      <c r="F865" s="623">
        <v>18</v>
      </c>
      <c r="G865" s="623">
        <v>47</v>
      </c>
      <c r="H865" s="623">
        <v>20</v>
      </c>
    </row>
    <row r="866" spans="1:9" s="263" customFormat="1" ht="9" customHeight="1" x14ac:dyDescent="0.25">
      <c r="A866" s="550" t="s">
        <v>46</v>
      </c>
      <c r="B866" s="621">
        <v>596</v>
      </c>
      <c r="C866" s="621">
        <v>327</v>
      </c>
      <c r="D866" s="621">
        <v>154</v>
      </c>
      <c r="E866" s="621">
        <v>18</v>
      </c>
      <c r="F866" s="621">
        <v>36</v>
      </c>
      <c r="G866" s="621">
        <v>83</v>
      </c>
      <c r="H866" s="621">
        <v>42</v>
      </c>
    </row>
    <row r="867" spans="1:9" s="263" customFormat="1" ht="9" customHeight="1" x14ac:dyDescent="0.25">
      <c r="A867" s="550" t="s">
        <v>47</v>
      </c>
      <c r="B867" s="621">
        <v>675</v>
      </c>
      <c r="C867" s="621">
        <v>265</v>
      </c>
      <c r="D867" s="621">
        <v>210</v>
      </c>
      <c r="E867" s="621">
        <v>14</v>
      </c>
      <c r="F867" s="621">
        <v>23</v>
      </c>
      <c r="G867" s="621">
        <v>113</v>
      </c>
      <c r="H867" s="621">
        <v>43</v>
      </c>
    </row>
    <row r="868" spans="1:9" s="263" customFormat="1" ht="9" customHeight="1" x14ac:dyDescent="0.25">
      <c r="A868" s="550" t="s">
        <v>48</v>
      </c>
      <c r="B868" s="621">
        <v>607</v>
      </c>
      <c r="C868" s="621">
        <v>186</v>
      </c>
      <c r="D868" s="621">
        <v>198</v>
      </c>
      <c r="E868" s="621">
        <v>14</v>
      </c>
      <c r="F868" s="621">
        <v>27</v>
      </c>
      <c r="G868" s="621">
        <v>88</v>
      </c>
      <c r="H868" s="621">
        <v>45</v>
      </c>
    </row>
    <row r="869" spans="1:9" s="263" customFormat="1" ht="9" customHeight="1" x14ac:dyDescent="0.25">
      <c r="A869" s="603" t="s">
        <v>49</v>
      </c>
      <c r="B869" s="623">
        <v>418</v>
      </c>
      <c r="C869" s="623">
        <v>99</v>
      </c>
      <c r="D869" s="623">
        <v>149</v>
      </c>
      <c r="E869" s="623">
        <v>15</v>
      </c>
      <c r="F869" s="623">
        <v>22</v>
      </c>
      <c r="G869" s="623">
        <v>80</v>
      </c>
      <c r="H869" s="623">
        <v>41</v>
      </c>
    </row>
    <row r="870" spans="1:9" s="263" customFormat="1" ht="9" customHeight="1" x14ac:dyDescent="0.25">
      <c r="A870" s="550" t="s">
        <v>50</v>
      </c>
      <c r="B870" s="621">
        <v>777</v>
      </c>
      <c r="C870" s="621">
        <v>258</v>
      </c>
      <c r="D870" s="621">
        <v>338</v>
      </c>
      <c r="E870" s="621">
        <v>21</v>
      </c>
      <c r="F870" s="621">
        <v>29</v>
      </c>
      <c r="G870" s="621">
        <v>114</v>
      </c>
      <c r="H870" s="621">
        <v>49</v>
      </c>
    </row>
    <row r="871" spans="1:9" s="263" customFormat="1" ht="9" customHeight="1" x14ac:dyDescent="0.25">
      <c r="A871" s="550" t="s">
        <v>51</v>
      </c>
      <c r="B871" s="621">
        <v>237</v>
      </c>
      <c r="C871" s="621">
        <v>59</v>
      </c>
      <c r="D871" s="621">
        <v>113</v>
      </c>
      <c r="E871" s="621">
        <v>6</v>
      </c>
      <c r="F871" s="621">
        <v>6</v>
      </c>
      <c r="G871" s="621">
        <v>53</v>
      </c>
      <c r="H871" s="621">
        <v>40</v>
      </c>
    </row>
    <row r="872" spans="1:9" s="263" customFormat="1" ht="9" customHeight="1" x14ac:dyDescent="0.25">
      <c r="A872" s="550" t="s">
        <v>52</v>
      </c>
      <c r="B872" s="621">
        <v>1241</v>
      </c>
      <c r="C872" s="621">
        <v>418</v>
      </c>
      <c r="D872" s="621">
        <v>489</v>
      </c>
      <c r="E872" s="621">
        <v>33</v>
      </c>
      <c r="F872" s="621">
        <v>40</v>
      </c>
      <c r="G872" s="621">
        <v>193</v>
      </c>
      <c r="H872" s="621">
        <v>111</v>
      </c>
    </row>
    <row r="873" spans="1:9" s="263" customFormat="1" ht="9" customHeight="1" x14ac:dyDescent="0.25">
      <c r="A873" s="267" t="s">
        <v>53</v>
      </c>
      <c r="B873" s="618">
        <v>354</v>
      </c>
      <c r="C873" s="618">
        <v>88</v>
      </c>
      <c r="D873" s="618">
        <v>200</v>
      </c>
      <c r="E873" s="618">
        <v>10</v>
      </c>
      <c r="F873" s="618">
        <v>22</v>
      </c>
      <c r="G873" s="618">
        <v>49</v>
      </c>
      <c r="H873" s="618">
        <v>31</v>
      </c>
    </row>
    <row r="874" spans="1:9" ht="3" customHeight="1" x14ac:dyDescent="0.25">
      <c r="A874" s="257"/>
      <c r="B874" s="257"/>
      <c r="C874" s="257"/>
      <c r="D874" s="257"/>
      <c r="E874" s="257"/>
      <c r="F874" s="257"/>
      <c r="G874" s="257"/>
      <c r="H874" s="257"/>
    </row>
    <row r="875" spans="1:9" ht="3" customHeight="1" x14ac:dyDescent="0.25"/>
    <row r="876" spans="1:9" ht="9" customHeight="1" x14ac:dyDescent="0.25">
      <c r="A876" s="260" t="s">
        <v>463</v>
      </c>
    </row>
    <row r="877" spans="1:9" s="260" customFormat="1" ht="9" customHeight="1" x14ac:dyDescent="0.25">
      <c r="A877" s="607" t="s">
        <v>445</v>
      </c>
      <c r="B877" s="608"/>
    </row>
    <row r="878" spans="1:9" ht="11.25" hidden="1" customHeight="1" x14ac:dyDescent="0.25">
      <c r="I878" s="258" t="s">
        <v>74</v>
      </c>
    </row>
    <row r="879" spans="1:9" ht="11.25" hidden="1" customHeight="1" x14ac:dyDescent="0.25"/>
    <row r="880" spans="1:9" ht="11.25" hidden="1" customHeight="1" x14ac:dyDescent="0.25"/>
  </sheetData>
  <sheetProtection sheet="1" objects="1" scenarios="1"/>
  <mergeCells count="8">
    <mergeCell ref="G6:G8"/>
    <mergeCell ref="H6:H7"/>
    <mergeCell ref="A6:A8"/>
    <mergeCell ref="B6:B8"/>
    <mergeCell ref="C6:C8"/>
    <mergeCell ref="D6:D8"/>
    <mergeCell ref="E6:E8"/>
    <mergeCell ref="F6:F8"/>
  </mergeCells>
  <hyperlinks>
    <hyperlink ref="H1" location="Índice!A1" tooltip="Ir a Índice" display="Índice!A1"/>
  </hyperlinks>
  <printOptions horizontalCentered="1" verticalCentered="1"/>
  <pageMargins left="0.39370078740157483" right="0.39370078740157483" top="0.39370078740157483" bottom="0.39370078740157483" header="0.39370078740157483" footer="0.39370078740157483"/>
  <pageSetup orientation="portrait" r:id="rId1"/>
  <headerFooter>
    <oddHeader>&amp;L&amp;"Arial,Normal"&amp;10&amp;K000080INEGI. Anuario estadístico y geográfico por entidad federativa 2019.</oddHeader>
  </headerFooter>
  <rowBreaks count="11" manualBreakCount="11">
    <brk id="82" max="7" man="1"/>
    <brk id="154" max="7" man="1"/>
    <brk id="226" max="7" man="1"/>
    <brk id="298" max="7" man="1"/>
    <brk id="370" max="7" man="1"/>
    <brk id="442" max="7" man="1"/>
    <brk id="514" max="7" man="1"/>
    <brk id="586" max="7" man="1"/>
    <brk id="658" max="7" man="1"/>
    <brk id="730" max="7" man="1"/>
    <brk id="802" max="7" man="1"/>
  </rowBreak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A667"/>
  <sheetViews>
    <sheetView showGridLines="0" showRowColHeaders="0" zoomScale="130" zoomScaleNormal="130" workbookViewId="0">
      <pane xSplit="1" ySplit="11" topLeftCell="B12" activePane="bottomRight" state="frozen"/>
      <selection activeCell="B5" sqref="B5"/>
      <selection pane="topRight" activeCell="B5" sqref="B5"/>
      <selection pane="bottomLeft" activeCell="B5" sqref="B5"/>
      <selection pane="bottomRight"/>
    </sheetView>
  </sheetViews>
  <sheetFormatPr baseColWidth="10" defaultColWidth="0" defaultRowHeight="11.25" customHeight="1" zeroHeight="1" x14ac:dyDescent="0.25"/>
  <cols>
    <col min="1" max="1" width="17.7109375" style="258" customWidth="1"/>
    <col min="2" max="2" width="5.85546875" style="258" customWidth="1"/>
    <col min="3" max="3" width="1.5703125" style="258" customWidth="1"/>
    <col min="4" max="4" width="5.7109375" style="258" customWidth="1"/>
    <col min="5" max="5" width="7.28515625" style="258" customWidth="1"/>
    <col min="6" max="6" width="1.7109375" style="258" customWidth="1"/>
    <col min="7" max="7" width="5.140625" style="258" customWidth="1"/>
    <col min="8" max="8" width="8" style="258" customWidth="1"/>
    <col min="9" max="9" width="6.140625" style="258" customWidth="1"/>
    <col min="10" max="11" width="6.28515625" style="258" customWidth="1"/>
    <col min="12" max="12" width="6.42578125" style="258" customWidth="1"/>
    <col min="13" max="13" width="6.5703125" style="258" customWidth="1"/>
    <col min="14" max="14" width="7.28515625" style="258" customWidth="1"/>
    <col min="15" max="15" width="0.85546875" style="258" hidden="1" customWidth="1"/>
    <col min="16" max="16" width="7.42578125" style="258" hidden="1" customWidth="1"/>
    <col min="17" max="17" width="7" style="258" hidden="1" customWidth="1"/>
    <col min="18" max="19" width="6.140625" style="258" hidden="1" customWidth="1"/>
    <col min="20" max="20" width="2.140625" style="258" hidden="1" customWidth="1"/>
    <col min="21" max="22" width="6.140625" style="258" hidden="1" customWidth="1"/>
    <col min="23" max="28" width="5.140625" style="258" hidden="1" customWidth="1"/>
    <col min="29" max="53" width="2.5703125" style="258" hidden="1" customWidth="1"/>
    <col min="54" max="16384" width="11.5703125" style="258" hidden="1"/>
  </cols>
  <sheetData>
    <row r="1" spans="1:14" s="256" customFormat="1" ht="12" customHeight="1" x14ac:dyDescent="0.2">
      <c r="A1" s="312" t="s">
        <v>464</v>
      </c>
      <c r="B1" s="255"/>
      <c r="C1" s="255"/>
      <c r="D1" s="255"/>
      <c r="E1" s="255"/>
      <c r="F1" s="255"/>
      <c r="G1" s="255"/>
      <c r="H1" s="255"/>
      <c r="I1" s="255"/>
      <c r="J1" s="255"/>
      <c r="K1" s="255"/>
      <c r="L1" s="255"/>
      <c r="M1" s="823" t="s">
        <v>465</v>
      </c>
      <c r="N1" s="823"/>
    </row>
    <row r="2" spans="1:14" s="256" customFormat="1" ht="12" customHeight="1" x14ac:dyDescent="0.2">
      <c r="A2" s="312" t="s">
        <v>466</v>
      </c>
      <c r="B2" s="255"/>
      <c r="C2" s="255"/>
      <c r="D2" s="255"/>
      <c r="E2" s="255"/>
      <c r="F2" s="255"/>
      <c r="G2" s="255"/>
      <c r="H2" s="255"/>
      <c r="I2" s="255"/>
      <c r="J2" s="255"/>
      <c r="K2" s="255"/>
      <c r="L2" s="255"/>
      <c r="N2" s="625"/>
    </row>
    <row r="3" spans="1:14" s="256" customFormat="1" ht="12" customHeight="1" x14ac:dyDescent="0.25">
      <c r="A3" s="56" t="s">
        <v>467</v>
      </c>
      <c r="B3" s="255"/>
      <c r="C3" s="255"/>
      <c r="D3" s="255"/>
      <c r="E3" s="255"/>
      <c r="F3" s="255"/>
      <c r="G3" s="255"/>
      <c r="H3" s="255"/>
      <c r="I3" s="255"/>
      <c r="J3" s="255"/>
      <c r="K3" s="255"/>
      <c r="L3" s="255"/>
    </row>
    <row r="4" spans="1:14" ht="3" customHeight="1" x14ac:dyDescent="0.25">
      <c r="A4" s="257"/>
      <c r="B4" s="257"/>
      <c r="C4" s="257"/>
      <c r="D4" s="257"/>
      <c r="E4" s="257"/>
      <c r="F4" s="257"/>
      <c r="G4" s="257"/>
      <c r="H4" s="257"/>
      <c r="I4" s="257"/>
      <c r="J4" s="257"/>
      <c r="K4" s="257"/>
      <c r="L4" s="257"/>
      <c r="M4" s="257"/>
      <c r="N4" s="257"/>
    </row>
    <row r="5" spans="1:14" ht="3" customHeight="1" x14ac:dyDescent="0.25">
      <c r="A5" s="259"/>
      <c r="B5" s="259"/>
      <c r="C5" s="259"/>
      <c r="D5" s="259"/>
      <c r="E5" s="259"/>
      <c r="F5" s="259"/>
      <c r="G5" s="259"/>
      <c r="H5" s="259"/>
      <c r="I5" s="259"/>
      <c r="J5" s="259"/>
      <c r="K5" s="259"/>
      <c r="L5" s="259"/>
    </row>
    <row r="6" spans="1:14" s="260" customFormat="1" ht="8.25" customHeight="1" x14ac:dyDescent="0.25">
      <c r="A6" s="812" t="s">
        <v>4</v>
      </c>
      <c r="B6" s="758" t="s">
        <v>13</v>
      </c>
      <c r="C6" s="758"/>
      <c r="D6" s="626" t="s">
        <v>228</v>
      </c>
      <c r="E6" s="626"/>
      <c r="F6" s="626"/>
      <c r="G6" s="626"/>
      <c r="H6" s="626"/>
      <c r="I6" s="626"/>
      <c r="J6" s="626"/>
      <c r="K6" s="626"/>
      <c r="L6" s="626"/>
      <c r="M6" s="626"/>
      <c r="N6" s="815" t="s">
        <v>468</v>
      </c>
    </row>
    <row r="7" spans="1:14" s="260" customFormat="1" ht="9.9499999999999993" customHeight="1" x14ac:dyDescent="0.25">
      <c r="A7" s="814"/>
      <c r="B7" s="758"/>
      <c r="C7" s="758"/>
      <c r="D7" s="758" t="s">
        <v>13</v>
      </c>
      <c r="E7" s="839" t="s">
        <v>469</v>
      </c>
      <c r="F7" s="758"/>
      <c r="G7" s="626" t="s">
        <v>231</v>
      </c>
      <c r="H7" s="626"/>
      <c r="I7" s="626"/>
      <c r="J7" s="626"/>
      <c r="K7" s="839" t="s">
        <v>470</v>
      </c>
      <c r="L7" s="839" t="s">
        <v>471</v>
      </c>
      <c r="M7" s="839" t="s">
        <v>472</v>
      </c>
      <c r="N7" s="816"/>
    </row>
    <row r="8" spans="1:14" s="260" customFormat="1" ht="2.1" customHeight="1" x14ac:dyDescent="0.25">
      <c r="A8" s="814"/>
      <c r="B8" s="758"/>
      <c r="C8" s="758"/>
      <c r="D8" s="758"/>
      <c r="E8" s="816"/>
      <c r="F8" s="758"/>
      <c r="G8" s="627"/>
      <c r="H8" s="627"/>
      <c r="I8" s="627"/>
      <c r="J8" s="627"/>
      <c r="K8" s="815"/>
      <c r="L8" s="815"/>
      <c r="M8" s="815"/>
      <c r="N8" s="816"/>
    </row>
    <row r="9" spans="1:14" s="260" customFormat="1" ht="9.6" customHeight="1" x14ac:dyDescent="0.25">
      <c r="A9" s="814"/>
      <c r="B9" s="628"/>
      <c r="C9" s="628"/>
      <c r="D9" s="628"/>
      <c r="E9" s="816"/>
      <c r="F9" s="628"/>
      <c r="G9" s="758" t="s">
        <v>13</v>
      </c>
      <c r="H9" s="815" t="s">
        <v>234</v>
      </c>
      <c r="I9" s="815" t="s">
        <v>235</v>
      </c>
      <c r="J9" s="280" t="s">
        <v>473</v>
      </c>
      <c r="K9" s="815"/>
      <c r="L9" s="815"/>
      <c r="M9" s="815" t="s">
        <v>474</v>
      </c>
      <c r="N9" s="816"/>
    </row>
    <row r="10" spans="1:14" s="260" customFormat="1" ht="8.25" customHeight="1" x14ac:dyDescent="0.25">
      <c r="A10" s="814"/>
      <c r="B10" s="758"/>
      <c r="C10" s="758"/>
      <c r="D10" s="758"/>
      <c r="E10" s="758"/>
      <c r="F10" s="758"/>
      <c r="G10" s="628"/>
      <c r="H10" s="816"/>
      <c r="I10" s="816"/>
      <c r="J10" s="628"/>
      <c r="K10" s="758"/>
      <c r="L10" s="758"/>
      <c r="M10" s="758"/>
      <c r="N10" s="758"/>
    </row>
    <row r="11" spans="1:14" ht="3" customHeight="1" x14ac:dyDescent="0.25">
      <c r="A11" s="257"/>
      <c r="B11" s="257"/>
      <c r="C11" s="257"/>
      <c r="D11" s="257"/>
      <c r="E11" s="257"/>
      <c r="F11" s="257"/>
      <c r="G11" s="257"/>
      <c r="H11" s="257"/>
      <c r="I11" s="257"/>
      <c r="J11" s="257"/>
      <c r="K11" s="257"/>
      <c r="L11" s="257"/>
      <c r="M11" s="257"/>
      <c r="N11" s="257"/>
    </row>
    <row r="12" spans="1:14" ht="3" customHeight="1" x14ac:dyDescent="0.25">
      <c r="A12" s="259"/>
      <c r="B12" s="259"/>
      <c r="C12" s="259"/>
      <c r="D12" s="259"/>
      <c r="E12" s="259"/>
      <c r="F12" s="259"/>
      <c r="G12" s="259"/>
      <c r="H12" s="259"/>
      <c r="I12" s="259"/>
      <c r="J12" s="259"/>
      <c r="K12" s="259"/>
      <c r="L12" s="259"/>
    </row>
    <row r="13" spans="1:14" ht="9" customHeight="1" x14ac:dyDescent="0.25">
      <c r="A13" s="601">
        <v>2001</v>
      </c>
      <c r="B13" s="259"/>
      <c r="C13" s="259"/>
      <c r="D13" s="259"/>
      <c r="E13" s="259"/>
      <c r="F13" s="259"/>
      <c r="G13" s="259"/>
      <c r="H13" s="259"/>
      <c r="I13" s="259"/>
      <c r="J13" s="259"/>
      <c r="K13" s="259"/>
      <c r="L13" s="259"/>
    </row>
    <row r="14" spans="1:14" s="265" customFormat="1" ht="9" customHeight="1" x14ac:dyDescent="0.25">
      <c r="A14" s="265" t="s">
        <v>21</v>
      </c>
      <c r="B14" s="262">
        <f>SUM(B16:B47)</f>
        <v>10977</v>
      </c>
      <c r="C14" s="262"/>
      <c r="D14" s="262">
        <f>SUM(D16:D47)</f>
        <v>10689</v>
      </c>
      <c r="E14" s="262">
        <f>SUM(E16:E47)</f>
        <v>3938</v>
      </c>
      <c r="F14" s="262"/>
      <c r="G14" s="262">
        <f t="shared" ref="G14:N14" si="0">SUM(G16:G47)</f>
        <v>5426</v>
      </c>
      <c r="H14" s="262">
        <f t="shared" si="0"/>
        <v>933</v>
      </c>
      <c r="I14" s="262">
        <f t="shared" si="0"/>
        <v>792</v>
      </c>
      <c r="J14" s="262">
        <f t="shared" si="0"/>
        <v>3701</v>
      </c>
      <c r="K14" s="262">
        <f t="shared" si="0"/>
        <v>322</v>
      </c>
      <c r="L14" s="262">
        <f t="shared" si="0"/>
        <v>751</v>
      </c>
      <c r="M14" s="262">
        <f t="shared" si="0"/>
        <v>252</v>
      </c>
      <c r="N14" s="262">
        <f t="shared" si="0"/>
        <v>288</v>
      </c>
    </row>
    <row r="15" spans="1:14" s="265" customFormat="1" ht="3.95" customHeight="1" x14ac:dyDescent="0.25">
      <c r="B15" s="262"/>
      <c r="C15" s="262"/>
      <c r="D15" s="262"/>
      <c r="E15" s="262"/>
      <c r="F15" s="262"/>
      <c r="G15" s="262"/>
      <c r="H15" s="262"/>
      <c r="I15" s="262"/>
      <c r="J15" s="262"/>
      <c r="K15" s="262"/>
      <c r="L15" s="262"/>
      <c r="M15" s="262"/>
      <c r="N15" s="262"/>
    </row>
    <row r="16" spans="1:14" s="263" customFormat="1" ht="9" customHeight="1" x14ac:dyDescent="0.25">
      <c r="A16" s="263" t="s">
        <v>23</v>
      </c>
      <c r="B16" s="266">
        <f t="shared" ref="B16:B47" si="1">SUM(D16+N16)</f>
        <v>57</v>
      </c>
      <c r="C16" s="266"/>
      <c r="D16" s="266">
        <f t="shared" ref="D16:D47" si="2">SUM(E16+G16+K16+L16+M16)</f>
        <v>56</v>
      </c>
      <c r="E16" s="266">
        <v>14</v>
      </c>
      <c r="F16" s="266"/>
      <c r="G16" s="266">
        <f t="shared" ref="G16:G47" si="3">SUM(H16:J16)</f>
        <v>40</v>
      </c>
      <c r="H16" s="266">
        <v>4</v>
      </c>
      <c r="I16" s="266">
        <v>7</v>
      </c>
      <c r="J16" s="266">
        <v>29</v>
      </c>
      <c r="K16" s="266">
        <v>0</v>
      </c>
      <c r="L16" s="266">
        <v>0</v>
      </c>
      <c r="M16" s="266">
        <v>2</v>
      </c>
      <c r="N16" s="266">
        <v>1</v>
      </c>
    </row>
    <row r="17" spans="1:14" s="263" customFormat="1" ht="9" customHeight="1" x14ac:dyDescent="0.25">
      <c r="A17" s="263" t="s">
        <v>24</v>
      </c>
      <c r="B17" s="266" t="s">
        <v>22</v>
      </c>
      <c r="C17" s="266"/>
      <c r="D17" s="266" t="s">
        <v>22</v>
      </c>
      <c r="E17" s="266" t="s">
        <v>22</v>
      </c>
      <c r="F17" s="266"/>
      <c r="G17" s="266" t="s">
        <v>22</v>
      </c>
      <c r="H17" s="266" t="s">
        <v>22</v>
      </c>
      <c r="I17" s="266" t="s">
        <v>22</v>
      </c>
      <c r="J17" s="266" t="s">
        <v>22</v>
      </c>
      <c r="K17" s="266" t="s">
        <v>22</v>
      </c>
      <c r="L17" s="266" t="s">
        <v>22</v>
      </c>
      <c r="M17" s="266" t="s">
        <v>22</v>
      </c>
      <c r="N17" s="266" t="s">
        <v>22</v>
      </c>
    </row>
    <row r="18" spans="1:14" s="263" customFormat="1" ht="9" customHeight="1" x14ac:dyDescent="0.25">
      <c r="A18" s="263" t="s">
        <v>25</v>
      </c>
      <c r="B18" s="266">
        <f t="shared" si="1"/>
        <v>31</v>
      </c>
      <c r="C18" s="266"/>
      <c r="D18" s="266">
        <f t="shared" si="2"/>
        <v>31</v>
      </c>
      <c r="E18" s="266">
        <v>6</v>
      </c>
      <c r="F18" s="266"/>
      <c r="G18" s="266">
        <f t="shared" si="3"/>
        <v>25</v>
      </c>
      <c r="H18" s="266">
        <v>3</v>
      </c>
      <c r="I18" s="266">
        <v>0</v>
      </c>
      <c r="J18" s="266">
        <v>22</v>
      </c>
      <c r="K18" s="266">
        <v>0</v>
      </c>
      <c r="L18" s="266">
        <v>0</v>
      </c>
      <c r="M18" s="266">
        <v>0</v>
      </c>
      <c r="N18" s="266">
        <v>0</v>
      </c>
    </row>
    <row r="19" spans="1:14" s="263" customFormat="1" ht="9" customHeight="1" x14ac:dyDescent="0.25">
      <c r="A19" s="267" t="s">
        <v>26</v>
      </c>
      <c r="B19" s="268">
        <f t="shared" si="1"/>
        <v>24</v>
      </c>
      <c r="C19" s="268"/>
      <c r="D19" s="268">
        <f t="shared" si="2"/>
        <v>24</v>
      </c>
      <c r="E19" s="268">
        <v>15</v>
      </c>
      <c r="F19" s="268"/>
      <c r="G19" s="268">
        <f t="shared" si="3"/>
        <v>8</v>
      </c>
      <c r="H19" s="268">
        <v>1</v>
      </c>
      <c r="I19" s="268">
        <v>2</v>
      </c>
      <c r="J19" s="268">
        <v>5</v>
      </c>
      <c r="K19" s="268">
        <v>0</v>
      </c>
      <c r="L19" s="268">
        <v>1</v>
      </c>
      <c r="M19" s="268">
        <v>0</v>
      </c>
      <c r="N19" s="268">
        <v>0</v>
      </c>
    </row>
    <row r="20" spans="1:14" s="263" customFormat="1" ht="9" customHeight="1" x14ac:dyDescent="0.25">
      <c r="A20" s="263" t="s">
        <v>27</v>
      </c>
      <c r="B20" s="266">
        <f t="shared" si="1"/>
        <v>81</v>
      </c>
      <c r="C20" s="266"/>
      <c r="D20" s="266">
        <f t="shared" si="2"/>
        <v>78</v>
      </c>
      <c r="E20" s="266">
        <v>41</v>
      </c>
      <c r="F20" s="266"/>
      <c r="G20" s="266">
        <f t="shared" si="3"/>
        <v>29</v>
      </c>
      <c r="H20" s="266">
        <v>2</v>
      </c>
      <c r="I20" s="266">
        <v>4</v>
      </c>
      <c r="J20" s="266">
        <v>23</v>
      </c>
      <c r="K20" s="266">
        <v>8</v>
      </c>
      <c r="L20" s="266">
        <v>0</v>
      </c>
      <c r="M20" s="266">
        <v>0</v>
      </c>
      <c r="N20" s="266">
        <v>3</v>
      </c>
    </row>
    <row r="21" spans="1:14" s="263" customFormat="1" ht="9" customHeight="1" x14ac:dyDescent="0.25">
      <c r="A21" s="263" t="s">
        <v>28</v>
      </c>
      <c r="B21" s="266">
        <f t="shared" si="1"/>
        <v>62</v>
      </c>
      <c r="C21" s="266"/>
      <c r="D21" s="266">
        <f t="shared" si="2"/>
        <v>62</v>
      </c>
      <c r="E21" s="266">
        <v>28</v>
      </c>
      <c r="F21" s="266"/>
      <c r="G21" s="266">
        <f t="shared" si="3"/>
        <v>33</v>
      </c>
      <c r="H21" s="266">
        <v>5</v>
      </c>
      <c r="I21" s="266">
        <v>6</v>
      </c>
      <c r="J21" s="266">
        <v>22</v>
      </c>
      <c r="K21" s="266">
        <v>0</v>
      </c>
      <c r="L21" s="266">
        <v>0</v>
      </c>
      <c r="M21" s="266">
        <v>1</v>
      </c>
      <c r="N21" s="266">
        <v>0</v>
      </c>
    </row>
    <row r="22" spans="1:14" s="263" customFormat="1" ht="9" customHeight="1" x14ac:dyDescent="0.25">
      <c r="A22" s="263" t="s">
        <v>29</v>
      </c>
      <c r="B22" s="266">
        <f t="shared" si="1"/>
        <v>194</v>
      </c>
      <c r="C22" s="266"/>
      <c r="D22" s="266">
        <f t="shared" si="2"/>
        <v>194</v>
      </c>
      <c r="E22" s="266">
        <v>112</v>
      </c>
      <c r="F22" s="266"/>
      <c r="G22" s="266">
        <f t="shared" si="3"/>
        <v>74</v>
      </c>
      <c r="H22" s="266">
        <v>17</v>
      </c>
      <c r="I22" s="266">
        <v>11</v>
      </c>
      <c r="J22" s="266">
        <v>46</v>
      </c>
      <c r="K22" s="266">
        <v>6</v>
      </c>
      <c r="L22" s="266">
        <v>1</v>
      </c>
      <c r="M22" s="266">
        <v>1</v>
      </c>
      <c r="N22" s="266">
        <v>0</v>
      </c>
    </row>
    <row r="23" spans="1:14" s="263" customFormat="1" ht="9" customHeight="1" x14ac:dyDescent="0.25">
      <c r="A23" s="267" t="s">
        <v>30</v>
      </c>
      <c r="B23" s="268">
        <f t="shared" si="1"/>
        <v>226</v>
      </c>
      <c r="C23" s="268"/>
      <c r="D23" s="268">
        <f t="shared" si="2"/>
        <v>206</v>
      </c>
      <c r="E23" s="268">
        <v>53</v>
      </c>
      <c r="F23" s="268"/>
      <c r="G23" s="268">
        <f t="shared" si="3"/>
        <v>128</v>
      </c>
      <c r="H23" s="268">
        <v>15</v>
      </c>
      <c r="I23" s="268">
        <v>10</v>
      </c>
      <c r="J23" s="268">
        <v>103</v>
      </c>
      <c r="K23" s="268">
        <v>7</v>
      </c>
      <c r="L23" s="268">
        <v>2</v>
      </c>
      <c r="M23" s="268">
        <v>16</v>
      </c>
      <c r="N23" s="268">
        <v>20</v>
      </c>
    </row>
    <row r="24" spans="1:14" s="263" customFormat="1" ht="9" customHeight="1" x14ac:dyDescent="0.25">
      <c r="A24" s="263" t="s">
        <v>63</v>
      </c>
      <c r="B24" s="266">
        <f t="shared" si="1"/>
        <v>2697</v>
      </c>
      <c r="C24" s="266"/>
      <c r="D24" s="266">
        <f t="shared" si="2"/>
        <v>2634</v>
      </c>
      <c r="E24" s="266">
        <v>490</v>
      </c>
      <c r="F24" s="266"/>
      <c r="G24" s="266">
        <f t="shared" si="3"/>
        <v>1372</v>
      </c>
      <c r="H24" s="266">
        <v>156</v>
      </c>
      <c r="I24" s="266">
        <v>183</v>
      </c>
      <c r="J24" s="266">
        <v>1033</v>
      </c>
      <c r="K24" s="266">
        <v>185</v>
      </c>
      <c r="L24" s="266">
        <v>526</v>
      </c>
      <c r="M24" s="266">
        <v>61</v>
      </c>
      <c r="N24" s="266">
        <v>63</v>
      </c>
    </row>
    <row r="25" spans="1:14" s="263" customFormat="1" ht="9" customHeight="1" x14ac:dyDescent="0.25">
      <c r="A25" s="263" t="s">
        <v>31</v>
      </c>
      <c r="B25" s="266">
        <f t="shared" si="1"/>
        <v>46</v>
      </c>
      <c r="C25" s="266"/>
      <c r="D25" s="266">
        <f t="shared" si="2"/>
        <v>46</v>
      </c>
      <c r="E25" s="266">
        <v>32</v>
      </c>
      <c r="F25" s="266"/>
      <c r="G25" s="266">
        <f t="shared" si="3"/>
        <v>9</v>
      </c>
      <c r="H25" s="266">
        <v>4</v>
      </c>
      <c r="I25" s="266">
        <v>0</v>
      </c>
      <c r="J25" s="266">
        <v>5</v>
      </c>
      <c r="K25" s="266">
        <v>3</v>
      </c>
      <c r="L25" s="266">
        <v>2</v>
      </c>
      <c r="M25" s="266">
        <v>0</v>
      </c>
      <c r="N25" s="266">
        <v>0</v>
      </c>
    </row>
    <row r="26" spans="1:14" s="263" customFormat="1" ht="9" customHeight="1" x14ac:dyDescent="0.25">
      <c r="A26" s="263" t="s">
        <v>32</v>
      </c>
      <c r="B26" s="266">
        <f t="shared" si="1"/>
        <v>543</v>
      </c>
      <c r="C26" s="266"/>
      <c r="D26" s="266">
        <f t="shared" si="2"/>
        <v>528</v>
      </c>
      <c r="E26" s="266">
        <v>205</v>
      </c>
      <c r="F26" s="266"/>
      <c r="G26" s="266">
        <f t="shared" si="3"/>
        <v>290</v>
      </c>
      <c r="H26" s="266">
        <v>54</v>
      </c>
      <c r="I26" s="266">
        <v>53</v>
      </c>
      <c r="J26" s="266">
        <v>183</v>
      </c>
      <c r="K26" s="266">
        <v>9</v>
      </c>
      <c r="L26" s="266">
        <v>12</v>
      </c>
      <c r="M26" s="266">
        <v>12</v>
      </c>
      <c r="N26" s="266">
        <v>15</v>
      </c>
    </row>
    <row r="27" spans="1:14" s="263" customFormat="1" ht="9" customHeight="1" x14ac:dyDescent="0.25">
      <c r="A27" s="267" t="s">
        <v>33</v>
      </c>
      <c r="B27" s="268">
        <f t="shared" si="1"/>
        <v>343</v>
      </c>
      <c r="C27" s="268"/>
      <c r="D27" s="268">
        <f t="shared" si="2"/>
        <v>340</v>
      </c>
      <c r="E27" s="268">
        <v>125</v>
      </c>
      <c r="F27" s="268"/>
      <c r="G27" s="268">
        <f t="shared" si="3"/>
        <v>206</v>
      </c>
      <c r="H27" s="268">
        <v>37</v>
      </c>
      <c r="I27" s="268">
        <v>39</v>
      </c>
      <c r="J27" s="268">
        <v>130</v>
      </c>
      <c r="K27" s="268">
        <v>0</v>
      </c>
      <c r="L27" s="268">
        <v>0</v>
      </c>
      <c r="M27" s="268">
        <v>9</v>
      </c>
      <c r="N27" s="268">
        <v>3</v>
      </c>
    </row>
    <row r="28" spans="1:14" s="263" customFormat="1" ht="9" customHeight="1" x14ac:dyDescent="0.25">
      <c r="A28" s="263" t="s">
        <v>34</v>
      </c>
      <c r="B28" s="266">
        <f t="shared" si="1"/>
        <v>189</v>
      </c>
      <c r="C28" s="266"/>
      <c r="D28" s="266">
        <f t="shared" si="2"/>
        <v>188</v>
      </c>
      <c r="E28" s="266">
        <v>88</v>
      </c>
      <c r="F28" s="266"/>
      <c r="G28" s="266">
        <f t="shared" si="3"/>
        <v>98</v>
      </c>
      <c r="H28" s="266">
        <v>20</v>
      </c>
      <c r="I28" s="266">
        <v>17</v>
      </c>
      <c r="J28" s="266">
        <v>61</v>
      </c>
      <c r="K28" s="266">
        <v>0</v>
      </c>
      <c r="L28" s="266">
        <v>0</v>
      </c>
      <c r="M28" s="266">
        <v>2</v>
      </c>
      <c r="N28" s="266">
        <v>1</v>
      </c>
    </row>
    <row r="29" spans="1:14" s="263" customFormat="1" ht="9" customHeight="1" x14ac:dyDescent="0.25">
      <c r="A29" s="263" t="s">
        <v>35</v>
      </c>
      <c r="B29" s="266">
        <f t="shared" si="1"/>
        <v>619</v>
      </c>
      <c r="C29" s="266"/>
      <c r="D29" s="266">
        <f t="shared" si="2"/>
        <v>603</v>
      </c>
      <c r="E29" s="266">
        <v>184</v>
      </c>
      <c r="F29" s="266"/>
      <c r="G29" s="266">
        <f t="shared" si="3"/>
        <v>297</v>
      </c>
      <c r="H29" s="266">
        <v>49</v>
      </c>
      <c r="I29" s="266">
        <v>40</v>
      </c>
      <c r="J29" s="266">
        <v>208</v>
      </c>
      <c r="K29" s="266">
        <v>21</v>
      </c>
      <c r="L29" s="266">
        <v>97</v>
      </c>
      <c r="M29" s="266">
        <v>4</v>
      </c>
      <c r="N29" s="266">
        <v>16</v>
      </c>
    </row>
    <row r="30" spans="1:14" s="263" customFormat="1" ht="9" customHeight="1" x14ac:dyDescent="0.25">
      <c r="A30" s="263" t="s">
        <v>36</v>
      </c>
      <c r="B30" s="266">
        <f t="shared" si="1"/>
        <v>1816</v>
      </c>
      <c r="C30" s="266"/>
      <c r="D30" s="266">
        <f t="shared" si="2"/>
        <v>1772</v>
      </c>
      <c r="E30" s="266">
        <v>1008</v>
      </c>
      <c r="F30" s="266"/>
      <c r="G30" s="266">
        <f t="shared" si="3"/>
        <v>702</v>
      </c>
      <c r="H30" s="266">
        <v>151</v>
      </c>
      <c r="I30" s="266">
        <v>113</v>
      </c>
      <c r="J30" s="266">
        <v>438</v>
      </c>
      <c r="K30" s="266">
        <v>18</v>
      </c>
      <c r="L30" s="266">
        <v>5</v>
      </c>
      <c r="M30" s="266">
        <v>39</v>
      </c>
      <c r="N30" s="266">
        <v>44</v>
      </c>
    </row>
    <row r="31" spans="1:14" s="263" customFormat="1" ht="9" customHeight="1" x14ac:dyDescent="0.25">
      <c r="A31" s="267" t="s">
        <v>37</v>
      </c>
      <c r="B31" s="268">
        <f t="shared" si="1"/>
        <v>625</v>
      </c>
      <c r="C31" s="268"/>
      <c r="D31" s="268">
        <f t="shared" si="2"/>
        <v>622</v>
      </c>
      <c r="E31" s="268">
        <v>223</v>
      </c>
      <c r="F31" s="268"/>
      <c r="G31" s="268">
        <f t="shared" si="3"/>
        <v>330</v>
      </c>
      <c r="H31" s="268">
        <v>60</v>
      </c>
      <c r="I31" s="268">
        <v>48</v>
      </c>
      <c r="J31" s="268">
        <v>222</v>
      </c>
      <c r="K31" s="268">
        <v>30</v>
      </c>
      <c r="L31" s="268">
        <v>33</v>
      </c>
      <c r="M31" s="268">
        <v>6</v>
      </c>
      <c r="N31" s="268">
        <v>3</v>
      </c>
    </row>
    <row r="32" spans="1:14" s="263" customFormat="1" ht="9" customHeight="1" x14ac:dyDescent="0.25">
      <c r="A32" s="263" t="s">
        <v>38</v>
      </c>
      <c r="B32" s="266">
        <f t="shared" si="1"/>
        <v>179</v>
      </c>
      <c r="C32" s="266"/>
      <c r="D32" s="266">
        <f t="shared" si="2"/>
        <v>177</v>
      </c>
      <c r="E32" s="266">
        <v>104</v>
      </c>
      <c r="F32" s="266"/>
      <c r="G32" s="266">
        <f t="shared" si="3"/>
        <v>70</v>
      </c>
      <c r="H32" s="266">
        <v>21</v>
      </c>
      <c r="I32" s="266">
        <v>8</v>
      </c>
      <c r="J32" s="266">
        <v>41</v>
      </c>
      <c r="K32" s="266">
        <v>1</v>
      </c>
      <c r="L32" s="266">
        <v>0</v>
      </c>
      <c r="M32" s="266">
        <v>2</v>
      </c>
      <c r="N32" s="266">
        <v>2</v>
      </c>
    </row>
    <row r="33" spans="1:14" s="263" customFormat="1" ht="9" customHeight="1" x14ac:dyDescent="0.25">
      <c r="A33" s="263" t="s">
        <v>39</v>
      </c>
      <c r="B33" s="266">
        <f t="shared" si="1"/>
        <v>57</v>
      </c>
      <c r="C33" s="266"/>
      <c r="D33" s="266">
        <f t="shared" si="2"/>
        <v>57</v>
      </c>
      <c r="E33" s="266">
        <v>34</v>
      </c>
      <c r="F33" s="266"/>
      <c r="G33" s="266">
        <f t="shared" si="3"/>
        <v>23</v>
      </c>
      <c r="H33" s="266">
        <v>4</v>
      </c>
      <c r="I33" s="266">
        <v>1</v>
      </c>
      <c r="J33" s="266">
        <v>18</v>
      </c>
      <c r="K33" s="266">
        <v>0</v>
      </c>
      <c r="L33" s="266">
        <v>0</v>
      </c>
      <c r="M33" s="266">
        <v>0</v>
      </c>
      <c r="N33" s="266">
        <v>0</v>
      </c>
    </row>
    <row r="34" spans="1:14" s="263" customFormat="1" ht="9" customHeight="1" x14ac:dyDescent="0.25">
      <c r="A34" s="263" t="s">
        <v>40</v>
      </c>
      <c r="B34" s="266">
        <f t="shared" si="1"/>
        <v>528</v>
      </c>
      <c r="C34" s="266"/>
      <c r="D34" s="266">
        <f t="shared" si="2"/>
        <v>480</v>
      </c>
      <c r="E34" s="266">
        <v>146</v>
      </c>
      <c r="F34" s="266"/>
      <c r="G34" s="266">
        <f t="shared" si="3"/>
        <v>251</v>
      </c>
      <c r="H34" s="266">
        <v>28</v>
      </c>
      <c r="I34" s="266">
        <v>36</v>
      </c>
      <c r="J34" s="266">
        <v>187</v>
      </c>
      <c r="K34" s="266">
        <v>0</v>
      </c>
      <c r="L34" s="266">
        <v>63</v>
      </c>
      <c r="M34" s="266">
        <v>20</v>
      </c>
      <c r="N34" s="266">
        <v>48</v>
      </c>
    </row>
    <row r="35" spans="1:14" s="263" customFormat="1" ht="9" customHeight="1" x14ac:dyDescent="0.25">
      <c r="A35" s="267" t="s">
        <v>41</v>
      </c>
      <c r="B35" s="268">
        <f t="shared" si="1"/>
        <v>164</v>
      </c>
      <c r="C35" s="268"/>
      <c r="D35" s="268">
        <f t="shared" si="2"/>
        <v>157</v>
      </c>
      <c r="E35" s="268">
        <v>82</v>
      </c>
      <c r="F35" s="268"/>
      <c r="G35" s="268">
        <f t="shared" si="3"/>
        <v>67</v>
      </c>
      <c r="H35" s="268">
        <v>16</v>
      </c>
      <c r="I35" s="268">
        <v>9</v>
      </c>
      <c r="J35" s="268">
        <v>42</v>
      </c>
      <c r="K35" s="268">
        <v>0</v>
      </c>
      <c r="L35" s="268">
        <v>0</v>
      </c>
      <c r="M35" s="268">
        <v>8</v>
      </c>
      <c r="N35" s="268">
        <v>7</v>
      </c>
    </row>
    <row r="36" spans="1:14" s="263" customFormat="1" ht="9" customHeight="1" x14ac:dyDescent="0.25">
      <c r="A36" s="263" t="s">
        <v>42</v>
      </c>
      <c r="B36" s="266">
        <f t="shared" si="1"/>
        <v>464</v>
      </c>
      <c r="C36" s="266"/>
      <c r="D36" s="266">
        <f t="shared" si="2"/>
        <v>433</v>
      </c>
      <c r="E36" s="266">
        <v>189</v>
      </c>
      <c r="F36" s="266"/>
      <c r="G36" s="266">
        <f t="shared" si="3"/>
        <v>208</v>
      </c>
      <c r="H36" s="266">
        <v>38</v>
      </c>
      <c r="I36" s="266">
        <v>32</v>
      </c>
      <c r="J36" s="266">
        <v>138</v>
      </c>
      <c r="K36" s="266">
        <v>18</v>
      </c>
      <c r="L36" s="266">
        <v>9</v>
      </c>
      <c r="M36" s="266">
        <v>9</v>
      </c>
      <c r="N36" s="266">
        <v>31</v>
      </c>
    </row>
    <row r="37" spans="1:14" s="263" customFormat="1" ht="9" customHeight="1" x14ac:dyDescent="0.25">
      <c r="A37" s="263" t="s">
        <v>43</v>
      </c>
      <c r="B37" s="266">
        <f t="shared" si="1"/>
        <v>149</v>
      </c>
      <c r="C37" s="266"/>
      <c r="D37" s="266">
        <f t="shared" si="2"/>
        <v>149</v>
      </c>
      <c r="E37" s="266">
        <v>49</v>
      </c>
      <c r="F37" s="266"/>
      <c r="G37" s="266">
        <f t="shared" si="3"/>
        <v>91</v>
      </c>
      <c r="H37" s="266">
        <v>18</v>
      </c>
      <c r="I37" s="266">
        <v>15</v>
      </c>
      <c r="J37" s="266">
        <v>58</v>
      </c>
      <c r="K37" s="266">
        <v>0</v>
      </c>
      <c r="L37" s="266">
        <v>0</v>
      </c>
      <c r="M37" s="266">
        <v>9</v>
      </c>
      <c r="N37" s="266">
        <v>0</v>
      </c>
    </row>
    <row r="38" spans="1:14" s="263" customFormat="1" ht="9" customHeight="1" x14ac:dyDescent="0.25">
      <c r="A38" s="263" t="s">
        <v>44</v>
      </c>
      <c r="B38" s="266">
        <f t="shared" si="1"/>
        <v>109</v>
      </c>
      <c r="C38" s="266"/>
      <c r="D38" s="266">
        <f t="shared" si="2"/>
        <v>105</v>
      </c>
      <c r="E38" s="266">
        <v>41</v>
      </c>
      <c r="F38" s="266"/>
      <c r="G38" s="266">
        <f t="shared" si="3"/>
        <v>57</v>
      </c>
      <c r="H38" s="266">
        <v>15</v>
      </c>
      <c r="I38" s="266">
        <v>9</v>
      </c>
      <c r="J38" s="266">
        <v>33</v>
      </c>
      <c r="K38" s="266">
        <v>0</v>
      </c>
      <c r="L38" s="266">
        <v>0</v>
      </c>
      <c r="M38" s="266">
        <v>7</v>
      </c>
      <c r="N38" s="266">
        <v>4</v>
      </c>
    </row>
    <row r="39" spans="1:14" s="263" customFormat="1" ht="9" customHeight="1" x14ac:dyDescent="0.25">
      <c r="A39" s="267" t="s">
        <v>45</v>
      </c>
      <c r="B39" s="268">
        <f t="shared" si="1"/>
        <v>98</v>
      </c>
      <c r="C39" s="268"/>
      <c r="D39" s="268">
        <f t="shared" si="2"/>
        <v>96</v>
      </c>
      <c r="E39" s="268">
        <v>32</v>
      </c>
      <c r="F39" s="268"/>
      <c r="G39" s="268">
        <f t="shared" si="3"/>
        <v>63</v>
      </c>
      <c r="H39" s="268">
        <v>13</v>
      </c>
      <c r="I39" s="268">
        <v>14</v>
      </c>
      <c r="J39" s="268">
        <v>36</v>
      </c>
      <c r="K39" s="268">
        <v>0</v>
      </c>
      <c r="L39" s="268">
        <v>0</v>
      </c>
      <c r="M39" s="268">
        <v>1</v>
      </c>
      <c r="N39" s="268">
        <v>2</v>
      </c>
    </row>
    <row r="40" spans="1:14" s="263" customFormat="1" ht="9" customHeight="1" x14ac:dyDescent="0.25">
      <c r="A40" s="263" t="s">
        <v>46</v>
      </c>
      <c r="B40" s="266">
        <f t="shared" si="1"/>
        <v>179</v>
      </c>
      <c r="C40" s="266"/>
      <c r="D40" s="266">
        <f t="shared" si="2"/>
        <v>175</v>
      </c>
      <c r="E40" s="266">
        <v>66</v>
      </c>
      <c r="F40" s="266"/>
      <c r="G40" s="266">
        <f t="shared" si="3"/>
        <v>109</v>
      </c>
      <c r="H40" s="266">
        <v>20</v>
      </c>
      <c r="I40" s="266">
        <v>19</v>
      </c>
      <c r="J40" s="266">
        <v>70</v>
      </c>
      <c r="K40" s="266">
        <v>0</v>
      </c>
      <c r="L40" s="266">
        <v>0</v>
      </c>
      <c r="M40" s="266">
        <v>0</v>
      </c>
      <c r="N40" s="266">
        <v>4</v>
      </c>
    </row>
    <row r="41" spans="1:14" s="263" customFormat="1" ht="9" customHeight="1" x14ac:dyDescent="0.25">
      <c r="A41" s="263" t="s">
        <v>47</v>
      </c>
      <c r="B41" s="266">
        <f t="shared" si="1"/>
        <v>202</v>
      </c>
      <c r="C41" s="266"/>
      <c r="D41" s="266">
        <f t="shared" si="2"/>
        <v>200</v>
      </c>
      <c r="E41" s="266">
        <v>62</v>
      </c>
      <c r="F41" s="266"/>
      <c r="G41" s="266">
        <f t="shared" si="3"/>
        <v>131</v>
      </c>
      <c r="H41" s="266">
        <v>22</v>
      </c>
      <c r="I41" s="266">
        <v>18</v>
      </c>
      <c r="J41" s="266">
        <v>91</v>
      </c>
      <c r="K41" s="266">
        <v>1</v>
      </c>
      <c r="L41" s="266">
        <v>0</v>
      </c>
      <c r="M41" s="266">
        <v>6</v>
      </c>
      <c r="N41" s="266">
        <v>2</v>
      </c>
    </row>
    <row r="42" spans="1:14" s="263" customFormat="1" ht="9" customHeight="1" x14ac:dyDescent="0.25">
      <c r="A42" s="263" t="s">
        <v>48</v>
      </c>
      <c r="B42" s="266">
        <f t="shared" si="1"/>
        <v>120</v>
      </c>
      <c r="C42" s="266"/>
      <c r="D42" s="266">
        <f t="shared" si="2"/>
        <v>117</v>
      </c>
      <c r="E42" s="266">
        <v>49</v>
      </c>
      <c r="F42" s="266"/>
      <c r="G42" s="266">
        <f t="shared" si="3"/>
        <v>65</v>
      </c>
      <c r="H42" s="266">
        <v>13</v>
      </c>
      <c r="I42" s="266">
        <v>14</v>
      </c>
      <c r="J42" s="266">
        <v>38</v>
      </c>
      <c r="K42" s="266">
        <v>0</v>
      </c>
      <c r="L42" s="266">
        <v>0</v>
      </c>
      <c r="M42" s="266">
        <v>3</v>
      </c>
      <c r="N42" s="266">
        <v>3</v>
      </c>
    </row>
    <row r="43" spans="1:14" s="263" customFormat="1" ht="9" customHeight="1" x14ac:dyDescent="0.25">
      <c r="A43" s="267" t="s">
        <v>49</v>
      </c>
      <c r="B43" s="268">
        <f t="shared" si="1"/>
        <v>264</v>
      </c>
      <c r="C43" s="268"/>
      <c r="D43" s="268">
        <f t="shared" si="2"/>
        <v>260</v>
      </c>
      <c r="E43" s="268">
        <v>110</v>
      </c>
      <c r="F43" s="268"/>
      <c r="G43" s="268">
        <f t="shared" si="3"/>
        <v>138</v>
      </c>
      <c r="H43" s="268">
        <v>25</v>
      </c>
      <c r="I43" s="268">
        <v>24</v>
      </c>
      <c r="J43" s="268">
        <v>89</v>
      </c>
      <c r="K43" s="268">
        <v>4</v>
      </c>
      <c r="L43" s="268">
        <v>0</v>
      </c>
      <c r="M43" s="268">
        <v>8</v>
      </c>
      <c r="N43" s="268">
        <v>4</v>
      </c>
    </row>
    <row r="44" spans="1:14" s="263" customFormat="1" ht="9" customHeight="1" x14ac:dyDescent="0.25">
      <c r="A44" s="263" t="s">
        <v>50</v>
      </c>
      <c r="B44" s="266">
        <f t="shared" si="1"/>
        <v>87</v>
      </c>
      <c r="C44" s="266"/>
      <c r="D44" s="266">
        <f t="shared" si="2"/>
        <v>87</v>
      </c>
      <c r="E44" s="266">
        <v>60</v>
      </c>
      <c r="F44" s="266"/>
      <c r="G44" s="266">
        <f t="shared" si="3"/>
        <v>24</v>
      </c>
      <c r="H44" s="266">
        <v>6</v>
      </c>
      <c r="I44" s="266">
        <v>4</v>
      </c>
      <c r="J44" s="266">
        <v>14</v>
      </c>
      <c r="K44" s="266">
        <v>2</v>
      </c>
      <c r="L44" s="266">
        <v>0</v>
      </c>
      <c r="M44" s="266">
        <v>1</v>
      </c>
      <c r="N44" s="266">
        <v>0</v>
      </c>
    </row>
    <row r="45" spans="1:14" s="263" customFormat="1" ht="9" customHeight="1" x14ac:dyDescent="0.25">
      <c r="A45" s="263" t="s">
        <v>51</v>
      </c>
      <c r="B45" s="266">
        <f t="shared" si="1"/>
        <v>411</v>
      </c>
      <c r="C45" s="266"/>
      <c r="D45" s="266">
        <f t="shared" si="2"/>
        <v>406</v>
      </c>
      <c r="E45" s="266">
        <v>198</v>
      </c>
      <c r="F45" s="266"/>
      <c r="G45" s="266">
        <f t="shared" si="3"/>
        <v>200</v>
      </c>
      <c r="H45" s="266">
        <v>46</v>
      </c>
      <c r="I45" s="266">
        <v>17</v>
      </c>
      <c r="J45" s="266">
        <v>137</v>
      </c>
      <c r="K45" s="266">
        <v>0</v>
      </c>
      <c r="L45" s="266">
        <v>0</v>
      </c>
      <c r="M45" s="266">
        <v>8</v>
      </c>
      <c r="N45" s="266">
        <v>5</v>
      </c>
    </row>
    <row r="46" spans="1:14" s="263" customFormat="1" ht="9" customHeight="1" x14ac:dyDescent="0.25">
      <c r="A46" s="263" t="s">
        <v>52</v>
      </c>
      <c r="B46" s="266">
        <f t="shared" si="1"/>
        <v>186</v>
      </c>
      <c r="C46" s="266"/>
      <c r="D46" s="266">
        <f t="shared" si="2"/>
        <v>185</v>
      </c>
      <c r="E46" s="266">
        <v>48</v>
      </c>
      <c r="F46" s="266"/>
      <c r="G46" s="266">
        <f t="shared" si="3"/>
        <v>127</v>
      </c>
      <c r="H46" s="266">
        <v>32</v>
      </c>
      <c r="I46" s="266">
        <v>18</v>
      </c>
      <c r="J46" s="266">
        <v>77</v>
      </c>
      <c r="K46" s="266">
        <v>5</v>
      </c>
      <c r="L46" s="266">
        <v>0</v>
      </c>
      <c r="M46" s="266">
        <v>5</v>
      </c>
      <c r="N46" s="266">
        <v>1</v>
      </c>
    </row>
    <row r="47" spans="1:14" s="263" customFormat="1" ht="9" customHeight="1" x14ac:dyDescent="0.25">
      <c r="A47" s="267" t="s">
        <v>53</v>
      </c>
      <c r="B47" s="268">
        <f t="shared" si="1"/>
        <v>227</v>
      </c>
      <c r="C47" s="268"/>
      <c r="D47" s="268">
        <f t="shared" si="2"/>
        <v>221</v>
      </c>
      <c r="E47" s="268">
        <v>44</v>
      </c>
      <c r="F47" s="268"/>
      <c r="G47" s="268">
        <f t="shared" si="3"/>
        <v>161</v>
      </c>
      <c r="H47" s="268">
        <v>38</v>
      </c>
      <c r="I47" s="268">
        <v>21</v>
      </c>
      <c r="J47" s="268">
        <v>102</v>
      </c>
      <c r="K47" s="268">
        <v>4</v>
      </c>
      <c r="L47" s="268">
        <v>0</v>
      </c>
      <c r="M47" s="268">
        <v>12</v>
      </c>
      <c r="N47" s="268">
        <v>6</v>
      </c>
    </row>
    <row r="48" spans="1:14" ht="9" customHeight="1" x14ac:dyDescent="0.25">
      <c r="B48" s="259"/>
      <c r="C48" s="259"/>
      <c r="D48" s="259"/>
      <c r="E48" s="259"/>
      <c r="F48" s="259"/>
      <c r="G48" s="259"/>
      <c r="H48" s="259"/>
      <c r="I48" s="259"/>
      <c r="J48" s="259"/>
      <c r="K48" s="259"/>
      <c r="L48" s="259"/>
    </row>
    <row r="49" spans="1:14" ht="9" customHeight="1" x14ac:dyDescent="0.25">
      <c r="A49" s="601">
        <v>2002</v>
      </c>
      <c r="B49" s="259"/>
      <c r="C49" s="259"/>
      <c r="D49" s="259"/>
      <c r="E49" s="259"/>
      <c r="F49" s="259"/>
      <c r="G49" s="259"/>
      <c r="H49" s="259"/>
      <c r="I49" s="259"/>
      <c r="J49" s="259"/>
      <c r="K49" s="259"/>
      <c r="L49" s="259"/>
    </row>
    <row r="50" spans="1:14" s="265" customFormat="1" ht="9" customHeight="1" x14ac:dyDescent="0.25">
      <c r="A50" s="265" t="s">
        <v>21</v>
      </c>
      <c r="B50" s="262">
        <f>SUM(B52:B83)</f>
        <v>11694</v>
      </c>
      <c r="C50" s="262"/>
      <c r="D50" s="262">
        <f>SUM(D52:D83)</f>
        <v>11364</v>
      </c>
      <c r="E50" s="262">
        <f>SUM(E52:E83)</f>
        <v>3901</v>
      </c>
      <c r="F50" s="262"/>
      <c r="G50" s="262">
        <f t="shared" ref="G50:M50" si="4">SUM(G52:G83)</f>
        <v>5409</v>
      </c>
      <c r="H50" s="262">
        <f t="shared" si="4"/>
        <v>932</v>
      </c>
      <c r="I50" s="262">
        <f t="shared" si="4"/>
        <v>798</v>
      </c>
      <c r="J50" s="262">
        <f t="shared" si="4"/>
        <v>3679</v>
      </c>
      <c r="K50" s="262">
        <f t="shared" si="4"/>
        <v>998</v>
      </c>
      <c r="L50" s="262">
        <f t="shared" si="4"/>
        <v>832</v>
      </c>
      <c r="M50" s="262">
        <f t="shared" si="4"/>
        <v>224</v>
      </c>
      <c r="N50" s="262">
        <f>SUM(N52:N83)</f>
        <v>330</v>
      </c>
    </row>
    <row r="51" spans="1:14" s="265" customFormat="1" ht="3" customHeight="1" x14ac:dyDescent="0.25">
      <c r="B51" s="262"/>
      <c r="C51" s="262"/>
      <c r="D51" s="262"/>
      <c r="E51" s="262"/>
      <c r="F51" s="262"/>
      <c r="G51" s="262"/>
      <c r="H51" s="262"/>
      <c r="I51" s="262"/>
      <c r="J51" s="262"/>
      <c r="K51" s="262"/>
      <c r="L51" s="262"/>
      <c r="M51" s="262"/>
      <c r="N51" s="262"/>
    </row>
    <row r="52" spans="1:14" s="263" customFormat="1" ht="9" customHeight="1" x14ac:dyDescent="0.25">
      <c r="A52" s="263" t="s">
        <v>23</v>
      </c>
      <c r="B52" s="266">
        <f>SUM(D52+N52)</f>
        <v>84</v>
      </c>
      <c r="C52" s="266"/>
      <c r="D52" s="266">
        <f>SUM(E52+G52+K52+L52+M52)</f>
        <v>83</v>
      </c>
      <c r="E52" s="266">
        <v>23</v>
      </c>
      <c r="F52" s="266"/>
      <c r="G52" s="266">
        <f>SUM(H52:J52)</f>
        <v>46</v>
      </c>
      <c r="H52" s="266">
        <v>7</v>
      </c>
      <c r="I52" s="266">
        <v>7</v>
      </c>
      <c r="J52" s="266">
        <v>32</v>
      </c>
      <c r="K52" s="266">
        <v>11</v>
      </c>
      <c r="L52" s="266">
        <v>1</v>
      </c>
      <c r="M52" s="266">
        <v>2</v>
      </c>
      <c r="N52" s="266">
        <v>1</v>
      </c>
    </row>
    <row r="53" spans="1:14" s="263" customFormat="1" ht="9" customHeight="1" x14ac:dyDescent="0.25">
      <c r="A53" s="263" t="s">
        <v>24</v>
      </c>
      <c r="B53" s="266">
        <f>SUM(D53+N53)</f>
        <v>296</v>
      </c>
      <c r="C53" s="266"/>
      <c r="D53" s="266">
        <f>SUM(E53+G53+K53+L53+M53)</f>
        <v>295</v>
      </c>
      <c r="E53" s="266">
        <v>186</v>
      </c>
      <c r="F53" s="266"/>
      <c r="G53" s="266">
        <f>SUM(H53:J53)</f>
        <v>104</v>
      </c>
      <c r="H53" s="266">
        <v>17</v>
      </c>
      <c r="I53" s="266">
        <v>16</v>
      </c>
      <c r="J53" s="266">
        <v>71</v>
      </c>
      <c r="K53" s="266">
        <v>0</v>
      </c>
      <c r="L53" s="266">
        <v>0</v>
      </c>
      <c r="M53" s="266">
        <v>5</v>
      </c>
      <c r="N53" s="266">
        <v>1</v>
      </c>
    </row>
    <row r="54" spans="1:14" s="263" customFormat="1" ht="9" customHeight="1" x14ac:dyDescent="0.25">
      <c r="A54" s="263" t="s">
        <v>25</v>
      </c>
      <c r="B54" s="266">
        <f t="shared" ref="B54:B83" si="5">SUM(D54+N54)</f>
        <v>21</v>
      </c>
      <c r="C54" s="266"/>
      <c r="D54" s="266">
        <f t="shared" ref="D54:D83" si="6">SUM(E54+G54+K54+L54+M54)</f>
        <v>21</v>
      </c>
      <c r="E54" s="266">
        <v>12</v>
      </c>
      <c r="F54" s="266"/>
      <c r="G54" s="266">
        <f t="shared" ref="G54:G83" si="7">SUM(H54:J54)</f>
        <v>9</v>
      </c>
      <c r="H54" s="266">
        <v>1</v>
      </c>
      <c r="I54" s="266">
        <v>1</v>
      </c>
      <c r="J54" s="266">
        <v>7</v>
      </c>
      <c r="K54" s="266">
        <v>0</v>
      </c>
      <c r="L54" s="266">
        <v>0</v>
      </c>
      <c r="M54" s="266">
        <v>0</v>
      </c>
      <c r="N54" s="266">
        <v>0</v>
      </c>
    </row>
    <row r="55" spans="1:14" s="263" customFormat="1" ht="9" customHeight="1" x14ac:dyDescent="0.25">
      <c r="A55" s="267" t="s">
        <v>26</v>
      </c>
      <c r="B55" s="268">
        <f>SUM(D55+N55)</f>
        <v>19</v>
      </c>
      <c r="C55" s="268"/>
      <c r="D55" s="268">
        <f t="shared" si="6"/>
        <v>18</v>
      </c>
      <c r="E55" s="268">
        <v>16</v>
      </c>
      <c r="F55" s="268"/>
      <c r="G55" s="268">
        <f t="shared" si="7"/>
        <v>2</v>
      </c>
      <c r="H55" s="268">
        <v>1</v>
      </c>
      <c r="I55" s="268">
        <v>1</v>
      </c>
      <c r="J55" s="268">
        <v>0</v>
      </c>
      <c r="K55" s="268">
        <v>0</v>
      </c>
      <c r="L55" s="268">
        <v>0</v>
      </c>
      <c r="M55" s="268">
        <v>0</v>
      </c>
      <c r="N55" s="268">
        <v>1</v>
      </c>
    </row>
    <row r="56" spans="1:14" s="263" customFormat="1" ht="9" customHeight="1" x14ac:dyDescent="0.25">
      <c r="A56" s="263" t="s">
        <v>27</v>
      </c>
      <c r="B56" s="266">
        <f t="shared" si="5"/>
        <v>141</v>
      </c>
      <c r="C56" s="266"/>
      <c r="D56" s="266">
        <f t="shared" si="6"/>
        <v>136</v>
      </c>
      <c r="E56" s="266">
        <v>54</v>
      </c>
      <c r="F56" s="266"/>
      <c r="G56" s="266">
        <f t="shared" si="7"/>
        <v>76</v>
      </c>
      <c r="H56" s="266">
        <v>13</v>
      </c>
      <c r="I56" s="266">
        <v>17</v>
      </c>
      <c r="J56" s="266">
        <v>46</v>
      </c>
      <c r="K56" s="266">
        <v>0</v>
      </c>
      <c r="L56" s="266">
        <v>0</v>
      </c>
      <c r="M56" s="266">
        <v>6</v>
      </c>
      <c r="N56" s="266">
        <v>5</v>
      </c>
    </row>
    <row r="57" spans="1:14" s="263" customFormat="1" ht="9" customHeight="1" x14ac:dyDescent="0.25">
      <c r="A57" s="263" t="s">
        <v>28</v>
      </c>
      <c r="B57" s="266">
        <f t="shared" si="5"/>
        <v>22</v>
      </c>
      <c r="C57" s="266"/>
      <c r="D57" s="266">
        <f t="shared" si="6"/>
        <v>22</v>
      </c>
      <c r="E57" s="266">
        <v>16</v>
      </c>
      <c r="F57" s="266"/>
      <c r="G57" s="266">
        <f t="shared" si="7"/>
        <v>6</v>
      </c>
      <c r="H57" s="266">
        <v>1</v>
      </c>
      <c r="I57" s="266">
        <v>3</v>
      </c>
      <c r="J57" s="266">
        <v>2</v>
      </c>
      <c r="K57" s="266">
        <v>0</v>
      </c>
      <c r="L57" s="266">
        <v>0</v>
      </c>
      <c r="M57" s="266">
        <v>0</v>
      </c>
      <c r="N57" s="266">
        <v>0</v>
      </c>
    </row>
    <row r="58" spans="1:14" s="263" customFormat="1" ht="9" customHeight="1" x14ac:dyDescent="0.25">
      <c r="A58" s="263" t="s">
        <v>29</v>
      </c>
      <c r="B58" s="266">
        <f t="shared" si="5"/>
        <v>130</v>
      </c>
      <c r="C58" s="266"/>
      <c r="D58" s="266">
        <f t="shared" si="6"/>
        <v>128</v>
      </c>
      <c r="E58" s="266">
        <v>61</v>
      </c>
      <c r="F58" s="266"/>
      <c r="G58" s="266">
        <f t="shared" si="7"/>
        <v>67</v>
      </c>
      <c r="H58" s="266">
        <v>15</v>
      </c>
      <c r="I58" s="266">
        <v>7</v>
      </c>
      <c r="J58" s="266">
        <v>45</v>
      </c>
      <c r="K58" s="266">
        <v>0</v>
      </c>
      <c r="L58" s="266">
        <v>0</v>
      </c>
      <c r="M58" s="266">
        <v>0</v>
      </c>
      <c r="N58" s="266">
        <v>2</v>
      </c>
    </row>
    <row r="59" spans="1:14" s="263" customFormat="1" ht="9" customHeight="1" x14ac:dyDescent="0.25">
      <c r="A59" s="267" t="s">
        <v>30</v>
      </c>
      <c r="B59" s="268">
        <f t="shared" si="5"/>
        <v>285</v>
      </c>
      <c r="C59" s="268"/>
      <c r="D59" s="268">
        <f t="shared" si="6"/>
        <v>260</v>
      </c>
      <c r="E59" s="268">
        <v>82</v>
      </c>
      <c r="F59" s="268"/>
      <c r="G59" s="268">
        <f t="shared" si="7"/>
        <v>148</v>
      </c>
      <c r="H59" s="268">
        <v>22</v>
      </c>
      <c r="I59" s="268">
        <v>13</v>
      </c>
      <c r="J59" s="268">
        <v>113</v>
      </c>
      <c r="K59" s="268">
        <v>9</v>
      </c>
      <c r="L59" s="268">
        <v>20</v>
      </c>
      <c r="M59" s="268">
        <v>1</v>
      </c>
      <c r="N59" s="268">
        <v>25</v>
      </c>
    </row>
    <row r="60" spans="1:14" s="263" customFormat="1" ht="9" customHeight="1" x14ac:dyDescent="0.25">
      <c r="A60" s="263" t="s">
        <v>63</v>
      </c>
      <c r="B60" s="266">
        <f t="shared" si="5"/>
        <v>2681</v>
      </c>
      <c r="C60" s="266"/>
      <c r="D60" s="266">
        <f t="shared" si="6"/>
        <v>2598</v>
      </c>
      <c r="E60" s="266">
        <v>543</v>
      </c>
      <c r="F60" s="266"/>
      <c r="G60" s="266">
        <f t="shared" si="7"/>
        <v>1299</v>
      </c>
      <c r="H60" s="266">
        <v>163</v>
      </c>
      <c r="I60" s="266">
        <v>174</v>
      </c>
      <c r="J60" s="266">
        <v>962</v>
      </c>
      <c r="K60" s="266">
        <v>114</v>
      </c>
      <c r="L60" s="266">
        <v>584</v>
      </c>
      <c r="M60" s="266">
        <v>58</v>
      </c>
      <c r="N60" s="266">
        <v>83</v>
      </c>
    </row>
    <row r="61" spans="1:14" s="263" customFormat="1" ht="9" customHeight="1" x14ac:dyDescent="0.25">
      <c r="A61" s="263" t="s">
        <v>31</v>
      </c>
      <c r="B61" s="266">
        <f t="shared" si="5"/>
        <v>71</v>
      </c>
      <c r="C61" s="266"/>
      <c r="D61" s="266">
        <f t="shared" si="6"/>
        <v>71</v>
      </c>
      <c r="E61" s="266">
        <v>49</v>
      </c>
      <c r="F61" s="266"/>
      <c r="G61" s="266">
        <f t="shared" si="7"/>
        <v>17</v>
      </c>
      <c r="H61" s="266">
        <v>5</v>
      </c>
      <c r="I61" s="266">
        <v>2</v>
      </c>
      <c r="J61" s="266">
        <v>10</v>
      </c>
      <c r="K61" s="266">
        <v>0</v>
      </c>
      <c r="L61" s="266">
        <v>5</v>
      </c>
      <c r="M61" s="266">
        <v>0</v>
      </c>
      <c r="N61" s="266">
        <v>0</v>
      </c>
    </row>
    <row r="62" spans="1:14" s="263" customFormat="1" ht="9" customHeight="1" x14ac:dyDescent="0.25">
      <c r="A62" s="263" t="s">
        <v>32</v>
      </c>
      <c r="B62" s="266">
        <f t="shared" si="5"/>
        <v>528</v>
      </c>
      <c r="C62" s="266"/>
      <c r="D62" s="266">
        <f t="shared" si="6"/>
        <v>512</v>
      </c>
      <c r="E62" s="266">
        <v>215</v>
      </c>
      <c r="F62" s="266"/>
      <c r="G62" s="266">
        <f t="shared" si="7"/>
        <v>243</v>
      </c>
      <c r="H62" s="266">
        <v>44</v>
      </c>
      <c r="I62" s="266">
        <v>32</v>
      </c>
      <c r="J62" s="266">
        <v>167</v>
      </c>
      <c r="K62" s="266">
        <v>29</v>
      </c>
      <c r="L62" s="266">
        <v>11</v>
      </c>
      <c r="M62" s="266">
        <v>14</v>
      </c>
      <c r="N62" s="266">
        <v>16</v>
      </c>
    </row>
    <row r="63" spans="1:14" s="263" customFormat="1" ht="9" customHeight="1" x14ac:dyDescent="0.25">
      <c r="A63" s="267" t="s">
        <v>33</v>
      </c>
      <c r="B63" s="268">
        <f t="shared" si="5"/>
        <v>287</v>
      </c>
      <c r="C63" s="268"/>
      <c r="D63" s="268">
        <f t="shared" si="6"/>
        <v>286</v>
      </c>
      <c r="E63" s="268">
        <v>121</v>
      </c>
      <c r="F63" s="268"/>
      <c r="G63" s="268">
        <f t="shared" si="7"/>
        <v>158</v>
      </c>
      <c r="H63" s="268">
        <v>29</v>
      </c>
      <c r="I63" s="268">
        <v>29</v>
      </c>
      <c r="J63" s="268">
        <v>100</v>
      </c>
      <c r="K63" s="268">
        <v>1</v>
      </c>
      <c r="L63" s="268">
        <v>0</v>
      </c>
      <c r="M63" s="268">
        <v>6</v>
      </c>
      <c r="N63" s="268">
        <v>1</v>
      </c>
    </row>
    <row r="64" spans="1:14" s="263" customFormat="1" ht="9" customHeight="1" x14ac:dyDescent="0.25">
      <c r="A64" s="263" t="s">
        <v>34</v>
      </c>
      <c r="B64" s="266">
        <f t="shared" si="5"/>
        <v>191</v>
      </c>
      <c r="C64" s="266"/>
      <c r="D64" s="266">
        <f t="shared" si="6"/>
        <v>189</v>
      </c>
      <c r="E64" s="266">
        <v>88</v>
      </c>
      <c r="F64" s="266"/>
      <c r="G64" s="266">
        <f t="shared" si="7"/>
        <v>99</v>
      </c>
      <c r="H64" s="266">
        <v>25</v>
      </c>
      <c r="I64" s="266">
        <v>19</v>
      </c>
      <c r="J64" s="266">
        <v>55</v>
      </c>
      <c r="K64" s="266">
        <v>0</v>
      </c>
      <c r="L64" s="266">
        <v>0</v>
      </c>
      <c r="M64" s="266">
        <v>2</v>
      </c>
      <c r="N64" s="266">
        <v>2</v>
      </c>
    </row>
    <row r="65" spans="1:14" s="263" customFormat="1" ht="9" customHeight="1" x14ac:dyDescent="0.25">
      <c r="A65" s="263" t="s">
        <v>35</v>
      </c>
      <c r="B65" s="266">
        <f t="shared" si="5"/>
        <v>539</v>
      </c>
      <c r="C65" s="266"/>
      <c r="D65" s="266">
        <f t="shared" si="6"/>
        <v>529</v>
      </c>
      <c r="E65" s="266">
        <v>174</v>
      </c>
      <c r="F65" s="266"/>
      <c r="G65" s="266">
        <f t="shared" si="7"/>
        <v>226</v>
      </c>
      <c r="H65" s="266">
        <v>41</v>
      </c>
      <c r="I65" s="266">
        <v>31</v>
      </c>
      <c r="J65" s="266">
        <v>154</v>
      </c>
      <c r="K65" s="266">
        <v>30</v>
      </c>
      <c r="L65" s="266">
        <v>75</v>
      </c>
      <c r="M65" s="266">
        <v>24</v>
      </c>
      <c r="N65" s="266">
        <v>10</v>
      </c>
    </row>
    <row r="66" spans="1:14" s="263" customFormat="1" ht="9" customHeight="1" x14ac:dyDescent="0.25">
      <c r="A66" s="263" t="s">
        <v>36</v>
      </c>
      <c r="B66" s="266">
        <f t="shared" si="5"/>
        <v>1739</v>
      </c>
      <c r="C66" s="266"/>
      <c r="D66" s="266">
        <f t="shared" si="6"/>
        <v>1687</v>
      </c>
      <c r="E66" s="266">
        <v>811</v>
      </c>
      <c r="F66" s="266"/>
      <c r="G66" s="266">
        <f t="shared" si="7"/>
        <v>815</v>
      </c>
      <c r="H66" s="266">
        <v>165</v>
      </c>
      <c r="I66" s="266">
        <v>122</v>
      </c>
      <c r="J66" s="266">
        <v>528</v>
      </c>
      <c r="K66" s="266">
        <v>18</v>
      </c>
      <c r="L66" s="266">
        <v>8</v>
      </c>
      <c r="M66" s="266">
        <v>35</v>
      </c>
      <c r="N66" s="266">
        <v>52</v>
      </c>
    </row>
    <row r="67" spans="1:14" s="263" customFormat="1" ht="9" customHeight="1" x14ac:dyDescent="0.25">
      <c r="A67" s="267" t="s">
        <v>37</v>
      </c>
      <c r="B67" s="268">
        <f t="shared" si="5"/>
        <v>641</v>
      </c>
      <c r="C67" s="268"/>
      <c r="D67" s="268">
        <f t="shared" si="6"/>
        <v>636</v>
      </c>
      <c r="E67" s="268">
        <v>212</v>
      </c>
      <c r="F67" s="268"/>
      <c r="G67" s="268">
        <f t="shared" si="7"/>
        <v>346</v>
      </c>
      <c r="H67" s="268">
        <v>70</v>
      </c>
      <c r="I67" s="268">
        <v>51</v>
      </c>
      <c r="J67" s="268">
        <v>225</v>
      </c>
      <c r="K67" s="268">
        <v>23</v>
      </c>
      <c r="L67" s="268">
        <v>48</v>
      </c>
      <c r="M67" s="268">
        <v>7</v>
      </c>
      <c r="N67" s="268">
        <v>5</v>
      </c>
    </row>
    <row r="68" spans="1:14" s="263" customFormat="1" ht="9" customHeight="1" x14ac:dyDescent="0.25">
      <c r="A68" s="263" t="s">
        <v>38</v>
      </c>
      <c r="B68" s="266">
        <f t="shared" si="5"/>
        <v>166</v>
      </c>
      <c r="C68" s="266"/>
      <c r="D68" s="266">
        <f t="shared" si="6"/>
        <v>164</v>
      </c>
      <c r="E68" s="266">
        <v>91</v>
      </c>
      <c r="F68" s="266"/>
      <c r="G68" s="266">
        <f t="shared" si="7"/>
        <v>70</v>
      </c>
      <c r="H68" s="266">
        <v>19</v>
      </c>
      <c r="I68" s="266">
        <v>8</v>
      </c>
      <c r="J68" s="266">
        <v>43</v>
      </c>
      <c r="K68" s="266">
        <v>1</v>
      </c>
      <c r="L68" s="266">
        <v>0</v>
      </c>
      <c r="M68" s="266">
        <v>2</v>
      </c>
      <c r="N68" s="266">
        <v>2</v>
      </c>
    </row>
    <row r="69" spans="1:14" s="263" customFormat="1" ht="9" customHeight="1" x14ac:dyDescent="0.25">
      <c r="A69" s="263" t="s">
        <v>39</v>
      </c>
      <c r="B69" s="266">
        <f t="shared" si="5"/>
        <v>38</v>
      </c>
      <c r="C69" s="266"/>
      <c r="D69" s="266">
        <f t="shared" si="6"/>
        <v>37</v>
      </c>
      <c r="E69" s="266">
        <v>13</v>
      </c>
      <c r="F69" s="266"/>
      <c r="G69" s="266">
        <f t="shared" si="7"/>
        <v>23</v>
      </c>
      <c r="H69" s="266">
        <v>8</v>
      </c>
      <c r="I69" s="266">
        <v>4</v>
      </c>
      <c r="J69" s="266">
        <v>11</v>
      </c>
      <c r="K69" s="266">
        <v>0</v>
      </c>
      <c r="L69" s="266">
        <v>0</v>
      </c>
      <c r="M69" s="266">
        <v>1</v>
      </c>
      <c r="N69" s="266">
        <v>1</v>
      </c>
    </row>
    <row r="70" spans="1:14" s="263" customFormat="1" ht="9" customHeight="1" x14ac:dyDescent="0.25">
      <c r="A70" s="263" t="s">
        <v>40</v>
      </c>
      <c r="B70" s="266">
        <f t="shared" si="5"/>
        <v>478</v>
      </c>
      <c r="C70" s="266"/>
      <c r="D70" s="266">
        <f t="shared" si="6"/>
        <v>423</v>
      </c>
      <c r="E70" s="266">
        <v>115</v>
      </c>
      <c r="F70" s="266"/>
      <c r="G70" s="266">
        <f t="shared" si="7"/>
        <v>222</v>
      </c>
      <c r="H70" s="266">
        <v>32</v>
      </c>
      <c r="I70" s="266">
        <v>33</v>
      </c>
      <c r="J70" s="266">
        <v>157</v>
      </c>
      <c r="K70" s="266">
        <v>2</v>
      </c>
      <c r="L70" s="266">
        <v>72</v>
      </c>
      <c r="M70" s="266">
        <v>12</v>
      </c>
      <c r="N70" s="266">
        <v>55</v>
      </c>
    </row>
    <row r="71" spans="1:14" s="263" customFormat="1" ht="9" customHeight="1" x14ac:dyDescent="0.25">
      <c r="A71" s="267" t="s">
        <v>41</v>
      </c>
      <c r="B71" s="268">
        <f t="shared" si="5"/>
        <v>144</v>
      </c>
      <c r="C71" s="268"/>
      <c r="D71" s="268">
        <f t="shared" si="6"/>
        <v>138</v>
      </c>
      <c r="E71" s="268">
        <v>68</v>
      </c>
      <c r="F71" s="268"/>
      <c r="G71" s="268">
        <f t="shared" si="7"/>
        <v>64</v>
      </c>
      <c r="H71" s="268">
        <v>20</v>
      </c>
      <c r="I71" s="268">
        <v>9</v>
      </c>
      <c r="J71" s="268">
        <v>35</v>
      </c>
      <c r="K71" s="268">
        <v>0</v>
      </c>
      <c r="L71" s="268">
        <v>0</v>
      </c>
      <c r="M71" s="268">
        <v>6</v>
      </c>
      <c r="N71" s="268">
        <v>6</v>
      </c>
    </row>
    <row r="72" spans="1:14" s="263" customFormat="1" ht="9" customHeight="1" x14ac:dyDescent="0.25">
      <c r="A72" s="263" t="s">
        <v>42</v>
      </c>
      <c r="B72" s="266">
        <f t="shared" si="5"/>
        <v>466</v>
      </c>
      <c r="C72" s="266"/>
      <c r="D72" s="266">
        <f t="shared" si="6"/>
        <v>437</v>
      </c>
      <c r="E72" s="266">
        <v>170</v>
      </c>
      <c r="F72" s="266"/>
      <c r="G72" s="266">
        <f t="shared" si="7"/>
        <v>237</v>
      </c>
      <c r="H72" s="266">
        <v>33</v>
      </c>
      <c r="I72" s="266">
        <v>33</v>
      </c>
      <c r="J72" s="266">
        <v>171</v>
      </c>
      <c r="K72" s="266">
        <v>14</v>
      </c>
      <c r="L72" s="266">
        <v>8</v>
      </c>
      <c r="M72" s="266">
        <v>8</v>
      </c>
      <c r="N72" s="266">
        <v>29</v>
      </c>
    </row>
    <row r="73" spans="1:14" s="263" customFormat="1" ht="9" customHeight="1" x14ac:dyDescent="0.25">
      <c r="A73" s="263" t="s">
        <v>43</v>
      </c>
      <c r="B73" s="266">
        <f t="shared" si="5"/>
        <v>103</v>
      </c>
      <c r="C73" s="266"/>
      <c r="D73" s="266">
        <f t="shared" si="6"/>
        <v>102</v>
      </c>
      <c r="E73" s="266">
        <v>41</v>
      </c>
      <c r="F73" s="266"/>
      <c r="G73" s="266">
        <f t="shared" si="7"/>
        <v>59</v>
      </c>
      <c r="H73" s="266">
        <v>10</v>
      </c>
      <c r="I73" s="266">
        <v>8</v>
      </c>
      <c r="J73" s="266">
        <v>41</v>
      </c>
      <c r="K73" s="266">
        <v>0</v>
      </c>
      <c r="L73" s="266">
        <v>0</v>
      </c>
      <c r="M73" s="266">
        <v>2</v>
      </c>
      <c r="N73" s="266">
        <v>1</v>
      </c>
    </row>
    <row r="74" spans="1:14" s="263" customFormat="1" ht="9" customHeight="1" x14ac:dyDescent="0.25">
      <c r="A74" s="263" t="s">
        <v>44</v>
      </c>
      <c r="B74" s="266">
        <f t="shared" si="5"/>
        <v>128</v>
      </c>
      <c r="C74" s="266"/>
      <c r="D74" s="266">
        <f t="shared" si="6"/>
        <v>128</v>
      </c>
      <c r="E74" s="266">
        <v>44</v>
      </c>
      <c r="F74" s="266"/>
      <c r="G74" s="266">
        <f t="shared" si="7"/>
        <v>77</v>
      </c>
      <c r="H74" s="266">
        <v>15</v>
      </c>
      <c r="I74" s="266">
        <v>12</v>
      </c>
      <c r="J74" s="266">
        <v>50</v>
      </c>
      <c r="K74" s="266">
        <v>0</v>
      </c>
      <c r="L74" s="266">
        <v>0</v>
      </c>
      <c r="M74" s="266">
        <v>7</v>
      </c>
      <c r="N74" s="266">
        <v>0</v>
      </c>
    </row>
    <row r="75" spans="1:14" s="263" customFormat="1" ht="9" customHeight="1" x14ac:dyDescent="0.25">
      <c r="A75" s="267" t="s">
        <v>45</v>
      </c>
      <c r="B75" s="268">
        <f t="shared" si="5"/>
        <v>74</v>
      </c>
      <c r="C75" s="268"/>
      <c r="D75" s="268">
        <f t="shared" si="6"/>
        <v>73</v>
      </c>
      <c r="E75" s="268">
        <v>27</v>
      </c>
      <c r="F75" s="268"/>
      <c r="G75" s="268">
        <f t="shared" si="7"/>
        <v>45</v>
      </c>
      <c r="H75" s="268">
        <v>10</v>
      </c>
      <c r="I75" s="268">
        <v>10</v>
      </c>
      <c r="J75" s="268">
        <v>25</v>
      </c>
      <c r="K75" s="268">
        <v>0</v>
      </c>
      <c r="L75" s="268">
        <v>0</v>
      </c>
      <c r="M75" s="268">
        <v>1</v>
      </c>
      <c r="N75" s="268">
        <v>1</v>
      </c>
    </row>
    <row r="76" spans="1:14" s="263" customFormat="1" ht="9" customHeight="1" x14ac:dyDescent="0.25">
      <c r="A76" s="263" t="s">
        <v>46</v>
      </c>
      <c r="B76" s="266">
        <f t="shared" si="5"/>
        <v>164</v>
      </c>
      <c r="C76" s="266"/>
      <c r="D76" s="266">
        <f t="shared" si="6"/>
        <v>162</v>
      </c>
      <c r="E76" s="266">
        <v>55</v>
      </c>
      <c r="F76" s="266"/>
      <c r="G76" s="266">
        <f t="shared" si="7"/>
        <v>106</v>
      </c>
      <c r="H76" s="266">
        <v>19</v>
      </c>
      <c r="I76" s="266">
        <v>11</v>
      </c>
      <c r="J76" s="266">
        <v>76</v>
      </c>
      <c r="K76" s="266">
        <v>0</v>
      </c>
      <c r="L76" s="266">
        <v>0</v>
      </c>
      <c r="M76" s="266">
        <v>1</v>
      </c>
      <c r="N76" s="266">
        <v>2</v>
      </c>
    </row>
    <row r="77" spans="1:14" s="263" customFormat="1" ht="9" customHeight="1" x14ac:dyDescent="0.25">
      <c r="A77" s="263" t="s">
        <v>47</v>
      </c>
      <c r="B77" s="266">
        <f t="shared" si="5"/>
        <v>1096</v>
      </c>
      <c r="C77" s="266"/>
      <c r="D77" s="266">
        <f t="shared" si="6"/>
        <v>1088</v>
      </c>
      <c r="E77" s="266">
        <v>86</v>
      </c>
      <c r="F77" s="266"/>
      <c r="G77" s="266">
        <f t="shared" si="7"/>
        <v>256</v>
      </c>
      <c r="H77" s="266">
        <v>20</v>
      </c>
      <c r="I77" s="266">
        <v>66</v>
      </c>
      <c r="J77" s="266">
        <v>170</v>
      </c>
      <c r="K77" s="266">
        <v>742</v>
      </c>
      <c r="L77" s="266">
        <v>0</v>
      </c>
      <c r="M77" s="266">
        <v>4</v>
      </c>
      <c r="N77" s="266">
        <v>8</v>
      </c>
    </row>
    <row r="78" spans="1:14" s="263" customFormat="1" ht="9" customHeight="1" x14ac:dyDescent="0.25">
      <c r="A78" s="263" t="s">
        <v>48</v>
      </c>
      <c r="B78" s="266">
        <f t="shared" si="5"/>
        <v>150</v>
      </c>
      <c r="C78" s="266"/>
      <c r="D78" s="266">
        <f t="shared" si="6"/>
        <v>147</v>
      </c>
      <c r="E78" s="266">
        <v>63</v>
      </c>
      <c r="F78" s="266"/>
      <c r="G78" s="266">
        <f t="shared" si="7"/>
        <v>83</v>
      </c>
      <c r="H78" s="266">
        <v>17</v>
      </c>
      <c r="I78" s="266">
        <v>12</v>
      </c>
      <c r="J78" s="266">
        <v>54</v>
      </c>
      <c r="K78" s="266">
        <v>0</v>
      </c>
      <c r="L78" s="266">
        <v>0</v>
      </c>
      <c r="M78" s="266">
        <v>1</v>
      </c>
      <c r="N78" s="266">
        <v>3</v>
      </c>
    </row>
    <row r="79" spans="1:14" s="263" customFormat="1" ht="9" customHeight="1" x14ac:dyDescent="0.25">
      <c r="A79" s="267" t="s">
        <v>49</v>
      </c>
      <c r="B79" s="268">
        <f t="shared" si="5"/>
        <v>247</v>
      </c>
      <c r="C79" s="268"/>
      <c r="D79" s="268">
        <f t="shared" si="6"/>
        <v>240</v>
      </c>
      <c r="E79" s="268">
        <v>94</v>
      </c>
      <c r="F79" s="268"/>
      <c r="G79" s="268">
        <f t="shared" si="7"/>
        <v>135</v>
      </c>
      <c r="H79" s="268">
        <v>24</v>
      </c>
      <c r="I79" s="268">
        <v>23</v>
      </c>
      <c r="J79" s="268">
        <v>88</v>
      </c>
      <c r="K79" s="268">
        <v>0</v>
      </c>
      <c r="L79" s="268">
        <v>0</v>
      </c>
      <c r="M79" s="268">
        <v>11</v>
      </c>
      <c r="N79" s="268">
        <v>7</v>
      </c>
    </row>
    <row r="80" spans="1:14" s="263" customFormat="1" ht="9" customHeight="1" x14ac:dyDescent="0.25">
      <c r="A80" s="263" t="s">
        <v>50</v>
      </c>
      <c r="B80" s="266">
        <f t="shared" si="5"/>
        <v>77</v>
      </c>
      <c r="C80" s="266"/>
      <c r="D80" s="266">
        <f t="shared" si="6"/>
        <v>76</v>
      </c>
      <c r="E80" s="266">
        <v>58</v>
      </c>
      <c r="F80" s="266"/>
      <c r="G80" s="266">
        <f t="shared" si="7"/>
        <v>16</v>
      </c>
      <c r="H80" s="266">
        <v>4</v>
      </c>
      <c r="I80" s="266">
        <v>2</v>
      </c>
      <c r="J80" s="266">
        <v>10</v>
      </c>
      <c r="K80" s="266">
        <v>2</v>
      </c>
      <c r="L80" s="266">
        <v>0</v>
      </c>
      <c r="M80" s="266">
        <v>0</v>
      </c>
      <c r="N80" s="266">
        <v>1</v>
      </c>
    </row>
    <row r="81" spans="1:14" s="263" customFormat="1" ht="9" customHeight="1" x14ac:dyDescent="0.25">
      <c r="A81" s="263" t="s">
        <v>51</v>
      </c>
      <c r="B81" s="266">
        <f t="shared" si="5"/>
        <v>423</v>
      </c>
      <c r="C81" s="266"/>
      <c r="D81" s="266">
        <f t="shared" si="6"/>
        <v>417</v>
      </c>
      <c r="E81" s="266">
        <v>226</v>
      </c>
      <c r="F81" s="266"/>
      <c r="G81" s="266">
        <f t="shared" si="7"/>
        <v>186</v>
      </c>
      <c r="H81" s="266">
        <v>46</v>
      </c>
      <c r="I81" s="266">
        <v>21</v>
      </c>
      <c r="J81" s="266">
        <v>119</v>
      </c>
      <c r="K81" s="266">
        <v>2</v>
      </c>
      <c r="L81" s="266">
        <v>0</v>
      </c>
      <c r="M81" s="266">
        <v>3</v>
      </c>
      <c r="N81" s="266">
        <v>6</v>
      </c>
    </row>
    <row r="82" spans="1:14" s="263" customFormat="1" ht="9" customHeight="1" x14ac:dyDescent="0.25">
      <c r="A82" s="263" t="s">
        <v>52</v>
      </c>
      <c r="B82" s="266">
        <f t="shared" si="5"/>
        <v>195</v>
      </c>
      <c r="C82" s="266"/>
      <c r="D82" s="266">
        <f t="shared" si="6"/>
        <v>194</v>
      </c>
      <c r="E82" s="266">
        <v>55</v>
      </c>
      <c r="F82" s="266"/>
      <c r="G82" s="266">
        <f t="shared" si="7"/>
        <v>137</v>
      </c>
      <c r="H82" s="266">
        <v>29</v>
      </c>
      <c r="I82" s="266">
        <v>18</v>
      </c>
      <c r="J82" s="266">
        <v>90</v>
      </c>
      <c r="K82" s="266">
        <v>0</v>
      </c>
      <c r="L82" s="266">
        <v>0</v>
      </c>
      <c r="M82" s="266">
        <v>2</v>
      </c>
      <c r="N82" s="266">
        <v>1</v>
      </c>
    </row>
    <row r="83" spans="1:14" s="263" customFormat="1" ht="9" customHeight="1" x14ac:dyDescent="0.25">
      <c r="A83" s="267" t="s">
        <v>53</v>
      </c>
      <c r="B83" s="268">
        <f t="shared" si="5"/>
        <v>70</v>
      </c>
      <c r="C83" s="268"/>
      <c r="D83" s="268">
        <f t="shared" si="6"/>
        <v>67</v>
      </c>
      <c r="E83" s="268">
        <v>32</v>
      </c>
      <c r="F83" s="268"/>
      <c r="G83" s="268">
        <f t="shared" si="7"/>
        <v>32</v>
      </c>
      <c r="H83" s="268">
        <v>7</v>
      </c>
      <c r="I83" s="268">
        <v>3</v>
      </c>
      <c r="J83" s="268">
        <v>22</v>
      </c>
      <c r="K83" s="268">
        <v>0</v>
      </c>
      <c r="L83" s="268">
        <v>0</v>
      </c>
      <c r="M83" s="268">
        <v>3</v>
      </c>
      <c r="N83" s="268">
        <v>3</v>
      </c>
    </row>
    <row r="84" spans="1:14" ht="9" customHeight="1" x14ac:dyDescent="0.25">
      <c r="B84" s="259"/>
      <c r="C84" s="259"/>
      <c r="D84" s="259"/>
      <c r="E84" s="259"/>
      <c r="F84" s="259"/>
      <c r="G84" s="259"/>
      <c r="H84" s="259"/>
      <c r="I84" s="259"/>
      <c r="J84" s="259"/>
      <c r="K84" s="259"/>
      <c r="L84" s="259"/>
    </row>
    <row r="85" spans="1:14" ht="9" customHeight="1" x14ac:dyDescent="0.25">
      <c r="A85" s="601">
        <v>2003</v>
      </c>
      <c r="B85" s="259"/>
      <c r="C85" s="259"/>
      <c r="D85" s="259"/>
      <c r="E85" s="259"/>
      <c r="F85" s="259"/>
      <c r="G85" s="259"/>
      <c r="H85" s="259"/>
      <c r="I85" s="259"/>
      <c r="J85" s="259"/>
      <c r="K85" s="259"/>
      <c r="L85" s="259"/>
    </row>
    <row r="86" spans="1:14" s="265" customFormat="1" ht="9" customHeight="1" x14ac:dyDescent="0.25">
      <c r="A86" s="265" t="s">
        <v>21</v>
      </c>
      <c r="B86" s="262">
        <f>SUM(B88:B119)</f>
        <v>10980</v>
      </c>
      <c r="C86" s="262"/>
      <c r="D86" s="262">
        <f>SUM(D88:D119)</f>
        <v>10686</v>
      </c>
      <c r="E86" s="262">
        <f>SUM(E88:E119)</f>
        <v>3760</v>
      </c>
      <c r="F86" s="262"/>
      <c r="G86" s="262">
        <f t="shared" ref="G86:M86" si="8">SUM(G88:G119)</f>
        <v>5582</v>
      </c>
      <c r="H86" s="262">
        <f t="shared" si="8"/>
        <v>913</v>
      </c>
      <c r="I86" s="262">
        <f t="shared" si="8"/>
        <v>765</v>
      </c>
      <c r="J86" s="262">
        <f t="shared" si="8"/>
        <v>3904</v>
      </c>
      <c r="K86" s="262">
        <f t="shared" si="8"/>
        <v>349</v>
      </c>
      <c r="L86" s="262">
        <f t="shared" si="8"/>
        <v>796</v>
      </c>
      <c r="M86" s="262">
        <f t="shared" si="8"/>
        <v>199</v>
      </c>
      <c r="N86" s="262">
        <f>SUM(N88:N119)</f>
        <v>294</v>
      </c>
    </row>
    <row r="87" spans="1:14" s="265" customFormat="1" ht="3" customHeight="1" x14ac:dyDescent="0.25">
      <c r="B87" s="262"/>
      <c r="C87" s="262"/>
      <c r="D87" s="262"/>
      <c r="E87" s="262"/>
      <c r="F87" s="262"/>
      <c r="G87" s="262"/>
      <c r="H87" s="262"/>
      <c r="I87" s="262"/>
      <c r="J87" s="262"/>
      <c r="K87" s="262"/>
      <c r="L87" s="262"/>
      <c r="M87" s="262"/>
      <c r="N87" s="262"/>
    </row>
    <row r="88" spans="1:14" s="263" customFormat="1" ht="8.65" customHeight="1" x14ac:dyDescent="0.25">
      <c r="A88" s="263" t="s">
        <v>23</v>
      </c>
      <c r="B88" s="266">
        <f>SUM(D88+N88)</f>
        <v>84</v>
      </c>
      <c r="C88" s="266"/>
      <c r="D88" s="266">
        <f>SUM(E88+G88+K88+L88+M88)</f>
        <v>83</v>
      </c>
      <c r="E88" s="266">
        <v>23</v>
      </c>
      <c r="F88" s="266"/>
      <c r="G88" s="266">
        <f>SUM(H88:J88)</f>
        <v>47</v>
      </c>
      <c r="H88" s="266">
        <v>7</v>
      </c>
      <c r="I88" s="266">
        <v>7</v>
      </c>
      <c r="J88" s="266">
        <v>33</v>
      </c>
      <c r="K88" s="266">
        <v>11</v>
      </c>
      <c r="L88" s="266">
        <v>0</v>
      </c>
      <c r="M88" s="266">
        <v>2</v>
      </c>
      <c r="N88" s="266">
        <v>1</v>
      </c>
    </row>
    <row r="89" spans="1:14" s="263" customFormat="1" ht="8.65" customHeight="1" x14ac:dyDescent="0.25">
      <c r="A89" s="263" t="s">
        <v>24</v>
      </c>
      <c r="B89" s="266">
        <f>SUM(D89+N89)</f>
        <v>254</v>
      </c>
      <c r="C89" s="266"/>
      <c r="D89" s="266">
        <f>SUM(E89+G89+K89+L89+M89)</f>
        <v>254</v>
      </c>
      <c r="E89" s="266">
        <v>175</v>
      </c>
      <c r="F89" s="266"/>
      <c r="G89" s="266">
        <f>SUM(H89:J89)</f>
        <v>72</v>
      </c>
      <c r="H89" s="266">
        <v>11</v>
      </c>
      <c r="I89" s="266">
        <v>12</v>
      </c>
      <c r="J89" s="266">
        <v>49</v>
      </c>
      <c r="K89" s="266">
        <v>2</v>
      </c>
      <c r="L89" s="266">
        <v>0</v>
      </c>
      <c r="M89" s="266">
        <v>5</v>
      </c>
      <c r="N89" s="266">
        <v>0</v>
      </c>
    </row>
    <row r="90" spans="1:14" s="263" customFormat="1" ht="8.65" customHeight="1" x14ac:dyDescent="0.25">
      <c r="A90" s="263" t="s">
        <v>25</v>
      </c>
      <c r="B90" s="266">
        <f>SUM(D90+N90)</f>
        <v>32</v>
      </c>
      <c r="C90" s="266"/>
      <c r="D90" s="266">
        <f t="shared" ref="D90:D119" si="9">SUM(E90+G90+K90+L90+M90)</f>
        <v>31</v>
      </c>
      <c r="E90" s="266">
        <v>20</v>
      </c>
      <c r="F90" s="266"/>
      <c r="G90" s="266">
        <f t="shared" ref="G90:G119" si="10">SUM(H90:J90)</f>
        <v>11</v>
      </c>
      <c r="H90" s="266">
        <v>1</v>
      </c>
      <c r="I90" s="266">
        <v>1</v>
      </c>
      <c r="J90" s="266">
        <v>9</v>
      </c>
      <c r="K90" s="266">
        <v>0</v>
      </c>
      <c r="L90" s="266">
        <v>0</v>
      </c>
      <c r="M90" s="266">
        <v>0</v>
      </c>
      <c r="N90" s="266">
        <v>1</v>
      </c>
    </row>
    <row r="91" spans="1:14" s="263" customFormat="1" ht="8.65" customHeight="1" x14ac:dyDescent="0.25">
      <c r="A91" s="267" t="s">
        <v>26</v>
      </c>
      <c r="B91" s="268">
        <f>SUM(D91+N91)</f>
        <v>35</v>
      </c>
      <c r="C91" s="268"/>
      <c r="D91" s="268">
        <f t="shared" si="9"/>
        <v>34</v>
      </c>
      <c r="E91" s="268">
        <v>24</v>
      </c>
      <c r="F91" s="268"/>
      <c r="G91" s="268">
        <f t="shared" si="10"/>
        <v>10</v>
      </c>
      <c r="H91" s="268">
        <v>2</v>
      </c>
      <c r="I91" s="268">
        <v>2</v>
      </c>
      <c r="J91" s="268">
        <v>6</v>
      </c>
      <c r="K91" s="268">
        <v>0</v>
      </c>
      <c r="L91" s="268">
        <v>0</v>
      </c>
      <c r="M91" s="268">
        <v>0</v>
      </c>
      <c r="N91" s="268">
        <v>1</v>
      </c>
    </row>
    <row r="92" spans="1:14" s="263" customFormat="1" ht="8.65" customHeight="1" x14ac:dyDescent="0.25">
      <c r="A92" s="263" t="s">
        <v>27</v>
      </c>
      <c r="B92" s="266">
        <f t="shared" ref="B92:B119" si="11">SUM(D92+N92)</f>
        <v>109</v>
      </c>
      <c r="C92" s="266"/>
      <c r="D92" s="266">
        <f t="shared" si="9"/>
        <v>104</v>
      </c>
      <c r="E92" s="266">
        <v>46</v>
      </c>
      <c r="F92" s="266"/>
      <c r="G92" s="266">
        <f t="shared" si="10"/>
        <v>51</v>
      </c>
      <c r="H92" s="266">
        <v>9</v>
      </c>
      <c r="I92" s="266">
        <v>9</v>
      </c>
      <c r="J92" s="266">
        <v>33</v>
      </c>
      <c r="K92" s="266">
        <v>3</v>
      </c>
      <c r="L92" s="266">
        <v>0</v>
      </c>
      <c r="M92" s="266">
        <v>4</v>
      </c>
      <c r="N92" s="266">
        <v>5</v>
      </c>
    </row>
    <row r="93" spans="1:14" s="263" customFormat="1" ht="8.65" customHeight="1" x14ac:dyDescent="0.25">
      <c r="A93" s="263" t="s">
        <v>28</v>
      </c>
      <c r="B93" s="266">
        <f t="shared" si="11"/>
        <v>22</v>
      </c>
      <c r="C93" s="266"/>
      <c r="D93" s="266">
        <f t="shared" si="9"/>
        <v>22</v>
      </c>
      <c r="E93" s="266">
        <v>18</v>
      </c>
      <c r="F93" s="266"/>
      <c r="G93" s="266">
        <f t="shared" si="10"/>
        <v>4</v>
      </c>
      <c r="H93" s="266">
        <v>1</v>
      </c>
      <c r="I93" s="266">
        <v>2</v>
      </c>
      <c r="J93" s="266">
        <v>1</v>
      </c>
      <c r="K93" s="266">
        <v>0</v>
      </c>
      <c r="L93" s="266">
        <v>0</v>
      </c>
      <c r="M93" s="266">
        <v>0</v>
      </c>
      <c r="N93" s="266">
        <v>0</v>
      </c>
    </row>
    <row r="94" spans="1:14" s="263" customFormat="1" ht="8.65" customHeight="1" x14ac:dyDescent="0.25">
      <c r="A94" s="263" t="s">
        <v>29</v>
      </c>
      <c r="B94" s="266">
        <f t="shared" si="11"/>
        <v>180</v>
      </c>
      <c r="C94" s="266"/>
      <c r="D94" s="266">
        <f t="shared" si="9"/>
        <v>175</v>
      </c>
      <c r="E94" s="266">
        <v>77</v>
      </c>
      <c r="F94" s="266"/>
      <c r="G94" s="266">
        <f t="shared" si="10"/>
        <v>95</v>
      </c>
      <c r="H94" s="266">
        <v>18</v>
      </c>
      <c r="I94" s="266">
        <v>12</v>
      </c>
      <c r="J94" s="266">
        <v>65</v>
      </c>
      <c r="K94" s="266">
        <v>0</v>
      </c>
      <c r="L94" s="266">
        <v>2</v>
      </c>
      <c r="M94" s="266">
        <v>1</v>
      </c>
      <c r="N94" s="266">
        <v>5</v>
      </c>
    </row>
    <row r="95" spans="1:14" s="263" customFormat="1" ht="8.65" customHeight="1" x14ac:dyDescent="0.25">
      <c r="A95" s="267" t="s">
        <v>30</v>
      </c>
      <c r="B95" s="268">
        <f t="shared" si="11"/>
        <v>242</v>
      </c>
      <c r="C95" s="268"/>
      <c r="D95" s="268">
        <f t="shared" si="9"/>
        <v>229</v>
      </c>
      <c r="E95" s="268">
        <v>70</v>
      </c>
      <c r="F95" s="268"/>
      <c r="G95" s="268">
        <f t="shared" si="10"/>
        <v>117</v>
      </c>
      <c r="H95" s="268">
        <v>14</v>
      </c>
      <c r="I95" s="268">
        <v>7</v>
      </c>
      <c r="J95" s="268">
        <v>96</v>
      </c>
      <c r="K95" s="268">
        <v>29</v>
      </c>
      <c r="L95" s="268">
        <v>12</v>
      </c>
      <c r="M95" s="268">
        <v>1</v>
      </c>
      <c r="N95" s="268">
        <v>13</v>
      </c>
    </row>
    <row r="96" spans="1:14" s="263" customFormat="1" ht="8.65" customHeight="1" x14ac:dyDescent="0.25">
      <c r="A96" s="263" t="s">
        <v>63</v>
      </c>
      <c r="B96" s="266">
        <f t="shared" si="11"/>
        <v>3411</v>
      </c>
      <c r="C96" s="266"/>
      <c r="D96" s="266">
        <f t="shared" si="9"/>
        <v>3320</v>
      </c>
      <c r="E96" s="266">
        <v>541</v>
      </c>
      <c r="F96" s="266"/>
      <c r="G96" s="266">
        <f t="shared" si="10"/>
        <v>2034</v>
      </c>
      <c r="H96" s="266">
        <v>238</v>
      </c>
      <c r="I96" s="266">
        <v>250</v>
      </c>
      <c r="J96" s="266">
        <v>1546</v>
      </c>
      <c r="K96" s="266">
        <v>155</v>
      </c>
      <c r="L96" s="266">
        <v>539</v>
      </c>
      <c r="M96" s="266">
        <v>51</v>
      </c>
      <c r="N96" s="266">
        <v>91</v>
      </c>
    </row>
    <row r="97" spans="1:14" s="263" customFormat="1" ht="8.65" customHeight="1" x14ac:dyDescent="0.25">
      <c r="A97" s="263" t="s">
        <v>31</v>
      </c>
      <c r="B97" s="266">
        <f t="shared" si="11"/>
        <v>102</v>
      </c>
      <c r="C97" s="266"/>
      <c r="D97" s="266">
        <f t="shared" si="9"/>
        <v>102</v>
      </c>
      <c r="E97" s="266">
        <v>37</v>
      </c>
      <c r="F97" s="266"/>
      <c r="G97" s="266">
        <f t="shared" si="10"/>
        <v>56</v>
      </c>
      <c r="H97" s="266">
        <v>13</v>
      </c>
      <c r="I97" s="266">
        <v>7</v>
      </c>
      <c r="J97" s="266">
        <v>36</v>
      </c>
      <c r="K97" s="266">
        <v>0</v>
      </c>
      <c r="L97" s="266">
        <v>9</v>
      </c>
      <c r="M97" s="266">
        <v>0</v>
      </c>
      <c r="N97" s="266">
        <v>0</v>
      </c>
    </row>
    <row r="98" spans="1:14" s="263" customFormat="1" ht="8.65" customHeight="1" x14ac:dyDescent="0.25">
      <c r="A98" s="263" t="s">
        <v>32</v>
      </c>
      <c r="B98" s="266">
        <f t="shared" si="11"/>
        <v>473</v>
      </c>
      <c r="C98" s="266"/>
      <c r="D98" s="266">
        <f t="shared" si="9"/>
        <v>456</v>
      </c>
      <c r="E98" s="266">
        <v>195</v>
      </c>
      <c r="F98" s="266"/>
      <c r="G98" s="266">
        <f t="shared" si="10"/>
        <v>211</v>
      </c>
      <c r="H98" s="266">
        <v>39</v>
      </c>
      <c r="I98" s="266">
        <v>30</v>
      </c>
      <c r="J98" s="266">
        <v>142</v>
      </c>
      <c r="K98" s="266">
        <v>22</v>
      </c>
      <c r="L98" s="266">
        <v>12</v>
      </c>
      <c r="M98" s="266">
        <v>16</v>
      </c>
      <c r="N98" s="266">
        <v>17</v>
      </c>
    </row>
    <row r="99" spans="1:14" s="263" customFormat="1" ht="8.65" customHeight="1" x14ac:dyDescent="0.25">
      <c r="A99" s="267" t="s">
        <v>33</v>
      </c>
      <c r="B99" s="268">
        <f t="shared" si="11"/>
        <v>284</v>
      </c>
      <c r="C99" s="268"/>
      <c r="D99" s="268">
        <f t="shared" si="9"/>
        <v>281</v>
      </c>
      <c r="E99" s="268">
        <v>107</v>
      </c>
      <c r="F99" s="268"/>
      <c r="G99" s="268">
        <f t="shared" si="10"/>
        <v>165</v>
      </c>
      <c r="H99" s="268">
        <v>22</v>
      </c>
      <c r="I99" s="268">
        <v>30</v>
      </c>
      <c r="J99" s="268">
        <v>113</v>
      </c>
      <c r="K99" s="268">
        <v>0</v>
      </c>
      <c r="L99" s="268">
        <v>0</v>
      </c>
      <c r="M99" s="268">
        <v>9</v>
      </c>
      <c r="N99" s="268">
        <v>3</v>
      </c>
    </row>
    <row r="100" spans="1:14" s="263" customFormat="1" ht="8.65" customHeight="1" x14ac:dyDescent="0.25">
      <c r="A100" s="263" t="s">
        <v>34</v>
      </c>
      <c r="B100" s="266">
        <f t="shared" si="11"/>
        <v>277</v>
      </c>
      <c r="C100" s="266"/>
      <c r="D100" s="266">
        <f t="shared" si="9"/>
        <v>266</v>
      </c>
      <c r="E100" s="266">
        <v>118</v>
      </c>
      <c r="F100" s="266"/>
      <c r="G100" s="266">
        <f t="shared" si="10"/>
        <v>140</v>
      </c>
      <c r="H100" s="266">
        <v>25</v>
      </c>
      <c r="I100" s="266">
        <v>22</v>
      </c>
      <c r="J100" s="266">
        <v>93</v>
      </c>
      <c r="K100" s="266">
        <v>1</v>
      </c>
      <c r="L100" s="266">
        <v>0</v>
      </c>
      <c r="M100" s="266">
        <v>7</v>
      </c>
      <c r="N100" s="266">
        <v>11</v>
      </c>
    </row>
    <row r="101" spans="1:14" s="263" customFormat="1" ht="8.65" customHeight="1" x14ac:dyDescent="0.25">
      <c r="A101" s="263" t="s">
        <v>35</v>
      </c>
      <c r="B101" s="266">
        <f t="shared" si="11"/>
        <v>455</v>
      </c>
      <c r="C101" s="266"/>
      <c r="D101" s="266">
        <f t="shared" si="9"/>
        <v>432</v>
      </c>
      <c r="E101" s="266">
        <v>139</v>
      </c>
      <c r="F101" s="266"/>
      <c r="G101" s="266">
        <f t="shared" si="10"/>
        <v>198</v>
      </c>
      <c r="H101" s="266">
        <v>27</v>
      </c>
      <c r="I101" s="266">
        <v>30</v>
      </c>
      <c r="J101" s="266">
        <v>141</v>
      </c>
      <c r="K101" s="266">
        <v>8</v>
      </c>
      <c r="L101" s="266">
        <v>82</v>
      </c>
      <c r="M101" s="266">
        <v>5</v>
      </c>
      <c r="N101" s="266">
        <v>23</v>
      </c>
    </row>
    <row r="102" spans="1:14" s="263" customFormat="1" ht="8.65" customHeight="1" x14ac:dyDescent="0.25">
      <c r="A102" s="263" t="s">
        <v>36</v>
      </c>
      <c r="B102" s="266">
        <f t="shared" si="11"/>
        <v>1483</v>
      </c>
      <c r="C102" s="266"/>
      <c r="D102" s="266">
        <f t="shared" si="9"/>
        <v>1456</v>
      </c>
      <c r="E102" s="266">
        <v>765</v>
      </c>
      <c r="F102" s="266"/>
      <c r="G102" s="266">
        <f t="shared" si="10"/>
        <v>630</v>
      </c>
      <c r="H102" s="266">
        <v>121</v>
      </c>
      <c r="I102" s="266">
        <v>89</v>
      </c>
      <c r="J102" s="266">
        <v>420</v>
      </c>
      <c r="K102" s="266">
        <v>22</v>
      </c>
      <c r="L102" s="266">
        <v>7</v>
      </c>
      <c r="M102" s="266">
        <v>32</v>
      </c>
      <c r="N102" s="266">
        <v>27</v>
      </c>
    </row>
    <row r="103" spans="1:14" s="263" customFormat="1" ht="8.65" customHeight="1" x14ac:dyDescent="0.25">
      <c r="A103" s="267" t="s">
        <v>37</v>
      </c>
      <c r="B103" s="268">
        <f t="shared" si="11"/>
        <v>538</v>
      </c>
      <c r="C103" s="268"/>
      <c r="D103" s="268">
        <f t="shared" si="9"/>
        <v>536</v>
      </c>
      <c r="E103" s="268">
        <v>239</v>
      </c>
      <c r="F103" s="268"/>
      <c r="G103" s="268">
        <f t="shared" si="10"/>
        <v>227</v>
      </c>
      <c r="H103" s="268">
        <v>50</v>
      </c>
      <c r="I103" s="268">
        <v>33</v>
      </c>
      <c r="J103" s="268">
        <v>144</v>
      </c>
      <c r="K103" s="268">
        <v>31</v>
      </c>
      <c r="L103" s="268">
        <v>33</v>
      </c>
      <c r="M103" s="268">
        <v>6</v>
      </c>
      <c r="N103" s="268">
        <v>2</v>
      </c>
    </row>
    <row r="104" spans="1:14" s="263" customFormat="1" ht="8.65" customHeight="1" x14ac:dyDescent="0.25">
      <c r="A104" s="263" t="s">
        <v>38</v>
      </c>
      <c r="B104" s="266">
        <f t="shared" si="11"/>
        <v>198</v>
      </c>
      <c r="C104" s="266"/>
      <c r="D104" s="266">
        <f t="shared" si="9"/>
        <v>192</v>
      </c>
      <c r="E104" s="266">
        <v>84</v>
      </c>
      <c r="F104" s="266"/>
      <c r="G104" s="266">
        <f t="shared" si="10"/>
        <v>104</v>
      </c>
      <c r="H104" s="266">
        <v>23</v>
      </c>
      <c r="I104" s="266">
        <v>15</v>
      </c>
      <c r="J104" s="266">
        <v>66</v>
      </c>
      <c r="K104" s="266">
        <v>1</v>
      </c>
      <c r="L104" s="266">
        <v>0</v>
      </c>
      <c r="M104" s="266">
        <v>3</v>
      </c>
      <c r="N104" s="266">
        <v>6</v>
      </c>
    </row>
    <row r="105" spans="1:14" s="263" customFormat="1" ht="8.65" customHeight="1" x14ac:dyDescent="0.25">
      <c r="A105" s="263" t="s">
        <v>39</v>
      </c>
      <c r="B105" s="266">
        <f t="shared" si="11"/>
        <v>33</v>
      </c>
      <c r="C105" s="266"/>
      <c r="D105" s="266">
        <f t="shared" si="9"/>
        <v>33</v>
      </c>
      <c r="E105" s="266">
        <v>21</v>
      </c>
      <c r="F105" s="266"/>
      <c r="G105" s="266">
        <f t="shared" si="10"/>
        <v>12</v>
      </c>
      <c r="H105" s="266">
        <v>7</v>
      </c>
      <c r="I105" s="266">
        <v>1</v>
      </c>
      <c r="J105" s="266">
        <v>4</v>
      </c>
      <c r="K105" s="266">
        <v>0</v>
      </c>
      <c r="L105" s="266">
        <v>0</v>
      </c>
      <c r="M105" s="266">
        <v>0</v>
      </c>
      <c r="N105" s="266">
        <v>0</v>
      </c>
    </row>
    <row r="106" spans="1:14" s="263" customFormat="1" ht="8.65" customHeight="1" x14ac:dyDescent="0.25">
      <c r="A106" s="263" t="s">
        <v>40</v>
      </c>
      <c r="B106" s="266">
        <f t="shared" si="11"/>
        <v>435</v>
      </c>
      <c r="C106" s="266"/>
      <c r="D106" s="266">
        <f t="shared" si="9"/>
        <v>395</v>
      </c>
      <c r="E106" s="266">
        <v>91</v>
      </c>
      <c r="F106" s="266"/>
      <c r="G106" s="266">
        <f t="shared" si="10"/>
        <v>194</v>
      </c>
      <c r="H106" s="266">
        <v>36</v>
      </c>
      <c r="I106" s="266">
        <v>42</v>
      </c>
      <c r="J106" s="266">
        <v>116</v>
      </c>
      <c r="K106" s="266">
        <v>9</v>
      </c>
      <c r="L106" s="266">
        <v>90</v>
      </c>
      <c r="M106" s="266">
        <v>11</v>
      </c>
      <c r="N106" s="266">
        <v>40</v>
      </c>
    </row>
    <row r="107" spans="1:14" s="263" customFormat="1" ht="8.65" customHeight="1" x14ac:dyDescent="0.25">
      <c r="A107" s="267" t="s">
        <v>41</v>
      </c>
      <c r="B107" s="268">
        <f t="shared" si="11"/>
        <v>178</v>
      </c>
      <c r="C107" s="268"/>
      <c r="D107" s="268">
        <f t="shared" si="9"/>
        <v>172</v>
      </c>
      <c r="E107" s="268">
        <v>80</v>
      </c>
      <c r="F107" s="268"/>
      <c r="G107" s="268">
        <f t="shared" si="10"/>
        <v>82</v>
      </c>
      <c r="H107" s="268">
        <v>23</v>
      </c>
      <c r="I107" s="268">
        <v>10</v>
      </c>
      <c r="J107" s="268">
        <v>49</v>
      </c>
      <c r="K107" s="268">
        <v>0</v>
      </c>
      <c r="L107" s="268">
        <v>0</v>
      </c>
      <c r="M107" s="268">
        <v>10</v>
      </c>
      <c r="N107" s="268">
        <v>6</v>
      </c>
    </row>
    <row r="108" spans="1:14" s="263" customFormat="1" ht="8.65" customHeight="1" x14ac:dyDescent="0.25">
      <c r="A108" s="263" t="s">
        <v>42</v>
      </c>
      <c r="B108" s="266">
        <f t="shared" si="11"/>
        <v>470</v>
      </c>
      <c r="C108" s="266"/>
      <c r="D108" s="266">
        <f t="shared" si="9"/>
        <v>456</v>
      </c>
      <c r="E108" s="266">
        <v>159</v>
      </c>
      <c r="F108" s="266"/>
      <c r="G108" s="266">
        <f t="shared" si="10"/>
        <v>246</v>
      </c>
      <c r="H108" s="266">
        <v>36</v>
      </c>
      <c r="I108" s="266">
        <v>28</v>
      </c>
      <c r="J108" s="266">
        <v>182</v>
      </c>
      <c r="K108" s="266">
        <v>38</v>
      </c>
      <c r="L108" s="266">
        <v>7</v>
      </c>
      <c r="M108" s="266">
        <v>6</v>
      </c>
      <c r="N108" s="266">
        <v>14</v>
      </c>
    </row>
    <row r="109" spans="1:14" s="263" customFormat="1" ht="8.65" customHeight="1" x14ac:dyDescent="0.25">
      <c r="A109" s="263" t="s">
        <v>43</v>
      </c>
      <c r="B109" s="266">
        <f t="shared" si="11"/>
        <v>111</v>
      </c>
      <c r="C109" s="266"/>
      <c r="D109" s="266">
        <f t="shared" si="9"/>
        <v>111</v>
      </c>
      <c r="E109" s="266">
        <v>50</v>
      </c>
      <c r="F109" s="266"/>
      <c r="G109" s="266">
        <f t="shared" si="10"/>
        <v>58</v>
      </c>
      <c r="H109" s="266">
        <v>8</v>
      </c>
      <c r="I109" s="266">
        <v>9</v>
      </c>
      <c r="J109" s="266">
        <v>41</v>
      </c>
      <c r="K109" s="266">
        <v>0</v>
      </c>
      <c r="L109" s="266">
        <v>0</v>
      </c>
      <c r="M109" s="266">
        <v>3</v>
      </c>
      <c r="N109" s="266">
        <v>0</v>
      </c>
    </row>
    <row r="110" spans="1:14" s="263" customFormat="1" ht="8.65" customHeight="1" x14ac:dyDescent="0.25">
      <c r="A110" s="263" t="s">
        <v>44</v>
      </c>
      <c r="B110" s="266">
        <f t="shared" si="11"/>
        <v>114</v>
      </c>
      <c r="C110" s="266"/>
      <c r="D110" s="266">
        <f t="shared" si="9"/>
        <v>113</v>
      </c>
      <c r="E110" s="266">
        <v>46</v>
      </c>
      <c r="F110" s="266"/>
      <c r="G110" s="266">
        <f t="shared" si="10"/>
        <v>58</v>
      </c>
      <c r="H110" s="266">
        <v>15</v>
      </c>
      <c r="I110" s="266">
        <v>10</v>
      </c>
      <c r="J110" s="266">
        <v>33</v>
      </c>
      <c r="K110" s="266">
        <v>0</v>
      </c>
      <c r="L110" s="266">
        <v>0</v>
      </c>
      <c r="M110" s="266">
        <v>9</v>
      </c>
      <c r="N110" s="266">
        <v>1</v>
      </c>
    </row>
    <row r="111" spans="1:14" s="263" customFormat="1" ht="8.65" customHeight="1" x14ac:dyDescent="0.25">
      <c r="A111" s="267" t="s">
        <v>45</v>
      </c>
      <c r="B111" s="268">
        <f t="shared" si="11"/>
        <v>133</v>
      </c>
      <c r="C111" s="268"/>
      <c r="D111" s="268">
        <f t="shared" si="9"/>
        <v>131</v>
      </c>
      <c r="E111" s="268">
        <v>33</v>
      </c>
      <c r="F111" s="268"/>
      <c r="G111" s="268">
        <f t="shared" si="10"/>
        <v>92</v>
      </c>
      <c r="H111" s="268">
        <v>18</v>
      </c>
      <c r="I111" s="268">
        <v>14</v>
      </c>
      <c r="J111" s="268">
        <v>60</v>
      </c>
      <c r="K111" s="268">
        <v>1</v>
      </c>
      <c r="L111" s="268">
        <v>0</v>
      </c>
      <c r="M111" s="268">
        <v>5</v>
      </c>
      <c r="N111" s="268">
        <v>2</v>
      </c>
    </row>
    <row r="112" spans="1:14" s="263" customFormat="1" ht="8.65" customHeight="1" x14ac:dyDescent="0.25">
      <c r="A112" s="263" t="s">
        <v>46</v>
      </c>
      <c r="B112" s="266">
        <f t="shared" si="11"/>
        <v>86</v>
      </c>
      <c r="C112" s="266"/>
      <c r="D112" s="266">
        <f t="shared" si="9"/>
        <v>86</v>
      </c>
      <c r="E112" s="266">
        <v>54</v>
      </c>
      <c r="F112" s="266"/>
      <c r="G112" s="266">
        <f t="shared" si="10"/>
        <v>32</v>
      </c>
      <c r="H112" s="266">
        <v>14</v>
      </c>
      <c r="I112" s="266">
        <v>5</v>
      </c>
      <c r="J112" s="266">
        <v>13</v>
      </c>
      <c r="K112" s="266">
        <v>0</v>
      </c>
      <c r="L112" s="266">
        <v>0</v>
      </c>
      <c r="M112" s="266">
        <v>0</v>
      </c>
      <c r="N112" s="266">
        <v>0</v>
      </c>
    </row>
    <row r="113" spans="1:53" s="263" customFormat="1" ht="8.65" customHeight="1" x14ac:dyDescent="0.25">
      <c r="A113" s="263" t="s">
        <v>47</v>
      </c>
      <c r="B113" s="266">
        <f t="shared" si="11"/>
        <v>170</v>
      </c>
      <c r="C113" s="266"/>
      <c r="D113" s="266">
        <f t="shared" si="9"/>
        <v>167</v>
      </c>
      <c r="E113" s="266">
        <v>78</v>
      </c>
      <c r="F113" s="266"/>
      <c r="G113" s="266">
        <f t="shared" si="10"/>
        <v>84</v>
      </c>
      <c r="H113" s="266">
        <v>18</v>
      </c>
      <c r="I113" s="266">
        <v>10</v>
      </c>
      <c r="J113" s="266">
        <v>56</v>
      </c>
      <c r="K113" s="266">
        <v>0</v>
      </c>
      <c r="L113" s="266">
        <v>2</v>
      </c>
      <c r="M113" s="266">
        <v>3</v>
      </c>
      <c r="N113" s="266">
        <v>3</v>
      </c>
    </row>
    <row r="114" spans="1:53" s="263" customFormat="1" ht="8.65" customHeight="1" x14ac:dyDescent="0.25">
      <c r="A114" s="263" t="s">
        <v>48</v>
      </c>
      <c r="B114" s="266">
        <f t="shared" si="11"/>
        <v>150</v>
      </c>
      <c r="C114" s="266"/>
      <c r="D114" s="266">
        <f t="shared" si="9"/>
        <v>148</v>
      </c>
      <c r="E114" s="266">
        <v>59</v>
      </c>
      <c r="F114" s="266"/>
      <c r="G114" s="266">
        <f t="shared" si="10"/>
        <v>88</v>
      </c>
      <c r="H114" s="266">
        <v>14</v>
      </c>
      <c r="I114" s="266">
        <v>15</v>
      </c>
      <c r="J114" s="266">
        <v>59</v>
      </c>
      <c r="K114" s="266">
        <v>0</v>
      </c>
      <c r="L114" s="266">
        <v>0</v>
      </c>
      <c r="M114" s="266">
        <v>1</v>
      </c>
      <c r="N114" s="266">
        <v>2</v>
      </c>
    </row>
    <row r="115" spans="1:53" s="263" customFormat="1" ht="8.65" customHeight="1" x14ac:dyDescent="0.25">
      <c r="A115" s="267" t="s">
        <v>49</v>
      </c>
      <c r="B115" s="268">
        <f t="shared" si="11"/>
        <v>254</v>
      </c>
      <c r="C115" s="268"/>
      <c r="D115" s="268">
        <f t="shared" si="9"/>
        <v>248</v>
      </c>
      <c r="E115" s="268">
        <v>102</v>
      </c>
      <c r="F115" s="268"/>
      <c r="G115" s="268">
        <f t="shared" si="10"/>
        <v>133</v>
      </c>
      <c r="H115" s="268">
        <v>32</v>
      </c>
      <c r="I115" s="268">
        <v>27</v>
      </c>
      <c r="J115" s="268">
        <v>74</v>
      </c>
      <c r="K115" s="268">
        <v>11</v>
      </c>
      <c r="L115" s="268">
        <v>0</v>
      </c>
      <c r="M115" s="268">
        <v>2</v>
      </c>
      <c r="N115" s="268">
        <v>6</v>
      </c>
    </row>
    <row r="116" spans="1:53" s="263" customFormat="1" ht="8.65" customHeight="1" x14ac:dyDescent="0.25">
      <c r="A116" s="263" t="s">
        <v>50</v>
      </c>
      <c r="B116" s="266">
        <f t="shared" si="11"/>
        <v>83</v>
      </c>
      <c r="C116" s="266"/>
      <c r="D116" s="266">
        <f t="shared" si="9"/>
        <v>83</v>
      </c>
      <c r="E116" s="266">
        <v>63</v>
      </c>
      <c r="F116" s="266"/>
      <c r="G116" s="266">
        <f t="shared" si="10"/>
        <v>20</v>
      </c>
      <c r="H116" s="266">
        <v>6</v>
      </c>
      <c r="I116" s="266">
        <v>2</v>
      </c>
      <c r="J116" s="266">
        <v>12</v>
      </c>
      <c r="K116" s="266">
        <v>0</v>
      </c>
      <c r="L116" s="266">
        <v>0</v>
      </c>
      <c r="M116" s="266">
        <v>0</v>
      </c>
      <c r="N116" s="266">
        <v>0</v>
      </c>
    </row>
    <row r="117" spans="1:53" s="263" customFormat="1" ht="8.65" customHeight="1" x14ac:dyDescent="0.25">
      <c r="A117" s="263" t="s">
        <v>51</v>
      </c>
      <c r="B117" s="266">
        <f t="shared" si="11"/>
        <v>429</v>
      </c>
      <c r="C117" s="266"/>
      <c r="D117" s="266">
        <f t="shared" si="9"/>
        <v>419</v>
      </c>
      <c r="E117" s="266">
        <v>192</v>
      </c>
      <c r="F117" s="266"/>
      <c r="G117" s="266">
        <f t="shared" si="10"/>
        <v>222</v>
      </c>
      <c r="H117" s="266">
        <v>45</v>
      </c>
      <c r="I117" s="266">
        <v>22</v>
      </c>
      <c r="J117" s="266">
        <v>155</v>
      </c>
      <c r="K117" s="266">
        <v>2</v>
      </c>
      <c r="L117" s="266">
        <v>0</v>
      </c>
      <c r="M117" s="266">
        <v>3</v>
      </c>
      <c r="N117" s="266">
        <v>10</v>
      </c>
    </row>
    <row r="118" spans="1:53" s="263" customFormat="1" ht="8.65" customHeight="1" x14ac:dyDescent="0.25">
      <c r="A118" s="263" t="s">
        <v>52</v>
      </c>
      <c r="B118" s="266">
        <f t="shared" si="11"/>
        <v>85</v>
      </c>
      <c r="C118" s="266"/>
      <c r="D118" s="266">
        <f t="shared" si="9"/>
        <v>85</v>
      </c>
      <c r="E118" s="266">
        <v>29</v>
      </c>
      <c r="F118" s="266"/>
      <c r="G118" s="266">
        <f t="shared" si="10"/>
        <v>52</v>
      </c>
      <c r="H118" s="266">
        <v>15</v>
      </c>
      <c r="I118" s="266">
        <v>8</v>
      </c>
      <c r="J118" s="266">
        <v>29</v>
      </c>
      <c r="K118" s="266">
        <v>0</v>
      </c>
      <c r="L118" s="266">
        <v>1</v>
      </c>
      <c r="M118" s="266">
        <v>3</v>
      </c>
      <c r="N118" s="266">
        <v>0</v>
      </c>
    </row>
    <row r="119" spans="1:53" s="263" customFormat="1" ht="8.65" customHeight="1" x14ac:dyDescent="0.25">
      <c r="A119" s="267" t="s">
        <v>53</v>
      </c>
      <c r="B119" s="268">
        <f t="shared" si="11"/>
        <v>70</v>
      </c>
      <c r="C119" s="268"/>
      <c r="D119" s="268">
        <f t="shared" si="9"/>
        <v>66</v>
      </c>
      <c r="E119" s="268">
        <v>25</v>
      </c>
      <c r="F119" s="268"/>
      <c r="G119" s="268">
        <f t="shared" si="10"/>
        <v>37</v>
      </c>
      <c r="H119" s="268">
        <v>5</v>
      </c>
      <c r="I119" s="268">
        <v>4</v>
      </c>
      <c r="J119" s="268">
        <v>28</v>
      </c>
      <c r="K119" s="268">
        <v>3</v>
      </c>
      <c r="L119" s="268">
        <v>0</v>
      </c>
      <c r="M119" s="268">
        <v>1</v>
      </c>
      <c r="N119" s="268">
        <v>4</v>
      </c>
    </row>
    <row r="120" spans="1:53" ht="9" customHeight="1" x14ac:dyDescent="0.25">
      <c r="B120" s="259"/>
      <c r="C120" s="259"/>
      <c r="D120" s="259"/>
      <c r="E120" s="259"/>
      <c r="F120" s="259"/>
      <c r="G120" s="259"/>
      <c r="H120" s="259"/>
      <c r="I120" s="259"/>
      <c r="J120" s="259"/>
      <c r="K120" s="259"/>
      <c r="L120" s="259"/>
    </row>
    <row r="121" spans="1:53" ht="9" customHeight="1" x14ac:dyDescent="0.25">
      <c r="A121" s="601">
        <v>2004</v>
      </c>
      <c r="B121" s="259"/>
      <c r="C121" s="259"/>
      <c r="D121" s="259"/>
      <c r="E121" s="259"/>
      <c r="F121" s="259"/>
      <c r="G121" s="259"/>
      <c r="H121" s="259"/>
      <c r="I121" s="259"/>
      <c r="J121" s="259"/>
      <c r="K121" s="259"/>
      <c r="L121" s="259"/>
    </row>
    <row r="122" spans="1:53" s="265" customFormat="1" ht="9" customHeight="1" x14ac:dyDescent="0.25">
      <c r="A122" s="265" t="s">
        <v>21</v>
      </c>
      <c r="B122" s="262">
        <f>SUM(B124:B155)</f>
        <v>10133</v>
      </c>
      <c r="C122" s="262"/>
      <c r="D122" s="262">
        <f>SUM(D124:D155)</f>
        <v>9881</v>
      </c>
      <c r="E122" s="262">
        <f>SUM(E124:E155)</f>
        <v>3729</v>
      </c>
      <c r="F122" s="262"/>
      <c r="G122" s="262">
        <f t="shared" ref="G122:M122" si="12">SUM(G124:G155)</f>
        <v>4844</v>
      </c>
      <c r="H122" s="262">
        <f t="shared" si="12"/>
        <v>846</v>
      </c>
      <c r="I122" s="262">
        <f t="shared" si="12"/>
        <v>683</v>
      </c>
      <c r="J122" s="262">
        <f t="shared" si="12"/>
        <v>3315</v>
      </c>
      <c r="K122" s="262">
        <f t="shared" si="12"/>
        <v>293</v>
      </c>
      <c r="L122" s="262">
        <f t="shared" si="12"/>
        <v>838</v>
      </c>
      <c r="M122" s="262">
        <f t="shared" si="12"/>
        <v>177</v>
      </c>
      <c r="N122" s="262">
        <f>SUM(N124:N155)</f>
        <v>252</v>
      </c>
      <c r="AC122" s="282"/>
      <c r="AD122" s="282"/>
      <c r="AE122" s="282"/>
      <c r="AF122" s="282"/>
      <c r="AG122" s="282"/>
      <c r="AH122" s="282"/>
      <c r="AI122" s="282"/>
      <c r="AJ122" s="282"/>
      <c r="AK122" s="282"/>
      <c r="AL122" s="282"/>
      <c r="AM122" s="282"/>
      <c r="AN122" s="282"/>
      <c r="AO122" s="282"/>
      <c r="AP122" s="282"/>
      <c r="AQ122" s="282"/>
      <c r="AR122" s="282"/>
      <c r="AS122" s="282"/>
      <c r="AT122" s="282"/>
      <c r="AU122" s="282"/>
      <c r="AV122" s="282"/>
      <c r="AW122" s="282"/>
      <c r="AX122" s="282"/>
      <c r="AY122" s="282"/>
      <c r="AZ122" s="282"/>
      <c r="BA122" s="282"/>
    </row>
    <row r="123" spans="1:53" s="265" customFormat="1" ht="3" customHeight="1" x14ac:dyDescent="0.25">
      <c r="B123" s="262"/>
      <c r="C123" s="262"/>
      <c r="D123" s="262"/>
      <c r="E123" s="262"/>
      <c r="F123" s="262"/>
      <c r="G123" s="262"/>
      <c r="H123" s="262"/>
      <c r="I123" s="262"/>
      <c r="J123" s="262"/>
      <c r="K123" s="262"/>
      <c r="L123" s="262"/>
      <c r="M123" s="262"/>
      <c r="N123" s="262"/>
      <c r="AC123" s="282"/>
      <c r="AD123" s="282"/>
      <c r="AE123" s="282"/>
      <c r="AF123" s="282"/>
      <c r="AG123" s="282"/>
      <c r="AH123" s="282"/>
      <c r="AI123" s="282"/>
      <c r="AJ123" s="282"/>
      <c r="AK123" s="282"/>
      <c r="AL123" s="282"/>
      <c r="AM123" s="282"/>
      <c r="AN123" s="282"/>
      <c r="AO123" s="282"/>
    </row>
    <row r="124" spans="1:53" s="263" customFormat="1" ht="8.65" customHeight="1" x14ac:dyDescent="0.25">
      <c r="A124" s="263" t="s">
        <v>23</v>
      </c>
      <c r="B124" s="266">
        <f>SUM(D124+N124)</f>
        <v>85</v>
      </c>
      <c r="C124" s="266"/>
      <c r="D124" s="266">
        <f>SUM(E124+G124+K124+L124+M124)</f>
        <v>84</v>
      </c>
      <c r="E124" s="266">
        <v>23</v>
      </c>
      <c r="F124" s="266"/>
      <c r="G124" s="266">
        <f>SUM(H124:J124)</f>
        <v>48</v>
      </c>
      <c r="H124" s="266">
        <v>8</v>
      </c>
      <c r="I124" s="266">
        <v>7</v>
      </c>
      <c r="J124" s="266">
        <v>33</v>
      </c>
      <c r="K124" s="266">
        <v>11</v>
      </c>
      <c r="L124" s="266">
        <v>0</v>
      </c>
      <c r="M124" s="266">
        <v>2</v>
      </c>
      <c r="N124" s="266">
        <v>1</v>
      </c>
      <c r="AC124" s="282"/>
      <c r="AD124" s="282"/>
      <c r="AE124" s="282"/>
      <c r="AF124" s="282"/>
      <c r="AG124" s="282"/>
      <c r="AH124" s="282"/>
      <c r="AI124" s="282"/>
      <c r="AJ124" s="282"/>
      <c r="AK124" s="282"/>
      <c r="AL124" s="282"/>
      <c r="AM124" s="282"/>
      <c r="AN124" s="282"/>
      <c r="AO124" s="282"/>
    </row>
    <row r="125" spans="1:53" s="263" customFormat="1" ht="8.65" customHeight="1" x14ac:dyDescent="0.25">
      <c r="A125" s="263" t="s">
        <v>24</v>
      </c>
      <c r="B125" s="266">
        <f>SUM(D125+N125)</f>
        <v>250</v>
      </c>
      <c r="C125" s="266"/>
      <c r="D125" s="266">
        <f>SUM(E125+G125+K125+L125+M125)</f>
        <v>248</v>
      </c>
      <c r="E125" s="266">
        <v>179</v>
      </c>
      <c r="F125" s="266"/>
      <c r="G125" s="266">
        <f>SUM(H125:J125)</f>
        <v>67</v>
      </c>
      <c r="H125" s="266">
        <v>11</v>
      </c>
      <c r="I125" s="266">
        <v>9</v>
      </c>
      <c r="J125" s="266">
        <v>47</v>
      </c>
      <c r="K125" s="266">
        <v>1</v>
      </c>
      <c r="L125" s="266">
        <v>0</v>
      </c>
      <c r="M125" s="266">
        <v>1</v>
      </c>
      <c r="N125" s="266">
        <v>2</v>
      </c>
      <c r="AC125" s="282"/>
      <c r="AD125" s="282"/>
      <c r="AE125" s="282"/>
      <c r="AF125" s="282"/>
      <c r="AG125" s="282"/>
      <c r="AH125" s="282"/>
      <c r="AI125" s="282"/>
      <c r="AJ125" s="282"/>
      <c r="AK125" s="282"/>
      <c r="AL125" s="282"/>
      <c r="AM125" s="282"/>
      <c r="AN125" s="282"/>
      <c r="AO125" s="282"/>
    </row>
    <row r="126" spans="1:53" s="263" customFormat="1" ht="8.65" customHeight="1" x14ac:dyDescent="0.25">
      <c r="A126" s="263" t="s">
        <v>25</v>
      </c>
      <c r="B126" s="266">
        <f>SUM(D126+N126)</f>
        <v>20</v>
      </c>
      <c r="C126" s="266"/>
      <c r="D126" s="266">
        <f t="shared" ref="D126:D155" si="13">SUM(E126+G126+K126+L126+M126)</f>
        <v>20</v>
      </c>
      <c r="E126" s="266">
        <v>10</v>
      </c>
      <c r="F126" s="266"/>
      <c r="G126" s="266">
        <f t="shared" ref="G126:G155" si="14">SUM(H126:J126)</f>
        <v>10</v>
      </c>
      <c r="H126" s="266">
        <v>0</v>
      </c>
      <c r="I126" s="266">
        <v>0</v>
      </c>
      <c r="J126" s="266">
        <v>10</v>
      </c>
      <c r="K126" s="266">
        <v>0</v>
      </c>
      <c r="L126" s="266">
        <v>0</v>
      </c>
      <c r="M126" s="266">
        <v>0</v>
      </c>
      <c r="N126" s="266">
        <v>0</v>
      </c>
      <c r="AC126" s="282"/>
      <c r="AD126" s="282"/>
      <c r="AE126" s="282"/>
      <c r="AF126" s="282"/>
      <c r="AG126" s="282"/>
      <c r="AH126" s="282"/>
      <c r="AI126" s="282"/>
      <c r="AJ126" s="282"/>
      <c r="AK126" s="282"/>
      <c r="AL126" s="282"/>
      <c r="AM126" s="282"/>
      <c r="AN126" s="282"/>
      <c r="AO126" s="282"/>
    </row>
    <row r="127" spans="1:53" s="263" customFormat="1" ht="8.65" customHeight="1" x14ac:dyDescent="0.25">
      <c r="A127" s="267" t="s">
        <v>26</v>
      </c>
      <c r="B127" s="268">
        <f>SUM(D127+N127)</f>
        <v>28</v>
      </c>
      <c r="C127" s="268"/>
      <c r="D127" s="268">
        <f t="shared" si="13"/>
        <v>27</v>
      </c>
      <c r="E127" s="268">
        <v>19</v>
      </c>
      <c r="F127" s="268"/>
      <c r="G127" s="268">
        <f t="shared" si="14"/>
        <v>8</v>
      </c>
      <c r="H127" s="268">
        <v>2</v>
      </c>
      <c r="I127" s="268">
        <v>1</v>
      </c>
      <c r="J127" s="268">
        <v>5</v>
      </c>
      <c r="K127" s="268">
        <v>0</v>
      </c>
      <c r="L127" s="268">
        <v>0</v>
      </c>
      <c r="M127" s="268">
        <v>0</v>
      </c>
      <c r="N127" s="268">
        <v>1</v>
      </c>
      <c r="AC127" s="282"/>
      <c r="AD127" s="282"/>
      <c r="AE127" s="282"/>
      <c r="AF127" s="282"/>
      <c r="AG127" s="282"/>
      <c r="AH127" s="282"/>
      <c r="AI127" s="282"/>
      <c r="AJ127" s="282"/>
      <c r="AK127" s="282"/>
      <c r="AL127" s="282"/>
      <c r="AM127" s="282"/>
      <c r="AN127" s="282"/>
      <c r="AO127" s="282"/>
    </row>
    <row r="128" spans="1:53" s="263" customFormat="1" ht="8.65" customHeight="1" x14ac:dyDescent="0.25">
      <c r="A128" s="263" t="s">
        <v>27</v>
      </c>
      <c r="B128" s="266">
        <f t="shared" ref="B128:B155" si="15">SUM(D128+N128)</f>
        <v>118</v>
      </c>
      <c r="C128" s="266"/>
      <c r="D128" s="266">
        <f t="shared" si="13"/>
        <v>110</v>
      </c>
      <c r="E128" s="266">
        <v>56</v>
      </c>
      <c r="F128" s="266"/>
      <c r="G128" s="266">
        <f t="shared" si="14"/>
        <v>49</v>
      </c>
      <c r="H128" s="266">
        <v>10</v>
      </c>
      <c r="I128" s="266">
        <v>8</v>
      </c>
      <c r="J128" s="266">
        <v>31</v>
      </c>
      <c r="K128" s="266">
        <v>3</v>
      </c>
      <c r="L128" s="266">
        <v>0</v>
      </c>
      <c r="M128" s="266">
        <v>2</v>
      </c>
      <c r="N128" s="266">
        <v>8</v>
      </c>
      <c r="AC128" s="282"/>
      <c r="AD128" s="282"/>
      <c r="AE128" s="282"/>
      <c r="AF128" s="282"/>
      <c r="AG128" s="282"/>
      <c r="AH128" s="282"/>
      <c r="AI128" s="282"/>
      <c r="AJ128" s="282"/>
      <c r="AK128" s="282"/>
      <c r="AL128" s="282"/>
      <c r="AM128" s="282"/>
      <c r="AN128" s="282"/>
      <c r="AO128" s="282"/>
    </row>
    <row r="129" spans="1:41" s="263" customFormat="1" ht="8.65" customHeight="1" x14ac:dyDescent="0.25">
      <c r="A129" s="263" t="s">
        <v>28</v>
      </c>
      <c r="B129" s="266">
        <f t="shared" si="15"/>
        <v>23</v>
      </c>
      <c r="C129" s="266"/>
      <c r="D129" s="266">
        <f t="shared" si="13"/>
        <v>23</v>
      </c>
      <c r="E129" s="266">
        <v>19</v>
      </c>
      <c r="F129" s="266"/>
      <c r="G129" s="266">
        <f t="shared" si="14"/>
        <v>4</v>
      </c>
      <c r="H129" s="266">
        <v>1</v>
      </c>
      <c r="I129" s="266">
        <v>2</v>
      </c>
      <c r="J129" s="266">
        <v>1</v>
      </c>
      <c r="K129" s="266">
        <v>0</v>
      </c>
      <c r="L129" s="266">
        <v>0</v>
      </c>
      <c r="M129" s="266">
        <v>0</v>
      </c>
      <c r="N129" s="266">
        <v>0</v>
      </c>
      <c r="AC129" s="282"/>
      <c r="AD129" s="282"/>
      <c r="AE129" s="282"/>
      <c r="AF129" s="282"/>
      <c r="AG129" s="282"/>
      <c r="AH129" s="282"/>
      <c r="AI129" s="282"/>
      <c r="AJ129" s="282"/>
      <c r="AK129" s="282"/>
      <c r="AL129" s="282"/>
      <c r="AM129" s="282"/>
      <c r="AN129" s="282"/>
      <c r="AO129" s="282"/>
    </row>
    <row r="130" spans="1:41" s="263" customFormat="1" ht="8.65" customHeight="1" x14ac:dyDescent="0.25">
      <c r="A130" s="263" t="s">
        <v>29</v>
      </c>
      <c r="B130" s="266">
        <f t="shared" si="15"/>
        <v>183</v>
      </c>
      <c r="C130" s="266"/>
      <c r="D130" s="266">
        <f t="shared" si="13"/>
        <v>178</v>
      </c>
      <c r="E130" s="266">
        <v>81</v>
      </c>
      <c r="F130" s="266"/>
      <c r="G130" s="266">
        <f t="shared" si="14"/>
        <v>96</v>
      </c>
      <c r="H130" s="266">
        <v>19</v>
      </c>
      <c r="I130" s="266">
        <v>13</v>
      </c>
      <c r="J130" s="266">
        <v>64</v>
      </c>
      <c r="K130" s="266">
        <v>0</v>
      </c>
      <c r="L130" s="266">
        <v>0</v>
      </c>
      <c r="M130" s="266">
        <v>1</v>
      </c>
      <c r="N130" s="266">
        <v>5</v>
      </c>
      <c r="AC130" s="282"/>
      <c r="AD130" s="282"/>
      <c r="AE130" s="282"/>
      <c r="AF130" s="282"/>
      <c r="AG130" s="282"/>
      <c r="AH130" s="282"/>
      <c r="AI130" s="282"/>
      <c r="AJ130" s="282"/>
      <c r="AK130" s="282"/>
      <c r="AL130" s="282"/>
      <c r="AM130" s="282"/>
      <c r="AN130" s="282"/>
      <c r="AO130" s="282"/>
    </row>
    <row r="131" spans="1:41" s="263" customFormat="1" ht="8.65" customHeight="1" x14ac:dyDescent="0.25">
      <c r="A131" s="267" t="s">
        <v>30</v>
      </c>
      <c r="B131" s="268">
        <f t="shared" si="15"/>
        <v>363</v>
      </c>
      <c r="C131" s="268"/>
      <c r="D131" s="268">
        <f t="shared" si="13"/>
        <v>349</v>
      </c>
      <c r="E131" s="268">
        <v>85</v>
      </c>
      <c r="F131" s="268"/>
      <c r="G131" s="268">
        <f t="shared" si="14"/>
        <v>219</v>
      </c>
      <c r="H131" s="268">
        <v>26</v>
      </c>
      <c r="I131" s="268">
        <v>25</v>
      </c>
      <c r="J131" s="268">
        <v>168</v>
      </c>
      <c r="K131" s="268">
        <v>14</v>
      </c>
      <c r="L131" s="268">
        <v>30</v>
      </c>
      <c r="M131" s="268">
        <v>1</v>
      </c>
      <c r="N131" s="268">
        <v>14</v>
      </c>
      <c r="AC131" s="282"/>
      <c r="AD131" s="282"/>
      <c r="AE131" s="282"/>
      <c r="AF131" s="282"/>
      <c r="AG131" s="282"/>
      <c r="AH131" s="282"/>
      <c r="AI131" s="282"/>
      <c r="AJ131" s="282"/>
      <c r="AK131" s="282"/>
      <c r="AL131" s="282"/>
      <c r="AM131" s="282"/>
      <c r="AN131" s="282"/>
      <c r="AO131" s="282"/>
    </row>
    <row r="132" spans="1:41" s="263" customFormat="1" ht="8.65" customHeight="1" x14ac:dyDescent="0.25">
      <c r="A132" s="263" t="s">
        <v>63</v>
      </c>
      <c r="B132" s="266">
        <f t="shared" si="15"/>
        <v>2481</v>
      </c>
      <c r="C132" s="266"/>
      <c r="D132" s="266">
        <f t="shared" si="13"/>
        <v>2405</v>
      </c>
      <c r="E132" s="266">
        <v>544</v>
      </c>
      <c r="F132" s="266"/>
      <c r="G132" s="266">
        <f t="shared" si="14"/>
        <v>1130</v>
      </c>
      <c r="H132" s="266">
        <v>167</v>
      </c>
      <c r="I132" s="266">
        <v>175</v>
      </c>
      <c r="J132" s="266">
        <v>788</v>
      </c>
      <c r="K132" s="266">
        <v>137</v>
      </c>
      <c r="L132" s="266">
        <v>553</v>
      </c>
      <c r="M132" s="266">
        <v>41</v>
      </c>
      <c r="N132" s="266">
        <v>76</v>
      </c>
      <c r="AC132" s="282"/>
      <c r="AD132" s="282"/>
      <c r="AE132" s="282"/>
      <c r="AF132" s="282"/>
      <c r="AG132" s="282"/>
      <c r="AH132" s="282"/>
      <c r="AI132" s="282"/>
      <c r="AJ132" s="282"/>
      <c r="AK132" s="282"/>
      <c r="AL132" s="282"/>
      <c r="AM132" s="282"/>
      <c r="AN132" s="282"/>
      <c r="AO132" s="282"/>
    </row>
    <row r="133" spans="1:41" s="263" customFormat="1" ht="8.65" customHeight="1" x14ac:dyDescent="0.25">
      <c r="A133" s="263" t="s">
        <v>31</v>
      </c>
      <c r="B133" s="266">
        <f t="shared" si="15"/>
        <v>80</v>
      </c>
      <c r="C133" s="266"/>
      <c r="D133" s="266">
        <f t="shared" si="13"/>
        <v>79</v>
      </c>
      <c r="E133" s="266">
        <v>36</v>
      </c>
      <c r="F133" s="266"/>
      <c r="G133" s="266">
        <f t="shared" si="14"/>
        <v>37</v>
      </c>
      <c r="H133" s="266">
        <v>7</v>
      </c>
      <c r="I133" s="266">
        <v>4</v>
      </c>
      <c r="J133" s="266">
        <v>26</v>
      </c>
      <c r="K133" s="266">
        <v>1</v>
      </c>
      <c r="L133" s="266">
        <v>4</v>
      </c>
      <c r="M133" s="266">
        <v>1</v>
      </c>
      <c r="N133" s="266">
        <v>1</v>
      </c>
      <c r="AC133" s="282"/>
      <c r="AD133" s="282"/>
      <c r="AE133" s="282"/>
      <c r="AF133" s="282"/>
      <c r="AG133" s="282"/>
      <c r="AH133" s="282"/>
      <c r="AI133" s="282"/>
      <c r="AJ133" s="282"/>
      <c r="AK133" s="282"/>
      <c r="AL133" s="282"/>
      <c r="AM133" s="282"/>
      <c r="AN133" s="282"/>
      <c r="AO133" s="282"/>
    </row>
    <row r="134" spans="1:41" s="263" customFormat="1" ht="8.65" customHeight="1" x14ac:dyDescent="0.25">
      <c r="A134" s="263" t="s">
        <v>32</v>
      </c>
      <c r="B134" s="266">
        <f t="shared" si="15"/>
        <v>458</v>
      </c>
      <c r="C134" s="266"/>
      <c r="D134" s="266">
        <f t="shared" si="13"/>
        <v>451</v>
      </c>
      <c r="E134" s="266">
        <v>214</v>
      </c>
      <c r="F134" s="266"/>
      <c r="G134" s="266">
        <f t="shared" si="14"/>
        <v>199</v>
      </c>
      <c r="H134" s="266">
        <v>33</v>
      </c>
      <c r="I134" s="266">
        <v>30</v>
      </c>
      <c r="J134" s="266">
        <v>136</v>
      </c>
      <c r="K134" s="266">
        <v>20</v>
      </c>
      <c r="L134" s="266">
        <v>9</v>
      </c>
      <c r="M134" s="266">
        <v>9</v>
      </c>
      <c r="N134" s="266">
        <v>7</v>
      </c>
      <c r="AC134" s="282"/>
      <c r="AD134" s="282"/>
      <c r="AE134" s="282"/>
      <c r="AF134" s="282"/>
      <c r="AG134" s="282"/>
      <c r="AH134" s="282"/>
      <c r="AI134" s="282"/>
      <c r="AJ134" s="282"/>
      <c r="AK134" s="282"/>
      <c r="AL134" s="282"/>
      <c r="AM134" s="282"/>
      <c r="AN134" s="282"/>
      <c r="AO134" s="282"/>
    </row>
    <row r="135" spans="1:41" s="263" customFormat="1" ht="8.65" customHeight="1" x14ac:dyDescent="0.25">
      <c r="A135" s="267" t="s">
        <v>33</v>
      </c>
      <c r="B135" s="268">
        <f t="shared" si="15"/>
        <v>234</v>
      </c>
      <c r="C135" s="268"/>
      <c r="D135" s="268">
        <f t="shared" si="13"/>
        <v>234</v>
      </c>
      <c r="E135" s="268">
        <v>87</v>
      </c>
      <c r="F135" s="268"/>
      <c r="G135" s="268">
        <f t="shared" si="14"/>
        <v>141</v>
      </c>
      <c r="H135" s="268">
        <v>23</v>
      </c>
      <c r="I135" s="268">
        <v>20</v>
      </c>
      <c r="J135" s="268">
        <v>98</v>
      </c>
      <c r="K135" s="268">
        <v>0</v>
      </c>
      <c r="L135" s="268">
        <v>0</v>
      </c>
      <c r="M135" s="268">
        <v>6</v>
      </c>
      <c r="N135" s="268">
        <v>0</v>
      </c>
      <c r="AC135" s="282"/>
      <c r="AD135" s="282"/>
      <c r="AE135" s="282"/>
      <c r="AF135" s="282"/>
      <c r="AG135" s="282"/>
      <c r="AH135" s="282"/>
      <c r="AI135" s="282"/>
      <c r="AJ135" s="282"/>
      <c r="AK135" s="282"/>
      <c r="AL135" s="282"/>
      <c r="AM135" s="282"/>
      <c r="AN135" s="282"/>
      <c r="AO135" s="282"/>
    </row>
    <row r="136" spans="1:41" s="263" customFormat="1" ht="8.65" customHeight="1" x14ac:dyDescent="0.25">
      <c r="A136" s="263" t="s">
        <v>34</v>
      </c>
      <c r="B136" s="266">
        <f t="shared" si="15"/>
        <v>275</v>
      </c>
      <c r="C136" s="266"/>
      <c r="D136" s="266">
        <f t="shared" si="13"/>
        <v>268</v>
      </c>
      <c r="E136" s="266">
        <v>108</v>
      </c>
      <c r="F136" s="266"/>
      <c r="G136" s="266">
        <f t="shared" si="14"/>
        <v>152</v>
      </c>
      <c r="H136" s="266">
        <v>31</v>
      </c>
      <c r="I136" s="266">
        <v>19</v>
      </c>
      <c r="J136" s="266">
        <v>102</v>
      </c>
      <c r="K136" s="266">
        <v>1</v>
      </c>
      <c r="L136" s="266">
        <v>0</v>
      </c>
      <c r="M136" s="266">
        <v>7</v>
      </c>
      <c r="N136" s="266">
        <v>7</v>
      </c>
      <c r="AC136" s="282"/>
      <c r="AD136" s="282"/>
      <c r="AE136" s="282"/>
      <c r="AF136" s="282"/>
      <c r="AG136" s="282"/>
      <c r="AH136" s="282"/>
      <c r="AI136" s="282"/>
      <c r="AJ136" s="282"/>
      <c r="AK136" s="282"/>
      <c r="AL136" s="282"/>
      <c r="AM136" s="282"/>
      <c r="AN136" s="282"/>
      <c r="AO136" s="282"/>
    </row>
    <row r="137" spans="1:41" s="263" customFormat="1" ht="8.65" customHeight="1" x14ac:dyDescent="0.25">
      <c r="A137" s="263" t="s">
        <v>35</v>
      </c>
      <c r="B137" s="266">
        <f t="shared" si="15"/>
        <v>454</v>
      </c>
      <c r="C137" s="266"/>
      <c r="D137" s="266">
        <f t="shared" si="13"/>
        <v>439</v>
      </c>
      <c r="E137" s="266">
        <v>131</v>
      </c>
      <c r="F137" s="266"/>
      <c r="G137" s="266">
        <f t="shared" si="14"/>
        <v>216</v>
      </c>
      <c r="H137" s="266">
        <v>46</v>
      </c>
      <c r="I137" s="266">
        <v>28</v>
      </c>
      <c r="J137" s="266">
        <v>142</v>
      </c>
      <c r="K137" s="266">
        <v>5</v>
      </c>
      <c r="L137" s="266">
        <v>83</v>
      </c>
      <c r="M137" s="266">
        <v>4</v>
      </c>
      <c r="N137" s="266">
        <v>15</v>
      </c>
      <c r="AC137" s="282"/>
      <c r="AD137" s="282"/>
      <c r="AE137" s="282"/>
      <c r="AF137" s="282"/>
      <c r="AG137" s="282"/>
      <c r="AH137" s="282"/>
      <c r="AI137" s="282"/>
      <c r="AJ137" s="282"/>
      <c r="AK137" s="282"/>
      <c r="AL137" s="282"/>
      <c r="AM137" s="282"/>
      <c r="AN137" s="282"/>
      <c r="AO137" s="282"/>
    </row>
    <row r="138" spans="1:41" s="263" customFormat="1" ht="8.65" customHeight="1" x14ac:dyDescent="0.25">
      <c r="A138" s="263" t="s">
        <v>36</v>
      </c>
      <c r="B138" s="266">
        <f t="shared" si="15"/>
        <v>1550</v>
      </c>
      <c r="C138" s="266"/>
      <c r="D138" s="266">
        <f t="shared" si="13"/>
        <v>1536</v>
      </c>
      <c r="E138" s="266">
        <v>716</v>
      </c>
      <c r="F138" s="266"/>
      <c r="G138" s="266">
        <f t="shared" si="14"/>
        <v>763</v>
      </c>
      <c r="H138" s="266">
        <v>140</v>
      </c>
      <c r="I138" s="266">
        <v>110</v>
      </c>
      <c r="J138" s="266">
        <v>513</v>
      </c>
      <c r="K138" s="266">
        <v>20</v>
      </c>
      <c r="L138" s="266">
        <v>7</v>
      </c>
      <c r="M138" s="266">
        <v>30</v>
      </c>
      <c r="N138" s="266">
        <v>14</v>
      </c>
      <c r="AC138" s="282"/>
      <c r="AD138" s="282"/>
      <c r="AE138" s="282"/>
      <c r="AF138" s="282"/>
      <c r="AG138" s="282"/>
      <c r="AH138" s="282"/>
      <c r="AI138" s="282"/>
      <c r="AJ138" s="282"/>
      <c r="AK138" s="282"/>
      <c r="AL138" s="282"/>
      <c r="AM138" s="282"/>
      <c r="AN138" s="282"/>
      <c r="AO138" s="282"/>
    </row>
    <row r="139" spans="1:41" s="263" customFormat="1" ht="8.65" customHeight="1" x14ac:dyDescent="0.25">
      <c r="A139" s="267" t="s">
        <v>37</v>
      </c>
      <c r="B139" s="268">
        <f t="shared" si="15"/>
        <v>635</v>
      </c>
      <c r="C139" s="268"/>
      <c r="D139" s="268">
        <v>633</v>
      </c>
      <c r="E139" s="268">
        <v>285</v>
      </c>
      <c r="F139" s="268"/>
      <c r="G139" s="268">
        <f t="shared" si="14"/>
        <v>285</v>
      </c>
      <c r="H139" s="268">
        <v>61</v>
      </c>
      <c r="I139" s="268">
        <v>41</v>
      </c>
      <c r="J139" s="268">
        <v>183</v>
      </c>
      <c r="K139" s="268">
        <v>24</v>
      </c>
      <c r="L139" s="268">
        <v>32</v>
      </c>
      <c r="M139" s="268">
        <v>7</v>
      </c>
      <c r="N139" s="268">
        <v>2</v>
      </c>
      <c r="AC139" s="282"/>
      <c r="AD139" s="282"/>
      <c r="AE139" s="282"/>
      <c r="AF139" s="282"/>
      <c r="AG139" s="282"/>
      <c r="AH139" s="282"/>
      <c r="AI139" s="282"/>
      <c r="AJ139" s="282"/>
      <c r="AK139" s="282"/>
      <c r="AL139" s="282"/>
      <c r="AM139" s="282"/>
      <c r="AN139" s="282"/>
      <c r="AO139" s="282"/>
    </row>
    <row r="140" spans="1:41" s="263" customFormat="1" ht="8.65" customHeight="1" x14ac:dyDescent="0.25">
      <c r="A140" s="263" t="s">
        <v>38</v>
      </c>
      <c r="B140" s="266">
        <f t="shared" si="15"/>
        <v>164</v>
      </c>
      <c r="C140" s="266"/>
      <c r="D140" s="266">
        <f t="shared" si="13"/>
        <v>159</v>
      </c>
      <c r="E140" s="266">
        <v>67</v>
      </c>
      <c r="F140" s="266"/>
      <c r="G140" s="266">
        <f t="shared" si="14"/>
        <v>90</v>
      </c>
      <c r="H140" s="266">
        <v>19</v>
      </c>
      <c r="I140" s="266">
        <v>15</v>
      </c>
      <c r="J140" s="266">
        <v>56</v>
      </c>
      <c r="K140" s="266">
        <v>1</v>
      </c>
      <c r="L140" s="266">
        <v>0</v>
      </c>
      <c r="M140" s="266">
        <v>1</v>
      </c>
      <c r="N140" s="266">
        <v>5</v>
      </c>
      <c r="AC140" s="282"/>
      <c r="AD140" s="282"/>
      <c r="AE140" s="282"/>
      <c r="AF140" s="282"/>
      <c r="AG140" s="282"/>
      <c r="AH140" s="282"/>
      <c r="AI140" s="282"/>
      <c r="AJ140" s="282"/>
      <c r="AK140" s="282"/>
      <c r="AL140" s="282"/>
      <c r="AM140" s="282"/>
      <c r="AN140" s="282"/>
      <c r="AO140" s="282"/>
    </row>
    <row r="141" spans="1:41" s="263" customFormat="1" ht="8.65" customHeight="1" x14ac:dyDescent="0.25">
      <c r="A141" s="263" t="s">
        <v>39</v>
      </c>
      <c r="B141" s="266">
        <f t="shared" si="15"/>
        <v>30</v>
      </c>
      <c r="C141" s="266"/>
      <c r="D141" s="266">
        <f t="shared" si="13"/>
        <v>30</v>
      </c>
      <c r="E141" s="266">
        <v>18</v>
      </c>
      <c r="F141" s="266"/>
      <c r="G141" s="266">
        <f t="shared" si="14"/>
        <v>12</v>
      </c>
      <c r="H141" s="266">
        <v>6</v>
      </c>
      <c r="I141" s="266">
        <v>1</v>
      </c>
      <c r="J141" s="266">
        <v>5</v>
      </c>
      <c r="K141" s="266">
        <v>0</v>
      </c>
      <c r="L141" s="266">
        <v>0</v>
      </c>
      <c r="M141" s="266">
        <v>0</v>
      </c>
      <c r="N141" s="266">
        <v>0</v>
      </c>
      <c r="AC141" s="282"/>
      <c r="AD141" s="282"/>
      <c r="AE141" s="282"/>
      <c r="AF141" s="282"/>
      <c r="AG141" s="282"/>
      <c r="AH141" s="282"/>
      <c r="AI141" s="282"/>
      <c r="AJ141" s="282"/>
      <c r="AK141" s="282"/>
      <c r="AL141" s="282"/>
      <c r="AM141" s="282"/>
      <c r="AN141" s="282"/>
      <c r="AO141" s="282"/>
    </row>
    <row r="142" spans="1:41" s="263" customFormat="1" ht="8.65" customHeight="1" x14ac:dyDescent="0.25">
      <c r="A142" s="263" t="s">
        <v>40</v>
      </c>
      <c r="B142" s="266">
        <f t="shared" si="15"/>
        <v>411</v>
      </c>
      <c r="C142" s="266"/>
      <c r="D142" s="266">
        <f t="shared" si="13"/>
        <v>370</v>
      </c>
      <c r="E142" s="266">
        <v>76</v>
      </c>
      <c r="F142" s="266"/>
      <c r="G142" s="266">
        <f t="shared" si="14"/>
        <v>175</v>
      </c>
      <c r="H142" s="266">
        <v>27</v>
      </c>
      <c r="I142" s="266">
        <v>38</v>
      </c>
      <c r="J142" s="266">
        <v>110</v>
      </c>
      <c r="K142" s="266">
        <v>0</v>
      </c>
      <c r="L142" s="266">
        <v>108</v>
      </c>
      <c r="M142" s="266">
        <v>11</v>
      </c>
      <c r="N142" s="266">
        <v>41</v>
      </c>
      <c r="AC142" s="282"/>
      <c r="AD142" s="282"/>
      <c r="AE142" s="282"/>
      <c r="AF142" s="282"/>
      <c r="AG142" s="282"/>
      <c r="AH142" s="282"/>
      <c r="AI142" s="282"/>
      <c r="AJ142" s="282"/>
      <c r="AK142" s="282"/>
      <c r="AL142" s="282"/>
      <c r="AM142" s="282"/>
      <c r="AN142" s="282"/>
      <c r="AO142" s="282"/>
    </row>
    <row r="143" spans="1:41" s="263" customFormat="1" ht="8.65" customHeight="1" x14ac:dyDescent="0.25">
      <c r="A143" s="267" t="s">
        <v>41</v>
      </c>
      <c r="B143" s="268">
        <f t="shared" si="15"/>
        <v>142</v>
      </c>
      <c r="C143" s="268"/>
      <c r="D143" s="268">
        <f t="shared" si="13"/>
        <v>136</v>
      </c>
      <c r="E143" s="268">
        <v>63</v>
      </c>
      <c r="F143" s="268"/>
      <c r="G143" s="268">
        <f t="shared" si="14"/>
        <v>63</v>
      </c>
      <c r="H143" s="268">
        <v>14</v>
      </c>
      <c r="I143" s="268">
        <v>8</v>
      </c>
      <c r="J143" s="268">
        <v>41</v>
      </c>
      <c r="K143" s="268">
        <v>1</v>
      </c>
      <c r="L143" s="268">
        <v>0</v>
      </c>
      <c r="M143" s="268">
        <v>9</v>
      </c>
      <c r="N143" s="268">
        <v>6</v>
      </c>
      <c r="AC143" s="282"/>
      <c r="AD143" s="282"/>
      <c r="AE143" s="282"/>
      <c r="AF143" s="282"/>
      <c r="AG143" s="282"/>
      <c r="AH143" s="282"/>
      <c r="AI143" s="282"/>
      <c r="AJ143" s="282"/>
      <c r="AK143" s="282"/>
      <c r="AL143" s="282"/>
      <c r="AM143" s="282"/>
      <c r="AN143" s="282"/>
      <c r="AO143" s="282"/>
    </row>
    <row r="144" spans="1:41" s="263" customFormat="1" ht="8.65" customHeight="1" x14ac:dyDescent="0.25">
      <c r="A144" s="263" t="s">
        <v>42</v>
      </c>
      <c r="B144" s="266">
        <f t="shared" si="15"/>
        <v>514</v>
      </c>
      <c r="C144" s="266"/>
      <c r="D144" s="266">
        <f t="shared" si="13"/>
        <v>502</v>
      </c>
      <c r="E144" s="266">
        <v>172</v>
      </c>
      <c r="F144" s="266"/>
      <c r="G144" s="266">
        <f t="shared" si="14"/>
        <v>276</v>
      </c>
      <c r="H144" s="266">
        <v>39</v>
      </c>
      <c r="I144" s="266">
        <v>30</v>
      </c>
      <c r="J144" s="266">
        <v>207</v>
      </c>
      <c r="K144" s="266">
        <v>37</v>
      </c>
      <c r="L144" s="266">
        <v>8</v>
      </c>
      <c r="M144" s="266">
        <v>9</v>
      </c>
      <c r="N144" s="266">
        <v>12</v>
      </c>
      <c r="AC144" s="282"/>
      <c r="AD144" s="282"/>
      <c r="AE144" s="282"/>
      <c r="AF144" s="282"/>
      <c r="AG144" s="282"/>
      <c r="AH144" s="282"/>
      <c r="AI144" s="282"/>
      <c r="AJ144" s="282"/>
      <c r="AK144" s="282"/>
      <c r="AL144" s="282"/>
      <c r="AM144" s="282"/>
      <c r="AN144" s="282"/>
      <c r="AO144" s="282"/>
    </row>
    <row r="145" spans="1:41" s="263" customFormat="1" ht="8.65" customHeight="1" x14ac:dyDescent="0.25">
      <c r="A145" s="263" t="s">
        <v>43</v>
      </c>
      <c r="B145" s="266">
        <f t="shared" si="15"/>
        <v>93</v>
      </c>
      <c r="C145" s="266"/>
      <c r="D145" s="266">
        <f t="shared" si="13"/>
        <v>93</v>
      </c>
      <c r="E145" s="266">
        <v>41</v>
      </c>
      <c r="F145" s="266"/>
      <c r="G145" s="266">
        <f t="shared" si="14"/>
        <v>49</v>
      </c>
      <c r="H145" s="266">
        <v>8</v>
      </c>
      <c r="I145" s="266">
        <v>6</v>
      </c>
      <c r="J145" s="266">
        <v>35</v>
      </c>
      <c r="K145" s="266">
        <v>0</v>
      </c>
      <c r="L145" s="266">
        <v>0</v>
      </c>
      <c r="M145" s="266">
        <v>3</v>
      </c>
      <c r="N145" s="266">
        <v>0</v>
      </c>
      <c r="AC145" s="282"/>
      <c r="AD145" s="282"/>
      <c r="AE145" s="282"/>
      <c r="AF145" s="282"/>
      <c r="AG145" s="282"/>
      <c r="AH145" s="282"/>
      <c r="AI145" s="282"/>
      <c r="AJ145" s="282"/>
      <c r="AK145" s="282"/>
      <c r="AL145" s="282"/>
      <c r="AM145" s="282"/>
      <c r="AN145" s="282"/>
      <c r="AO145" s="282"/>
    </row>
    <row r="146" spans="1:41" s="263" customFormat="1" ht="8.65" customHeight="1" x14ac:dyDescent="0.25">
      <c r="A146" s="263" t="s">
        <v>44</v>
      </c>
      <c r="B146" s="266">
        <f t="shared" si="15"/>
        <v>46</v>
      </c>
      <c r="C146" s="266"/>
      <c r="D146" s="266">
        <f t="shared" si="13"/>
        <v>46</v>
      </c>
      <c r="E146" s="266">
        <v>31</v>
      </c>
      <c r="F146" s="266"/>
      <c r="G146" s="266">
        <f t="shared" si="14"/>
        <v>13</v>
      </c>
      <c r="H146" s="266">
        <v>1</v>
      </c>
      <c r="I146" s="266">
        <v>0</v>
      </c>
      <c r="J146" s="266">
        <v>12</v>
      </c>
      <c r="K146" s="266">
        <v>0</v>
      </c>
      <c r="L146" s="266">
        <v>0</v>
      </c>
      <c r="M146" s="266">
        <v>2</v>
      </c>
      <c r="N146" s="266">
        <v>0</v>
      </c>
      <c r="AC146" s="282"/>
      <c r="AD146" s="282"/>
      <c r="AE146" s="282"/>
      <c r="AF146" s="282"/>
      <c r="AG146" s="282"/>
      <c r="AH146" s="282"/>
      <c r="AI146" s="282"/>
      <c r="AJ146" s="282"/>
      <c r="AK146" s="282"/>
      <c r="AL146" s="282"/>
      <c r="AM146" s="282"/>
      <c r="AN146" s="282"/>
      <c r="AO146" s="282"/>
    </row>
    <row r="147" spans="1:41" s="263" customFormat="1" ht="8.65" customHeight="1" x14ac:dyDescent="0.25">
      <c r="A147" s="267" t="s">
        <v>45</v>
      </c>
      <c r="B147" s="268">
        <f t="shared" si="15"/>
        <v>138</v>
      </c>
      <c r="C147" s="268"/>
      <c r="D147" s="268">
        <f t="shared" si="13"/>
        <v>134</v>
      </c>
      <c r="E147" s="268">
        <v>26</v>
      </c>
      <c r="F147" s="268"/>
      <c r="G147" s="268">
        <f t="shared" si="14"/>
        <v>102</v>
      </c>
      <c r="H147" s="268">
        <v>21</v>
      </c>
      <c r="I147" s="268">
        <v>19</v>
      </c>
      <c r="J147" s="268">
        <v>62</v>
      </c>
      <c r="K147" s="268">
        <v>1</v>
      </c>
      <c r="L147" s="268">
        <v>0</v>
      </c>
      <c r="M147" s="268">
        <v>5</v>
      </c>
      <c r="N147" s="268">
        <v>4</v>
      </c>
      <c r="AC147" s="282"/>
      <c r="AD147" s="282"/>
      <c r="AE147" s="282"/>
      <c r="AF147" s="282"/>
      <c r="AG147" s="282"/>
      <c r="AH147" s="282"/>
      <c r="AI147" s="282"/>
      <c r="AJ147" s="282"/>
      <c r="AK147" s="282"/>
      <c r="AL147" s="282"/>
      <c r="AM147" s="282"/>
      <c r="AN147" s="282"/>
      <c r="AO147" s="282"/>
    </row>
    <row r="148" spans="1:41" s="263" customFormat="1" ht="8.65" customHeight="1" x14ac:dyDescent="0.25">
      <c r="A148" s="263" t="s">
        <v>46</v>
      </c>
      <c r="B148" s="266">
        <f t="shared" si="15"/>
        <v>89</v>
      </c>
      <c r="C148" s="266"/>
      <c r="D148" s="266">
        <f t="shared" si="13"/>
        <v>89</v>
      </c>
      <c r="E148" s="266">
        <v>53</v>
      </c>
      <c r="F148" s="266"/>
      <c r="G148" s="266">
        <f t="shared" si="14"/>
        <v>36</v>
      </c>
      <c r="H148" s="266">
        <v>15</v>
      </c>
      <c r="I148" s="266">
        <v>4</v>
      </c>
      <c r="J148" s="266">
        <v>17</v>
      </c>
      <c r="K148" s="266">
        <v>0</v>
      </c>
      <c r="L148" s="266">
        <v>0</v>
      </c>
      <c r="M148" s="266">
        <v>0</v>
      </c>
      <c r="N148" s="266">
        <v>0</v>
      </c>
      <c r="AC148" s="282"/>
      <c r="AD148" s="282"/>
      <c r="AE148" s="282"/>
      <c r="AF148" s="282"/>
      <c r="AG148" s="282"/>
      <c r="AH148" s="282"/>
      <c r="AI148" s="282"/>
      <c r="AJ148" s="282"/>
      <c r="AK148" s="282"/>
      <c r="AL148" s="282"/>
      <c r="AM148" s="282"/>
      <c r="AN148" s="282"/>
      <c r="AO148" s="282"/>
    </row>
    <row r="149" spans="1:41" s="263" customFormat="1" ht="8.65" customHeight="1" x14ac:dyDescent="0.25">
      <c r="A149" s="263" t="s">
        <v>47</v>
      </c>
      <c r="B149" s="266">
        <f t="shared" si="15"/>
        <v>137</v>
      </c>
      <c r="C149" s="266"/>
      <c r="D149" s="266">
        <f t="shared" si="13"/>
        <v>133</v>
      </c>
      <c r="E149" s="266">
        <v>67</v>
      </c>
      <c r="F149" s="266"/>
      <c r="G149" s="266">
        <f t="shared" si="14"/>
        <v>63</v>
      </c>
      <c r="H149" s="266">
        <v>11</v>
      </c>
      <c r="I149" s="266">
        <v>9</v>
      </c>
      <c r="J149" s="266">
        <v>43</v>
      </c>
      <c r="K149" s="266">
        <v>0</v>
      </c>
      <c r="L149" s="266">
        <v>0</v>
      </c>
      <c r="M149" s="266">
        <v>3</v>
      </c>
      <c r="N149" s="266">
        <v>4</v>
      </c>
      <c r="AC149" s="282"/>
      <c r="AD149" s="282"/>
      <c r="AE149" s="282"/>
      <c r="AF149" s="282"/>
      <c r="AG149" s="282"/>
      <c r="AH149" s="282"/>
      <c r="AI149" s="282"/>
      <c r="AJ149" s="282"/>
      <c r="AK149" s="282"/>
      <c r="AL149" s="282"/>
      <c r="AM149" s="282"/>
      <c r="AN149" s="282"/>
      <c r="AO149" s="282"/>
    </row>
    <row r="150" spans="1:41" s="263" customFormat="1" ht="8.65" customHeight="1" x14ac:dyDescent="0.25">
      <c r="A150" s="263" t="s">
        <v>48</v>
      </c>
      <c r="B150" s="266">
        <f t="shared" si="15"/>
        <v>175</v>
      </c>
      <c r="C150" s="266"/>
      <c r="D150" s="266">
        <f t="shared" si="13"/>
        <v>172</v>
      </c>
      <c r="E150" s="266">
        <v>81</v>
      </c>
      <c r="F150" s="266"/>
      <c r="G150" s="266">
        <f t="shared" si="14"/>
        <v>90</v>
      </c>
      <c r="H150" s="266">
        <v>9</v>
      </c>
      <c r="I150" s="266">
        <v>12</v>
      </c>
      <c r="J150" s="266">
        <v>69</v>
      </c>
      <c r="K150" s="266">
        <v>0</v>
      </c>
      <c r="L150" s="266">
        <v>0</v>
      </c>
      <c r="M150" s="266">
        <v>1</v>
      </c>
      <c r="N150" s="266">
        <v>3</v>
      </c>
      <c r="AC150" s="282"/>
      <c r="AD150" s="282"/>
      <c r="AE150" s="282"/>
      <c r="AF150" s="282"/>
      <c r="AG150" s="282"/>
      <c r="AH150" s="282"/>
      <c r="AI150" s="282"/>
      <c r="AJ150" s="282"/>
      <c r="AK150" s="282"/>
      <c r="AL150" s="282"/>
      <c r="AM150" s="282"/>
      <c r="AN150" s="282"/>
      <c r="AO150" s="282"/>
    </row>
    <row r="151" spans="1:41" s="263" customFormat="1" ht="8.65" customHeight="1" x14ac:dyDescent="0.25">
      <c r="A151" s="267" t="s">
        <v>49</v>
      </c>
      <c r="B151" s="268">
        <f t="shared" si="15"/>
        <v>213</v>
      </c>
      <c r="C151" s="268"/>
      <c r="D151" s="268">
        <f t="shared" si="13"/>
        <v>205</v>
      </c>
      <c r="E151" s="268">
        <v>97</v>
      </c>
      <c r="F151" s="268"/>
      <c r="G151" s="268">
        <f t="shared" si="14"/>
        <v>92</v>
      </c>
      <c r="H151" s="268">
        <v>15</v>
      </c>
      <c r="I151" s="268">
        <v>9</v>
      </c>
      <c r="J151" s="268">
        <v>68</v>
      </c>
      <c r="K151" s="268">
        <v>12</v>
      </c>
      <c r="L151" s="268">
        <v>0</v>
      </c>
      <c r="M151" s="268">
        <v>4</v>
      </c>
      <c r="N151" s="268">
        <v>8</v>
      </c>
      <c r="AC151" s="282"/>
      <c r="AD151" s="282"/>
      <c r="AE151" s="282"/>
      <c r="AF151" s="282"/>
      <c r="AG151" s="282"/>
      <c r="AH151" s="282"/>
      <c r="AI151" s="282"/>
      <c r="AJ151" s="282"/>
      <c r="AK151" s="282"/>
      <c r="AL151" s="282"/>
      <c r="AM151" s="282"/>
      <c r="AN151" s="282"/>
      <c r="AO151" s="282"/>
    </row>
    <row r="152" spans="1:41" s="263" customFormat="1" ht="8.65" customHeight="1" x14ac:dyDescent="0.25">
      <c r="A152" s="263" t="s">
        <v>50</v>
      </c>
      <c r="B152" s="266">
        <f t="shared" si="15"/>
        <v>101</v>
      </c>
      <c r="C152" s="266"/>
      <c r="D152" s="266">
        <f t="shared" si="13"/>
        <v>101</v>
      </c>
      <c r="E152" s="266">
        <v>67</v>
      </c>
      <c r="F152" s="266"/>
      <c r="G152" s="266">
        <f t="shared" si="14"/>
        <v>32</v>
      </c>
      <c r="H152" s="266">
        <v>8</v>
      </c>
      <c r="I152" s="266">
        <v>3</v>
      </c>
      <c r="J152" s="266">
        <v>21</v>
      </c>
      <c r="K152" s="266">
        <v>1</v>
      </c>
      <c r="L152" s="266">
        <v>0</v>
      </c>
      <c r="M152" s="266">
        <v>1</v>
      </c>
      <c r="N152" s="266">
        <v>0</v>
      </c>
      <c r="AC152" s="282"/>
      <c r="AD152" s="282"/>
      <c r="AE152" s="282"/>
      <c r="AF152" s="282"/>
      <c r="AG152" s="282"/>
      <c r="AH152" s="282"/>
      <c r="AI152" s="282"/>
      <c r="AJ152" s="282"/>
      <c r="AK152" s="282"/>
      <c r="AL152" s="282"/>
      <c r="AM152" s="282"/>
      <c r="AN152" s="282"/>
      <c r="AO152" s="282"/>
    </row>
    <row r="153" spans="1:41" s="263" customFormat="1" ht="8.65" customHeight="1" x14ac:dyDescent="0.25">
      <c r="A153" s="263" t="s">
        <v>51</v>
      </c>
      <c r="B153" s="266">
        <f t="shared" si="15"/>
        <v>478</v>
      </c>
      <c r="C153" s="266"/>
      <c r="D153" s="266">
        <f t="shared" si="13"/>
        <v>466</v>
      </c>
      <c r="E153" s="266">
        <v>206</v>
      </c>
      <c r="F153" s="266"/>
      <c r="G153" s="266">
        <f t="shared" si="14"/>
        <v>255</v>
      </c>
      <c r="H153" s="266">
        <v>48</v>
      </c>
      <c r="I153" s="266">
        <v>25</v>
      </c>
      <c r="J153" s="266">
        <v>182</v>
      </c>
      <c r="K153" s="266">
        <v>2</v>
      </c>
      <c r="L153" s="266">
        <v>0</v>
      </c>
      <c r="M153" s="266">
        <v>3</v>
      </c>
      <c r="N153" s="266">
        <v>12</v>
      </c>
      <c r="AC153" s="282"/>
      <c r="AD153" s="282"/>
      <c r="AE153" s="282"/>
      <c r="AF153" s="282"/>
      <c r="AG153" s="282"/>
      <c r="AH153" s="282"/>
      <c r="AI153" s="282"/>
      <c r="AJ153" s="282"/>
      <c r="AK153" s="282"/>
      <c r="AL153" s="282"/>
      <c r="AM153" s="282"/>
      <c r="AN153" s="282"/>
      <c r="AO153" s="282"/>
    </row>
    <row r="154" spans="1:41" s="263" customFormat="1" ht="8.65" customHeight="1" x14ac:dyDescent="0.25">
      <c r="A154" s="263" t="s">
        <v>52</v>
      </c>
      <c r="B154" s="266">
        <f t="shared" si="15"/>
        <v>100</v>
      </c>
      <c r="C154" s="266"/>
      <c r="D154" s="266">
        <f t="shared" si="13"/>
        <v>100</v>
      </c>
      <c r="E154" s="266">
        <v>39</v>
      </c>
      <c r="F154" s="266"/>
      <c r="G154" s="266">
        <f t="shared" si="14"/>
        <v>50</v>
      </c>
      <c r="H154" s="266">
        <v>16</v>
      </c>
      <c r="I154" s="266">
        <v>10</v>
      </c>
      <c r="J154" s="266">
        <v>24</v>
      </c>
      <c r="K154" s="266">
        <v>1</v>
      </c>
      <c r="L154" s="266">
        <v>4</v>
      </c>
      <c r="M154" s="266">
        <v>6</v>
      </c>
      <c r="N154" s="266">
        <v>0</v>
      </c>
      <c r="AC154" s="282"/>
      <c r="AD154" s="282"/>
      <c r="AE154" s="282"/>
      <c r="AF154" s="282"/>
      <c r="AG154" s="282"/>
      <c r="AH154" s="282"/>
      <c r="AI154" s="282"/>
      <c r="AJ154" s="282"/>
      <c r="AK154" s="282"/>
      <c r="AL154" s="282"/>
      <c r="AM154" s="282"/>
      <c r="AN154" s="282"/>
      <c r="AO154" s="282"/>
    </row>
    <row r="155" spans="1:41" s="263" customFormat="1" ht="8.65" customHeight="1" x14ac:dyDescent="0.25">
      <c r="A155" s="267" t="s">
        <v>53</v>
      </c>
      <c r="B155" s="268">
        <f t="shared" si="15"/>
        <v>65</v>
      </c>
      <c r="C155" s="268"/>
      <c r="D155" s="268">
        <f t="shared" si="13"/>
        <v>61</v>
      </c>
      <c r="E155" s="268">
        <v>32</v>
      </c>
      <c r="F155" s="268"/>
      <c r="G155" s="268">
        <f t="shared" si="14"/>
        <v>22</v>
      </c>
      <c r="H155" s="268">
        <v>4</v>
      </c>
      <c r="I155" s="268">
        <v>2</v>
      </c>
      <c r="J155" s="268">
        <v>16</v>
      </c>
      <c r="K155" s="268">
        <v>0</v>
      </c>
      <c r="L155" s="268">
        <v>0</v>
      </c>
      <c r="M155" s="268">
        <v>7</v>
      </c>
      <c r="N155" s="268">
        <v>4</v>
      </c>
      <c r="AC155" s="282"/>
      <c r="AD155" s="282"/>
      <c r="AE155" s="282"/>
      <c r="AF155" s="282"/>
      <c r="AG155" s="282"/>
      <c r="AH155" s="282"/>
      <c r="AI155" s="282"/>
      <c r="AJ155" s="282"/>
      <c r="AK155" s="282"/>
      <c r="AL155" s="282"/>
      <c r="AM155" s="282"/>
      <c r="AN155" s="282"/>
      <c r="AO155" s="282"/>
    </row>
    <row r="156" spans="1:41" ht="9" customHeight="1" x14ac:dyDescent="0.25">
      <c r="B156" s="259"/>
      <c r="C156" s="259"/>
      <c r="D156" s="259"/>
      <c r="E156" s="259"/>
      <c r="F156" s="259"/>
      <c r="G156" s="259"/>
      <c r="H156" s="259"/>
      <c r="I156" s="259"/>
      <c r="J156" s="259"/>
      <c r="K156" s="259"/>
      <c r="L156" s="259"/>
      <c r="AC156" s="282"/>
      <c r="AD156" s="282"/>
      <c r="AE156" s="282"/>
      <c r="AF156" s="282"/>
      <c r="AG156" s="282"/>
      <c r="AH156" s="282"/>
      <c r="AI156" s="282"/>
      <c r="AJ156" s="282"/>
      <c r="AK156" s="282"/>
      <c r="AL156" s="282"/>
      <c r="AM156" s="282"/>
      <c r="AN156" s="282"/>
      <c r="AO156" s="282"/>
    </row>
    <row r="157" spans="1:41" ht="9" customHeight="1" x14ac:dyDescent="0.25">
      <c r="A157" s="601">
        <v>2005</v>
      </c>
      <c r="B157" s="259"/>
      <c r="C157" s="259"/>
      <c r="D157" s="259"/>
      <c r="E157" s="259"/>
      <c r="F157" s="259"/>
      <c r="G157" s="259"/>
      <c r="H157" s="259"/>
      <c r="I157" s="259"/>
      <c r="J157" s="259"/>
      <c r="K157" s="259"/>
      <c r="L157" s="259"/>
      <c r="AC157" s="282"/>
      <c r="AD157" s="282"/>
      <c r="AE157" s="282"/>
      <c r="AF157" s="282"/>
      <c r="AG157" s="282"/>
      <c r="AH157" s="282"/>
      <c r="AI157" s="282"/>
      <c r="AJ157" s="282"/>
      <c r="AK157" s="282"/>
      <c r="AL157" s="282"/>
      <c r="AM157" s="282"/>
      <c r="AN157" s="282"/>
      <c r="AO157" s="282"/>
    </row>
    <row r="158" spans="1:41" s="265" customFormat="1" ht="9" customHeight="1" x14ac:dyDescent="0.25">
      <c r="A158" s="265" t="s">
        <v>21</v>
      </c>
      <c r="B158" s="262">
        <f>SUM(B160:B191)</f>
        <v>11485</v>
      </c>
      <c r="C158" s="262"/>
      <c r="D158" s="262">
        <f>SUM(D160:D191)</f>
        <v>11178</v>
      </c>
      <c r="E158" s="262">
        <f>SUM(E160:E191)</f>
        <v>3985</v>
      </c>
      <c r="F158" s="262"/>
      <c r="G158" s="262">
        <f t="shared" ref="G158:M158" si="16">SUM(G160:G191)</f>
        <v>5832</v>
      </c>
      <c r="H158" s="262">
        <f t="shared" si="16"/>
        <v>920</v>
      </c>
      <c r="I158" s="262">
        <f t="shared" si="16"/>
        <v>802</v>
      </c>
      <c r="J158" s="262">
        <f t="shared" si="16"/>
        <v>4110</v>
      </c>
      <c r="K158" s="262">
        <f t="shared" si="16"/>
        <v>302</v>
      </c>
      <c r="L158" s="262">
        <f t="shared" si="16"/>
        <v>846</v>
      </c>
      <c r="M158" s="262">
        <f t="shared" si="16"/>
        <v>213</v>
      </c>
      <c r="N158" s="262">
        <f>SUM(N160:N191)</f>
        <v>307</v>
      </c>
      <c r="AC158" s="282"/>
      <c r="AD158" s="282"/>
      <c r="AE158" s="282"/>
      <c r="AF158" s="282"/>
      <c r="AG158" s="282"/>
      <c r="AH158" s="282"/>
      <c r="AI158" s="282"/>
      <c r="AJ158" s="282"/>
      <c r="AK158" s="282"/>
      <c r="AL158" s="282"/>
      <c r="AM158" s="282"/>
      <c r="AN158" s="282"/>
      <c r="AO158" s="282"/>
    </row>
    <row r="159" spans="1:41" s="265" customFormat="1" ht="3" customHeight="1" x14ac:dyDescent="0.25">
      <c r="B159" s="262"/>
      <c r="C159" s="262"/>
      <c r="D159" s="262"/>
      <c r="E159" s="262"/>
      <c r="F159" s="262"/>
      <c r="G159" s="262"/>
      <c r="H159" s="262"/>
      <c r="I159" s="262"/>
      <c r="J159" s="262"/>
      <c r="K159" s="262"/>
      <c r="L159" s="262"/>
      <c r="M159" s="262"/>
      <c r="N159" s="262"/>
      <c r="AC159" s="282"/>
      <c r="AD159" s="282"/>
      <c r="AE159" s="282"/>
      <c r="AF159" s="282"/>
      <c r="AG159" s="282"/>
      <c r="AH159" s="282"/>
      <c r="AI159" s="282"/>
      <c r="AJ159" s="282"/>
      <c r="AK159" s="282"/>
      <c r="AL159" s="282"/>
      <c r="AM159" s="282"/>
      <c r="AN159" s="282"/>
      <c r="AO159" s="282"/>
    </row>
    <row r="160" spans="1:41" s="263" customFormat="1" ht="9" customHeight="1" x14ac:dyDescent="0.25">
      <c r="A160" s="550" t="s">
        <v>23</v>
      </c>
      <c r="B160" s="629">
        <f>SUM(D160+N160)</f>
        <v>117</v>
      </c>
      <c r="C160" s="629"/>
      <c r="D160" s="629">
        <f t="shared" ref="D160:D191" si="17">SUM(E160+G160+K160+L160+M160)</f>
        <v>114</v>
      </c>
      <c r="E160" s="629">
        <v>27</v>
      </c>
      <c r="F160" s="629"/>
      <c r="G160" s="629">
        <f>SUM(H160:J160)</f>
        <v>74</v>
      </c>
      <c r="H160" s="629">
        <v>11</v>
      </c>
      <c r="I160" s="629">
        <v>10</v>
      </c>
      <c r="J160" s="629">
        <v>53</v>
      </c>
      <c r="K160" s="629">
        <v>6</v>
      </c>
      <c r="L160" s="629">
        <v>4</v>
      </c>
      <c r="M160" s="629">
        <v>3</v>
      </c>
      <c r="N160" s="629">
        <v>3</v>
      </c>
      <c r="AC160" s="282"/>
      <c r="AD160" s="282"/>
      <c r="AE160" s="282"/>
      <c r="AF160" s="282"/>
      <c r="AG160" s="282"/>
      <c r="AH160" s="282"/>
      <c r="AI160" s="282"/>
      <c r="AJ160" s="282"/>
      <c r="AK160" s="282"/>
      <c r="AL160" s="282"/>
      <c r="AM160" s="282"/>
      <c r="AN160" s="282"/>
      <c r="AO160" s="282"/>
    </row>
    <row r="161" spans="1:41" s="263" customFormat="1" ht="9" customHeight="1" x14ac:dyDescent="0.25">
      <c r="A161" s="550" t="s">
        <v>24</v>
      </c>
      <c r="B161" s="629">
        <f>SUM(D161+N161)</f>
        <v>147</v>
      </c>
      <c r="C161" s="629"/>
      <c r="D161" s="629">
        <f t="shared" si="17"/>
        <v>147</v>
      </c>
      <c r="E161" s="629">
        <v>115</v>
      </c>
      <c r="F161" s="629"/>
      <c r="G161" s="629">
        <f>SUM(H161:J161)</f>
        <v>28</v>
      </c>
      <c r="H161" s="629">
        <v>7</v>
      </c>
      <c r="I161" s="629">
        <v>3</v>
      </c>
      <c r="J161" s="629">
        <v>18</v>
      </c>
      <c r="K161" s="629">
        <v>1</v>
      </c>
      <c r="L161" s="629">
        <v>3</v>
      </c>
      <c r="M161" s="629">
        <v>0</v>
      </c>
      <c r="N161" s="629">
        <v>0</v>
      </c>
      <c r="AC161" s="282"/>
      <c r="AD161" s="282"/>
      <c r="AE161" s="282"/>
      <c r="AF161" s="282"/>
      <c r="AG161" s="282"/>
      <c r="AH161" s="282"/>
      <c r="AI161" s="282"/>
      <c r="AJ161" s="282"/>
      <c r="AK161" s="282"/>
      <c r="AL161" s="282"/>
      <c r="AM161" s="282"/>
      <c r="AN161" s="282"/>
      <c r="AO161" s="282"/>
    </row>
    <row r="162" spans="1:41" s="263" customFormat="1" ht="9" customHeight="1" x14ac:dyDescent="0.25">
      <c r="A162" s="550" t="s">
        <v>25</v>
      </c>
      <c r="B162" s="629">
        <f>SUM(D162+N162)</f>
        <v>12</v>
      </c>
      <c r="C162" s="629"/>
      <c r="D162" s="629">
        <f t="shared" si="17"/>
        <v>12</v>
      </c>
      <c r="E162" s="629">
        <v>12</v>
      </c>
      <c r="F162" s="629"/>
      <c r="G162" s="629">
        <f t="shared" ref="G162:G191" si="18">SUM(H162:J162)</f>
        <v>0</v>
      </c>
      <c r="H162" s="629">
        <v>0</v>
      </c>
      <c r="I162" s="629">
        <v>0</v>
      </c>
      <c r="J162" s="629">
        <v>0</v>
      </c>
      <c r="K162" s="629">
        <v>0</v>
      </c>
      <c r="L162" s="629">
        <v>0</v>
      </c>
      <c r="M162" s="629">
        <v>0</v>
      </c>
      <c r="N162" s="629">
        <v>0</v>
      </c>
      <c r="AC162" s="282"/>
      <c r="AD162" s="282"/>
      <c r="AE162" s="282"/>
      <c r="AF162" s="282"/>
      <c r="AG162" s="282"/>
      <c r="AH162" s="282"/>
      <c r="AI162" s="282"/>
      <c r="AJ162" s="282"/>
      <c r="AK162" s="282"/>
      <c r="AL162" s="282"/>
      <c r="AM162" s="282"/>
      <c r="AN162" s="282"/>
      <c r="AO162" s="282"/>
    </row>
    <row r="163" spans="1:41" s="263" customFormat="1" ht="9" customHeight="1" x14ac:dyDescent="0.25">
      <c r="A163" s="603" t="s">
        <v>26</v>
      </c>
      <c r="B163" s="630">
        <f>SUM(D163+N163)</f>
        <v>35</v>
      </c>
      <c r="C163" s="630"/>
      <c r="D163" s="630">
        <f t="shared" si="17"/>
        <v>30</v>
      </c>
      <c r="E163" s="630">
        <v>22</v>
      </c>
      <c r="F163" s="630"/>
      <c r="G163" s="630">
        <f t="shared" si="18"/>
        <v>8</v>
      </c>
      <c r="H163" s="630">
        <v>2</v>
      </c>
      <c r="I163" s="630">
        <v>3</v>
      </c>
      <c r="J163" s="630">
        <v>3</v>
      </c>
      <c r="K163" s="630">
        <v>0</v>
      </c>
      <c r="L163" s="630">
        <v>0</v>
      </c>
      <c r="M163" s="630">
        <v>0</v>
      </c>
      <c r="N163" s="630">
        <v>5</v>
      </c>
      <c r="AC163" s="282"/>
      <c r="AD163" s="282"/>
      <c r="AE163" s="282"/>
      <c r="AF163" s="282"/>
      <c r="AG163" s="282"/>
      <c r="AH163" s="282"/>
      <c r="AI163" s="282"/>
      <c r="AJ163" s="282"/>
      <c r="AK163" s="282"/>
      <c r="AL163" s="282"/>
      <c r="AM163" s="282"/>
      <c r="AN163" s="282"/>
      <c r="AO163" s="282"/>
    </row>
    <row r="164" spans="1:41" s="263" customFormat="1" ht="9" customHeight="1" x14ac:dyDescent="0.25">
      <c r="A164" s="550" t="s">
        <v>27</v>
      </c>
      <c r="B164" s="629">
        <f t="shared" ref="B164:B191" si="19">SUM(D164+N164)</f>
        <v>97</v>
      </c>
      <c r="C164" s="629"/>
      <c r="D164" s="629">
        <f t="shared" si="17"/>
        <v>93</v>
      </c>
      <c r="E164" s="629">
        <v>39</v>
      </c>
      <c r="F164" s="629"/>
      <c r="G164" s="629">
        <f t="shared" si="18"/>
        <v>51</v>
      </c>
      <c r="H164" s="629">
        <v>12</v>
      </c>
      <c r="I164" s="629">
        <v>10</v>
      </c>
      <c r="J164" s="629">
        <v>29</v>
      </c>
      <c r="K164" s="629">
        <v>0</v>
      </c>
      <c r="L164" s="629">
        <v>0</v>
      </c>
      <c r="M164" s="629">
        <v>3</v>
      </c>
      <c r="N164" s="629">
        <v>4</v>
      </c>
      <c r="AC164" s="282"/>
      <c r="AD164" s="282"/>
      <c r="AE164" s="282"/>
      <c r="AF164" s="282"/>
      <c r="AG164" s="282"/>
      <c r="AH164" s="282"/>
      <c r="AI164" s="282"/>
      <c r="AJ164" s="282"/>
      <c r="AK164" s="282"/>
      <c r="AL164" s="282"/>
      <c r="AM164" s="282"/>
      <c r="AN164" s="282"/>
      <c r="AO164" s="282"/>
    </row>
    <row r="165" spans="1:41" s="263" customFormat="1" ht="9" customHeight="1" x14ac:dyDescent="0.25">
      <c r="A165" s="550" t="s">
        <v>28</v>
      </c>
      <c r="B165" s="629">
        <f t="shared" si="19"/>
        <v>25</v>
      </c>
      <c r="C165" s="629"/>
      <c r="D165" s="629">
        <f t="shared" si="17"/>
        <v>24</v>
      </c>
      <c r="E165" s="629">
        <v>19</v>
      </c>
      <c r="F165" s="629"/>
      <c r="G165" s="629">
        <f t="shared" si="18"/>
        <v>5</v>
      </c>
      <c r="H165" s="629">
        <v>1</v>
      </c>
      <c r="I165" s="629">
        <v>3</v>
      </c>
      <c r="J165" s="629">
        <v>1</v>
      </c>
      <c r="K165" s="629">
        <v>0</v>
      </c>
      <c r="L165" s="629">
        <v>0</v>
      </c>
      <c r="M165" s="629">
        <v>0</v>
      </c>
      <c r="N165" s="629">
        <v>1</v>
      </c>
      <c r="AC165" s="282"/>
      <c r="AD165" s="282"/>
      <c r="AE165" s="282"/>
      <c r="AF165" s="282"/>
      <c r="AG165" s="282"/>
      <c r="AH165" s="282"/>
      <c r="AI165" s="282"/>
      <c r="AJ165" s="282"/>
      <c r="AK165" s="282"/>
      <c r="AL165" s="282"/>
      <c r="AM165" s="282"/>
      <c r="AN165" s="282"/>
      <c r="AO165" s="282"/>
    </row>
    <row r="166" spans="1:41" s="263" customFormat="1" ht="9" customHeight="1" x14ac:dyDescent="0.25">
      <c r="A166" s="550" t="s">
        <v>29</v>
      </c>
      <c r="B166" s="629">
        <f t="shared" si="19"/>
        <v>193</v>
      </c>
      <c r="C166" s="629"/>
      <c r="D166" s="629">
        <f t="shared" si="17"/>
        <v>184</v>
      </c>
      <c r="E166" s="629">
        <v>93</v>
      </c>
      <c r="F166" s="629"/>
      <c r="G166" s="629">
        <f t="shared" si="18"/>
        <v>89</v>
      </c>
      <c r="H166" s="629">
        <v>20</v>
      </c>
      <c r="I166" s="629">
        <v>8</v>
      </c>
      <c r="J166" s="629">
        <v>61</v>
      </c>
      <c r="K166" s="629">
        <v>0</v>
      </c>
      <c r="L166" s="629">
        <v>0</v>
      </c>
      <c r="M166" s="629">
        <v>2</v>
      </c>
      <c r="N166" s="629">
        <v>9</v>
      </c>
      <c r="AC166" s="282"/>
      <c r="AD166" s="282"/>
      <c r="AE166" s="282"/>
      <c r="AF166" s="282"/>
      <c r="AG166" s="282"/>
      <c r="AH166" s="282"/>
      <c r="AI166" s="282"/>
      <c r="AJ166" s="282"/>
      <c r="AK166" s="282"/>
      <c r="AL166" s="282"/>
      <c r="AM166" s="282"/>
      <c r="AN166" s="282"/>
      <c r="AO166" s="282"/>
    </row>
    <row r="167" spans="1:41" s="263" customFormat="1" ht="9" customHeight="1" x14ac:dyDescent="0.25">
      <c r="A167" s="603" t="s">
        <v>30</v>
      </c>
      <c r="B167" s="630">
        <f t="shared" si="19"/>
        <v>458</v>
      </c>
      <c r="C167" s="630"/>
      <c r="D167" s="630">
        <f t="shared" si="17"/>
        <v>442</v>
      </c>
      <c r="E167" s="630">
        <v>128</v>
      </c>
      <c r="F167" s="630"/>
      <c r="G167" s="630">
        <f t="shared" si="18"/>
        <v>285</v>
      </c>
      <c r="H167" s="630">
        <v>33</v>
      </c>
      <c r="I167" s="630">
        <v>35</v>
      </c>
      <c r="J167" s="630">
        <v>217</v>
      </c>
      <c r="K167" s="630">
        <v>7</v>
      </c>
      <c r="L167" s="630">
        <v>18</v>
      </c>
      <c r="M167" s="630">
        <v>4</v>
      </c>
      <c r="N167" s="630">
        <v>16</v>
      </c>
      <c r="AC167" s="282"/>
      <c r="AD167" s="282"/>
      <c r="AE167" s="282"/>
      <c r="AF167" s="282"/>
      <c r="AG167" s="282"/>
      <c r="AH167" s="282"/>
      <c r="AI167" s="282"/>
      <c r="AJ167" s="282"/>
      <c r="AK167" s="282"/>
      <c r="AL167" s="282"/>
      <c r="AM167" s="282"/>
      <c r="AN167" s="282"/>
      <c r="AO167" s="282"/>
    </row>
    <row r="168" spans="1:41" s="263" customFormat="1" ht="9" customHeight="1" x14ac:dyDescent="0.25">
      <c r="A168" s="550" t="s">
        <v>63</v>
      </c>
      <c r="B168" s="629">
        <f t="shared" si="19"/>
        <v>3342</v>
      </c>
      <c r="C168" s="629"/>
      <c r="D168" s="629">
        <f t="shared" si="17"/>
        <v>3244</v>
      </c>
      <c r="E168" s="629">
        <v>535</v>
      </c>
      <c r="F168" s="629"/>
      <c r="G168" s="629">
        <f t="shared" si="18"/>
        <v>1816</v>
      </c>
      <c r="H168" s="629">
        <v>199</v>
      </c>
      <c r="I168" s="629">
        <v>229</v>
      </c>
      <c r="J168" s="629">
        <v>1388</v>
      </c>
      <c r="K168" s="629">
        <v>148</v>
      </c>
      <c r="L168" s="629">
        <v>688</v>
      </c>
      <c r="M168" s="629">
        <v>57</v>
      </c>
      <c r="N168" s="629">
        <v>98</v>
      </c>
      <c r="AC168" s="282"/>
      <c r="AD168" s="282"/>
      <c r="AE168" s="282"/>
      <c r="AF168" s="282"/>
      <c r="AG168" s="282"/>
      <c r="AH168" s="282"/>
      <c r="AI168" s="282"/>
      <c r="AJ168" s="282"/>
      <c r="AK168" s="282"/>
      <c r="AL168" s="282"/>
      <c r="AM168" s="282"/>
      <c r="AN168" s="282"/>
      <c r="AO168" s="282"/>
    </row>
    <row r="169" spans="1:41" s="263" customFormat="1" ht="9" customHeight="1" x14ac:dyDescent="0.25">
      <c r="A169" s="550" t="s">
        <v>31</v>
      </c>
      <c r="B169" s="629">
        <f t="shared" si="19"/>
        <v>72</v>
      </c>
      <c r="C169" s="629"/>
      <c r="D169" s="629">
        <f t="shared" si="17"/>
        <v>72</v>
      </c>
      <c r="E169" s="629">
        <v>42</v>
      </c>
      <c r="F169" s="629"/>
      <c r="G169" s="629">
        <f t="shared" si="18"/>
        <v>27</v>
      </c>
      <c r="H169" s="629">
        <v>4</v>
      </c>
      <c r="I169" s="629">
        <v>5</v>
      </c>
      <c r="J169" s="629">
        <v>18</v>
      </c>
      <c r="K169" s="629">
        <v>2</v>
      </c>
      <c r="L169" s="629">
        <v>1</v>
      </c>
      <c r="M169" s="629">
        <v>0</v>
      </c>
      <c r="N169" s="629">
        <v>0</v>
      </c>
      <c r="AC169" s="282"/>
      <c r="AD169" s="282"/>
      <c r="AE169" s="282"/>
      <c r="AF169" s="282"/>
      <c r="AG169" s="282"/>
      <c r="AH169" s="282"/>
      <c r="AI169" s="282"/>
      <c r="AJ169" s="282"/>
      <c r="AK169" s="282"/>
      <c r="AL169" s="282"/>
      <c r="AM169" s="282"/>
      <c r="AN169" s="282"/>
      <c r="AO169" s="282"/>
    </row>
    <row r="170" spans="1:41" s="263" customFormat="1" ht="9" customHeight="1" x14ac:dyDescent="0.25">
      <c r="A170" s="550" t="s">
        <v>32</v>
      </c>
      <c r="B170" s="629">
        <f t="shared" si="19"/>
        <v>490</v>
      </c>
      <c r="C170" s="629"/>
      <c r="D170" s="629">
        <f t="shared" si="17"/>
        <v>481</v>
      </c>
      <c r="E170" s="629">
        <v>204</v>
      </c>
      <c r="F170" s="629"/>
      <c r="G170" s="629">
        <f t="shared" si="18"/>
        <v>237</v>
      </c>
      <c r="H170" s="629">
        <v>39</v>
      </c>
      <c r="I170" s="629">
        <v>39</v>
      </c>
      <c r="J170" s="629">
        <v>159</v>
      </c>
      <c r="K170" s="629">
        <v>23</v>
      </c>
      <c r="L170" s="629">
        <v>7</v>
      </c>
      <c r="M170" s="629">
        <v>10</v>
      </c>
      <c r="N170" s="629">
        <v>9</v>
      </c>
      <c r="AC170" s="282"/>
      <c r="AD170" s="282"/>
      <c r="AE170" s="282"/>
      <c r="AF170" s="282"/>
      <c r="AG170" s="282"/>
      <c r="AH170" s="282"/>
      <c r="AI170" s="282"/>
      <c r="AJ170" s="282"/>
      <c r="AK170" s="282"/>
      <c r="AL170" s="282"/>
      <c r="AM170" s="282"/>
      <c r="AN170" s="282"/>
      <c r="AO170" s="282"/>
    </row>
    <row r="171" spans="1:41" s="263" customFormat="1" ht="9" customHeight="1" x14ac:dyDescent="0.25">
      <c r="A171" s="603" t="s">
        <v>33</v>
      </c>
      <c r="B171" s="630">
        <f t="shared" si="19"/>
        <v>285</v>
      </c>
      <c r="C171" s="630"/>
      <c r="D171" s="630">
        <f t="shared" si="17"/>
        <v>285</v>
      </c>
      <c r="E171" s="630">
        <v>120</v>
      </c>
      <c r="F171" s="630"/>
      <c r="G171" s="630">
        <f t="shared" si="18"/>
        <v>158</v>
      </c>
      <c r="H171" s="630">
        <v>28</v>
      </c>
      <c r="I171" s="630">
        <v>28</v>
      </c>
      <c r="J171" s="630">
        <v>102</v>
      </c>
      <c r="K171" s="630">
        <v>0</v>
      </c>
      <c r="L171" s="630">
        <v>0</v>
      </c>
      <c r="M171" s="630">
        <v>7</v>
      </c>
      <c r="N171" s="630">
        <v>0</v>
      </c>
      <c r="AC171" s="282"/>
      <c r="AD171" s="282"/>
      <c r="AE171" s="282"/>
      <c r="AF171" s="282"/>
      <c r="AG171" s="282"/>
      <c r="AH171" s="282"/>
      <c r="AI171" s="282"/>
      <c r="AJ171" s="282"/>
      <c r="AK171" s="282"/>
      <c r="AL171" s="282"/>
      <c r="AM171" s="282"/>
      <c r="AN171" s="282"/>
      <c r="AO171" s="282"/>
    </row>
    <row r="172" spans="1:41" s="263" customFormat="1" ht="9" customHeight="1" x14ac:dyDescent="0.25">
      <c r="A172" s="550" t="s">
        <v>34</v>
      </c>
      <c r="B172" s="629">
        <f t="shared" si="19"/>
        <v>241</v>
      </c>
      <c r="C172" s="629"/>
      <c r="D172" s="629">
        <f t="shared" si="17"/>
        <v>232</v>
      </c>
      <c r="E172" s="629">
        <v>71</v>
      </c>
      <c r="F172" s="629"/>
      <c r="G172" s="629">
        <f t="shared" si="18"/>
        <v>149</v>
      </c>
      <c r="H172" s="629">
        <v>26</v>
      </c>
      <c r="I172" s="629">
        <v>26</v>
      </c>
      <c r="J172" s="629">
        <v>97</v>
      </c>
      <c r="K172" s="629">
        <v>1</v>
      </c>
      <c r="L172" s="629">
        <v>1</v>
      </c>
      <c r="M172" s="629">
        <v>10</v>
      </c>
      <c r="N172" s="629">
        <v>9</v>
      </c>
      <c r="AC172" s="282"/>
      <c r="AD172" s="282"/>
      <c r="AE172" s="282"/>
      <c r="AF172" s="282"/>
      <c r="AG172" s="282"/>
      <c r="AH172" s="282"/>
      <c r="AI172" s="282"/>
      <c r="AJ172" s="282"/>
      <c r="AK172" s="282"/>
      <c r="AL172" s="282"/>
      <c r="AM172" s="282"/>
      <c r="AN172" s="282"/>
      <c r="AO172" s="282"/>
    </row>
    <row r="173" spans="1:41" s="263" customFormat="1" ht="9" customHeight="1" x14ac:dyDescent="0.25">
      <c r="A173" s="550" t="s">
        <v>35</v>
      </c>
      <c r="B173" s="629">
        <f t="shared" si="19"/>
        <v>659</v>
      </c>
      <c r="C173" s="629"/>
      <c r="D173" s="629">
        <f t="shared" si="17"/>
        <v>638</v>
      </c>
      <c r="E173" s="629">
        <v>229</v>
      </c>
      <c r="F173" s="629"/>
      <c r="G173" s="629">
        <f t="shared" si="18"/>
        <v>339</v>
      </c>
      <c r="H173" s="629">
        <v>56</v>
      </c>
      <c r="I173" s="629">
        <v>43</v>
      </c>
      <c r="J173" s="629">
        <v>240</v>
      </c>
      <c r="K173" s="629">
        <v>6</v>
      </c>
      <c r="L173" s="629">
        <v>56</v>
      </c>
      <c r="M173" s="629">
        <v>8</v>
      </c>
      <c r="N173" s="629">
        <v>21</v>
      </c>
      <c r="AC173" s="282"/>
      <c r="AD173" s="282"/>
      <c r="AE173" s="282"/>
      <c r="AF173" s="282"/>
      <c r="AG173" s="282"/>
      <c r="AH173" s="282"/>
      <c r="AI173" s="282"/>
      <c r="AJ173" s="282"/>
      <c r="AK173" s="282"/>
      <c r="AL173" s="282"/>
      <c r="AM173" s="282"/>
      <c r="AN173" s="282"/>
      <c r="AO173" s="282"/>
    </row>
    <row r="174" spans="1:41" s="263" customFormat="1" ht="9" customHeight="1" x14ac:dyDescent="0.25">
      <c r="A174" s="550" t="s">
        <v>36</v>
      </c>
      <c r="B174" s="629">
        <f t="shared" si="19"/>
        <v>1756</v>
      </c>
      <c r="C174" s="629"/>
      <c r="D174" s="629">
        <f t="shared" si="17"/>
        <v>1727</v>
      </c>
      <c r="E174" s="629">
        <v>908</v>
      </c>
      <c r="F174" s="629"/>
      <c r="G174" s="629">
        <f t="shared" si="18"/>
        <v>721</v>
      </c>
      <c r="H174" s="629">
        <v>144</v>
      </c>
      <c r="I174" s="629">
        <v>110</v>
      </c>
      <c r="J174" s="629">
        <v>467</v>
      </c>
      <c r="K174" s="629">
        <v>37</v>
      </c>
      <c r="L174" s="629">
        <v>23</v>
      </c>
      <c r="M174" s="629">
        <v>38</v>
      </c>
      <c r="N174" s="629">
        <v>29</v>
      </c>
      <c r="AC174" s="282"/>
      <c r="AD174" s="282"/>
      <c r="AE174" s="282"/>
      <c r="AF174" s="282"/>
      <c r="AG174" s="282"/>
      <c r="AH174" s="282"/>
      <c r="AI174" s="282"/>
      <c r="AJ174" s="282"/>
      <c r="AK174" s="282"/>
      <c r="AL174" s="282"/>
      <c r="AM174" s="282"/>
      <c r="AN174" s="282"/>
      <c r="AO174" s="282"/>
    </row>
    <row r="175" spans="1:41" s="263" customFormat="1" ht="9" customHeight="1" x14ac:dyDescent="0.25">
      <c r="A175" s="603" t="s">
        <v>37</v>
      </c>
      <c r="B175" s="630">
        <f t="shared" si="19"/>
        <v>663</v>
      </c>
      <c r="C175" s="630"/>
      <c r="D175" s="630">
        <f t="shared" si="17"/>
        <v>660</v>
      </c>
      <c r="E175" s="630">
        <v>242</v>
      </c>
      <c r="F175" s="630"/>
      <c r="G175" s="630">
        <f t="shared" si="18"/>
        <v>356</v>
      </c>
      <c r="H175" s="630">
        <v>74</v>
      </c>
      <c r="I175" s="630">
        <v>50</v>
      </c>
      <c r="J175" s="630">
        <v>232</v>
      </c>
      <c r="K175" s="630">
        <v>27</v>
      </c>
      <c r="L175" s="630">
        <v>30</v>
      </c>
      <c r="M175" s="630">
        <v>5</v>
      </c>
      <c r="N175" s="630">
        <v>3</v>
      </c>
      <c r="AC175" s="282"/>
      <c r="AD175" s="282"/>
      <c r="AE175" s="282"/>
      <c r="AF175" s="282"/>
      <c r="AG175" s="282"/>
      <c r="AH175" s="282"/>
      <c r="AI175" s="282"/>
      <c r="AJ175" s="282"/>
      <c r="AK175" s="282"/>
      <c r="AL175" s="282"/>
      <c r="AM175" s="282"/>
      <c r="AN175" s="282"/>
      <c r="AO175" s="282"/>
    </row>
    <row r="176" spans="1:41" s="263" customFormat="1" ht="9" customHeight="1" x14ac:dyDescent="0.25">
      <c r="A176" s="550" t="s">
        <v>38</v>
      </c>
      <c r="B176" s="629">
        <f t="shared" si="19"/>
        <v>172</v>
      </c>
      <c r="C176" s="629"/>
      <c r="D176" s="629">
        <f t="shared" si="17"/>
        <v>167</v>
      </c>
      <c r="E176" s="629">
        <v>76</v>
      </c>
      <c r="F176" s="629"/>
      <c r="G176" s="629">
        <f t="shared" si="18"/>
        <v>87</v>
      </c>
      <c r="H176" s="629">
        <v>17</v>
      </c>
      <c r="I176" s="629">
        <v>11</v>
      </c>
      <c r="J176" s="629">
        <v>59</v>
      </c>
      <c r="K176" s="629">
        <v>1</v>
      </c>
      <c r="L176" s="629">
        <v>0</v>
      </c>
      <c r="M176" s="629">
        <v>3</v>
      </c>
      <c r="N176" s="629">
        <v>5</v>
      </c>
      <c r="AC176" s="282"/>
      <c r="AD176" s="282"/>
      <c r="AE176" s="282"/>
      <c r="AF176" s="282"/>
      <c r="AG176" s="282"/>
      <c r="AH176" s="282"/>
      <c r="AI176" s="282"/>
      <c r="AJ176" s="282"/>
      <c r="AK176" s="282"/>
      <c r="AL176" s="282"/>
      <c r="AM176" s="282"/>
      <c r="AN176" s="282"/>
      <c r="AO176" s="282"/>
    </row>
    <row r="177" spans="1:41" s="263" customFormat="1" ht="9" customHeight="1" x14ac:dyDescent="0.25">
      <c r="A177" s="550" t="s">
        <v>39</v>
      </c>
      <c r="B177" s="629">
        <f t="shared" si="19"/>
        <v>33</v>
      </c>
      <c r="C177" s="629"/>
      <c r="D177" s="629">
        <f t="shared" si="17"/>
        <v>33</v>
      </c>
      <c r="E177" s="629">
        <v>21</v>
      </c>
      <c r="F177" s="629"/>
      <c r="G177" s="629">
        <f t="shared" si="18"/>
        <v>12</v>
      </c>
      <c r="H177" s="629">
        <v>6</v>
      </c>
      <c r="I177" s="629">
        <v>2</v>
      </c>
      <c r="J177" s="629">
        <v>4</v>
      </c>
      <c r="K177" s="629">
        <v>0</v>
      </c>
      <c r="L177" s="629">
        <v>0</v>
      </c>
      <c r="M177" s="629">
        <v>0</v>
      </c>
      <c r="N177" s="629">
        <v>0</v>
      </c>
      <c r="AC177" s="282"/>
      <c r="AD177" s="282"/>
      <c r="AE177" s="282"/>
      <c r="AF177" s="282"/>
      <c r="AG177" s="282"/>
      <c r="AH177" s="282"/>
      <c r="AI177" s="282"/>
      <c r="AJ177" s="282"/>
      <c r="AK177" s="282"/>
      <c r="AL177" s="282"/>
      <c r="AM177" s="282"/>
      <c r="AN177" s="282"/>
      <c r="AO177" s="282"/>
    </row>
    <row r="178" spans="1:41" s="263" customFormat="1" ht="9" customHeight="1" x14ac:dyDescent="0.25">
      <c r="A178" s="550" t="s">
        <v>40</v>
      </c>
      <c r="B178" s="629">
        <f t="shared" si="19"/>
        <v>349</v>
      </c>
      <c r="C178" s="629"/>
      <c r="D178" s="629">
        <f t="shared" si="17"/>
        <v>305</v>
      </c>
      <c r="E178" s="629">
        <v>96</v>
      </c>
      <c r="F178" s="629"/>
      <c r="G178" s="629">
        <f t="shared" si="18"/>
        <v>185</v>
      </c>
      <c r="H178" s="629">
        <v>22</v>
      </c>
      <c r="I178" s="629">
        <v>37</v>
      </c>
      <c r="J178" s="629">
        <v>126</v>
      </c>
      <c r="K178" s="629">
        <v>0</v>
      </c>
      <c r="L178" s="629">
        <v>9</v>
      </c>
      <c r="M178" s="629">
        <v>15</v>
      </c>
      <c r="N178" s="629">
        <v>44</v>
      </c>
      <c r="AC178" s="282"/>
      <c r="AD178" s="282"/>
      <c r="AE178" s="282"/>
      <c r="AF178" s="282"/>
      <c r="AG178" s="282"/>
      <c r="AH178" s="282"/>
      <c r="AI178" s="282"/>
      <c r="AJ178" s="282"/>
      <c r="AK178" s="282"/>
      <c r="AL178" s="282"/>
      <c r="AM178" s="282"/>
      <c r="AN178" s="282"/>
      <c r="AO178" s="282"/>
    </row>
    <row r="179" spans="1:41" s="263" customFormat="1" ht="9" customHeight="1" x14ac:dyDescent="0.25">
      <c r="A179" s="603" t="s">
        <v>41</v>
      </c>
      <c r="B179" s="630">
        <f t="shared" si="19"/>
        <v>171</v>
      </c>
      <c r="C179" s="630"/>
      <c r="D179" s="630">
        <f t="shared" si="17"/>
        <v>165</v>
      </c>
      <c r="E179" s="630">
        <v>77</v>
      </c>
      <c r="F179" s="630"/>
      <c r="G179" s="630">
        <f t="shared" si="18"/>
        <v>76</v>
      </c>
      <c r="H179" s="630">
        <v>19</v>
      </c>
      <c r="I179" s="630">
        <v>10</v>
      </c>
      <c r="J179" s="630">
        <v>47</v>
      </c>
      <c r="K179" s="630">
        <v>1</v>
      </c>
      <c r="L179" s="630">
        <v>0</v>
      </c>
      <c r="M179" s="630">
        <v>11</v>
      </c>
      <c r="N179" s="630">
        <v>6</v>
      </c>
      <c r="AC179" s="282"/>
      <c r="AD179" s="282"/>
      <c r="AE179" s="282"/>
      <c r="AF179" s="282"/>
      <c r="AG179" s="282"/>
      <c r="AH179" s="282"/>
      <c r="AI179" s="282"/>
      <c r="AJ179" s="282"/>
      <c r="AK179" s="282"/>
      <c r="AL179" s="282"/>
      <c r="AM179" s="282"/>
      <c r="AN179" s="282"/>
      <c r="AO179" s="282"/>
    </row>
    <row r="180" spans="1:41" s="263" customFormat="1" ht="9" customHeight="1" x14ac:dyDescent="0.25">
      <c r="A180" s="550" t="s">
        <v>42</v>
      </c>
      <c r="B180" s="629">
        <f t="shared" si="19"/>
        <v>557</v>
      </c>
      <c r="C180" s="629"/>
      <c r="D180" s="629">
        <f t="shared" si="17"/>
        <v>546</v>
      </c>
      <c r="E180" s="629">
        <v>194</v>
      </c>
      <c r="F180" s="629"/>
      <c r="G180" s="629">
        <f t="shared" si="18"/>
        <v>302</v>
      </c>
      <c r="H180" s="629">
        <v>45</v>
      </c>
      <c r="I180" s="629">
        <v>31</v>
      </c>
      <c r="J180" s="629">
        <v>226</v>
      </c>
      <c r="K180" s="629">
        <v>38</v>
      </c>
      <c r="L180" s="629">
        <v>5</v>
      </c>
      <c r="M180" s="629">
        <v>7</v>
      </c>
      <c r="N180" s="629">
        <v>11</v>
      </c>
      <c r="AC180" s="282"/>
      <c r="AD180" s="282"/>
      <c r="AE180" s="282"/>
      <c r="AF180" s="282"/>
      <c r="AG180" s="282"/>
      <c r="AH180" s="282"/>
      <c r="AI180" s="282"/>
      <c r="AJ180" s="282"/>
      <c r="AK180" s="282"/>
      <c r="AL180" s="282"/>
      <c r="AM180" s="282"/>
      <c r="AN180" s="282"/>
      <c r="AO180" s="282"/>
    </row>
    <row r="181" spans="1:41" s="263" customFormat="1" ht="9" customHeight="1" x14ac:dyDescent="0.25">
      <c r="A181" s="550" t="s">
        <v>43</v>
      </c>
      <c r="B181" s="629">
        <f t="shared" si="19"/>
        <v>69</v>
      </c>
      <c r="C181" s="629"/>
      <c r="D181" s="629">
        <f t="shared" si="17"/>
        <v>69</v>
      </c>
      <c r="E181" s="629">
        <v>33</v>
      </c>
      <c r="F181" s="629"/>
      <c r="G181" s="629">
        <f t="shared" si="18"/>
        <v>36</v>
      </c>
      <c r="H181" s="629">
        <v>5</v>
      </c>
      <c r="I181" s="629">
        <v>6</v>
      </c>
      <c r="J181" s="629">
        <v>25</v>
      </c>
      <c r="K181" s="629">
        <v>0</v>
      </c>
      <c r="L181" s="629">
        <v>0</v>
      </c>
      <c r="M181" s="629">
        <v>0</v>
      </c>
      <c r="N181" s="629">
        <v>0</v>
      </c>
      <c r="AC181" s="282"/>
      <c r="AD181" s="282"/>
      <c r="AE181" s="282"/>
      <c r="AF181" s="282"/>
      <c r="AG181" s="282"/>
      <c r="AH181" s="282"/>
      <c r="AI181" s="282"/>
      <c r="AJ181" s="282"/>
      <c r="AK181" s="282"/>
      <c r="AL181" s="282"/>
      <c r="AM181" s="282"/>
      <c r="AN181" s="282"/>
      <c r="AO181" s="282"/>
    </row>
    <row r="182" spans="1:41" s="263" customFormat="1" ht="9" customHeight="1" x14ac:dyDescent="0.25">
      <c r="A182" s="550" t="s">
        <v>44</v>
      </c>
      <c r="B182" s="629">
        <f t="shared" si="19"/>
        <v>91</v>
      </c>
      <c r="C182" s="629"/>
      <c r="D182" s="629">
        <f t="shared" si="17"/>
        <v>91</v>
      </c>
      <c r="E182" s="629">
        <v>43</v>
      </c>
      <c r="F182" s="629"/>
      <c r="G182" s="629">
        <f t="shared" si="18"/>
        <v>41</v>
      </c>
      <c r="H182" s="629">
        <v>8</v>
      </c>
      <c r="I182" s="629">
        <v>4</v>
      </c>
      <c r="J182" s="629">
        <v>29</v>
      </c>
      <c r="K182" s="629">
        <v>0</v>
      </c>
      <c r="L182" s="629">
        <v>0</v>
      </c>
      <c r="M182" s="629">
        <v>7</v>
      </c>
      <c r="N182" s="629">
        <v>0</v>
      </c>
      <c r="AC182" s="282"/>
      <c r="AD182" s="282"/>
      <c r="AE182" s="282"/>
      <c r="AF182" s="282"/>
      <c r="AG182" s="282"/>
      <c r="AH182" s="282"/>
      <c r="AI182" s="282"/>
      <c r="AJ182" s="282"/>
      <c r="AK182" s="282"/>
      <c r="AL182" s="282"/>
      <c r="AM182" s="282"/>
      <c r="AN182" s="282"/>
      <c r="AO182" s="282"/>
    </row>
    <row r="183" spans="1:41" s="263" customFormat="1" ht="9" customHeight="1" x14ac:dyDescent="0.25">
      <c r="A183" s="603" t="s">
        <v>45</v>
      </c>
      <c r="B183" s="630">
        <f t="shared" si="19"/>
        <v>128</v>
      </c>
      <c r="C183" s="630"/>
      <c r="D183" s="630">
        <f t="shared" si="17"/>
        <v>125</v>
      </c>
      <c r="E183" s="630">
        <v>40</v>
      </c>
      <c r="F183" s="630"/>
      <c r="G183" s="630">
        <f t="shared" si="18"/>
        <v>80</v>
      </c>
      <c r="H183" s="630">
        <v>16</v>
      </c>
      <c r="I183" s="630">
        <v>12</v>
      </c>
      <c r="J183" s="630">
        <v>52</v>
      </c>
      <c r="K183" s="630">
        <v>1</v>
      </c>
      <c r="L183" s="630">
        <v>1</v>
      </c>
      <c r="M183" s="630">
        <v>3</v>
      </c>
      <c r="N183" s="630">
        <v>3</v>
      </c>
      <c r="AC183" s="282"/>
      <c r="AD183" s="282"/>
      <c r="AE183" s="282"/>
      <c r="AF183" s="282"/>
      <c r="AG183" s="282"/>
      <c r="AH183" s="282"/>
      <c r="AI183" s="282"/>
      <c r="AJ183" s="282"/>
      <c r="AK183" s="282"/>
      <c r="AL183" s="282"/>
      <c r="AM183" s="282"/>
      <c r="AN183" s="282"/>
      <c r="AO183" s="282"/>
    </row>
    <row r="184" spans="1:41" s="263" customFormat="1" ht="9" customHeight="1" x14ac:dyDescent="0.25">
      <c r="A184" s="550" t="s">
        <v>46</v>
      </c>
      <c r="B184" s="629">
        <f t="shared" si="19"/>
        <v>144</v>
      </c>
      <c r="C184" s="629"/>
      <c r="D184" s="629">
        <f t="shared" si="17"/>
        <v>144</v>
      </c>
      <c r="E184" s="629">
        <v>62</v>
      </c>
      <c r="F184" s="629"/>
      <c r="G184" s="629">
        <f t="shared" si="18"/>
        <v>79</v>
      </c>
      <c r="H184" s="629">
        <v>16</v>
      </c>
      <c r="I184" s="629">
        <v>10</v>
      </c>
      <c r="J184" s="629">
        <v>53</v>
      </c>
      <c r="K184" s="629">
        <v>0</v>
      </c>
      <c r="L184" s="629">
        <v>0</v>
      </c>
      <c r="M184" s="629">
        <v>3</v>
      </c>
      <c r="N184" s="629">
        <v>0</v>
      </c>
      <c r="AC184" s="282"/>
      <c r="AD184" s="282"/>
      <c r="AE184" s="282"/>
      <c r="AF184" s="282"/>
      <c r="AG184" s="282"/>
      <c r="AH184" s="282"/>
      <c r="AI184" s="282"/>
      <c r="AJ184" s="282"/>
      <c r="AK184" s="282"/>
      <c r="AL184" s="282"/>
      <c r="AM184" s="282"/>
      <c r="AN184" s="282"/>
      <c r="AO184" s="282"/>
    </row>
    <row r="185" spans="1:41" s="263" customFormat="1" ht="9" customHeight="1" x14ac:dyDescent="0.25">
      <c r="A185" s="550" t="s">
        <v>47</v>
      </c>
      <c r="B185" s="629">
        <f t="shared" si="19"/>
        <v>122</v>
      </c>
      <c r="C185" s="629"/>
      <c r="D185" s="629">
        <f t="shared" si="17"/>
        <v>120</v>
      </c>
      <c r="E185" s="629">
        <v>74</v>
      </c>
      <c r="F185" s="629"/>
      <c r="G185" s="629">
        <f t="shared" si="18"/>
        <v>44</v>
      </c>
      <c r="H185" s="629">
        <v>10</v>
      </c>
      <c r="I185" s="629">
        <v>6</v>
      </c>
      <c r="J185" s="629">
        <v>28</v>
      </c>
      <c r="K185" s="629">
        <v>0</v>
      </c>
      <c r="L185" s="629">
        <v>0</v>
      </c>
      <c r="M185" s="629">
        <v>2</v>
      </c>
      <c r="N185" s="629">
        <v>2</v>
      </c>
      <c r="AC185" s="282"/>
      <c r="AD185" s="282"/>
      <c r="AE185" s="282"/>
      <c r="AF185" s="282"/>
      <c r="AG185" s="282"/>
      <c r="AH185" s="282"/>
      <c r="AI185" s="282"/>
      <c r="AJ185" s="282"/>
      <c r="AK185" s="282"/>
      <c r="AL185" s="282"/>
      <c r="AM185" s="282"/>
      <c r="AN185" s="282"/>
      <c r="AO185" s="282"/>
    </row>
    <row r="186" spans="1:41" s="263" customFormat="1" ht="9" customHeight="1" x14ac:dyDescent="0.25">
      <c r="A186" s="550" t="s">
        <v>48</v>
      </c>
      <c r="B186" s="629">
        <f t="shared" si="19"/>
        <v>182</v>
      </c>
      <c r="C186" s="629"/>
      <c r="D186" s="629">
        <f t="shared" si="17"/>
        <v>175</v>
      </c>
      <c r="E186" s="629">
        <v>75</v>
      </c>
      <c r="F186" s="629"/>
      <c r="G186" s="629">
        <f t="shared" si="18"/>
        <v>98</v>
      </c>
      <c r="H186" s="629">
        <v>16</v>
      </c>
      <c r="I186" s="629">
        <v>12</v>
      </c>
      <c r="J186" s="629">
        <v>70</v>
      </c>
      <c r="K186" s="629">
        <v>0</v>
      </c>
      <c r="L186" s="629">
        <v>0</v>
      </c>
      <c r="M186" s="629">
        <v>2</v>
      </c>
      <c r="N186" s="629">
        <v>7</v>
      </c>
      <c r="AC186" s="282"/>
      <c r="AD186" s="282"/>
      <c r="AE186" s="282"/>
      <c r="AF186" s="282"/>
      <c r="AG186" s="282"/>
      <c r="AH186" s="282"/>
      <c r="AI186" s="282"/>
      <c r="AJ186" s="282"/>
      <c r="AK186" s="282"/>
      <c r="AL186" s="282"/>
      <c r="AM186" s="282"/>
      <c r="AN186" s="282"/>
      <c r="AO186" s="282"/>
    </row>
    <row r="187" spans="1:41" s="263" customFormat="1" ht="9" customHeight="1" x14ac:dyDescent="0.25">
      <c r="A187" s="603" t="s">
        <v>49</v>
      </c>
      <c r="B187" s="630">
        <f t="shared" si="19"/>
        <v>148</v>
      </c>
      <c r="C187" s="630"/>
      <c r="D187" s="630">
        <f t="shared" si="17"/>
        <v>138</v>
      </c>
      <c r="E187" s="630">
        <v>72</v>
      </c>
      <c r="F187" s="630"/>
      <c r="G187" s="630">
        <f t="shared" si="18"/>
        <v>64</v>
      </c>
      <c r="H187" s="630">
        <v>14</v>
      </c>
      <c r="I187" s="630">
        <v>8</v>
      </c>
      <c r="J187" s="630">
        <v>42</v>
      </c>
      <c r="K187" s="630">
        <v>1</v>
      </c>
      <c r="L187" s="630">
        <v>0</v>
      </c>
      <c r="M187" s="630">
        <v>1</v>
      </c>
      <c r="N187" s="630">
        <v>10</v>
      </c>
      <c r="AC187" s="282"/>
      <c r="AD187" s="282"/>
      <c r="AE187" s="282"/>
      <c r="AF187" s="282"/>
      <c r="AG187" s="282"/>
      <c r="AH187" s="282"/>
      <c r="AI187" s="282"/>
      <c r="AJ187" s="282"/>
      <c r="AK187" s="282"/>
      <c r="AL187" s="282"/>
      <c r="AM187" s="282"/>
      <c r="AN187" s="282"/>
      <c r="AO187" s="282"/>
    </row>
    <row r="188" spans="1:41" s="263" customFormat="1" ht="9" customHeight="1" x14ac:dyDescent="0.25">
      <c r="A188" s="550" t="s">
        <v>50</v>
      </c>
      <c r="B188" s="629">
        <f t="shared" si="19"/>
        <v>104</v>
      </c>
      <c r="C188" s="629"/>
      <c r="D188" s="629">
        <f t="shared" si="17"/>
        <v>104</v>
      </c>
      <c r="E188" s="629">
        <v>60</v>
      </c>
      <c r="F188" s="629"/>
      <c r="G188" s="629">
        <f t="shared" si="18"/>
        <v>42</v>
      </c>
      <c r="H188" s="629">
        <v>6</v>
      </c>
      <c r="I188" s="629">
        <v>5</v>
      </c>
      <c r="J188" s="629">
        <v>31</v>
      </c>
      <c r="K188" s="629">
        <v>1</v>
      </c>
      <c r="L188" s="629">
        <v>0</v>
      </c>
      <c r="M188" s="629">
        <v>1</v>
      </c>
      <c r="N188" s="629">
        <v>0</v>
      </c>
      <c r="AC188" s="282"/>
      <c r="AD188" s="282"/>
      <c r="AE188" s="282"/>
      <c r="AF188" s="282"/>
      <c r="AG188" s="282"/>
      <c r="AH188" s="282"/>
      <c r="AI188" s="282"/>
      <c r="AJ188" s="282"/>
      <c r="AK188" s="282"/>
      <c r="AL188" s="282"/>
      <c r="AM188" s="282"/>
      <c r="AN188" s="282"/>
      <c r="AO188" s="282"/>
    </row>
    <row r="189" spans="1:41" s="263" customFormat="1" ht="9" customHeight="1" x14ac:dyDescent="0.25">
      <c r="A189" s="550" t="s">
        <v>51</v>
      </c>
      <c r="B189" s="629">
        <f t="shared" si="19"/>
        <v>461</v>
      </c>
      <c r="C189" s="629"/>
      <c r="D189" s="629">
        <f t="shared" si="17"/>
        <v>453</v>
      </c>
      <c r="E189" s="629">
        <v>191</v>
      </c>
      <c r="F189" s="629"/>
      <c r="G189" s="629">
        <f t="shared" si="18"/>
        <v>259</v>
      </c>
      <c r="H189" s="629">
        <v>47</v>
      </c>
      <c r="I189" s="629">
        <v>26</v>
      </c>
      <c r="J189" s="629">
        <v>186</v>
      </c>
      <c r="K189" s="629">
        <v>0</v>
      </c>
      <c r="L189" s="629">
        <v>0</v>
      </c>
      <c r="M189" s="629">
        <v>3</v>
      </c>
      <c r="N189" s="629">
        <v>8</v>
      </c>
      <c r="AC189" s="282"/>
      <c r="AD189" s="282"/>
      <c r="AE189" s="282"/>
      <c r="AF189" s="282"/>
      <c r="AG189" s="282"/>
      <c r="AH189" s="282"/>
      <c r="AI189" s="282"/>
      <c r="AJ189" s="282"/>
      <c r="AK189" s="282"/>
      <c r="AL189" s="282"/>
      <c r="AM189" s="282"/>
      <c r="AN189" s="282"/>
      <c r="AO189" s="282"/>
    </row>
    <row r="190" spans="1:41" s="263" customFormat="1" ht="9" customHeight="1" x14ac:dyDescent="0.25">
      <c r="A190" s="550" t="s">
        <v>52</v>
      </c>
      <c r="B190" s="629">
        <f t="shared" si="19"/>
        <v>98</v>
      </c>
      <c r="C190" s="629"/>
      <c r="D190" s="629">
        <f t="shared" si="17"/>
        <v>98</v>
      </c>
      <c r="E190" s="629">
        <v>38</v>
      </c>
      <c r="F190" s="629"/>
      <c r="G190" s="629">
        <f t="shared" si="18"/>
        <v>52</v>
      </c>
      <c r="H190" s="629">
        <v>13</v>
      </c>
      <c r="I190" s="629">
        <v>17</v>
      </c>
      <c r="J190" s="629">
        <v>22</v>
      </c>
      <c r="K190" s="629">
        <v>1</v>
      </c>
      <c r="L190" s="629">
        <v>0</v>
      </c>
      <c r="M190" s="629">
        <v>7</v>
      </c>
      <c r="N190" s="629">
        <v>0</v>
      </c>
      <c r="AC190" s="282"/>
      <c r="AD190" s="282"/>
      <c r="AE190" s="282"/>
      <c r="AF190" s="282"/>
      <c r="AG190" s="282"/>
      <c r="AH190" s="282"/>
      <c r="AI190" s="282"/>
      <c r="AJ190" s="282"/>
      <c r="AK190" s="282"/>
      <c r="AL190" s="282"/>
      <c r="AM190" s="282"/>
      <c r="AN190" s="282"/>
      <c r="AO190" s="282"/>
    </row>
    <row r="191" spans="1:41" s="263" customFormat="1" ht="9" customHeight="1" x14ac:dyDescent="0.25">
      <c r="A191" s="267" t="s">
        <v>53</v>
      </c>
      <c r="B191" s="268">
        <f t="shared" si="19"/>
        <v>64</v>
      </c>
      <c r="C191" s="268"/>
      <c r="D191" s="268">
        <f t="shared" si="17"/>
        <v>60</v>
      </c>
      <c r="E191" s="268">
        <v>27</v>
      </c>
      <c r="F191" s="268"/>
      <c r="G191" s="268">
        <f t="shared" si="18"/>
        <v>32</v>
      </c>
      <c r="H191" s="268">
        <v>4</v>
      </c>
      <c r="I191" s="268">
        <v>3</v>
      </c>
      <c r="J191" s="268">
        <v>25</v>
      </c>
      <c r="K191" s="268">
        <v>0</v>
      </c>
      <c r="L191" s="268">
        <v>0</v>
      </c>
      <c r="M191" s="268">
        <v>1</v>
      </c>
      <c r="N191" s="268">
        <v>4</v>
      </c>
      <c r="AC191" s="282"/>
      <c r="AD191" s="282"/>
      <c r="AE191" s="282"/>
      <c r="AF191" s="282"/>
      <c r="AG191" s="282"/>
      <c r="AH191" s="282"/>
      <c r="AI191" s="282"/>
      <c r="AJ191" s="282"/>
      <c r="AK191" s="282"/>
      <c r="AL191" s="282"/>
      <c r="AM191" s="282"/>
      <c r="AN191" s="282"/>
      <c r="AO191" s="282"/>
    </row>
    <row r="192" spans="1:41" ht="9" customHeight="1" x14ac:dyDescent="0.25">
      <c r="B192" s="259"/>
      <c r="C192" s="259"/>
      <c r="D192" s="259"/>
      <c r="E192" s="259"/>
      <c r="F192" s="259"/>
      <c r="G192" s="259"/>
      <c r="H192" s="259"/>
      <c r="I192" s="259"/>
      <c r="J192" s="259"/>
      <c r="K192" s="259"/>
      <c r="L192" s="259"/>
      <c r="AC192" s="282"/>
      <c r="AD192" s="282"/>
      <c r="AE192" s="282"/>
      <c r="AF192" s="282"/>
      <c r="AG192" s="282"/>
      <c r="AH192" s="282"/>
      <c r="AI192" s="282"/>
      <c r="AJ192" s="282"/>
      <c r="AK192" s="282"/>
      <c r="AL192" s="282"/>
      <c r="AM192" s="282"/>
      <c r="AN192" s="282"/>
      <c r="AO192" s="282"/>
    </row>
    <row r="193" spans="1:41" ht="9" customHeight="1" x14ac:dyDescent="0.25">
      <c r="A193" s="601">
        <v>2006</v>
      </c>
      <c r="B193" s="262"/>
      <c r="C193" s="262"/>
      <c r="D193" s="262"/>
      <c r="E193" s="262"/>
      <c r="F193" s="262"/>
      <c r="G193" s="262"/>
      <c r="H193" s="262"/>
      <c r="I193" s="262"/>
      <c r="J193" s="262"/>
      <c r="K193" s="262"/>
      <c r="L193" s="262"/>
      <c r="M193" s="262"/>
      <c r="N193" s="262"/>
      <c r="AC193" s="282"/>
      <c r="AD193" s="282"/>
      <c r="AE193" s="282"/>
      <c r="AF193" s="282"/>
      <c r="AG193" s="282"/>
      <c r="AH193" s="282"/>
      <c r="AI193" s="282"/>
      <c r="AJ193" s="282"/>
      <c r="AK193" s="282"/>
      <c r="AL193" s="282"/>
      <c r="AM193" s="282"/>
      <c r="AN193" s="282"/>
      <c r="AO193" s="282"/>
    </row>
    <row r="194" spans="1:41" s="265" customFormat="1" ht="9" customHeight="1" x14ac:dyDescent="0.25">
      <c r="A194" s="265" t="s">
        <v>21</v>
      </c>
      <c r="B194" s="262">
        <f>SUM(B196:B227)</f>
        <v>11693</v>
      </c>
      <c r="C194" s="262"/>
      <c r="D194" s="262">
        <f>SUM(D196:D227)</f>
        <v>11368</v>
      </c>
      <c r="E194" s="262">
        <f>SUM(E196:E227)</f>
        <v>4079</v>
      </c>
      <c r="F194" s="262"/>
      <c r="G194" s="262">
        <f t="shared" ref="G194:M194" si="20">SUM(G196:G227)</f>
        <v>5799</v>
      </c>
      <c r="H194" s="262">
        <f t="shared" si="20"/>
        <v>924</v>
      </c>
      <c r="I194" s="262">
        <f t="shared" si="20"/>
        <v>793</v>
      </c>
      <c r="J194" s="262">
        <f t="shared" si="20"/>
        <v>4082</v>
      </c>
      <c r="K194" s="262">
        <f t="shared" si="20"/>
        <v>310</v>
      </c>
      <c r="L194" s="262">
        <f t="shared" si="20"/>
        <v>971</v>
      </c>
      <c r="M194" s="262">
        <f t="shared" si="20"/>
        <v>209</v>
      </c>
      <c r="N194" s="262">
        <f>SUM(N196:N227)</f>
        <v>325</v>
      </c>
      <c r="AC194" s="282"/>
      <c r="AD194" s="282"/>
      <c r="AE194" s="282"/>
      <c r="AF194" s="282"/>
      <c r="AG194" s="282"/>
      <c r="AH194" s="282"/>
      <c r="AI194" s="282"/>
      <c r="AJ194" s="282"/>
      <c r="AK194" s="282"/>
      <c r="AL194" s="282"/>
      <c r="AM194" s="282"/>
      <c r="AN194" s="282"/>
      <c r="AO194" s="282"/>
    </row>
    <row r="195" spans="1:41" s="265" customFormat="1" ht="3" customHeight="1" x14ac:dyDescent="0.25">
      <c r="B195" s="262"/>
      <c r="C195" s="262"/>
      <c r="D195" s="262"/>
      <c r="E195" s="262"/>
      <c r="F195" s="262"/>
      <c r="G195" s="262"/>
      <c r="H195" s="262"/>
      <c r="I195" s="262"/>
      <c r="J195" s="262"/>
      <c r="K195" s="262"/>
      <c r="L195" s="262"/>
      <c r="M195" s="262"/>
      <c r="N195" s="262"/>
      <c r="AC195" s="282"/>
      <c r="AD195" s="282"/>
      <c r="AE195" s="282"/>
      <c r="AF195" s="282"/>
      <c r="AG195" s="282"/>
      <c r="AH195" s="282"/>
      <c r="AI195" s="282"/>
      <c r="AJ195" s="282"/>
      <c r="AK195" s="282"/>
      <c r="AL195" s="282"/>
      <c r="AM195" s="282"/>
      <c r="AN195" s="282"/>
      <c r="AO195" s="282"/>
    </row>
    <row r="196" spans="1:41" s="263" customFormat="1" ht="9" customHeight="1" x14ac:dyDescent="0.25">
      <c r="A196" s="550" t="s">
        <v>23</v>
      </c>
      <c r="B196" s="629">
        <f>SUM(D196+N196)</f>
        <v>118</v>
      </c>
      <c r="C196" s="629"/>
      <c r="D196" s="629">
        <f t="shared" ref="D196:D227" si="21">SUM(E196+G196+K196+L196+M196)</f>
        <v>117</v>
      </c>
      <c r="E196" s="629">
        <v>26</v>
      </c>
      <c r="F196" s="629"/>
      <c r="G196" s="629">
        <f>SUM(H196:J196)</f>
        <v>74</v>
      </c>
      <c r="H196" s="629">
        <v>13</v>
      </c>
      <c r="I196" s="629">
        <v>10</v>
      </c>
      <c r="J196" s="629">
        <v>51</v>
      </c>
      <c r="K196" s="629">
        <v>11</v>
      </c>
      <c r="L196" s="629">
        <v>3</v>
      </c>
      <c r="M196" s="629">
        <v>3</v>
      </c>
      <c r="N196" s="629">
        <v>1</v>
      </c>
      <c r="AC196" s="282"/>
      <c r="AD196" s="282"/>
      <c r="AE196" s="282"/>
      <c r="AF196" s="282"/>
      <c r="AG196" s="282"/>
      <c r="AH196" s="282"/>
      <c r="AI196" s="282"/>
      <c r="AJ196" s="282"/>
      <c r="AK196" s="282"/>
      <c r="AL196" s="282"/>
      <c r="AM196" s="282"/>
      <c r="AN196" s="282"/>
      <c r="AO196" s="282"/>
    </row>
    <row r="197" spans="1:41" s="263" customFormat="1" ht="9" customHeight="1" x14ac:dyDescent="0.25">
      <c r="A197" s="550" t="s">
        <v>24</v>
      </c>
      <c r="B197" s="629">
        <f>SUM(D197+N197)</f>
        <v>154</v>
      </c>
      <c r="C197" s="629"/>
      <c r="D197" s="629">
        <f t="shared" si="21"/>
        <v>152</v>
      </c>
      <c r="E197" s="629">
        <v>121</v>
      </c>
      <c r="F197" s="629"/>
      <c r="G197" s="629">
        <f>SUM(H197:J197)</f>
        <v>30</v>
      </c>
      <c r="H197" s="629">
        <v>3</v>
      </c>
      <c r="I197" s="629">
        <v>4</v>
      </c>
      <c r="J197" s="629">
        <v>23</v>
      </c>
      <c r="K197" s="629">
        <v>1</v>
      </c>
      <c r="L197" s="629">
        <v>0</v>
      </c>
      <c r="M197" s="629">
        <v>0</v>
      </c>
      <c r="N197" s="629">
        <v>2</v>
      </c>
      <c r="AC197" s="282"/>
      <c r="AD197" s="282"/>
      <c r="AE197" s="282"/>
      <c r="AF197" s="282"/>
      <c r="AG197" s="282"/>
      <c r="AH197" s="282"/>
      <c r="AI197" s="282"/>
      <c r="AJ197" s="282"/>
      <c r="AK197" s="282"/>
      <c r="AL197" s="282"/>
      <c r="AM197" s="282"/>
      <c r="AN197" s="282"/>
      <c r="AO197" s="282"/>
    </row>
    <row r="198" spans="1:41" s="263" customFormat="1" ht="9" customHeight="1" x14ac:dyDescent="0.25">
      <c r="A198" s="550" t="s">
        <v>25</v>
      </c>
      <c r="B198" s="629">
        <f>SUM(D198+N198)</f>
        <v>27</v>
      </c>
      <c r="C198" s="629"/>
      <c r="D198" s="629">
        <f t="shared" si="21"/>
        <v>27</v>
      </c>
      <c r="E198" s="629">
        <v>25</v>
      </c>
      <c r="F198" s="629"/>
      <c r="G198" s="629">
        <f t="shared" ref="G198:G227" si="22">SUM(H198:J198)</f>
        <v>2</v>
      </c>
      <c r="H198" s="629">
        <v>1</v>
      </c>
      <c r="I198" s="629">
        <v>0</v>
      </c>
      <c r="J198" s="629">
        <v>1</v>
      </c>
      <c r="K198" s="629">
        <v>0</v>
      </c>
      <c r="L198" s="629">
        <v>0</v>
      </c>
      <c r="M198" s="629">
        <v>0</v>
      </c>
      <c r="N198" s="629">
        <v>0</v>
      </c>
      <c r="AC198" s="282"/>
      <c r="AD198" s="282"/>
      <c r="AE198" s="282"/>
      <c r="AF198" s="282"/>
      <c r="AG198" s="282"/>
      <c r="AH198" s="282"/>
      <c r="AI198" s="282"/>
      <c r="AJ198" s="282"/>
      <c r="AK198" s="282"/>
      <c r="AL198" s="282"/>
      <c r="AM198" s="282"/>
      <c r="AN198" s="282"/>
      <c r="AO198" s="282"/>
    </row>
    <row r="199" spans="1:41" s="263" customFormat="1" ht="9" customHeight="1" x14ac:dyDescent="0.25">
      <c r="A199" s="603" t="s">
        <v>26</v>
      </c>
      <c r="B199" s="630">
        <f>SUM(D199+N199)</f>
        <v>31</v>
      </c>
      <c r="C199" s="630"/>
      <c r="D199" s="630">
        <f t="shared" si="21"/>
        <v>30</v>
      </c>
      <c r="E199" s="630">
        <v>19</v>
      </c>
      <c r="F199" s="630"/>
      <c r="G199" s="630">
        <f t="shared" si="22"/>
        <v>11</v>
      </c>
      <c r="H199" s="630">
        <v>4</v>
      </c>
      <c r="I199" s="630">
        <v>4</v>
      </c>
      <c r="J199" s="630">
        <v>3</v>
      </c>
      <c r="K199" s="630">
        <v>0</v>
      </c>
      <c r="L199" s="630">
        <v>0</v>
      </c>
      <c r="M199" s="630">
        <v>0</v>
      </c>
      <c r="N199" s="630">
        <v>1</v>
      </c>
      <c r="AC199" s="282"/>
      <c r="AD199" s="282"/>
      <c r="AE199" s="282"/>
      <c r="AF199" s="282"/>
      <c r="AG199" s="282"/>
      <c r="AH199" s="282"/>
      <c r="AI199" s="282"/>
      <c r="AJ199" s="282"/>
      <c r="AK199" s="282"/>
      <c r="AL199" s="282"/>
      <c r="AM199" s="282"/>
      <c r="AN199" s="282"/>
      <c r="AO199" s="282"/>
    </row>
    <row r="200" spans="1:41" s="263" customFormat="1" ht="9" customHeight="1" x14ac:dyDescent="0.25">
      <c r="A200" s="550" t="s">
        <v>27</v>
      </c>
      <c r="B200" s="629">
        <f t="shared" ref="B200:B227" si="23">SUM(D200+N200)</f>
        <v>82</v>
      </c>
      <c r="C200" s="629"/>
      <c r="D200" s="629">
        <f t="shared" si="21"/>
        <v>73</v>
      </c>
      <c r="E200" s="629">
        <v>32</v>
      </c>
      <c r="F200" s="629"/>
      <c r="G200" s="629">
        <f t="shared" si="22"/>
        <v>38</v>
      </c>
      <c r="H200" s="629">
        <v>7</v>
      </c>
      <c r="I200" s="629">
        <v>4</v>
      </c>
      <c r="J200" s="629">
        <v>27</v>
      </c>
      <c r="K200" s="629">
        <v>0</v>
      </c>
      <c r="L200" s="629">
        <v>0</v>
      </c>
      <c r="M200" s="629">
        <v>3</v>
      </c>
      <c r="N200" s="629">
        <v>9</v>
      </c>
      <c r="AC200" s="282"/>
      <c r="AD200" s="282"/>
      <c r="AE200" s="282"/>
      <c r="AF200" s="282"/>
      <c r="AG200" s="282"/>
      <c r="AH200" s="282"/>
      <c r="AI200" s="282"/>
      <c r="AJ200" s="282"/>
      <c r="AK200" s="282"/>
      <c r="AL200" s="282"/>
      <c r="AM200" s="282"/>
      <c r="AN200" s="282"/>
      <c r="AO200" s="282"/>
    </row>
    <row r="201" spans="1:41" s="263" customFormat="1" ht="9" customHeight="1" x14ac:dyDescent="0.25">
      <c r="A201" s="550" t="s">
        <v>28</v>
      </c>
      <c r="B201" s="629">
        <f t="shared" si="23"/>
        <v>27</v>
      </c>
      <c r="C201" s="629"/>
      <c r="D201" s="629">
        <f t="shared" si="21"/>
        <v>26</v>
      </c>
      <c r="E201" s="629">
        <v>22</v>
      </c>
      <c r="F201" s="629"/>
      <c r="G201" s="629">
        <f t="shared" si="22"/>
        <v>4</v>
      </c>
      <c r="H201" s="629">
        <v>1</v>
      </c>
      <c r="I201" s="629">
        <v>3</v>
      </c>
      <c r="J201" s="629">
        <v>0</v>
      </c>
      <c r="K201" s="629">
        <v>0</v>
      </c>
      <c r="L201" s="629">
        <v>0</v>
      </c>
      <c r="M201" s="629">
        <v>0</v>
      </c>
      <c r="N201" s="629">
        <v>1</v>
      </c>
      <c r="AC201" s="282"/>
      <c r="AD201" s="282"/>
      <c r="AE201" s="282"/>
      <c r="AF201" s="282"/>
      <c r="AG201" s="282"/>
      <c r="AH201" s="282"/>
      <c r="AI201" s="282"/>
      <c r="AJ201" s="282"/>
      <c r="AK201" s="282"/>
      <c r="AL201" s="282"/>
      <c r="AM201" s="282"/>
      <c r="AN201" s="282"/>
      <c r="AO201" s="282"/>
    </row>
    <row r="202" spans="1:41" s="263" customFormat="1" ht="9" customHeight="1" x14ac:dyDescent="0.25">
      <c r="A202" s="550" t="s">
        <v>29</v>
      </c>
      <c r="B202" s="629">
        <f t="shared" si="23"/>
        <v>200</v>
      </c>
      <c r="C202" s="629"/>
      <c r="D202" s="629">
        <f t="shared" si="21"/>
        <v>192</v>
      </c>
      <c r="E202" s="629">
        <v>98</v>
      </c>
      <c r="F202" s="629"/>
      <c r="G202" s="629">
        <f t="shared" si="22"/>
        <v>88</v>
      </c>
      <c r="H202" s="629">
        <v>17</v>
      </c>
      <c r="I202" s="629">
        <v>10</v>
      </c>
      <c r="J202" s="629">
        <v>61</v>
      </c>
      <c r="K202" s="629">
        <v>2</v>
      </c>
      <c r="L202" s="629">
        <v>2</v>
      </c>
      <c r="M202" s="629">
        <v>2</v>
      </c>
      <c r="N202" s="629">
        <v>8</v>
      </c>
      <c r="AC202" s="282"/>
      <c r="AD202" s="282"/>
      <c r="AE202" s="282"/>
      <c r="AF202" s="282"/>
      <c r="AG202" s="282"/>
      <c r="AH202" s="282"/>
      <c r="AI202" s="282"/>
      <c r="AJ202" s="282"/>
      <c r="AK202" s="282"/>
      <c r="AL202" s="282"/>
      <c r="AM202" s="282"/>
      <c r="AN202" s="282"/>
      <c r="AO202" s="282"/>
    </row>
    <row r="203" spans="1:41" s="263" customFormat="1" ht="9" customHeight="1" x14ac:dyDescent="0.25">
      <c r="A203" s="603" t="s">
        <v>30</v>
      </c>
      <c r="B203" s="630">
        <f t="shared" si="23"/>
        <v>492</v>
      </c>
      <c r="C203" s="630"/>
      <c r="D203" s="630">
        <f t="shared" si="21"/>
        <v>482</v>
      </c>
      <c r="E203" s="630">
        <v>144</v>
      </c>
      <c r="F203" s="630"/>
      <c r="G203" s="630">
        <f t="shared" si="22"/>
        <v>301</v>
      </c>
      <c r="H203" s="630">
        <v>35</v>
      </c>
      <c r="I203" s="630">
        <v>37</v>
      </c>
      <c r="J203" s="630">
        <v>229</v>
      </c>
      <c r="K203" s="630">
        <v>13</v>
      </c>
      <c r="L203" s="630">
        <v>19</v>
      </c>
      <c r="M203" s="630">
        <v>5</v>
      </c>
      <c r="N203" s="630">
        <v>10</v>
      </c>
      <c r="AC203" s="282"/>
      <c r="AD203" s="282"/>
      <c r="AE203" s="282"/>
      <c r="AF203" s="282"/>
      <c r="AG203" s="282"/>
      <c r="AH203" s="282"/>
      <c r="AI203" s="282"/>
      <c r="AJ203" s="282"/>
      <c r="AK203" s="282"/>
      <c r="AL203" s="282"/>
      <c r="AM203" s="282"/>
      <c r="AN203" s="282"/>
      <c r="AO203" s="282"/>
    </row>
    <row r="204" spans="1:41" s="263" customFormat="1" ht="9" customHeight="1" x14ac:dyDescent="0.25">
      <c r="A204" s="550" t="s">
        <v>63</v>
      </c>
      <c r="B204" s="629">
        <f t="shared" si="23"/>
        <v>3356</v>
      </c>
      <c r="C204" s="629"/>
      <c r="D204" s="629">
        <f t="shared" si="21"/>
        <v>3258</v>
      </c>
      <c r="E204" s="629">
        <v>513</v>
      </c>
      <c r="F204" s="629"/>
      <c r="G204" s="629">
        <f t="shared" si="22"/>
        <v>1811</v>
      </c>
      <c r="H204" s="629">
        <v>186</v>
      </c>
      <c r="I204" s="629">
        <v>241</v>
      </c>
      <c r="J204" s="629">
        <v>1384</v>
      </c>
      <c r="K204" s="629">
        <v>170</v>
      </c>
      <c r="L204" s="629">
        <v>720</v>
      </c>
      <c r="M204" s="629">
        <v>44</v>
      </c>
      <c r="N204" s="629">
        <v>98</v>
      </c>
      <c r="AC204" s="282"/>
      <c r="AD204" s="282"/>
      <c r="AE204" s="282"/>
      <c r="AF204" s="282"/>
      <c r="AG204" s="282"/>
      <c r="AH204" s="282"/>
      <c r="AI204" s="282"/>
      <c r="AJ204" s="282"/>
      <c r="AK204" s="282"/>
      <c r="AL204" s="282"/>
      <c r="AM204" s="282"/>
      <c r="AN204" s="282"/>
      <c r="AO204" s="282"/>
    </row>
    <row r="205" spans="1:41" s="263" customFormat="1" ht="9" customHeight="1" x14ac:dyDescent="0.25">
      <c r="A205" s="550" t="s">
        <v>31</v>
      </c>
      <c r="B205" s="629">
        <f t="shared" si="23"/>
        <v>74</v>
      </c>
      <c r="C205" s="629"/>
      <c r="D205" s="629">
        <f t="shared" si="21"/>
        <v>74</v>
      </c>
      <c r="E205" s="629">
        <v>32</v>
      </c>
      <c r="F205" s="629"/>
      <c r="G205" s="629">
        <f t="shared" si="22"/>
        <v>35</v>
      </c>
      <c r="H205" s="629">
        <v>3</v>
      </c>
      <c r="I205" s="629">
        <v>6</v>
      </c>
      <c r="J205" s="629">
        <v>26</v>
      </c>
      <c r="K205" s="629">
        <v>1</v>
      </c>
      <c r="L205" s="629">
        <v>5</v>
      </c>
      <c r="M205" s="629">
        <v>1</v>
      </c>
      <c r="N205" s="629">
        <v>0</v>
      </c>
      <c r="AC205" s="282"/>
      <c r="AD205" s="282"/>
      <c r="AE205" s="282"/>
      <c r="AF205" s="282"/>
      <c r="AG205" s="282"/>
      <c r="AH205" s="282"/>
      <c r="AI205" s="282"/>
      <c r="AJ205" s="282"/>
      <c r="AK205" s="282"/>
      <c r="AL205" s="282"/>
      <c r="AM205" s="282"/>
      <c r="AN205" s="282"/>
      <c r="AO205" s="282"/>
    </row>
    <row r="206" spans="1:41" s="263" customFormat="1" ht="9" customHeight="1" x14ac:dyDescent="0.25">
      <c r="A206" s="550" t="s">
        <v>32</v>
      </c>
      <c r="B206" s="629">
        <f t="shared" si="23"/>
        <v>476</v>
      </c>
      <c r="C206" s="629"/>
      <c r="D206" s="629">
        <f t="shared" si="21"/>
        <v>469</v>
      </c>
      <c r="E206" s="629">
        <v>219</v>
      </c>
      <c r="F206" s="629"/>
      <c r="G206" s="629">
        <f t="shared" si="22"/>
        <v>213</v>
      </c>
      <c r="H206" s="629">
        <v>37</v>
      </c>
      <c r="I206" s="629">
        <v>33</v>
      </c>
      <c r="J206" s="629">
        <v>143</v>
      </c>
      <c r="K206" s="629">
        <v>19</v>
      </c>
      <c r="L206" s="629">
        <v>8</v>
      </c>
      <c r="M206" s="629">
        <v>10</v>
      </c>
      <c r="N206" s="629">
        <v>7</v>
      </c>
      <c r="AC206" s="282"/>
      <c r="AD206" s="282"/>
      <c r="AE206" s="282"/>
      <c r="AF206" s="282"/>
      <c r="AG206" s="282"/>
      <c r="AH206" s="282"/>
      <c r="AI206" s="282"/>
      <c r="AJ206" s="282"/>
      <c r="AK206" s="282"/>
      <c r="AL206" s="282"/>
      <c r="AM206" s="282"/>
      <c r="AN206" s="282"/>
      <c r="AO206" s="282"/>
    </row>
    <row r="207" spans="1:41" s="263" customFormat="1" ht="9" customHeight="1" x14ac:dyDescent="0.25">
      <c r="A207" s="603" t="s">
        <v>33</v>
      </c>
      <c r="B207" s="630">
        <f t="shared" si="23"/>
        <v>281</v>
      </c>
      <c r="C207" s="630"/>
      <c r="D207" s="630">
        <f t="shared" si="21"/>
        <v>275</v>
      </c>
      <c r="E207" s="630">
        <v>109</v>
      </c>
      <c r="F207" s="630"/>
      <c r="G207" s="630">
        <f t="shared" si="22"/>
        <v>157</v>
      </c>
      <c r="H207" s="630">
        <v>25</v>
      </c>
      <c r="I207" s="630">
        <v>24</v>
      </c>
      <c r="J207" s="630">
        <v>108</v>
      </c>
      <c r="K207" s="630">
        <v>0</v>
      </c>
      <c r="L207" s="630">
        <v>0</v>
      </c>
      <c r="M207" s="630">
        <v>9</v>
      </c>
      <c r="N207" s="630">
        <v>6</v>
      </c>
      <c r="AC207" s="282"/>
      <c r="AD207" s="282"/>
      <c r="AE207" s="282"/>
      <c r="AF207" s="282"/>
      <c r="AG207" s="282"/>
      <c r="AH207" s="282"/>
      <c r="AI207" s="282"/>
      <c r="AJ207" s="282"/>
      <c r="AK207" s="282"/>
      <c r="AL207" s="282"/>
      <c r="AM207" s="282"/>
      <c r="AN207" s="282"/>
      <c r="AO207" s="282"/>
    </row>
    <row r="208" spans="1:41" s="263" customFormat="1" ht="9" customHeight="1" x14ac:dyDescent="0.25">
      <c r="A208" s="550" t="s">
        <v>34</v>
      </c>
      <c r="B208" s="629">
        <f t="shared" si="23"/>
        <v>370</v>
      </c>
      <c r="C208" s="629"/>
      <c r="D208" s="629">
        <f t="shared" si="21"/>
        <v>356</v>
      </c>
      <c r="E208" s="629">
        <v>124</v>
      </c>
      <c r="F208" s="629"/>
      <c r="G208" s="629">
        <f t="shared" si="22"/>
        <v>221</v>
      </c>
      <c r="H208" s="629">
        <v>56</v>
      </c>
      <c r="I208" s="629">
        <v>27</v>
      </c>
      <c r="J208" s="629">
        <v>138</v>
      </c>
      <c r="K208" s="629">
        <v>1</v>
      </c>
      <c r="L208" s="629">
        <v>0</v>
      </c>
      <c r="M208" s="629">
        <v>10</v>
      </c>
      <c r="N208" s="629">
        <v>14</v>
      </c>
      <c r="AC208" s="282"/>
      <c r="AD208" s="282"/>
      <c r="AE208" s="282"/>
      <c r="AF208" s="282"/>
      <c r="AG208" s="282"/>
      <c r="AH208" s="282"/>
      <c r="AI208" s="282"/>
      <c r="AJ208" s="282"/>
      <c r="AK208" s="282"/>
      <c r="AL208" s="282"/>
      <c r="AM208" s="282"/>
      <c r="AN208" s="282"/>
      <c r="AO208" s="282"/>
    </row>
    <row r="209" spans="1:41" s="263" customFormat="1" ht="9" customHeight="1" x14ac:dyDescent="0.25">
      <c r="A209" s="550" t="s">
        <v>35</v>
      </c>
      <c r="B209" s="629">
        <f t="shared" si="23"/>
        <v>654</v>
      </c>
      <c r="C209" s="629"/>
      <c r="D209" s="629">
        <f t="shared" si="21"/>
        <v>624</v>
      </c>
      <c r="E209" s="629">
        <v>182</v>
      </c>
      <c r="F209" s="629"/>
      <c r="G209" s="629">
        <f t="shared" si="22"/>
        <v>326</v>
      </c>
      <c r="H209" s="629">
        <v>43</v>
      </c>
      <c r="I209" s="629">
        <v>42</v>
      </c>
      <c r="J209" s="629">
        <v>241</v>
      </c>
      <c r="K209" s="629">
        <v>7</v>
      </c>
      <c r="L209" s="629">
        <v>104</v>
      </c>
      <c r="M209" s="629">
        <v>5</v>
      </c>
      <c r="N209" s="629">
        <v>30</v>
      </c>
      <c r="AC209" s="282"/>
      <c r="AD209" s="282"/>
      <c r="AE209" s="282"/>
      <c r="AF209" s="282"/>
      <c r="AG209" s="282"/>
      <c r="AH209" s="282"/>
      <c r="AI209" s="282"/>
      <c r="AJ209" s="282"/>
      <c r="AK209" s="282"/>
      <c r="AL209" s="282"/>
      <c r="AM209" s="282"/>
      <c r="AN209" s="282"/>
      <c r="AO209" s="282"/>
    </row>
    <row r="210" spans="1:41" s="263" customFormat="1" ht="9" customHeight="1" x14ac:dyDescent="0.25">
      <c r="A210" s="550" t="s">
        <v>36</v>
      </c>
      <c r="B210" s="629">
        <f t="shared" si="23"/>
        <v>1731</v>
      </c>
      <c r="C210" s="629"/>
      <c r="D210" s="629">
        <f t="shared" si="21"/>
        <v>1704</v>
      </c>
      <c r="E210" s="629">
        <v>944</v>
      </c>
      <c r="F210" s="629"/>
      <c r="G210" s="629">
        <f t="shared" si="22"/>
        <v>665</v>
      </c>
      <c r="H210" s="629">
        <v>146</v>
      </c>
      <c r="I210" s="629">
        <v>97</v>
      </c>
      <c r="J210" s="629">
        <v>422</v>
      </c>
      <c r="K210" s="629">
        <v>21</v>
      </c>
      <c r="L210" s="629">
        <v>42</v>
      </c>
      <c r="M210" s="629">
        <v>32</v>
      </c>
      <c r="N210" s="629">
        <v>27</v>
      </c>
      <c r="AC210" s="282"/>
      <c r="AD210" s="282"/>
      <c r="AE210" s="282"/>
      <c r="AF210" s="282"/>
      <c r="AG210" s="282"/>
      <c r="AH210" s="282"/>
      <c r="AI210" s="282"/>
      <c r="AJ210" s="282"/>
      <c r="AK210" s="282"/>
      <c r="AL210" s="282"/>
      <c r="AM210" s="282"/>
      <c r="AN210" s="282"/>
      <c r="AO210" s="282"/>
    </row>
    <row r="211" spans="1:41" s="263" customFormat="1" ht="9" customHeight="1" x14ac:dyDescent="0.25">
      <c r="A211" s="603" t="s">
        <v>37</v>
      </c>
      <c r="B211" s="630">
        <f t="shared" si="23"/>
        <v>692</v>
      </c>
      <c r="C211" s="630"/>
      <c r="D211" s="630">
        <f t="shared" si="21"/>
        <v>681</v>
      </c>
      <c r="E211" s="630">
        <v>225</v>
      </c>
      <c r="F211" s="630"/>
      <c r="G211" s="630">
        <f t="shared" si="22"/>
        <v>377</v>
      </c>
      <c r="H211" s="630">
        <v>71</v>
      </c>
      <c r="I211" s="630">
        <v>51</v>
      </c>
      <c r="J211" s="630">
        <v>255</v>
      </c>
      <c r="K211" s="630">
        <v>21</v>
      </c>
      <c r="L211" s="630">
        <v>52</v>
      </c>
      <c r="M211" s="630">
        <v>6</v>
      </c>
      <c r="N211" s="630">
        <v>11</v>
      </c>
      <c r="AC211" s="282"/>
      <c r="AD211" s="282"/>
      <c r="AE211" s="282"/>
      <c r="AF211" s="282"/>
      <c r="AG211" s="282"/>
      <c r="AH211" s="282"/>
      <c r="AI211" s="282"/>
      <c r="AJ211" s="282"/>
      <c r="AK211" s="282"/>
      <c r="AL211" s="282"/>
      <c r="AM211" s="282"/>
      <c r="AN211" s="282"/>
      <c r="AO211" s="282"/>
    </row>
    <row r="212" spans="1:41" s="263" customFormat="1" ht="9" customHeight="1" x14ac:dyDescent="0.25">
      <c r="A212" s="550" t="s">
        <v>38</v>
      </c>
      <c r="B212" s="629">
        <f t="shared" si="23"/>
        <v>190</v>
      </c>
      <c r="C212" s="629"/>
      <c r="D212" s="629">
        <f t="shared" si="21"/>
        <v>187</v>
      </c>
      <c r="E212" s="629">
        <v>103</v>
      </c>
      <c r="F212" s="629"/>
      <c r="G212" s="629">
        <f t="shared" si="22"/>
        <v>79</v>
      </c>
      <c r="H212" s="629">
        <v>17</v>
      </c>
      <c r="I212" s="629">
        <v>7</v>
      </c>
      <c r="J212" s="629">
        <v>55</v>
      </c>
      <c r="K212" s="629">
        <v>2</v>
      </c>
      <c r="L212" s="629">
        <v>0</v>
      </c>
      <c r="M212" s="629">
        <v>3</v>
      </c>
      <c r="N212" s="629">
        <v>3</v>
      </c>
      <c r="AC212" s="282"/>
      <c r="AD212" s="282"/>
      <c r="AE212" s="282"/>
      <c r="AF212" s="282"/>
      <c r="AG212" s="282"/>
      <c r="AH212" s="282"/>
      <c r="AI212" s="282"/>
      <c r="AJ212" s="282"/>
      <c r="AK212" s="282"/>
      <c r="AL212" s="282"/>
      <c r="AM212" s="282"/>
      <c r="AN212" s="282"/>
      <c r="AO212" s="282"/>
    </row>
    <row r="213" spans="1:41" s="263" customFormat="1" ht="9" customHeight="1" x14ac:dyDescent="0.25">
      <c r="A213" s="550" t="s">
        <v>39</v>
      </c>
      <c r="B213" s="629">
        <f t="shared" si="23"/>
        <v>35</v>
      </c>
      <c r="C213" s="629"/>
      <c r="D213" s="629">
        <f t="shared" si="21"/>
        <v>35</v>
      </c>
      <c r="E213" s="629">
        <v>21</v>
      </c>
      <c r="F213" s="629"/>
      <c r="G213" s="629">
        <f t="shared" si="22"/>
        <v>13</v>
      </c>
      <c r="H213" s="629">
        <v>6</v>
      </c>
      <c r="I213" s="629">
        <v>2</v>
      </c>
      <c r="J213" s="629">
        <v>5</v>
      </c>
      <c r="K213" s="629">
        <v>0</v>
      </c>
      <c r="L213" s="629">
        <v>0</v>
      </c>
      <c r="M213" s="629">
        <v>1</v>
      </c>
      <c r="N213" s="629">
        <v>0</v>
      </c>
      <c r="AC213" s="282"/>
      <c r="AD213" s="282"/>
      <c r="AE213" s="282"/>
      <c r="AF213" s="282"/>
      <c r="AG213" s="282"/>
      <c r="AH213" s="282"/>
      <c r="AI213" s="282"/>
      <c r="AJ213" s="282"/>
      <c r="AK213" s="282"/>
      <c r="AL213" s="282"/>
      <c r="AM213" s="282"/>
      <c r="AN213" s="282"/>
      <c r="AO213" s="282"/>
    </row>
    <row r="214" spans="1:41" s="263" customFormat="1" ht="9" customHeight="1" x14ac:dyDescent="0.25">
      <c r="A214" s="550" t="s">
        <v>40</v>
      </c>
      <c r="B214" s="629">
        <f t="shared" si="23"/>
        <v>423</v>
      </c>
      <c r="C214" s="629"/>
      <c r="D214" s="629">
        <f t="shared" si="21"/>
        <v>385</v>
      </c>
      <c r="E214" s="629">
        <v>81</v>
      </c>
      <c r="F214" s="629"/>
      <c r="G214" s="629">
        <f t="shared" si="22"/>
        <v>270</v>
      </c>
      <c r="H214" s="629">
        <v>37</v>
      </c>
      <c r="I214" s="629">
        <v>41</v>
      </c>
      <c r="J214" s="629">
        <v>192</v>
      </c>
      <c r="K214" s="629">
        <v>0</v>
      </c>
      <c r="L214" s="629">
        <v>9</v>
      </c>
      <c r="M214" s="629">
        <v>25</v>
      </c>
      <c r="N214" s="629">
        <v>38</v>
      </c>
      <c r="AC214" s="282"/>
      <c r="AD214" s="282"/>
      <c r="AE214" s="282"/>
      <c r="AF214" s="282"/>
      <c r="AG214" s="282"/>
      <c r="AH214" s="282"/>
      <c r="AI214" s="282"/>
      <c r="AJ214" s="282"/>
      <c r="AK214" s="282"/>
      <c r="AL214" s="282"/>
      <c r="AM214" s="282"/>
      <c r="AN214" s="282"/>
      <c r="AO214" s="282"/>
    </row>
    <row r="215" spans="1:41" s="263" customFormat="1" ht="9" customHeight="1" x14ac:dyDescent="0.25">
      <c r="A215" s="603" t="s">
        <v>41</v>
      </c>
      <c r="B215" s="630">
        <f t="shared" si="23"/>
        <v>174</v>
      </c>
      <c r="C215" s="630"/>
      <c r="D215" s="630">
        <f t="shared" si="21"/>
        <v>166</v>
      </c>
      <c r="E215" s="630">
        <v>75</v>
      </c>
      <c r="F215" s="630"/>
      <c r="G215" s="630">
        <f t="shared" si="22"/>
        <v>78</v>
      </c>
      <c r="H215" s="630">
        <v>18</v>
      </c>
      <c r="I215" s="630">
        <v>11</v>
      </c>
      <c r="J215" s="630">
        <v>49</v>
      </c>
      <c r="K215" s="630">
        <v>0</v>
      </c>
      <c r="L215" s="630">
        <v>0</v>
      </c>
      <c r="M215" s="630">
        <v>13</v>
      </c>
      <c r="N215" s="630">
        <v>8</v>
      </c>
      <c r="AC215" s="282"/>
      <c r="AD215" s="282"/>
      <c r="AE215" s="282"/>
      <c r="AF215" s="282"/>
      <c r="AG215" s="282"/>
      <c r="AH215" s="282"/>
      <c r="AI215" s="282"/>
      <c r="AJ215" s="282"/>
      <c r="AK215" s="282"/>
      <c r="AL215" s="282"/>
      <c r="AM215" s="282"/>
      <c r="AN215" s="282"/>
      <c r="AO215" s="282"/>
    </row>
    <row r="216" spans="1:41" s="263" customFormat="1" ht="9" customHeight="1" x14ac:dyDescent="0.25">
      <c r="A216" s="550" t="s">
        <v>42</v>
      </c>
      <c r="B216" s="629">
        <f t="shared" si="23"/>
        <v>561</v>
      </c>
      <c r="C216" s="629"/>
      <c r="D216" s="629">
        <f t="shared" si="21"/>
        <v>543</v>
      </c>
      <c r="E216" s="629">
        <v>216</v>
      </c>
      <c r="F216" s="629"/>
      <c r="G216" s="629">
        <f t="shared" si="22"/>
        <v>276</v>
      </c>
      <c r="H216" s="629">
        <v>42</v>
      </c>
      <c r="I216" s="629">
        <v>34</v>
      </c>
      <c r="J216" s="629">
        <v>200</v>
      </c>
      <c r="K216" s="629">
        <v>39</v>
      </c>
      <c r="L216" s="629">
        <v>5</v>
      </c>
      <c r="M216" s="629">
        <v>7</v>
      </c>
      <c r="N216" s="629">
        <v>18</v>
      </c>
      <c r="AC216" s="282"/>
      <c r="AD216" s="282"/>
      <c r="AE216" s="282"/>
      <c r="AF216" s="282"/>
      <c r="AG216" s="282"/>
      <c r="AH216" s="282"/>
      <c r="AI216" s="282"/>
      <c r="AJ216" s="282"/>
      <c r="AK216" s="282"/>
      <c r="AL216" s="282"/>
      <c r="AM216" s="282"/>
      <c r="AN216" s="282"/>
      <c r="AO216" s="282"/>
    </row>
    <row r="217" spans="1:41" s="263" customFormat="1" ht="9" customHeight="1" x14ac:dyDescent="0.25">
      <c r="A217" s="550" t="s">
        <v>43</v>
      </c>
      <c r="B217" s="629">
        <f t="shared" si="23"/>
        <v>64</v>
      </c>
      <c r="C217" s="629"/>
      <c r="D217" s="629">
        <f t="shared" si="21"/>
        <v>63</v>
      </c>
      <c r="E217" s="629">
        <v>32</v>
      </c>
      <c r="F217" s="629"/>
      <c r="G217" s="629">
        <f t="shared" si="22"/>
        <v>31</v>
      </c>
      <c r="H217" s="629">
        <v>6</v>
      </c>
      <c r="I217" s="629">
        <v>5</v>
      </c>
      <c r="J217" s="629">
        <v>20</v>
      </c>
      <c r="K217" s="629">
        <v>0</v>
      </c>
      <c r="L217" s="629">
        <v>0</v>
      </c>
      <c r="M217" s="629">
        <v>0</v>
      </c>
      <c r="N217" s="629">
        <v>1</v>
      </c>
      <c r="AC217" s="282"/>
      <c r="AD217" s="282"/>
      <c r="AE217" s="282"/>
      <c r="AF217" s="282"/>
      <c r="AG217" s="282"/>
      <c r="AH217" s="282"/>
      <c r="AI217" s="282"/>
      <c r="AJ217" s="282"/>
      <c r="AK217" s="282"/>
      <c r="AL217" s="282"/>
      <c r="AM217" s="282"/>
      <c r="AN217" s="282"/>
      <c r="AO217" s="282"/>
    </row>
    <row r="218" spans="1:41" s="263" customFormat="1" ht="9" customHeight="1" x14ac:dyDescent="0.25">
      <c r="A218" s="550" t="s">
        <v>44</v>
      </c>
      <c r="B218" s="629">
        <f t="shared" si="23"/>
        <v>92</v>
      </c>
      <c r="C218" s="629"/>
      <c r="D218" s="629">
        <f t="shared" si="21"/>
        <v>88</v>
      </c>
      <c r="E218" s="629">
        <v>53</v>
      </c>
      <c r="F218" s="629"/>
      <c r="G218" s="629">
        <f t="shared" si="22"/>
        <v>31</v>
      </c>
      <c r="H218" s="629">
        <v>6</v>
      </c>
      <c r="I218" s="629">
        <v>4</v>
      </c>
      <c r="J218" s="629">
        <v>21</v>
      </c>
      <c r="K218" s="629">
        <v>0</v>
      </c>
      <c r="L218" s="629">
        <v>0</v>
      </c>
      <c r="M218" s="629">
        <v>4</v>
      </c>
      <c r="N218" s="629">
        <v>4</v>
      </c>
      <c r="AC218" s="282"/>
      <c r="AD218" s="282"/>
      <c r="AE218" s="282"/>
      <c r="AF218" s="282"/>
      <c r="AG218" s="282"/>
      <c r="AH218" s="282"/>
      <c r="AI218" s="282"/>
      <c r="AJ218" s="282"/>
      <c r="AK218" s="282"/>
      <c r="AL218" s="282"/>
      <c r="AM218" s="282"/>
      <c r="AN218" s="282"/>
      <c r="AO218" s="282"/>
    </row>
    <row r="219" spans="1:41" s="263" customFormat="1" ht="9" customHeight="1" x14ac:dyDescent="0.25">
      <c r="A219" s="603" t="s">
        <v>45</v>
      </c>
      <c r="B219" s="630">
        <f t="shared" si="23"/>
        <v>138</v>
      </c>
      <c r="C219" s="630"/>
      <c r="D219" s="630">
        <f t="shared" si="21"/>
        <v>134</v>
      </c>
      <c r="E219" s="630">
        <v>49</v>
      </c>
      <c r="F219" s="630"/>
      <c r="G219" s="630">
        <f t="shared" si="22"/>
        <v>77</v>
      </c>
      <c r="H219" s="630">
        <v>16</v>
      </c>
      <c r="I219" s="630">
        <v>12</v>
      </c>
      <c r="J219" s="630">
        <v>49</v>
      </c>
      <c r="K219" s="630">
        <v>1</v>
      </c>
      <c r="L219" s="630">
        <v>0</v>
      </c>
      <c r="M219" s="630">
        <v>7</v>
      </c>
      <c r="N219" s="630">
        <v>4</v>
      </c>
      <c r="AC219" s="282"/>
      <c r="AD219" s="282"/>
      <c r="AE219" s="282"/>
      <c r="AF219" s="282"/>
      <c r="AG219" s="282"/>
      <c r="AH219" s="282"/>
      <c r="AI219" s="282"/>
      <c r="AJ219" s="282"/>
      <c r="AK219" s="282"/>
      <c r="AL219" s="282"/>
      <c r="AM219" s="282"/>
      <c r="AN219" s="282"/>
      <c r="AO219" s="282"/>
    </row>
    <row r="220" spans="1:41" s="263" customFormat="1" ht="9" customHeight="1" x14ac:dyDescent="0.25">
      <c r="A220" s="550" t="s">
        <v>46</v>
      </c>
      <c r="B220" s="629">
        <f t="shared" si="23"/>
        <v>122</v>
      </c>
      <c r="C220" s="629"/>
      <c r="D220" s="629">
        <f t="shared" si="21"/>
        <v>122</v>
      </c>
      <c r="E220" s="629">
        <v>66</v>
      </c>
      <c r="F220" s="629"/>
      <c r="G220" s="629">
        <f t="shared" si="22"/>
        <v>54</v>
      </c>
      <c r="H220" s="629">
        <v>14</v>
      </c>
      <c r="I220" s="629">
        <v>8</v>
      </c>
      <c r="J220" s="629">
        <v>32</v>
      </c>
      <c r="K220" s="629">
        <v>0</v>
      </c>
      <c r="L220" s="629">
        <v>0</v>
      </c>
      <c r="M220" s="629">
        <v>2</v>
      </c>
      <c r="N220" s="629">
        <v>0</v>
      </c>
      <c r="AC220" s="282"/>
      <c r="AD220" s="282"/>
      <c r="AE220" s="282"/>
      <c r="AF220" s="282"/>
      <c r="AG220" s="282"/>
      <c r="AH220" s="282"/>
      <c r="AI220" s="282"/>
      <c r="AJ220" s="282"/>
      <c r="AK220" s="282"/>
      <c r="AL220" s="282"/>
      <c r="AM220" s="282"/>
      <c r="AN220" s="282"/>
      <c r="AO220" s="282"/>
    </row>
    <row r="221" spans="1:41" s="263" customFormat="1" ht="9" customHeight="1" x14ac:dyDescent="0.25">
      <c r="A221" s="550" t="s">
        <v>47</v>
      </c>
      <c r="B221" s="629">
        <f t="shared" si="23"/>
        <v>124</v>
      </c>
      <c r="C221" s="629"/>
      <c r="D221" s="629">
        <f t="shared" si="21"/>
        <v>122</v>
      </c>
      <c r="E221" s="629">
        <v>61</v>
      </c>
      <c r="F221" s="629"/>
      <c r="G221" s="629">
        <f t="shared" si="22"/>
        <v>59</v>
      </c>
      <c r="H221" s="629">
        <v>8</v>
      </c>
      <c r="I221" s="629">
        <v>8</v>
      </c>
      <c r="J221" s="629">
        <v>43</v>
      </c>
      <c r="K221" s="629">
        <v>0</v>
      </c>
      <c r="L221" s="629">
        <v>0</v>
      </c>
      <c r="M221" s="629">
        <v>2</v>
      </c>
      <c r="N221" s="629">
        <v>2</v>
      </c>
      <c r="AC221" s="282"/>
      <c r="AD221" s="282"/>
      <c r="AE221" s="282"/>
      <c r="AF221" s="282"/>
      <c r="AG221" s="282"/>
      <c r="AH221" s="282"/>
      <c r="AI221" s="282"/>
      <c r="AJ221" s="282"/>
      <c r="AK221" s="282"/>
      <c r="AL221" s="282"/>
      <c r="AM221" s="282"/>
      <c r="AN221" s="282"/>
      <c r="AO221" s="282"/>
    </row>
    <row r="222" spans="1:41" s="263" customFormat="1" ht="9" customHeight="1" x14ac:dyDescent="0.25">
      <c r="A222" s="550" t="s">
        <v>48</v>
      </c>
      <c r="B222" s="629">
        <f t="shared" si="23"/>
        <v>128</v>
      </c>
      <c r="C222" s="629"/>
      <c r="D222" s="629">
        <f t="shared" si="21"/>
        <v>126</v>
      </c>
      <c r="E222" s="629">
        <v>73</v>
      </c>
      <c r="F222" s="629"/>
      <c r="G222" s="629">
        <f t="shared" si="22"/>
        <v>50</v>
      </c>
      <c r="H222" s="629">
        <v>9</v>
      </c>
      <c r="I222" s="629">
        <v>7</v>
      </c>
      <c r="J222" s="629">
        <v>34</v>
      </c>
      <c r="K222" s="629">
        <v>0</v>
      </c>
      <c r="L222" s="629">
        <v>0</v>
      </c>
      <c r="M222" s="629">
        <v>3</v>
      </c>
      <c r="N222" s="629">
        <v>2</v>
      </c>
      <c r="AC222" s="282"/>
      <c r="AD222" s="282"/>
      <c r="AE222" s="282"/>
      <c r="AF222" s="282"/>
      <c r="AG222" s="282"/>
      <c r="AH222" s="282"/>
      <c r="AI222" s="282"/>
      <c r="AJ222" s="282"/>
      <c r="AK222" s="282"/>
      <c r="AL222" s="282"/>
      <c r="AM222" s="282"/>
      <c r="AN222" s="282"/>
      <c r="AO222" s="282"/>
    </row>
    <row r="223" spans="1:41" s="263" customFormat="1" ht="9" customHeight="1" x14ac:dyDescent="0.25">
      <c r="A223" s="603" t="s">
        <v>49</v>
      </c>
      <c r="B223" s="630">
        <f t="shared" si="23"/>
        <v>148</v>
      </c>
      <c r="C223" s="630"/>
      <c r="D223" s="630">
        <f t="shared" si="21"/>
        <v>145</v>
      </c>
      <c r="E223" s="630">
        <v>76</v>
      </c>
      <c r="F223" s="630"/>
      <c r="G223" s="630">
        <f t="shared" si="22"/>
        <v>69</v>
      </c>
      <c r="H223" s="630">
        <v>14</v>
      </c>
      <c r="I223" s="630">
        <v>8</v>
      </c>
      <c r="J223" s="630">
        <v>47</v>
      </c>
      <c r="K223" s="630">
        <v>0</v>
      </c>
      <c r="L223" s="630">
        <v>0</v>
      </c>
      <c r="M223" s="630">
        <v>0</v>
      </c>
      <c r="N223" s="630">
        <v>3</v>
      </c>
      <c r="AC223" s="282"/>
      <c r="AD223" s="282"/>
      <c r="AE223" s="282"/>
      <c r="AF223" s="282"/>
      <c r="AG223" s="282"/>
      <c r="AH223" s="282"/>
      <c r="AI223" s="282"/>
      <c r="AJ223" s="282"/>
      <c r="AK223" s="282"/>
      <c r="AL223" s="282"/>
      <c r="AM223" s="282"/>
      <c r="AN223" s="282"/>
      <c r="AO223" s="282"/>
    </row>
    <row r="224" spans="1:41" s="263" customFormat="1" ht="9" customHeight="1" x14ac:dyDescent="0.25">
      <c r="A224" s="550" t="s">
        <v>50</v>
      </c>
      <c r="B224" s="629">
        <f t="shared" si="23"/>
        <v>112</v>
      </c>
      <c r="C224" s="629"/>
      <c r="D224" s="629">
        <f t="shared" si="21"/>
        <v>111</v>
      </c>
      <c r="E224" s="629">
        <v>64</v>
      </c>
      <c r="F224" s="629"/>
      <c r="G224" s="629">
        <f t="shared" si="22"/>
        <v>45</v>
      </c>
      <c r="H224" s="629">
        <v>9</v>
      </c>
      <c r="I224" s="629">
        <v>6</v>
      </c>
      <c r="J224" s="629">
        <v>30</v>
      </c>
      <c r="K224" s="629">
        <v>1</v>
      </c>
      <c r="L224" s="629">
        <v>0</v>
      </c>
      <c r="M224" s="629">
        <v>1</v>
      </c>
      <c r="N224" s="629">
        <v>1</v>
      </c>
      <c r="AC224" s="282"/>
      <c r="AD224" s="282"/>
      <c r="AE224" s="282"/>
      <c r="AF224" s="282"/>
      <c r="AG224" s="282"/>
      <c r="AH224" s="282"/>
      <c r="AI224" s="282"/>
      <c r="AJ224" s="282"/>
      <c r="AK224" s="282"/>
      <c r="AL224" s="282"/>
      <c r="AM224" s="282"/>
      <c r="AN224" s="282"/>
      <c r="AO224" s="282"/>
    </row>
    <row r="225" spans="1:41" s="263" customFormat="1" ht="9" customHeight="1" x14ac:dyDescent="0.25">
      <c r="A225" s="550" t="s">
        <v>51</v>
      </c>
      <c r="B225" s="629">
        <f t="shared" si="23"/>
        <v>407</v>
      </c>
      <c r="C225" s="629"/>
      <c r="D225" s="629">
        <f t="shared" si="21"/>
        <v>396</v>
      </c>
      <c r="E225" s="629">
        <v>202</v>
      </c>
      <c r="F225" s="629"/>
      <c r="G225" s="629">
        <f t="shared" si="22"/>
        <v>191</v>
      </c>
      <c r="H225" s="629">
        <v>43</v>
      </c>
      <c r="I225" s="629">
        <v>24</v>
      </c>
      <c r="J225" s="629">
        <v>124</v>
      </c>
      <c r="K225" s="629">
        <v>0</v>
      </c>
      <c r="L225" s="629">
        <v>0</v>
      </c>
      <c r="M225" s="629">
        <v>3</v>
      </c>
      <c r="N225" s="629">
        <v>11</v>
      </c>
      <c r="AC225" s="282"/>
      <c r="AD225" s="282"/>
      <c r="AE225" s="282"/>
      <c r="AF225" s="282"/>
      <c r="AG225" s="282"/>
      <c r="AH225" s="282"/>
      <c r="AI225" s="282"/>
      <c r="AJ225" s="282"/>
      <c r="AK225" s="282"/>
      <c r="AL225" s="282"/>
      <c r="AM225" s="282"/>
      <c r="AN225" s="282"/>
      <c r="AO225" s="282"/>
    </row>
    <row r="226" spans="1:41" s="263" customFormat="1" ht="9" customHeight="1" x14ac:dyDescent="0.25">
      <c r="A226" s="550" t="s">
        <v>52</v>
      </c>
      <c r="B226" s="629">
        <f t="shared" si="23"/>
        <v>151</v>
      </c>
      <c r="C226" s="629"/>
      <c r="D226" s="629">
        <f t="shared" si="21"/>
        <v>150</v>
      </c>
      <c r="E226" s="629">
        <v>47</v>
      </c>
      <c r="F226" s="629"/>
      <c r="G226" s="629">
        <f t="shared" si="22"/>
        <v>94</v>
      </c>
      <c r="H226" s="629">
        <v>25</v>
      </c>
      <c r="I226" s="629">
        <v>20</v>
      </c>
      <c r="J226" s="629">
        <v>49</v>
      </c>
      <c r="K226" s="629">
        <v>0</v>
      </c>
      <c r="L226" s="629">
        <v>2</v>
      </c>
      <c r="M226" s="629">
        <v>7</v>
      </c>
      <c r="N226" s="629">
        <v>1</v>
      </c>
      <c r="AC226" s="282"/>
      <c r="AD226" s="282"/>
      <c r="AE226" s="282"/>
      <c r="AF226" s="282"/>
      <c r="AG226" s="282"/>
      <c r="AH226" s="282"/>
      <c r="AI226" s="282"/>
      <c r="AJ226" s="282"/>
      <c r="AK226" s="282"/>
      <c r="AL226" s="282"/>
      <c r="AM226" s="282"/>
      <c r="AN226" s="282"/>
      <c r="AO226" s="282"/>
    </row>
    <row r="227" spans="1:41" s="263" customFormat="1" ht="9" customHeight="1" x14ac:dyDescent="0.25">
      <c r="A227" s="267" t="s">
        <v>53</v>
      </c>
      <c r="B227" s="268">
        <f t="shared" si="23"/>
        <v>59</v>
      </c>
      <c r="C227" s="268"/>
      <c r="D227" s="268">
        <f t="shared" si="21"/>
        <v>55</v>
      </c>
      <c r="E227" s="268">
        <v>25</v>
      </c>
      <c r="F227" s="268"/>
      <c r="G227" s="268">
        <f t="shared" si="22"/>
        <v>29</v>
      </c>
      <c r="H227" s="268">
        <v>6</v>
      </c>
      <c r="I227" s="268">
        <v>3</v>
      </c>
      <c r="J227" s="268">
        <v>20</v>
      </c>
      <c r="K227" s="268">
        <v>0</v>
      </c>
      <c r="L227" s="268">
        <v>0</v>
      </c>
      <c r="M227" s="268">
        <v>1</v>
      </c>
      <c r="N227" s="268">
        <v>4</v>
      </c>
      <c r="AC227" s="282"/>
      <c r="AD227" s="282"/>
      <c r="AE227" s="282"/>
      <c r="AF227" s="282"/>
      <c r="AG227" s="282"/>
      <c r="AH227" s="282"/>
      <c r="AI227" s="282"/>
      <c r="AJ227" s="282"/>
      <c r="AK227" s="282"/>
      <c r="AL227" s="282"/>
      <c r="AM227" s="282"/>
      <c r="AN227" s="282"/>
      <c r="AO227" s="282"/>
    </row>
    <row r="228" spans="1:41" ht="9" customHeight="1" x14ac:dyDescent="0.25">
      <c r="B228" s="259"/>
      <c r="C228" s="259"/>
      <c r="D228" s="259"/>
      <c r="E228" s="259"/>
      <c r="F228" s="259"/>
      <c r="G228" s="259"/>
      <c r="H228" s="259"/>
      <c r="I228" s="259"/>
      <c r="J228" s="259"/>
      <c r="K228" s="259"/>
      <c r="L228" s="259"/>
      <c r="AC228" s="282"/>
      <c r="AD228" s="282"/>
      <c r="AE228" s="282"/>
      <c r="AF228" s="282"/>
      <c r="AG228" s="282"/>
      <c r="AH228" s="282"/>
      <c r="AI228" s="282"/>
      <c r="AJ228" s="282"/>
      <c r="AK228" s="282"/>
      <c r="AL228" s="282"/>
      <c r="AM228" s="282"/>
      <c r="AN228" s="282"/>
      <c r="AO228" s="282"/>
    </row>
    <row r="229" spans="1:41" ht="9" customHeight="1" x14ac:dyDescent="0.25">
      <c r="A229" s="601">
        <v>2007</v>
      </c>
      <c r="B229" s="262"/>
      <c r="C229" s="262"/>
      <c r="D229" s="262"/>
      <c r="E229" s="262"/>
      <c r="F229" s="262"/>
      <c r="G229" s="262"/>
      <c r="H229" s="262"/>
      <c r="I229" s="262"/>
      <c r="J229" s="262"/>
      <c r="K229" s="262"/>
      <c r="L229" s="262"/>
      <c r="M229" s="262"/>
      <c r="N229" s="262"/>
      <c r="AC229" s="282"/>
      <c r="AD229" s="282"/>
      <c r="AE229" s="282"/>
      <c r="AF229" s="282"/>
      <c r="AG229" s="282"/>
      <c r="AH229" s="282"/>
      <c r="AI229" s="282"/>
      <c r="AJ229" s="282"/>
      <c r="AK229" s="282"/>
      <c r="AL229" s="282"/>
      <c r="AM229" s="282"/>
      <c r="AN229" s="282"/>
      <c r="AO229" s="282"/>
    </row>
    <row r="230" spans="1:41" s="265" customFormat="1" ht="9" customHeight="1" x14ac:dyDescent="0.25">
      <c r="A230" s="265" t="s">
        <v>21</v>
      </c>
      <c r="B230" s="262">
        <f>SUM(B232:B263)</f>
        <v>12303</v>
      </c>
      <c r="C230" s="262"/>
      <c r="D230" s="262">
        <f>SUM(D232:D263)</f>
        <v>11979</v>
      </c>
      <c r="E230" s="262">
        <f>SUM(E232:E263)</f>
        <v>4358</v>
      </c>
      <c r="F230" s="262"/>
      <c r="G230" s="262">
        <f t="shared" ref="G230:M230" si="24">SUM(G232:G263)</f>
        <v>6015</v>
      </c>
      <c r="H230" s="262">
        <f t="shared" si="24"/>
        <v>945</v>
      </c>
      <c r="I230" s="262">
        <f t="shared" si="24"/>
        <v>850</v>
      </c>
      <c r="J230" s="262">
        <f t="shared" si="24"/>
        <v>4220</v>
      </c>
      <c r="K230" s="262">
        <f t="shared" si="24"/>
        <v>356</v>
      </c>
      <c r="L230" s="262">
        <f t="shared" si="24"/>
        <v>1027</v>
      </c>
      <c r="M230" s="262">
        <f t="shared" si="24"/>
        <v>223</v>
      </c>
      <c r="N230" s="262">
        <f>SUM(N232:N263)</f>
        <v>324</v>
      </c>
      <c r="AC230" s="282"/>
      <c r="AD230" s="282"/>
      <c r="AE230" s="282"/>
      <c r="AF230" s="282"/>
      <c r="AG230" s="282"/>
      <c r="AH230" s="282"/>
      <c r="AI230" s="282"/>
      <c r="AJ230" s="282"/>
      <c r="AK230" s="282"/>
      <c r="AL230" s="282"/>
      <c r="AM230" s="282"/>
      <c r="AN230" s="282"/>
      <c r="AO230" s="282"/>
    </row>
    <row r="231" spans="1:41" s="265" customFormat="1" ht="3" customHeight="1" x14ac:dyDescent="0.25">
      <c r="B231" s="262"/>
      <c r="C231" s="262"/>
      <c r="D231" s="262"/>
      <c r="E231" s="262"/>
      <c r="F231" s="262"/>
      <c r="G231" s="262"/>
      <c r="H231" s="262"/>
      <c r="I231" s="262"/>
      <c r="J231" s="262"/>
      <c r="K231" s="262"/>
      <c r="L231" s="262"/>
      <c r="M231" s="262"/>
      <c r="N231" s="262"/>
      <c r="AC231" s="282"/>
      <c r="AD231" s="282"/>
      <c r="AE231" s="282"/>
      <c r="AF231" s="282"/>
      <c r="AG231" s="282"/>
      <c r="AH231" s="282"/>
      <c r="AI231" s="282"/>
      <c r="AJ231" s="282"/>
      <c r="AK231" s="282"/>
      <c r="AL231" s="282"/>
      <c r="AM231" s="282"/>
      <c r="AN231" s="282"/>
      <c r="AO231" s="282"/>
    </row>
    <row r="232" spans="1:41" s="263" customFormat="1" ht="9" customHeight="1" x14ac:dyDescent="0.25">
      <c r="A232" s="550" t="s">
        <v>23</v>
      </c>
      <c r="B232" s="629">
        <f>SUM(D232+N232)</f>
        <v>115</v>
      </c>
      <c r="C232" s="629"/>
      <c r="D232" s="629">
        <f t="shared" ref="D232:D263" si="25">SUM(E232+G232+K232+L232+M232)</f>
        <v>114</v>
      </c>
      <c r="E232" s="629">
        <v>25</v>
      </c>
      <c r="F232" s="629"/>
      <c r="G232" s="629">
        <f>SUM(H232:J232)</f>
        <v>72</v>
      </c>
      <c r="H232" s="629">
        <v>11</v>
      </c>
      <c r="I232" s="629">
        <v>10</v>
      </c>
      <c r="J232" s="629">
        <v>51</v>
      </c>
      <c r="K232" s="629">
        <v>11</v>
      </c>
      <c r="L232" s="629">
        <v>3</v>
      </c>
      <c r="M232" s="629">
        <v>3</v>
      </c>
      <c r="N232" s="629">
        <v>1</v>
      </c>
      <c r="AC232" s="282"/>
      <c r="AD232" s="282"/>
      <c r="AE232" s="282"/>
      <c r="AF232" s="282"/>
      <c r="AG232" s="282"/>
      <c r="AH232" s="282"/>
      <c r="AI232" s="282"/>
      <c r="AJ232" s="282"/>
      <c r="AK232" s="282"/>
      <c r="AL232" s="282"/>
      <c r="AM232" s="282"/>
      <c r="AN232" s="282"/>
      <c r="AO232" s="282"/>
    </row>
    <row r="233" spans="1:41" s="263" customFormat="1" ht="9" customHeight="1" x14ac:dyDescent="0.25">
      <c r="A233" s="550" t="s">
        <v>24</v>
      </c>
      <c r="B233" s="629">
        <f>SUM(D233+N233)</f>
        <v>212</v>
      </c>
      <c r="C233" s="629"/>
      <c r="D233" s="629">
        <f t="shared" si="25"/>
        <v>199</v>
      </c>
      <c r="E233" s="629">
        <v>149</v>
      </c>
      <c r="F233" s="629"/>
      <c r="G233" s="629">
        <f>SUM(H233:J233)</f>
        <v>46</v>
      </c>
      <c r="H233" s="629">
        <v>12</v>
      </c>
      <c r="I233" s="629">
        <v>7</v>
      </c>
      <c r="J233" s="629">
        <v>27</v>
      </c>
      <c r="K233" s="629">
        <v>1</v>
      </c>
      <c r="L233" s="629">
        <v>0</v>
      </c>
      <c r="M233" s="629">
        <v>3</v>
      </c>
      <c r="N233" s="629">
        <v>13</v>
      </c>
      <c r="AC233" s="282"/>
      <c r="AD233" s="282"/>
      <c r="AE233" s="282"/>
      <c r="AF233" s="282"/>
      <c r="AG233" s="282"/>
      <c r="AH233" s="282"/>
      <c r="AI233" s="282"/>
      <c r="AJ233" s="282"/>
      <c r="AK233" s="282"/>
      <c r="AL233" s="282"/>
      <c r="AM233" s="282"/>
      <c r="AN233" s="282"/>
      <c r="AO233" s="282"/>
    </row>
    <row r="234" spans="1:41" s="263" customFormat="1" ht="9" customHeight="1" x14ac:dyDescent="0.25">
      <c r="A234" s="550" t="s">
        <v>25</v>
      </c>
      <c r="B234" s="629">
        <f>SUM(D234+N234)</f>
        <v>30</v>
      </c>
      <c r="C234" s="629"/>
      <c r="D234" s="629">
        <f t="shared" si="25"/>
        <v>30</v>
      </c>
      <c r="E234" s="629">
        <v>24</v>
      </c>
      <c r="F234" s="629"/>
      <c r="G234" s="629">
        <f t="shared" ref="G234:G263" si="26">SUM(H234:J234)</f>
        <v>6</v>
      </c>
      <c r="H234" s="629">
        <v>1</v>
      </c>
      <c r="I234" s="629">
        <v>1</v>
      </c>
      <c r="J234" s="629">
        <v>4</v>
      </c>
      <c r="K234" s="629">
        <v>0</v>
      </c>
      <c r="L234" s="629">
        <v>0</v>
      </c>
      <c r="M234" s="629">
        <v>0</v>
      </c>
      <c r="N234" s="629">
        <v>0</v>
      </c>
      <c r="AC234" s="282"/>
      <c r="AD234" s="282"/>
      <c r="AE234" s="282"/>
      <c r="AF234" s="282"/>
      <c r="AG234" s="282"/>
      <c r="AH234" s="282"/>
      <c r="AI234" s="282"/>
      <c r="AJ234" s="282"/>
      <c r="AK234" s="282"/>
      <c r="AL234" s="282"/>
      <c r="AM234" s="282"/>
      <c r="AN234" s="282"/>
      <c r="AO234" s="282"/>
    </row>
    <row r="235" spans="1:41" s="263" customFormat="1" ht="9" customHeight="1" x14ac:dyDescent="0.25">
      <c r="A235" s="603" t="s">
        <v>26</v>
      </c>
      <c r="B235" s="630">
        <f>SUM(D235+N235)</f>
        <v>25</v>
      </c>
      <c r="C235" s="630"/>
      <c r="D235" s="630">
        <f t="shared" si="25"/>
        <v>21</v>
      </c>
      <c r="E235" s="630">
        <v>19</v>
      </c>
      <c r="F235" s="630"/>
      <c r="G235" s="630">
        <f t="shared" si="26"/>
        <v>2</v>
      </c>
      <c r="H235" s="630">
        <v>0</v>
      </c>
      <c r="I235" s="630">
        <v>0</v>
      </c>
      <c r="J235" s="630">
        <v>2</v>
      </c>
      <c r="K235" s="630">
        <v>0</v>
      </c>
      <c r="L235" s="630">
        <v>0</v>
      </c>
      <c r="M235" s="630">
        <v>0</v>
      </c>
      <c r="N235" s="630">
        <v>4</v>
      </c>
      <c r="AC235" s="282"/>
      <c r="AD235" s="282"/>
      <c r="AE235" s="282"/>
      <c r="AF235" s="282"/>
      <c r="AG235" s="282"/>
      <c r="AH235" s="282"/>
      <c r="AI235" s="282"/>
      <c r="AJ235" s="282"/>
      <c r="AK235" s="282"/>
      <c r="AL235" s="282"/>
      <c r="AM235" s="282"/>
      <c r="AN235" s="282"/>
      <c r="AO235" s="282"/>
    </row>
    <row r="236" spans="1:41" s="263" customFormat="1" ht="9" customHeight="1" x14ac:dyDescent="0.25">
      <c r="A236" s="550" t="s">
        <v>27</v>
      </c>
      <c r="B236" s="629">
        <f t="shared" ref="B236:B263" si="27">SUM(D236+N236)</f>
        <v>112</v>
      </c>
      <c r="C236" s="629"/>
      <c r="D236" s="629">
        <f t="shared" si="25"/>
        <v>106</v>
      </c>
      <c r="E236" s="629">
        <v>46</v>
      </c>
      <c r="F236" s="629"/>
      <c r="G236" s="629">
        <f t="shared" si="26"/>
        <v>56</v>
      </c>
      <c r="H236" s="629">
        <v>7</v>
      </c>
      <c r="I236" s="629">
        <v>4</v>
      </c>
      <c r="J236" s="629">
        <v>45</v>
      </c>
      <c r="K236" s="629">
        <v>0</v>
      </c>
      <c r="L236" s="629">
        <v>0</v>
      </c>
      <c r="M236" s="629">
        <v>4</v>
      </c>
      <c r="N236" s="629">
        <v>6</v>
      </c>
      <c r="AC236" s="282"/>
      <c r="AD236" s="282"/>
      <c r="AE236" s="282"/>
      <c r="AF236" s="282"/>
      <c r="AG236" s="282"/>
      <c r="AH236" s="282"/>
      <c r="AI236" s="282"/>
      <c r="AJ236" s="282"/>
      <c r="AK236" s="282"/>
      <c r="AL236" s="282"/>
      <c r="AM236" s="282"/>
      <c r="AN236" s="282"/>
      <c r="AO236" s="282"/>
    </row>
    <row r="237" spans="1:41" s="263" customFormat="1" ht="9" customHeight="1" x14ac:dyDescent="0.25">
      <c r="A237" s="550" t="s">
        <v>28</v>
      </c>
      <c r="B237" s="629">
        <f t="shared" si="27"/>
        <v>28</v>
      </c>
      <c r="C237" s="629"/>
      <c r="D237" s="629">
        <f t="shared" si="25"/>
        <v>27</v>
      </c>
      <c r="E237" s="629">
        <v>23</v>
      </c>
      <c r="F237" s="629"/>
      <c r="G237" s="629">
        <f t="shared" si="26"/>
        <v>4</v>
      </c>
      <c r="H237" s="629">
        <v>1</v>
      </c>
      <c r="I237" s="629">
        <v>3</v>
      </c>
      <c r="J237" s="629">
        <v>0</v>
      </c>
      <c r="K237" s="629">
        <v>0</v>
      </c>
      <c r="L237" s="629">
        <v>0</v>
      </c>
      <c r="M237" s="629">
        <v>0</v>
      </c>
      <c r="N237" s="629">
        <v>1</v>
      </c>
      <c r="AC237" s="282"/>
      <c r="AD237" s="282"/>
      <c r="AE237" s="282"/>
      <c r="AF237" s="282"/>
      <c r="AG237" s="282"/>
      <c r="AH237" s="282"/>
      <c r="AI237" s="282"/>
      <c r="AJ237" s="282"/>
      <c r="AK237" s="282"/>
      <c r="AL237" s="282"/>
      <c r="AM237" s="282"/>
      <c r="AN237" s="282"/>
      <c r="AO237" s="282"/>
    </row>
    <row r="238" spans="1:41" s="263" customFormat="1" ht="9" customHeight="1" x14ac:dyDescent="0.25">
      <c r="A238" s="550" t="s">
        <v>29</v>
      </c>
      <c r="B238" s="629">
        <f t="shared" si="27"/>
        <v>179</v>
      </c>
      <c r="C238" s="629"/>
      <c r="D238" s="629">
        <f t="shared" si="25"/>
        <v>174</v>
      </c>
      <c r="E238" s="629">
        <v>104</v>
      </c>
      <c r="F238" s="629"/>
      <c r="G238" s="629">
        <f t="shared" si="26"/>
        <v>68</v>
      </c>
      <c r="H238" s="629">
        <v>16</v>
      </c>
      <c r="I238" s="629">
        <v>10</v>
      </c>
      <c r="J238" s="629">
        <v>42</v>
      </c>
      <c r="K238" s="629">
        <v>1</v>
      </c>
      <c r="L238" s="629">
        <v>0</v>
      </c>
      <c r="M238" s="629">
        <v>1</v>
      </c>
      <c r="N238" s="629">
        <v>5</v>
      </c>
      <c r="AC238" s="282"/>
      <c r="AD238" s="282"/>
      <c r="AE238" s="282"/>
      <c r="AF238" s="282"/>
      <c r="AG238" s="282"/>
      <c r="AH238" s="282"/>
      <c r="AI238" s="282"/>
      <c r="AJ238" s="282"/>
      <c r="AK238" s="282"/>
      <c r="AL238" s="282"/>
      <c r="AM238" s="282"/>
      <c r="AN238" s="282"/>
      <c r="AO238" s="282"/>
    </row>
    <row r="239" spans="1:41" s="263" customFormat="1" ht="9" customHeight="1" x14ac:dyDescent="0.25">
      <c r="A239" s="603" t="s">
        <v>30</v>
      </c>
      <c r="B239" s="630">
        <f t="shared" si="27"/>
        <v>649</v>
      </c>
      <c r="C239" s="630"/>
      <c r="D239" s="630">
        <f t="shared" si="25"/>
        <v>644</v>
      </c>
      <c r="E239" s="630">
        <v>153</v>
      </c>
      <c r="F239" s="630"/>
      <c r="G239" s="630">
        <f t="shared" si="26"/>
        <v>442</v>
      </c>
      <c r="H239" s="630">
        <v>55</v>
      </c>
      <c r="I239" s="630">
        <v>39</v>
      </c>
      <c r="J239" s="630">
        <v>348</v>
      </c>
      <c r="K239" s="630">
        <v>12</v>
      </c>
      <c r="L239" s="630">
        <v>29</v>
      </c>
      <c r="M239" s="630">
        <v>8</v>
      </c>
      <c r="N239" s="630">
        <v>5</v>
      </c>
      <c r="AC239" s="282"/>
      <c r="AD239" s="282"/>
      <c r="AE239" s="282"/>
      <c r="AF239" s="282"/>
      <c r="AG239" s="282"/>
      <c r="AH239" s="282"/>
      <c r="AI239" s="282"/>
      <c r="AJ239" s="282"/>
      <c r="AK239" s="282"/>
      <c r="AL239" s="282"/>
      <c r="AM239" s="282"/>
      <c r="AN239" s="282"/>
      <c r="AO239" s="282"/>
    </row>
    <row r="240" spans="1:41" s="263" customFormat="1" ht="9" customHeight="1" x14ac:dyDescent="0.25">
      <c r="A240" s="550" t="s">
        <v>63</v>
      </c>
      <c r="B240" s="629">
        <f t="shared" si="27"/>
        <v>3603</v>
      </c>
      <c r="C240" s="629"/>
      <c r="D240" s="629">
        <f t="shared" si="25"/>
        <v>3513</v>
      </c>
      <c r="E240" s="629">
        <v>725</v>
      </c>
      <c r="F240" s="629"/>
      <c r="G240" s="629">
        <f t="shared" si="26"/>
        <v>1732</v>
      </c>
      <c r="H240" s="629">
        <v>188</v>
      </c>
      <c r="I240" s="629">
        <v>251</v>
      </c>
      <c r="J240" s="629">
        <v>1293</v>
      </c>
      <c r="K240" s="629">
        <v>227</v>
      </c>
      <c r="L240" s="629">
        <v>778</v>
      </c>
      <c r="M240" s="629">
        <v>51</v>
      </c>
      <c r="N240" s="629">
        <v>90</v>
      </c>
      <c r="AC240" s="282"/>
      <c r="AD240" s="282"/>
      <c r="AE240" s="282"/>
      <c r="AF240" s="282"/>
      <c r="AG240" s="282"/>
      <c r="AH240" s="282"/>
      <c r="AI240" s="282"/>
      <c r="AJ240" s="282"/>
      <c r="AK240" s="282"/>
      <c r="AL240" s="282"/>
      <c r="AM240" s="282"/>
      <c r="AN240" s="282"/>
      <c r="AO240" s="282"/>
    </row>
    <row r="241" spans="1:41" s="263" customFormat="1" ht="9" customHeight="1" x14ac:dyDescent="0.25">
      <c r="A241" s="550" t="s">
        <v>31</v>
      </c>
      <c r="B241" s="629">
        <f t="shared" si="27"/>
        <v>131</v>
      </c>
      <c r="C241" s="629"/>
      <c r="D241" s="629">
        <f t="shared" si="25"/>
        <v>126</v>
      </c>
      <c r="E241" s="629">
        <v>37</v>
      </c>
      <c r="F241" s="629"/>
      <c r="G241" s="629">
        <f t="shared" si="26"/>
        <v>78</v>
      </c>
      <c r="H241" s="629">
        <v>7</v>
      </c>
      <c r="I241" s="629">
        <v>13</v>
      </c>
      <c r="J241" s="629">
        <v>58</v>
      </c>
      <c r="K241" s="629">
        <v>1</v>
      </c>
      <c r="L241" s="629">
        <v>8</v>
      </c>
      <c r="M241" s="629">
        <v>2</v>
      </c>
      <c r="N241" s="629">
        <v>5</v>
      </c>
      <c r="AC241" s="282"/>
      <c r="AD241" s="282"/>
      <c r="AE241" s="282"/>
      <c r="AF241" s="282"/>
      <c r="AG241" s="282"/>
      <c r="AH241" s="282"/>
      <c r="AI241" s="282"/>
      <c r="AJ241" s="282"/>
      <c r="AK241" s="282"/>
      <c r="AL241" s="282"/>
      <c r="AM241" s="282"/>
      <c r="AN241" s="282"/>
      <c r="AO241" s="282"/>
    </row>
    <row r="242" spans="1:41" s="263" customFormat="1" ht="9" customHeight="1" x14ac:dyDescent="0.25">
      <c r="A242" s="550" t="s">
        <v>32</v>
      </c>
      <c r="B242" s="629">
        <f t="shared" si="27"/>
        <v>476</v>
      </c>
      <c r="C242" s="629"/>
      <c r="D242" s="629">
        <f t="shared" si="25"/>
        <v>466</v>
      </c>
      <c r="E242" s="629">
        <v>216</v>
      </c>
      <c r="F242" s="629"/>
      <c r="G242" s="629">
        <f t="shared" si="26"/>
        <v>212</v>
      </c>
      <c r="H242" s="629">
        <v>28</v>
      </c>
      <c r="I242" s="629">
        <v>33</v>
      </c>
      <c r="J242" s="629">
        <v>151</v>
      </c>
      <c r="K242" s="629">
        <v>20</v>
      </c>
      <c r="L242" s="629">
        <v>9</v>
      </c>
      <c r="M242" s="629">
        <v>9</v>
      </c>
      <c r="N242" s="629">
        <v>10</v>
      </c>
      <c r="AC242" s="282"/>
      <c r="AD242" s="282"/>
      <c r="AE242" s="282"/>
      <c r="AF242" s="282"/>
      <c r="AG242" s="282"/>
      <c r="AH242" s="282"/>
      <c r="AI242" s="282"/>
      <c r="AJ242" s="282"/>
      <c r="AK242" s="282"/>
      <c r="AL242" s="282"/>
      <c r="AM242" s="282"/>
      <c r="AN242" s="282"/>
      <c r="AO242" s="282"/>
    </row>
    <row r="243" spans="1:41" s="263" customFormat="1" ht="9" customHeight="1" x14ac:dyDescent="0.25">
      <c r="A243" s="603" t="s">
        <v>33</v>
      </c>
      <c r="B243" s="630">
        <f t="shared" si="27"/>
        <v>224</v>
      </c>
      <c r="C243" s="630"/>
      <c r="D243" s="630">
        <f t="shared" si="25"/>
        <v>220</v>
      </c>
      <c r="E243" s="630">
        <v>72</v>
      </c>
      <c r="F243" s="630"/>
      <c r="G243" s="630">
        <f t="shared" si="26"/>
        <v>143</v>
      </c>
      <c r="H243" s="630">
        <v>25</v>
      </c>
      <c r="I243" s="630">
        <v>20</v>
      </c>
      <c r="J243" s="630">
        <v>98</v>
      </c>
      <c r="K243" s="630">
        <v>0</v>
      </c>
      <c r="L243" s="630">
        <v>0</v>
      </c>
      <c r="M243" s="630">
        <v>5</v>
      </c>
      <c r="N243" s="630">
        <v>4</v>
      </c>
      <c r="AC243" s="282"/>
      <c r="AD243" s="282"/>
      <c r="AE243" s="282"/>
      <c r="AF243" s="282"/>
      <c r="AG243" s="282"/>
      <c r="AH243" s="282"/>
      <c r="AI243" s="282"/>
      <c r="AJ243" s="282"/>
      <c r="AK243" s="282"/>
      <c r="AL243" s="282"/>
      <c r="AM243" s="282"/>
      <c r="AN243" s="282"/>
      <c r="AO243" s="282"/>
    </row>
    <row r="244" spans="1:41" s="263" customFormat="1" ht="9" customHeight="1" x14ac:dyDescent="0.25">
      <c r="A244" s="550" t="s">
        <v>34</v>
      </c>
      <c r="B244" s="629">
        <f t="shared" si="27"/>
        <v>367</v>
      </c>
      <c r="C244" s="629"/>
      <c r="D244" s="629">
        <f t="shared" si="25"/>
        <v>358</v>
      </c>
      <c r="E244" s="629">
        <v>114</v>
      </c>
      <c r="F244" s="629"/>
      <c r="G244" s="629">
        <f t="shared" si="26"/>
        <v>230</v>
      </c>
      <c r="H244" s="629">
        <v>48</v>
      </c>
      <c r="I244" s="629">
        <v>35</v>
      </c>
      <c r="J244" s="629">
        <v>147</v>
      </c>
      <c r="K244" s="629">
        <v>2</v>
      </c>
      <c r="L244" s="629">
        <v>0</v>
      </c>
      <c r="M244" s="629">
        <v>12</v>
      </c>
      <c r="N244" s="629">
        <v>9</v>
      </c>
      <c r="AC244" s="282"/>
      <c r="AD244" s="282"/>
      <c r="AE244" s="282"/>
      <c r="AF244" s="282"/>
      <c r="AG244" s="282"/>
      <c r="AH244" s="282"/>
      <c r="AI244" s="282"/>
      <c r="AJ244" s="282"/>
      <c r="AK244" s="282"/>
      <c r="AL244" s="282"/>
      <c r="AM244" s="282"/>
      <c r="AN244" s="282"/>
      <c r="AO244" s="282"/>
    </row>
    <row r="245" spans="1:41" s="263" customFormat="1" ht="9" customHeight="1" x14ac:dyDescent="0.25">
      <c r="A245" s="550" t="s">
        <v>35</v>
      </c>
      <c r="B245" s="629">
        <f t="shared" si="27"/>
        <v>644</v>
      </c>
      <c r="C245" s="629"/>
      <c r="D245" s="629">
        <f t="shared" si="25"/>
        <v>606</v>
      </c>
      <c r="E245" s="629">
        <v>213</v>
      </c>
      <c r="F245" s="629"/>
      <c r="G245" s="629">
        <f t="shared" si="26"/>
        <v>292</v>
      </c>
      <c r="H245" s="629">
        <v>32</v>
      </c>
      <c r="I245" s="629">
        <v>46</v>
      </c>
      <c r="J245" s="629">
        <v>214</v>
      </c>
      <c r="K245" s="629">
        <v>10</v>
      </c>
      <c r="L245" s="629">
        <v>88</v>
      </c>
      <c r="M245" s="629">
        <v>3</v>
      </c>
      <c r="N245" s="629">
        <v>38</v>
      </c>
      <c r="AC245" s="282"/>
      <c r="AD245" s="282"/>
      <c r="AE245" s="282"/>
      <c r="AF245" s="282"/>
      <c r="AG245" s="282"/>
      <c r="AH245" s="282"/>
      <c r="AI245" s="282"/>
      <c r="AJ245" s="282"/>
      <c r="AK245" s="282"/>
      <c r="AL245" s="282"/>
      <c r="AM245" s="282"/>
      <c r="AN245" s="282"/>
      <c r="AO245" s="282"/>
    </row>
    <row r="246" spans="1:41" s="263" customFormat="1" ht="9" customHeight="1" x14ac:dyDescent="0.25">
      <c r="A246" s="550" t="s">
        <v>36</v>
      </c>
      <c r="B246" s="629">
        <f t="shared" si="27"/>
        <v>1701</v>
      </c>
      <c r="C246" s="629"/>
      <c r="D246" s="629">
        <f t="shared" si="25"/>
        <v>1676</v>
      </c>
      <c r="E246" s="629">
        <v>884</v>
      </c>
      <c r="F246" s="629"/>
      <c r="G246" s="629">
        <f t="shared" si="26"/>
        <v>703</v>
      </c>
      <c r="H246" s="629">
        <v>148</v>
      </c>
      <c r="I246" s="629">
        <v>108</v>
      </c>
      <c r="J246" s="629">
        <v>447</v>
      </c>
      <c r="K246" s="629">
        <v>7</v>
      </c>
      <c r="L246" s="629">
        <v>43</v>
      </c>
      <c r="M246" s="629">
        <v>39</v>
      </c>
      <c r="N246" s="629">
        <v>25</v>
      </c>
      <c r="AC246" s="282"/>
      <c r="AD246" s="282"/>
      <c r="AE246" s="282"/>
      <c r="AF246" s="282"/>
      <c r="AG246" s="282"/>
      <c r="AH246" s="282"/>
      <c r="AI246" s="282"/>
      <c r="AJ246" s="282"/>
      <c r="AK246" s="282"/>
      <c r="AL246" s="282"/>
      <c r="AM246" s="282"/>
      <c r="AN246" s="282"/>
      <c r="AO246" s="282"/>
    </row>
    <row r="247" spans="1:41" s="263" customFormat="1" ht="9" customHeight="1" x14ac:dyDescent="0.25">
      <c r="A247" s="603" t="s">
        <v>37</v>
      </c>
      <c r="B247" s="630">
        <f t="shared" si="27"/>
        <v>754</v>
      </c>
      <c r="C247" s="630"/>
      <c r="D247" s="630">
        <f t="shared" si="25"/>
        <v>738</v>
      </c>
      <c r="E247" s="630">
        <v>271</v>
      </c>
      <c r="F247" s="630"/>
      <c r="G247" s="630">
        <f t="shared" si="26"/>
        <v>383</v>
      </c>
      <c r="H247" s="630">
        <v>66</v>
      </c>
      <c r="I247" s="630">
        <v>49</v>
      </c>
      <c r="J247" s="630">
        <v>268</v>
      </c>
      <c r="K247" s="630">
        <v>30</v>
      </c>
      <c r="L247" s="630">
        <v>49</v>
      </c>
      <c r="M247" s="630">
        <v>5</v>
      </c>
      <c r="N247" s="630">
        <v>16</v>
      </c>
      <c r="AC247" s="282"/>
      <c r="AD247" s="282"/>
      <c r="AE247" s="282"/>
      <c r="AF247" s="282"/>
      <c r="AG247" s="282"/>
      <c r="AH247" s="282"/>
      <c r="AI247" s="282"/>
      <c r="AJ247" s="282"/>
      <c r="AK247" s="282"/>
      <c r="AL247" s="282"/>
      <c r="AM247" s="282"/>
      <c r="AN247" s="282"/>
      <c r="AO247" s="282"/>
    </row>
    <row r="248" spans="1:41" s="263" customFormat="1" ht="9" customHeight="1" x14ac:dyDescent="0.25">
      <c r="A248" s="550" t="s">
        <v>38</v>
      </c>
      <c r="B248" s="629">
        <f t="shared" si="27"/>
        <v>154</v>
      </c>
      <c r="C248" s="629"/>
      <c r="D248" s="629">
        <f t="shared" si="25"/>
        <v>151</v>
      </c>
      <c r="E248" s="629">
        <v>85</v>
      </c>
      <c r="F248" s="629"/>
      <c r="G248" s="629">
        <f t="shared" si="26"/>
        <v>64</v>
      </c>
      <c r="H248" s="629">
        <v>20</v>
      </c>
      <c r="I248" s="629">
        <v>8</v>
      </c>
      <c r="J248" s="629">
        <v>36</v>
      </c>
      <c r="K248" s="629">
        <v>0</v>
      </c>
      <c r="L248" s="629">
        <v>0</v>
      </c>
      <c r="M248" s="629">
        <v>2</v>
      </c>
      <c r="N248" s="629">
        <v>3</v>
      </c>
      <c r="AC248" s="282"/>
      <c r="AD248" s="282"/>
      <c r="AE248" s="282"/>
      <c r="AF248" s="282"/>
      <c r="AG248" s="282"/>
      <c r="AH248" s="282"/>
      <c r="AI248" s="282"/>
      <c r="AJ248" s="282"/>
      <c r="AK248" s="282"/>
      <c r="AL248" s="282"/>
      <c r="AM248" s="282"/>
      <c r="AN248" s="282"/>
      <c r="AO248" s="282"/>
    </row>
    <row r="249" spans="1:41" s="263" customFormat="1" ht="9" customHeight="1" x14ac:dyDescent="0.25">
      <c r="A249" s="550" t="s">
        <v>39</v>
      </c>
      <c r="B249" s="629">
        <f t="shared" si="27"/>
        <v>64</v>
      </c>
      <c r="C249" s="629"/>
      <c r="D249" s="629">
        <f t="shared" si="25"/>
        <v>64</v>
      </c>
      <c r="E249" s="629">
        <v>25</v>
      </c>
      <c r="F249" s="629"/>
      <c r="G249" s="629">
        <f t="shared" si="26"/>
        <v>38</v>
      </c>
      <c r="H249" s="629">
        <v>9</v>
      </c>
      <c r="I249" s="629">
        <v>5</v>
      </c>
      <c r="J249" s="629">
        <v>24</v>
      </c>
      <c r="K249" s="629">
        <v>0</v>
      </c>
      <c r="L249" s="629">
        <v>0</v>
      </c>
      <c r="M249" s="629">
        <v>1</v>
      </c>
      <c r="N249" s="629">
        <v>0</v>
      </c>
      <c r="AC249" s="282"/>
      <c r="AD249" s="282"/>
      <c r="AE249" s="282"/>
      <c r="AF249" s="282"/>
      <c r="AG249" s="282"/>
      <c r="AH249" s="282"/>
      <c r="AI249" s="282"/>
      <c r="AJ249" s="282"/>
      <c r="AK249" s="282"/>
      <c r="AL249" s="282"/>
      <c r="AM249" s="282"/>
      <c r="AN249" s="282"/>
      <c r="AO249" s="282"/>
    </row>
    <row r="250" spans="1:41" s="263" customFormat="1" ht="9" customHeight="1" x14ac:dyDescent="0.25">
      <c r="A250" s="550" t="s">
        <v>40</v>
      </c>
      <c r="B250" s="629">
        <f t="shared" si="27"/>
        <v>544</v>
      </c>
      <c r="C250" s="629"/>
      <c r="D250" s="629">
        <f t="shared" si="25"/>
        <v>513</v>
      </c>
      <c r="E250" s="629">
        <v>116</v>
      </c>
      <c r="F250" s="629"/>
      <c r="G250" s="629">
        <f t="shared" si="26"/>
        <v>357</v>
      </c>
      <c r="H250" s="629">
        <v>61</v>
      </c>
      <c r="I250" s="629">
        <v>59</v>
      </c>
      <c r="J250" s="629">
        <v>237</v>
      </c>
      <c r="K250" s="629">
        <v>2</v>
      </c>
      <c r="L250" s="629">
        <v>11</v>
      </c>
      <c r="M250" s="629">
        <v>27</v>
      </c>
      <c r="N250" s="629">
        <v>31</v>
      </c>
      <c r="AC250" s="282"/>
      <c r="AD250" s="282"/>
      <c r="AE250" s="282"/>
      <c r="AF250" s="282"/>
      <c r="AG250" s="282"/>
      <c r="AH250" s="282"/>
      <c r="AI250" s="282"/>
      <c r="AJ250" s="282"/>
      <c r="AK250" s="282"/>
      <c r="AL250" s="282"/>
      <c r="AM250" s="282"/>
      <c r="AN250" s="282"/>
      <c r="AO250" s="282"/>
    </row>
    <row r="251" spans="1:41" s="263" customFormat="1" ht="9" customHeight="1" x14ac:dyDescent="0.25">
      <c r="A251" s="603" t="s">
        <v>41</v>
      </c>
      <c r="B251" s="630">
        <f t="shared" si="27"/>
        <v>176</v>
      </c>
      <c r="C251" s="630"/>
      <c r="D251" s="630">
        <f t="shared" si="25"/>
        <v>168</v>
      </c>
      <c r="E251" s="630">
        <v>87</v>
      </c>
      <c r="F251" s="630"/>
      <c r="G251" s="630">
        <f t="shared" si="26"/>
        <v>68</v>
      </c>
      <c r="H251" s="630">
        <v>14</v>
      </c>
      <c r="I251" s="630">
        <v>10</v>
      </c>
      <c r="J251" s="630">
        <v>44</v>
      </c>
      <c r="K251" s="630">
        <v>1</v>
      </c>
      <c r="L251" s="630">
        <v>0</v>
      </c>
      <c r="M251" s="630">
        <v>12</v>
      </c>
      <c r="N251" s="630">
        <v>8</v>
      </c>
      <c r="AC251" s="282"/>
      <c r="AD251" s="282"/>
      <c r="AE251" s="282"/>
      <c r="AF251" s="282"/>
      <c r="AG251" s="282"/>
      <c r="AH251" s="282"/>
      <c r="AI251" s="282"/>
      <c r="AJ251" s="282"/>
      <c r="AK251" s="282"/>
      <c r="AL251" s="282"/>
      <c r="AM251" s="282"/>
      <c r="AN251" s="282"/>
      <c r="AO251" s="282"/>
    </row>
    <row r="252" spans="1:41" s="263" customFormat="1" ht="9" customHeight="1" x14ac:dyDescent="0.25">
      <c r="A252" s="550" t="s">
        <v>42</v>
      </c>
      <c r="B252" s="629">
        <f t="shared" si="27"/>
        <v>518</v>
      </c>
      <c r="C252" s="629"/>
      <c r="D252" s="629">
        <f t="shared" si="25"/>
        <v>511</v>
      </c>
      <c r="E252" s="629">
        <v>200</v>
      </c>
      <c r="F252" s="629"/>
      <c r="G252" s="629">
        <f t="shared" si="26"/>
        <v>280</v>
      </c>
      <c r="H252" s="629">
        <v>33</v>
      </c>
      <c r="I252" s="629">
        <v>30</v>
      </c>
      <c r="J252" s="629">
        <v>217</v>
      </c>
      <c r="K252" s="629">
        <v>15</v>
      </c>
      <c r="L252" s="629">
        <v>7</v>
      </c>
      <c r="M252" s="629">
        <v>9</v>
      </c>
      <c r="N252" s="629">
        <v>7</v>
      </c>
      <c r="AC252" s="282"/>
      <c r="AD252" s="282"/>
      <c r="AE252" s="282"/>
      <c r="AF252" s="282"/>
      <c r="AG252" s="282"/>
      <c r="AH252" s="282"/>
      <c r="AI252" s="282"/>
      <c r="AJ252" s="282"/>
      <c r="AK252" s="282"/>
      <c r="AL252" s="282"/>
      <c r="AM252" s="282"/>
      <c r="AN252" s="282"/>
      <c r="AO252" s="282"/>
    </row>
    <row r="253" spans="1:41" s="263" customFormat="1" ht="9" customHeight="1" x14ac:dyDescent="0.25">
      <c r="A253" s="550" t="s">
        <v>43</v>
      </c>
      <c r="B253" s="629">
        <f t="shared" si="27"/>
        <v>96</v>
      </c>
      <c r="C253" s="629"/>
      <c r="D253" s="629">
        <f t="shared" si="25"/>
        <v>93</v>
      </c>
      <c r="E253" s="629">
        <v>55</v>
      </c>
      <c r="F253" s="629"/>
      <c r="G253" s="629">
        <f t="shared" si="26"/>
        <v>38</v>
      </c>
      <c r="H253" s="629">
        <v>6</v>
      </c>
      <c r="I253" s="629">
        <v>7</v>
      </c>
      <c r="J253" s="629">
        <v>25</v>
      </c>
      <c r="K253" s="629">
        <v>0</v>
      </c>
      <c r="L253" s="629">
        <v>0</v>
      </c>
      <c r="M253" s="629">
        <v>0</v>
      </c>
      <c r="N253" s="629">
        <v>3</v>
      </c>
      <c r="AC253" s="282"/>
      <c r="AD253" s="282"/>
      <c r="AE253" s="282"/>
      <c r="AF253" s="282"/>
      <c r="AG253" s="282"/>
      <c r="AH253" s="282"/>
      <c r="AI253" s="282"/>
      <c r="AJ253" s="282"/>
      <c r="AK253" s="282"/>
      <c r="AL253" s="282"/>
      <c r="AM253" s="282"/>
      <c r="AN253" s="282"/>
      <c r="AO253" s="282"/>
    </row>
    <row r="254" spans="1:41" s="263" customFormat="1" ht="9" customHeight="1" x14ac:dyDescent="0.25">
      <c r="A254" s="550" t="s">
        <v>44</v>
      </c>
      <c r="B254" s="629">
        <f t="shared" si="27"/>
        <v>99</v>
      </c>
      <c r="C254" s="629"/>
      <c r="D254" s="629">
        <f t="shared" si="25"/>
        <v>95</v>
      </c>
      <c r="E254" s="629">
        <v>69</v>
      </c>
      <c r="F254" s="629"/>
      <c r="G254" s="629">
        <f t="shared" si="26"/>
        <v>23</v>
      </c>
      <c r="H254" s="629">
        <v>5</v>
      </c>
      <c r="I254" s="629">
        <v>3</v>
      </c>
      <c r="J254" s="629">
        <v>15</v>
      </c>
      <c r="K254" s="629">
        <v>0</v>
      </c>
      <c r="L254" s="629">
        <v>0</v>
      </c>
      <c r="M254" s="629">
        <v>3</v>
      </c>
      <c r="N254" s="629">
        <v>4</v>
      </c>
      <c r="AC254" s="282"/>
      <c r="AD254" s="282"/>
      <c r="AE254" s="282"/>
      <c r="AF254" s="282"/>
      <c r="AG254" s="282"/>
      <c r="AH254" s="282"/>
      <c r="AI254" s="282"/>
      <c r="AJ254" s="282"/>
      <c r="AK254" s="282"/>
      <c r="AL254" s="282"/>
      <c r="AM254" s="282"/>
      <c r="AN254" s="282"/>
      <c r="AO254" s="282"/>
    </row>
    <row r="255" spans="1:41" s="263" customFormat="1" ht="9" customHeight="1" x14ac:dyDescent="0.25">
      <c r="A255" s="603" t="s">
        <v>45</v>
      </c>
      <c r="B255" s="630">
        <f t="shared" si="27"/>
        <v>130</v>
      </c>
      <c r="C255" s="630"/>
      <c r="D255" s="630">
        <f t="shared" si="25"/>
        <v>125</v>
      </c>
      <c r="E255" s="630">
        <v>43</v>
      </c>
      <c r="F255" s="630"/>
      <c r="G255" s="630">
        <f t="shared" si="26"/>
        <v>72</v>
      </c>
      <c r="H255" s="630">
        <v>14</v>
      </c>
      <c r="I255" s="630">
        <v>13</v>
      </c>
      <c r="J255" s="630">
        <v>45</v>
      </c>
      <c r="K255" s="630">
        <v>1</v>
      </c>
      <c r="L255" s="630">
        <v>0</v>
      </c>
      <c r="M255" s="630">
        <v>9</v>
      </c>
      <c r="N255" s="630">
        <v>5</v>
      </c>
      <c r="AC255" s="282"/>
      <c r="AD255" s="282"/>
      <c r="AE255" s="282"/>
      <c r="AF255" s="282"/>
      <c r="AG255" s="282"/>
      <c r="AH255" s="282"/>
      <c r="AI255" s="282"/>
      <c r="AJ255" s="282"/>
      <c r="AK255" s="282"/>
      <c r="AL255" s="282"/>
      <c r="AM255" s="282"/>
      <c r="AN255" s="282"/>
      <c r="AO255" s="282"/>
    </row>
    <row r="256" spans="1:41" s="263" customFormat="1" ht="9" customHeight="1" x14ac:dyDescent="0.25">
      <c r="A256" s="550" t="s">
        <v>46</v>
      </c>
      <c r="B256" s="629">
        <f t="shared" si="27"/>
        <v>113</v>
      </c>
      <c r="C256" s="629"/>
      <c r="D256" s="629">
        <f t="shared" si="25"/>
        <v>113</v>
      </c>
      <c r="E256" s="629">
        <v>66</v>
      </c>
      <c r="F256" s="629"/>
      <c r="G256" s="629">
        <f t="shared" si="26"/>
        <v>45</v>
      </c>
      <c r="H256" s="629">
        <v>11</v>
      </c>
      <c r="I256" s="629">
        <v>5</v>
      </c>
      <c r="J256" s="629">
        <v>29</v>
      </c>
      <c r="K256" s="629">
        <v>0</v>
      </c>
      <c r="L256" s="629">
        <v>0</v>
      </c>
      <c r="M256" s="629">
        <v>2</v>
      </c>
      <c r="N256" s="629">
        <v>0</v>
      </c>
      <c r="AC256" s="282"/>
      <c r="AD256" s="282"/>
      <c r="AE256" s="282"/>
      <c r="AF256" s="282"/>
      <c r="AG256" s="282"/>
      <c r="AH256" s="282"/>
      <c r="AI256" s="282"/>
      <c r="AJ256" s="282"/>
      <c r="AK256" s="282"/>
      <c r="AL256" s="282"/>
      <c r="AM256" s="282"/>
      <c r="AN256" s="282"/>
      <c r="AO256" s="282"/>
    </row>
    <row r="257" spans="1:41" s="263" customFormat="1" ht="9" customHeight="1" x14ac:dyDescent="0.25">
      <c r="A257" s="550" t="s">
        <v>47</v>
      </c>
      <c r="B257" s="629">
        <f t="shared" si="27"/>
        <v>105</v>
      </c>
      <c r="C257" s="629"/>
      <c r="D257" s="629">
        <f t="shared" si="25"/>
        <v>101</v>
      </c>
      <c r="E257" s="629">
        <v>63</v>
      </c>
      <c r="F257" s="629"/>
      <c r="G257" s="629">
        <f t="shared" si="26"/>
        <v>36</v>
      </c>
      <c r="H257" s="629">
        <v>8</v>
      </c>
      <c r="I257" s="629">
        <v>4</v>
      </c>
      <c r="J257" s="629">
        <v>24</v>
      </c>
      <c r="K257" s="629">
        <v>0</v>
      </c>
      <c r="L257" s="629">
        <v>0</v>
      </c>
      <c r="M257" s="629">
        <v>2</v>
      </c>
      <c r="N257" s="629">
        <v>4</v>
      </c>
      <c r="AC257" s="282"/>
      <c r="AD257" s="282"/>
      <c r="AE257" s="282"/>
      <c r="AF257" s="282"/>
      <c r="AG257" s="282"/>
      <c r="AH257" s="282"/>
      <c r="AI257" s="282"/>
      <c r="AJ257" s="282"/>
      <c r="AK257" s="282"/>
      <c r="AL257" s="282"/>
      <c r="AM257" s="282"/>
      <c r="AN257" s="282"/>
      <c r="AO257" s="282"/>
    </row>
    <row r="258" spans="1:41" s="263" customFormat="1" ht="9" customHeight="1" x14ac:dyDescent="0.25">
      <c r="A258" s="550" t="s">
        <v>48</v>
      </c>
      <c r="B258" s="629">
        <f t="shared" si="27"/>
        <v>102</v>
      </c>
      <c r="C258" s="629"/>
      <c r="D258" s="629">
        <f t="shared" si="25"/>
        <v>102</v>
      </c>
      <c r="E258" s="629">
        <v>73</v>
      </c>
      <c r="F258" s="629"/>
      <c r="G258" s="629">
        <f t="shared" si="26"/>
        <v>29</v>
      </c>
      <c r="H258" s="629">
        <v>11</v>
      </c>
      <c r="I258" s="629">
        <v>3</v>
      </c>
      <c r="J258" s="629">
        <v>15</v>
      </c>
      <c r="K258" s="629">
        <v>0</v>
      </c>
      <c r="L258" s="629">
        <v>0</v>
      </c>
      <c r="M258" s="629">
        <v>0</v>
      </c>
      <c r="N258" s="629">
        <v>0</v>
      </c>
      <c r="AC258" s="282"/>
      <c r="AD258" s="282"/>
      <c r="AE258" s="282"/>
      <c r="AF258" s="282"/>
      <c r="AG258" s="282"/>
      <c r="AH258" s="282"/>
      <c r="AI258" s="282"/>
      <c r="AJ258" s="282"/>
      <c r="AK258" s="282"/>
      <c r="AL258" s="282"/>
      <c r="AM258" s="282"/>
      <c r="AN258" s="282"/>
      <c r="AO258" s="282"/>
    </row>
    <row r="259" spans="1:41" s="263" customFormat="1" ht="9" customHeight="1" x14ac:dyDescent="0.25">
      <c r="A259" s="603" t="s">
        <v>49</v>
      </c>
      <c r="B259" s="630">
        <f t="shared" si="27"/>
        <v>212</v>
      </c>
      <c r="C259" s="630"/>
      <c r="D259" s="630">
        <f t="shared" si="25"/>
        <v>207</v>
      </c>
      <c r="E259" s="630">
        <v>82</v>
      </c>
      <c r="F259" s="630"/>
      <c r="G259" s="630">
        <f t="shared" si="26"/>
        <v>111</v>
      </c>
      <c r="H259" s="630">
        <v>23</v>
      </c>
      <c r="I259" s="630">
        <v>14</v>
      </c>
      <c r="J259" s="630">
        <v>74</v>
      </c>
      <c r="K259" s="630">
        <v>13</v>
      </c>
      <c r="L259" s="630">
        <v>0</v>
      </c>
      <c r="M259" s="630">
        <v>1</v>
      </c>
      <c r="N259" s="630">
        <v>5</v>
      </c>
      <c r="AC259" s="282"/>
      <c r="AD259" s="282"/>
      <c r="AE259" s="282"/>
      <c r="AF259" s="282"/>
      <c r="AG259" s="282"/>
      <c r="AH259" s="282"/>
      <c r="AI259" s="282"/>
      <c r="AJ259" s="282"/>
      <c r="AK259" s="282"/>
      <c r="AL259" s="282"/>
      <c r="AM259" s="282"/>
      <c r="AN259" s="282"/>
      <c r="AO259" s="282"/>
    </row>
    <row r="260" spans="1:41" s="263" customFormat="1" ht="9" customHeight="1" x14ac:dyDescent="0.25">
      <c r="A260" s="550" t="s">
        <v>50</v>
      </c>
      <c r="B260" s="629">
        <f t="shared" si="27"/>
        <v>128</v>
      </c>
      <c r="C260" s="629"/>
      <c r="D260" s="629">
        <f t="shared" si="25"/>
        <v>128</v>
      </c>
      <c r="E260" s="629">
        <v>69</v>
      </c>
      <c r="F260" s="629"/>
      <c r="G260" s="629">
        <f t="shared" si="26"/>
        <v>57</v>
      </c>
      <c r="H260" s="629">
        <v>10</v>
      </c>
      <c r="I260" s="629">
        <v>7</v>
      </c>
      <c r="J260" s="629">
        <v>40</v>
      </c>
      <c r="K260" s="629">
        <v>1</v>
      </c>
      <c r="L260" s="629">
        <v>0</v>
      </c>
      <c r="M260" s="629">
        <v>1</v>
      </c>
      <c r="N260" s="629">
        <v>0</v>
      </c>
      <c r="AC260" s="282"/>
      <c r="AD260" s="282"/>
      <c r="AE260" s="282"/>
      <c r="AF260" s="282"/>
      <c r="AG260" s="282"/>
      <c r="AH260" s="282"/>
      <c r="AI260" s="282"/>
      <c r="AJ260" s="282"/>
      <c r="AK260" s="282"/>
      <c r="AL260" s="282"/>
      <c r="AM260" s="282"/>
      <c r="AN260" s="282"/>
      <c r="AO260" s="282"/>
    </row>
    <row r="261" spans="1:41" s="263" customFormat="1" ht="9" customHeight="1" x14ac:dyDescent="0.25">
      <c r="A261" s="550" t="s">
        <v>51</v>
      </c>
      <c r="B261" s="629">
        <f t="shared" si="27"/>
        <v>439</v>
      </c>
      <c r="C261" s="629"/>
      <c r="D261" s="629">
        <f t="shared" si="25"/>
        <v>422</v>
      </c>
      <c r="E261" s="629">
        <v>187</v>
      </c>
      <c r="F261" s="629"/>
      <c r="G261" s="629">
        <f t="shared" si="26"/>
        <v>230</v>
      </c>
      <c r="H261" s="629">
        <v>53</v>
      </c>
      <c r="I261" s="629">
        <v>35</v>
      </c>
      <c r="J261" s="629">
        <v>142</v>
      </c>
      <c r="K261" s="629">
        <v>1</v>
      </c>
      <c r="L261" s="629">
        <v>0</v>
      </c>
      <c r="M261" s="629">
        <v>4</v>
      </c>
      <c r="N261" s="629">
        <v>17</v>
      </c>
      <c r="AC261" s="282"/>
      <c r="AD261" s="282"/>
      <c r="AE261" s="282"/>
      <c r="AF261" s="282"/>
      <c r="AG261" s="282"/>
      <c r="AH261" s="282"/>
      <c r="AI261" s="282"/>
      <c r="AJ261" s="282"/>
      <c r="AK261" s="282"/>
      <c r="AL261" s="282"/>
      <c r="AM261" s="282"/>
      <c r="AN261" s="282"/>
      <c r="AO261" s="282"/>
    </row>
    <row r="262" spans="1:41" s="263" customFormat="1" ht="9" customHeight="1" x14ac:dyDescent="0.25">
      <c r="A262" s="550" t="s">
        <v>52</v>
      </c>
      <c r="B262" s="629">
        <f t="shared" si="27"/>
        <v>139</v>
      </c>
      <c r="C262" s="629"/>
      <c r="D262" s="629">
        <f t="shared" si="25"/>
        <v>138</v>
      </c>
      <c r="E262" s="629">
        <v>44</v>
      </c>
      <c r="F262" s="629"/>
      <c r="G262" s="629">
        <f t="shared" si="26"/>
        <v>87</v>
      </c>
      <c r="H262" s="629">
        <v>20</v>
      </c>
      <c r="I262" s="629">
        <v>17</v>
      </c>
      <c r="J262" s="629">
        <v>50</v>
      </c>
      <c r="K262" s="629">
        <v>0</v>
      </c>
      <c r="L262" s="629">
        <v>2</v>
      </c>
      <c r="M262" s="629">
        <v>5</v>
      </c>
      <c r="N262" s="629">
        <v>1</v>
      </c>
      <c r="AC262" s="282"/>
      <c r="AD262" s="282"/>
      <c r="AE262" s="282"/>
      <c r="AF262" s="282"/>
      <c r="AG262" s="282"/>
      <c r="AH262" s="282"/>
      <c r="AI262" s="282"/>
      <c r="AJ262" s="282"/>
      <c r="AK262" s="282"/>
      <c r="AL262" s="282"/>
      <c r="AM262" s="282"/>
      <c r="AN262" s="282"/>
      <c r="AO262" s="282"/>
    </row>
    <row r="263" spans="1:41" s="263" customFormat="1" ht="9" customHeight="1" x14ac:dyDescent="0.25">
      <c r="A263" s="267" t="s">
        <v>53</v>
      </c>
      <c r="B263" s="268">
        <f t="shared" si="27"/>
        <v>34</v>
      </c>
      <c r="C263" s="268"/>
      <c r="D263" s="268">
        <f t="shared" si="25"/>
        <v>30</v>
      </c>
      <c r="E263" s="268">
        <v>19</v>
      </c>
      <c r="F263" s="268"/>
      <c r="G263" s="268">
        <f t="shared" si="26"/>
        <v>11</v>
      </c>
      <c r="H263" s="268">
        <v>2</v>
      </c>
      <c r="I263" s="268">
        <v>1</v>
      </c>
      <c r="J263" s="268">
        <v>8</v>
      </c>
      <c r="K263" s="268">
        <v>0</v>
      </c>
      <c r="L263" s="268">
        <v>0</v>
      </c>
      <c r="M263" s="268">
        <v>0</v>
      </c>
      <c r="N263" s="268">
        <v>4</v>
      </c>
      <c r="AC263" s="282"/>
      <c r="AD263" s="282"/>
      <c r="AE263" s="282"/>
      <c r="AF263" s="282"/>
      <c r="AG263" s="282"/>
      <c r="AH263" s="282"/>
      <c r="AI263" s="282"/>
      <c r="AJ263" s="282"/>
      <c r="AK263" s="282"/>
      <c r="AL263" s="282"/>
      <c r="AM263" s="282"/>
      <c r="AN263" s="282"/>
      <c r="AO263" s="282"/>
    </row>
    <row r="264" spans="1:41" ht="9" customHeight="1" x14ac:dyDescent="0.25">
      <c r="B264" s="259"/>
      <c r="C264" s="259"/>
      <c r="D264" s="259"/>
      <c r="E264" s="259"/>
      <c r="F264" s="259"/>
      <c r="G264" s="259"/>
      <c r="H264" s="259"/>
      <c r="I264" s="259"/>
      <c r="J264" s="259"/>
      <c r="K264" s="259"/>
      <c r="L264" s="259"/>
      <c r="AC264" s="282"/>
      <c r="AD264" s="282"/>
      <c r="AE264" s="282"/>
      <c r="AF264" s="282"/>
      <c r="AG264" s="282"/>
      <c r="AH264" s="282"/>
      <c r="AI264" s="282"/>
      <c r="AJ264" s="282"/>
      <c r="AK264" s="282"/>
      <c r="AL264" s="282"/>
      <c r="AM264" s="282"/>
      <c r="AN264" s="282"/>
      <c r="AO264" s="282"/>
    </row>
    <row r="265" spans="1:41" ht="9" customHeight="1" x14ac:dyDescent="0.25">
      <c r="A265" s="601">
        <v>2008</v>
      </c>
      <c r="B265" s="262"/>
      <c r="C265" s="262"/>
      <c r="D265" s="262"/>
      <c r="E265" s="262"/>
      <c r="F265" s="262"/>
      <c r="G265" s="262"/>
      <c r="H265" s="262"/>
      <c r="I265" s="262"/>
      <c r="J265" s="262"/>
      <c r="K265" s="262"/>
      <c r="L265" s="262"/>
      <c r="M265" s="262"/>
      <c r="N265" s="262"/>
      <c r="AC265" s="282"/>
      <c r="AD265" s="282"/>
      <c r="AE265" s="282"/>
      <c r="AF265" s="282"/>
      <c r="AG265" s="282"/>
      <c r="AH265" s="282"/>
      <c r="AI265" s="282"/>
      <c r="AJ265" s="282"/>
      <c r="AK265" s="282"/>
      <c r="AL265" s="282"/>
      <c r="AM265" s="282"/>
      <c r="AN265" s="282"/>
      <c r="AO265" s="282"/>
    </row>
    <row r="266" spans="1:41" s="265" customFormat="1" ht="9" customHeight="1" x14ac:dyDescent="0.25">
      <c r="A266" s="265" t="s">
        <v>21</v>
      </c>
      <c r="B266" s="262">
        <f>SUM(B268:B299)</f>
        <v>12612</v>
      </c>
      <c r="C266" s="262"/>
      <c r="D266" s="262">
        <f>SUM(D268:D299)</f>
        <v>12354</v>
      </c>
      <c r="E266" s="262">
        <f>SUM(E268:E299)</f>
        <v>4416</v>
      </c>
      <c r="F266" s="262"/>
      <c r="G266" s="262">
        <f t="shared" ref="G266:M266" si="28">SUM(G268:G299)</f>
        <v>6468</v>
      </c>
      <c r="H266" s="262">
        <f t="shared" si="28"/>
        <v>1032</v>
      </c>
      <c r="I266" s="262">
        <f t="shared" si="28"/>
        <v>870</v>
      </c>
      <c r="J266" s="262">
        <f t="shared" si="28"/>
        <v>4566</v>
      </c>
      <c r="K266" s="262">
        <f t="shared" si="28"/>
        <v>336</v>
      </c>
      <c r="L266" s="262">
        <f t="shared" si="28"/>
        <v>919</v>
      </c>
      <c r="M266" s="262">
        <f t="shared" si="28"/>
        <v>215</v>
      </c>
      <c r="N266" s="262">
        <f>SUM(N268:N299)</f>
        <v>258</v>
      </c>
      <c r="AC266" s="282"/>
      <c r="AD266" s="282"/>
      <c r="AE266" s="282"/>
      <c r="AF266" s="282"/>
      <c r="AG266" s="282"/>
      <c r="AH266" s="282"/>
      <c r="AI266" s="282"/>
      <c r="AJ266" s="282"/>
      <c r="AK266" s="282"/>
      <c r="AL266" s="282"/>
      <c r="AM266" s="282"/>
      <c r="AN266" s="282"/>
      <c r="AO266" s="282"/>
    </row>
    <row r="267" spans="1:41" s="265" customFormat="1" ht="3" customHeight="1" x14ac:dyDescent="0.25">
      <c r="B267" s="262"/>
      <c r="C267" s="262"/>
      <c r="D267" s="262"/>
      <c r="E267" s="262"/>
      <c r="F267" s="262"/>
      <c r="G267" s="262"/>
      <c r="H267" s="262"/>
      <c r="I267" s="262"/>
      <c r="J267" s="262"/>
      <c r="K267" s="262"/>
      <c r="L267" s="262"/>
      <c r="M267" s="262"/>
      <c r="N267" s="262"/>
      <c r="AC267" s="282"/>
      <c r="AD267" s="282"/>
      <c r="AE267" s="282"/>
      <c r="AF267" s="282"/>
      <c r="AG267" s="282"/>
      <c r="AH267" s="282"/>
      <c r="AI267" s="282"/>
      <c r="AJ267" s="282"/>
      <c r="AK267" s="282"/>
      <c r="AL267" s="282"/>
      <c r="AM267" s="282"/>
      <c r="AN267" s="282"/>
      <c r="AO267" s="282"/>
    </row>
    <row r="268" spans="1:41" s="263" customFormat="1" ht="9" customHeight="1" x14ac:dyDescent="0.25">
      <c r="A268" s="550" t="s">
        <v>23</v>
      </c>
      <c r="B268" s="629">
        <f>SUM(D268+N268)</f>
        <v>106</v>
      </c>
      <c r="C268" s="629"/>
      <c r="D268" s="629">
        <f t="shared" ref="D268:D299" si="29">SUM(E268+G268+K268+L268+M268)</f>
        <v>105</v>
      </c>
      <c r="E268" s="629">
        <v>27</v>
      </c>
      <c r="F268" s="629"/>
      <c r="G268" s="629">
        <f>SUM(H268:J268)</f>
        <v>60</v>
      </c>
      <c r="H268" s="629">
        <v>9</v>
      </c>
      <c r="I268" s="629">
        <v>8</v>
      </c>
      <c r="J268" s="629">
        <v>43</v>
      </c>
      <c r="K268" s="629">
        <v>11</v>
      </c>
      <c r="L268" s="629">
        <v>4</v>
      </c>
      <c r="M268" s="629">
        <v>3</v>
      </c>
      <c r="N268" s="629">
        <v>1</v>
      </c>
      <c r="AC268" s="282"/>
      <c r="AD268" s="282"/>
      <c r="AE268" s="282"/>
      <c r="AF268" s="282"/>
      <c r="AG268" s="282"/>
      <c r="AH268" s="282"/>
      <c r="AI268" s="282"/>
      <c r="AJ268" s="282"/>
      <c r="AK268" s="282"/>
      <c r="AL268" s="282"/>
      <c r="AM268" s="282"/>
      <c r="AN268" s="282"/>
      <c r="AO268" s="282"/>
    </row>
    <row r="269" spans="1:41" s="263" customFormat="1" ht="9" customHeight="1" x14ac:dyDescent="0.25">
      <c r="A269" s="550" t="s">
        <v>24</v>
      </c>
      <c r="B269" s="629">
        <f>SUM(D269+N269)</f>
        <v>170</v>
      </c>
      <c r="C269" s="629"/>
      <c r="D269" s="629">
        <f t="shared" si="29"/>
        <v>170</v>
      </c>
      <c r="E269" s="629">
        <v>120</v>
      </c>
      <c r="F269" s="629"/>
      <c r="G269" s="629">
        <f>SUM(H269:J269)</f>
        <v>49</v>
      </c>
      <c r="H269" s="629">
        <v>5</v>
      </c>
      <c r="I269" s="629">
        <v>11</v>
      </c>
      <c r="J269" s="629">
        <v>33</v>
      </c>
      <c r="K269" s="629">
        <v>0</v>
      </c>
      <c r="L269" s="629">
        <v>0</v>
      </c>
      <c r="M269" s="629">
        <v>1</v>
      </c>
      <c r="N269" s="629">
        <v>0</v>
      </c>
      <c r="AC269" s="282"/>
      <c r="AD269" s="282"/>
      <c r="AE269" s="282"/>
      <c r="AF269" s="282"/>
      <c r="AG269" s="282"/>
      <c r="AH269" s="282"/>
      <c r="AI269" s="282"/>
      <c r="AJ269" s="282"/>
      <c r="AK269" s="282"/>
      <c r="AL269" s="282"/>
      <c r="AM269" s="282"/>
      <c r="AN269" s="282"/>
      <c r="AO269" s="282"/>
    </row>
    <row r="270" spans="1:41" s="263" customFormat="1" ht="9" customHeight="1" x14ac:dyDescent="0.25">
      <c r="A270" s="550" t="s">
        <v>25</v>
      </c>
      <c r="B270" s="629">
        <f>SUM(D270+N270)</f>
        <v>64</v>
      </c>
      <c r="C270" s="629"/>
      <c r="D270" s="629">
        <f t="shared" si="29"/>
        <v>63</v>
      </c>
      <c r="E270" s="629">
        <v>30</v>
      </c>
      <c r="F270" s="629"/>
      <c r="G270" s="629">
        <f t="shared" ref="G270:G299" si="30">SUM(H270:J270)</f>
        <v>32</v>
      </c>
      <c r="H270" s="629">
        <v>2</v>
      </c>
      <c r="I270" s="629">
        <v>4</v>
      </c>
      <c r="J270" s="629">
        <v>26</v>
      </c>
      <c r="K270" s="629">
        <v>0</v>
      </c>
      <c r="L270" s="629">
        <v>0</v>
      </c>
      <c r="M270" s="629">
        <v>1</v>
      </c>
      <c r="N270" s="629">
        <v>1</v>
      </c>
      <c r="AC270" s="282"/>
      <c r="AD270" s="282"/>
      <c r="AE270" s="282"/>
      <c r="AF270" s="282"/>
      <c r="AG270" s="282"/>
      <c r="AH270" s="282"/>
      <c r="AI270" s="282"/>
      <c r="AJ270" s="282"/>
      <c r="AK270" s="282"/>
      <c r="AL270" s="282"/>
      <c r="AM270" s="282"/>
      <c r="AN270" s="282"/>
      <c r="AO270" s="282"/>
    </row>
    <row r="271" spans="1:41" s="263" customFormat="1" ht="9" customHeight="1" x14ac:dyDescent="0.25">
      <c r="A271" s="603" t="s">
        <v>26</v>
      </c>
      <c r="B271" s="630">
        <f>SUM(D271+N271)</f>
        <v>23</v>
      </c>
      <c r="C271" s="630"/>
      <c r="D271" s="630">
        <f t="shared" si="29"/>
        <v>23</v>
      </c>
      <c r="E271" s="630">
        <v>19</v>
      </c>
      <c r="F271" s="630"/>
      <c r="G271" s="630">
        <f t="shared" si="30"/>
        <v>4</v>
      </c>
      <c r="H271" s="630">
        <v>2</v>
      </c>
      <c r="I271" s="630">
        <v>1</v>
      </c>
      <c r="J271" s="630">
        <v>1</v>
      </c>
      <c r="K271" s="630">
        <v>0</v>
      </c>
      <c r="L271" s="630">
        <v>0</v>
      </c>
      <c r="M271" s="630">
        <v>0</v>
      </c>
      <c r="N271" s="630">
        <v>0</v>
      </c>
      <c r="AC271" s="282"/>
      <c r="AD271" s="282"/>
      <c r="AE271" s="282"/>
      <c r="AF271" s="282"/>
      <c r="AG271" s="282"/>
      <c r="AH271" s="282"/>
      <c r="AI271" s="282"/>
      <c r="AJ271" s="282"/>
      <c r="AK271" s="282"/>
      <c r="AL271" s="282"/>
      <c r="AM271" s="282"/>
      <c r="AN271" s="282"/>
      <c r="AO271" s="282"/>
    </row>
    <row r="272" spans="1:41" s="263" customFormat="1" ht="9" customHeight="1" x14ac:dyDescent="0.25">
      <c r="A272" s="550" t="s">
        <v>27</v>
      </c>
      <c r="B272" s="629">
        <f t="shared" ref="B272:B299" si="31">SUM(D272+N272)</f>
        <v>110</v>
      </c>
      <c r="C272" s="629"/>
      <c r="D272" s="629">
        <f t="shared" si="29"/>
        <v>109</v>
      </c>
      <c r="E272" s="629">
        <v>36</v>
      </c>
      <c r="F272" s="629"/>
      <c r="G272" s="629">
        <f t="shared" si="30"/>
        <v>69</v>
      </c>
      <c r="H272" s="629">
        <v>7</v>
      </c>
      <c r="I272" s="629">
        <v>4</v>
      </c>
      <c r="J272" s="629">
        <v>58</v>
      </c>
      <c r="K272" s="629">
        <v>0</v>
      </c>
      <c r="L272" s="629">
        <v>0</v>
      </c>
      <c r="M272" s="629">
        <v>4</v>
      </c>
      <c r="N272" s="629">
        <v>1</v>
      </c>
      <c r="AC272" s="282"/>
      <c r="AD272" s="282"/>
      <c r="AE272" s="282"/>
      <c r="AF272" s="282"/>
      <c r="AG272" s="282"/>
      <c r="AH272" s="282"/>
      <c r="AI272" s="282"/>
      <c r="AJ272" s="282"/>
      <c r="AK272" s="282"/>
      <c r="AL272" s="282"/>
      <c r="AM272" s="282"/>
      <c r="AN272" s="282"/>
      <c r="AO272" s="282"/>
    </row>
    <row r="273" spans="1:41" s="263" customFormat="1" ht="9" customHeight="1" x14ac:dyDescent="0.25">
      <c r="A273" s="550" t="s">
        <v>28</v>
      </c>
      <c r="B273" s="629">
        <f t="shared" si="31"/>
        <v>23</v>
      </c>
      <c r="C273" s="629"/>
      <c r="D273" s="629">
        <f t="shared" si="29"/>
        <v>22</v>
      </c>
      <c r="E273" s="629">
        <v>20</v>
      </c>
      <c r="F273" s="629"/>
      <c r="G273" s="629">
        <f t="shared" si="30"/>
        <v>2</v>
      </c>
      <c r="H273" s="629">
        <v>1</v>
      </c>
      <c r="I273" s="629">
        <v>1</v>
      </c>
      <c r="J273" s="629">
        <v>0</v>
      </c>
      <c r="K273" s="629">
        <v>0</v>
      </c>
      <c r="L273" s="629">
        <v>0</v>
      </c>
      <c r="M273" s="629">
        <v>0</v>
      </c>
      <c r="N273" s="629">
        <v>1</v>
      </c>
      <c r="AC273" s="282"/>
      <c r="AD273" s="282"/>
      <c r="AE273" s="282"/>
      <c r="AF273" s="282"/>
      <c r="AG273" s="282"/>
      <c r="AH273" s="282"/>
      <c r="AI273" s="282"/>
      <c r="AJ273" s="282"/>
      <c r="AK273" s="282"/>
      <c r="AL273" s="282"/>
      <c r="AM273" s="282"/>
      <c r="AN273" s="282"/>
      <c r="AO273" s="282"/>
    </row>
    <row r="274" spans="1:41" s="263" customFormat="1" ht="9" customHeight="1" x14ac:dyDescent="0.25">
      <c r="A274" s="550" t="s">
        <v>29</v>
      </c>
      <c r="B274" s="629">
        <f t="shared" si="31"/>
        <v>165</v>
      </c>
      <c r="C274" s="629"/>
      <c r="D274" s="629">
        <f t="shared" si="29"/>
        <v>160</v>
      </c>
      <c r="E274" s="629">
        <v>96</v>
      </c>
      <c r="F274" s="629"/>
      <c r="G274" s="629">
        <f t="shared" si="30"/>
        <v>63</v>
      </c>
      <c r="H274" s="629">
        <v>15</v>
      </c>
      <c r="I274" s="629">
        <v>10</v>
      </c>
      <c r="J274" s="629">
        <v>38</v>
      </c>
      <c r="K274" s="629">
        <v>0</v>
      </c>
      <c r="L274" s="629">
        <v>0</v>
      </c>
      <c r="M274" s="629">
        <v>1</v>
      </c>
      <c r="N274" s="629">
        <v>5</v>
      </c>
      <c r="AC274" s="282"/>
      <c r="AD274" s="282"/>
      <c r="AE274" s="282"/>
      <c r="AF274" s="282"/>
      <c r="AG274" s="282"/>
      <c r="AH274" s="282"/>
      <c r="AI274" s="282"/>
      <c r="AJ274" s="282"/>
      <c r="AK274" s="282"/>
      <c r="AL274" s="282"/>
      <c r="AM274" s="282"/>
      <c r="AN274" s="282"/>
      <c r="AO274" s="282"/>
    </row>
    <row r="275" spans="1:41" s="263" customFormat="1" ht="9" customHeight="1" x14ac:dyDescent="0.25">
      <c r="A275" s="603" t="s">
        <v>30</v>
      </c>
      <c r="B275" s="630">
        <f t="shared" si="31"/>
        <v>769</v>
      </c>
      <c r="C275" s="630"/>
      <c r="D275" s="630">
        <f t="shared" si="29"/>
        <v>763</v>
      </c>
      <c r="E275" s="630">
        <v>147</v>
      </c>
      <c r="F275" s="630"/>
      <c r="G275" s="630">
        <f t="shared" si="30"/>
        <v>551</v>
      </c>
      <c r="H275" s="630">
        <v>69</v>
      </c>
      <c r="I275" s="630">
        <v>49</v>
      </c>
      <c r="J275" s="630">
        <v>433</v>
      </c>
      <c r="K275" s="630">
        <v>24</v>
      </c>
      <c r="L275" s="630">
        <v>33</v>
      </c>
      <c r="M275" s="630">
        <v>8</v>
      </c>
      <c r="N275" s="630">
        <v>6</v>
      </c>
      <c r="AC275" s="282"/>
      <c r="AD275" s="282"/>
      <c r="AE275" s="282"/>
      <c r="AF275" s="282"/>
      <c r="AG275" s="282"/>
      <c r="AH275" s="282"/>
      <c r="AI275" s="282"/>
      <c r="AJ275" s="282"/>
      <c r="AK275" s="282"/>
      <c r="AL275" s="282"/>
      <c r="AM275" s="282"/>
      <c r="AN275" s="282"/>
      <c r="AO275" s="282"/>
    </row>
    <row r="276" spans="1:41" s="263" customFormat="1" ht="9" customHeight="1" x14ac:dyDescent="0.25">
      <c r="A276" s="550" t="s">
        <v>63</v>
      </c>
      <c r="B276" s="629">
        <f t="shared" si="31"/>
        <v>3303</v>
      </c>
      <c r="C276" s="629"/>
      <c r="D276" s="629">
        <f t="shared" si="29"/>
        <v>3227</v>
      </c>
      <c r="E276" s="629">
        <v>579</v>
      </c>
      <c r="F276" s="629"/>
      <c r="G276" s="629">
        <f t="shared" si="30"/>
        <v>1796</v>
      </c>
      <c r="H276" s="629">
        <v>199</v>
      </c>
      <c r="I276" s="629">
        <v>261</v>
      </c>
      <c r="J276" s="629">
        <v>1336</v>
      </c>
      <c r="K276" s="629">
        <v>134</v>
      </c>
      <c r="L276" s="629">
        <v>665</v>
      </c>
      <c r="M276" s="629">
        <v>53</v>
      </c>
      <c r="N276" s="629">
        <v>76</v>
      </c>
      <c r="AC276" s="282"/>
      <c r="AD276" s="282"/>
      <c r="AE276" s="282"/>
      <c r="AF276" s="282"/>
      <c r="AG276" s="282"/>
      <c r="AH276" s="282"/>
      <c r="AI276" s="282"/>
      <c r="AJ276" s="282"/>
      <c r="AK276" s="282"/>
      <c r="AL276" s="282"/>
      <c r="AM276" s="282"/>
      <c r="AN276" s="282"/>
      <c r="AO276" s="282"/>
    </row>
    <row r="277" spans="1:41" s="263" customFormat="1" ht="9" customHeight="1" x14ac:dyDescent="0.25">
      <c r="A277" s="550" t="s">
        <v>31</v>
      </c>
      <c r="B277" s="629">
        <f t="shared" si="31"/>
        <v>108</v>
      </c>
      <c r="C277" s="629"/>
      <c r="D277" s="629">
        <f t="shared" si="29"/>
        <v>108</v>
      </c>
      <c r="E277" s="629">
        <v>39</v>
      </c>
      <c r="F277" s="629"/>
      <c r="G277" s="629">
        <f t="shared" si="30"/>
        <v>65</v>
      </c>
      <c r="H277" s="629">
        <v>14</v>
      </c>
      <c r="I277" s="629">
        <v>8</v>
      </c>
      <c r="J277" s="629">
        <v>43</v>
      </c>
      <c r="K277" s="629">
        <v>0</v>
      </c>
      <c r="L277" s="629">
        <v>3</v>
      </c>
      <c r="M277" s="629">
        <v>1</v>
      </c>
      <c r="N277" s="629">
        <v>0</v>
      </c>
      <c r="AC277" s="282"/>
      <c r="AD277" s="282"/>
      <c r="AE277" s="282"/>
      <c r="AF277" s="282"/>
      <c r="AG277" s="282"/>
      <c r="AH277" s="282"/>
      <c r="AI277" s="282"/>
      <c r="AJ277" s="282"/>
      <c r="AK277" s="282"/>
      <c r="AL277" s="282"/>
      <c r="AM277" s="282"/>
      <c r="AN277" s="282"/>
      <c r="AO277" s="282"/>
    </row>
    <row r="278" spans="1:41" s="263" customFormat="1" ht="9" customHeight="1" x14ac:dyDescent="0.25">
      <c r="A278" s="550" t="s">
        <v>32</v>
      </c>
      <c r="B278" s="629">
        <f t="shared" si="31"/>
        <v>521</v>
      </c>
      <c r="C278" s="629"/>
      <c r="D278" s="629">
        <f t="shared" si="29"/>
        <v>515</v>
      </c>
      <c r="E278" s="629">
        <v>229</v>
      </c>
      <c r="F278" s="629"/>
      <c r="G278" s="629">
        <f t="shared" si="30"/>
        <v>243</v>
      </c>
      <c r="H278" s="629">
        <v>31</v>
      </c>
      <c r="I278" s="629">
        <v>32</v>
      </c>
      <c r="J278" s="629">
        <v>180</v>
      </c>
      <c r="K278" s="629">
        <v>25</v>
      </c>
      <c r="L278" s="629">
        <v>8</v>
      </c>
      <c r="M278" s="629">
        <v>10</v>
      </c>
      <c r="N278" s="629">
        <v>6</v>
      </c>
      <c r="AC278" s="282"/>
      <c r="AD278" s="282"/>
      <c r="AE278" s="282"/>
      <c r="AF278" s="282"/>
      <c r="AG278" s="282"/>
      <c r="AH278" s="282"/>
      <c r="AI278" s="282"/>
      <c r="AJ278" s="282"/>
      <c r="AK278" s="282"/>
      <c r="AL278" s="282"/>
      <c r="AM278" s="282"/>
      <c r="AN278" s="282"/>
      <c r="AO278" s="282"/>
    </row>
    <row r="279" spans="1:41" s="263" customFormat="1" ht="9" customHeight="1" x14ac:dyDescent="0.25">
      <c r="A279" s="603" t="s">
        <v>33</v>
      </c>
      <c r="B279" s="630">
        <f t="shared" si="31"/>
        <v>328</v>
      </c>
      <c r="C279" s="630"/>
      <c r="D279" s="630">
        <f t="shared" si="29"/>
        <v>325</v>
      </c>
      <c r="E279" s="630">
        <v>95</v>
      </c>
      <c r="F279" s="630"/>
      <c r="G279" s="630">
        <f t="shared" si="30"/>
        <v>224</v>
      </c>
      <c r="H279" s="630">
        <v>43</v>
      </c>
      <c r="I279" s="630">
        <v>31</v>
      </c>
      <c r="J279" s="630">
        <v>150</v>
      </c>
      <c r="K279" s="630">
        <v>1</v>
      </c>
      <c r="L279" s="630">
        <v>0</v>
      </c>
      <c r="M279" s="630">
        <v>5</v>
      </c>
      <c r="N279" s="630">
        <v>3</v>
      </c>
      <c r="AC279" s="282"/>
      <c r="AD279" s="282"/>
      <c r="AE279" s="282"/>
      <c r="AF279" s="282"/>
      <c r="AG279" s="282"/>
      <c r="AH279" s="282"/>
      <c r="AI279" s="282"/>
      <c r="AJ279" s="282"/>
      <c r="AK279" s="282"/>
      <c r="AL279" s="282"/>
      <c r="AM279" s="282"/>
      <c r="AN279" s="282"/>
      <c r="AO279" s="282"/>
    </row>
    <row r="280" spans="1:41" s="263" customFormat="1" ht="9" customHeight="1" x14ac:dyDescent="0.25">
      <c r="A280" s="550" t="s">
        <v>34</v>
      </c>
      <c r="B280" s="629">
        <f t="shared" si="31"/>
        <v>377</v>
      </c>
      <c r="C280" s="629"/>
      <c r="D280" s="629">
        <f t="shared" si="29"/>
        <v>370</v>
      </c>
      <c r="E280" s="629">
        <v>137</v>
      </c>
      <c r="F280" s="629"/>
      <c r="G280" s="629">
        <f t="shared" si="30"/>
        <v>221</v>
      </c>
      <c r="H280" s="629">
        <v>44</v>
      </c>
      <c r="I280" s="629">
        <v>33</v>
      </c>
      <c r="J280" s="629">
        <v>144</v>
      </c>
      <c r="K280" s="629">
        <v>0</v>
      </c>
      <c r="L280" s="629">
        <v>0</v>
      </c>
      <c r="M280" s="629">
        <v>12</v>
      </c>
      <c r="N280" s="629">
        <v>7</v>
      </c>
      <c r="AC280" s="282"/>
      <c r="AD280" s="282"/>
      <c r="AE280" s="282"/>
      <c r="AF280" s="282"/>
      <c r="AG280" s="282"/>
      <c r="AH280" s="282"/>
      <c r="AI280" s="282"/>
      <c r="AJ280" s="282"/>
      <c r="AK280" s="282"/>
      <c r="AL280" s="282"/>
      <c r="AM280" s="282"/>
      <c r="AN280" s="282"/>
      <c r="AO280" s="282"/>
    </row>
    <row r="281" spans="1:41" s="263" customFormat="1" ht="9" customHeight="1" x14ac:dyDescent="0.25">
      <c r="A281" s="550" t="s">
        <v>35</v>
      </c>
      <c r="B281" s="629">
        <f t="shared" si="31"/>
        <v>796</v>
      </c>
      <c r="C281" s="629"/>
      <c r="D281" s="629">
        <f t="shared" si="29"/>
        <v>766</v>
      </c>
      <c r="E281" s="629">
        <v>221</v>
      </c>
      <c r="F281" s="629"/>
      <c r="G281" s="629">
        <f t="shared" si="30"/>
        <v>428</v>
      </c>
      <c r="H281" s="629">
        <v>65</v>
      </c>
      <c r="I281" s="629">
        <v>58</v>
      </c>
      <c r="J281" s="629">
        <v>305</v>
      </c>
      <c r="K281" s="629">
        <v>23</v>
      </c>
      <c r="L281" s="629">
        <v>86</v>
      </c>
      <c r="M281" s="629">
        <v>8</v>
      </c>
      <c r="N281" s="629">
        <v>30</v>
      </c>
      <c r="AC281" s="282"/>
      <c r="AD281" s="282"/>
      <c r="AE281" s="282"/>
      <c r="AF281" s="282"/>
      <c r="AG281" s="282"/>
      <c r="AH281" s="282"/>
      <c r="AI281" s="282"/>
      <c r="AJ281" s="282"/>
      <c r="AK281" s="282"/>
      <c r="AL281" s="282"/>
      <c r="AM281" s="282"/>
      <c r="AN281" s="282"/>
      <c r="AO281" s="282"/>
    </row>
    <row r="282" spans="1:41" s="263" customFormat="1" ht="9" customHeight="1" x14ac:dyDescent="0.25">
      <c r="A282" s="550" t="s">
        <v>36</v>
      </c>
      <c r="B282" s="629">
        <f t="shared" si="31"/>
        <v>1636</v>
      </c>
      <c r="C282" s="629"/>
      <c r="D282" s="629">
        <f t="shared" si="29"/>
        <v>1600</v>
      </c>
      <c r="E282" s="629">
        <v>895</v>
      </c>
      <c r="F282" s="629"/>
      <c r="G282" s="629">
        <f t="shared" si="30"/>
        <v>601</v>
      </c>
      <c r="H282" s="629">
        <v>143</v>
      </c>
      <c r="I282" s="629">
        <v>79</v>
      </c>
      <c r="J282" s="629">
        <v>379</v>
      </c>
      <c r="K282" s="629">
        <v>39</v>
      </c>
      <c r="L282" s="629">
        <v>37</v>
      </c>
      <c r="M282" s="629">
        <v>28</v>
      </c>
      <c r="N282" s="629">
        <v>36</v>
      </c>
      <c r="AC282" s="282"/>
      <c r="AD282" s="282"/>
      <c r="AE282" s="282"/>
      <c r="AF282" s="282"/>
      <c r="AG282" s="282"/>
      <c r="AH282" s="282"/>
      <c r="AI282" s="282"/>
      <c r="AJ282" s="282"/>
      <c r="AK282" s="282"/>
      <c r="AL282" s="282"/>
      <c r="AM282" s="282"/>
      <c r="AN282" s="282"/>
      <c r="AO282" s="282"/>
    </row>
    <row r="283" spans="1:41" s="263" customFormat="1" ht="9" customHeight="1" x14ac:dyDescent="0.25">
      <c r="A283" s="603" t="s">
        <v>37</v>
      </c>
      <c r="B283" s="630">
        <f t="shared" si="31"/>
        <v>533</v>
      </c>
      <c r="C283" s="630"/>
      <c r="D283" s="630">
        <f t="shared" si="29"/>
        <v>528</v>
      </c>
      <c r="E283" s="630">
        <v>215</v>
      </c>
      <c r="F283" s="630"/>
      <c r="G283" s="630">
        <f t="shared" si="30"/>
        <v>248</v>
      </c>
      <c r="H283" s="630">
        <v>48</v>
      </c>
      <c r="I283" s="630">
        <v>33</v>
      </c>
      <c r="J283" s="630">
        <v>167</v>
      </c>
      <c r="K283" s="630">
        <v>25</v>
      </c>
      <c r="L283" s="630">
        <v>34</v>
      </c>
      <c r="M283" s="630">
        <v>6</v>
      </c>
      <c r="N283" s="630">
        <v>5</v>
      </c>
      <c r="AC283" s="282"/>
      <c r="AD283" s="282"/>
      <c r="AE283" s="282"/>
      <c r="AF283" s="282"/>
      <c r="AG283" s="282"/>
      <c r="AH283" s="282"/>
      <c r="AI283" s="282"/>
      <c r="AJ283" s="282"/>
      <c r="AK283" s="282"/>
      <c r="AL283" s="282"/>
      <c r="AM283" s="282"/>
      <c r="AN283" s="282"/>
      <c r="AO283" s="282"/>
    </row>
    <row r="284" spans="1:41" s="263" customFormat="1" ht="9" customHeight="1" x14ac:dyDescent="0.25">
      <c r="A284" s="550" t="s">
        <v>38</v>
      </c>
      <c r="B284" s="629">
        <f t="shared" si="31"/>
        <v>156</v>
      </c>
      <c r="C284" s="629"/>
      <c r="D284" s="629">
        <f t="shared" si="29"/>
        <v>153</v>
      </c>
      <c r="E284" s="629">
        <v>90</v>
      </c>
      <c r="F284" s="629"/>
      <c r="G284" s="629">
        <f t="shared" si="30"/>
        <v>61</v>
      </c>
      <c r="H284" s="629">
        <v>19</v>
      </c>
      <c r="I284" s="629">
        <v>5</v>
      </c>
      <c r="J284" s="629">
        <v>37</v>
      </c>
      <c r="K284" s="629">
        <v>1</v>
      </c>
      <c r="L284" s="629">
        <v>0</v>
      </c>
      <c r="M284" s="629">
        <v>1</v>
      </c>
      <c r="N284" s="629">
        <v>3</v>
      </c>
      <c r="AC284" s="282"/>
      <c r="AD284" s="282"/>
      <c r="AE284" s="282"/>
      <c r="AF284" s="282"/>
      <c r="AG284" s="282"/>
      <c r="AH284" s="282"/>
      <c r="AI284" s="282"/>
      <c r="AJ284" s="282"/>
      <c r="AK284" s="282"/>
      <c r="AL284" s="282"/>
      <c r="AM284" s="282"/>
      <c r="AN284" s="282"/>
      <c r="AO284" s="282"/>
    </row>
    <row r="285" spans="1:41" s="263" customFormat="1" ht="9" customHeight="1" x14ac:dyDescent="0.25">
      <c r="A285" s="550" t="s">
        <v>39</v>
      </c>
      <c r="B285" s="629">
        <f t="shared" si="31"/>
        <v>71</v>
      </c>
      <c r="C285" s="629"/>
      <c r="D285" s="629">
        <f t="shared" si="29"/>
        <v>71</v>
      </c>
      <c r="E285" s="629">
        <v>28</v>
      </c>
      <c r="F285" s="629"/>
      <c r="G285" s="629">
        <f t="shared" si="30"/>
        <v>42</v>
      </c>
      <c r="H285" s="629">
        <v>11</v>
      </c>
      <c r="I285" s="629">
        <v>6</v>
      </c>
      <c r="J285" s="629">
        <v>25</v>
      </c>
      <c r="K285" s="629">
        <v>0</v>
      </c>
      <c r="L285" s="629">
        <v>0</v>
      </c>
      <c r="M285" s="629">
        <v>1</v>
      </c>
      <c r="N285" s="629">
        <v>0</v>
      </c>
      <c r="AC285" s="282"/>
      <c r="AD285" s="282"/>
      <c r="AE285" s="282"/>
      <c r="AF285" s="282"/>
      <c r="AG285" s="282"/>
      <c r="AH285" s="282"/>
      <c r="AI285" s="282"/>
      <c r="AJ285" s="282"/>
      <c r="AK285" s="282"/>
      <c r="AL285" s="282"/>
      <c r="AM285" s="282"/>
      <c r="AN285" s="282"/>
      <c r="AO285" s="282"/>
    </row>
    <row r="286" spans="1:41" s="263" customFormat="1" ht="9" customHeight="1" x14ac:dyDescent="0.25">
      <c r="A286" s="550" t="s">
        <v>40</v>
      </c>
      <c r="B286" s="629">
        <f t="shared" si="31"/>
        <v>425</v>
      </c>
      <c r="C286" s="629"/>
      <c r="D286" s="629">
        <f t="shared" si="29"/>
        <v>400</v>
      </c>
      <c r="E286" s="629">
        <v>83</v>
      </c>
      <c r="F286" s="629"/>
      <c r="G286" s="629">
        <f t="shared" si="30"/>
        <v>273</v>
      </c>
      <c r="H286" s="629">
        <v>37</v>
      </c>
      <c r="I286" s="629">
        <v>46</v>
      </c>
      <c r="J286" s="629">
        <v>190</v>
      </c>
      <c r="K286" s="629">
        <v>8</v>
      </c>
      <c r="L286" s="629">
        <v>10</v>
      </c>
      <c r="M286" s="629">
        <v>26</v>
      </c>
      <c r="N286" s="629">
        <v>25</v>
      </c>
      <c r="AC286" s="282"/>
      <c r="AD286" s="282"/>
      <c r="AE286" s="282"/>
      <c r="AF286" s="282"/>
      <c r="AG286" s="282"/>
      <c r="AH286" s="282"/>
      <c r="AI286" s="282"/>
      <c r="AJ286" s="282"/>
      <c r="AK286" s="282"/>
      <c r="AL286" s="282"/>
      <c r="AM286" s="282"/>
      <c r="AN286" s="282"/>
      <c r="AO286" s="282"/>
    </row>
    <row r="287" spans="1:41" s="263" customFormat="1" ht="9" customHeight="1" x14ac:dyDescent="0.25">
      <c r="A287" s="603" t="s">
        <v>41</v>
      </c>
      <c r="B287" s="630">
        <f t="shared" si="31"/>
        <v>183</v>
      </c>
      <c r="C287" s="630"/>
      <c r="D287" s="630">
        <f t="shared" si="29"/>
        <v>175</v>
      </c>
      <c r="E287" s="630">
        <v>90</v>
      </c>
      <c r="F287" s="630"/>
      <c r="G287" s="630">
        <f t="shared" si="30"/>
        <v>71</v>
      </c>
      <c r="H287" s="630">
        <v>18</v>
      </c>
      <c r="I287" s="630">
        <v>11</v>
      </c>
      <c r="J287" s="630">
        <v>42</v>
      </c>
      <c r="K287" s="630">
        <v>0</v>
      </c>
      <c r="L287" s="630">
        <v>0</v>
      </c>
      <c r="M287" s="630">
        <v>14</v>
      </c>
      <c r="N287" s="630">
        <v>8</v>
      </c>
      <c r="AC287" s="282"/>
      <c r="AD287" s="282"/>
      <c r="AE287" s="282"/>
      <c r="AF287" s="282"/>
      <c r="AG287" s="282"/>
      <c r="AH287" s="282"/>
      <c r="AI287" s="282"/>
      <c r="AJ287" s="282"/>
      <c r="AK287" s="282"/>
      <c r="AL287" s="282"/>
      <c r="AM287" s="282"/>
      <c r="AN287" s="282"/>
      <c r="AO287" s="282"/>
    </row>
    <row r="288" spans="1:41" s="263" customFormat="1" ht="9" customHeight="1" x14ac:dyDescent="0.25">
      <c r="A288" s="550" t="s">
        <v>42</v>
      </c>
      <c r="B288" s="629">
        <f t="shared" si="31"/>
        <v>497</v>
      </c>
      <c r="C288" s="629"/>
      <c r="D288" s="629">
        <f t="shared" si="29"/>
        <v>493</v>
      </c>
      <c r="E288" s="629">
        <v>201</v>
      </c>
      <c r="F288" s="629"/>
      <c r="G288" s="629">
        <f t="shared" si="30"/>
        <v>241</v>
      </c>
      <c r="H288" s="629">
        <v>26</v>
      </c>
      <c r="I288" s="629">
        <v>25</v>
      </c>
      <c r="J288" s="629">
        <v>190</v>
      </c>
      <c r="K288" s="629">
        <v>29</v>
      </c>
      <c r="L288" s="629">
        <v>18</v>
      </c>
      <c r="M288" s="629">
        <v>4</v>
      </c>
      <c r="N288" s="629">
        <v>4</v>
      </c>
      <c r="AC288" s="282"/>
      <c r="AD288" s="282"/>
      <c r="AE288" s="282"/>
      <c r="AF288" s="282"/>
      <c r="AG288" s="282"/>
      <c r="AH288" s="282"/>
      <c r="AI288" s="282"/>
      <c r="AJ288" s="282"/>
      <c r="AK288" s="282"/>
      <c r="AL288" s="282"/>
      <c r="AM288" s="282"/>
      <c r="AN288" s="282"/>
      <c r="AO288" s="282"/>
    </row>
    <row r="289" spans="1:41" s="263" customFormat="1" ht="9" customHeight="1" x14ac:dyDescent="0.25">
      <c r="A289" s="550" t="s">
        <v>43</v>
      </c>
      <c r="B289" s="629">
        <f t="shared" si="31"/>
        <v>122</v>
      </c>
      <c r="C289" s="629"/>
      <c r="D289" s="629">
        <f t="shared" si="29"/>
        <v>121</v>
      </c>
      <c r="E289" s="629">
        <v>41</v>
      </c>
      <c r="F289" s="629"/>
      <c r="G289" s="629">
        <f t="shared" si="30"/>
        <v>79</v>
      </c>
      <c r="H289" s="629">
        <v>13</v>
      </c>
      <c r="I289" s="629">
        <v>10</v>
      </c>
      <c r="J289" s="629">
        <v>56</v>
      </c>
      <c r="K289" s="629">
        <v>0</v>
      </c>
      <c r="L289" s="629">
        <v>0</v>
      </c>
      <c r="M289" s="629">
        <v>1</v>
      </c>
      <c r="N289" s="629">
        <v>1</v>
      </c>
      <c r="AC289" s="282"/>
      <c r="AD289" s="282"/>
      <c r="AE289" s="282"/>
      <c r="AF289" s="282"/>
      <c r="AG289" s="282"/>
      <c r="AH289" s="282"/>
      <c r="AI289" s="282"/>
      <c r="AJ289" s="282"/>
      <c r="AK289" s="282"/>
      <c r="AL289" s="282"/>
      <c r="AM289" s="282"/>
      <c r="AN289" s="282"/>
      <c r="AO289" s="282"/>
    </row>
    <row r="290" spans="1:41" s="263" customFormat="1" ht="9" customHeight="1" x14ac:dyDescent="0.25">
      <c r="A290" s="550" t="s">
        <v>44</v>
      </c>
      <c r="B290" s="629">
        <f t="shared" si="31"/>
        <v>195</v>
      </c>
      <c r="C290" s="629"/>
      <c r="D290" s="629">
        <f t="shared" si="29"/>
        <v>192</v>
      </c>
      <c r="E290" s="629">
        <v>73</v>
      </c>
      <c r="F290" s="629"/>
      <c r="G290" s="629">
        <f t="shared" si="30"/>
        <v>112</v>
      </c>
      <c r="H290" s="629">
        <v>17</v>
      </c>
      <c r="I290" s="629">
        <v>11</v>
      </c>
      <c r="J290" s="629">
        <v>84</v>
      </c>
      <c r="K290" s="629">
        <v>0</v>
      </c>
      <c r="L290" s="629">
        <v>0</v>
      </c>
      <c r="M290" s="629">
        <v>7</v>
      </c>
      <c r="N290" s="629">
        <v>3</v>
      </c>
      <c r="AC290" s="282"/>
      <c r="AD290" s="282"/>
      <c r="AE290" s="282"/>
      <c r="AF290" s="282"/>
      <c r="AG290" s="282"/>
      <c r="AH290" s="282"/>
      <c r="AI290" s="282"/>
      <c r="AJ290" s="282"/>
      <c r="AK290" s="282"/>
      <c r="AL290" s="282"/>
      <c r="AM290" s="282"/>
      <c r="AN290" s="282"/>
      <c r="AO290" s="282"/>
    </row>
    <row r="291" spans="1:41" s="263" customFormat="1" ht="9" customHeight="1" x14ac:dyDescent="0.25">
      <c r="A291" s="603" t="s">
        <v>45</v>
      </c>
      <c r="B291" s="630">
        <f t="shared" si="31"/>
        <v>225</v>
      </c>
      <c r="C291" s="630"/>
      <c r="D291" s="630">
        <f t="shared" si="29"/>
        <v>222</v>
      </c>
      <c r="E291" s="630">
        <v>163</v>
      </c>
      <c r="F291" s="630"/>
      <c r="G291" s="630">
        <f t="shared" si="30"/>
        <v>49</v>
      </c>
      <c r="H291" s="630">
        <v>5</v>
      </c>
      <c r="I291" s="630">
        <v>6</v>
      </c>
      <c r="J291" s="630">
        <v>38</v>
      </c>
      <c r="K291" s="630">
        <v>0</v>
      </c>
      <c r="L291" s="630">
        <v>10</v>
      </c>
      <c r="M291" s="630">
        <v>0</v>
      </c>
      <c r="N291" s="630">
        <v>3</v>
      </c>
      <c r="AC291" s="282"/>
      <c r="AD291" s="282"/>
      <c r="AE291" s="282"/>
      <c r="AF291" s="282"/>
      <c r="AG291" s="282"/>
      <c r="AH291" s="282"/>
      <c r="AI291" s="282"/>
      <c r="AJ291" s="282"/>
      <c r="AK291" s="282"/>
      <c r="AL291" s="282"/>
      <c r="AM291" s="282"/>
      <c r="AN291" s="282"/>
      <c r="AO291" s="282"/>
    </row>
    <row r="292" spans="1:41" s="263" customFormat="1" ht="9" customHeight="1" x14ac:dyDescent="0.25">
      <c r="A292" s="550" t="s">
        <v>46</v>
      </c>
      <c r="B292" s="629">
        <f t="shared" si="31"/>
        <v>126</v>
      </c>
      <c r="C292" s="629"/>
      <c r="D292" s="629">
        <f t="shared" si="29"/>
        <v>126</v>
      </c>
      <c r="E292" s="629">
        <v>67</v>
      </c>
      <c r="F292" s="629"/>
      <c r="G292" s="629">
        <f t="shared" si="30"/>
        <v>56</v>
      </c>
      <c r="H292" s="629">
        <v>11</v>
      </c>
      <c r="I292" s="629">
        <v>9</v>
      </c>
      <c r="J292" s="629">
        <v>36</v>
      </c>
      <c r="K292" s="629">
        <v>0</v>
      </c>
      <c r="L292" s="629">
        <v>0</v>
      </c>
      <c r="M292" s="629">
        <v>3</v>
      </c>
      <c r="N292" s="629">
        <v>0</v>
      </c>
      <c r="AC292" s="282"/>
      <c r="AD292" s="282"/>
      <c r="AE292" s="282"/>
      <c r="AF292" s="282"/>
      <c r="AG292" s="282"/>
      <c r="AH292" s="282"/>
      <c r="AI292" s="282"/>
      <c r="AJ292" s="282"/>
      <c r="AK292" s="282"/>
      <c r="AL292" s="282"/>
      <c r="AM292" s="282"/>
      <c r="AN292" s="282"/>
      <c r="AO292" s="282"/>
    </row>
    <row r="293" spans="1:41" s="263" customFormat="1" ht="9" customHeight="1" x14ac:dyDescent="0.25">
      <c r="A293" s="550" t="s">
        <v>47</v>
      </c>
      <c r="B293" s="629">
        <f t="shared" si="31"/>
        <v>303</v>
      </c>
      <c r="C293" s="629"/>
      <c r="D293" s="629">
        <f t="shared" si="29"/>
        <v>299</v>
      </c>
      <c r="E293" s="629">
        <v>139</v>
      </c>
      <c r="F293" s="629"/>
      <c r="G293" s="629">
        <f t="shared" si="30"/>
        <v>150</v>
      </c>
      <c r="H293" s="629">
        <v>29</v>
      </c>
      <c r="I293" s="629">
        <v>26</v>
      </c>
      <c r="J293" s="629">
        <v>95</v>
      </c>
      <c r="K293" s="629">
        <v>0</v>
      </c>
      <c r="L293" s="629">
        <v>8</v>
      </c>
      <c r="M293" s="629">
        <v>2</v>
      </c>
      <c r="N293" s="629">
        <v>4</v>
      </c>
      <c r="AC293" s="282"/>
      <c r="AD293" s="282"/>
      <c r="AE293" s="282"/>
      <c r="AF293" s="282"/>
      <c r="AG293" s="282"/>
      <c r="AH293" s="282"/>
      <c r="AI293" s="282"/>
      <c r="AJ293" s="282"/>
      <c r="AK293" s="282"/>
      <c r="AL293" s="282"/>
      <c r="AM293" s="282"/>
      <c r="AN293" s="282"/>
      <c r="AO293" s="282"/>
    </row>
    <row r="294" spans="1:41" s="263" customFormat="1" ht="9" customHeight="1" x14ac:dyDescent="0.25">
      <c r="A294" s="550" t="s">
        <v>48</v>
      </c>
      <c r="B294" s="629">
        <f t="shared" si="31"/>
        <v>96</v>
      </c>
      <c r="C294" s="629"/>
      <c r="D294" s="629">
        <f t="shared" si="29"/>
        <v>92</v>
      </c>
      <c r="E294" s="629">
        <v>68</v>
      </c>
      <c r="F294" s="629"/>
      <c r="G294" s="629">
        <f t="shared" si="30"/>
        <v>24</v>
      </c>
      <c r="H294" s="629">
        <v>5</v>
      </c>
      <c r="I294" s="629">
        <v>6</v>
      </c>
      <c r="J294" s="629">
        <v>13</v>
      </c>
      <c r="K294" s="629">
        <v>0</v>
      </c>
      <c r="L294" s="629">
        <v>0</v>
      </c>
      <c r="M294" s="629">
        <v>0</v>
      </c>
      <c r="N294" s="629">
        <v>4</v>
      </c>
      <c r="AC294" s="282"/>
      <c r="AD294" s="282"/>
      <c r="AE294" s="282"/>
      <c r="AF294" s="282"/>
      <c r="AG294" s="282"/>
      <c r="AH294" s="282"/>
      <c r="AI294" s="282"/>
      <c r="AJ294" s="282"/>
      <c r="AK294" s="282"/>
      <c r="AL294" s="282"/>
      <c r="AM294" s="282"/>
      <c r="AN294" s="282"/>
      <c r="AO294" s="282"/>
    </row>
    <row r="295" spans="1:41" s="263" customFormat="1" ht="9" customHeight="1" x14ac:dyDescent="0.25">
      <c r="A295" s="603" t="s">
        <v>49</v>
      </c>
      <c r="B295" s="630">
        <f t="shared" si="31"/>
        <v>289</v>
      </c>
      <c r="C295" s="630"/>
      <c r="D295" s="630">
        <f t="shared" si="29"/>
        <v>283</v>
      </c>
      <c r="E295" s="630">
        <v>88</v>
      </c>
      <c r="F295" s="630"/>
      <c r="G295" s="630">
        <f t="shared" si="30"/>
        <v>181</v>
      </c>
      <c r="H295" s="630">
        <v>20</v>
      </c>
      <c r="I295" s="630">
        <v>22</v>
      </c>
      <c r="J295" s="630">
        <v>139</v>
      </c>
      <c r="K295" s="630">
        <v>13</v>
      </c>
      <c r="L295" s="630">
        <v>1</v>
      </c>
      <c r="M295" s="630">
        <v>0</v>
      </c>
      <c r="N295" s="630">
        <v>6</v>
      </c>
      <c r="AC295" s="282"/>
      <c r="AD295" s="282"/>
      <c r="AE295" s="282"/>
      <c r="AF295" s="282"/>
      <c r="AG295" s="282"/>
      <c r="AH295" s="282"/>
      <c r="AI295" s="282"/>
      <c r="AJ295" s="282"/>
      <c r="AK295" s="282"/>
      <c r="AL295" s="282"/>
      <c r="AM295" s="282"/>
      <c r="AN295" s="282"/>
      <c r="AO295" s="282"/>
    </row>
    <row r="296" spans="1:41" s="263" customFormat="1" ht="9" customHeight="1" x14ac:dyDescent="0.25">
      <c r="A296" s="550" t="s">
        <v>50</v>
      </c>
      <c r="B296" s="629">
        <f t="shared" si="31"/>
        <v>163</v>
      </c>
      <c r="C296" s="629"/>
      <c r="D296" s="629">
        <f t="shared" si="29"/>
        <v>163</v>
      </c>
      <c r="E296" s="629">
        <v>81</v>
      </c>
      <c r="F296" s="629"/>
      <c r="G296" s="629">
        <f t="shared" si="30"/>
        <v>77</v>
      </c>
      <c r="H296" s="629">
        <v>13</v>
      </c>
      <c r="I296" s="629">
        <v>10</v>
      </c>
      <c r="J296" s="629">
        <v>54</v>
      </c>
      <c r="K296" s="629">
        <v>2</v>
      </c>
      <c r="L296" s="629">
        <v>0</v>
      </c>
      <c r="M296" s="629">
        <v>3</v>
      </c>
      <c r="N296" s="629">
        <v>0</v>
      </c>
      <c r="AC296" s="282"/>
      <c r="AD296" s="282"/>
      <c r="AE296" s="282"/>
      <c r="AF296" s="282"/>
      <c r="AG296" s="282"/>
      <c r="AH296" s="282"/>
      <c r="AI296" s="282"/>
      <c r="AJ296" s="282"/>
      <c r="AK296" s="282"/>
      <c r="AL296" s="282"/>
      <c r="AM296" s="282"/>
      <c r="AN296" s="282"/>
      <c r="AO296" s="282"/>
    </row>
    <row r="297" spans="1:41" s="263" customFormat="1" ht="9" customHeight="1" x14ac:dyDescent="0.25">
      <c r="A297" s="550" t="s">
        <v>51</v>
      </c>
      <c r="B297" s="629">
        <f t="shared" si="31"/>
        <v>513</v>
      </c>
      <c r="C297" s="629"/>
      <c r="D297" s="629">
        <f t="shared" si="29"/>
        <v>499</v>
      </c>
      <c r="E297" s="629">
        <v>209</v>
      </c>
      <c r="F297" s="629"/>
      <c r="G297" s="629">
        <f t="shared" si="30"/>
        <v>285</v>
      </c>
      <c r="H297" s="629">
        <v>90</v>
      </c>
      <c r="I297" s="629">
        <v>31</v>
      </c>
      <c r="J297" s="629">
        <v>164</v>
      </c>
      <c r="K297" s="629">
        <v>1</v>
      </c>
      <c r="L297" s="629">
        <v>0</v>
      </c>
      <c r="M297" s="629">
        <v>4</v>
      </c>
      <c r="N297" s="629">
        <v>14</v>
      </c>
      <c r="AC297" s="282"/>
      <c r="AD297" s="282"/>
      <c r="AE297" s="282"/>
      <c r="AF297" s="282"/>
      <c r="AG297" s="282"/>
      <c r="AH297" s="282"/>
      <c r="AI297" s="282"/>
      <c r="AJ297" s="282"/>
      <c r="AK297" s="282"/>
      <c r="AL297" s="282"/>
      <c r="AM297" s="282"/>
      <c r="AN297" s="282"/>
      <c r="AO297" s="282"/>
    </row>
    <row r="298" spans="1:41" s="263" customFormat="1" ht="9" customHeight="1" x14ac:dyDescent="0.25">
      <c r="A298" s="550" t="s">
        <v>52</v>
      </c>
      <c r="B298" s="629">
        <f t="shared" si="31"/>
        <v>143</v>
      </c>
      <c r="C298" s="629"/>
      <c r="D298" s="629">
        <f t="shared" si="29"/>
        <v>142</v>
      </c>
      <c r="E298" s="629">
        <v>49</v>
      </c>
      <c r="F298" s="629"/>
      <c r="G298" s="629">
        <f t="shared" si="30"/>
        <v>84</v>
      </c>
      <c r="H298" s="629">
        <v>15</v>
      </c>
      <c r="I298" s="629">
        <v>20</v>
      </c>
      <c r="J298" s="629">
        <v>49</v>
      </c>
      <c r="K298" s="629">
        <v>0</v>
      </c>
      <c r="L298" s="629">
        <v>2</v>
      </c>
      <c r="M298" s="629">
        <v>7</v>
      </c>
      <c r="N298" s="629">
        <v>1</v>
      </c>
      <c r="AC298" s="282"/>
      <c r="AD298" s="282"/>
      <c r="AE298" s="282"/>
      <c r="AF298" s="282"/>
      <c r="AG298" s="282"/>
      <c r="AH298" s="282"/>
      <c r="AI298" s="282"/>
      <c r="AJ298" s="282"/>
      <c r="AK298" s="282"/>
      <c r="AL298" s="282"/>
      <c r="AM298" s="282"/>
      <c r="AN298" s="282"/>
      <c r="AO298" s="282"/>
    </row>
    <row r="299" spans="1:41" s="263" customFormat="1" ht="9" customHeight="1" x14ac:dyDescent="0.25">
      <c r="A299" s="267" t="s">
        <v>53</v>
      </c>
      <c r="B299" s="268">
        <f t="shared" si="31"/>
        <v>73</v>
      </c>
      <c r="C299" s="268"/>
      <c r="D299" s="268">
        <f t="shared" si="29"/>
        <v>69</v>
      </c>
      <c r="E299" s="268">
        <v>41</v>
      </c>
      <c r="F299" s="268"/>
      <c r="G299" s="268">
        <f t="shared" si="30"/>
        <v>27</v>
      </c>
      <c r="H299" s="268">
        <v>6</v>
      </c>
      <c r="I299" s="268">
        <v>3</v>
      </c>
      <c r="J299" s="268">
        <v>18</v>
      </c>
      <c r="K299" s="268">
        <v>0</v>
      </c>
      <c r="L299" s="268">
        <v>0</v>
      </c>
      <c r="M299" s="268">
        <v>1</v>
      </c>
      <c r="N299" s="268">
        <v>4</v>
      </c>
      <c r="AC299" s="282"/>
      <c r="AD299" s="282"/>
      <c r="AE299" s="282"/>
      <c r="AF299" s="282"/>
      <c r="AG299" s="282"/>
      <c r="AH299" s="282"/>
      <c r="AI299" s="282"/>
      <c r="AJ299" s="282"/>
      <c r="AK299" s="282"/>
      <c r="AL299" s="282"/>
      <c r="AM299" s="282"/>
      <c r="AN299" s="282"/>
      <c r="AO299" s="282"/>
    </row>
    <row r="300" spans="1:41" ht="9" customHeight="1" x14ac:dyDescent="0.25">
      <c r="B300" s="259"/>
      <c r="C300" s="259"/>
      <c r="D300" s="259"/>
      <c r="E300" s="259"/>
      <c r="F300" s="259"/>
      <c r="G300" s="259"/>
      <c r="H300" s="259"/>
      <c r="I300" s="259"/>
      <c r="J300" s="259"/>
      <c r="K300" s="259"/>
      <c r="L300" s="259"/>
      <c r="AC300" s="282"/>
      <c r="AD300" s="282"/>
      <c r="AE300" s="282"/>
      <c r="AF300" s="282"/>
      <c r="AG300" s="282"/>
      <c r="AH300" s="282"/>
      <c r="AI300" s="282"/>
      <c r="AJ300" s="282"/>
      <c r="AK300" s="282"/>
      <c r="AL300" s="282"/>
      <c r="AM300" s="282"/>
      <c r="AN300" s="282"/>
      <c r="AO300" s="282"/>
    </row>
    <row r="301" spans="1:41" ht="9" customHeight="1" x14ac:dyDescent="0.25">
      <c r="A301" s="601">
        <v>2009</v>
      </c>
      <c r="B301" s="262"/>
      <c r="C301" s="262"/>
      <c r="D301" s="262"/>
      <c r="E301" s="262"/>
      <c r="F301" s="262"/>
      <c r="G301" s="262"/>
      <c r="H301" s="262"/>
      <c r="I301" s="262"/>
      <c r="J301" s="262"/>
      <c r="K301" s="262"/>
      <c r="L301" s="262"/>
      <c r="M301" s="262"/>
      <c r="N301" s="262"/>
      <c r="AC301" s="282"/>
      <c r="AD301" s="282"/>
      <c r="AE301" s="282"/>
      <c r="AF301" s="282"/>
      <c r="AG301" s="282"/>
      <c r="AH301" s="282"/>
      <c r="AI301" s="282"/>
      <c r="AJ301" s="282"/>
      <c r="AK301" s="282"/>
      <c r="AL301" s="282"/>
      <c r="AM301" s="282"/>
      <c r="AN301" s="282"/>
      <c r="AO301" s="282"/>
    </row>
    <row r="302" spans="1:41" s="265" customFormat="1" ht="9" customHeight="1" x14ac:dyDescent="0.25">
      <c r="A302" s="265" t="s">
        <v>21</v>
      </c>
      <c r="B302" s="262">
        <f>SUM(B304:B335)</f>
        <v>12764</v>
      </c>
      <c r="C302" s="262"/>
      <c r="D302" s="262">
        <f>SUM(D304:D335)</f>
        <v>12454</v>
      </c>
      <c r="E302" s="262">
        <f>SUM(E304:E335)</f>
        <v>4440</v>
      </c>
      <c r="F302" s="262"/>
      <c r="G302" s="262">
        <f t="shared" ref="G302:M302" si="32">SUM(G304:G335)</f>
        <v>6484</v>
      </c>
      <c r="H302" s="262">
        <f t="shared" si="32"/>
        <v>1027</v>
      </c>
      <c r="I302" s="262">
        <f t="shared" si="32"/>
        <v>900</v>
      </c>
      <c r="J302" s="262">
        <f t="shared" si="32"/>
        <v>4557</v>
      </c>
      <c r="K302" s="262">
        <f t="shared" si="32"/>
        <v>335</v>
      </c>
      <c r="L302" s="262">
        <f t="shared" si="32"/>
        <v>978</v>
      </c>
      <c r="M302" s="262">
        <f t="shared" si="32"/>
        <v>217</v>
      </c>
      <c r="N302" s="262">
        <f>SUM(N304:N335)</f>
        <v>310</v>
      </c>
      <c r="AC302" s="282"/>
      <c r="AD302" s="282"/>
      <c r="AE302" s="282"/>
      <c r="AF302" s="282"/>
      <c r="AG302" s="282"/>
      <c r="AH302" s="282"/>
      <c r="AI302" s="282"/>
      <c r="AJ302" s="282"/>
      <c r="AK302" s="282"/>
      <c r="AL302" s="282"/>
      <c r="AM302" s="282"/>
      <c r="AN302" s="282"/>
      <c r="AO302" s="282"/>
    </row>
    <row r="303" spans="1:41" s="265" customFormat="1" ht="3" customHeight="1" x14ac:dyDescent="0.25">
      <c r="B303" s="262"/>
      <c r="C303" s="262"/>
      <c r="D303" s="262"/>
      <c r="E303" s="262"/>
      <c r="F303" s="262"/>
      <c r="G303" s="262"/>
      <c r="H303" s="262"/>
      <c r="I303" s="262"/>
      <c r="J303" s="262"/>
      <c r="K303" s="262"/>
      <c r="L303" s="262"/>
      <c r="M303" s="262"/>
      <c r="N303" s="262"/>
      <c r="AC303" s="282"/>
      <c r="AD303" s="282"/>
      <c r="AE303" s="282"/>
      <c r="AF303" s="282"/>
      <c r="AG303" s="282"/>
      <c r="AH303" s="282"/>
      <c r="AI303" s="282"/>
      <c r="AJ303" s="282"/>
      <c r="AK303" s="282"/>
      <c r="AL303" s="282"/>
      <c r="AM303" s="282"/>
      <c r="AN303" s="282"/>
      <c r="AO303" s="282"/>
    </row>
    <row r="304" spans="1:41" s="263" customFormat="1" ht="9" customHeight="1" x14ac:dyDescent="0.25">
      <c r="A304" s="550" t="s">
        <v>23</v>
      </c>
      <c r="B304" s="629">
        <f>SUM(D304+N304)</f>
        <v>113</v>
      </c>
      <c r="C304" s="629"/>
      <c r="D304" s="629">
        <f t="shared" ref="D304:D335" si="33">SUM(E304+G304+K304+L304+M304)</f>
        <v>110</v>
      </c>
      <c r="E304" s="629">
        <v>25</v>
      </c>
      <c r="F304" s="629"/>
      <c r="G304" s="629">
        <f>SUM(H304:J304)</f>
        <v>69</v>
      </c>
      <c r="H304" s="629">
        <v>10</v>
      </c>
      <c r="I304" s="629">
        <v>8</v>
      </c>
      <c r="J304" s="629">
        <v>51</v>
      </c>
      <c r="K304" s="629">
        <v>11</v>
      </c>
      <c r="L304" s="629">
        <v>2</v>
      </c>
      <c r="M304" s="629">
        <v>3</v>
      </c>
      <c r="N304" s="629">
        <v>3</v>
      </c>
      <c r="AC304" s="282"/>
      <c r="AD304" s="282"/>
      <c r="AE304" s="282"/>
      <c r="AF304" s="282"/>
      <c r="AG304" s="282"/>
      <c r="AH304" s="282"/>
      <c r="AI304" s="282"/>
      <c r="AJ304" s="282"/>
      <c r="AK304" s="282"/>
      <c r="AL304" s="282"/>
      <c r="AM304" s="282"/>
      <c r="AN304" s="282"/>
      <c r="AO304" s="282"/>
    </row>
    <row r="305" spans="1:41" s="263" customFormat="1" ht="9" customHeight="1" x14ac:dyDescent="0.25">
      <c r="A305" s="550" t="s">
        <v>24</v>
      </c>
      <c r="B305" s="629">
        <f>SUM(D305+N305)</f>
        <v>231</v>
      </c>
      <c r="C305" s="629"/>
      <c r="D305" s="629">
        <f t="shared" si="33"/>
        <v>230</v>
      </c>
      <c r="E305" s="629">
        <v>150</v>
      </c>
      <c r="F305" s="629"/>
      <c r="G305" s="629">
        <f>SUM(H305:J305)</f>
        <v>76</v>
      </c>
      <c r="H305" s="629">
        <v>12</v>
      </c>
      <c r="I305" s="629">
        <v>7</v>
      </c>
      <c r="J305" s="629">
        <v>57</v>
      </c>
      <c r="K305" s="629">
        <v>3</v>
      </c>
      <c r="L305" s="629">
        <v>0</v>
      </c>
      <c r="M305" s="629">
        <v>1</v>
      </c>
      <c r="N305" s="629">
        <v>1</v>
      </c>
      <c r="AC305" s="282"/>
      <c r="AD305" s="282"/>
      <c r="AE305" s="282"/>
      <c r="AF305" s="282"/>
      <c r="AG305" s="282"/>
      <c r="AH305" s="282"/>
      <c r="AI305" s="282"/>
      <c r="AJ305" s="282"/>
      <c r="AK305" s="282"/>
      <c r="AL305" s="282"/>
      <c r="AM305" s="282"/>
      <c r="AN305" s="282"/>
      <c r="AO305" s="282"/>
    </row>
    <row r="306" spans="1:41" s="263" customFormat="1" ht="9" customHeight="1" x14ac:dyDescent="0.25">
      <c r="A306" s="550" t="s">
        <v>25</v>
      </c>
      <c r="B306" s="629">
        <f>SUM(D306+N306)</f>
        <v>60</v>
      </c>
      <c r="C306" s="629"/>
      <c r="D306" s="629">
        <f t="shared" si="33"/>
        <v>60</v>
      </c>
      <c r="E306" s="629">
        <v>32</v>
      </c>
      <c r="F306" s="629"/>
      <c r="G306" s="629">
        <f t="shared" ref="G306:G335" si="34">SUM(H306:J306)</f>
        <v>27</v>
      </c>
      <c r="H306" s="629">
        <v>3</v>
      </c>
      <c r="I306" s="629">
        <v>1</v>
      </c>
      <c r="J306" s="629">
        <v>23</v>
      </c>
      <c r="K306" s="629">
        <v>0</v>
      </c>
      <c r="L306" s="629">
        <v>0</v>
      </c>
      <c r="M306" s="629">
        <v>1</v>
      </c>
      <c r="N306" s="629">
        <v>0</v>
      </c>
      <c r="AC306" s="282"/>
      <c r="AD306" s="282"/>
      <c r="AE306" s="282"/>
      <c r="AF306" s="282"/>
      <c r="AG306" s="282"/>
      <c r="AH306" s="282"/>
      <c r="AI306" s="282"/>
      <c r="AJ306" s="282"/>
      <c r="AK306" s="282"/>
      <c r="AL306" s="282"/>
      <c r="AM306" s="282"/>
      <c r="AN306" s="282"/>
      <c r="AO306" s="282"/>
    </row>
    <row r="307" spans="1:41" s="263" customFormat="1" ht="9" customHeight="1" x14ac:dyDescent="0.25">
      <c r="A307" s="603" t="s">
        <v>26</v>
      </c>
      <c r="B307" s="630">
        <f>SUM(D307+N307)</f>
        <v>26</v>
      </c>
      <c r="C307" s="630"/>
      <c r="D307" s="630">
        <f t="shared" si="33"/>
        <v>26</v>
      </c>
      <c r="E307" s="630">
        <v>26</v>
      </c>
      <c r="F307" s="630"/>
      <c r="G307" s="630">
        <f t="shared" si="34"/>
        <v>0</v>
      </c>
      <c r="H307" s="630">
        <v>0</v>
      </c>
      <c r="I307" s="630">
        <v>0</v>
      </c>
      <c r="J307" s="630">
        <v>0</v>
      </c>
      <c r="K307" s="630">
        <v>0</v>
      </c>
      <c r="L307" s="630">
        <v>0</v>
      </c>
      <c r="M307" s="630">
        <v>0</v>
      </c>
      <c r="N307" s="630">
        <v>0</v>
      </c>
      <c r="AC307" s="282"/>
      <c r="AD307" s="282"/>
      <c r="AE307" s="282"/>
      <c r="AF307" s="282"/>
      <c r="AG307" s="282"/>
      <c r="AH307" s="282"/>
      <c r="AI307" s="282"/>
      <c r="AJ307" s="282"/>
      <c r="AK307" s="282"/>
      <c r="AL307" s="282"/>
      <c r="AM307" s="282"/>
      <c r="AN307" s="282"/>
      <c r="AO307" s="282"/>
    </row>
    <row r="308" spans="1:41" s="263" customFormat="1" ht="9" customHeight="1" x14ac:dyDescent="0.25">
      <c r="A308" s="550" t="s">
        <v>27</v>
      </c>
      <c r="B308" s="629">
        <f t="shared" ref="B308:B335" si="35">SUM(D308+N308)</f>
        <v>154</v>
      </c>
      <c r="C308" s="629"/>
      <c r="D308" s="629">
        <f t="shared" si="33"/>
        <v>150</v>
      </c>
      <c r="E308" s="629">
        <v>34</v>
      </c>
      <c r="F308" s="629"/>
      <c r="G308" s="629">
        <f t="shared" si="34"/>
        <v>112</v>
      </c>
      <c r="H308" s="629">
        <v>15</v>
      </c>
      <c r="I308" s="629">
        <v>8</v>
      </c>
      <c r="J308" s="629">
        <v>89</v>
      </c>
      <c r="K308" s="629">
        <v>0</v>
      </c>
      <c r="L308" s="629">
        <v>0</v>
      </c>
      <c r="M308" s="629">
        <v>4</v>
      </c>
      <c r="N308" s="629">
        <v>4</v>
      </c>
      <c r="AC308" s="282"/>
      <c r="AD308" s="282"/>
      <c r="AE308" s="282"/>
      <c r="AF308" s="282"/>
      <c r="AG308" s="282"/>
      <c r="AH308" s="282"/>
      <c r="AI308" s="282"/>
      <c r="AJ308" s="282"/>
      <c r="AK308" s="282"/>
      <c r="AL308" s="282"/>
      <c r="AM308" s="282"/>
      <c r="AN308" s="282"/>
      <c r="AO308" s="282"/>
    </row>
    <row r="309" spans="1:41" s="263" customFormat="1" ht="9" customHeight="1" x14ac:dyDescent="0.25">
      <c r="A309" s="550" t="s">
        <v>28</v>
      </c>
      <c r="B309" s="629">
        <f t="shared" si="35"/>
        <v>35</v>
      </c>
      <c r="C309" s="629"/>
      <c r="D309" s="629">
        <f t="shared" si="33"/>
        <v>34</v>
      </c>
      <c r="E309" s="629">
        <v>29</v>
      </c>
      <c r="F309" s="629"/>
      <c r="G309" s="629">
        <f t="shared" si="34"/>
        <v>5</v>
      </c>
      <c r="H309" s="629">
        <v>1</v>
      </c>
      <c r="I309" s="629">
        <v>1</v>
      </c>
      <c r="J309" s="629">
        <v>3</v>
      </c>
      <c r="K309" s="629">
        <v>0</v>
      </c>
      <c r="L309" s="629">
        <v>0</v>
      </c>
      <c r="M309" s="629">
        <v>0</v>
      </c>
      <c r="N309" s="629">
        <v>1</v>
      </c>
      <c r="AC309" s="282"/>
      <c r="AD309" s="282"/>
      <c r="AE309" s="282"/>
      <c r="AF309" s="282"/>
      <c r="AG309" s="282"/>
      <c r="AH309" s="282"/>
      <c r="AI309" s="282"/>
      <c r="AJ309" s="282"/>
      <c r="AK309" s="282"/>
      <c r="AL309" s="282"/>
      <c r="AM309" s="282"/>
      <c r="AN309" s="282"/>
      <c r="AO309" s="282"/>
    </row>
    <row r="310" spans="1:41" s="263" customFormat="1" ht="9" customHeight="1" x14ac:dyDescent="0.25">
      <c r="A310" s="550" t="s">
        <v>29</v>
      </c>
      <c r="B310" s="629">
        <f t="shared" si="35"/>
        <v>165</v>
      </c>
      <c r="C310" s="629"/>
      <c r="D310" s="629">
        <f t="shared" si="33"/>
        <v>160</v>
      </c>
      <c r="E310" s="629">
        <v>99</v>
      </c>
      <c r="F310" s="629"/>
      <c r="G310" s="629">
        <f t="shared" si="34"/>
        <v>60</v>
      </c>
      <c r="H310" s="629">
        <v>14</v>
      </c>
      <c r="I310" s="629">
        <v>6</v>
      </c>
      <c r="J310" s="629">
        <v>40</v>
      </c>
      <c r="K310" s="629">
        <v>0</v>
      </c>
      <c r="L310" s="629">
        <v>0</v>
      </c>
      <c r="M310" s="629">
        <v>1</v>
      </c>
      <c r="N310" s="629">
        <v>5</v>
      </c>
      <c r="AC310" s="282"/>
      <c r="AD310" s="282"/>
      <c r="AE310" s="282"/>
      <c r="AF310" s="282"/>
      <c r="AG310" s="282"/>
      <c r="AH310" s="282"/>
      <c r="AI310" s="282"/>
      <c r="AJ310" s="282"/>
      <c r="AK310" s="282"/>
      <c r="AL310" s="282"/>
      <c r="AM310" s="282"/>
      <c r="AN310" s="282"/>
      <c r="AO310" s="282"/>
    </row>
    <row r="311" spans="1:41" s="263" customFormat="1" ht="9" customHeight="1" x14ac:dyDescent="0.25">
      <c r="A311" s="603" t="s">
        <v>30</v>
      </c>
      <c r="B311" s="630">
        <f t="shared" si="35"/>
        <v>488</v>
      </c>
      <c r="C311" s="630"/>
      <c r="D311" s="630">
        <f t="shared" si="33"/>
        <v>476</v>
      </c>
      <c r="E311" s="630">
        <v>109</v>
      </c>
      <c r="F311" s="630"/>
      <c r="G311" s="630">
        <f t="shared" si="34"/>
        <v>322</v>
      </c>
      <c r="H311" s="630">
        <v>34</v>
      </c>
      <c r="I311" s="630">
        <v>29</v>
      </c>
      <c r="J311" s="630">
        <v>259</v>
      </c>
      <c r="K311" s="630">
        <v>8</v>
      </c>
      <c r="L311" s="630">
        <v>33</v>
      </c>
      <c r="M311" s="630">
        <v>4</v>
      </c>
      <c r="N311" s="630">
        <v>12</v>
      </c>
      <c r="AC311" s="282"/>
      <c r="AD311" s="282"/>
      <c r="AE311" s="282"/>
      <c r="AF311" s="282"/>
      <c r="AG311" s="282"/>
      <c r="AH311" s="282"/>
      <c r="AI311" s="282"/>
      <c r="AJ311" s="282"/>
      <c r="AK311" s="282"/>
      <c r="AL311" s="282"/>
      <c r="AM311" s="282"/>
      <c r="AN311" s="282"/>
      <c r="AO311" s="282"/>
    </row>
    <row r="312" spans="1:41" s="263" customFormat="1" ht="9" customHeight="1" x14ac:dyDescent="0.25">
      <c r="A312" s="550" t="s">
        <v>63</v>
      </c>
      <c r="B312" s="629">
        <f t="shared" si="35"/>
        <v>3420</v>
      </c>
      <c r="C312" s="629"/>
      <c r="D312" s="629">
        <f t="shared" si="33"/>
        <v>3322</v>
      </c>
      <c r="E312" s="629">
        <v>606</v>
      </c>
      <c r="F312" s="629"/>
      <c r="G312" s="629">
        <f t="shared" si="34"/>
        <v>1807</v>
      </c>
      <c r="H312" s="629">
        <v>230</v>
      </c>
      <c r="I312" s="629">
        <v>282</v>
      </c>
      <c r="J312" s="629">
        <v>1295</v>
      </c>
      <c r="K312" s="629">
        <v>174</v>
      </c>
      <c r="L312" s="629">
        <v>689</v>
      </c>
      <c r="M312" s="629">
        <v>46</v>
      </c>
      <c r="N312" s="629">
        <v>98</v>
      </c>
      <c r="AC312" s="282"/>
      <c r="AD312" s="282"/>
      <c r="AE312" s="282"/>
      <c r="AF312" s="282"/>
      <c r="AG312" s="282"/>
      <c r="AH312" s="282"/>
      <c r="AI312" s="282"/>
      <c r="AJ312" s="282"/>
      <c r="AK312" s="282"/>
      <c r="AL312" s="282"/>
      <c r="AM312" s="282"/>
      <c r="AN312" s="282"/>
      <c r="AO312" s="282"/>
    </row>
    <row r="313" spans="1:41" s="263" customFormat="1" ht="9" customHeight="1" x14ac:dyDescent="0.25">
      <c r="A313" s="550" t="s">
        <v>31</v>
      </c>
      <c r="B313" s="629">
        <f t="shared" si="35"/>
        <v>89</v>
      </c>
      <c r="C313" s="629"/>
      <c r="D313" s="629">
        <f t="shared" si="33"/>
        <v>83</v>
      </c>
      <c r="E313" s="629">
        <v>32</v>
      </c>
      <c r="F313" s="629"/>
      <c r="G313" s="629">
        <f t="shared" si="34"/>
        <v>40</v>
      </c>
      <c r="H313" s="629">
        <v>4</v>
      </c>
      <c r="I313" s="629">
        <v>3</v>
      </c>
      <c r="J313" s="629">
        <v>33</v>
      </c>
      <c r="K313" s="629">
        <v>0</v>
      </c>
      <c r="L313" s="629">
        <v>10</v>
      </c>
      <c r="M313" s="629">
        <v>1</v>
      </c>
      <c r="N313" s="629">
        <v>6</v>
      </c>
      <c r="AC313" s="282"/>
      <c r="AD313" s="282"/>
      <c r="AE313" s="282"/>
      <c r="AF313" s="282"/>
      <c r="AG313" s="282"/>
      <c r="AH313" s="282"/>
      <c r="AI313" s="282"/>
      <c r="AJ313" s="282"/>
      <c r="AK313" s="282"/>
      <c r="AL313" s="282"/>
      <c r="AM313" s="282"/>
      <c r="AN313" s="282"/>
      <c r="AO313" s="282"/>
    </row>
    <row r="314" spans="1:41" s="263" customFormat="1" ht="9" customHeight="1" x14ac:dyDescent="0.25">
      <c r="A314" s="550" t="s">
        <v>32</v>
      </c>
      <c r="B314" s="629">
        <f t="shared" si="35"/>
        <v>515</v>
      </c>
      <c r="C314" s="629"/>
      <c r="D314" s="629">
        <f t="shared" si="33"/>
        <v>503</v>
      </c>
      <c r="E314" s="629">
        <v>224</v>
      </c>
      <c r="F314" s="629"/>
      <c r="G314" s="629">
        <f t="shared" si="34"/>
        <v>234</v>
      </c>
      <c r="H314" s="629">
        <v>36</v>
      </c>
      <c r="I314" s="629">
        <v>29</v>
      </c>
      <c r="J314" s="629">
        <v>169</v>
      </c>
      <c r="K314" s="629">
        <v>27</v>
      </c>
      <c r="L314" s="629">
        <v>9</v>
      </c>
      <c r="M314" s="629">
        <v>9</v>
      </c>
      <c r="N314" s="629">
        <v>12</v>
      </c>
      <c r="AC314" s="282"/>
      <c r="AD314" s="282"/>
      <c r="AE314" s="282"/>
      <c r="AF314" s="282"/>
      <c r="AG314" s="282"/>
      <c r="AH314" s="282"/>
      <c r="AI314" s="282"/>
      <c r="AJ314" s="282"/>
      <c r="AK314" s="282"/>
      <c r="AL314" s="282"/>
      <c r="AM314" s="282"/>
      <c r="AN314" s="282"/>
      <c r="AO314" s="282"/>
    </row>
    <row r="315" spans="1:41" s="263" customFormat="1" ht="9" customHeight="1" x14ac:dyDescent="0.25">
      <c r="A315" s="603" t="s">
        <v>33</v>
      </c>
      <c r="B315" s="630">
        <f t="shared" si="35"/>
        <v>321</v>
      </c>
      <c r="C315" s="630"/>
      <c r="D315" s="630">
        <f t="shared" si="33"/>
        <v>317</v>
      </c>
      <c r="E315" s="630">
        <v>101</v>
      </c>
      <c r="F315" s="630"/>
      <c r="G315" s="630">
        <f t="shared" si="34"/>
        <v>204</v>
      </c>
      <c r="H315" s="630">
        <v>41</v>
      </c>
      <c r="I315" s="630">
        <v>30</v>
      </c>
      <c r="J315" s="630">
        <v>133</v>
      </c>
      <c r="K315" s="630">
        <v>1</v>
      </c>
      <c r="L315" s="630">
        <v>1</v>
      </c>
      <c r="M315" s="630">
        <v>10</v>
      </c>
      <c r="N315" s="630">
        <v>4</v>
      </c>
      <c r="AC315" s="282"/>
      <c r="AD315" s="282"/>
      <c r="AE315" s="282"/>
      <c r="AF315" s="282"/>
      <c r="AG315" s="282"/>
      <c r="AH315" s="282"/>
      <c r="AI315" s="282"/>
      <c r="AJ315" s="282"/>
      <c r="AK315" s="282"/>
      <c r="AL315" s="282"/>
      <c r="AM315" s="282"/>
      <c r="AN315" s="282"/>
      <c r="AO315" s="282"/>
    </row>
    <row r="316" spans="1:41" s="263" customFormat="1" ht="9" customHeight="1" x14ac:dyDescent="0.25">
      <c r="A316" s="550" t="s">
        <v>34</v>
      </c>
      <c r="B316" s="629">
        <f t="shared" si="35"/>
        <v>460</v>
      </c>
      <c r="C316" s="629"/>
      <c r="D316" s="629">
        <f t="shared" si="33"/>
        <v>452</v>
      </c>
      <c r="E316" s="629">
        <v>144</v>
      </c>
      <c r="F316" s="629"/>
      <c r="G316" s="629">
        <f t="shared" si="34"/>
        <v>292</v>
      </c>
      <c r="H316" s="629">
        <v>60</v>
      </c>
      <c r="I316" s="629">
        <v>43</v>
      </c>
      <c r="J316" s="629">
        <v>189</v>
      </c>
      <c r="K316" s="629">
        <v>0</v>
      </c>
      <c r="L316" s="629">
        <v>0</v>
      </c>
      <c r="M316" s="629">
        <v>16</v>
      </c>
      <c r="N316" s="629">
        <v>8</v>
      </c>
      <c r="AC316" s="282"/>
      <c r="AD316" s="282"/>
      <c r="AE316" s="282"/>
      <c r="AF316" s="282"/>
      <c r="AG316" s="282"/>
      <c r="AH316" s="282"/>
      <c r="AI316" s="282"/>
      <c r="AJ316" s="282"/>
      <c r="AK316" s="282"/>
      <c r="AL316" s="282"/>
      <c r="AM316" s="282"/>
      <c r="AN316" s="282"/>
      <c r="AO316" s="282"/>
    </row>
    <row r="317" spans="1:41" s="263" customFormat="1" ht="9" customHeight="1" x14ac:dyDescent="0.25">
      <c r="A317" s="550" t="s">
        <v>35</v>
      </c>
      <c r="B317" s="629">
        <f t="shared" si="35"/>
        <v>868</v>
      </c>
      <c r="C317" s="629"/>
      <c r="D317" s="629">
        <f t="shared" si="33"/>
        <v>840</v>
      </c>
      <c r="E317" s="629">
        <v>206</v>
      </c>
      <c r="F317" s="629"/>
      <c r="G317" s="629">
        <f t="shared" si="34"/>
        <v>494</v>
      </c>
      <c r="H317" s="629">
        <v>85</v>
      </c>
      <c r="I317" s="629">
        <v>63</v>
      </c>
      <c r="J317" s="629">
        <v>346</v>
      </c>
      <c r="K317" s="629">
        <v>23</v>
      </c>
      <c r="L317" s="629">
        <v>106</v>
      </c>
      <c r="M317" s="629">
        <v>11</v>
      </c>
      <c r="N317" s="629">
        <v>28</v>
      </c>
      <c r="AC317" s="282"/>
      <c r="AD317" s="282"/>
      <c r="AE317" s="282"/>
      <c r="AF317" s="282"/>
      <c r="AG317" s="282"/>
      <c r="AH317" s="282"/>
      <c r="AI317" s="282"/>
      <c r="AJ317" s="282"/>
      <c r="AK317" s="282"/>
      <c r="AL317" s="282"/>
      <c r="AM317" s="282"/>
      <c r="AN317" s="282"/>
      <c r="AO317" s="282"/>
    </row>
    <row r="318" spans="1:41" s="263" customFormat="1" ht="9" customHeight="1" x14ac:dyDescent="0.25">
      <c r="A318" s="550" t="s">
        <v>36</v>
      </c>
      <c r="B318" s="629">
        <f t="shared" si="35"/>
        <v>1660</v>
      </c>
      <c r="C318" s="629"/>
      <c r="D318" s="629">
        <f t="shared" si="33"/>
        <v>1624</v>
      </c>
      <c r="E318" s="629">
        <v>871</v>
      </c>
      <c r="F318" s="629"/>
      <c r="G318" s="629">
        <f t="shared" si="34"/>
        <v>627</v>
      </c>
      <c r="H318" s="629">
        <v>121</v>
      </c>
      <c r="I318" s="629">
        <v>101</v>
      </c>
      <c r="J318" s="629">
        <v>405</v>
      </c>
      <c r="K318" s="629">
        <v>43</v>
      </c>
      <c r="L318" s="629">
        <v>50</v>
      </c>
      <c r="M318" s="629">
        <v>33</v>
      </c>
      <c r="N318" s="629">
        <v>36</v>
      </c>
      <c r="AC318" s="282"/>
      <c r="AD318" s="282"/>
      <c r="AE318" s="282"/>
      <c r="AF318" s="282"/>
      <c r="AG318" s="282"/>
      <c r="AH318" s="282"/>
      <c r="AI318" s="282"/>
      <c r="AJ318" s="282"/>
      <c r="AK318" s="282"/>
      <c r="AL318" s="282"/>
      <c r="AM318" s="282"/>
      <c r="AN318" s="282"/>
      <c r="AO318" s="282"/>
    </row>
    <row r="319" spans="1:41" s="263" customFormat="1" ht="9" customHeight="1" x14ac:dyDescent="0.25">
      <c r="A319" s="603" t="s">
        <v>37</v>
      </c>
      <c r="B319" s="630">
        <f t="shared" si="35"/>
        <v>563</v>
      </c>
      <c r="C319" s="630"/>
      <c r="D319" s="630">
        <f t="shared" si="33"/>
        <v>560</v>
      </c>
      <c r="E319" s="630">
        <v>237</v>
      </c>
      <c r="F319" s="630"/>
      <c r="G319" s="630">
        <f t="shared" si="34"/>
        <v>272</v>
      </c>
      <c r="H319" s="630">
        <v>51</v>
      </c>
      <c r="I319" s="630">
        <v>35</v>
      </c>
      <c r="J319" s="630">
        <v>186</v>
      </c>
      <c r="K319" s="630">
        <v>12</v>
      </c>
      <c r="L319" s="630">
        <v>31</v>
      </c>
      <c r="M319" s="630">
        <v>8</v>
      </c>
      <c r="N319" s="630">
        <v>3</v>
      </c>
      <c r="AC319" s="282"/>
      <c r="AD319" s="282"/>
      <c r="AE319" s="282"/>
      <c r="AF319" s="282"/>
      <c r="AG319" s="282"/>
      <c r="AH319" s="282"/>
      <c r="AI319" s="282"/>
      <c r="AJ319" s="282"/>
      <c r="AK319" s="282"/>
      <c r="AL319" s="282"/>
      <c r="AM319" s="282"/>
      <c r="AN319" s="282"/>
      <c r="AO319" s="282"/>
    </row>
    <row r="320" spans="1:41" s="263" customFormat="1" ht="9" customHeight="1" x14ac:dyDescent="0.25">
      <c r="A320" s="550" t="s">
        <v>38</v>
      </c>
      <c r="B320" s="629">
        <f t="shared" si="35"/>
        <v>142</v>
      </c>
      <c r="C320" s="629"/>
      <c r="D320" s="629">
        <f t="shared" si="33"/>
        <v>139</v>
      </c>
      <c r="E320" s="629">
        <v>82</v>
      </c>
      <c r="F320" s="629"/>
      <c r="G320" s="629">
        <f t="shared" si="34"/>
        <v>55</v>
      </c>
      <c r="H320" s="629">
        <v>19</v>
      </c>
      <c r="I320" s="629">
        <v>6</v>
      </c>
      <c r="J320" s="629">
        <v>30</v>
      </c>
      <c r="K320" s="629">
        <v>1</v>
      </c>
      <c r="L320" s="629">
        <v>0</v>
      </c>
      <c r="M320" s="629">
        <v>1</v>
      </c>
      <c r="N320" s="629">
        <v>3</v>
      </c>
      <c r="AC320" s="282"/>
      <c r="AD320" s="282"/>
      <c r="AE320" s="282"/>
      <c r="AF320" s="282"/>
      <c r="AG320" s="282"/>
      <c r="AH320" s="282"/>
      <c r="AI320" s="282"/>
      <c r="AJ320" s="282"/>
      <c r="AK320" s="282"/>
      <c r="AL320" s="282"/>
      <c r="AM320" s="282"/>
      <c r="AN320" s="282"/>
      <c r="AO320" s="282"/>
    </row>
    <row r="321" spans="1:41" s="263" customFormat="1" ht="9" customHeight="1" x14ac:dyDescent="0.25">
      <c r="A321" s="550" t="s">
        <v>39</v>
      </c>
      <c r="B321" s="629">
        <f t="shared" si="35"/>
        <v>58</v>
      </c>
      <c r="C321" s="629"/>
      <c r="D321" s="629">
        <f t="shared" si="33"/>
        <v>58</v>
      </c>
      <c r="E321" s="629">
        <v>26</v>
      </c>
      <c r="F321" s="629"/>
      <c r="G321" s="629">
        <f t="shared" si="34"/>
        <v>32</v>
      </c>
      <c r="H321" s="629">
        <v>8</v>
      </c>
      <c r="I321" s="629">
        <v>5</v>
      </c>
      <c r="J321" s="629">
        <v>19</v>
      </c>
      <c r="K321" s="629">
        <v>0</v>
      </c>
      <c r="L321" s="629">
        <v>0</v>
      </c>
      <c r="M321" s="629">
        <v>0</v>
      </c>
      <c r="N321" s="629">
        <v>0</v>
      </c>
      <c r="AC321" s="282"/>
      <c r="AD321" s="282"/>
      <c r="AE321" s="282"/>
      <c r="AF321" s="282"/>
      <c r="AG321" s="282"/>
      <c r="AH321" s="282"/>
      <c r="AI321" s="282"/>
      <c r="AJ321" s="282"/>
      <c r="AK321" s="282"/>
      <c r="AL321" s="282"/>
      <c r="AM321" s="282"/>
      <c r="AN321" s="282"/>
      <c r="AO321" s="282"/>
    </row>
    <row r="322" spans="1:41" s="263" customFormat="1" ht="9" customHeight="1" x14ac:dyDescent="0.25">
      <c r="A322" s="550" t="s">
        <v>40</v>
      </c>
      <c r="B322" s="629">
        <f t="shared" si="35"/>
        <v>524</v>
      </c>
      <c r="C322" s="629"/>
      <c r="D322" s="629">
        <f t="shared" si="33"/>
        <v>481</v>
      </c>
      <c r="E322" s="629">
        <v>92</v>
      </c>
      <c r="F322" s="629"/>
      <c r="G322" s="629">
        <f t="shared" si="34"/>
        <v>348</v>
      </c>
      <c r="H322" s="629">
        <v>52</v>
      </c>
      <c r="I322" s="629">
        <v>64</v>
      </c>
      <c r="J322" s="629">
        <v>232</v>
      </c>
      <c r="K322" s="629">
        <v>0</v>
      </c>
      <c r="L322" s="629">
        <v>13</v>
      </c>
      <c r="M322" s="629">
        <v>28</v>
      </c>
      <c r="N322" s="629">
        <v>43</v>
      </c>
      <c r="AC322" s="282"/>
      <c r="AD322" s="282"/>
      <c r="AE322" s="282"/>
      <c r="AF322" s="282"/>
      <c r="AG322" s="282"/>
      <c r="AH322" s="282"/>
      <c r="AI322" s="282"/>
      <c r="AJ322" s="282"/>
      <c r="AK322" s="282"/>
      <c r="AL322" s="282"/>
      <c r="AM322" s="282"/>
      <c r="AN322" s="282"/>
      <c r="AO322" s="282"/>
    </row>
    <row r="323" spans="1:41" s="263" customFormat="1" ht="9" customHeight="1" x14ac:dyDescent="0.25">
      <c r="A323" s="603" t="s">
        <v>41</v>
      </c>
      <c r="B323" s="630">
        <f t="shared" si="35"/>
        <v>181</v>
      </c>
      <c r="C323" s="630"/>
      <c r="D323" s="630">
        <f t="shared" si="33"/>
        <v>175</v>
      </c>
      <c r="E323" s="630">
        <v>92</v>
      </c>
      <c r="F323" s="630"/>
      <c r="G323" s="630">
        <f t="shared" si="34"/>
        <v>71</v>
      </c>
      <c r="H323" s="630">
        <v>16</v>
      </c>
      <c r="I323" s="630">
        <v>9</v>
      </c>
      <c r="J323" s="630">
        <v>46</v>
      </c>
      <c r="K323" s="630">
        <v>0</v>
      </c>
      <c r="L323" s="630">
        <v>0</v>
      </c>
      <c r="M323" s="630">
        <v>12</v>
      </c>
      <c r="N323" s="630">
        <v>6</v>
      </c>
      <c r="AC323" s="282"/>
      <c r="AD323" s="282"/>
      <c r="AE323" s="282"/>
      <c r="AF323" s="282"/>
      <c r="AG323" s="282"/>
      <c r="AH323" s="282"/>
      <c r="AI323" s="282"/>
      <c r="AJ323" s="282"/>
      <c r="AK323" s="282"/>
      <c r="AL323" s="282"/>
      <c r="AM323" s="282"/>
      <c r="AN323" s="282"/>
      <c r="AO323" s="282"/>
    </row>
    <row r="324" spans="1:41" s="263" customFormat="1" ht="9" customHeight="1" x14ac:dyDescent="0.25">
      <c r="A324" s="550" t="s">
        <v>42</v>
      </c>
      <c r="B324" s="629">
        <f t="shared" si="35"/>
        <v>475</v>
      </c>
      <c r="C324" s="629"/>
      <c r="D324" s="629">
        <f t="shared" si="33"/>
        <v>471</v>
      </c>
      <c r="E324" s="629">
        <v>177</v>
      </c>
      <c r="F324" s="629"/>
      <c r="G324" s="629">
        <f t="shared" si="34"/>
        <v>258</v>
      </c>
      <c r="H324" s="629">
        <v>25</v>
      </c>
      <c r="I324" s="629">
        <v>23</v>
      </c>
      <c r="J324" s="629">
        <v>210</v>
      </c>
      <c r="K324" s="629">
        <v>16</v>
      </c>
      <c r="L324" s="629">
        <v>14</v>
      </c>
      <c r="M324" s="629">
        <v>6</v>
      </c>
      <c r="N324" s="629">
        <v>4</v>
      </c>
      <c r="AC324" s="282"/>
      <c r="AD324" s="282"/>
      <c r="AE324" s="282"/>
      <c r="AF324" s="282"/>
      <c r="AG324" s="282"/>
      <c r="AH324" s="282"/>
      <c r="AI324" s="282"/>
      <c r="AJ324" s="282"/>
      <c r="AK324" s="282"/>
      <c r="AL324" s="282"/>
      <c r="AM324" s="282"/>
      <c r="AN324" s="282"/>
      <c r="AO324" s="282"/>
    </row>
    <row r="325" spans="1:41" s="263" customFormat="1" ht="9" customHeight="1" x14ac:dyDescent="0.25">
      <c r="A325" s="550" t="s">
        <v>43</v>
      </c>
      <c r="B325" s="629">
        <f t="shared" si="35"/>
        <v>90</v>
      </c>
      <c r="C325" s="629"/>
      <c r="D325" s="629">
        <f t="shared" si="33"/>
        <v>89</v>
      </c>
      <c r="E325" s="629">
        <v>52</v>
      </c>
      <c r="F325" s="629"/>
      <c r="G325" s="629">
        <f t="shared" si="34"/>
        <v>36</v>
      </c>
      <c r="H325" s="629">
        <v>7</v>
      </c>
      <c r="I325" s="629">
        <v>4</v>
      </c>
      <c r="J325" s="629">
        <v>25</v>
      </c>
      <c r="K325" s="629">
        <v>0</v>
      </c>
      <c r="L325" s="629">
        <v>0</v>
      </c>
      <c r="M325" s="629">
        <v>1</v>
      </c>
      <c r="N325" s="629">
        <v>1</v>
      </c>
      <c r="AC325" s="282"/>
      <c r="AD325" s="282"/>
      <c r="AE325" s="282"/>
      <c r="AF325" s="282"/>
      <c r="AG325" s="282"/>
      <c r="AH325" s="282"/>
      <c r="AI325" s="282"/>
      <c r="AJ325" s="282"/>
      <c r="AK325" s="282"/>
      <c r="AL325" s="282"/>
      <c r="AM325" s="282"/>
      <c r="AN325" s="282"/>
      <c r="AO325" s="282"/>
    </row>
    <row r="326" spans="1:41" s="263" customFormat="1" ht="9" customHeight="1" x14ac:dyDescent="0.25">
      <c r="A326" s="550" t="s">
        <v>44</v>
      </c>
      <c r="B326" s="629">
        <f t="shared" si="35"/>
        <v>161</v>
      </c>
      <c r="C326" s="629"/>
      <c r="D326" s="629">
        <f t="shared" si="33"/>
        <v>159</v>
      </c>
      <c r="E326" s="629">
        <v>58</v>
      </c>
      <c r="F326" s="629"/>
      <c r="G326" s="629">
        <f t="shared" si="34"/>
        <v>96</v>
      </c>
      <c r="H326" s="629">
        <v>12</v>
      </c>
      <c r="I326" s="629">
        <v>6</v>
      </c>
      <c r="J326" s="629">
        <v>78</v>
      </c>
      <c r="K326" s="629">
        <v>0</v>
      </c>
      <c r="L326" s="629">
        <v>0</v>
      </c>
      <c r="M326" s="629">
        <v>5</v>
      </c>
      <c r="N326" s="629">
        <v>2</v>
      </c>
      <c r="AC326" s="282"/>
      <c r="AD326" s="282"/>
      <c r="AE326" s="282"/>
      <c r="AF326" s="282"/>
      <c r="AG326" s="282"/>
      <c r="AH326" s="282"/>
      <c r="AI326" s="282"/>
      <c r="AJ326" s="282"/>
      <c r="AK326" s="282"/>
      <c r="AL326" s="282"/>
      <c r="AM326" s="282"/>
      <c r="AN326" s="282"/>
      <c r="AO326" s="282"/>
    </row>
    <row r="327" spans="1:41" s="263" customFormat="1" ht="9" customHeight="1" x14ac:dyDescent="0.25">
      <c r="A327" s="603" t="s">
        <v>45</v>
      </c>
      <c r="B327" s="630">
        <f t="shared" si="35"/>
        <v>245</v>
      </c>
      <c r="C327" s="630"/>
      <c r="D327" s="630">
        <f t="shared" si="33"/>
        <v>240</v>
      </c>
      <c r="E327" s="630">
        <v>170</v>
      </c>
      <c r="F327" s="630"/>
      <c r="G327" s="630">
        <f t="shared" si="34"/>
        <v>60</v>
      </c>
      <c r="H327" s="630">
        <v>8</v>
      </c>
      <c r="I327" s="630">
        <v>10</v>
      </c>
      <c r="J327" s="630">
        <v>42</v>
      </c>
      <c r="K327" s="630">
        <v>0</v>
      </c>
      <c r="L327" s="630">
        <v>10</v>
      </c>
      <c r="M327" s="630">
        <v>0</v>
      </c>
      <c r="N327" s="630">
        <v>5</v>
      </c>
      <c r="AC327" s="282"/>
      <c r="AD327" s="282"/>
      <c r="AE327" s="282"/>
      <c r="AF327" s="282"/>
      <c r="AG327" s="282"/>
      <c r="AH327" s="282"/>
      <c r="AI327" s="282"/>
      <c r="AJ327" s="282"/>
      <c r="AK327" s="282"/>
      <c r="AL327" s="282"/>
      <c r="AM327" s="282"/>
      <c r="AN327" s="282"/>
      <c r="AO327" s="282"/>
    </row>
    <row r="328" spans="1:41" s="263" customFormat="1" ht="9" customHeight="1" x14ac:dyDescent="0.25">
      <c r="A328" s="550" t="s">
        <v>46</v>
      </c>
      <c r="B328" s="629">
        <f t="shared" si="35"/>
        <v>122</v>
      </c>
      <c r="C328" s="629"/>
      <c r="D328" s="629">
        <f t="shared" si="33"/>
        <v>122</v>
      </c>
      <c r="E328" s="629">
        <v>63</v>
      </c>
      <c r="F328" s="629"/>
      <c r="G328" s="629">
        <f t="shared" si="34"/>
        <v>58</v>
      </c>
      <c r="H328" s="629">
        <v>10</v>
      </c>
      <c r="I328" s="629">
        <v>11</v>
      </c>
      <c r="J328" s="629">
        <v>37</v>
      </c>
      <c r="K328" s="629">
        <v>0</v>
      </c>
      <c r="L328" s="629">
        <v>0</v>
      </c>
      <c r="M328" s="629">
        <v>1</v>
      </c>
      <c r="N328" s="629">
        <v>0</v>
      </c>
      <c r="AC328" s="282"/>
      <c r="AD328" s="282"/>
      <c r="AE328" s="282"/>
      <c r="AF328" s="282"/>
      <c r="AG328" s="282"/>
      <c r="AH328" s="282"/>
      <c r="AI328" s="282"/>
      <c r="AJ328" s="282"/>
      <c r="AK328" s="282"/>
      <c r="AL328" s="282"/>
      <c r="AM328" s="282"/>
      <c r="AN328" s="282"/>
      <c r="AO328" s="282"/>
    </row>
    <row r="329" spans="1:41" s="263" customFormat="1" ht="9" customHeight="1" x14ac:dyDescent="0.25">
      <c r="A329" s="550" t="s">
        <v>47</v>
      </c>
      <c r="B329" s="629">
        <f t="shared" si="35"/>
        <v>321</v>
      </c>
      <c r="C329" s="629"/>
      <c r="D329" s="629">
        <f t="shared" si="33"/>
        <v>318</v>
      </c>
      <c r="E329" s="629">
        <v>161</v>
      </c>
      <c r="F329" s="629"/>
      <c r="G329" s="629">
        <f t="shared" si="34"/>
        <v>148</v>
      </c>
      <c r="H329" s="629">
        <v>30</v>
      </c>
      <c r="I329" s="629">
        <v>25</v>
      </c>
      <c r="J329" s="629">
        <v>93</v>
      </c>
      <c r="K329" s="629">
        <v>0</v>
      </c>
      <c r="L329" s="629">
        <v>8</v>
      </c>
      <c r="M329" s="629">
        <v>1</v>
      </c>
      <c r="N329" s="629">
        <v>3</v>
      </c>
      <c r="AC329" s="282"/>
      <c r="AD329" s="282"/>
      <c r="AE329" s="282"/>
      <c r="AF329" s="282"/>
      <c r="AG329" s="282"/>
      <c r="AH329" s="282"/>
      <c r="AI329" s="282"/>
      <c r="AJ329" s="282"/>
      <c r="AK329" s="282"/>
      <c r="AL329" s="282"/>
      <c r="AM329" s="282"/>
      <c r="AN329" s="282"/>
      <c r="AO329" s="282"/>
    </row>
    <row r="330" spans="1:41" s="263" customFormat="1" ht="9" customHeight="1" x14ac:dyDescent="0.25">
      <c r="A330" s="550" t="s">
        <v>48</v>
      </c>
      <c r="B330" s="629">
        <f t="shared" si="35"/>
        <v>139</v>
      </c>
      <c r="C330" s="629"/>
      <c r="D330" s="629">
        <f t="shared" si="33"/>
        <v>139</v>
      </c>
      <c r="E330" s="629">
        <v>71</v>
      </c>
      <c r="F330" s="629"/>
      <c r="G330" s="629">
        <f t="shared" si="34"/>
        <v>67</v>
      </c>
      <c r="H330" s="629">
        <v>13</v>
      </c>
      <c r="I330" s="629">
        <v>7</v>
      </c>
      <c r="J330" s="629">
        <v>47</v>
      </c>
      <c r="K330" s="629">
        <v>1</v>
      </c>
      <c r="L330" s="629">
        <v>0</v>
      </c>
      <c r="M330" s="629">
        <v>0</v>
      </c>
      <c r="N330" s="629">
        <v>0</v>
      </c>
      <c r="AC330" s="282"/>
      <c r="AD330" s="282"/>
      <c r="AE330" s="282"/>
      <c r="AF330" s="282"/>
      <c r="AG330" s="282"/>
      <c r="AH330" s="282"/>
      <c r="AI330" s="282"/>
      <c r="AJ330" s="282"/>
      <c r="AK330" s="282"/>
      <c r="AL330" s="282"/>
      <c r="AM330" s="282"/>
      <c r="AN330" s="282"/>
      <c r="AO330" s="282"/>
    </row>
    <row r="331" spans="1:41" s="263" customFormat="1" ht="9" customHeight="1" x14ac:dyDescent="0.25">
      <c r="A331" s="603" t="s">
        <v>49</v>
      </c>
      <c r="B331" s="630">
        <f t="shared" si="35"/>
        <v>286</v>
      </c>
      <c r="C331" s="630"/>
      <c r="D331" s="630">
        <f t="shared" si="33"/>
        <v>283</v>
      </c>
      <c r="E331" s="630">
        <v>88</v>
      </c>
      <c r="F331" s="630"/>
      <c r="G331" s="630">
        <f t="shared" si="34"/>
        <v>180</v>
      </c>
      <c r="H331" s="630">
        <v>17</v>
      </c>
      <c r="I331" s="630">
        <v>21</v>
      </c>
      <c r="J331" s="630">
        <v>142</v>
      </c>
      <c r="K331" s="630">
        <v>13</v>
      </c>
      <c r="L331" s="630">
        <v>0</v>
      </c>
      <c r="M331" s="630">
        <v>2</v>
      </c>
      <c r="N331" s="630">
        <v>3</v>
      </c>
      <c r="AC331" s="282"/>
      <c r="AD331" s="282"/>
      <c r="AE331" s="282"/>
      <c r="AF331" s="282"/>
      <c r="AG331" s="282"/>
      <c r="AH331" s="282"/>
      <c r="AI331" s="282"/>
      <c r="AJ331" s="282"/>
      <c r="AK331" s="282"/>
      <c r="AL331" s="282"/>
      <c r="AM331" s="282"/>
      <c r="AN331" s="282"/>
      <c r="AO331" s="282"/>
    </row>
    <row r="332" spans="1:41" s="263" customFormat="1" ht="9" customHeight="1" x14ac:dyDescent="0.25">
      <c r="A332" s="550" t="s">
        <v>50</v>
      </c>
      <c r="B332" s="629">
        <f t="shared" si="35"/>
        <v>134</v>
      </c>
      <c r="C332" s="629"/>
      <c r="D332" s="629">
        <f t="shared" si="33"/>
        <v>133</v>
      </c>
      <c r="E332" s="629">
        <v>68</v>
      </c>
      <c r="F332" s="629"/>
      <c r="G332" s="629">
        <f t="shared" si="34"/>
        <v>63</v>
      </c>
      <c r="H332" s="629">
        <v>11</v>
      </c>
      <c r="I332" s="629">
        <v>8</v>
      </c>
      <c r="J332" s="629">
        <v>44</v>
      </c>
      <c r="K332" s="629">
        <v>1</v>
      </c>
      <c r="L332" s="629">
        <v>0</v>
      </c>
      <c r="M332" s="629">
        <v>1</v>
      </c>
      <c r="N332" s="629">
        <v>1</v>
      </c>
      <c r="AC332" s="282"/>
      <c r="AD332" s="282"/>
      <c r="AE332" s="282"/>
      <c r="AF332" s="282"/>
      <c r="AG332" s="282"/>
      <c r="AH332" s="282"/>
      <c r="AI332" s="282"/>
      <c r="AJ332" s="282"/>
      <c r="AK332" s="282"/>
      <c r="AL332" s="282"/>
      <c r="AM332" s="282"/>
      <c r="AN332" s="282"/>
      <c r="AO332" s="282"/>
    </row>
    <row r="333" spans="1:41" s="263" customFormat="1" ht="9" customHeight="1" x14ac:dyDescent="0.25">
      <c r="A333" s="550" t="s">
        <v>51</v>
      </c>
      <c r="B333" s="629">
        <f t="shared" si="35"/>
        <v>470</v>
      </c>
      <c r="C333" s="629"/>
      <c r="D333" s="629">
        <f t="shared" si="33"/>
        <v>460</v>
      </c>
      <c r="E333" s="629">
        <v>204</v>
      </c>
      <c r="F333" s="629"/>
      <c r="G333" s="629">
        <f t="shared" si="34"/>
        <v>252</v>
      </c>
      <c r="H333" s="629">
        <v>62</v>
      </c>
      <c r="I333" s="629">
        <v>35</v>
      </c>
      <c r="J333" s="629">
        <v>155</v>
      </c>
      <c r="K333" s="629">
        <v>0</v>
      </c>
      <c r="L333" s="629">
        <v>0</v>
      </c>
      <c r="M333" s="629">
        <v>4</v>
      </c>
      <c r="N333" s="629">
        <v>10</v>
      </c>
      <c r="AC333" s="282"/>
      <c r="AD333" s="282"/>
      <c r="AE333" s="282"/>
      <c r="AF333" s="282"/>
      <c r="AG333" s="282"/>
      <c r="AH333" s="282"/>
      <c r="AI333" s="282"/>
      <c r="AJ333" s="282"/>
      <c r="AK333" s="282"/>
      <c r="AL333" s="282"/>
      <c r="AM333" s="282"/>
      <c r="AN333" s="282"/>
      <c r="AO333" s="282"/>
    </row>
    <row r="334" spans="1:41" s="263" customFormat="1" ht="9" customHeight="1" x14ac:dyDescent="0.25">
      <c r="A334" s="550" t="s">
        <v>52</v>
      </c>
      <c r="B334" s="629">
        <f t="shared" si="35"/>
        <v>158</v>
      </c>
      <c r="C334" s="629"/>
      <c r="D334" s="629">
        <f t="shared" si="33"/>
        <v>154</v>
      </c>
      <c r="E334" s="629">
        <v>72</v>
      </c>
      <c r="F334" s="629"/>
      <c r="G334" s="629">
        <f t="shared" si="34"/>
        <v>73</v>
      </c>
      <c r="H334" s="629">
        <v>13</v>
      </c>
      <c r="I334" s="629">
        <v>16</v>
      </c>
      <c r="J334" s="629">
        <v>44</v>
      </c>
      <c r="K334" s="629">
        <v>1</v>
      </c>
      <c r="L334" s="629">
        <v>2</v>
      </c>
      <c r="M334" s="629">
        <v>6</v>
      </c>
      <c r="N334" s="629">
        <v>4</v>
      </c>
      <c r="AC334" s="282"/>
      <c r="AD334" s="282"/>
      <c r="AE334" s="282"/>
      <c r="AF334" s="282"/>
      <c r="AG334" s="282"/>
      <c r="AH334" s="282"/>
      <c r="AI334" s="282"/>
      <c r="AJ334" s="282"/>
      <c r="AK334" s="282"/>
      <c r="AL334" s="282"/>
      <c r="AM334" s="282"/>
      <c r="AN334" s="282"/>
      <c r="AO334" s="282"/>
    </row>
    <row r="335" spans="1:41" s="263" customFormat="1" ht="9" customHeight="1" x14ac:dyDescent="0.25">
      <c r="A335" s="267" t="s">
        <v>53</v>
      </c>
      <c r="B335" s="268">
        <f t="shared" si="35"/>
        <v>90</v>
      </c>
      <c r="C335" s="268"/>
      <c r="D335" s="268">
        <f t="shared" si="33"/>
        <v>86</v>
      </c>
      <c r="E335" s="268">
        <v>39</v>
      </c>
      <c r="F335" s="268"/>
      <c r="G335" s="268">
        <f t="shared" si="34"/>
        <v>46</v>
      </c>
      <c r="H335" s="268">
        <v>7</v>
      </c>
      <c r="I335" s="268">
        <v>4</v>
      </c>
      <c r="J335" s="268">
        <v>35</v>
      </c>
      <c r="K335" s="268">
        <v>0</v>
      </c>
      <c r="L335" s="268">
        <v>0</v>
      </c>
      <c r="M335" s="268">
        <v>1</v>
      </c>
      <c r="N335" s="268">
        <v>4</v>
      </c>
      <c r="AC335" s="282"/>
      <c r="AD335" s="282"/>
      <c r="AE335" s="282"/>
      <c r="AF335" s="282"/>
      <c r="AG335" s="282"/>
      <c r="AH335" s="282"/>
      <c r="AI335" s="282"/>
      <c r="AJ335" s="282"/>
      <c r="AK335" s="282"/>
      <c r="AL335" s="282"/>
      <c r="AM335" s="282"/>
      <c r="AN335" s="282"/>
      <c r="AO335" s="282"/>
    </row>
    <row r="336" spans="1:41" ht="9" customHeight="1" x14ac:dyDescent="0.25">
      <c r="B336" s="259"/>
      <c r="C336" s="259"/>
      <c r="D336" s="259"/>
      <c r="E336" s="259"/>
      <c r="F336" s="259"/>
      <c r="G336" s="259"/>
      <c r="H336" s="259"/>
      <c r="I336" s="259"/>
      <c r="J336" s="259"/>
      <c r="K336" s="259"/>
      <c r="L336" s="259"/>
      <c r="AC336" s="282"/>
      <c r="AD336" s="282"/>
      <c r="AE336" s="282"/>
      <c r="AF336" s="282"/>
      <c r="AG336" s="282"/>
      <c r="AH336" s="282"/>
      <c r="AI336" s="282"/>
      <c r="AJ336" s="282"/>
      <c r="AK336" s="282"/>
      <c r="AL336" s="282"/>
      <c r="AM336" s="282"/>
      <c r="AN336" s="282"/>
      <c r="AO336" s="282"/>
    </row>
    <row r="337" spans="1:41" ht="9" customHeight="1" x14ac:dyDescent="0.25">
      <c r="A337" s="601">
        <v>2010</v>
      </c>
      <c r="B337" s="262"/>
      <c r="C337" s="262"/>
      <c r="D337" s="262"/>
      <c r="E337" s="262"/>
      <c r="F337" s="262"/>
      <c r="G337" s="262"/>
      <c r="H337" s="262"/>
      <c r="I337" s="262"/>
      <c r="J337" s="262"/>
      <c r="K337" s="262"/>
      <c r="L337" s="262"/>
      <c r="M337" s="262"/>
      <c r="N337" s="262"/>
      <c r="AC337" s="282"/>
      <c r="AD337" s="282"/>
      <c r="AE337" s="282"/>
      <c r="AF337" s="282"/>
      <c r="AG337" s="282"/>
      <c r="AH337" s="282"/>
      <c r="AI337" s="282"/>
      <c r="AJ337" s="282"/>
      <c r="AK337" s="282"/>
      <c r="AL337" s="282"/>
      <c r="AM337" s="282"/>
      <c r="AN337" s="282"/>
      <c r="AO337" s="282"/>
    </row>
    <row r="338" spans="1:41" s="265" customFormat="1" ht="9" customHeight="1" x14ac:dyDescent="0.25">
      <c r="A338" s="265" t="s">
        <v>21</v>
      </c>
      <c r="B338" s="262">
        <f>SUM(B340:B371)</f>
        <v>13480</v>
      </c>
      <c r="C338" s="262"/>
      <c r="D338" s="262">
        <f>SUM(D340:D371)</f>
        <v>13175</v>
      </c>
      <c r="E338" s="262">
        <f>SUM(E340:E371)</f>
        <v>4536</v>
      </c>
      <c r="F338" s="262"/>
      <c r="G338" s="262">
        <f t="shared" ref="G338:M338" si="36">SUM(G340:G371)</f>
        <v>7024</v>
      </c>
      <c r="H338" s="262">
        <f t="shared" si="36"/>
        <v>1117</v>
      </c>
      <c r="I338" s="262">
        <f t="shared" si="36"/>
        <v>965</v>
      </c>
      <c r="J338" s="262">
        <f t="shared" si="36"/>
        <v>4942</v>
      </c>
      <c r="K338" s="262">
        <f t="shared" si="36"/>
        <v>359</v>
      </c>
      <c r="L338" s="262">
        <f t="shared" si="36"/>
        <v>1016</v>
      </c>
      <c r="M338" s="262">
        <f t="shared" si="36"/>
        <v>240</v>
      </c>
      <c r="N338" s="262">
        <f>SUM(N340:N371)</f>
        <v>305</v>
      </c>
      <c r="AC338" s="282"/>
      <c r="AD338" s="282"/>
      <c r="AE338" s="282"/>
      <c r="AF338" s="282"/>
      <c r="AG338" s="282"/>
      <c r="AH338" s="282"/>
      <c r="AI338" s="282"/>
      <c r="AJ338" s="282"/>
      <c r="AK338" s="282"/>
      <c r="AL338" s="282"/>
      <c r="AM338" s="282"/>
      <c r="AN338" s="282"/>
      <c r="AO338" s="282"/>
    </row>
    <row r="339" spans="1:41" s="265" customFormat="1" ht="3" customHeight="1" x14ac:dyDescent="0.25">
      <c r="B339" s="262"/>
      <c r="C339" s="262"/>
      <c r="D339" s="262"/>
      <c r="E339" s="262"/>
      <c r="F339" s="262"/>
      <c r="G339" s="262"/>
      <c r="H339" s="262"/>
      <c r="I339" s="262"/>
      <c r="J339" s="262"/>
      <c r="K339" s="262"/>
      <c r="L339" s="262"/>
      <c r="M339" s="262"/>
      <c r="N339" s="262"/>
      <c r="AC339" s="282"/>
      <c r="AD339" s="282"/>
      <c r="AE339" s="282"/>
      <c r="AF339" s="282"/>
      <c r="AG339" s="282"/>
      <c r="AH339" s="282"/>
      <c r="AI339" s="282"/>
      <c r="AJ339" s="282"/>
      <c r="AK339" s="282"/>
      <c r="AL339" s="282"/>
      <c r="AM339" s="282"/>
      <c r="AN339" s="282"/>
      <c r="AO339" s="282"/>
    </row>
    <row r="340" spans="1:41" s="263" customFormat="1" ht="9" customHeight="1" x14ac:dyDescent="0.25">
      <c r="A340" s="550" t="s">
        <v>23</v>
      </c>
      <c r="B340" s="629">
        <f>SUM(D340+N340)</f>
        <v>91</v>
      </c>
      <c r="C340" s="629"/>
      <c r="D340" s="629">
        <f t="shared" ref="D340:D371" si="37">SUM(E340+G340+K340+L340+M340)</f>
        <v>90</v>
      </c>
      <c r="E340" s="629">
        <v>15</v>
      </c>
      <c r="F340" s="629"/>
      <c r="G340" s="629">
        <f>SUM(H340:J340)</f>
        <v>61</v>
      </c>
      <c r="H340" s="629">
        <v>9</v>
      </c>
      <c r="I340" s="629">
        <v>8</v>
      </c>
      <c r="J340" s="629">
        <v>44</v>
      </c>
      <c r="K340" s="629">
        <v>11</v>
      </c>
      <c r="L340" s="629">
        <v>0</v>
      </c>
      <c r="M340" s="629">
        <v>3</v>
      </c>
      <c r="N340" s="629">
        <v>1</v>
      </c>
      <c r="AC340" s="282"/>
      <c r="AD340" s="282"/>
      <c r="AE340" s="282"/>
      <c r="AF340" s="282"/>
      <c r="AG340" s="282"/>
      <c r="AH340" s="282"/>
      <c r="AI340" s="282"/>
      <c r="AJ340" s="282"/>
      <c r="AK340" s="282"/>
      <c r="AL340" s="282"/>
      <c r="AM340" s="282"/>
      <c r="AN340" s="282"/>
      <c r="AO340" s="282"/>
    </row>
    <row r="341" spans="1:41" s="263" customFormat="1" ht="9" customHeight="1" x14ac:dyDescent="0.25">
      <c r="A341" s="550" t="s">
        <v>24</v>
      </c>
      <c r="B341" s="629">
        <f>SUM(D341+N341)</f>
        <v>181</v>
      </c>
      <c r="C341" s="629"/>
      <c r="D341" s="629">
        <f t="shared" si="37"/>
        <v>181</v>
      </c>
      <c r="E341" s="629">
        <v>112</v>
      </c>
      <c r="F341" s="629"/>
      <c r="G341" s="629">
        <f>SUM(H341:J341)</f>
        <v>65</v>
      </c>
      <c r="H341" s="629">
        <v>17</v>
      </c>
      <c r="I341" s="629">
        <v>8</v>
      </c>
      <c r="J341" s="629">
        <v>40</v>
      </c>
      <c r="K341" s="629">
        <v>3</v>
      </c>
      <c r="L341" s="629">
        <v>0</v>
      </c>
      <c r="M341" s="629">
        <v>1</v>
      </c>
      <c r="N341" s="629">
        <v>0</v>
      </c>
      <c r="AC341" s="282"/>
      <c r="AD341" s="282"/>
      <c r="AE341" s="282"/>
      <c r="AF341" s="282"/>
      <c r="AG341" s="282"/>
      <c r="AH341" s="282"/>
      <c r="AI341" s="282"/>
      <c r="AJ341" s="282"/>
      <c r="AK341" s="282"/>
      <c r="AL341" s="282"/>
      <c r="AM341" s="282"/>
      <c r="AN341" s="282"/>
      <c r="AO341" s="282"/>
    </row>
    <row r="342" spans="1:41" s="263" customFormat="1" ht="9" customHeight="1" x14ac:dyDescent="0.25">
      <c r="A342" s="550" t="s">
        <v>25</v>
      </c>
      <c r="B342" s="629">
        <f>SUM(D342+N342)</f>
        <v>44</v>
      </c>
      <c r="C342" s="629"/>
      <c r="D342" s="629">
        <f t="shared" si="37"/>
        <v>43</v>
      </c>
      <c r="E342" s="629">
        <v>25</v>
      </c>
      <c r="F342" s="629"/>
      <c r="G342" s="629">
        <f t="shared" ref="G342:G371" si="38">SUM(H342:J342)</f>
        <v>18</v>
      </c>
      <c r="H342" s="629">
        <v>2</v>
      </c>
      <c r="I342" s="629">
        <v>1</v>
      </c>
      <c r="J342" s="629">
        <v>15</v>
      </c>
      <c r="K342" s="629">
        <v>0</v>
      </c>
      <c r="L342" s="629">
        <v>0</v>
      </c>
      <c r="M342" s="629">
        <v>0</v>
      </c>
      <c r="N342" s="629">
        <v>1</v>
      </c>
      <c r="AC342" s="282"/>
      <c r="AD342" s="282"/>
      <c r="AE342" s="282"/>
      <c r="AF342" s="282"/>
      <c r="AG342" s="282"/>
      <c r="AH342" s="282"/>
      <c r="AI342" s="282"/>
      <c r="AJ342" s="282"/>
      <c r="AK342" s="282"/>
      <c r="AL342" s="282"/>
      <c r="AM342" s="282"/>
      <c r="AN342" s="282"/>
      <c r="AO342" s="282"/>
    </row>
    <row r="343" spans="1:41" s="263" customFormat="1" ht="9" customHeight="1" x14ac:dyDescent="0.25">
      <c r="A343" s="603" t="s">
        <v>26</v>
      </c>
      <c r="B343" s="630">
        <f>SUM(D343+N343)</f>
        <v>21</v>
      </c>
      <c r="C343" s="630"/>
      <c r="D343" s="630">
        <f t="shared" si="37"/>
        <v>21</v>
      </c>
      <c r="E343" s="630">
        <v>17</v>
      </c>
      <c r="F343" s="630"/>
      <c r="G343" s="630">
        <f t="shared" si="38"/>
        <v>4</v>
      </c>
      <c r="H343" s="630">
        <v>4</v>
      </c>
      <c r="I343" s="630">
        <v>0</v>
      </c>
      <c r="J343" s="630">
        <v>0</v>
      </c>
      <c r="K343" s="630">
        <v>0</v>
      </c>
      <c r="L343" s="630">
        <v>0</v>
      </c>
      <c r="M343" s="630">
        <v>0</v>
      </c>
      <c r="N343" s="630">
        <v>0</v>
      </c>
      <c r="AC343" s="282"/>
      <c r="AD343" s="282"/>
      <c r="AE343" s="282"/>
      <c r="AF343" s="282"/>
      <c r="AG343" s="282"/>
      <c r="AH343" s="282"/>
      <c r="AI343" s="282"/>
      <c r="AJ343" s="282"/>
      <c r="AK343" s="282"/>
      <c r="AL343" s="282"/>
      <c r="AM343" s="282"/>
      <c r="AN343" s="282"/>
      <c r="AO343" s="282"/>
    </row>
    <row r="344" spans="1:41" s="263" customFormat="1" ht="9" customHeight="1" x14ac:dyDescent="0.25">
      <c r="A344" s="550" t="s">
        <v>27</v>
      </c>
      <c r="B344" s="629">
        <f t="shared" ref="B344:B371" si="39">SUM(D344+N344)</f>
        <v>139</v>
      </c>
      <c r="C344" s="629"/>
      <c r="D344" s="629">
        <f t="shared" si="37"/>
        <v>137</v>
      </c>
      <c r="E344" s="629">
        <v>31</v>
      </c>
      <c r="F344" s="629"/>
      <c r="G344" s="629">
        <f t="shared" si="38"/>
        <v>105</v>
      </c>
      <c r="H344" s="629">
        <v>13</v>
      </c>
      <c r="I344" s="629">
        <v>7</v>
      </c>
      <c r="J344" s="629">
        <v>85</v>
      </c>
      <c r="K344" s="629">
        <v>0</v>
      </c>
      <c r="L344" s="629">
        <v>0</v>
      </c>
      <c r="M344" s="629">
        <v>1</v>
      </c>
      <c r="N344" s="629">
        <v>2</v>
      </c>
      <c r="AC344" s="282"/>
      <c r="AD344" s="282"/>
      <c r="AE344" s="282"/>
      <c r="AF344" s="282"/>
      <c r="AG344" s="282"/>
      <c r="AH344" s="282"/>
      <c r="AI344" s="282"/>
      <c r="AJ344" s="282"/>
      <c r="AK344" s="282"/>
      <c r="AL344" s="282"/>
      <c r="AM344" s="282"/>
      <c r="AN344" s="282"/>
      <c r="AO344" s="282"/>
    </row>
    <row r="345" spans="1:41" s="263" customFormat="1" ht="9" customHeight="1" x14ac:dyDescent="0.25">
      <c r="A345" s="550" t="s">
        <v>28</v>
      </c>
      <c r="B345" s="629">
        <f t="shared" si="39"/>
        <v>33</v>
      </c>
      <c r="C345" s="629"/>
      <c r="D345" s="629">
        <f t="shared" si="37"/>
        <v>32</v>
      </c>
      <c r="E345" s="629">
        <v>27</v>
      </c>
      <c r="F345" s="629"/>
      <c r="G345" s="629">
        <f t="shared" si="38"/>
        <v>5</v>
      </c>
      <c r="H345" s="629">
        <v>1</v>
      </c>
      <c r="I345" s="629">
        <v>1</v>
      </c>
      <c r="J345" s="629">
        <v>3</v>
      </c>
      <c r="K345" s="629">
        <v>0</v>
      </c>
      <c r="L345" s="629">
        <v>0</v>
      </c>
      <c r="M345" s="629">
        <v>0</v>
      </c>
      <c r="N345" s="629">
        <v>1</v>
      </c>
      <c r="AC345" s="282"/>
      <c r="AD345" s="282"/>
      <c r="AE345" s="282"/>
      <c r="AF345" s="282"/>
      <c r="AG345" s="282"/>
      <c r="AH345" s="282"/>
      <c r="AI345" s="282"/>
      <c r="AJ345" s="282"/>
      <c r="AK345" s="282"/>
      <c r="AL345" s="282"/>
      <c r="AM345" s="282"/>
      <c r="AN345" s="282"/>
      <c r="AO345" s="282"/>
    </row>
    <row r="346" spans="1:41" s="263" customFormat="1" ht="9" customHeight="1" x14ac:dyDescent="0.25">
      <c r="A346" s="550" t="s">
        <v>29</v>
      </c>
      <c r="B346" s="629">
        <f t="shared" si="39"/>
        <v>178</v>
      </c>
      <c r="C346" s="629"/>
      <c r="D346" s="629">
        <f t="shared" si="37"/>
        <v>173</v>
      </c>
      <c r="E346" s="629">
        <v>100</v>
      </c>
      <c r="F346" s="629"/>
      <c r="G346" s="629">
        <f t="shared" si="38"/>
        <v>66</v>
      </c>
      <c r="H346" s="629">
        <v>12</v>
      </c>
      <c r="I346" s="629">
        <v>9</v>
      </c>
      <c r="J346" s="629">
        <v>45</v>
      </c>
      <c r="K346" s="629">
        <v>0</v>
      </c>
      <c r="L346" s="629">
        <v>0</v>
      </c>
      <c r="M346" s="629">
        <v>7</v>
      </c>
      <c r="N346" s="629">
        <v>5</v>
      </c>
      <c r="AC346" s="282"/>
      <c r="AD346" s="282"/>
      <c r="AE346" s="282"/>
      <c r="AF346" s="282"/>
      <c r="AG346" s="282"/>
      <c r="AH346" s="282"/>
      <c r="AI346" s="282"/>
      <c r="AJ346" s="282"/>
      <c r="AK346" s="282"/>
      <c r="AL346" s="282"/>
      <c r="AM346" s="282"/>
      <c r="AN346" s="282"/>
      <c r="AO346" s="282"/>
    </row>
    <row r="347" spans="1:41" s="263" customFormat="1" ht="9" customHeight="1" x14ac:dyDescent="0.25">
      <c r="A347" s="603" t="s">
        <v>30</v>
      </c>
      <c r="B347" s="630">
        <f t="shared" si="39"/>
        <v>520</v>
      </c>
      <c r="C347" s="630"/>
      <c r="D347" s="630">
        <f t="shared" si="37"/>
        <v>517</v>
      </c>
      <c r="E347" s="630">
        <v>137</v>
      </c>
      <c r="F347" s="630"/>
      <c r="G347" s="630">
        <f t="shared" si="38"/>
        <v>350</v>
      </c>
      <c r="H347" s="630">
        <v>39</v>
      </c>
      <c r="I347" s="630">
        <v>31</v>
      </c>
      <c r="J347" s="630">
        <v>280</v>
      </c>
      <c r="K347" s="630">
        <v>8</v>
      </c>
      <c r="L347" s="630">
        <v>18</v>
      </c>
      <c r="M347" s="630">
        <v>4</v>
      </c>
      <c r="N347" s="630">
        <v>3</v>
      </c>
      <c r="AC347" s="282"/>
      <c r="AD347" s="282"/>
      <c r="AE347" s="282"/>
      <c r="AF347" s="282"/>
      <c r="AG347" s="282"/>
      <c r="AH347" s="282"/>
      <c r="AI347" s="282"/>
      <c r="AJ347" s="282"/>
      <c r="AK347" s="282"/>
      <c r="AL347" s="282"/>
      <c r="AM347" s="282"/>
      <c r="AN347" s="282"/>
      <c r="AO347" s="282"/>
    </row>
    <row r="348" spans="1:41" s="263" customFormat="1" ht="9" customHeight="1" x14ac:dyDescent="0.25">
      <c r="A348" s="550" t="s">
        <v>63</v>
      </c>
      <c r="B348" s="629">
        <f t="shared" si="39"/>
        <v>3273</v>
      </c>
      <c r="C348" s="629"/>
      <c r="D348" s="629">
        <f t="shared" si="37"/>
        <v>3175</v>
      </c>
      <c r="E348" s="629">
        <v>591</v>
      </c>
      <c r="F348" s="629"/>
      <c r="G348" s="629">
        <f t="shared" si="38"/>
        <v>1725</v>
      </c>
      <c r="H348" s="629">
        <v>214</v>
      </c>
      <c r="I348" s="629">
        <v>253</v>
      </c>
      <c r="J348" s="629">
        <v>1258</v>
      </c>
      <c r="K348" s="629">
        <v>162</v>
      </c>
      <c r="L348" s="629">
        <v>641</v>
      </c>
      <c r="M348" s="629">
        <v>56</v>
      </c>
      <c r="N348" s="629">
        <v>98</v>
      </c>
      <c r="AC348" s="282"/>
      <c r="AD348" s="282"/>
      <c r="AE348" s="282"/>
      <c r="AF348" s="282"/>
      <c r="AG348" s="282"/>
      <c r="AH348" s="282"/>
      <c r="AI348" s="282"/>
      <c r="AJ348" s="282"/>
      <c r="AK348" s="282"/>
      <c r="AL348" s="282"/>
      <c r="AM348" s="282"/>
      <c r="AN348" s="282"/>
      <c r="AO348" s="282"/>
    </row>
    <row r="349" spans="1:41" s="263" customFormat="1" ht="9" customHeight="1" x14ac:dyDescent="0.25">
      <c r="A349" s="550" t="s">
        <v>31</v>
      </c>
      <c r="B349" s="629">
        <f t="shared" si="39"/>
        <v>155</v>
      </c>
      <c r="C349" s="629"/>
      <c r="D349" s="629">
        <f t="shared" si="37"/>
        <v>155</v>
      </c>
      <c r="E349" s="629">
        <v>52</v>
      </c>
      <c r="F349" s="629"/>
      <c r="G349" s="629">
        <f t="shared" si="38"/>
        <v>97</v>
      </c>
      <c r="H349" s="629">
        <v>16</v>
      </c>
      <c r="I349" s="629">
        <v>15</v>
      </c>
      <c r="J349" s="629">
        <v>66</v>
      </c>
      <c r="K349" s="629">
        <v>1</v>
      </c>
      <c r="L349" s="629">
        <v>5</v>
      </c>
      <c r="M349" s="629">
        <v>0</v>
      </c>
      <c r="N349" s="629">
        <v>0</v>
      </c>
      <c r="AC349" s="282"/>
      <c r="AD349" s="282"/>
      <c r="AE349" s="282"/>
      <c r="AF349" s="282"/>
      <c r="AG349" s="282"/>
      <c r="AH349" s="282"/>
      <c r="AI349" s="282"/>
      <c r="AJ349" s="282"/>
      <c r="AK349" s="282"/>
      <c r="AL349" s="282"/>
      <c r="AM349" s="282"/>
      <c r="AN349" s="282"/>
      <c r="AO349" s="282"/>
    </row>
    <row r="350" spans="1:41" s="263" customFormat="1" ht="9" customHeight="1" x14ac:dyDescent="0.25">
      <c r="A350" s="550" t="s">
        <v>32</v>
      </c>
      <c r="B350" s="629">
        <f t="shared" si="39"/>
        <v>440</v>
      </c>
      <c r="C350" s="629"/>
      <c r="D350" s="629">
        <f t="shared" si="37"/>
        <v>423</v>
      </c>
      <c r="E350" s="629">
        <v>202</v>
      </c>
      <c r="F350" s="629"/>
      <c r="G350" s="629">
        <f t="shared" si="38"/>
        <v>204</v>
      </c>
      <c r="H350" s="629">
        <v>41</v>
      </c>
      <c r="I350" s="629">
        <v>31</v>
      </c>
      <c r="J350" s="629">
        <v>132</v>
      </c>
      <c r="K350" s="629">
        <v>6</v>
      </c>
      <c r="L350" s="629">
        <v>8</v>
      </c>
      <c r="M350" s="629">
        <v>3</v>
      </c>
      <c r="N350" s="629">
        <v>17</v>
      </c>
      <c r="AC350" s="282"/>
      <c r="AD350" s="282"/>
      <c r="AE350" s="282"/>
      <c r="AF350" s="282"/>
      <c r="AG350" s="282"/>
      <c r="AH350" s="282"/>
      <c r="AI350" s="282"/>
      <c r="AJ350" s="282"/>
      <c r="AK350" s="282"/>
      <c r="AL350" s="282"/>
      <c r="AM350" s="282"/>
      <c r="AN350" s="282"/>
      <c r="AO350" s="282"/>
    </row>
    <row r="351" spans="1:41" s="263" customFormat="1" ht="9" customHeight="1" x14ac:dyDescent="0.25">
      <c r="A351" s="603" t="s">
        <v>33</v>
      </c>
      <c r="B351" s="630">
        <f t="shared" si="39"/>
        <v>377</v>
      </c>
      <c r="C351" s="630"/>
      <c r="D351" s="630">
        <f t="shared" si="37"/>
        <v>374</v>
      </c>
      <c r="E351" s="630">
        <v>111</v>
      </c>
      <c r="F351" s="630"/>
      <c r="G351" s="630">
        <f t="shared" si="38"/>
        <v>252</v>
      </c>
      <c r="H351" s="630">
        <v>43</v>
      </c>
      <c r="I351" s="630">
        <v>37</v>
      </c>
      <c r="J351" s="630">
        <v>172</v>
      </c>
      <c r="K351" s="630">
        <v>0</v>
      </c>
      <c r="L351" s="630">
        <v>0</v>
      </c>
      <c r="M351" s="630">
        <v>11</v>
      </c>
      <c r="N351" s="630">
        <v>3</v>
      </c>
      <c r="AC351" s="282"/>
      <c r="AD351" s="282"/>
      <c r="AE351" s="282"/>
      <c r="AF351" s="282"/>
      <c r="AG351" s="282"/>
      <c r="AH351" s="282"/>
      <c r="AI351" s="282"/>
      <c r="AJ351" s="282"/>
      <c r="AK351" s="282"/>
      <c r="AL351" s="282"/>
      <c r="AM351" s="282"/>
      <c r="AN351" s="282"/>
      <c r="AO351" s="282"/>
    </row>
    <row r="352" spans="1:41" s="263" customFormat="1" ht="9" customHeight="1" x14ac:dyDescent="0.25">
      <c r="A352" s="550" t="s">
        <v>34</v>
      </c>
      <c r="B352" s="629">
        <f t="shared" si="39"/>
        <v>826</v>
      </c>
      <c r="C352" s="629"/>
      <c r="D352" s="629">
        <f t="shared" si="37"/>
        <v>817</v>
      </c>
      <c r="E352" s="629">
        <v>220</v>
      </c>
      <c r="F352" s="629"/>
      <c r="G352" s="629">
        <f t="shared" si="38"/>
        <v>572</v>
      </c>
      <c r="H352" s="629">
        <v>99</v>
      </c>
      <c r="I352" s="629">
        <v>77</v>
      </c>
      <c r="J352" s="629">
        <v>396</v>
      </c>
      <c r="K352" s="629">
        <v>4</v>
      </c>
      <c r="L352" s="629">
        <v>1</v>
      </c>
      <c r="M352" s="629">
        <v>20</v>
      </c>
      <c r="N352" s="629">
        <v>9</v>
      </c>
      <c r="AC352" s="282"/>
      <c r="AD352" s="282"/>
      <c r="AE352" s="282"/>
      <c r="AF352" s="282"/>
      <c r="AG352" s="282"/>
      <c r="AH352" s="282"/>
      <c r="AI352" s="282"/>
      <c r="AJ352" s="282"/>
      <c r="AK352" s="282"/>
      <c r="AL352" s="282"/>
      <c r="AM352" s="282"/>
      <c r="AN352" s="282"/>
      <c r="AO352" s="282"/>
    </row>
    <row r="353" spans="1:41" s="263" customFormat="1" ht="9" customHeight="1" x14ac:dyDescent="0.25">
      <c r="A353" s="550" t="s">
        <v>35</v>
      </c>
      <c r="B353" s="629">
        <f t="shared" si="39"/>
        <v>947</v>
      </c>
      <c r="C353" s="629"/>
      <c r="D353" s="629">
        <f t="shared" si="37"/>
        <v>915</v>
      </c>
      <c r="E353" s="629">
        <v>223</v>
      </c>
      <c r="F353" s="629"/>
      <c r="G353" s="629">
        <f t="shared" si="38"/>
        <v>551</v>
      </c>
      <c r="H353" s="629">
        <v>92</v>
      </c>
      <c r="I353" s="629">
        <v>73</v>
      </c>
      <c r="J353" s="629">
        <v>386</v>
      </c>
      <c r="K353" s="629">
        <v>23</v>
      </c>
      <c r="L353" s="629">
        <v>107</v>
      </c>
      <c r="M353" s="629">
        <v>11</v>
      </c>
      <c r="N353" s="629">
        <v>32</v>
      </c>
      <c r="AC353" s="282"/>
      <c r="AD353" s="282"/>
      <c r="AE353" s="282"/>
      <c r="AF353" s="282"/>
      <c r="AG353" s="282"/>
      <c r="AH353" s="282"/>
      <c r="AI353" s="282"/>
      <c r="AJ353" s="282"/>
      <c r="AK353" s="282"/>
      <c r="AL353" s="282"/>
      <c r="AM353" s="282"/>
      <c r="AN353" s="282"/>
      <c r="AO353" s="282"/>
    </row>
    <row r="354" spans="1:41" s="263" customFormat="1" ht="9" customHeight="1" x14ac:dyDescent="0.25">
      <c r="A354" s="550" t="s">
        <v>36</v>
      </c>
      <c r="B354" s="629">
        <f t="shared" si="39"/>
        <v>1988</v>
      </c>
      <c r="C354" s="629"/>
      <c r="D354" s="629">
        <f t="shared" si="37"/>
        <v>1966</v>
      </c>
      <c r="E354" s="629">
        <v>864</v>
      </c>
      <c r="F354" s="629"/>
      <c r="G354" s="629">
        <f t="shared" si="38"/>
        <v>969</v>
      </c>
      <c r="H354" s="629">
        <v>160</v>
      </c>
      <c r="I354" s="629">
        <v>154</v>
      </c>
      <c r="J354" s="629">
        <v>655</v>
      </c>
      <c r="K354" s="629">
        <v>38</v>
      </c>
      <c r="L354" s="629">
        <v>49</v>
      </c>
      <c r="M354" s="629">
        <v>46</v>
      </c>
      <c r="N354" s="629">
        <v>22</v>
      </c>
      <c r="AC354" s="282"/>
      <c r="AD354" s="282"/>
      <c r="AE354" s="282"/>
      <c r="AF354" s="282"/>
      <c r="AG354" s="282"/>
      <c r="AH354" s="282"/>
      <c r="AI354" s="282"/>
      <c r="AJ354" s="282"/>
      <c r="AK354" s="282"/>
      <c r="AL354" s="282"/>
      <c r="AM354" s="282"/>
      <c r="AN354" s="282"/>
      <c r="AO354" s="282"/>
    </row>
    <row r="355" spans="1:41" s="263" customFormat="1" ht="9" customHeight="1" x14ac:dyDescent="0.25">
      <c r="A355" s="603" t="s">
        <v>37</v>
      </c>
      <c r="B355" s="630">
        <f t="shared" si="39"/>
        <v>536</v>
      </c>
      <c r="C355" s="630"/>
      <c r="D355" s="630">
        <f t="shared" si="37"/>
        <v>535</v>
      </c>
      <c r="E355" s="630">
        <v>231</v>
      </c>
      <c r="F355" s="630"/>
      <c r="G355" s="630">
        <f t="shared" si="38"/>
        <v>263</v>
      </c>
      <c r="H355" s="630">
        <v>48</v>
      </c>
      <c r="I355" s="630">
        <v>35</v>
      </c>
      <c r="J355" s="630">
        <v>180</v>
      </c>
      <c r="K355" s="630">
        <v>11</v>
      </c>
      <c r="L355" s="630">
        <v>23</v>
      </c>
      <c r="M355" s="630">
        <v>7</v>
      </c>
      <c r="N355" s="630">
        <v>1</v>
      </c>
      <c r="AC355" s="282"/>
      <c r="AD355" s="282"/>
      <c r="AE355" s="282"/>
      <c r="AF355" s="282"/>
      <c r="AG355" s="282"/>
      <c r="AH355" s="282"/>
      <c r="AI355" s="282"/>
      <c r="AJ355" s="282"/>
      <c r="AK355" s="282"/>
      <c r="AL355" s="282"/>
      <c r="AM355" s="282"/>
      <c r="AN355" s="282"/>
      <c r="AO355" s="282"/>
    </row>
    <row r="356" spans="1:41" s="263" customFormat="1" ht="9" customHeight="1" x14ac:dyDescent="0.25">
      <c r="A356" s="550" t="s">
        <v>38</v>
      </c>
      <c r="B356" s="629">
        <f t="shared" si="39"/>
        <v>152</v>
      </c>
      <c r="C356" s="629"/>
      <c r="D356" s="629">
        <f t="shared" si="37"/>
        <v>149</v>
      </c>
      <c r="E356" s="629">
        <v>77</v>
      </c>
      <c r="F356" s="629"/>
      <c r="G356" s="629">
        <f t="shared" si="38"/>
        <v>70</v>
      </c>
      <c r="H356" s="629">
        <v>15</v>
      </c>
      <c r="I356" s="629">
        <v>8</v>
      </c>
      <c r="J356" s="629">
        <v>47</v>
      </c>
      <c r="K356" s="629">
        <v>1</v>
      </c>
      <c r="L356" s="629">
        <v>0</v>
      </c>
      <c r="M356" s="629">
        <v>1</v>
      </c>
      <c r="N356" s="629">
        <v>3</v>
      </c>
      <c r="AC356" s="282"/>
      <c r="AD356" s="282"/>
      <c r="AE356" s="282"/>
      <c r="AF356" s="282"/>
      <c r="AG356" s="282"/>
      <c r="AH356" s="282"/>
      <c r="AI356" s="282"/>
      <c r="AJ356" s="282"/>
      <c r="AK356" s="282"/>
      <c r="AL356" s="282"/>
      <c r="AM356" s="282"/>
      <c r="AN356" s="282"/>
      <c r="AO356" s="282"/>
    </row>
    <row r="357" spans="1:41" s="263" customFormat="1" ht="9" customHeight="1" x14ac:dyDescent="0.25">
      <c r="A357" s="550" t="s">
        <v>39</v>
      </c>
      <c r="B357" s="629">
        <f t="shared" si="39"/>
        <v>58</v>
      </c>
      <c r="C357" s="629"/>
      <c r="D357" s="629">
        <f t="shared" si="37"/>
        <v>58</v>
      </c>
      <c r="E357" s="629">
        <v>27</v>
      </c>
      <c r="F357" s="629"/>
      <c r="G357" s="629">
        <f t="shared" si="38"/>
        <v>31</v>
      </c>
      <c r="H357" s="629">
        <v>7</v>
      </c>
      <c r="I357" s="629">
        <v>5</v>
      </c>
      <c r="J357" s="629">
        <v>19</v>
      </c>
      <c r="K357" s="629">
        <v>0</v>
      </c>
      <c r="L357" s="629">
        <v>0</v>
      </c>
      <c r="M357" s="629">
        <v>0</v>
      </c>
      <c r="N357" s="629">
        <v>0</v>
      </c>
      <c r="AC357" s="282"/>
      <c r="AD357" s="282"/>
      <c r="AE357" s="282"/>
      <c r="AF357" s="282"/>
      <c r="AG357" s="282"/>
      <c r="AH357" s="282"/>
      <c r="AI357" s="282"/>
      <c r="AJ357" s="282"/>
      <c r="AK357" s="282"/>
      <c r="AL357" s="282"/>
      <c r="AM357" s="282"/>
      <c r="AN357" s="282"/>
      <c r="AO357" s="282"/>
    </row>
    <row r="358" spans="1:41" s="263" customFormat="1" ht="9" customHeight="1" x14ac:dyDescent="0.25">
      <c r="A358" s="550" t="s">
        <v>40</v>
      </c>
      <c r="B358" s="629">
        <f t="shared" si="39"/>
        <v>607</v>
      </c>
      <c r="C358" s="629"/>
      <c r="D358" s="629">
        <f t="shared" si="37"/>
        <v>572</v>
      </c>
      <c r="E358" s="629">
        <v>89</v>
      </c>
      <c r="F358" s="629"/>
      <c r="G358" s="629">
        <f t="shared" si="38"/>
        <v>298</v>
      </c>
      <c r="H358" s="629">
        <v>49</v>
      </c>
      <c r="I358" s="629">
        <v>49</v>
      </c>
      <c r="J358" s="629">
        <v>200</v>
      </c>
      <c r="K358" s="629">
        <v>41</v>
      </c>
      <c r="L358" s="629">
        <v>121</v>
      </c>
      <c r="M358" s="629">
        <v>23</v>
      </c>
      <c r="N358" s="629">
        <v>35</v>
      </c>
      <c r="AC358" s="282"/>
      <c r="AD358" s="282"/>
      <c r="AE358" s="282"/>
      <c r="AF358" s="282"/>
      <c r="AG358" s="282"/>
      <c r="AH358" s="282"/>
      <c r="AI358" s="282"/>
      <c r="AJ358" s="282"/>
      <c r="AK358" s="282"/>
      <c r="AL358" s="282"/>
      <c r="AM358" s="282"/>
      <c r="AN358" s="282"/>
      <c r="AO358" s="282"/>
    </row>
    <row r="359" spans="1:41" s="263" customFormat="1" ht="9" customHeight="1" x14ac:dyDescent="0.25">
      <c r="A359" s="603" t="s">
        <v>41</v>
      </c>
      <c r="B359" s="630">
        <f t="shared" si="39"/>
        <v>178</v>
      </c>
      <c r="C359" s="630"/>
      <c r="D359" s="630">
        <f t="shared" si="37"/>
        <v>169</v>
      </c>
      <c r="E359" s="630">
        <v>85</v>
      </c>
      <c r="F359" s="630"/>
      <c r="G359" s="630">
        <f t="shared" si="38"/>
        <v>68</v>
      </c>
      <c r="H359" s="630">
        <v>11</v>
      </c>
      <c r="I359" s="630">
        <v>10</v>
      </c>
      <c r="J359" s="630">
        <v>47</v>
      </c>
      <c r="K359" s="630">
        <v>0</v>
      </c>
      <c r="L359" s="630">
        <v>0</v>
      </c>
      <c r="M359" s="630">
        <v>16</v>
      </c>
      <c r="N359" s="630">
        <v>9</v>
      </c>
      <c r="AC359" s="282"/>
      <c r="AD359" s="282"/>
      <c r="AE359" s="282"/>
      <c r="AF359" s="282"/>
      <c r="AG359" s="282"/>
      <c r="AH359" s="282"/>
      <c r="AI359" s="282"/>
      <c r="AJ359" s="282"/>
      <c r="AK359" s="282"/>
      <c r="AL359" s="282"/>
      <c r="AM359" s="282"/>
      <c r="AN359" s="282"/>
      <c r="AO359" s="282"/>
    </row>
    <row r="360" spans="1:41" s="263" customFormat="1" ht="9" customHeight="1" x14ac:dyDescent="0.25">
      <c r="A360" s="550" t="s">
        <v>42</v>
      </c>
      <c r="B360" s="629">
        <f t="shared" si="39"/>
        <v>499</v>
      </c>
      <c r="C360" s="629"/>
      <c r="D360" s="629">
        <f t="shared" si="37"/>
        <v>491</v>
      </c>
      <c r="E360" s="629">
        <v>203</v>
      </c>
      <c r="F360" s="629"/>
      <c r="G360" s="629">
        <f t="shared" si="38"/>
        <v>242</v>
      </c>
      <c r="H360" s="629">
        <v>28</v>
      </c>
      <c r="I360" s="629">
        <v>23</v>
      </c>
      <c r="J360" s="629">
        <v>191</v>
      </c>
      <c r="K360" s="629">
        <v>25</v>
      </c>
      <c r="L360" s="629">
        <v>16</v>
      </c>
      <c r="M360" s="629">
        <v>5</v>
      </c>
      <c r="N360" s="629">
        <v>8</v>
      </c>
      <c r="AC360" s="282"/>
      <c r="AD360" s="282"/>
      <c r="AE360" s="282"/>
      <c r="AF360" s="282"/>
      <c r="AG360" s="282"/>
      <c r="AH360" s="282"/>
      <c r="AI360" s="282"/>
      <c r="AJ360" s="282"/>
      <c r="AK360" s="282"/>
      <c r="AL360" s="282"/>
      <c r="AM360" s="282"/>
      <c r="AN360" s="282"/>
      <c r="AO360" s="282"/>
    </row>
    <row r="361" spans="1:41" s="263" customFormat="1" ht="9" customHeight="1" x14ac:dyDescent="0.25">
      <c r="A361" s="550" t="s">
        <v>43</v>
      </c>
      <c r="B361" s="629">
        <f t="shared" si="39"/>
        <v>151</v>
      </c>
      <c r="C361" s="629"/>
      <c r="D361" s="629">
        <f t="shared" si="37"/>
        <v>150</v>
      </c>
      <c r="E361" s="629">
        <v>63</v>
      </c>
      <c r="F361" s="629"/>
      <c r="G361" s="629">
        <f t="shared" si="38"/>
        <v>82</v>
      </c>
      <c r="H361" s="629">
        <v>13</v>
      </c>
      <c r="I361" s="629">
        <v>6</v>
      </c>
      <c r="J361" s="629">
        <v>63</v>
      </c>
      <c r="K361" s="629">
        <v>0</v>
      </c>
      <c r="L361" s="629">
        <v>0</v>
      </c>
      <c r="M361" s="629">
        <v>5</v>
      </c>
      <c r="N361" s="629">
        <v>1</v>
      </c>
      <c r="AC361" s="282"/>
      <c r="AD361" s="282"/>
      <c r="AE361" s="282"/>
      <c r="AF361" s="282"/>
      <c r="AG361" s="282"/>
      <c r="AH361" s="282"/>
      <c r="AI361" s="282"/>
      <c r="AJ361" s="282"/>
      <c r="AK361" s="282"/>
      <c r="AL361" s="282"/>
      <c r="AM361" s="282"/>
      <c r="AN361" s="282"/>
      <c r="AO361" s="282"/>
    </row>
    <row r="362" spans="1:41" s="263" customFormat="1" ht="9" customHeight="1" x14ac:dyDescent="0.25">
      <c r="A362" s="550" t="s">
        <v>44</v>
      </c>
      <c r="B362" s="629">
        <f t="shared" si="39"/>
        <v>170</v>
      </c>
      <c r="C362" s="629"/>
      <c r="D362" s="629">
        <f t="shared" si="37"/>
        <v>167</v>
      </c>
      <c r="E362" s="629">
        <v>53</v>
      </c>
      <c r="F362" s="629"/>
      <c r="G362" s="629">
        <f t="shared" si="38"/>
        <v>106</v>
      </c>
      <c r="H362" s="629">
        <v>15</v>
      </c>
      <c r="I362" s="629">
        <v>7</v>
      </c>
      <c r="J362" s="629">
        <v>84</v>
      </c>
      <c r="K362" s="629">
        <v>0</v>
      </c>
      <c r="L362" s="629">
        <v>1</v>
      </c>
      <c r="M362" s="629">
        <v>7</v>
      </c>
      <c r="N362" s="629">
        <v>3</v>
      </c>
      <c r="AC362" s="282"/>
      <c r="AD362" s="282"/>
      <c r="AE362" s="282"/>
      <c r="AF362" s="282"/>
      <c r="AG362" s="282"/>
      <c r="AH362" s="282"/>
      <c r="AI362" s="282"/>
      <c r="AJ362" s="282"/>
      <c r="AK362" s="282"/>
      <c r="AL362" s="282"/>
      <c r="AM362" s="282"/>
      <c r="AN362" s="282"/>
      <c r="AO362" s="282"/>
    </row>
    <row r="363" spans="1:41" s="263" customFormat="1" ht="9" customHeight="1" x14ac:dyDescent="0.25">
      <c r="A363" s="603" t="s">
        <v>45</v>
      </c>
      <c r="B363" s="630">
        <f t="shared" si="39"/>
        <v>248</v>
      </c>
      <c r="C363" s="630"/>
      <c r="D363" s="630">
        <f t="shared" si="37"/>
        <v>245</v>
      </c>
      <c r="E363" s="630">
        <v>176</v>
      </c>
      <c r="F363" s="630"/>
      <c r="G363" s="630">
        <f t="shared" si="38"/>
        <v>56</v>
      </c>
      <c r="H363" s="630">
        <v>4</v>
      </c>
      <c r="I363" s="630">
        <v>10</v>
      </c>
      <c r="J363" s="630">
        <v>42</v>
      </c>
      <c r="K363" s="630">
        <v>3</v>
      </c>
      <c r="L363" s="630">
        <v>10</v>
      </c>
      <c r="M363" s="630">
        <v>0</v>
      </c>
      <c r="N363" s="630">
        <v>3</v>
      </c>
      <c r="AC363" s="282"/>
      <c r="AD363" s="282"/>
      <c r="AE363" s="282"/>
      <c r="AF363" s="282"/>
      <c r="AG363" s="282"/>
      <c r="AH363" s="282"/>
      <c r="AI363" s="282"/>
      <c r="AJ363" s="282"/>
      <c r="AK363" s="282"/>
      <c r="AL363" s="282"/>
      <c r="AM363" s="282"/>
      <c r="AN363" s="282"/>
      <c r="AO363" s="282"/>
    </row>
    <row r="364" spans="1:41" s="263" customFormat="1" ht="9" customHeight="1" x14ac:dyDescent="0.25">
      <c r="A364" s="550" t="s">
        <v>46</v>
      </c>
      <c r="B364" s="629">
        <f t="shared" si="39"/>
        <v>111</v>
      </c>
      <c r="C364" s="629"/>
      <c r="D364" s="629">
        <f t="shared" si="37"/>
        <v>111</v>
      </c>
      <c r="E364" s="629">
        <v>54</v>
      </c>
      <c r="F364" s="629"/>
      <c r="G364" s="629">
        <f t="shared" si="38"/>
        <v>51</v>
      </c>
      <c r="H364" s="629">
        <v>12</v>
      </c>
      <c r="I364" s="629">
        <v>6</v>
      </c>
      <c r="J364" s="629">
        <v>33</v>
      </c>
      <c r="K364" s="629">
        <v>4</v>
      </c>
      <c r="L364" s="629">
        <v>0</v>
      </c>
      <c r="M364" s="629">
        <v>2</v>
      </c>
      <c r="N364" s="629">
        <v>0</v>
      </c>
      <c r="AC364" s="282"/>
      <c r="AD364" s="282"/>
      <c r="AE364" s="282"/>
      <c r="AF364" s="282"/>
      <c r="AG364" s="282"/>
      <c r="AH364" s="282"/>
      <c r="AI364" s="282"/>
      <c r="AJ364" s="282"/>
      <c r="AK364" s="282"/>
      <c r="AL364" s="282"/>
      <c r="AM364" s="282"/>
      <c r="AN364" s="282"/>
      <c r="AO364" s="282"/>
    </row>
    <row r="365" spans="1:41" s="263" customFormat="1" ht="9" customHeight="1" x14ac:dyDescent="0.25">
      <c r="A365" s="550" t="s">
        <v>47</v>
      </c>
      <c r="B365" s="629">
        <f t="shared" si="39"/>
        <v>352</v>
      </c>
      <c r="C365" s="629"/>
      <c r="D365" s="629">
        <f t="shared" si="37"/>
        <v>341</v>
      </c>
      <c r="E365" s="629">
        <v>161</v>
      </c>
      <c r="F365" s="629"/>
      <c r="G365" s="629">
        <f t="shared" si="38"/>
        <v>171</v>
      </c>
      <c r="H365" s="629">
        <v>37</v>
      </c>
      <c r="I365" s="629">
        <v>31</v>
      </c>
      <c r="J365" s="629">
        <v>103</v>
      </c>
      <c r="K365" s="629">
        <v>0</v>
      </c>
      <c r="L365" s="629">
        <v>8</v>
      </c>
      <c r="M365" s="629">
        <v>1</v>
      </c>
      <c r="N365" s="629">
        <v>11</v>
      </c>
      <c r="AC365" s="282"/>
      <c r="AD365" s="282"/>
      <c r="AE365" s="282"/>
      <c r="AF365" s="282"/>
      <c r="AG365" s="282"/>
      <c r="AH365" s="282"/>
      <c r="AI365" s="282"/>
      <c r="AJ365" s="282"/>
      <c r="AK365" s="282"/>
      <c r="AL365" s="282"/>
      <c r="AM365" s="282"/>
      <c r="AN365" s="282"/>
      <c r="AO365" s="282"/>
    </row>
    <row r="366" spans="1:41" s="263" customFormat="1" ht="9" customHeight="1" x14ac:dyDescent="0.25">
      <c r="A366" s="550" t="s">
        <v>48</v>
      </c>
      <c r="B366" s="629">
        <f t="shared" si="39"/>
        <v>81</v>
      </c>
      <c r="C366" s="629"/>
      <c r="D366" s="629">
        <f t="shared" si="37"/>
        <v>78</v>
      </c>
      <c r="E366" s="629">
        <v>66</v>
      </c>
      <c r="F366" s="629"/>
      <c r="G366" s="629">
        <f t="shared" si="38"/>
        <v>12</v>
      </c>
      <c r="H366" s="629">
        <v>2</v>
      </c>
      <c r="I366" s="629">
        <v>2</v>
      </c>
      <c r="J366" s="629">
        <v>8</v>
      </c>
      <c r="K366" s="629">
        <v>0</v>
      </c>
      <c r="L366" s="629">
        <v>0</v>
      </c>
      <c r="M366" s="629">
        <v>0</v>
      </c>
      <c r="N366" s="629">
        <v>3</v>
      </c>
      <c r="AC366" s="282"/>
      <c r="AD366" s="282"/>
      <c r="AE366" s="282"/>
      <c r="AF366" s="282"/>
      <c r="AG366" s="282"/>
      <c r="AH366" s="282"/>
      <c r="AI366" s="282"/>
      <c r="AJ366" s="282"/>
      <c r="AK366" s="282"/>
      <c r="AL366" s="282"/>
      <c r="AM366" s="282"/>
      <c r="AN366" s="282"/>
      <c r="AO366" s="282"/>
    </row>
    <row r="367" spans="1:41" s="263" customFormat="1" ht="9" customHeight="1" x14ac:dyDescent="0.25">
      <c r="A367" s="603" t="s">
        <v>49</v>
      </c>
      <c r="B367" s="630">
        <f t="shared" si="39"/>
        <v>170</v>
      </c>
      <c r="C367" s="630"/>
      <c r="D367" s="630">
        <f t="shared" si="37"/>
        <v>166</v>
      </c>
      <c r="E367" s="630">
        <v>80</v>
      </c>
      <c r="F367" s="630"/>
      <c r="G367" s="630">
        <f t="shared" si="38"/>
        <v>68</v>
      </c>
      <c r="H367" s="630">
        <v>8</v>
      </c>
      <c r="I367" s="630">
        <v>6</v>
      </c>
      <c r="J367" s="630">
        <v>54</v>
      </c>
      <c r="K367" s="630">
        <v>14</v>
      </c>
      <c r="L367" s="630">
        <v>3</v>
      </c>
      <c r="M367" s="630">
        <v>1</v>
      </c>
      <c r="N367" s="630">
        <v>4</v>
      </c>
      <c r="AC367" s="282"/>
      <c r="AD367" s="282"/>
      <c r="AE367" s="282"/>
      <c r="AF367" s="282"/>
      <c r="AG367" s="282"/>
      <c r="AH367" s="282"/>
      <c r="AI367" s="282"/>
      <c r="AJ367" s="282"/>
      <c r="AK367" s="282"/>
      <c r="AL367" s="282"/>
      <c r="AM367" s="282"/>
      <c r="AN367" s="282"/>
      <c r="AO367" s="282"/>
    </row>
    <row r="368" spans="1:41" s="263" customFormat="1" ht="9" customHeight="1" x14ac:dyDescent="0.25">
      <c r="A368" s="550" t="s">
        <v>50</v>
      </c>
      <c r="B368" s="629">
        <f t="shared" si="39"/>
        <v>157</v>
      </c>
      <c r="C368" s="629"/>
      <c r="D368" s="629">
        <f t="shared" si="37"/>
        <v>156</v>
      </c>
      <c r="E368" s="629">
        <v>75</v>
      </c>
      <c r="F368" s="629"/>
      <c r="G368" s="629">
        <f t="shared" si="38"/>
        <v>75</v>
      </c>
      <c r="H368" s="629">
        <v>14</v>
      </c>
      <c r="I368" s="629">
        <v>12</v>
      </c>
      <c r="J368" s="629">
        <v>49</v>
      </c>
      <c r="K368" s="629">
        <v>4</v>
      </c>
      <c r="L368" s="629">
        <v>0</v>
      </c>
      <c r="M368" s="629">
        <v>2</v>
      </c>
      <c r="N368" s="629">
        <v>1</v>
      </c>
      <c r="AC368" s="282"/>
      <c r="AD368" s="282"/>
      <c r="AE368" s="282"/>
      <c r="AF368" s="282"/>
      <c r="AG368" s="282"/>
      <c r="AH368" s="282"/>
      <c r="AI368" s="282"/>
      <c r="AJ368" s="282"/>
      <c r="AK368" s="282"/>
      <c r="AL368" s="282"/>
      <c r="AM368" s="282"/>
      <c r="AN368" s="282"/>
      <c r="AO368" s="282"/>
    </row>
    <row r="369" spans="1:41" s="263" customFormat="1" ht="9" customHeight="1" x14ac:dyDescent="0.25">
      <c r="A369" s="550" t="s">
        <v>51</v>
      </c>
      <c r="B369" s="629">
        <f t="shared" si="39"/>
        <v>544</v>
      </c>
      <c r="C369" s="629"/>
      <c r="D369" s="629">
        <f t="shared" si="37"/>
        <v>523</v>
      </c>
      <c r="E369" s="629">
        <v>249</v>
      </c>
      <c r="F369" s="629"/>
      <c r="G369" s="629">
        <f t="shared" si="38"/>
        <v>269</v>
      </c>
      <c r="H369" s="629">
        <v>63</v>
      </c>
      <c r="I369" s="629">
        <v>38</v>
      </c>
      <c r="J369" s="629">
        <v>168</v>
      </c>
      <c r="K369" s="629">
        <v>0</v>
      </c>
      <c r="L369" s="629">
        <v>0</v>
      </c>
      <c r="M369" s="629">
        <v>5</v>
      </c>
      <c r="N369" s="629">
        <v>21</v>
      </c>
      <c r="AC369" s="282"/>
      <c r="AD369" s="282"/>
      <c r="AE369" s="282"/>
      <c r="AF369" s="282"/>
      <c r="AG369" s="282"/>
      <c r="AH369" s="282"/>
      <c r="AI369" s="282"/>
      <c r="AJ369" s="282"/>
      <c r="AK369" s="282"/>
      <c r="AL369" s="282"/>
      <c r="AM369" s="282"/>
      <c r="AN369" s="282"/>
      <c r="AO369" s="282"/>
    </row>
    <row r="370" spans="1:41" s="263" customFormat="1" ht="9" customHeight="1" x14ac:dyDescent="0.25">
      <c r="A370" s="550" t="s">
        <v>52</v>
      </c>
      <c r="B370" s="629">
        <f t="shared" si="39"/>
        <v>138</v>
      </c>
      <c r="C370" s="629"/>
      <c r="D370" s="629">
        <f t="shared" si="37"/>
        <v>134</v>
      </c>
      <c r="E370" s="629">
        <v>70</v>
      </c>
      <c r="F370" s="629"/>
      <c r="G370" s="629">
        <f t="shared" si="38"/>
        <v>57</v>
      </c>
      <c r="H370" s="629">
        <v>13</v>
      </c>
      <c r="I370" s="629">
        <v>7</v>
      </c>
      <c r="J370" s="629">
        <v>37</v>
      </c>
      <c r="K370" s="629">
        <v>0</v>
      </c>
      <c r="L370" s="629">
        <v>5</v>
      </c>
      <c r="M370" s="629">
        <v>2</v>
      </c>
      <c r="N370" s="629">
        <v>4</v>
      </c>
      <c r="AC370" s="282"/>
      <c r="AD370" s="282"/>
      <c r="AE370" s="282"/>
      <c r="AF370" s="282"/>
      <c r="AG370" s="282"/>
      <c r="AH370" s="282"/>
      <c r="AI370" s="282"/>
      <c r="AJ370" s="282"/>
      <c r="AK370" s="282"/>
      <c r="AL370" s="282"/>
      <c r="AM370" s="282"/>
      <c r="AN370" s="282"/>
      <c r="AO370" s="282"/>
    </row>
    <row r="371" spans="1:41" s="263" customFormat="1" ht="9" customHeight="1" x14ac:dyDescent="0.25">
      <c r="A371" s="267" t="s">
        <v>53</v>
      </c>
      <c r="B371" s="268">
        <f t="shared" si="39"/>
        <v>115</v>
      </c>
      <c r="C371" s="268"/>
      <c r="D371" s="268">
        <f t="shared" si="37"/>
        <v>111</v>
      </c>
      <c r="E371" s="268">
        <v>50</v>
      </c>
      <c r="F371" s="268"/>
      <c r="G371" s="268">
        <f t="shared" si="38"/>
        <v>61</v>
      </c>
      <c r="H371" s="268">
        <v>16</v>
      </c>
      <c r="I371" s="268">
        <v>5</v>
      </c>
      <c r="J371" s="268">
        <v>40</v>
      </c>
      <c r="K371" s="268">
        <v>0</v>
      </c>
      <c r="L371" s="268">
        <v>0</v>
      </c>
      <c r="M371" s="268">
        <v>0</v>
      </c>
      <c r="N371" s="268">
        <v>4</v>
      </c>
      <c r="AC371" s="282"/>
      <c r="AD371" s="282"/>
      <c r="AE371" s="282"/>
      <c r="AF371" s="282"/>
      <c r="AG371" s="282"/>
      <c r="AH371" s="282"/>
      <c r="AI371" s="282"/>
      <c r="AJ371" s="282"/>
      <c r="AK371" s="282"/>
      <c r="AL371" s="282"/>
      <c r="AM371" s="282"/>
      <c r="AN371" s="282"/>
      <c r="AO371" s="282"/>
    </row>
    <row r="372" spans="1:41" ht="9" customHeight="1" x14ac:dyDescent="0.25">
      <c r="B372" s="259"/>
      <c r="C372" s="259"/>
      <c r="D372" s="259"/>
      <c r="E372" s="259"/>
      <c r="F372" s="259"/>
      <c r="G372" s="259"/>
      <c r="H372" s="259"/>
      <c r="I372" s="259"/>
      <c r="J372" s="259"/>
      <c r="K372" s="259"/>
      <c r="L372" s="259"/>
      <c r="AC372" s="282"/>
      <c r="AD372" s="282"/>
      <c r="AE372" s="282"/>
      <c r="AF372" s="282"/>
      <c r="AG372" s="282"/>
      <c r="AH372" s="282"/>
      <c r="AI372" s="282"/>
      <c r="AJ372" s="282"/>
      <c r="AK372" s="282"/>
      <c r="AL372" s="282"/>
      <c r="AM372" s="282"/>
      <c r="AN372" s="282"/>
      <c r="AO372" s="282"/>
    </row>
    <row r="373" spans="1:41" ht="9" customHeight="1" x14ac:dyDescent="0.25">
      <c r="A373" s="601">
        <v>2011</v>
      </c>
      <c r="B373" s="262"/>
      <c r="C373" s="262"/>
      <c r="D373" s="262"/>
      <c r="E373" s="262"/>
      <c r="F373" s="262"/>
      <c r="G373" s="262"/>
      <c r="H373" s="262"/>
      <c r="I373" s="262"/>
      <c r="J373" s="262"/>
      <c r="K373" s="262"/>
      <c r="L373" s="262"/>
      <c r="M373" s="262"/>
      <c r="N373" s="262"/>
      <c r="AC373" s="282"/>
      <c r="AD373" s="282"/>
      <c r="AE373" s="282"/>
      <c r="AF373" s="282"/>
      <c r="AG373" s="282"/>
      <c r="AH373" s="282"/>
      <c r="AI373" s="282"/>
      <c r="AJ373" s="282"/>
      <c r="AK373" s="282"/>
      <c r="AL373" s="282"/>
      <c r="AM373" s="282"/>
      <c r="AN373" s="282"/>
      <c r="AO373" s="282"/>
    </row>
    <row r="374" spans="1:41" s="265" customFormat="1" ht="9" customHeight="1" x14ac:dyDescent="0.25">
      <c r="A374" s="265" t="s">
        <v>21</v>
      </c>
      <c r="B374" s="262">
        <f>SUM(B376:B407)</f>
        <v>12660</v>
      </c>
      <c r="C374" s="262"/>
      <c r="D374" s="262">
        <f>SUM(D376:D407)</f>
        <v>12294</v>
      </c>
      <c r="E374" s="262">
        <f>SUM(E376:E407)</f>
        <v>4325</v>
      </c>
      <c r="F374" s="262"/>
      <c r="G374" s="262">
        <f t="shared" ref="G374:M374" si="40">SUM(G376:G407)</f>
        <v>6261</v>
      </c>
      <c r="H374" s="262">
        <f t="shared" si="40"/>
        <v>995</v>
      </c>
      <c r="I374" s="262">
        <f t="shared" si="40"/>
        <v>855</v>
      </c>
      <c r="J374" s="262">
        <f t="shared" si="40"/>
        <v>4411</v>
      </c>
      <c r="K374" s="262">
        <f t="shared" si="40"/>
        <v>415</v>
      </c>
      <c r="L374" s="262">
        <f t="shared" si="40"/>
        <v>1043</v>
      </c>
      <c r="M374" s="262">
        <f t="shared" si="40"/>
        <v>250</v>
      </c>
      <c r="N374" s="262">
        <f>SUM(N376:N407)</f>
        <v>366</v>
      </c>
      <c r="AC374" s="282"/>
      <c r="AD374" s="282"/>
      <c r="AE374" s="282"/>
      <c r="AF374" s="282"/>
      <c r="AG374" s="282"/>
      <c r="AH374" s="282"/>
      <c r="AI374" s="282"/>
      <c r="AJ374" s="282"/>
      <c r="AK374" s="282"/>
      <c r="AL374" s="282"/>
      <c r="AM374" s="282"/>
      <c r="AN374" s="282"/>
      <c r="AO374" s="282"/>
    </row>
    <row r="375" spans="1:41" s="265" customFormat="1" ht="3" customHeight="1" x14ac:dyDescent="0.25">
      <c r="B375" s="262"/>
      <c r="C375" s="262"/>
      <c r="D375" s="262"/>
      <c r="E375" s="262"/>
      <c r="F375" s="262"/>
      <c r="G375" s="262"/>
      <c r="H375" s="262"/>
      <c r="I375" s="262"/>
      <c r="J375" s="262"/>
      <c r="K375" s="262"/>
      <c r="L375" s="262"/>
      <c r="M375" s="262"/>
      <c r="N375" s="262"/>
      <c r="AC375" s="282"/>
      <c r="AD375" s="282"/>
      <c r="AE375" s="282"/>
      <c r="AF375" s="282"/>
      <c r="AG375" s="282"/>
      <c r="AH375" s="282"/>
      <c r="AI375" s="282"/>
      <c r="AJ375" s="282"/>
      <c r="AK375" s="282"/>
      <c r="AL375" s="282"/>
      <c r="AM375" s="282"/>
      <c r="AN375" s="282"/>
      <c r="AO375" s="282"/>
    </row>
    <row r="376" spans="1:41" s="263" customFormat="1" ht="9" customHeight="1" x14ac:dyDescent="0.25">
      <c r="A376" s="550" t="s">
        <v>23</v>
      </c>
      <c r="B376" s="629">
        <f>SUM(D376+N376)</f>
        <v>91</v>
      </c>
      <c r="C376" s="629"/>
      <c r="D376" s="629">
        <f t="shared" ref="D376:D407" si="41">SUM(E376+G376+K376+L376+M376)</f>
        <v>90</v>
      </c>
      <c r="E376" s="629">
        <v>15</v>
      </c>
      <c r="F376" s="629"/>
      <c r="G376" s="629">
        <f>SUM(H376:J376)</f>
        <v>61</v>
      </c>
      <c r="H376" s="629">
        <v>9</v>
      </c>
      <c r="I376" s="629">
        <v>8</v>
      </c>
      <c r="J376" s="629">
        <v>44</v>
      </c>
      <c r="K376" s="629">
        <v>11</v>
      </c>
      <c r="L376" s="629">
        <v>0</v>
      </c>
      <c r="M376" s="629">
        <v>3</v>
      </c>
      <c r="N376" s="629">
        <v>1</v>
      </c>
      <c r="AC376" s="282"/>
      <c r="AD376" s="282"/>
      <c r="AE376" s="282"/>
      <c r="AF376" s="282"/>
      <c r="AG376" s="282"/>
      <c r="AH376" s="282"/>
      <c r="AI376" s="282"/>
      <c r="AJ376" s="282"/>
      <c r="AK376" s="282"/>
      <c r="AL376" s="282"/>
      <c r="AM376" s="282"/>
      <c r="AN376" s="282"/>
      <c r="AO376" s="282"/>
    </row>
    <row r="377" spans="1:41" s="263" customFormat="1" ht="9" customHeight="1" x14ac:dyDescent="0.25">
      <c r="A377" s="550" t="s">
        <v>24</v>
      </c>
      <c r="B377" s="629">
        <f>SUM(D377+N377)</f>
        <v>220</v>
      </c>
      <c r="C377" s="629"/>
      <c r="D377" s="629">
        <f t="shared" si="41"/>
        <v>220</v>
      </c>
      <c r="E377" s="629">
        <v>103</v>
      </c>
      <c r="F377" s="629"/>
      <c r="G377" s="629">
        <f>SUM(H377:J377)</f>
        <v>115</v>
      </c>
      <c r="H377" s="629">
        <v>21</v>
      </c>
      <c r="I377" s="629">
        <v>15</v>
      </c>
      <c r="J377" s="629">
        <v>79</v>
      </c>
      <c r="K377" s="629">
        <v>0</v>
      </c>
      <c r="L377" s="629">
        <v>0</v>
      </c>
      <c r="M377" s="629">
        <v>2</v>
      </c>
      <c r="N377" s="629">
        <v>0</v>
      </c>
      <c r="AC377" s="282"/>
      <c r="AD377" s="282"/>
      <c r="AE377" s="282"/>
      <c r="AF377" s="282"/>
      <c r="AG377" s="282"/>
      <c r="AH377" s="282"/>
      <c r="AI377" s="282"/>
      <c r="AJ377" s="282"/>
      <c r="AK377" s="282"/>
      <c r="AL377" s="282"/>
      <c r="AM377" s="282"/>
      <c r="AN377" s="282"/>
      <c r="AO377" s="282"/>
    </row>
    <row r="378" spans="1:41" s="263" customFormat="1" ht="9" customHeight="1" x14ac:dyDescent="0.25">
      <c r="A378" s="550" t="s">
        <v>25</v>
      </c>
      <c r="B378" s="629">
        <f>SUM(D378+N378)</f>
        <v>23</v>
      </c>
      <c r="C378" s="629"/>
      <c r="D378" s="629">
        <f t="shared" si="41"/>
        <v>22</v>
      </c>
      <c r="E378" s="629">
        <v>13</v>
      </c>
      <c r="F378" s="629"/>
      <c r="G378" s="629">
        <f t="shared" ref="G378:G407" si="42">SUM(H378:J378)</f>
        <v>9</v>
      </c>
      <c r="H378" s="629">
        <v>0</v>
      </c>
      <c r="I378" s="629">
        <v>0</v>
      </c>
      <c r="J378" s="629">
        <v>9</v>
      </c>
      <c r="K378" s="629">
        <v>0</v>
      </c>
      <c r="L378" s="629">
        <v>0</v>
      </c>
      <c r="M378" s="629">
        <v>0</v>
      </c>
      <c r="N378" s="629">
        <v>1</v>
      </c>
      <c r="AC378" s="282"/>
      <c r="AD378" s="282"/>
      <c r="AE378" s="282"/>
      <c r="AF378" s="282"/>
      <c r="AG378" s="282"/>
      <c r="AH378" s="282"/>
      <c r="AI378" s="282"/>
      <c r="AJ378" s="282"/>
      <c r="AK378" s="282"/>
      <c r="AL378" s="282"/>
      <c r="AM378" s="282"/>
      <c r="AN378" s="282"/>
      <c r="AO378" s="282"/>
    </row>
    <row r="379" spans="1:41" s="263" customFormat="1" ht="9" customHeight="1" x14ac:dyDescent="0.25">
      <c r="A379" s="603" t="s">
        <v>26</v>
      </c>
      <c r="B379" s="630">
        <f>SUM(D379+N379)</f>
        <v>33</v>
      </c>
      <c r="C379" s="630"/>
      <c r="D379" s="630">
        <f t="shared" si="41"/>
        <v>26</v>
      </c>
      <c r="E379" s="630">
        <v>17</v>
      </c>
      <c r="F379" s="630"/>
      <c r="G379" s="630">
        <f t="shared" si="42"/>
        <v>9</v>
      </c>
      <c r="H379" s="630">
        <v>2</v>
      </c>
      <c r="I379" s="630">
        <v>4</v>
      </c>
      <c r="J379" s="630">
        <v>3</v>
      </c>
      <c r="K379" s="630">
        <v>0</v>
      </c>
      <c r="L379" s="630">
        <v>0</v>
      </c>
      <c r="M379" s="630">
        <v>0</v>
      </c>
      <c r="N379" s="630">
        <v>7</v>
      </c>
      <c r="AC379" s="282"/>
      <c r="AD379" s="282"/>
      <c r="AE379" s="282"/>
      <c r="AF379" s="282"/>
      <c r="AG379" s="282"/>
      <c r="AH379" s="282"/>
      <c r="AI379" s="282"/>
      <c r="AJ379" s="282"/>
      <c r="AK379" s="282"/>
      <c r="AL379" s="282"/>
      <c r="AM379" s="282"/>
      <c r="AN379" s="282"/>
      <c r="AO379" s="282"/>
    </row>
    <row r="380" spans="1:41" s="263" customFormat="1" ht="9" customHeight="1" x14ac:dyDescent="0.25">
      <c r="A380" s="550" t="s">
        <v>27</v>
      </c>
      <c r="B380" s="629">
        <f t="shared" ref="B380:B407" si="43">SUM(D380+N380)</f>
        <v>133</v>
      </c>
      <c r="C380" s="629"/>
      <c r="D380" s="629">
        <f t="shared" si="41"/>
        <v>128</v>
      </c>
      <c r="E380" s="629">
        <v>34</v>
      </c>
      <c r="F380" s="629"/>
      <c r="G380" s="629">
        <f t="shared" si="42"/>
        <v>92</v>
      </c>
      <c r="H380" s="629">
        <v>13</v>
      </c>
      <c r="I380" s="629">
        <v>7</v>
      </c>
      <c r="J380" s="629">
        <v>72</v>
      </c>
      <c r="K380" s="629">
        <v>1</v>
      </c>
      <c r="L380" s="629">
        <v>0</v>
      </c>
      <c r="M380" s="629">
        <v>1</v>
      </c>
      <c r="N380" s="629">
        <v>5</v>
      </c>
      <c r="AC380" s="282"/>
      <c r="AD380" s="282"/>
      <c r="AE380" s="282"/>
      <c r="AF380" s="282"/>
      <c r="AG380" s="282"/>
      <c r="AH380" s="282"/>
      <c r="AI380" s="282"/>
      <c r="AJ380" s="282"/>
      <c r="AK380" s="282"/>
      <c r="AL380" s="282"/>
      <c r="AM380" s="282"/>
      <c r="AN380" s="282"/>
      <c r="AO380" s="282"/>
    </row>
    <row r="381" spans="1:41" s="263" customFormat="1" ht="9" customHeight="1" x14ac:dyDescent="0.25">
      <c r="A381" s="550" t="s">
        <v>28</v>
      </c>
      <c r="B381" s="629">
        <f t="shared" si="43"/>
        <v>28</v>
      </c>
      <c r="C381" s="629"/>
      <c r="D381" s="629">
        <f t="shared" si="41"/>
        <v>26</v>
      </c>
      <c r="E381" s="629">
        <v>20</v>
      </c>
      <c r="F381" s="629"/>
      <c r="G381" s="629">
        <f t="shared" si="42"/>
        <v>6</v>
      </c>
      <c r="H381" s="629">
        <v>1</v>
      </c>
      <c r="I381" s="629">
        <v>1</v>
      </c>
      <c r="J381" s="629">
        <v>4</v>
      </c>
      <c r="K381" s="629">
        <v>0</v>
      </c>
      <c r="L381" s="629">
        <v>0</v>
      </c>
      <c r="M381" s="629">
        <v>0</v>
      </c>
      <c r="N381" s="629">
        <v>2</v>
      </c>
      <c r="AC381" s="282"/>
      <c r="AD381" s="282"/>
      <c r="AE381" s="282"/>
      <c r="AF381" s="282"/>
      <c r="AG381" s="282"/>
      <c r="AH381" s="282"/>
      <c r="AI381" s="282"/>
      <c r="AJ381" s="282"/>
      <c r="AK381" s="282"/>
      <c r="AL381" s="282"/>
      <c r="AM381" s="282"/>
      <c r="AN381" s="282"/>
      <c r="AO381" s="282"/>
    </row>
    <row r="382" spans="1:41" s="263" customFormat="1" ht="9" customHeight="1" x14ac:dyDescent="0.25">
      <c r="A382" s="550" t="s">
        <v>29</v>
      </c>
      <c r="B382" s="629">
        <f t="shared" si="43"/>
        <v>168</v>
      </c>
      <c r="C382" s="629"/>
      <c r="D382" s="629">
        <f t="shared" si="41"/>
        <v>162</v>
      </c>
      <c r="E382" s="629">
        <v>84</v>
      </c>
      <c r="F382" s="629"/>
      <c r="G382" s="629">
        <f t="shared" si="42"/>
        <v>76</v>
      </c>
      <c r="H382" s="629">
        <v>15</v>
      </c>
      <c r="I382" s="629">
        <v>12</v>
      </c>
      <c r="J382" s="629">
        <v>49</v>
      </c>
      <c r="K382" s="629">
        <v>0</v>
      </c>
      <c r="L382" s="629">
        <v>0</v>
      </c>
      <c r="M382" s="629">
        <v>2</v>
      </c>
      <c r="N382" s="629">
        <v>6</v>
      </c>
      <c r="AC382" s="282"/>
      <c r="AD382" s="282"/>
      <c r="AE382" s="282"/>
      <c r="AF382" s="282"/>
      <c r="AG382" s="282"/>
      <c r="AH382" s="282"/>
      <c r="AI382" s="282"/>
      <c r="AJ382" s="282"/>
      <c r="AK382" s="282"/>
      <c r="AL382" s="282"/>
      <c r="AM382" s="282"/>
      <c r="AN382" s="282"/>
      <c r="AO382" s="282"/>
    </row>
    <row r="383" spans="1:41" s="263" customFormat="1" ht="9" customHeight="1" x14ac:dyDescent="0.25">
      <c r="A383" s="603" t="s">
        <v>30</v>
      </c>
      <c r="B383" s="630">
        <f t="shared" si="43"/>
        <v>439</v>
      </c>
      <c r="C383" s="630"/>
      <c r="D383" s="630">
        <f t="shared" si="41"/>
        <v>434</v>
      </c>
      <c r="E383" s="630">
        <v>116</v>
      </c>
      <c r="F383" s="630"/>
      <c r="G383" s="630">
        <f t="shared" si="42"/>
        <v>290</v>
      </c>
      <c r="H383" s="630">
        <v>35</v>
      </c>
      <c r="I383" s="630">
        <v>26</v>
      </c>
      <c r="J383" s="630">
        <v>229</v>
      </c>
      <c r="K383" s="630">
        <v>8</v>
      </c>
      <c r="L383" s="630">
        <v>18</v>
      </c>
      <c r="M383" s="630">
        <v>2</v>
      </c>
      <c r="N383" s="630">
        <v>5</v>
      </c>
      <c r="AC383" s="282"/>
      <c r="AD383" s="282"/>
      <c r="AE383" s="282"/>
      <c r="AF383" s="282"/>
      <c r="AG383" s="282"/>
      <c r="AH383" s="282"/>
      <c r="AI383" s="282"/>
      <c r="AJ383" s="282"/>
      <c r="AK383" s="282"/>
      <c r="AL383" s="282"/>
      <c r="AM383" s="282"/>
      <c r="AN383" s="282"/>
      <c r="AO383" s="282"/>
    </row>
    <row r="384" spans="1:41" s="263" customFormat="1" ht="9" customHeight="1" x14ac:dyDescent="0.25">
      <c r="A384" s="550" t="s">
        <v>63</v>
      </c>
      <c r="B384" s="629">
        <f t="shared" si="43"/>
        <v>3389</v>
      </c>
      <c r="C384" s="629"/>
      <c r="D384" s="629">
        <f t="shared" si="41"/>
        <v>3240</v>
      </c>
      <c r="E384" s="629">
        <v>544</v>
      </c>
      <c r="F384" s="629"/>
      <c r="G384" s="629">
        <f t="shared" si="42"/>
        <v>1749</v>
      </c>
      <c r="H384" s="629">
        <v>189</v>
      </c>
      <c r="I384" s="629">
        <v>246</v>
      </c>
      <c r="J384" s="629">
        <v>1314</v>
      </c>
      <c r="K384" s="629">
        <v>206</v>
      </c>
      <c r="L384" s="629">
        <v>643</v>
      </c>
      <c r="M384" s="629">
        <v>98</v>
      </c>
      <c r="N384" s="629">
        <v>149</v>
      </c>
      <c r="AC384" s="282"/>
      <c r="AD384" s="282"/>
      <c r="AE384" s="282"/>
      <c r="AF384" s="282"/>
      <c r="AG384" s="282"/>
      <c r="AH384" s="282"/>
      <c r="AI384" s="282"/>
      <c r="AJ384" s="282"/>
      <c r="AK384" s="282"/>
      <c r="AL384" s="282"/>
      <c r="AM384" s="282"/>
      <c r="AN384" s="282"/>
      <c r="AO384" s="282"/>
    </row>
    <row r="385" spans="1:41" s="263" customFormat="1" ht="9" customHeight="1" x14ac:dyDescent="0.25">
      <c r="A385" s="550" t="s">
        <v>31</v>
      </c>
      <c r="B385" s="629">
        <f t="shared" si="43"/>
        <v>107</v>
      </c>
      <c r="C385" s="629"/>
      <c r="D385" s="629">
        <f t="shared" si="41"/>
        <v>107</v>
      </c>
      <c r="E385" s="629">
        <v>48</v>
      </c>
      <c r="F385" s="629"/>
      <c r="G385" s="629">
        <f t="shared" si="42"/>
        <v>55</v>
      </c>
      <c r="H385" s="629">
        <v>5</v>
      </c>
      <c r="I385" s="629">
        <v>4</v>
      </c>
      <c r="J385" s="629">
        <v>46</v>
      </c>
      <c r="K385" s="629">
        <v>0</v>
      </c>
      <c r="L385" s="629">
        <v>4</v>
      </c>
      <c r="M385" s="629">
        <v>0</v>
      </c>
      <c r="N385" s="629">
        <v>0</v>
      </c>
      <c r="AC385" s="282"/>
      <c r="AD385" s="282"/>
      <c r="AE385" s="282"/>
      <c r="AF385" s="282"/>
      <c r="AG385" s="282"/>
      <c r="AH385" s="282"/>
      <c r="AI385" s="282"/>
      <c r="AJ385" s="282"/>
      <c r="AK385" s="282"/>
      <c r="AL385" s="282"/>
      <c r="AM385" s="282"/>
      <c r="AN385" s="282"/>
      <c r="AO385" s="282"/>
    </row>
    <row r="386" spans="1:41" s="263" customFormat="1" ht="9" customHeight="1" x14ac:dyDescent="0.25">
      <c r="A386" s="550" t="s">
        <v>32</v>
      </c>
      <c r="B386" s="629">
        <f t="shared" si="43"/>
        <v>390</v>
      </c>
      <c r="C386" s="629"/>
      <c r="D386" s="629">
        <f t="shared" si="41"/>
        <v>382</v>
      </c>
      <c r="E386" s="629">
        <v>198</v>
      </c>
      <c r="F386" s="629"/>
      <c r="G386" s="629">
        <f t="shared" si="42"/>
        <v>168</v>
      </c>
      <c r="H386" s="629">
        <v>35</v>
      </c>
      <c r="I386" s="629">
        <v>22</v>
      </c>
      <c r="J386" s="629">
        <v>111</v>
      </c>
      <c r="K386" s="629">
        <v>4</v>
      </c>
      <c r="L386" s="629">
        <v>7</v>
      </c>
      <c r="M386" s="629">
        <v>5</v>
      </c>
      <c r="N386" s="629">
        <v>8</v>
      </c>
      <c r="AC386" s="282"/>
      <c r="AD386" s="282"/>
      <c r="AE386" s="282"/>
      <c r="AF386" s="282"/>
      <c r="AG386" s="282"/>
      <c r="AH386" s="282"/>
      <c r="AI386" s="282"/>
      <c r="AJ386" s="282"/>
      <c r="AK386" s="282"/>
      <c r="AL386" s="282"/>
      <c r="AM386" s="282"/>
      <c r="AN386" s="282"/>
      <c r="AO386" s="282"/>
    </row>
    <row r="387" spans="1:41" s="263" customFormat="1" ht="9" customHeight="1" x14ac:dyDescent="0.25">
      <c r="A387" s="603" t="s">
        <v>33</v>
      </c>
      <c r="B387" s="630">
        <f t="shared" si="43"/>
        <v>287</v>
      </c>
      <c r="C387" s="630"/>
      <c r="D387" s="630">
        <f t="shared" si="41"/>
        <v>285</v>
      </c>
      <c r="E387" s="630">
        <v>94</v>
      </c>
      <c r="F387" s="630"/>
      <c r="G387" s="630">
        <f t="shared" si="42"/>
        <v>187</v>
      </c>
      <c r="H387" s="630">
        <v>32</v>
      </c>
      <c r="I387" s="630">
        <v>23</v>
      </c>
      <c r="J387" s="630">
        <v>132</v>
      </c>
      <c r="K387" s="630">
        <v>0</v>
      </c>
      <c r="L387" s="630">
        <v>0</v>
      </c>
      <c r="M387" s="630">
        <v>4</v>
      </c>
      <c r="N387" s="630">
        <v>2</v>
      </c>
      <c r="AC387" s="282"/>
      <c r="AD387" s="282"/>
      <c r="AE387" s="282"/>
      <c r="AF387" s="282"/>
      <c r="AG387" s="282"/>
      <c r="AH387" s="282"/>
      <c r="AI387" s="282"/>
      <c r="AJ387" s="282"/>
      <c r="AK387" s="282"/>
      <c r="AL387" s="282"/>
      <c r="AM387" s="282"/>
      <c r="AN387" s="282"/>
      <c r="AO387" s="282"/>
    </row>
    <row r="388" spans="1:41" s="263" customFormat="1" ht="9" customHeight="1" x14ac:dyDescent="0.25">
      <c r="A388" s="550" t="s">
        <v>34</v>
      </c>
      <c r="B388" s="629">
        <f t="shared" si="43"/>
        <v>484</v>
      </c>
      <c r="C388" s="629"/>
      <c r="D388" s="629">
        <f t="shared" si="41"/>
        <v>466</v>
      </c>
      <c r="E388" s="629">
        <v>129</v>
      </c>
      <c r="F388" s="629"/>
      <c r="G388" s="629">
        <f t="shared" si="42"/>
        <v>318</v>
      </c>
      <c r="H388" s="629">
        <v>58</v>
      </c>
      <c r="I388" s="629">
        <v>42</v>
      </c>
      <c r="J388" s="629">
        <v>218</v>
      </c>
      <c r="K388" s="629">
        <v>1</v>
      </c>
      <c r="L388" s="629">
        <v>2</v>
      </c>
      <c r="M388" s="629">
        <v>16</v>
      </c>
      <c r="N388" s="629">
        <v>18</v>
      </c>
      <c r="AC388" s="282"/>
      <c r="AD388" s="282"/>
      <c r="AE388" s="282"/>
      <c r="AF388" s="282"/>
      <c r="AG388" s="282"/>
      <c r="AH388" s="282"/>
      <c r="AI388" s="282"/>
      <c r="AJ388" s="282"/>
      <c r="AK388" s="282"/>
      <c r="AL388" s="282"/>
      <c r="AM388" s="282"/>
      <c r="AN388" s="282"/>
      <c r="AO388" s="282"/>
    </row>
    <row r="389" spans="1:41" s="263" customFormat="1" ht="9" customHeight="1" x14ac:dyDescent="0.25">
      <c r="A389" s="550" t="s">
        <v>35</v>
      </c>
      <c r="B389" s="629">
        <f t="shared" si="43"/>
        <v>1000</v>
      </c>
      <c r="C389" s="629"/>
      <c r="D389" s="629">
        <f t="shared" si="41"/>
        <v>963</v>
      </c>
      <c r="E389" s="629">
        <v>236</v>
      </c>
      <c r="F389" s="629"/>
      <c r="G389" s="629">
        <f t="shared" si="42"/>
        <v>563</v>
      </c>
      <c r="H389" s="629">
        <v>83</v>
      </c>
      <c r="I389" s="629">
        <v>64</v>
      </c>
      <c r="J389" s="629">
        <v>416</v>
      </c>
      <c r="K389" s="629">
        <v>29</v>
      </c>
      <c r="L389" s="629">
        <v>126</v>
      </c>
      <c r="M389" s="629">
        <v>9</v>
      </c>
      <c r="N389" s="629">
        <v>37</v>
      </c>
      <c r="AC389" s="282"/>
      <c r="AD389" s="282"/>
      <c r="AE389" s="282"/>
      <c r="AF389" s="282"/>
      <c r="AG389" s="282"/>
      <c r="AH389" s="282"/>
      <c r="AI389" s="282"/>
      <c r="AJ389" s="282"/>
      <c r="AK389" s="282"/>
      <c r="AL389" s="282"/>
      <c r="AM389" s="282"/>
      <c r="AN389" s="282"/>
      <c r="AO389" s="282"/>
    </row>
    <row r="390" spans="1:41" s="263" customFormat="1" ht="9" customHeight="1" x14ac:dyDescent="0.25">
      <c r="A390" s="550" t="s">
        <v>36</v>
      </c>
      <c r="B390" s="629">
        <f t="shared" si="43"/>
        <v>1686</v>
      </c>
      <c r="C390" s="629"/>
      <c r="D390" s="629">
        <f t="shared" si="41"/>
        <v>1659</v>
      </c>
      <c r="E390" s="629">
        <v>876</v>
      </c>
      <c r="F390" s="629"/>
      <c r="G390" s="629">
        <f t="shared" si="42"/>
        <v>653</v>
      </c>
      <c r="H390" s="629">
        <v>147</v>
      </c>
      <c r="I390" s="629">
        <v>126</v>
      </c>
      <c r="J390" s="629">
        <v>380</v>
      </c>
      <c r="K390" s="629">
        <v>42</v>
      </c>
      <c r="L390" s="629">
        <v>57</v>
      </c>
      <c r="M390" s="629">
        <v>31</v>
      </c>
      <c r="N390" s="629">
        <v>27</v>
      </c>
      <c r="AC390" s="282"/>
      <c r="AD390" s="282"/>
      <c r="AE390" s="282"/>
      <c r="AF390" s="282"/>
      <c r="AG390" s="282"/>
      <c r="AH390" s="282"/>
      <c r="AI390" s="282"/>
      <c r="AJ390" s="282"/>
      <c r="AK390" s="282"/>
      <c r="AL390" s="282"/>
      <c r="AM390" s="282"/>
      <c r="AN390" s="282"/>
      <c r="AO390" s="282"/>
    </row>
    <row r="391" spans="1:41" s="263" customFormat="1" ht="9" customHeight="1" x14ac:dyDescent="0.25">
      <c r="A391" s="603" t="s">
        <v>37</v>
      </c>
      <c r="B391" s="630">
        <f t="shared" si="43"/>
        <v>559</v>
      </c>
      <c r="C391" s="630"/>
      <c r="D391" s="630">
        <f t="shared" si="41"/>
        <v>558</v>
      </c>
      <c r="E391" s="630">
        <v>286</v>
      </c>
      <c r="F391" s="630"/>
      <c r="G391" s="630">
        <f t="shared" si="42"/>
        <v>224</v>
      </c>
      <c r="H391" s="630">
        <v>45</v>
      </c>
      <c r="I391" s="630">
        <v>30</v>
      </c>
      <c r="J391" s="630">
        <v>149</v>
      </c>
      <c r="K391" s="630">
        <v>18</v>
      </c>
      <c r="L391" s="630">
        <v>26</v>
      </c>
      <c r="M391" s="630">
        <v>4</v>
      </c>
      <c r="N391" s="630">
        <v>1</v>
      </c>
      <c r="AC391" s="282"/>
      <c r="AD391" s="282"/>
      <c r="AE391" s="282"/>
      <c r="AF391" s="282"/>
      <c r="AG391" s="282"/>
      <c r="AH391" s="282"/>
      <c r="AI391" s="282"/>
      <c r="AJ391" s="282"/>
      <c r="AK391" s="282"/>
      <c r="AL391" s="282"/>
      <c r="AM391" s="282"/>
      <c r="AN391" s="282"/>
      <c r="AO391" s="282"/>
    </row>
    <row r="392" spans="1:41" s="263" customFormat="1" ht="9" customHeight="1" x14ac:dyDescent="0.25">
      <c r="A392" s="550" t="s">
        <v>38</v>
      </c>
      <c r="B392" s="629">
        <f t="shared" si="43"/>
        <v>154</v>
      </c>
      <c r="C392" s="629"/>
      <c r="D392" s="629">
        <f t="shared" si="41"/>
        <v>151</v>
      </c>
      <c r="E392" s="629">
        <v>79</v>
      </c>
      <c r="F392" s="629"/>
      <c r="G392" s="629">
        <f t="shared" si="42"/>
        <v>70</v>
      </c>
      <c r="H392" s="629">
        <v>16</v>
      </c>
      <c r="I392" s="629">
        <v>9</v>
      </c>
      <c r="J392" s="629">
        <v>45</v>
      </c>
      <c r="K392" s="629">
        <v>1</v>
      </c>
      <c r="L392" s="629">
        <v>0</v>
      </c>
      <c r="M392" s="629">
        <v>1</v>
      </c>
      <c r="N392" s="629">
        <v>3</v>
      </c>
      <c r="AC392" s="282"/>
      <c r="AD392" s="282"/>
      <c r="AE392" s="282"/>
      <c r="AF392" s="282"/>
      <c r="AG392" s="282"/>
      <c r="AH392" s="282"/>
      <c r="AI392" s="282"/>
      <c r="AJ392" s="282"/>
      <c r="AK392" s="282"/>
      <c r="AL392" s="282"/>
      <c r="AM392" s="282"/>
      <c r="AN392" s="282"/>
      <c r="AO392" s="282"/>
    </row>
    <row r="393" spans="1:41" s="263" customFormat="1" ht="9" customHeight="1" x14ac:dyDescent="0.25">
      <c r="A393" s="550" t="s">
        <v>39</v>
      </c>
      <c r="B393" s="629">
        <f t="shared" si="43"/>
        <v>56</v>
      </c>
      <c r="C393" s="629"/>
      <c r="D393" s="629">
        <f t="shared" si="41"/>
        <v>56</v>
      </c>
      <c r="E393" s="629">
        <v>25</v>
      </c>
      <c r="F393" s="629"/>
      <c r="G393" s="629">
        <f t="shared" si="42"/>
        <v>31</v>
      </c>
      <c r="H393" s="629">
        <v>7</v>
      </c>
      <c r="I393" s="629">
        <v>5</v>
      </c>
      <c r="J393" s="629">
        <v>19</v>
      </c>
      <c r="K393" s="629">
        <v>0</v>
      </c>
      <c r="L393" s="629">
        <v>0</v>
      </c>
      <c r="M393" s="629">
        <v>0</v>
      </c>
      <c r="N393" s="629">
        <v>0</v>
      </c>
      <c r="AC393" s="282"/>
      <c r="AD393" s="282"/>
      <c r="AE393" s="282"/>
      <c r="AF393" s="282"/>
      <c r="AG393" s="282"/>
      <c r="AH393" s="282"/>
      <c r="AI393" s="282"/>
      <c r="AJ393" s="282"/>
      <c r="AK393" s="282"/>
      <c r="AL393" s="282"/>
      <c r="AM393" s="282"/>
      <c r="AN393" s="282"/>
      <c r="AO393" s="282"/>
    </row>
    <row r="394" spans="1:41" s="263" customFormat="1" ht="9" customHeight="1" x14ac:dyDescent="0.25">
      <c r="A394" s="550" t="s">
        <v>40</v>
      </c>
      <c r="B394" s="629">
        <f t="shared" si="43"/>
        <v>608</v>
      </c>
      <c r="C394" s="629"/>
      <c r="D394" s="629">
        <f t="shared" si="41"/>
        <v>580</v>
      </c>
      <c r="E394" s="629">
        <v>84</v>
      </c>
      <c r="F394" s="629"/>
      <c r="G394" s="629">
        <f t="shared" si="42"/>
        <v>297</v>
      </c>
      <c r="H394" s="629">
        <v>47</v>
      </c>
      <c r="I394" s="629">
        <v>49</v>
      </c>
      <c r="J394" s="629">
        <v>201</v>
      </c>
      <c r="K394" s="629">
        <v>45</v>
      </c>
      <c r="L394" s="629">
        <v>126</v>
      </c>
      <c r="M394" s="629">
        <v>28</v>
      </c>
      <c r="N394" s="629">
        <v>28</v>
      </c>
      <c r="AC394" s="282"/>
      <c r="AD394" s="282"/>
      <c r="AE394" s="282"/>
      <c r="AF394" s="282"/>
      <c r="AG394" s="282"/>
      <c r="AH394" s="282"/>
      <c r="AI394" s="282"/>
      <c r="AJ394" s="282"/>
      <c r="AK394" s="282"/>
      <c r="AL394" s="282"/>
      <c r="AM394" s="282"/>
      <c r="AN394" s="282"/>
      <c r="AO394" s="282"/>
    </row>
    <row r="395" spans="1:41" s="263" customFormat="1" ht="9" customHeight="1" x14ac:dyDescent="0.25">
      <c r="A395" s="603" t="s">
        <v>41</v>
      </c>
      <c r="B395" s="630">
        <f t="shared" si="43"/>
        <v>173</v>
      </c>
      <c r="C395" s="630"/>
      <c r="D395" s="630">
        <f t="shared" si="41"/>
        <v>162</v>
      </c>
      <c r="E395" s="630">
        <v>90</v>
      </c>
      <c r="F395" s="630"/>
      <c r="G395" s="630">
        <f t="shared" si="42"/>
        <v>62</v>
      </c>
      <c r="H395" s="630">
        <v>8</v>
      </c>
      <c r="I395" s="630">
        <v>8</v>
      </c>
      <c r="J395" s="630">
        <v>46</v>
      </c>
      <c r="K395" s="630">
        <v>0</v>
      </c>
      <c r="L395" s="630">
        <v>0</v>
      </c>
      <c r="M395" s="630">
        <v>10</v>
      </c>
      <c r="N395" s="630">
        <v>11</v>
      </c>
      <c r="AC395" s="282"/>
      <c r="AD395" s="282"/>
      <c r="AE395" s="282"/>
      <c r="AF395" s="282"/>
      <c r="AG395" s="282"/>
      <c r="AH395" s="282"/>
      <c r="AI395" s="282"/>
      <c r="AJ395" s="282"/>
      <c r="AK395" s="282"/>
      <c r="AL395" s="282"/>
      <c r="AM395" s="282"/>
      <c r="AN395" s="282"/>
      <c r="AO395" s="282"/>
    </row>
    <row r="396" spans="1:41" s="263" customFormat="1" ht="9" customHeight="1" x14ac:dyDescent="0.25">
      <c r="A396" s="550" t="s">
        <v>42</v>
      </c>
      <c r="B396" s="629">
        <f t="shared" si="43"/>
        <v>488</v>
      </c>
      <c r="C396" s="629"/>
      <c r="D396" s="629">
        <f t="shared" si="41"/>
        <v>481</v>
      </c>
      <c r="E396" s="629">
        <v>205</v>
      </c>
      <c r="F396" s="629"/>
      <c r="G396" s="629">
        <f t="shared" si="42"/>
        <v>238</v>
      </c>
      <c r="H396" s="629">
        <v>25</v>
      </c>
      <c r="I396" s="629">
        <v>19</v>
      </c>
      <c r="J396" s="629">
        <v>194</v>
      </c>
      <c r="K396" s="629">
        <v>20</v>
      </c>
      <c r="L396" s="629">
        <v>8</v>
      </c>
      <c r="M396" s="629">
        <v>10</v>
      </c>
      <c r="N396" s="629">
        <v>7</v>
      </c>
      <c r="AC396" s="282"/>
      <c r="AD396" s="282"/>
      <c r="AE396" s="282"/>
      <c r="AF396" s="282"/>
      <c r="AG396" s="282"/>
      <c r="AH396" s="282"/>
      <c r="AI396" s="282"/>
      <c r="AJ396" s="282"/>
      <c r="AK396" s="282"/>
      <c r="AL396" s="282"/>
      <c r="AM396" s="282"/>
      <c r="AN396" s="282"/>
      <c r="AO396" s="282"/>
    </row>
    <row r="397" spans="1:41" s="263" customFormat="1" ht="9" customHeight="1" x14ac:dyDescent="0.25">
      <c r="A397" s="550" t="s">
        <v>43</v>
      </c>
      <c r="B397" s="629">
        <f t="shared" si="43"/>
        <v>156</v>
      </c>
      <c r="C397" s="629"/>
      <c r="D397" s="629">
        <f t="shared" si="41"/>
        <v>155</v>
      </c>
      <c r="E397" s="629">
        <v>65</v>
      </c>
      <c r="F397" s="629"/>
      <c r="G397" s="629">
        <f t="shared" si="42"/>
        <v>89</v>
      </c>
      <c r="H397" s="629">
        <v>11</v>
      </c>
      <c r="I397" s="629">
        <v>8</v>
      </c>
      <c r="J397" s="629">
        <v>70</v>
      </c>
      <c r="K397" s="629">
        <v>0</v>
      </c>
      <c r="L397" s="629">
        <v>0</v>
      </c>
      <c r="M397" s="629">
        <v>1</v>
      </c>
      <c r="N397" s="629">
        <v>1</v>
      </c>
      <c r="AC397" s="282"/>
      <c r="AD397" s="282"/>
      <c r="AE397" s="282"/>
      <c r="AF397" s="282"/>
      <c r="AG397" s="282"/>
      <c r="AH397" s="282"/>
      <c r="AI397" s="282"/>
      <c r="AJ397" s="282"/>
      <c r="AK397" s="282"/>
      <c r="AL397" s="282"/>
      <c r="AM397" s="282"/>
      <c r="AN397" s="282"/>
      <c r="AO397" s="282"/>
    </row>
    <row r="398" spans="1:41" s="263" customFormat="1" ht="9" customHeight="1" x14ac:dyDescent="0.25">
      <c r="A398" s="550" t="s">
        <v>44</v>
      </c>
      <c r="B398" s="629">
        <f t="shared" si="43"/>
        <v>89</v>
      </c>
      <c r="C398" s="629"/>
      <c r="D398" s="629">
        <f t="shared" si="41"/>
        <v>86</v>
      </c>
      <c r="E398" s="629">
        <v>36</v>
      </c>
      <c r="F398" s="629"/>
      <c r="G398" s="629">
        <f t="shared" si="42"/>
        <v>44</v>
      </c>
      <c r="H398" s="629">
        <v>9</v>
      </c>
      <c r="I398" s="629">
        <v>4</v>
      </c>
      <c r="J398" s="629">
        <v>31</v>
      </c>
      <c r="K398" s="629">
        <v>0</v>
      </c>
      <c r="L398" s="629">
        <v>0</v>
      </c>
      <c r="M398" s="629">
        <v>6</v>
      </c>
      <c r="N398" s="629">
        <v>3</v>
      </c>
      <c r="AC398" s="282"/>
      <c r="AD398" s="282"/>
      <c r="AE398" s="282"/>
      <c r="AF398" s="282"/>
      <c r="AG398" s="282"/>
      <c r="AH398" s="282"/>
      <c r="AI398" s="282"/>
      <c r="AJ398" s="282"/>
      <c r="AK398" s="282"/>
      <c r="AL398" s="282"/>
      <c r="AM398" s="282"/>
      <c r="AN398" s="282"/>
      <c r="AO398" s="282"/>
    </row>
    <row r="399" spans="1:41" s="263" customFormat="1" ht="9" customHeight="1" x14ac:dyDescent="0.25">
      <c r="A399" s="603" t="s">
        <v>45</v>
      </c>
      <c r="B399" s="630">
        <f t="shared" si="43"/>
        <v>237</v>
      </c>
      <c r="C399" s="630"/>
      <c r="D399" s="630">
        <f t="shared" si="41"/>
        <v>230</v>
      </c>
      <c r="E399" s="630">
        <v>173</v>
      </c>
      <c r="F399" s="630"/>
      <c r="G399" s="630">
        <f t="shared" si="42"/>
        <v>44</v>
      </c>
      <c r="H399" s="630">
        <v>3</v>
      </c>
      <c r="I399" s="630">
        <v>10</v>
      </c>
      <c r="J399" s="630">
        <v>31</v>
      </c>
      <c r="K399" s="630">
        <v>3</v>
      </c>
      <c r="L399" s="630">
        <v>10</v>
      </c>
      <c r="M399" s="630">
        <v>0</v>
      </c>
      <c r="N399" s="630">
        <v>7</v>
      </c>
      <c r="AC399" s="282"/>
      <c r="AD399" s="282"/>
      <c r="AE399" s="282"/>
      <c r="AF399" s="282"/>
      <c r="AG399" s="282"/>
      <c r="AH399" s="282"/>
      <c r="AI399" s="282"/>
      <c r="AJ399" s="282"/>
      <c r="AK399" s="282"/>
      <c r="AL399" s="282"/>
      <c r="AM399" s="282"/>
      <c r="AN399" s="282"/>
      <c r="AO399" s="282"/>
    </row>
    <row r="400" spans="1:41" s="263" customFormat="1" ht="9" customHeight="1" x14ac:dyDescent="0.25">
      <c r="A400" s="550" t="s">
        <v>46</v>
      </c>
      <c r="B400" s="629">
        <f t="shared" si="43"/>
        <v>92</v>
      </c>
      <c r="C400" s="629"/>
      <c r="D400" s="629">
        <f t="shared" si="41"/>
        <v>92</v>
      </c>
      <c r="E400" s="629">
        <v>44</v>
      </c>
      <c r="F400" s="629"/>
      <c r="G400" s="629">
        <f t="shared" si="42"/>
        <v>42</v>
      </c>
      <c r="H400" s="629">
        <v>8</v>
      </c>
      <c r="I400" s="629">
        <v>5</v>
      </c>
      <c r="J400" s="629">
        <v>29</v>
      </c>
      <c r="K400" s="629">
        <v>4</v>
      </c>
      <c r="L400" s="629">
        <v>0</v>
      </c>
      <c r="M400" s="629">
        <v>2</v>
      </c>
      <c r="N400" s="629">
        <v>0</v>
      </c>
      <c r="AC400" s="282"/>
      <c r="AD400" s="282"/>
      <c r="AE400" s="282"/>
      <c r="AF400" s="282"/>
      <c r="AG400" s="282"/>
      <c r="AH400" s="282"/>
      <c r="AI400" s="282"/>
      <c r="AJ400" s="282"/>
      <c r="AK400" s="282"/>
      <c r="AL400" s="282"/>
      <c r="AM400" s="282"/>
      <c r="AN400" s="282"/>
      <c r="AO400" s="282"/>
    </row>
    <row r="401" spans="1:41" s="263" customFormat="1" ht="9" customHeight="1" x14ac:dyDescent="0.25">
      <c r="A401" s="550" t="s">
        <v>47</v>
      </c>
      <c r="B401" s="629">
        <f t="shared" si="43"/>
        <v>368</v>
      </c>
      <c r="C401" s="629"/>
      <c r="D401" s="629">
        <f t="shared" si="41"/>
        <v>357</v>
      </c>
      <c r="E401" s="629">
        <v>171</v>
      </c>
      <c r="F401" s="629"/>
      <c r="G401" s="629">
        <f t="shared" si="42"/>
        <v>177</v>
      </c>
      <c r="H401" s="629">
        <v>38</v>
      </c>
      <c r="I401" s="629">
        <v>32</v>
      </c>
      <c r="J401" s="629">
        <v>107</v>
      </c>
      <c r="K401" s="629">
        <v>0</v>
      </c>
      <c r="L401" s="629">
        <v>8</v>
      </c>
      <c r="M401" s="629">
        <v>1</v>
      </c>
      <c r="N401" s="629">
        <v>11</v>
      </c>
      <c r="AC401" s="282"/>
      <c r="AD401" s="282"/>
      <c r="AE401" s="282"/>
      <c r="AF401" s="282"/>
      <c r="AG401" s="282"/>
      <c r="AH401" s="282"/>
      <c r="AI401" s="282"/>
      <c r="AJ401" s="282"/>
      <c r="AK401" s="282"/>
      <c r="AL401" s="282"/>
      <c r="AM401" s="282"/>
      <c r="AN401" s="282"/>
      <c r="AO401" s="282"/>
    </row>
    <row r="402" spans="1:41" s="263" customFormat="1" ht="9" customHeight="1" x14ac:dyDescent="0.25">
      <c r="A402" s="550" t="s">
        <v>48</v>
      </c>
      <c r="B402" s="629">
        <f t="shared" si="43"/>
        <v>86</v>
      </c>
      <c r="C402" s="629"/>
      <c r="D402" s="629">
        <f t="shared" si="41"/>
        <v>80</v>
      </c>
      <c r="E402" s="629">
        <v>67</v>
      </c>
      <c r="F402" s="629"/>
      <c r="G402" s="629">
        <f t="shared" si="42"/>
        <v>13</v>
      </c>
      <c r="H402" s="629">
        <v>3</v>
      </c>
      <c r="I402" s="629">
        <v>1</v>
      </c>
      <c r="J402" s="629">
        <v>9</v>
      </c>
      <c r="K402" s="629">
        <v>0</v>
      </c>
      <c r="L402" s="629">
        <v>0</v>
      </c>
      <c r="M402" s="629">
        <v>0</v>
      </c>
      <c r="N402" s="629">
        <v>6</v>
      </c>
      <c r="AC402" s="282"/>
      <c r="AD402" s="282"/>
      <c r="AE402" s="282"/>
      <c r="AF402" s="282"/>
      <c r="AG402" s="282"/>
      <c r="AH402" s="282"/>
      <c r="AI402" s="282"/>
      <c r="AJ402" s="282"/>
      <c r="AK402" s="282"/>
      <c r="AL402" s="282"/>
      <c r="AM402" s="282"/>
      <c r="AN402" s="282"/>
      <c r="AO402" s="282"/>
    </row>
    <row r="403" spans="1:41" s="263" customFormat="1" ht="9" customHeight="1" x14ac:dyDescent="0.25">
      <c r="A403" s="603" t="s">
        <v>49</v>
      </c>
      <c r="B403" s="630">
        <f t="shared" si="43"/>
        <v>238</v>
      </c>
      <c r="C403" s="630"/>
      <c r="D403" s="630">
        <f t="shared" si="41"/>
        <v>238</v>
      </c>
      <c r="E403" s="630">
        <v>92</v>
      </c>
      <c r="F403" s="630"/>
      <c r="G403" s="630">
        <f t="shared" si="42"/>
        <v>128</v>
      </c>
      <c r="H403" s="630">
        <v>21</v>
      </c>
      <c r="I403" s="630">
        <v>12</v>
      </c>
      <c r="J403" s="630">
        <v>95</v>
      </c>
      <c r="K403" s="630">
        <v>11</v>
      </c>
      <c r="L403" s="630">
        <v>3</v>
      </c>
      <c r="M403" s="630">
        <v>4</v>
      </c>
      <c r="N403" s="630">
        <v>0</v>
      </c>
      <c r="AC403" s="282"/>
      <c r="AD403" s="282"/>
      <c r="AE403" s="282"/>
      <c r="AF403" s="282"/>
      <c r="AG403" s="282"/>
      <c r="AH403" s="282"/>
      <c r="AI403" s="282"/>
      <c r="AJ403" s="282"/>
      <c r="AK403" s="282"/>
      <c r="AL403" s="282"/>
      <c r="AM403" s="282"/>
      <c r="AN403" s="282"/>
      <c r="AO403" s="282"/>
    </row>
    <row r="404" spans="1:41" s="263" customFormat="1" ht="9" customHeight="1" x14ac:dyDescent="0.25">
      <c r="A404" s="550" t="s">
        <v>50</v>
      </c>
      <c r="B404" s="629">
        <f t="shared" si="43"/>
        <v>140</v>
      </c>
      <c r="C404" s="629"/>
      <c r="D404" s="629">
        <f t="shared" si="41"/>
        <v>140</v>
      </c>
      <c r="E404" s="629">
        <v>64</v>
      </c>
      <c r="F404" s="629"/>
      <c r="G404" s="629">
        <f t="shared" si="42"/>
        <v>73</v>
      </c>
      <c r="H404" s="629">
        <v>13</v>
      </c>
      <c r="I404" s="629">
        <v>13</v>
      </c>
      <c r="J404" s="629">
        <v>47</v>
      </c>
      <c r="K404" s="629">
        <v>2</v>
      </c>
      <c r="L404" s="629">
        <v>0</v>
      </c>
      <c r="M404" s="629">
        <v>1</v>
      </c>
      <c r="N404" s="629">
        <v>0</v>
      </c>
      <c r="AC404" s="282"/>
      <c r="AD404" s="282"/>
      <c r="AE404" s="282"/>
      <c r="AF404" s="282"/>
      <c r="AG404" s="282"/>
      <c r="AH404" s="282"/>
      <c r="AI404" s="282"/>
      <c r="AJ404" s="282"/>
      <c r="AK404" s="282"/>
      <c r="AL404" s="282"/>
      <c r="AM404" s="282"/>
      <c r="AN404" s="282"/>
      <c r="AO404" s="282"/>
    </row>
    <row r="405" spans="1:41" s="263" customFormat="1" ht="9" customHeight="1" x14ac:dyDescent="0.25">
      <c r="A405" s="550" t="s">
        <v>51</v>
      </c>
      <c r="B405" s="629">
        <f t="shared" si="43"/>
        <v>575</v>
      </c>
      <c r="C405" s="629"/>
      <c r="D405" s="629">
        <f t="shared" si="41"/>
        <v>563</v>
      </c>
      <c r="E405" s="629">
        <v>243</v>
      </c>
      <c r="F405" s="629"/>
      <c r="G405" s="629">
        <f t="shared" si="42"/>
        <v>304</v>
      </c>
      <c r="H405" s="629">
        <v>77</v>
      </c>
      <c r="I405" s="629">
        <v>41</v>
      </c>
      <c r="J405" s="629">
        <v>186</v>
      </c>
      <c r="K405" s="629">
        <v>8</v>
      </c>
      <c r="L405" s="629">
        <v>0</v>
      </c>
      <c r="M405" s="629">
        <v>8</v>
      </c>
      <c r="N405" s="629">
        <v>12</v>
      </c>
      <c r="AC405" s="282"/>
      <c r="AD405" s="282"/>
      <c r="AE405" s="282"/>
      <c r="AF405" s="282"/>
      <c r="AG405" s="282"/>
      <c r="AH405" s="282"/>
      <c r="AI405" s="282"/>
      <c r="AJ405" s="282"/>
      <c r="AK405" s="282"/>
      <c r="AL405" s="282"/>
      <c r="AM405" s="282"/>
      <c r="AN405" s="282"/>
      <c r="AO405" s="282"/>
    </row>
    <row r="406" spans="1:41" s="263" customFormat="1" ht="9" customHeight="1" x14ac:dyDescent="0.25">
      <c r="A406" s="550" t="s">
        <v>52</v>
      </c>
      <c r="B406" s="629">
        <f t="shared" si="43"/>
        <v>96</v>
      </c>
      <c r="C406" s="629"/>
      <c r="D406" s="629">
        <f t="shared" si="41"/>
        <v>92</v>
      </c>
      <c r="E406" s="629">
        <v>46</v>
      </c>
      <c r="F406" s="629"/>
      <c r="G406" s="629">
        <f t="shared" si="42"/>
        <v>39</v>
      </c>
      <c r="H406" s="629">
        <v>11</v>
      </c>
      <c r="I406" s="629">
        <v>5</v>
      </c>
      <c r="J406" s="629">
        <v>23</v>
      </c>
      <c r="K406" s="629">
        <v>1</v>
      </c>
      <c r="L406" s="629">
        <v>5</v>
      </c>
      <c r="M406" s="629">
        <v>1</v>
      </c>
      <c r="N406" s="629">
        <v>4</v>
      </c>
      <c r="AC406" s="282"/>
      <c r="AD406" s="282"/>
      <c r="AE406" s="282"/>
      <c r="AF406" s="282"/>
      <c r="AG406" s="282"/>
      <c r="AH406" s="282"/>
      <c r="AI406" s="282"/>
      <c r="AJ406" s="282"/>
      <c r="AK406" s="282"/>
      <c r="AL406" s="282"/>
      <c r="AM406" s="282"/>
      <c r="AN406" s="282"/>
      <c r="AO406" s="282"/>
    </row>
    <row r="407" spans="1:41" s="263" customFormat="1" ht="9" customHeight="1" x14ac:dyDescent="0.25">
      <c r="A407" s="267" t="s">
        <v>53</v>
      </c>
      <c r="B407" s="268">
        <f t="shared" si="43"/>
        <v>67</v>
      </c>
      <c r="C407" s="268"/>
      <c r="D407" s="268">
        <f t="shared" si="41"/>
        <v>63</v>
      </c>
      <c r="E407" s="268">
        <v>28</v>
      </c>
      <c r="F407" s="268"/>
      <c r="G407" s="268">
        <f t="shared" si="42"/>
        <v>35</v>
      </c>
      <c r="H407" s="268">
        <v>8</v>
      </c>
      <c r="I407" s="268">
        <v>4</v>
      </c>
      <c r="J407" s="268">
        <v>23</v>
      </c>
      <c r="K407" s="268">
        <v>0</v>
      </c>
      <c r="L407" s="268">
        <v>0</v>
      </c>
      <c r="M407" s="268">
        <v>0</v>
      </c>
      <c r="N407" s="268">
        <v>4</v>
      </c>
      <c r="AC407" s="282"/>
      <c r="AD407" s="282"/>
      <c r="AE407" s="282"/>
      <c r="AF407" s="282"/>
      <c r="AG407" s="282"/>
      <c r="AH407" s="282"/>
      <c r="AI407" s="282"/>
      <c r="AJ407" s="282"/>
      <c r="AK407" s="282"/>
      <c r="AL407" s="282"/>
      <c r="AM407" s="282"/>
      <c r="AN407" s="282"/>
      <c r="AO407" s="282"/>
    </row>
    <row r="408" spans="1:41" ht="9" customHeight="1" x14ac:dyDescent="0.25">
      <c r="B408" s="259"/>
      <c r="C408" s="259"/>
      <c r="D408" s="259"/>
      <c r="E408" s="259"/>
      <c r="F408" s="259"/>
      <c r="G408" s="259"/>
      <c r="H408" s="259"/>
      <c r="I408" s="259"/>
      <c r="J408" s="259"/>
      <c r="K408" s="259"/>
      <c r="L408" s="259"/>
      <c r="AC408" s="282"/>
      <c r="AD408" s="282"/>
      <c r="AE408" s="282"/>
      <c r="AF408" s="282"/>
      <c r="AG408" s="282"/>
      <c r="AH408" s="282"/>
      <c r="AI408" s="282"/>
      <c r="AJ408" s="282"/>
      <c r="AK408" s="282"/>
      <c r="AL408" s="282"/>
      <c r="AM408" s="282"/>
      <c r="AN408" s="282"/>
      <c r="AO408" s="282"/>
    </row>
    <row r="409" spans="1:41" ht="9" customHeight="1" x14ac:dyDescent="0.25">
      <c r="A409" s="601">
        <v>2012</v>
      </c>
      <c r="B409" s="262"/>
      <c r="C409" s="262"/>
      <c r="D409" s="262"/>
      <c r="E409" s="262"/>
      <c r="F409" s="262"/>
      <c r="G409" s="262"/>
      <c r="H409" s="262"/>
      <c r="I409" s="262"/>
      <c r="J409" s="262"/>
      <c r="K409" s="262"/>
      <c r="L409" s="262"/>
      <c r="M409" s="262"/>
      <c r="N409" s="262"/>
      <c r="AC409" s="282"/>
      <c r="AD409" s="282"/>
      <c r="AE409" s="282"/>
      <c r="AF409" s="282"/>
      <c r="AG409" s="282"/>
      <c r="AH409" s="282"/>
      <c r="AI409" s="282"/>
      <c r="AJ409" s="282"/>
      <c r="AK409" s="282"/>
      <c r="AL409" s="282"/>
      <c r="AM409" s="282"/>
      <c r="AN409" s="282"/>
      <c r="AO409" s="282"/>
    </row>
    <row r="410" spans="1:41" s="265" customFormat="1" ht="9" customHeight="1" x14ac:dyDescent="0.25">
      <c r="A410" s="265" t="s">
        <v>21</v>
      </c>
      <c r="B410" s="262">
        <f>SUM(B412:B443)</f>
        <v>13340</v>
      </c>
      <c r="C410" s="262"/>
      <c r="D410" s="262">
        <f>SUM(D412:D443)</f>
        <v>12978</v>
      </c>
      <c r="E410" s="262">
        <f>SUM(E412:E443)</f>
        <v>4335</v>
      </c>
      <c r="F410" s="262"/>
      <c r="G410" s="262">
        <f t="shared" ref="G410:M410" si="44">SUM(G412:G443)</f>
        <v>6961</v>
      </c>
      <c r="H410" s="262">
        <f t="shared" si="44"/>
        <v>954</v>
      </c>
      <c r="I410" s="262">
        <f t="shared" si="44"/>
        <v>824</v>
      </c>
      <c r="J410" s="262">
        <f t="shared" si="44"/>
        <v>5183</v>
      </c>
      <c r="K410" s="262">
        <f t="shared" si="44"/>
        <v>365</v>
      </c>
      <c r="L410" s="262">
        <f t="shared" si="44"/>
        <v>1053</v>
      </c>
      <c r="M410" s="262">
        <f t="shared" si="44"/>
        <v>264</v>
      </c>
      <c r="N410" s="262">
        <f>SUM(N412:N443)</f>
        <v>362</v>
      </c>
      <c r="AC410" s="282"/>
      <c r="AD410" s="282"/>
      <c r="AE410" s="282"/>
      <c r="AF410" s="282"/>
      <c r="AG410" s="282"/>
      <c r="AH410" s="282"/>
      <c r="AI410" s="282"/>
      <c r="AJ410" s="282"/>
      <c r="AK410" s="282"/>
      <c r="AL410" s="282"/>
      <c r="AM410" s="282"/>
      <c r="AN410" s="282"/>
      <c r="AO410" s="282"/>
    </row>
    <row r="411" spans="1:41" s="265" customFormat="1" ht="3" customHeight="1" x14ac:dyDescent="0.25">
      <c r="B411" s="262"/>
      <c r="C411" s="262"/>
      <c r="D411" s="262"/>
      <c r="E411" s="262"/>
      <c r="F411" s="262"/>
      <c r="G411" s="262"/>
      <c r="H411" s="262"/>
      <c r="I411" s="262"/>
      <c r="J411" s="262"/>
      <c r="K411" s="262"/>
      <c r="L411" s="262"/>
      <c r="M411" s="262"/>
      <c r="N411" s="262"/>
      <c r="AC411" s="282"/>
      <c r="AD411" s="282"/>
      <c r="AE411" s="282"/>
      <c r="AF411" s="282"/>
      <c r="AG411" s="282"/>
      <c r="AH411" s="282"/>
      <c r="AI411" s="282"/>
      <c r="AJ411" s="282"/>
      <c r="AK411" s="282"/>
      <c r="AL411" s="282"/>
      <c r="AM411" s="282"/>
      <c r="AN411" s="282"/>
      <c r="AO411" s="282"/>
    </row>
    <row r="412" spans="1:41" s="263" customFormat="1" ht="9" customHeight="1" x14ac:dyDescent="0.25">
      <c r="A412" s="550" t="s">
        <v>23</v>
      </c>
      <c r="B412" s="629">
        <f>SUM(D412+N412)</f>
        <v>91</v>
      </c>
      <c r="C412" s="629"/>
      <c r="D412" s="629">
        <f t="shared" ref="D412:D443" si="45">SUM(E412+G412+K412+L412+M412)</f>
        <v>90</v>
      </c>
      <c r="E412" s="629">
        <v>15</v>
      </c>
      <c r="F412" s="629"/>
      <c r="G412" s="629">
        <f>SUM(H412:J412)</f>
        <v>61</v>
      </c>
      <c r="H412" s="629">
        <v>9</v>
      </c>
      <c r="I412" s="629">
        <v>8</v>
      </c>
      <c r="J412" s="629">
        <v>44</v>
      </c>
      <c r="K412" s="629">
        <v>11</v>
      </c>
      <c r="L412" s="629">
        <v>0</v>
      </c>
      <c r="M412" s="629">
        <v>3</v>
      </c>
      <c r="N412" s="629">
        <v>1</v>
      </c>
      <c r="AC412" s="282"/>
      <c r="AD412" s="282"/>
      <c r="AE412" s="282"/>
      <c r="AF412" s="282"/>
      <c r="AG412" s="282"/>
      <c r="AH412" s="282"/>
      <c r="AI412" s="282"/>
      <c r="AJ412" s="282"/>
      <c r="AK412" s="282"/>
      <c r="AL412" s="282"/>
      <c r="AM412" s="282"/>
      <c r="AN412" s="282"/>
      <c r="AO412" s="282"/>
    </row>
    <row r="413" spans="1:41" s="263" customFormat="1" ht="9" customHeight="1" x14ac:dyDescent="0.25">
      <c r="A413" s="550" t="s">
        <v>24</v>
      </c>
      <c r="B413" s="629">
        <f>SUM(D413+N413)</f>
        <v>233</v>
      </c>
      <c r="C413" s="629"/>
      <c r="D413" s="629">
        <f t="shared" si="45"/>
        <v>232</v>
      </c>
      <c r="E413" s="629">
        <v>118</v>
      </c>
      <c r="F413" s="629"/>
      <c r="G413" s="629">
        <f>SUM(H413:J413)</f>
        <v>108</v>
      </c>
      <c r="H413" s="629">
        <v>27</v>
      </c>
      <c r="I413" s="629">
        <v>16</v>
      </c>
      <c r="J413" s="629">
        <v>65</v>
      </c>
      <c r="K413" s="629">
        <v>1</v>
      </c>
      <c r="L413" s="629">
        <v>0</v>
      </c>
      <c r="M413" s="629">
        <v>5</v>
      </c>
      <c r="N413" s="629">
        <v>1</v>
      </c>
      <c r="AC413" s="282"/>
      <c r="AD413" s="282"/>
      <c r="AE413" s="282"/>
      <c r="AF413" s="282"/>
      <c r="AG413" s="282"/>
      <c r="AH413" s="282"/>
      <c r="AI413" s="282"/>
      <c r="AJ413" s="282"/>
      <c r="AK413" s="282"/>
      <c r="AL413" s="282"/>
      <c r="AM413" s="282"/>
      <c r="AN413" s="282"/>
      <c r="AO413" s="282"/>
    </row>
    <row r="414" spans="1:41" s="263" customFormat="1" ht="9" customHeight="1" x14ac:dyDescent="0.25">
      <c r="A414" s="550" t="s">
        <v>25</v>
      </c>
      <c r="B414" s="629">
        <f>SUM(D414+N414)</f>
        <v>19</v>
      </c>
      <c r="C414" s="629"/>
      <c r="D414" s="629">
        <f t="shared" si="45"/>
        <v>18</v>
      </c>
      <c r="E414" s="629">
        <v>7</v>
      </c>
      <c r="F414" s="629"/>
      <c r="G414" s="629">
        <f t="shared" ref="G414:G443" si="46">SUM(H414:J414)</f>
        <v>11</v>
      </c>
      <c r="H414" s="629">
        <v>0</v>
      </c>
      <c r="I414" s="629">
        <v>0</v>
      </c>
      <c r="J414" s="629">
        <v>11</v>
      </c>
      <c r="K414" s="629">
        <v>0</v>
      </c>
      <c r="L414" s="629">
        <v>0</v>
      </c>
      <c r="M414" s="629">
        <v>0</v>
      </c>
      <c r="N414" s="629">
        <v>1</v>
      </c>
      <c r="AC414" s="282"/>
      <c r="AD414" s="282"/>
      <c r="AE414" s="282"/>
      <c r="AF414" s="282"/>
      <c r="AG414" s="282"/>
      <c r="AH414" s="282"/>
      <c r="AI414" s="282"/>
      <c r="AJ414" s="282"/>
      <c r="AK414" s="282"/>
      <c r="AL414" s="282"/>
      <c r="AM414" s="282"/>
      <c r="AN414" s="282"/>
      <c r="AO414" s="282"/>
    </row>
    <row r="415" spans="1:41" s="263" customFormat="1" ht="9" customHeight="1" x14ac:dyDescent="0.25">
      <c r="A415" s="603" t="s">
        <v>26</v>
      </c>
      <c r="B415" s="630">
        <f>SUM(D415+N415)</f>
        <v>41</v>
      </c>
      <c r="C415" s="630"/>
      <c r="D415" s="630">
        <f t="shared" si="45"/>
        <v>40</v>
      </c>
      <c r="E415" s="630">
        <v>19</v>
      </c>
      <c r="F415" s="630"/>
      <c r="G415" s="630">
        <f t="shared" si="46"/>
        <v>20</v>
      </c>
      <c r="H415" s="630">
        <v>3</v>
      </c>
      <c r="I415" s="630">
        <v>6</v>
      </c>
      <c r="J415" s="630">
        <v>11</v>
      </c>
      <c r="K415" s="630">
        <v>0</v>
      </c>
      <c r="L415" s="630">
        <v>0</v>
      </c>
      <c r="M415" s="630">
        <v>1</v>
      </c>
      <c r="N415" s="630">
        <v>1</v>
      </c>
      <c r="AC415" s="282"/>
      <c r="AD415" s="282"/>
      <c r="AE415" s="282"/>
      <c r="AF415" s="282"/>
      <c r="AG415" s="282"/>
      <c r="AH415" s="282"/>
      <c r="AI415" s="282"/>
      <c r="AJ415" s="282"/>
      <c r="AK415" s="282"/>
      <c r="AL415" s="282"/>
      <c r="AM415" s="282"/>
      <c r="AN415" s="282"/>
      <c r="AO415" s="282"/>
    </row>
    <row r="416" spans="1:41" s="263" customFormat="1" ht="9" customHeight="1" x14ac:dyDescent="0.25">
      <c r="A416" s="550" t="s">
        <v>27</v>
      </c>
      <c r="B416" s="629">
        <f t="shared" ref="B416:B443" si="47">SUM(D416+N416)</f>
        <v>140</v>
      </c>
      <c r="C416" s="629"/>
      <c r="D416" s="629">
        <f t="shared" si="45"/>
        <v>126</v>
      </c>
      <c r="E416" s="629">
        <v>29</v>
      </c>
      <c r="F416" s="629"/>
      <c r="G416" s="629">
        <f t="shared" si="46"/>
        <v>95</v>
      </c>
      <c r="H416" s="629">
        <v>14</v>
      </c>
      <c r="I416" s="629">
        <v>10</v>
      </c>
      <c r="J416" s="629">
        <v>71</v>
      </c>
      <c r="K416" s="629">
        <v>1</v>
      </c>
      <c r="L416" s="629">
        <v>0</v>
      </c>
      <c r="M416" s="629">
        <v>1</v>
      </c>
      <c r="N416" s="629">
        <v>14</v>
      </c>
      <c r="AC416" s="282"/>
      <c r="AD416" s="282"/>
      <c r="AE416" s="282"/>
      <c r="AF416" s="282"/>
      <c r="AG416" s="282"/>
      <c r="AH416" s="282"/>
      <c r="AI416" s="282"/>
      <c r="AJ416" s="282"/>
      <c r="AK416" s="282"/>
      <c r="AL416" s="282"/>
      <c r="AM416" s="282"/>
      <c r="AN416" s="282"/>
      <c r="AO416" s="282"/>
    </row>
    <row r="417" spans="1:41" s="263" customFormat="1" ht="9" customHeight="1" x14ac:dyDescent="0.25">
      <c r="A417" s="550" t="s">
        <v>28</v>
      </c>
      <c r="B417" s="629">
        <f t="shared" si="47"/>
        <v>45</v>
      </c>
      <c r="C417" s="629"/>
      <c r="D417" s="629">
        <f t="shared" si="45"/>
        <v>44</v>
      </c>
      <c r="E417" s="629">
        <v>20</v>
      </c>
      <c r="F417" s="629"/>
      <c r="G417" s="629">
        <f t="shared" si="46"/>
        <v>24</v>
      </c>
      <c r="H417" s="629">
        <v>4</v>
      </c>
      <c r="I417" s="629">
        <v>3</v>
      </c>
      <c r="J417" s="629">
        <v>17</v>
      </c>
      <c r="K417" s="629">
        <v>0</v>
      </c>
      <c r="L417" s="629">
        <v>0</v>
      </c>
      <c r="M417" s="629">
        <v>0</v>
      </c>
      <c r="N417" s="629">
        <v>1</v>
      </c>
      <c r="AC417" s="282"/>
      <c r="AD417" s="282"/>
      <c r="AE417" s="282"/>
      <c r="AF417" s="282"/>
      <c r="AG417" s="282"/>
      <c r="AH417" s="282"/>
      <c r="AI417" s="282"/>
      <c r="AJ417" s="282"/>
      <c r="AK417" s="282"/>
      <c r="AL417" s="282"/>
      <c r="AM417" s="282"/>
      <c r="AN417" s="282"/>
      <c r="AO417" s="282"/>
    </row>
    <row r="418" spans="1:41" s="263" customFormat="1" ht="9" customHeight="1" x14ac:dyDescent="0.25">
      <c r="A418" s="550" t="s">
        <v>29</v>
      </c>
      <c r="B418" s="629">
        <f t="shared" si="47"/>
        <v>196</v>
      </c>
      <c r="C418" s="629"/>
      <c r="D418" s="629">
        <f t="shared" si="45"/>
        <v>193</v>
      </c>
      <c r="E418" s="629">
        <v>92</v>
      </c>
      <c r="F418" s="629"/>
      <c r="G418" s="629">
        <f t="shared" si="46"/>
        <v>95</v>
      </c>
      <c r="H418" s="629">
        <v>16</v>
      </c>
      <c r="I418" s="629">
        <v>14</v>
      </c>
      <c r="J418" s="629">
        <v>65</v>
      </c>
      <c r="K418" s="629">
        <v>0</v>
      </c>
      <c r="L418" s="629">
        <v>0</v>
      </c>
      <c r="M418" s="629">
        <v>6</v>
      </c>
      <c r="N418" s="629">
        <v>3</v>
      </c>
      <c r="AC418" s="282"/>
      <c r="AD418" s="282"/>
      <c r="AE418" s="282"/>
      <c r="AF418" s="282"/>
      <c r="AG418" s="282"/>
      <c r="AH418" s="282"/>
      <c r="AI418" s="282"/>
      <c r="AJ418" s="282"/>
      <c r="AK418" s="282"/>
      <c r="AL418" s="282"/>
      <c r="AM418" s="282"/>
      <c r="AN418" s="282"/>
      <c r="AO418" s="282"/>
    </row>
    <row r="419" spans="1:41" s="263" customFormat="1" ht="9" customHeight="1" x14ac:dyDescent="0.25">
      <c r="A419" s="603" t="s">
        <v>30</v>
      </c>
      <c r="B419" s="630">
        <f t="shared" si="47"/>
        <v>952</v>
      </c>
      <c r="C419" s="630"/>
      <c r="D419" s="630">
        <f t="shared" si="45"/>
        <v>948</v>
      </c>
      <c r="E419" s="630">
        <v>107</v>
      </c>
      <c r="F419" s="630"/>
      <c r="G419" s="630">
        <f t="shared" si="46"/>
        <v>822</v>
      </c>
      <c r="H419" s="630">
        <v>35</v>
      </c>
      <c r="I419" s="630">
        <v>29</v>
      </c>
      <c r="J419" s="630">
        <v>758</v>
      </c>
      <c r="K419" s="630">
        <v>0</v>
      </c>
      <c r="L419" s="630">
        <v>18</v>
      </c>
      <c r="M419" s="630">
        <v>1</v>
      </c>
      <c r="N419" s="630">
        <v>4</v>
      </c>
      <c r="AC419" s="282"/>
      <c r="AD419" s="282"/>
      <c r="AE419" s="282"/>
      <c r="AF419" s="282"/>
      <c r="AG419" s="282"/>
      <c r="AH419" s="282"/>
      <c r="AI419" s="282"/>
      <c r="AJ419" s="282"/>
      <c r="AK419" s="282"/>
      <c r="AL419" s="282"/>
      <c r="AM419" s="282"/>
      <c r="AN419" s="282"/>
      <c r="AO419" s="282"/>
    </row>
    <row r="420" spans="1:41" s="263" customFormat="1" ht="9" customHeight="1" x14ac:dyDescent="0.25">
      <c r="A420" s="550" t="s">
        <v>63</v>
      </c>
      <c r="B420" s="629">
        <f t="shared" si="47"/>
        <v>3401</v>
      </c>
      <c r="C420" s="629"/>
      <c r="D420" s="629">
        <f t="shared" si="45"/>
        <v>3254</v>
      </c>
      <c r="E420" s="629">
        <v>513</v>
      </c>
      <c r="F420" s="629"/>
      <c r="G420" s="629">
        <f t="shared" si="46"/>
        <v>1771</v>
      </c>
      <c r="H420" s="629">
        <v>179</v>
      </c>
      <c r="I420" s="629">
        <v>217</v>
      </c>
      <c r="J420" s="629">
        <v>1375</v>
      </c>
      <c r="K420" s="629">
        <v>205</v>
      </c>
      <c r="L420" s="629">
        <v>672</v>
      </c>
      <c r="M420" s="629">
        <v>93</v>
      </c>
      <c r="N420" s="629">
        <v>147</v>
      </c>
      <c r="AC420" s="282"/>
      <c r="AD420" s="282"/>
      <c r="AE420" s="282"/>
      <c r="AF420" s="282"/>
      <c r="AG420" s="282"/>
      <c r="AH420" s="282"/>
      <c r="AI420" s="282"/>
      <c r="AJ420" s="282"/>
      <c r="AK420" s="282"/>
      <c r="AL420" s="282"/>
      <c r="AM420" s="282"/>
      <c r="AN420" s="282"/>
      <c r="AO420" s="282"/>
    </row>
    <row r="421" spans="1:41" s="263" customFormat="1" ht="9" customHeight="1" x14ac:dyDescent="0.25">
      <c r="A421" s="550" t="s">
        <v>31</v>
      </c>
      <c r="B421" s="629">
        <f t="shared" si="47"/>
        <v>90</v>
      </c>
      <c r="C421" s="629"/>
      <c r="D421" s="629">
        <f t="shared" si="45"/>
        <v>90</v>
      </c>
      <c r="E421" s="629">
        <v>30</v>
      </c>
      <c r="F421" s="629"/>
      <c r="G421" s="629">
        <f t="shared" si="46"/>
        <v>51</v>
      </c>
      <c r="H421" s="629">
        <v>9</v>
      </c>
      <c r="I421" s="629">
        <v>8</v>
      </c>
      <c r="J421" s="629">
        <v>34</v>
      </c>
      <c r="K421" s="629">
        <v>1</v>
      </c>
      <c r="L421" s="629">
        <v>8</v>
      </c>
      <c r="M421" s="629">
        <v>0</v>
      </c>
      <c r="N421" s="629">
        <v>0</v>
      </c>
      <c r="AC421" s="282"/>
      <c r="AD421" s="282"/>
      <c r="AE421" s="282"/>
      <c r="AF421" s="282"/>
      <c r="AG421" s="282"/>
      <c r="AH421" s="282"/>
      <c r="AI421" s="282"/>
      <c r="AJ421" s="282"/>
      <c r="AK421" s="282"/>
      <c r="AL421" s="282"/>
      <c r="AM421" s="282"/>
      <c r="AN421" s="282"/>
      <c r="AO421" s="282"/>
    </row>
    <row r="422" spans="1:41" s="263" customFormat="1" ht="9" customHeight="1" x14ac:dyDescent="0.25">
      <c r="A422" s="550" t="s">
        <v>32</v>
      </c>
      <c r="B422" s="629">
        <f t="shared" si="47"/>
        <v>393</v>
      </c>
      <c r="C422" s="629"/>
      <c r="D422" s="629">
        <f t="shared" si="45"/>
        <v>387</v>
      </c>
      <c r="E422" s="629">
        <v>195</v>
      </c>
      <c r="F422" s="629"/>
      <c r="G422" s="629">
        <f t="shared" si="46"/>
        <v>171</v>
      </c>
      <c r="H422" s="629">
        <v>33</v>
      </c>
      <c r="I422" s="629">
        <v>20</v>
      </c>
      <c r="J422" s="629">
        <v>118</v>
      </c>
      <c r="K422" s="629">
        <v>7</v>
      </c>
      <c r="L422" s="629">
        <v>8</v>
      </c>
      <c r="M422" s="629">
        <v>6</v>
      </c>
      <c r="N422" s="629">
        <v>6</v>
      </c>
      <c r="AC422" s="282"/>
      <c r="AD422" s="282"/>
      <c r="AE422" s="282"/>
      <c r="AF422" s="282"/>
      <c r="AG422" s="282"/>
      <c r="AH422" s="282"/>
      <c r="AI422" s="282"/>
      <c r="AJ422" s="282"/>
      <c r="AK422" s="282"/>
      <c r="AL422" s="282"/>
      <c r="AM422" s="282"/>
      <c r="AN422" s="282"/>
      <c r="AO422" s="282"/>
    </row>
    <row r="423" spans="1:41" s="263" customFormat="1" ht="9" customHeight="1" x14ac:dyDescent="0.25">
      <c r="A423" s="603" t="s">
        <v>33</v>
      </c>
      <c r="B423" s="630">
        <f t="shared" si="47"/>
        <v>175</v>
      </c>
      <c r="C423" s="630"/>
      <c r="D423" s="630">
        <f t="shared" si="45"/>
        <v>175</v>
      </c>
      <c r="E423" s="630">
        <v>72</v>
      </c>
      <c r="F423" s="630"/>
      <c r="G423" s="630">
        <f t="shared" si="46"/>
        <v>99</v>
      </c>
      <c r="H423" s="630">
        <v>19</v>
      </c>
      <c r="I423" s="630">
        <v>11</v>
      </c>
      <c r="J423" s="630">
        <v>69</v>
      </c>
      <c r="K423" s="630">
        <v>0</v>
      </c>
      <c r="L423" s="630">
        <v>0</v>
      </c>
      <c r="M423" s="630">
        <v>4</v>
      </c>
      <c r="N423" s="630">
        <v>0</v>
      </c>
      <c r="AC423" s="282"/>
      <c r="AD423" s="282"/>
      <c r="AE423" s="282"/>
      <c r="AF423" s="282"/>
      <c r="AG423" s="282"/>
      <c r="AH423" s="282"/>
      <c r="AI423" s="282"/>
      <c r="AJ423" s="282"/>
      <c r="AK423" s="282"/>
      <c r="AL423" s="282"/>
      <c r="AM423" s="282"/>
      <c r="AN423" s="282"/>
      <c r="AO423" s="282"/>
    </row>
    <row r="424" spans="1:41" s="263" customFormat="1" ht="9" customHeight="1" x14ac:dyDescent="0.25">
      <c r="A424" s="550" t="s">
        <v>34</v>
      </c>
      <c r="B424" s="629">
        <f t="shared" si="47"/>
        <v>456</v>
      </c>
      <c r="C424" s="629"/>
      <c r="D424" s="629">
        <f t="shared" si="45"/>
        <v>445</v>
      </c>
      <c r="E424" s="629">
        <v>142</v>
      </c>
      <c r="F424" s="629"/>
      <c r="G424" s="629">
        <f t="shared" si="46"/>
        <v>283</v>
      </c>
      <c r="H424" s="629">
        <v>48</v>
      </c>
      <c r="I424" s="629">
        <v>38</v>
      </c>
      <c r="J424" s="629">
        <v>197</v>
      </c>
      <c r="K424" s="629">
        <v>2</v>
      </c>
      <c r="L424" s="629">
        <v>6</v>
      </c>
      <c r="M424" s="629">
        <v>12</v>
      </c>
      <c r="N424" s="629">
        <v>11</v>
      </c>
      <c r="AC424" s="282"/>
      <c r="AD424" s="282"/>
      <c r="AE424" s="282"/>
      <c r="AF424" s="282"/>
      <c r="AG424" s="282"/>
      <c r="AH424" s="282"/>
      <c r="AI424" s="282"/>
      <c r="AJ424" s="282"/>
      <c r="AK424" s="282"/>
      <c r="AL424" s="282"/>
      <c r="AM424" s="282"/>
      <c r="AN424" s="282"/>
      <c r="AO424" s="282"/>
    </row>
    <row r="425" spans="1:41" s="263" customFormat="1" ht="9" customHeight="1" x14ac:dyDescent="0.25">
      <c r="A425" s="550" t="s">
        <v>35</v>
      </c>
      <c r="B425" s="629">
        <f t="shared" si="47"/>
        <v>902</v>
      </c>
      <c r="C425" s="629"/>
      <c r="D425" s="629">
        <f t="shared" si="45"/>
        <v>868</v>
      </c>
      <c r="E425" s="629">
        <v>243</v>
      </c>
      <c r="F425" s="629"/>
      <c r="G425" s="629">
        <f t="shared" si="46"/>
        <v>515</v>
      </c>
      <c r="H425" s="629">
        <v>83</v>
      </c>
      <c r="I425" s="629">
        <v>55</v>
      </c>
      <c r="J425" s="629">
        <v>377</v>
      </c>
      <c r="K425" s="629">
        <v>19</v>
      </c>
      <c r="L425" s="629">
        <v>83</v>
      </c>
      <c r="M425" s="629">
        <v>8</v>
      </c>
      <c r="N425" s="629">
        <v>34</v>
      </c>
      <c r="AC425" s="282"/>
      <c r="AD425" s="282"/>
      <c r="AE425" s="282"/>
      <c r="AF425" s="282"/>
      <c r="AG425" s="282"/>
      <c r="AH425" s="282"/>
      <c r="AI425" s="282"/>
      <c r="AJ425" s="282"/>
      <c r="AK425" s="282"/>
      <c r="AL425" s="282"/>
      <c r="AM425" s="282"/>
      <c r="AN425" s="282"/>
      <c r="AO425" s="282"/>
    </row>
    <row r="426" spans="1:41" s="263" customFormat="1" ht="9" customHeight="1" x14ac:dyDescent="0.25">
      <c r="A426" s="550" t="s">
        <v>36</v>
      </c>
      <c r="B426" s="629">
        <f t="shared" si="47"/>
        <v>1980</v>
      </c>
      <c r="C426" s="629"/>
      <c r="D426" s="629">
        <f t="shared" si="45"/>
        <v>1954</v>
      </c>
      <c r="E426" s="629">
        <v>1060</v>
      </c>
      <c r="F426" s="629"/>
      <c r="G426" s="629">
        <f t="shared" si="46"/>
        <v>745</v>
      </c>
      <c r="H426" s="629">
        <v>137</v>
      </c>
      <c r="I426" s="629">
        <v>123</v>
      </c>
      <c r="J426" s="629">
        <v>485</v>
      </c>
      <c r="K426" s="629">
        <v>45</v>
      </c>
      <c r="L426" s="629">
        <v>59</v>
      </c>
      <c r="M426" s="629">
        <v>45</v>
      </c>
      <c r="N426" s="629">
        <v>26</v>
      </c>
      <c r="AC426" s="282"/>
      <c r="AD426" s="282"/>
      <c r="AE426" s="282"/>
      <c r="AF426" s="282"/>
      <c r="AG426" s="282"/>
      <c r="AH426" s="282"/>
      <c r="AI426" s="282"/>
      <c r="AJ426" s="282"/>
      <c r="AK426" s="282"/>
      <c r="AL426" s="282"/>
      <c r="AM426" s="282"/>
      <c r="AN426" s="282"/>
      <c r="AO426" s="282"/>
    </row>
    <row r="427" spans="1:41" s="263" customFormat="1" ht="9" customHeight="1" x14ac:dyDescent="0.25">
      <c r="A427" s="603" t="s">
        <v>37</v>
      </c>
      <c r="B427" s="630">
        <f t="shared" si="47"/>
        <v>478</v>
      </c>
      <c r="C427" s="630"/>
      <c r="D427" s="630">
        <f t="shared" si="45"/>
        <v>477</v>
      </c>
      <c r="E427" s="630">
        <v>222</v>
      </c>
      <c r="F427" s="630"/>
      <c r="G427" s="630">
        <f t="shared" si="46"/>
        <v>193</v>
      </c>
      <c r="H427" s="630">
        <v>31</v>
      </c>
      <c r="I427" s="630">
        <v>24</v>
      </c>
      <c r="J427" s="630">
        <v>138</v>
      </c>
      <c r="K427" s="630">
        <v>11</v>
      </c>
      <c r="L427" s="630">
        <v>42</v>
      </c>
      <c r="M427" s="630">
        <v>9</v>
      </c>
      <c r="N427" s="630">
        <v>1</v>
      </c>
      <c r="AC427" s="282"/>
      <c r="AD427" s="282"/>
      <c r="AE427" s="282"/>
      <c r="AF427" s="282"/>
      <c r="AG427" s="282"/>
      <c r="AH427" s="282"/>
      <c r="AI427" s="282"/>
      <c r="AJ427" s="282"/>
      <c r="AK427" s="282"/>
      <c r="AL427" s="282"/>
      <c r="AM427" s="282"/>
      <c r="AN427" s="282"/>
      <c r="AO427" s="282"/>
    </row>
    <row r="428" spans="1:41" s="263" customFormat="1" ht="9" customHeight="1" x14ac:dyDescent="0.25">
      <c r="A428" s="550" t="s">
        <v>38</v>
      </c>
      <c r="B428" s="629">
        <f t="shared" si="47"/>
        <v>151</v>
      </c>
      <c r="C428" s="629"/>
      <c r="D428" s="629">
        <f t="shared" si="45"/>
        <v>148</v>
      </c>
      <c r="E428" s="629">
        <v>77</v>
      </c>
      <c r="F428" s="629"/>
      <c r="G428" s="629">
        <f t="shared" si="46"/>
        <v>69</v>
      </c>
      <c r="H428" s="629">
        <v>16</v>
      </c>
      <c r="I428" s="629">
        <v>8</v>
      </c>
      <c r="J428" s="629">
        <v>45</v>
      </c>
      <c r="K428" s="629">
        <v>1</v>
      </c>
      <c r="L428" s="629">
        <v>0</v>
      </c>
      <c r="M428" s="629">
        <v>1</v>
      </c>
      <c r="N428" s="629">
        <v>3</v>
      </c>
      <c r="AC428" s="282"/>
      <c r="AD428" s="282"/>
      <c r="AE428" s="282"/>
      <c r="AF428" s="282"/>
      <c r="AG428" s="282"/>
      <c r="AH428" s="282"/>
      <c r="AI428" s="282"/>
      <c r="AJ428" s="282"/>
      <c r="AK428" s="282"/>
      <c r="AL428" s="282"/>
      <c r="AM428" s="282"/>
      <c r="AN428" s="282"/>
      <c r="AO428" s="282"/>
    </row>
    <row r="429" spans="1:41" s="263" customFormat="1" ht="9" customHeight="1" x14ac:dyDescent="0.25">
      <c r="A429" s="550" t="s">
        <v>39</v>
      </c>
      <c r="B429" s="629">
        <f t="shared" si="47"/>
        <v>63</v>
      </c>
      <c r="C429" s="629"/>
      <c r="D429" s="629">
        <f t="shared" si="45"/>
        <v>63</v>
      </c>
      <c r="E429" s="629">
        <v>30</v>
      </c>
      <c r="F429" s="629"/>
      <c r="G429" s="629">
        <f t="shared" si="46"/>
        <v>33</v>
      </c>
      <c r="H429" s="629">
        <v>8</v>
      </c>
      <c r="I429" s="629">
        <v>6</v>
      </c>
      <c r="J429" s="629">
        <v>19</v>
      </c>
      <c r="K429" s="629">
        <v>0</v>
      </c>
      <c r="L429" s="629">
        <v>0</v>
      </c>
      <c r="M429" s="629">
        <v>0</v>
      </c>
      <c r="N429" s="629">
        <v>0</v>
      </c>
      <c r="AC429" s="282"/>
      <c r="AD429" s="282"/>
      <c r="AE429" s="282"/>
      <c r="AF429" s="282"/>
      <c r="AG429" s="282"/>
      <c r="AH429" s="282"/>
      <c r="AI429" s="282"/>
      <c r="AJ429" s="282"/>
      <c r="AK429" s="282"/>
      <c r="AL429" s="282"/>
      <c r="AM429" s="282"/>
      <c r="AN429" s="282"/>
      <c r="AO429" s="282"/>
    </row>
    <row r="430" spans="1:41" s="263" customFormat="1" ht="9" customHeight="1" x14ac:dyDescent="0.25">
      <c r="A430" s="550" t="s">
        <v>40</v>
      </c>
      <c r="B430" s="629">
        <f t="shared" si="47"/>
        <v>1002</v>
      </c>
      <c r="C430" s="629"/>
      <c r="D430" s="629">
        <f t="shared" si="45"/>
        <v>954</v>
      </c>
      <c r="E430" s="629">
        <v>110</v>
      </c>
      <c r="F430" s="629"/>
      <c r="G430" s="629">
        <f t="shared" si="46"/>
        <v>656</v>
      </c>
      <c r="H430" s="629">
        <v>67</v>
      </c>
      <c r="I430" s="629">
        <v>79</v>
      </c>
      <c r="J430" s="629">
        <v>510</v>
      </c>
      <c r="K430" s="629">
        <v>42</v>
      </c>
      <c r="L430" s="629">
        <v>120</v>
      </c>
      <c r="M430" s="629">
        <v>26</v>
      </c>
      <c r="N430" s="629">
        <v>48</v>
      </c>
      <c r="AC430" s="282"/>
      <c r="AD430" s="282"/>
      <c r="AE430" s="282"/>
      <c r="AF430" s="282"/>
      <c r="AG430" s="282"/>
      <c r="AH430" s="282"/>
      <c r="AI430" s="282"/>
      <c r="AJ430" s="282"/>
      <c r="AK430" s="282"/>
      <c r="AL430" s="282"/>
      <c r="AM430" s="282"/>
      <c r="AN430" s="282"/>
      <c r="AO430" s="282"/>
    </row>
    <row r="431" spans="1:41" s="263" customFormat="1" ht="9" customHeight="1" x14ac:dyDescent="0.25">
      <c r="A431" s="603" t="s">
        <v>41</v>
      </c>
      <c r="B431" s="630">
        <f t="shared" si="47"/>
        <v>201</v>
      </c>
      <c r="C431" s="630"/>
      <c r="D431" s="630">
        <f t="shared" si="45"/>
        <v>191</v>
      </c>
      <c r="E431" s="630">
        <v>91</v>
      </c>
      <c r="F431" s="630"/>
      <c r="G431" s="630">
        <f t="shared" si="46"/>
        <v>84</v>
      </c>
      <c r="H431" s="630">
        <v>16</v>
      </c>
      <c r="I431" s="630">
        <v>9</v>
      </c>
      <c r="J431" s="630">
        <v>59</v>
      </c>
      <c r="K431" s="630">
        <v>0</v>
      </c>
      <c r="L431" s="630">
        <v>0</v>
      </c>
      <c r="M431" s="630">
        <v>16</v>
      </c>
      <c r="N431" s="630">
        <v>10</v>
      </c>
      <c r="AC431" s="282"/>
      <c r="AD431" s="282"/>
      <c r="AE431" s="282"/>
      <c r="AF431" s="282"/>
      <c r="AG431" s="282"/>
      <c r="AH431" s="282"/>
      <c r="AI431" s="282"/>
      <c r="AJ431" s="282"/>
      <c r="AK431" s="282"/>
      <c r="AL431" s="282"/>
      <c r="AM431" s="282"/>
      <c r="AN431" s="282"/>
      <c r="AO431" s="282"/>
    </row>
    <row r="432" spans="1:41" s="263" customFormat="1" ht="9" customHeight="1" x14ac:dyDescent="0.25">
      <c r="A432" s="550" t="s">
        <v>42</v>
      </c>
      <c r="B432" s="629">
        <f t="shared" si="47"/>
        <v>381</v>
      </c>
      <c r="C432" s="629"/>
      <c r="D432" s="629">
        <f t="shared" si="45"/>
        <v>374</v>
      </c>
      <c r="E432" s="629">
        <v>191</v>
      </c>
      <c r="F432" s="629"/>
      <c r="G432" s="629">
        <f t="shared" si="46"/>
        <v>156</v>
      </c>
      <c r="H432" s="629">
        <v>22</v>
      </c>
      <c r="I432" s="629">
        <v>19</v>
      </c>
      <c r="J432" s="629">
        <v>115</v>
      </c>
      <c r="K432" s="629">
        <v>1</v>
      </c>
      <c r="L432" s="629">
        <v>19</v>
      </c>
      <c r="M432" s="629">
        <v>7</v>
      </c>
      <c r="N432" s="629">
        <v>7</v>
      </c>
      <c r="AC432" s="282"/>
      <c r="AD432" s="282"/>
      <c r="AE432" s="282"/>
      <c r="AF432" s="282"/>
      <c r="AG432" s="282"/>
      <c r="AH432" s="282"/>
      <c r="AI432" s="282"/>
      <c r="AJ432" s="282"/>
      <c r="AK432" s="282"/>
      <c r="AL432" s="282"/>
      <c r="AM432" s="282"/>
      <c r="AN432" s="282"/>
      <c r="AO432" s="282"/>
    </row>
    <row r="433" spans="1:41" s="263" customFormat="1" ht="9" customHeight="1" x14ac:dyDescent="0.25">
      <c r="A433" s="550" t="s">
        <v>43</v>
      </c>
      <c r="B433" s="629">
        <f t="shared" si="47"/>
        <v>163</v>
      </c>
      <c r="C433" s="629"/>
      <c r="D433" s="629">
        <f t="shared" si="45"/>
        <v>161</v>
      </c>
      <c r="E433" s="629">
        <v>62</v>
      </c>
      <c r="F433" s="629"/>
      <c r="G433" s="629">
        <f t="shared" si="46"/>
        <v>98</v>
      </c>
      <c r="H433" s="629">
        <v>12</v>
      </c>
      <c r="I433" s="629">
        <v>11</v>
      </c>
      <c r="J433" s="629">
        <v>75</v>
      </c>
      <c r="K433" s="629">
        <v>0</v>
      </c>
      <c r="L433" s="629">
        <v>0</v>
      </c>
      <c r="M433" s="629">
        <v>1</v>
      </c>
      <c r="N433" s="629">
        <v>2</v>
      </c>
      <c r="AC433" s="282"/>
      <c r="AD433" s="282"/>
      <c r="AE433" s="282"/>
      <c r="AF433" s="282"/>
      <c r="AG433" s="282"/>
      <c r="AH433" s="282"/>
      <c r="AI433" s="282"/>
      <c r="AJ433" s="282"/>
      <c r="AK433" s="282"/>
      <c r="AL433" s="282"/>
      <c r="AM433" s="282"/>
      <c r="AN433" s="282"/>
      <c r="AO433" s="282"/>
    </row>
    <row r="434" spans="1:41" s="263" customFormat="1" ht="9" customHeight="1" x14ac:dyDescent="0.25">
      <c r="A434" s="550" t="s">
        <v>44</v>
      </c>
      <c r="B434" s="629">
        <f t="shared" si="47"/>
        <v>76</v>
      </c>
      <c r="C434" s="629"/>
      <c r="D434" s="629">
        <f t="shared" si="45"/>
        <v>74</v>
      </c>
      <c r="E434" s="629">
        <v>31</v>
      </c>
      <c r="F434" s="629"/>
      <c r="G434" s="629">
        <f t="shared" si="46"/>
        <v>36</v>
      </c>
      <c r="H434" s="629">
        <v>8</v>
      </c>
      <c r="I434" s="629">
        <v>3</v>
      </c>
      <c r="J434" s="629">
        <v>25</v>
      </c>
      <c r="K434" s="629">
        <v>0</v>
      </c>
      <c r="L434" s="629">
        <v>0</v>
      </c>
      <c r="M434" s="629">
        <v>7</v>
      </c>
      <c r="N434" s="629">
        <v>2</v>
      </c>
      <c r="AC434" s="282"/>
      <c r="AD434" s="282"/>
      <c r="AE434" s="282"/>
      <c r="AF434" s="282"/>
      <c r="AG434" s="282"/>
      <c r="AH434" s="282"/>
      <c r="AI434" s="282"/>
      <c r="AJ434" s="282"/>
      <c r="AK434" s="282"/>
      <c r="AL434" s="282"/>
      <c r="AM434" s="282"/>
      <c r="AN434" s="282"/>
      <c r="AO434" s="282"/>
    </row>
    <row r="435" spans="1:41" s="263" customFormat="1" ht="9" customHeight="1" x14ac:dyDescent="0.25">
      <c r="A435" s="603" t="s">
        <v>45</v>
      </c>
      <c r="B435" s="630">
        <f t="shared" si="47"/>
        <v>241</v>
      </c>
      <c r="C435" s="630"/>
      <c r="D435" s="630">
        <f t="shared" si="45"/>
        <v>237</v>
      </c>
      <c r="E435" s="630">
        <v>177</v>
      </c>
      <c r="F435" s="630"/>
      <c r="G435" s="630">
        <f t="shared" si="46"/>
        <v>49</v>
      </c>
      <c r="H435" s="630">
        <v>3</v>
      </c>
      <c r="I435" s="630">
        <v>10</v>
      </c>
      <c r="J435" s="630">
        <v>36</v>
      </c>
      <c r="K435" s="630">
        <v>1</v>
      </c>
      <c r="L435" s="630">
        <v>10</v>
      </c>
      <c r="M435" s="630">
        <v>0</v>
      </c>
      <c r="N435" s="630">
        <v>4</v>
      </c>
      <c r="AC435" s="282"/>
      <c r="AD435" s="282"/>
      <c r="AE435" s="282"/>
      <c r="AF435" s="282"/>
      <c r="AG435" s="282"/>
      <c r="AH435" s="282"/>
      <c r="AI435" s="282"/>
      <c r="AJ435" s="282"/>
      <c r="AK435" s="282"/>
      <c r="AL435" s="282"/>
      <c r="AM435" s="282"/>
      <c r="AN435" s="282"/>
      <c r="AO435" s="282"/>
    </row>
    <row r="436" spans="1:41" s="263" customFormat="1" ht="9" customHeight="1" x14ac:dyDescent="0.25">
      <c r="A436" s="550" t="s">
        <v>46</v>
      </c>
      <c r="B436" s="629">
        <f t="shared" si="47"/>
        <v>73</v>
      </c>
      <c r="C436" s="629"/>
      <c r="D436" s="629">
        <f t="shared" si="45"/>
        <v>73</v>
      </c>
      <c r="E436" s="629">
        <v>33</v>
      </c>
      <c r="F436" s="629"/>
      <c r="G436" s="629">
        <f t="shared" si="46"/>
        <v>34</v>
      </c>
      <c r="H436" s="629">
        <v>8</v>
      </c>
      <c r="I436" s="629">
        <v>3</v>
      </c>
      <c r="J436" s="629">
        <v>23</v>
      </c>
      <c r="K436" s="629">
        <v>4</v>
      </c>
      <c r="L436" s="629">
        <v>0</v>
      </c>
      <c r="M436" s="629">
        <v>2</v>
      </c>
      <c r="N436" s="629">
        <v>0</v>
      </c>
      <c r="AC436" s="282"/>
      <c r="AD436" s="282"/>
      <c r="AE436" s="282"/>
      <c r="AF436" s="282"/>
      <c r="AG436" s="282"/>
      <c r="AH436" s="282"/>
      <c r="AI436" s="282"/>
      <c r="AJ436" s="282"/>
      <c r="AK436" s="282"/>
      <c r="AL436" s="282"/>
      <c r="AM436" s="282"/>
      <c r="AN436" s="282"/>
      <c r="AO436" s="282"/>
    </row>
    <row r="437" spans="1:41" s="263" customFormat="1" ht="9" customHeight="1" x14ac:dyDescent="0.25">
      <c r="A437" s="550" t="s">
        <v>47</v>
      </c>
      <c r="B437" s="629">
        <f t="shared" si="47"/>
        <v>184</v>
      </c>
      <c r="C437" s="629"/>
      <c r="D437" s="629">
        <f t="shared" si="45"/>
        <v>173</v>
      </c>
      <c r="E437" s="629">
        <v>101</v>
      </c>
      <c r="F437" s="629"/>
      <c r="G437" s="629">
        <f t="shared" si="46"/>
        <v>72</v>
      </c>
      <c r="H437" s="629">
        <v>18</v>
      </c>
      <c r="I437" s="629">
        <v>13</v>
      </c>
      <c r="J437" s="629">
        <v>41</v>
      </c>
      <c r="K437" s="629">
        <v>0</v>
      </c>
      <c r="L437" s="629">
        <v>0</v>
      </c>
      <c r="M437" s="629">
        <v>0</v>
      </c>
      <c r="N437" s="629">
        <v>11</v>
      </c>
      <c r="AC437" s="282"/>
      <c r="AD437" s="282"/>
      <c r="AE437" s="282"/>
      <c r="AF437" s="282"/>
      <c r="AG437" s="282"/>
      <c r="AH437" s="282"/>
      <c r="AI437" s="282"/>
      <c r="AJ437" s="282"/>
      <c r="AK437" s="282"/>
      <c r="AL437" s="282"/>
      <c r="AM437" s="282"/>
      <c r="AN437" s="282"/>
      <c r="AO437" s="282"/>
    </row>
    <row r="438" spans="1:41" s="263" customFormat="1" ht="9" customHeight="1" x14ac:dyDescent="0.25">
      <c r="A438" s="550" t="s">
        <v>48</v>
      </c>
      <c r="B438" s="629">
        <f t="shared" si="47"/>
        <v>102</v>
      </c>
      <c r="C438" s="629"/>
      <c r="D438" s="629">
        <f t="shared" si="45"/>
        <v>101</v>
      </c>
      <c r="E438" s="629">
        <v>75</v>
      </c>
      <c r="F438" s="629"/>
      <c r="G438" s="629">
        <f t="shared" si="46"/>
        <v>25</v>
      </c>
      <c r="H438" s="629">
        <v>5</v>
      </c>
      <c r="I438" s="629">
        <v>4</v>
      </c>
      <c r="J438" s="629">
        <v>16</v>
      </c>
      <c r="K438" s="629">
        <v>1</v>
      </c>
      <c r="L438" s="629">
        <v>0</v>
      </c>
      <c r="M438" s="629">
        <v>0</v>
      </c>
      <c r="N438" s="629">
        <v>1</v>
      </c>
      <c r="AC438" s="282"/>
      <c r="AD438" s="282"/>
      <c r="AE438" s="282"/>
      <c r="AF438" s="282"/>
      <c r="AG438" s="282"/>
      <c r="AH438" s="282"/>
      <c r="AI438" s="282"/>
      <c r="AJ438" s="282"/>
      <c r="AK438" s="282"/>
      <c r="AL438" s="282"/>
      <c r="AM438" s="282"/>
      <c r="AN438" s="282"/>
      <c r="AO438" s="282"/>
    </row>
    <row r="439" spans="1:41" s="263" customFormat="1" ht="9" customHeight="1" x14ac:dyDescent="0.25">
      <c r="A439" s="603" t="s">
        <v>49</v>
      </c>
      <c r="B439" s="630">
        <f t="shared" si="47"/>
        <v>208</v>
      </c>
      <c r="C439" s="630"/>
      <c r="D439" s="630">
        <f t="shared" si="45"/>
        <v>207</v>
      </c>
      <c r="E439" s="630">
        <v>90</v>
      </c>
      <c r="F439" s="630"/>
      <c r="G439" s="630">
        <f t="shared" si="46"/>
        <v>100</v>
      </c>
      <c r="H439" s="630">
        <v>17</v>
      </c>
      <c r="I439" s="630">
        <v>8</v>
      </c>
      <c r="J439" s="630">
        <v>75</v>
      </c>
      <c r="K439" s="630">
        <v>8</v>
      </c>
      <c r="L439" s="630">
        <v>6</v>
      </c>
      <c r="M439" s="630">
        <v>3</v>
      </c>
      <c r="N439" s="630">
        <v>1</v>
      </c>
      <c r="AC439" s="282"/>
      <c r="AD439" s="282"/>
      <c r="AE439" s="282"/>
      <c r="AF439" s="282"/>
      <c r="AG439" s="282"/>
      <c r="AH439" s="282"/>
      <c r="AI439" s="282"/>
      <c r="AJ439" s="282"/>
      <c r="AK439" s="282"/>
      <c r="AL439" s="282"/>
      <c r="AM439" s="282"/>
      <c r="AN439" s="282"/>
      <c r="AO439" s="282"/>
    </row>
    <row r="440" spans="1:41" s="263" customFormat="1" ht="9" customHeight="1" x14ac:dyDescent="0.25">
      <c r="A440" s="550" t="s">
        <v>50</v>
      </c>
      <c r="B440" s="629">
        <f t="shared" si="47"/>
        <v>155</v>
      </c>
      <c r="C440" s="629"/>
      <c r="D440" s="629">
        <f t="shared" si="45"/>
        <v>155</v>
      </c>
      <c r="E440" s="629">
        <v>63</v>
      </c>
      <c r="F440" s="629"/>
      <c r="G440" s="629">
        <f t="shared" si="46"/>
        <v>91</v>
      </c>
      <c r="H440" s="629">
        <v>18</v>
      </c>
      <c r="I440" s="629">
        <v>16</v>
      </c>
      <c r="J440" s="629">
        <v>57</v>
      </c>
      <c r="K440" s="629">
        <v>0</v>
      </c>
      <c r="L440" s="629">
        <v>0</v>
      </c>
      <c r="M440" s="629">
        <v>1</v>
      </c>
      <c r="N440" s="629">
        <v>0</v>
      </c>
      <c r="AC440" s="282"/>
      <c r="AD440" s="282"/>
      <c r="AE440" s="282"/>
      <c r="AF440" s="282"/>
      <c r="AG440" s="282"/>
      <c r="AH440" s="282"/>
      <c r="AI440" s="282"/>
      <c r="AJ440" s="282"/>
      <c r="AK440" s="282"/>
      <c r="AL440" s="282"/>
      <c r="AM440" s="282"/>
      <c r="AN440" s="282"/>
      <c r="AO440" s="282"/>
    </row>
    <row r="441" spans="1:41" s="263" customFormat="1" ht="9" customHeight="1" x14ac:dyDescent="0.25">
      <c r="A441" s="550" t="s">
        <v>51</v>
      </c>
      <c r="B441" s="629">
        <f t="shared" si="47"/>
        <v>551</v>
      </c>
      <c r="C441" s="629"/>
      <c r="D441" s="629">
        <f t="shared" si="45"/>
        <v>537</v>
      </c>
      <c r="E441" s="629">
        <v>231</v>
      </c>
      <c r="F441" s="629"/>
      <c r="G441" s="629">
        <f t="shared" si="46"/>
        <v>297</v>
      </c>
      <c r="H441" s="629">
        <v>68</v>
      </c>
      <c r="I441" s="629">
        <v>42</v>
      </c>
      <c r="J441" s="629">
        <v>187</v>
      </c>
      <c r="K441" s="629">
        <v>3</v>
      </c>
      <c r="L441" s="629">
        <v>0</v>
      </c>
      <c r="M441" s="629">
        <v>6</v>
      </c>
      <c r="N441" s="629">
        <v>14</v>
      </c>
      <c r="AC441" s="282"/>
      <c r="AD441" s="282"/>
      <c r="AE441" s="282"/>
      <c r="AF441" s="282"/>
      <c r="AG441" s="282"/>
      <c r="AH441" s="282"/>
      <c r="AI441" s="282"/>
      <c r="AJ441" s="282"/>
      <c r="AK441" s="282"/>
      <c r="AL441" s="282"/>
      <c r="AM441" s="282"/>
      <c r="AN441" s="282"/>
      <c r="AO441" s="282"/>
    </row>
    <row r="442" spans="1:41" s="263" customFormat="1" ht="9" customHeight="1" x14ac:dyDescent="0.25">
      <c r="A442" s="550" t="s">
        <v>52</v>
      </c>
      <c r="B442" s="629">
        <f t="shared" si="47"/>
        <v>103</v>
      </c>
      <c r="C442" s="629"/>
      <c r="D442" s="629">
        <f t="shared" si="45"/>
        <v>99</v>
      </c>
      <c r="E442" s="629">
        <v>55</v>
      </c>
      <c r="F442" s="629"/>
      <c r="G442" s="629">
        <f t="shared" si="46"/>
        <v>41</v>
      </c>
      <c r="H442" s="629">
        <v>10</v>
      </c>
      <c r="I442" s="629">
        <v>5</v>
      </c>
      <c r="J442" s="629">
        <v>26</v>
      </c>
      <c r="K442" s="629">
        <v>1</v>
      </c>
      <c r="L442" s="629">
        <v>2</v>
      </c>
      <c r="M442" s="629">
        <v>0</v>
      </c>
      <c r="N442" s="629">
        <v>4</v>
      </c>
      <c r="AC442" s="282"/>
      <c r="AD442" s="282"/>
      <c r="AE442" s="282"/>
      <c r="AF442" s="282"/>
      <c r="AG442" s="282"/>
      <c r="AH442" s="282"/>
      <c r="AI442" s="282"/>
      <c r="AJ442" s="282"/>
      <c r="AK442" s="282"/>
      <c r="AL442" s="282"/>
      <c r="AM442" s="282"/>
      <c r="AN442" s="282"/>
      <c r="AO442" s="282"/>
    </row>
    <row r="443" spans="1:41" s="263" customFormat="1" ht="9" customHeight="1" x14ac:dyDescent="0.25">
      <c r="A443" s="267" t="s">
        <v>53</v>
      </c>
      <c r="B443" s="268">
        <f t="shared" si="47"/>
        <v>94</v>
      </c>
      <c r="C443" s="268"/>
      <c r="D443" s="268">
        <f t="shared" si="45"/>
        <v>90</v>
      </c>
      <c r="E443" s="268">
        <v>34</v>
      </c>
      <c r="F443" s="268"/>
      <c r="G443" s="268">
        <f t="shared" si="46"/>
        <v>56</v>
      </c>
      <c r="H443" s="268">
        <v>11</v>
      </c>
      <c r="I443" s="268">
        <v>6</v>
      </c>
      <c r="J443" s="268">
        <v>39</v>
      </c>
      <c r="K443" s="268">
        <v>0</v>
      </c>
      <c r="L443" s="268">
        <v>0</v>
      </c>
      <c r="M443" s="268">
        <v>0</v>
      </c>
      <c r="N443" s="268">
        <v>4</v>
      </c>
      <c r="AC443" s="282"/>
      <c r="AD443" s="282"/>
      <c r="AE443" s="282"/>
      <c r="AF443" s="282"/>
      <c r="AG443" s="282"/>
      <c r="AH443" s="282"/>
      <c r="AI443" s="282"/>
      <c r="AJ443" s="282"/>
      <c r="AK443" s="282"/>
      <c r="AL443" s="282"/>
      <c r="AM443" s="282"/>
      <c r="AN443" s="282"/>
      <c r="AO443" s="282"/>
    </row>
    <row r="444" spans="1:41" ht="9" customHeight="1" x14ac:dyDescent="0.25">
      <c r="B444" s="259"/>
      <c r="C444" s="259"/>
      <c r="D444" s="259"/>
      <c r="E444" s="259"/>
      <c r="F444" s="259"/>
      <c r="G444" s="259"/>
      <c r="H444" s="259"/>
      <c r="I444" s="259"/>
      <c r="J444" s="259"/>
      <c r="K444" s="259"/>
      <c r="L444" s="259"/>
      <c r="AC444" s="282"/>
      <c r="AD444" s="282"/>
      <c r="AE444" s="282"/>
      <c r="AF444" s="282"/>
      <c r="AG444" s="282"/>
      <c r="AH444" s="282"/>
      <c r="AI444" s="282"/>
      <c r="AJ444" s="282"/>
      <c r="AK444" s="282"/>
      <c r="AL444" s="282"/>
      <c r="AM444" s="282"/>
      <c r="AN444" s="282"/>
      <c r="AO444" s="282"/>
    </row>
    <row r="445" spans="1:41" ht="9" customHeight="1" x14ac:dyDescent="0.25">
      <c r="A445" s="601">
        <v>2013</v>
      </c>
      <c r="B445" s="262"/>
      <c r="C445" s="262"/>
      <c r="D445" s="262"/>
      <c r="E445" s="262"/>
      <c r="F445" s="262"/>
      <c r="G445" s="262"/>
      <c r="H445" s="262"/>
      <c r="I445" s="262"/>
      <c r="J445" s="262"/>
      <c r="K445" s="262"/>
      <c r="L445" s="262"/>
      <c r="M445" s="262"/>
      <c r="N445" s="262"/>
      <c r="AC445" s="282"/>
      <c r="AD445" s="282"/>
      <c r="AE445" s="282"/>
      <c r="AF445" s="282"/>
      <c r="AG445" s="282"/>
      <c r="AH445" s="282"/>
      <c r="AI445" s="282"/>
      <c r="AJ445" s="282"/>
      <c r="AK445" s="282"/>
      <c r="AL445" s="282"/>
      <c r="AM445" s="282"/>
      <c r="AN445" s="282"/>
      <c r="AO445" s="282"/>
    </row>
    <row r="446" spans="1:41" s="265" customFormat="1" ht="9" customHeight="1" x14ac:dyDescent="0.25">
      <c r="A446" s="265" t="s">
        <v>21</v>
      </c>
      <c r="B446" s="262">
        <f>SUM(B448:B479)</f>
        <v>13904</v>
      </c>
      <c r="C446" s="262"/>
      <c r="D446" s="262">
        <f>SUM(D448:D479)</f>
        <v>13530</v>
      </c>
      <c r="E446" s="262">
        <f>SUM(E448:E479)</f>
        <v>4568</v>
      </c>
      <c r="F446" s="262"/>
      <c r="G446" s="262">
        <f>SUM(G448:G479)</f>
        <v>7366</v>
      </c>
      <c r="H446" s="262">
        <f t="shared" ref="H446:M446" si="48">SUM(H448:H479)</f>
        <v>1020</v>
      </c>
      <c r="I446" s="262">
        <f t="shared" si="48"/>
        <v>1199</v>
      </c>
      <c r="J446" s="262">
        <f t="shared" si="48"/>
        <v>5147</v>
      </c>
      <c r="K446" s="262">
        <f t="shared" si="48"/>
        <v>323</v>
      </c>
      <c r="L446" s="262">
        <f t="shared" si="48"/>
        <v>1014</v>
      </c>
      <c r="M446" s="262">
        <f t="shared" si="48"/>
        <v>259</v>
      </c>
      <c r="N446" s="262">
        <f>SUM(N448:N479)</f>
        <v>374</v>
      </c>
      <c r="AC446" s="282"/>
      <c r="AD446" s="282"/>
      <c r="AE446" s="282"/>
      <c r="AF446" s="282"/>
      <c r="AG446" s="282"/>
      <c r="AH446" s="282"/>
      <c r="AI446" s="282"/>
      <c r="AJ446" s="282"/>
      <c r="AK446" s="282"/>
      <c r="AL446" s="282"/>
      <c r="AM446" s="282"/>
      <c r="AN446" s="282"/>
      <c r="AO446" s="282"/>
    </row>
    <row r="447" spans="1:41" s="265" customFormat="1" ht="3" customHeight="1" x14ac:dyDescent="0.25">
      <c r="B447" s="262"/>
      <c r="C447" s="262"/>
      <c r="D447" s="262"/>
      <c r="E447" s="262"/>
      <c r="F447" s="262"/>
      <c r="G447" s="262"/>
      <c r="H447" s="262"/>
      <c r="I447" s="262"/>
      <c r="J447" s="262"/>
      <c r="K447" s="262"/>
      <c r="L447" s="262"/>
      <c r="M447" s="262"/>
      <c r="N447" s="262"/>
      <c r="AC447" s="282"/>
      <c r="AD447" s="282"/>
      <c r="AE447" s="282"/>
      <c r="AF447" s="282"/>
      <c r="AG447" s="282"/>
      <c r="AH447" s="282"/>
      <c r="AI447" s="282"/>
      <c r="AJ447" s="282"/>
      <c r="AK447" s="282"/>
      <c r="AL447" s="282"/>
      <c r="AM447" s="282"/>
      <c r="AN447" s="282"/>
      <c r="AO447" s="282"/>
    </row>
    <row r="448" spans="1:41" s="263" customFormat="1" ht="9" customHeight="1" x14ac:dyDescent="0.25">
      <c r="A448" s="550" t="s">
        <v>23</v>
      </c>
      <c r="B448" s="629">
        <f>SUM(D448+N448)</f>
        <v>95</v>
      </c>
      <c r="C448" s="629"/>
      <c r="D448" s="629">
        <f t="shared" ref="D448:D479" si="49">SUM(E448+G448+K448+L448+M448)</f>
        <v>94</v>
      </c>
      <c r="E448" s="629">
        <v>21</v>
      </c>
      <c r="F448" s="629"/>
      <c r="G448" s="629">
        <f>SUM(H448:J448)</f>
        <v>59</v>
      </c>
      <c r="H448" s="629">
        <v>8</v>
      </c>
      <c r="I448" s="629">
        <v>8</v>
      </c>
      <c r="J448" s="629">
        <v>43</v>
      </c>
      <c r="K448" s="629">
        <v>11</v>
      </c>
      <c r="L448" s="629">
        <v>0</v>
      </c>
      <c r="M448" s="629">
        <v>3</v>
      </c>
      <c r="N448" s="629">
        <v>1</v>
      </c>
      <c r="Q448" s="283"/>
      <c r="AC448" s="282"/>
      <c r="AD448" s="282"/>
      <c r="AE448" s="282"/>
      <c r="AF448" s="282"/>
      <c r="AG448" s="282"/>
      <c r="AH448" s="282"/>
      <c r="AI448" s="282"/>
      <c r="AJ448" s="282"/>
      <c r="AK448" s="282"/>
      <c r="AL448" s="282"/>
      <c r="AM448" s="282"/>
      <c r="AN448" s="282"/>
      <c r="AO448" s="282"/>
    </row>
    <row r="449" spans="1:41" s="263" customFormat="1" ht="9" customHeight="1" x14ac:dyDescent="0.25">
      <c r="A449" s="550" t="s">
        <v>24</v>
      </c>
      <c r="B449" s="629">
        <f>SUM(D449+N449)</f>
        <v>236</v>
      </c>
      <c r="C449" s="629"/>
      <c r="D449" s="629">
        <f t="shared" si="49"/>
        <v>235</v>
      </c>
      <c r="E449" s="629">
        <v>109</v>
      </c>
      <c r="F449" s="629"/>
      <c r="G449" s="629">
        <f>SUM(H449:J449)</f>
        <v>124</v>
      </c>
      <c r="H449" s="629">
        <v>23</v>
      </c>
      <c r="I449" s="629">
        <v>18</v>
      </c>
      <c r="J449" s="629">
        <v>83</v>
      </c>
      <c r="K449" s="629">
        <v>0</v>
      </c>
      <c r="L449" s="629">
        <v>0</v>
      </c>
      <c r="M449" s="629">
        <v>2</v>
      </c>
      <c r="N449" s="629">
        <v>1</v>
      </c>
      <c r="Q449" s="283"/>
      <c r="AC449" s="282"/>
      <c r="AD449" s="282"/>
      <c r="AE449" s="282"/>
      <c r="AF449" s="282"/>
      <c r="AG449" s="282"/>
      <c r="AH449" s="282"/>
      <c r="AI449" s="282"/>
      <c r="AJ449" s="282"/>
      <c r="AK449" s="282"/>
      <c r="AL449" s="282"/>
      <c r="AM449" s="282"/>
      <c r="AN449" s="282"/>
      <c r="AO449" s="282"/>
    </row>
    <row r="450" spans="1:41" s="263" customFormat="1" ht="9" customHeight="1" x14ac:dyDescent="0.25">
      <c r="A450" s="550" t="s">
        <v>25</v>
      </c>
      <c r="B450" s="629">
        <f>SUM(D450+N450)</f>
        <v>27</v>
      </c>
      <c r="C450" s="629"/>
      <c r="D450" s="629">
        <f t="shared" si="49"/>
        <v>26</v>
      </c>
      <c r="E450" s="629">
        <v>13</v>
      </c>
      <c r="F450" s="629"/>
      <c r="G450" s="629">
        <f t="shared" ref="G450:G479" si="50">SUM(H450:J450)</f>
        <v>13</v>
      </c>
      <c r="H450" s="629">
        <v>2</v>
      </c>
      <c r="I450" s="629">
        <v>0</v>
      </c>
      <c r="J450" s="629">
        <v>11</v>
      </c>
      <c r="K450" s="629">
        <v>0</v>
      </c>
      <c r="L450" s="629">
        <v>0</v>
      </c>
      <c r="M450" s="629">
        <v>0</v>
      </c>
      <c r="N450" s="629">
        <v>1</v>
      </c>
      <c r="Q450" s="283"/>
      <c r="AC450" s="282"/>
      <c r="AD450" s="282"/>
      <c r="AE450" s="282"/>
      <c r="AF450" s="282"/>
      <c r="AG450" s="282"/>
      <c r="AH450" s="282"/>
      <c r="AI450" s="282"/>
      <c r="AJ450" s="282"/>
      <c r="AK450" s="282"/>
      <c r="AL450" s="282"/>
      <c r="AM450" s="282"/>
      <c r="AN450" s="282"/>
      <c r="AO450" s="282"/>
    </row>
    <row r="451" spans="1:41" s="263" customFormat="1" ht="9" customHeight="1" x14ac:dyDescent="0.25">
      <c r="A451" s="603" t="s">
        <v>26</v>
      </c>
      <c r="B451" s="630">
        <f>SUM(D451+N451)</f>
        <v>35</v>
      </c>
      <c r="C451" s="630"/>
      <c r="D451" s="630">
        <f t="shared" si="49"/>
        <v>35</v>
      </c>
      <c r="E451" s="630">
        <v>20</v>
      </c>
      <c r="F451" s="630"/>
      <c r="G451" s="630">
        <f t="shared" si="50"/>
        <v>14</v>
      </c>
      <c r="H451" s="630">
        <v>1</v>
      </c>
      <c r="I451" s="630">
        <v>4</v>
      </c>
      <c r="J451" s="630">
        <v>9</v>
      </c>
      <c r="K451" s="630">
        <v>0</v>
      </c>
      <c r="L451" s="630">
        <v>0</v>
      </c>
      <c r="M451" s="630">
        <v>1</v>
      </c>
      <c r="N451" s="630">
        <v>0</v>
      </c>
      <c r="Q451" s="283"/>
      <c r="AC451" s="282"/>
      <c r="AD451" s="282"/>
      <c r="AE451" s="282"/>
      <c r="AF451" s="282"/>
      <c r="AG451" s="282"/>
      <c r="AH451" s="282"/>
      <c r="AI451" s="282"/>
      <c r="AJ451" s="282"/>
      <c r="AK451" s="282"/>
      <c r="AL451" s="282"/>
      <c r="AM451" s="282"/>
      <c r="AN451" s="282"/>
      <c r="AO451" s="282"/>
    </row>
    <row r="452" spans="1:41" s="263" customFormat="1" ht="9" customHeight="1" x14ac:dyDescent="0.25">
      <c r="A452" s="550" t="s">
        <v>27</v>
      </c>
      <c r="B452" s="629">
        <f t="shared" ref="B452:B479" si="51">SUM(D452+N452)</f>
        <v>135</v>
      </c>
      <c r="C452" s="629"/>
      <c r="D452" s="629">
        <f t="shared" si="49"/>
        <v>122</v>
      </c>
      <c r="E452" s="629">
        <v>28</v>
      </c>
      <c r="F452" s="629"/>
      <c r="G452" s="629">
        <f t="shared" si="50"/>
        <v>92</v>
      </c>
      <c r="H452" s="629">
        <v>13</v>
      </c>
      <c r="I452" s="629">
        <v>6</v>
      </c>
      <c r="J452" s="629">
        <v>73</v>
      </c>
      <c r="K452" s="629">
        <v>1</v>
      </c>
      <c r="L452" s="629">
        <v>0</v>
      </c>
      <c r="M452" s="629">
        <v>1</v>
      </c>
      <c r="N452" s="629">
        <v>13</v>
      </c>
      <c r="Q452" s="283"/>
      <c r="AC452" s="282"/>
      <c r="AD452" s="282"/>
      <c r="AE452" s="282"/>
      <c r="AF452" s="282"/>
      <c r="AG452" s="282"/>
      <c r="AH452" s="282"/>
      <c r="AI452" s="282"/>
      <c r="AJ452" s="282"/>
      <c r="AK452" s="282"/>
      <c r="AL452" s="282"/>
      <c r="AM452" s="282"/>
      <c r="AN452" s="282"/>
      <c r="AO452" s="282"/>
    </row>
    <row r="453" spans="1:41" s="263" customFormat="1" ht="9" customHeight="1" x14ac:dyDescent="0.25">
      <c r="A453" s="550" t="s">
        <v>28</v>
      </c>
      <c r="B453" s="629">
        <f t="shared" si="51"/>
        <v>55</v>
      </c>
      <c r="C453" s="629"/>
      <c r="D453" s="629">
        <f t="shared" si="49"/>
        <v>53</v>
      </c>
      <c r="E453" s="629">
        <v>20</v>
      </c>
      <c r="F453" s="629"/>
      <c r="G453" s="629">
        <f t="shared" si="50"/>
        <v>29</v>
      </c>
      <c r="H453" s="629">
        <v>4</v>
      </c>
      <c r="I453" s="629">
        <v>3</v>
      </c>
      <c r="J453" s="629">
        <v>22</v>
      </c>
      <c r="K453" s="629">
        <v>4</v>
      </c>
      <c r="L453" s="629">
        <v>0</v>
      </c>
      <c r="M453" s="629">
        <v>0</v>
      </c>
      <c r="N453" s="629">
        <v>2</v>
      </c>
      <c r="Q453" s="283"/>
      <c r="AC453" s="282"/>
      <c r="AD453" s="282"/>
      <c r="AE453" s="282"/>
      <c r="AF453" s="282"/>
      <c r="AG453" s="282"/>
      <c r="AH453" s="282"/>
      <c r="AI453" s="282"/>
      <c r="AJ453" s="282"/>
      <c r="AK453" s="282"/>
      <c r="AL453" s="282"/>
      <c r="AM453" s="282"/>
      <c r="AN453" s="282"/>
      <c r="AO453" s="282"/>
    </row>
    <row r="454" spans="1:41" s="263" customFormat="1" ht="9" customHeight="1" x14ac:dyDescent="0.25">
      <c r="A454" s="550" t="s">
        <v>29</v>
      </c>
      <c r="B454" s="629">
        <f t="shared" si="51"/>
        <v>200</v>
      </c>
      <c r="C454" s="629"/>
      <c r="D454" s="629">
        <f t="shared" si="49"/>
        <v>194</v>
      </c>
      <c r="E454" s="629">
        <v>112</v>
      </c>
      <c r="F454" s="629"/>
      <c r="G454" s="629">
        <f t="shared" si="50"/>
        <v>72</v>
      </c>
      <c r="H454" s="629">
        <v>13</v>
      </c>
      <c r="I454" s="629">
        <v>11</v>
      </c>
      <c r="J454" s="629">
        <v>48</v>
      </c>
      <c r="K454" s="629">
        <v>4</v>
      </c>
      <c r="L454" s="629">
        <v>0</v>
      </c>
      <c r="M454" s="629">
        <v>6</v>
      </c>
      <c r="N454" s="629">
        <v>6</v>
      </c>
      <c r="Q454" s="283"/>
      <c r="AC454" s="282"/>
      <c r="AD454" s="282"/>
      <c r="AE454" s="282"/>
      <c r="AF454" s="282"/>
      <c r="AG454" s="282"/>
      <c r="AH454" s="282"/>
      <c r="AI454" s="282"/>
      <c r="AJ454" s="282"/>
      <c r="AK454" s="282"/>
      <c r="AL454" s="282"/>
      <c r="AM454" s="282"/>
      <c r="AN454" s="282"/>
      <c r="AO454" s="282"/>
    </row>
    <row r="455" spans="1:41" s="263" customFormat="1" ht="9" customHeight="1" x14ac:dyDescent="0.25">
      <c r="A455" s="603" t="s">
        <v>30</v>
      </c>
      <c r="B455" s="630">
        <f t="shared" si="51"/>
        <v>902</v>
      </c>
      <c r="C455" s="630"/>
      <c r="D455" s="630">
        <f t="shared" si="49"/>
        <v>895</v>
      </c>
      <c r="E455" s="630">
        <v>96</v>
      </c>
      <c r="F455" s="630"/>
      <c r="G455" s="630">
        <f t="shared" si="50"/>
        <v>775</v>
      </c>
      <c r="H455" s="630">
        <v>28</v>
      </c>
      <c r="I455" s="630">
        <v>22</v>
      </c>
      <c r="J455" s="630">
        <v>725</v>
      </c>
      <c r="K455" s="630">
        <v>0</v>
      </c>
      <c r="L455" s="630">
        <v>21</v>
      </c>
      <c r="M455" s="630">
        <v>3</v>
      </c>
      <c r="N455" s="630">
        <v>7</v>
      </c>
      <c r="Q455" s="283"/>
      <c r="AC455" s="282"/>
      <c r="AD455" s="282"/>
      <c r="AE455" s="282"/>
      <c r="AF455" s="282"/>
      <c r="AG455" s="282"/>
      <c r="AH455" s="282"/>
      <c r="AI455" s="282"/>
      <c r="AJ455" s="282"/>
      <c r="AK455" s="282"/>
      <c r="AL455" s="282"/>
      <c r="AM455" s="282"/>
      <c r="AN455" s="282"/>
      <c r="AO455" s="282"/>
    </row>
    <row r="456" spans="1:41" s="263" customFormat="1" ht="9" customHeight="1" x14ac:dyDescent="0.25">
      <c r="A456" s="550" t="s">
        <v>63</v>
      </c>
      <c r="B456" s="629">
        <f t="shared" si="51"/>
        <v>3709</v>
      </c>
      <c r="C456" s="629"/>
      <c r="D456" s="629">
        <f t="shared" si="49"/>
        <v>3557</v>
      </c>
      <c r="E456" s="629">
        <v>585</v>
      </c>
      <c r="F456" s="629"/>
      <c r="G456" s="629">
        <f t="shared" si="50"/>
        <v>2097</v>
      </c>
      <c r="H456" s="629">
        <v>196</v>
      </c>
      <c r="I456" s="629">
        <v>555</v>
      </c>
      <c r="J456" s="629">
        <v>1346</v>
      </c>
      <c r="K456" s="629">
        <v>198</v>
      </c>
      <c r="L456" s="629">
        <v>587</v>
      </c>
      <c r="M456" s="629">
        <v>90</v>
      </c>
      <c r="N456" s="629">
        <v>152</v>
      </c>
      <c r="Q456" s="283"/>
      <c r="AC456" s="282"/>
      <c r="AD456" s="282"/>
      <c r="AE456" s="282"/>
      <c r="AF456" s="282"/>
      <c r="AG456" s="282"/>
      <c r="AH456" s="282"/>
      <c r="AI456" s="282"/>
      <c r="AJ456" s="282"/>
      <c r="AK456" s="282"/>
      <c r="AL456" s="282"/>
      <c r="AM456" s="282"/>
      <c r="AN456" s="282"/>
      <c r="AO456" s="282"/>
    </row>
    <row r="457" spans="1:41" s="263" customFormat="1" ht="9" customHeight="1" x14ac:dyDescent="0.25">
      <c r="A457" s="550" t="s">
        <v>31</v>
      </c>
      <c r="B457" s="629">
        <f t="shared" si="51"/>
        <v>143</v>
      </c>
      <c r="C457" s="629"/>
      <c r="D457" s="629">
        <f t="shared" si="49"/>
        <v>143</v>
      </c>
      <c r="E457" s="629">
        <v>42</v>
      </c>
      <c r="F457" s="629"/>
      <c r="G457" s="629">
        <f t="shared" si="50"/>
        <v>93</v>
      </c>
      <c r="H457" s="629">
        <v>46</v>
      </c>
      <c r="I457" s="629">
        <v>10</v>
      </c>
      <c r="J457" s="629">
        <v>37</v>
      </c>
      <c r="K457" s="629">
        <v>0</v>
      </c>
      <c r="L457" s="629">
        <v>6</v>
      </c>
      <c r="M457" s="629">
        <v>2</v>
      </c>
      <c r="N457" s="629">
        <v>0</v>
      </c>
      <c r="Q457" s="283"/>
      <c r="AC457" s="282"/>
      <c r="AD457" s="282"/>
      <c r="AE457" s="282"/>
      <c r="AF457" s="282"/>
      <c r="AG457" s="282"/>
      <c r="AH457" s="282"/>
      <c r="AI457" s="282"/>
      <c r="AJ457" s="282"/>
      <c r="AK457" s="282"/>
      <c r="AL457" s="282"/>
      <c r="AM457" s="282"/>
      <c r="AN457" s="282"/>
      <c r="AO457" s="282"/>
    </row>
    <row r="458" spans="1:41" s="263" customFormat="1" ht="9" customHeight="1" x14ac:dyDescent="0.25">
      <c r="A458" s="550" t="s">
        <v>32</v>
      </c>
      <c r="B458" s="629">
        <f t="shared" si="51"/>
        <v>505</v>
      </c>
      <c r="C458" s="629"/>
      <c r="D458" s="629">
        <f t="shared" si="49"/>
        <v>492</v>
      </c>
      <c r="E458" s="629">
        <v>238</v>
      </c>
      <c r="F458" s="629"/>
      <c r="G458" s="629">
        <f t="shared" si="50"/>
        <v>209</v>
      </c>
      <c r="H458" s="629">
        <v>45</v>
      </c>
      <c r="I458" s="629">
        <v>32</v>
      </c>
      <c r="J458" s="629">
        <v>132</v>
      </c>
      <c r="K458" s="629">
        <v>6</v>
      </c>
      <c r="L458" s="629">
        <v>32</v>
      </c>
      <c r="M458" s="629">
        <v>7</v>
      </c>
      <c r="N458" s="629">
        <v>13</v>
      </c>
      <c r="Q458" s="283"/>
      <c r="AC458" s="282"/>
      <c r="AD458" s="282"/>
      <c r="AE458" s="282"/>
      <c r="AF458" s="282"/>
      <c r="AG458" s="282"/>
      <c r="AH458" s="282"/>
      <c r="AI458" s="282"/>
      <c r="AJ458" s="282"/>
      <c r="AK458" s="282"/>
      <c r="AL458" s="282"/>
      <c r="AM458" s="282"/>
      <c r="AN458" s="282"/>
      <c r="AO458" s="282"/>
    </row>
    <row r="459" spans="1:41" s="263" customFormat="1" ht="9" customHeight="1" x14ac:dyDescent="0.25">
      <c r="A459" s="603" t="s">
        <v>33</v>
      </c>
      <c r="B459" s="630">
        <f t="shared" si="51"/>
        <v>246</v>
      </c>
      <c r="C459" s="630"/>
      <c r="D459" s="630">
        <f t="shared" si="49"/>
        <v>242</v>
      </c>
      <c r="E459" s="630">
        <v>105</v>
      </c>
      <c r="F459" s="630"/>
      <c r="G459" s="630">
        <f t="shared" si="50"/>
        <v>131</v>
      </c>
      <c r="H459" s="630">
        <v>21</v>
      </c>
      <c r="I459" s="630">
        <v>19</v>
      </c>
      <c r="J459" s="630">
        <v>91</v>
      </c>
      <c r="K459" s="630">
        <v>0</v>
      </c>
      <c r="L459" s="630">
        <v>0</v>
      </c>
      <c r="M459" s="630">
        <v>6</v>
      </c>
      <c r="N459" s="630">
        <v>4</v>
      </c>
      <c r="Q459" s="283"/>
      <c r="AC459" s="282"/>
      <c r="AD459" s="282"/>
      <c r="AE459" s="282"/>
      <c r="AF459" s="282"/>
      <c r="AG459" s="282"/>
      <c r="AH459" s="282"/>
      <c r="AI459" s="282"/>
      <c r="AJ459" s="282"/>
      <c r="AK459" s="282"/>
      <c r="AL459" s="282"/>
      <c r="AM459" s="282"/>
      <c r="AN459" s="282"/>
      <c r="AO459" s="282"/>
    </row>
    <row r="460" spans="1:41" s="263" customFormat="1" ht="9" customHeight="1" x14ac:dyDescent="0.25">
      <c r="A460" s="550" t="s">
        <v>34</v>
      </c>
      <c r="B460" s="629">
        <f t="shared" si="51"/>
        <v>785</v>
      </c>
      <c r="C460" s="629"/>
      <c r="D460" s="629">
        <f t="shared" si="49"/>
        <v>766</v>
      </c>
      <c r="E460" s="629">
        <v>212</v>
      </c>
      <c r="F460" s="629"/>
      <c r="G460" s="629">
        <f t="shared" si="50"/>
        <v>522</v>
      </c>
      <c r="H460" s="629">
        <v>94</v>
      </c>
      <c r="I460" s="629">
        <v>78</v>
      </c>
      <c r="J460" s="629">
        <v>350</v>
      </c>
      <c r="K460" s="629">
        <v>0</v>
      </c>
      <c r="L460" s="629">
        <v>6</v>
      </c>
      <c r="M460" s="629">
        <v>26</v>
      </c>
      <c r="N460" s="629">
        <v>19</v>
      </c>
      <c r="Q460" s="283"/>
      <c r="AC460" s="282"/>
      <c r="AD460" s="282"/>
      <c r="AE460" s="282"/>
      <c r="AF460" s="282"/>
      <c r="AG460" s="282"/>
      <c r="AH460" s="282"/>
      <c r="AI460" s="282"/>
      <c r="AJ460" s="282"/>
      <c r="AK460" s="282"/>
      <c r="AL460" s="282"/>
      <c r="AM460" s="282"/>
      <c r="AN460" s="282"/>
      <c r="AO460" s="282"/>
    </row>
    <row r="461" spans="1:41" s="263" customFormat="1" ht="9" customHeight="1" x14ac:dyDescent="0.25">
      <c r="A461" s="550" t="s">
        <v>35</v>
      </c>
      <c r="B461" s="629">
        <f t="shared" si="51"/>
        <v>896</v>
      </c>
      <c r="C461" s="629"/>
      <c r="D461" s="629">
        <f t="shared" si="49"/>
        <v>863</v>
      </c>
      <c r="E461" s="629">
        <v>245</v>
      </c>
      <c r="F461" s="629"/>
      <c r="G461" s="629">
        <f t="shared" si="50"/>
        <v>512</v>
      </c>
      <c r="H461" s="629">
        <v>78</v>
      </c>
      <c r="I461" s="629">
        <v>56</v>
      </c>
      <c r="J461" s="629">
        <v>378</v>
      </c>
      <c r="K461" s="629">
        <v>14</v>
      </c>
      <c r="L461" s="629">
        <v>85</v>
      </c>
      <c r="M461" s="629">
        <v>7</v>
      </c>
      <c r="N461" s="629">
        <v>33</v>
      </c>
      <c r="Q461" s="283"/>
      <c r="AC461" s="282"/>
      <c r="AD461" s="282"/>
      <c r="AE461" s="282"/>
      <c r="AF461" s="282"/>
      <c r="AG461" s="282"/>
      <c r="AH461" s="282"/>
      <c r="AI461" s="282"/>
      <c r="AJ461" s="282"/>
      <c r="AK461" s="282"/>
      <c r="AL461" s="282"/>
      <c r="AM461" s="282"/>
      <c r="AN461" s="282"/>
      <c r="AO461" s="282"/>
    </row>
    <row r="462" spans="1:41" s="263" customFormat="1" ht="9" customHeight="1" x14ac:dyDescent="0.25">
      <c r="A462" s="550" t="s">
        <v>36</v>
      </c>
      <c r="B462" s="629">
        <f t="shared" si="51"/>
        <v>1869</v>
      </c>
      <c r="C462" s="629"/>
      <c r="D462" s="629">
        <f t="shared" si="49"/>
        <v>1847</v>
      </c>
      <c r="E462" s="629">
        <v>1017</v>
      </c>
      <c r="F462" s="629"/>
      <c r="G462" s="629">
        <f t="shared" si="50"/>
        <v>709</v>
      </c>
      <c r="H462" s="629">
        <v>132</v>
      </c>
      <c r="I462" s="629">
        <v>121</v>
      </c>
      <c r="J462" s="629">
        <v>456</v>
      </c>
      <c r="K462" s="629">
        <v>23</v>
      </c>
      <c r="L462" s="629">
        <v>60</v>
      </c>
      <c r="M462" s="629">
        <v>38</v>
      </c>
      <c r="N462" s="629">
        <v>22</v>
      </c>
      <c r="Q462" s="283"/>
      <c r="AC462" s="282"/>
      <c r="AD462" s="282"/>
      <c r="AE462" s="282"/>
      <c r="AF462" s="282"/>
      <c r="AG462" s="282"/>
      <c r="AH462" s="282"/>
      <c r="AI462" s="282"/>
      <c r="AJ462" s="282"/>
      <c r="AK462" s="282"/>
      <c r="AL462" s="282"/>
      <c r="AM462" s="282"/>
      <c r="AN462" s="282"/>
      <c r="AO462" s="282"/>
    </row>
    <row r="463" spans="1:41" s="263" customFormat="1" ht="9" customHeight="1" x14ac:dyDescent="0.25">
      <c r="A463" s="603" t="s">
        <v>37</v>
      </c>
      <c r="B463" s="630">
        <f t="shared" si="51"/>
        <v>494</v>
      </c>
      <c r="C463" s="630"/>
      <c r="D463" s="630">
        <f t="shared" si="49"/>
        <v>493</v>
      </c>
      <c r="E463" s="630">
        <v>219</v>
      </c>
      <c r="F463" s="630"/>
      <c r="G463" s="630">
        <f t="shared" si="50"/>
        <v>209</v>
      </c>
      <c r="H463" s="630">
        <v>35</v>
      </c>
      <c r="I463" s="630">
        <v>25</v>
      </c>
      <c r="J463" s="630">
        <v>149</v>
      </c>
      <c r="K463" s="630">
        <v>11</v>
      </c>
      <c r="L463" s="630">
        <v>46</v>
      </c>
      <c r="M463" s="630">
        <v>8</v>
      </c>
      <c r="N463" s="630">
        <v>1</v>
      </c>
      <c r="Q463" s="283"/>
      <c r="AC463" s="282"/>
      <c r="AD463" s="282"/>
      <c r="AE463" s="282"/>
      <c r="AF463" s="282"/>
      <c r="AG463" s="282"/>
      <c r="AH463" s="282"/>
      <c r="AI463" s="282"/>
      <c r="AJ463" s="282"/>
      <c r="AK463" s="282"/>
      <c r="AL463" s="282"/>
      <c r="AM463" s="282"/>
      <c r="AN463" s="282"/>
      <c r="AO463" s="282"/>
    </row>
    <row r="464" spans="1:41" s="263" customFormat="1" ht="9" customHeight="1" x14ac:dyDescent="0.25">
      <c r="A464" s="550" t="s">
        <v>38</v>
      </c>
      <c r="B464" s="629">
        <f t="shared" si="51"/>
        <v>148</v>
      </c>
      <c r="C464" s="629"/>
      <c r="D464" s="629">
        <f t="shared" si="49"/>
        <v>144</v>
      </c>
      <c r="E464" s="629">
        <v>79</v>
      </c>
      <c r="F464" s="629"/>
      <c r="G464" s="629">
        <f t="shared" si="50"/>
        <v>63</v>
      </c>
      <c r="H464" s="629">
        <v>14</v>
      </c>
      <c r="I464" s="629">
        <v>8</v>
      </c>
      <c r="J464" s="629">
        <v>41</v>
      </c>
      <c r="K464" s="629">
        <v>1</v>
      </c>
      <c r="L464" s="629">
        <v>0</v>
      </c>
      <c r="M464" s="629">
        <v>1</v>
      </c>
      <c r="N464" s="629">
        <v>4</v>
      </c>
      <c r="Q464" s="283"/>
      <c r="AC464" s="282"/>
      <c r="AD464" s="282"/>
      <c r="AE464" s="282"/>
      <c r="AF464" s="282"/>
      <c r="AG464" s="282"/>
      <c r="AH464" s="282"/>
      <c r="AI464" s="282"/>
      <c r="AJ464" s="282"/>
      <c r="AK464" s="282"/>
      <c r="AL464" s="282"/>
      <c r="AM464" s="282"/>
      <c r="AN464" s="282"/>
      <c r="AO464" s="282"/>
    </row>
    <row r="465" spans="1:41" s="263" customFormat="1" ht="9" customHeight="1" x14ac:dyDescent="0.25">
      <c r="A465" s="550" t="s">
        <v>39</v>
      </c>
      <c r="B465" s="629">
        <f t="shared" si="51"/>
        <v>63</v>
      </c>
      <c r="C465" s="629"/>
      <c r="D465" s="629">
        <f t="shared" si="49"/>
        <v>63</v>
      </c>
      <c r="E465" s="629">
        <v>25</v>
      </c>
      <c r="F465" s="629"/>
      <c r="G465" s="629">
        <f t="shared" si="50"/>
        <v>38</v>
      </c>
      <c r="H465" s="629">
        <v>8</v>
      </c>
      <c r="I465" s="629">
        <v>6</v>
      </c>
      <c r="J465" s="629">
        <v>24</v>
      </c>
      <c r="K465" s="629">
        <v>0</v>
      </c>
      <c r="L465" s="629">
        <v>0</v>
      </c>
      <c r="M465" s="629">
        <v>0</v>
      </c>
      <c r="N465" s="629">
        <v>0</v>
      </c>
      <c r="Q465" s="283"/>
      <c r="AC465" s="282"/>
      <c r="AD465" s="282"/>
      <c r="AE465" s="282"/>
      <c r="AF465" s="282"/>
      <c r="AG465" s="282"/>
      <c r="AH465" s="282"/>
      <c r="AI465" s="282"/>
      <c r="AJ465" s="282"/>
      <c r="AK465" s="282"/>
      <c r="AL465" s="282"/>
      <c r="AM465" s="282"/>
      <c r="AN465" s="282"/>
      <c r="AO465" s="282"/>
    </row>
    <row r="466" spans="1:41" s="263" customFormat="1" ht="9" customHeight="1" x14ac:dyDescent="0.25">
      <c r="A466" s="550" t="s">
        <v>40</v>
      </c>
      <c r="B466" s="629">
        <f t="shared" si="51"/>
        <v>985</v>
      </c>
      <c r="C466" s="629"/>
      <c r="D466" s="629">
        <f t="shared" si="49"/>
        <v>940</v>
      </c>
      <c r="E466" s="629">
        <v>146</v>
      </c>
      <c r="F466" s="629"/>
      <c r="G466" s="629">
        <f t="shared" si="50"/>
        <v>611</v>
      </c>
      <c r="H466" s="629">
        <v>63</v>
      </c>
      <c r="I466" s="629">
        <v>77</v>
      </c>
      <c r="J466" s="629">
        <v>471</v>
      </c>
      <c r="K466" s="629">
        <v>40</v>
      </c>
      <c r="L466" s="629">
        <v>116</v>
      </c>
      <c r="M466" s="629">
        <v>27</v>
      </c>
      <c r="N466" s="629">
        <v>45</v>
      </c>
      <c r="Q466" s="283"/>
      <c r="AC466" s="282"/>
      <c r="AD466" s="282"/>
      <c r="AE466" s="282"/>
      <c r="AF466" s="282"/>
      <c r="AG466" s="282"/>
      <c r="AH466" s="282"/>
      <c r="AI466" s="282"/>
      <c r="AJ466" s="282"/>
      <c r="AK466" s="282"/>
      <c r="AL466" s="282"/>
      <c r="AM466" s="282"/>
      <c r="AN466" s="282"/>
      <c r="AO466" s="282"/>
    </row>
    <row r="467" spans="1:41" s="263" customFormat="1" ht="9" customHeight="1" x14ac:dyDescent="0.25">
      <c r="A467" s="603" t="s">
        <v>41</v>
      </c>
      <c r="B467" s="630">
        <f t="shared" si="51"/>
        <v>178</v>
      </c>
      <c r="C467" s="630"/>
      <c r="D467" s="630">
        <f t="shared" si="49"/>
        <v>168</v>
      </c>
      <c r="E467" s="630">
        <v>92</v>
      </c>
      <c r="F467" s="630"/>
      <c r="G467" s="630">
        <f t="shared" si="50"/>
        <v>64</v>
      </c>
      <c r="H467" s="630">
        <v>15</v>
      </c>
      <c r="I467" s="630">
        <v>8</v>
      </c>
      <c r="J467" s="630">
        <v>41</v>
      </c>
      <c r="K467" s="630">
        <v>0</v>
      </c>
      <c r="L467" s="630">
        <v>0</v>
      </c>
      <c r="M467" s="630">
        <v>12</v>
      </c>
      <c r="N467" s="630">
        <v>10</v>
      </c>
      <c r="Q467" s="283"/>
      <c r="AC467" s="282"/>
      <c r="AD467" s="282"/>
      <c r="AE467" s="282"/>
      <c r="AF467" s="282"/>
      <c r="AG467" s="282"/>
      <c r="AH467" s="282"/>
      <c r="AI467" s="282"/>
      <c r="AJ467" s="282"/>
      <c r="AK467" s="282"/>
      <c r="AL467" s="282"/>
      <c r="AM467" s="282"/>
      <c r="AN467" s="282"/>
      <c r="AO467" s="282"/>
    </row>
    <row r="468" spans="1:41" s="263" customFormat="1" ht="9" customHeight="1" x14ac:dyDescent="0.25">
      <c r="A468" s="550" t="s">
        <v>42</v>
      </c>
      <c r="B468" s="629">
        <f t="shared" si="51"/>
        <v>370</v>
      </c>
      <c r="C468" s="629"/>
      <c r="D468" s="629">
        <f t="shared" si="49"/>
        <v>363</v>
      </c>
      <c r="E468" s="629">
        <v>181</v>
      </c>
      <c r="F468" s="629"/>
      <c r="G468" s="629">
        <f t="shared" si="50"/>
        <v>151</v>
      </c>
      <c r="H468" s="629">
        <v>24</v>
      </c>
      <c r="I468" s="629">
        <v>23</v>
      </c>
      <c r="J468" s="629">
        <v>104</v>
      </c>
      <c r="K468" s="629">
        <v>1</v>
      </c>
      <c r="L468" s="629">
        <v>25</v>
      </c>
      <c r="M468" s="629">
        <v>5</v>
      </c>
      <c r="N468" s="629">
        <v>7</v>
      </c>
      <c r="Q468" s="283"/>
      <c r="AC468" s="282"/>
      <c r="AD468" s="282"/>
      <c r="AE468" s="282"/>
      <c r="AF468" s="282"/>
      <c r="AG468" s="282"/>
      <c r="AH468" s="282"/>
      <c r="AI468" s="282"/>
      <c r="AJ468" s="282"/>
      <c r="AK468" s="282"/>
      <c r="AL468" s="282"/>
      <c r="AM468" s="282"/>
      <c r="AN468" s="282"/>
      <c r="AO468" s="282"/>
    </row>
    <row r="469" spans="1:41" s="263" customFormat="1" ht="9" customHeight="1" x14ac:dyDescent="0.25">
      <c r="A469" s="550" t="s">
        <v>43</v>
      </c>
      <c r="B469" s="629">
        <f t="shared" si="51"/>
        <v>145</v>
      </c>
      <c r="C469" s="629"/>
      <c r="D469" s="629">
        <f t="shared" si="49"/>
        <v>143</v>
      </c>
      <c r="E469" s="629">
        <v>68</v>
      </c>
      <c r="F469" s="629"/>
      <c r="G469" s="629">
        <f t="shared" si="50"/>
        <v>72</v>
      </c>
      <c r="H469" s="629">
        <v>6</v>
      </c>
      <c r="I469" s="629">
        <v>7</v>
      </c>
      <c r="J469" s="629">
        <v>59</v>
      </c>
      <c r="K469" s="629">
        <v>0</v>
      </c>
      <c r="L469" s="629">
        <v>2</v>
      </c>
      <c r="M469" s="629">
        <v>1</v>
      </c>
      <c r="N469" s="629">
        <v>2</v>
      </c>
      <c r="Q469" s="283"/>
      <c r="AC469" s="282"/>
      <c r="AD469" s="282"/>
      <c r="AE469" s="282"/>
      <c r="AF469" s="282"/>
      <c r="AG469" s="282"/>
      <c r="AH469" s="282"/>
      <c r="AI469" s="282"/>
      <c r="AJ469" s="282"/>
      <c r="AK469" s="282"/>
      <c r="AL469" s="282"/>
      <c r="AM469" s="282"/>
      <c r="AN469" s="282"/>
      <c r="AO469" s="282"/>
    </row>
    <row r="470" spans="1:41" s="263" customFormat="1" ht="9" customHeight="1" x14ac:dyDescent="0.25">
      <c r="A470" s="550" t="s">
        <v>44</v>
      </c>
      <c r="B470" s="629">
        <f t="shared" si="51"/>
        <v>57</v>
      </c>
      <c r="C470" s="629"/>
      <c r="D470" s="629">
        <f t="shared" si="49"/>
        <v>56</v>
      </c>
      <c r="E470" s="629">
        <v>34</v>
      </c>
      <c r="F470" s="629"/>
      <c r="G470" s="629">
        <f t="shared" si="50"/>
        <v>18</v>
      </c>
      <c r="H470" s="629">
        <v>6</v>
      </c>
      <c r="I470" s="629">
        <v>1</v>
      </c>
      <c r="J470" s="629">
        <v>11</v>
      </c>
      <c r="K470" s="629">
        <v>0</v>
      </c>
      <c r="L470" s="629">
        <v>0</v>
      </c>
      <c r="M470" s="629">
        <v>4</v>
      </c>
      <c r="N470" s="629">
        <v>1</v>
      </c>
      <c r="Q470" s="283"/>
      <c r="AC470" s="282"/>
      <c r="AD470" s="282"/>
      <c r="AE470" s="282"/>
      <c r="AF470" s="282"/>
      <c r="AG470" s="282"/>
      <c r="AH470" s="282"/>
      <c r="AI470" s="282"/>
      <c r="AJ470" s="282"/>
      <c r="AK470" s="282"/>
      <c r="AL470" s="282"/>
      <c r="AM470" s="282"/>
      <c r="AN470" s="282"/>
      <c r="AO470" s="282"/>
    </row>
    <row r="471" spans="1:41" s="263" customFormat="1" ht="9" customHeight="1" x14ac:dyDescent="0.25">
      <c r="A471" s="603" t="s">
        <v>45</v>
      </c>
      <c r="B471" s="630">
        <f t="shared" si="51"/>
        <v>249</v>
      </c>
      <c r="C471" s="630"/>
      <c r="D471" s="630">
        <f t="shared" si="49"/>
        <v>245</v>
      </c>
      <c r="E471" s="630">
        <v>188</v>
      </c>
      <c r="F471" s="630"/>
      <c r="G471" s="630">
        <f t="shared" si="50"/>
        <v>47</v>
      </c>
      <c r="H471" s="630">
        <v>4</v>
      </c>
      <c r="I471" s="630">
        <v>10</v>
      </c>
      <c r="J471" s="630">
        <v>33</v>
      </c>
      <c r="K471" s="630">
        <v>0</v>
      </c>
      <c r="L471" s="630">
        <v>10</v>
      </c>
      <c r="M471" s="630">
        <v>0</v>
      </c>
      <c r="N471" s="630">
        <v>4</v>
      </c>
      <c r="Q471" s="283"/>
      <c r="AC471" s="282"/>
      <c r="AD471" s="282"/>
      <c r="AE471" s="282"/>
      <c r="AF471" s="282"/>
      <c r="AG471" s="282"/>
      <c r="AH471" s="282"/>
      <c r="AI471" s="282"/>
      <c r="AJ471" s="282"/>
      <c r="AK471" s="282"/>
      <c r="AL471" s="282"/>
      <c r="AM471" s="282"/>
      <c r="AN471" s="282"/>
      <c r="AO471" s="282"/>
    </row>
    <row r="472" spans="1:41" s="263" customFormat="1" ht="9" customHeight="1" x14ac:dyDescent="0.25">
      <c r="A472" s="550" t="s">
        <v>46</v>
      </c>
      <c r="B472" s="629">
        <f t="shared" si="51"/>
        <v>76</v>
      </c>
      <c r="C472" s="629"/>
      <c r="D472" s="629">
        <f t="shared" si="49"/>
        <v>76</v>
      </c>
      <c r="E472" s="629">
        <v>39</v>
      </c>
      <c r="F472" s="629"/>
      <c r="G472" s="629">
        <f t="shared" si="50"/>
        <v>31</v>
      </c>
      <c r="H472" s="629">
        <v>5</v>
      </c>
      <c r="I472" s="629">
        <v>3</v>
      </c>
      <c r="J472" s="629">
        <v>23</v>
      </c>
      <c r="K472" s="629">
        <v>4</v>
      </c>
      <c r="L472" s="629">
        <v>0</v>
      </c>
      <c r="M472" s="629">
        <v>2</v>
      </c>
      <c r="N472" s="629">
        <v>0</v>
      </c>
      <c r="Q472" s="283"/>
      <c r="AC472" s="282"/>
      <c r="AD472" s="282"/>
      <c r="AE472" s="282"/>
      <c r="AF472" s="282"/>
      <c r="AG472" s="282"/>
      <c r="AH472" s="282"/>
      <c r="AI472" s="282"/>
      <c r="AJ472" s="282"/>
      <c r="AK472" s="282"/>
      <c r="AL472" s="282"/>
      <c r="AM472" s="282"/>
      <c r="AN472" s="282"/>
      <c r="AO472" s="282"/>
    </row>
    <row r="473" spans="1:41" s="263" customFormat="1" ht="9" customHeight="1" x14ac:dyDescent="0.25">
      <c r="A473" s="550" t="s">
        <v>47</v>
      </c>
      <c r="B473" s="629">
        <f t="shared" si="51"/>
        <v>158</v>
      </c>
      <c r="C473" s="629"/>
      <c r="D473" s="629">
        <f t="shared" si="49"/>
        <v>156</v>
      </c>
      <c r="E473" s="629">
        <v>106</v>
      </c>
      <c r="F473" s="629"/>
      <c r="G473" s="629">
        <f t="shared" si="50"/>
        <v>50</v>
      </c>
      <c r="H473" s="629">
        <v>11</v>
      </c>
      <c r="I473" s="629">
        <v>9</v>
      </c>
      <c r="J473" s="629">
        <v>30</v>
      </c>
      <c r="K473" s="629">
        <v>0</v>
      </c>
      <c r="L473" s="629">
        <v>0</v>
      </c>
      <c r="M473" s="629">
        <v>0</v>
      </c>
      <c r="N473" s="629">
        <v>2</v>
      </c>
      <c r="Q473" s="283"/>
      <c r="AC473" s="282"/>
      <c r="AD473" s="282"/>
      <c r="AE473" s="282"/>
      <c r="AF473" s="282"/>
      <c r="AG473" s="282"/>
      <c r="AH473" s="282"/>
      <c r="AI473" s="282"/>
      <c r="AJ473" s="282"/>
      <c r="AK473" s="282"/>
      <c r="AL473" s="282"/>
      <c r="AM473" s="282"/>
      <c r="AN473" s="282"/>
      <c r="AO473" s="282"/>
    </row>
    <row r="474" spans="1:41" s="263" customFormat="1" ht="9" customHeight="1" x14ac:dyDescent="0.25">
      <c r="A474" s="550" t="s">
        <v>48</v>
      </c>
      <c r="B474" s="629">
        <f t="shared" si="51"/>
        <v>106</v>
      </c>
      <c r="C474" s="629"/>
      <c r="D474" s="629">
        <f t="shared" si="49"/>
        <v>106</v>
      </c>
      <c r="E474" s="629">
        <v>77</v>
      </c>
      <c r="F474" s="629"/>
      <c r="G474" s="629">
        <f t="shared" si="50"/>
        <v>28</v>
      </c>
      <c r="H474" s="629">
        <v>6</v>
      </c>
      <c r="I474" s="629">
        <v>4</v>
      </c>
      <c r="J474" s="629">
        <v>18</v>
      </c>
      <c r="K474" s="629">
        <v>1</v>
      </c>
      <c r="L474" s="629">
        <v>0</v>
      </c>
      <c r="M474" s="629">
        <v>0</v>
      </c>
      <c r="N474" s="629">
        <v>0</v>
      </c>
      <c r="Q474" s="283"/>
      <c r="AC474" s="282"/>
      <c r="AD474" s="282"/>
      <c r="AE474" s="282"/>
      <c r="AF474" s="282"/>
      <c r="AG474" s="282"/>
      <c r="AH474" s="282"/>
      <c r="AI474" s="282"/>
      <c r="AJ474" s="282"/>
      <c r="AK474" s="282"/>
      <c r="AL474" s="282"/>
      <c r="AM474" s="282"/>
      <c r="AN474" s="282"/>
      <c r="AO474" s="282"/>
    </row>
    <row r="475" spans="1:41" s="263" customFormat="1" ht="9" customHeight="1" x14ac:dyDescent="0.25">
      <c r="A475" s="603" t="s">
        <v>49</v>
      </c>
      <c r="B475" s="630">
        <f t="shared" si="51"/>
        <v>181</v>
      </c>
      <c r="C475" s="630"/>
      <c r="D475" s="630">
        <f t="shared" si="49"/>
        <v>180</v>
      </c>
      <c r="E475" s="630">
        <v>78</v>
      </c>
      <c r="F475" s="630"/>
      <c r="G475" s="630">
        <f t="shared" si="50"/>
        <v>80</v>
      </c>
      <c r="H475" s="630">
        <v>12</v>
      </c>
      <c r="I475" s="630">
        <v>7</v>
      </c>
      <c r="J475" s="630">
        <v>61</v>
      </c>
      <c r="K475" s="630">
        <v>2</v>
      </c>
      <c r="L475" s="630">
        <v>16</v>
      </c>
      <c r="M475" s="630">
        <v>4</v>
      </c>
      <c r="N475" s="630">
        <v>1</v>
      </c>
      <c r="Q475" s="283"/>
      <c r="AC475" s="282"/>
      <c r="AD475" s="282"/>
      <c r="AE475" s="282"/>
      <c r="AF475" s="282"/>
      <c r="AG475" s="282"/>
      <c r="AH475" s="282"/>
      <c r="AI475" s="282"/>
      <c r="AJ475" s="282"/>
      <c r="AK475" s="282"/>
      <c r="AL475" s="282"/>
      <c r="AM475" s="282"/>
      <c r="AN475" s="282"/>
      <c r="AO475" s="282"/>
    </row>
    <row r="476" spans="1:41" s="263" customFormat="1" ht="9" customHeight="1" x14ac:dyDescent="0.25">
      <c r="A476" s="550" t="s">
        <v>50</v>
      </c>
      <c r="B476" s="629">
        <f t="shared" si="51"/>
        <v>158</v>
      </c>
      <c r="C476" s="629"/>
      <c r="D476" s="629">
        <f t="shared" si="49"/>
        <v>158</v>
      </c>
      <c r="E476" s="629">
        <v>62</v>
      </c>
      <c r="F476" s="629"/>
      <c r="G476" s="629">
        <f t="shared" si="50"/>
        <v>95</v>
      </c>
      <c r="H476" s="629">
        <v>17</v>
      </c>
      <c r="I476" s="629">
        <v>16</v>
      </c>
      <c r="J476" s="629">
        <v>62</v>
      </c>
      <c r="K476" s="629">
        <v>1</v>
      </c>
      <c r="L476" s="629">
        <v>0</v>
      </c>
      <c r="M476" s="629">
        <v>0</v>
      </c>
      <c r="N476" s="629">
        <v>0</v>
      </c>
      <c r="Q476" s="283"/>
      <c r="AC476" s="282"/>
      <c r="AD476" s="282"/>
      <c r="AE476" s="282"/>
      <c r="AF476" s="282"/>
      <c r="AG476" s="282"/>
      <c r="AH476" s="282"/>
      <c r="AI476" s="282"/>
      <c r="AJ476" s="282"/>
      <c r="AK476" s="282"/>
      <c r="AL476" s="282"/>
      <c r="AM476" s="282"/>
      <c r="AN476" s="282"/>
      <c r="AO476" s="282"/>
    </row>
    <row r="477" spans="1:41" s="263" customFormat="1" ht="9" customHeight="1" x14ac:dyDescent="0.25">
      <c r="A477" s="550" t="s">
        <v>51</v>
      </c>
      <c r="B477" s="629">
        <f t="shared" si="51"/>
        <v>476</v>
      </c>
      <c r="C477" s="629"/>
      <c r="D477" s="629">
        <f t="shared" si="49"/>
        <v>463</v>
      </c>
      <c r="E477" s="629">
        <v>220</v>
      </c>
      <c r="F477" s="629"/>
      <c r="G477" s="629">
        <f t="shared" si="50"/>
        <v>239</v>
      </c>
      <c r="H477" s="629">
        <v>64</v>
      </c>
      <c r="I477" s="629">
        <v>35</v>
      </c>
      <c r="J477" s="629">
        <v>140</v>
      </c>
      <c r="K477" s="629">
        <v>1</v>
      </c>
      <c r="L477" s="629">
        <v>0</v>
      </c>
      <c r="M477" s="629">
        <v>3</v>
      </c>
      <c r="N477" s="629">
        <v>13</v>
      </c>
      <c r="Q477" s="283"/>
      <c r="AC477" s="282"/>
      <c r="AD477" s="282"/>
      <c r="AE477" s="282"/>
      <c r="AF477" s="282"/>
      <c r="AG477" s="282"/>
      <c r="AH477" s="282"/>
      <c r="AI477" s="282"/>
      <c r="AJ477" s="282"/>
      <c r="AK477" s="282"/>
      <c r="AL477" s="282"/>
      <c r="AM477" s="282"/>
      <c r="AN477" s="282"/>
      <c r="AO477" s="282"/>
    </row>
    <row r="478" spans="1:41" s="263" customFormat="1" ht="9" customHeight="1" x14ac:dyDescent="0.25">
      <c r="A478" s="550" t="s">
        <v>52</v>
      </c>
      <c r="B478" s="629">
        <f t="shared" si="51"/>
        <v>100</v>
      </c>
      <c r="C478" s="629"/>
      <c r="D478" s="629">
        <f t="shared" si="49"/>
        <v>94</v>
      </c>
      <c r="E478" s="629">
        <v>53</v>
      </c>
      <c r="F478" s="629"/>
      <c r="G478" s="629">
        <f t="shared" si="50"/>
        <v>39</v>
      </c>
      <c r="H478" s="629">
        <v>9</v>
      </c>
      <c r="I478" s="629">
        <v>6</v>
      </c>
      <c r="J478" s="629">
        <v>24</v>
      </c>
      <c r="K478" s="629">
        <v>0</v>
      </c>
      <c r="L478" s="629">
        <v>2</v>
      </c>
      <c r="M478" s="629">
        <v>0</v>
      </c>
      <c r="N478" s="629">
        <v>6</v>
      </c>
      <c r="Q478" s="283"/>
      <c r="AC478" s="282"/>
      <c r="AD478" s="282"/>
      <c r="AE478" s="282"/>
      <c r="AF478" s="282"/>
      <c r="AG478" s="282"/>
      <c r="AH478" s="282"/>
      <c r="AI478" s="282"/>
      <c r="AJ478" s="282"/>
      <c r="AK478" s="282"/>
      <c r="AL478" s="282"/>
      <c r="AM478" s="282"/>
      <c r="AN478" s="282"/>
      <c r="AO478" s="282"/>
    </row>
    <row r="479" spans="1:41" s="263" customFormat="1" ht="9" customHeight="1" x14ac:dyDescent="0.25">
      <c r="A479" s="267" t="s">
        <v>53</v>
      </c>
      <c r="B479" s="268">
        <f t="shared" si="51"/>
        <v>122</v>
      </c>
      <c r="C479" s="268"/>
      <c r="D479" s="268">
        <f t="shared" si="49"/>
        <v>118</v>
      </c>
      <c r="E479" s="268">
        <v>38</v>
      </c>
      <c r="F479" s="268"/>
      <c r="G479" s="268">
        <f t="shared" si="50"/>
        <v>80</v>
      </c>
      <c r="H479" s="268">
        <v>17</v>
      </c>
      <c r="I479" s="268">
        <v>11</v>
      </c>
      <c r="J479" s="268">
        <v>52</v>
      </c>
      <c r="K479" s="268">
        <v>0</v>
      </c>
      <c r="L479" s="268">
        <v>0</v>
      </c>
      <c r="M479" s="268">
        <v>0</v>
      </c>
      <c r="N479" s="268">
        <v>4</v>
      </c>
      <c r="Q479" s="283"/>
      <c r="AC479" s="282"/>
      <c r="AD479" s="282"/>
      <c r="AE479" s="282"/>
      <c r="AF479" s="282"/>
      <c r="AG479" s="282"/>
      <c r="AH479" s="282"/>
      <c r="AI479" s="282"/>
      <c r="AJ479" s="282"/>
      <c r="AK479" s="282"/>
      <c r="AL479" s="282"/>
      <c r="AM479" s="282"/>
      <c r="AN479" s="282"/>
      <c r="AO479" s="282"/>
    </row>
    <row r="480" spans="1:41" ht="9" customHeight="1" x14ac:dyDescent="0.25">
      <c r="B480" s="259"/>
      <c r="C480" s="259"/>
      <c r="D480" s="259"/>
      <c r="E480" s="259"/>
      <c r="F480" s="259"/>
      <c r="G480" s="259"/>
      <c r="H480" s="259"/>
      <c r="I480" s="259"/>
      <c r="J480" s="259"/>
      <c r="K480" s="259"/>
      <c r="L480" s="259"/>
      <c r="AC480" s="282"/>
      <c r="AD480" s="282"/>
      <c r="AE480" s="282"/>
      <c r="AF480" s="282"/>
      <c r="AG480" s="282"/>
      <c r="AH480" s="282"/>
      <c r="AI480" s="282"/>
      <c r="AJ480" s="282"/>
      <c r="AK480" s="282"/>
      <c r="AL480" s="282"/>
      <c r="AM480" s="282"/>
      <c r="AN480" s="282"/>
      <c r="AO480" s="282"/>
    </row>
    <row r="481" spans="1:41" ht="9" customHeight="1" x14ac:dyDescent="0.25">
      <c r="A481" s="601">
        <v>2014</v>
      </c>
      <c r="B481" s="262"/>
      <c r="C481" s="262"/>
      <c r="D481" s="262"/>
      <c r="E481" s="262"/>
      <c r="F481" s="262"/>
      <c r="G481" s="262"/>
      <c r="H481" s="262"/>
      <c r="I481" s="262"/>
      <c r="J481" s="262"/>
      <c r="K481" s="262"/>
      <c r="L481" s="262"/>
      <c r="M481" s="262"/>
      <c r="N481" s="262"/>
      <c r="AC481" s="282"/>
      <c r="AD481" s="282"/>
      <c r="AE481" s="282"/>
      <c r="AF481" s="282"/>
      <c r="AG481" s="282"/>
      <c r="AH481" s="282"/>
      <c r="AI481" s="282"/>
      <c r="AJ481" s="282"/>
      <c r="AK481" s="282"/>
      <c r="AL481" s="282"/>
      <c r="AM481" s="282"/>
      <c r="AN481" s="282"/>
      <c r="AO481" s="282"/>
    </row>
    <row r="482" spans="1:41" s="265" customFormat="1" ht="9" customHeight="1" x14ac:dyDescent="0.25">
      <c r="A482" s="265" t="s">
        <v>21</v>
      </c>
      <c r="B482" s="262">
        <f>SUM(B484:B515)</f>
        <v>14333</v>
      </c>
      <c r="C482" s="262"/>
      <c r="D482" s="262">
        <f>SUM(D484:D515)</f>
        <v>13915</v>
      </c>
      <c r="E482" s="262">
        <f>SUM(E484:E515)</f>
        <v>4483</v>
      </c>
      <c r="F482" s="262"/>
      <c r="G482" s="262">
        <f>SUM(G484:G515)</f>
        <v>7834</v>
      </c>
      <c r="H482" s="262">
        <f t="shared" ref="H482:M482" si="52">SUM(H484:H515)</f>
        <v>1071</v>
      </c>
      <c r="I482" s="262">
        <f t="shared" si="52"/>
        <v>963</v>
      </c>
      <c r="J482" s="262">
        <f t="shared" si="52"/>
        <v>5800</v>
      </c>
      <c r="K482" s="262">
        <f t="shared" si="52"/>
        <v>396</v>
      </c>
      <c r="L482" s="262">
        <f t="shared" si="52"/>
        <v>960</v>
      </c>
      <c r="M482" s="262">
        <f t="shared" si="52"/>
        <v>242</v>
      </c>
      <c r="N482" s="262">
        <f>SUM(N484:N515)</f>
        <v>418</v>
      </c>
      <c r="AC482" s="282"/>
      <c r="AD482" s="282"/>
      <c r="AE482" s="282"/>
      <c r="AF482" s="282"/>
      <c r="AG482" s="282"/>
      <c r="AH482" s="282"/>
      <c r="AI482" s="282"/>
      <c r="AJ482" s="282"/>
      <c r="AK482" s="282"/>
      <c r="AL482" s="282"/>
      <c r="AM482" s="282"/>
      <c r="AN482" s="282"/>
      <c r="AO482" s="282"/>
    </row>
    <row r="483" spans="1:41" s="265" customFormat="1" ht="3" customHeight="1" x14ac:dyDescent="0.25">
      <c r="B483" s="262"/>
      <c r="C483" s="262"/>
      <c r="D483" s="262"/>
      <c r="E483" s="262"/>
      <c r="F483" s="262"/>
      <c r="G483" s="262"/>
      <c r="H483" s="262"/>
      <c r="I483" s="262"/>
      <c r="J483" s="262"/>
      <c r="K483" s="262"/>
      <c r="L483" s="262"/>
      <c r="M483" s="262"/>
      <c r="N483" s="262"/>
      <c r="AC483" s="282"/>
      <c r="AD483" s="282"/>
      <c r="AE483" s="282"/>
      <c r="AF483" s="282"/>
      <c r="AG483" s="282"/>
      <c r="AH483" s="282"/>
      <c r="AI483" s="282"/>
      <c r="AJ483" s="282"/>
      <c r="AK483" s="282"/>
      <c r="AL483" s="282"/>
      <c r="AM483" s="282"/>
      <c r="AN483" s="282"/>
      <c r="AO483" s="282"/>
    </row>
    <row r="484" spans="1:41" s="263" customFormat="1" ht="9" customHeight="1" x14ac:dyDescent="0.25">
      <c r="A484" s="550" t="s">
        <v>23</v>
      </c>
      <c r="B484" s="629">
        <f>SUM(D484+N484)</f>
        <v>91</v>
      </c>
      <c r="C484" s="629"/>
      <c r="D484" s="629">
        <f t="shared" ref="D484:D515" si="53">SUM(E484+G484+K484+L484+M484)</f>
        <v>90</v>
      </c>
      <c r="E484" s="629">
        <v>17</v>
      </c>
      <c r="F484" s="629"/>
      <c r="G484" s="629">
        <f>SUM(H484:J484)</f>
        <v>59</v>
      </c>
      <c r="H484" s="629">
        <v>8</v>
      </c>
      <c r="I484" s="629">
        <v>8</v>
      </c>
      <c r="J484" s="629">
        <v>43</v>
      </c>
      <c r="K484" s="629">
        <v>11</v>
      </c>
      <c r="L484" s="629">
        <v>0</v>
      </c>
      <c r="M484" s="629">
        <v>3</v>
      </c>
      <c r="N484" s="629">
        <v>1</v>
      </c>
      <c r="Q484" s="283"/>
      <c r="AC484" s="282"/>
      <c r="AD484" s="282"/>
      <c r="AE484" s="282"/>
      <c r="AF484" s="282"/>
      <c r="AG484" s="282"/>
      <c r="AH484" s="282"/>
      <c r="AI484" s="282"/>
      <c r="AJ484" s="282"/>
      <c r="AK484" s="282"/>
      <c r="AL484" s="282"/>
      <c r="AM484" s="282"/>
      <c r="AN484" s="282"/>
      <c r="AO484" s="282"/>
    </row>
    <row r="485" spans="1:41" s="263" customFormat="1" ht="9" customHeight="1" x14ac:dyDescent="0.25">
      <c r="A485" s="550" t="s">
        <v>24</v>
      </c>
      <c r="B485" s="629">
        <f>SUM(D485+N485)</f>
        <v>295</v>
      </c>
      <c r="C485" s="629"/>
      <c r="D485" s="629">
        <f t="shared" si="53"/>
        <v>285</v>
      </c>
      <c r="E485" s="629">
        <v>98</v>
      </c>
      <c r="F485" s="629"/>
      <c r="G485" s="629">
        <f>SUM(H485:J485)</f>
        <v>185</v>
      </c>
      <c r="H485" s="629">
        <v>31</v>
      </c>
      <c r="I485" s="629">
        <v>29</v>
      </c>
      <c r="J485" s="629">
        <v>125</v>
      </c>
      <c r="K485" s="629">
        <v>0</v>
      </c>
      <c r="L485" s="629">
        <v>0</v>
      </c>
      <c r="M485" s="629">
        <v>2</v>
      </c>
      <c r="N485" s="629">
        <v>10</v>
      </c>
      <c r="Q485" s="283"/>
      <c r="AC485" s="282"/>
      <c r="AD485" s="282"/>
      <c r="AE485" s="282"/>
      <c r="AF485" s="282"/>
      <c r="AG485" s="282"/>
      <c r="AH485" s="282"/>
      <c r="AI485" s="282"/>
      <c r="AJ485" s="282"/>
      <c r="AK485" s="282"/>
      <c r="AL485" s="282"/>
      <c r="AM485" s="282"/>
      <c r="AN485" s="282"/>
      <c r="AO485" s="282"/>
    </row>
    <row r="486" spans="1:41" s="263" customFormat="1" ht="9" customHeight="1" x14ac:dyDescent="0.25">
      <c r="A486" s="550" t="s">
        <v>25</v>
      </c>
      <c r="B486" s="629">
        <f>SUM(D486+N486)</f>
        <v>17</v>
      </c>
      <c r="C486" s="629"/>
      <c r="D486" s="629">
        <f t="shared" si="53"/>
        <v>16</v>
      </c>
      <c r="E486" s="629">
        <v>4</v>
      </c>
      <c r="F486" s="629"/>
      <c r="G486" s="629">
        <f t="shared" ref="G486:G515" si="54">SUM(H486:J486)</f>
        <v>12</v>
      </c>
      <c r="H486" s="629">
        <v>2</v>
      </c>
      <c r="I486" s="629">
        <v>0</v>
      </c>
      <c r="J486" s="629">
        <v>10</v>
      </c>
      <c r="K486" s="629">
        <v>0</v>
      </c>
      <c r="L486" s="629">
        <v>0</v>
      </c>
      <c r="M486" s="629">
        <v>0</v>
      </c>
      <c r="N486" s="629">
        <v>1</v>
      </c>
      <c r="Q486" s="283"/>
      <c r="AC486" s="282"/>
      <c r="AD486" s="282"/>
      <c r="AE486" s="282"/>
      <c r="AF486" s="282"/>
      <c r="AG486" s="282"/>
      <c r="AH486" s="282"/>
      <c r="AI486" s="282"/>
      <c r="AJ486" s="282"/>
      <c r="AK486" s="282"/>
      <c r="AL486" s="282"/>
      <c r="AM486" s="282"/>
      <c r="AN486" s="282"/>
      <c r="AO486" s="282"/>
    </row>
    <row r="487" spans="1:41" s="263" customFormat="1" ht="9" customHeight="1" x14ac:dyDescent="0.25">
      <c r="A487" s="603" t="s">
        <v>26</v>
      </c>
      <c r="B487" s="630">
        <f>SUM(D487+N487)</f>
        <v>36</v>
      </c>
      <c r="C487" s="630"/>
      <c r="D487" s="630">
        <f t="shared" si="53"/>
        <v>36</v>
      </c>
      <c r="E487" s="630">
        <v>21</v>
      </c>
      <c r="F487" s="630"/>
      <c r="G487" s="630">
        <f t="shared" si="54"/>
        <v>14</v>
      </c>
      <c r="H487" s="630">
        <v>1</v>
      </c>
      <c r="I487" s="630">
        <v>4</v>
      </c>
      <c r="J487" s="630">
        <v>9</v>
      </c>
      <c r="K487" s="630">
        <v>0</v>
      </c>
      <c r="L487" s="630">
        <v>0</v>
      </c>
      <c r="M487" s="630">
        <v>1</v>
      </c>
      <c r="N487" s="630">
        <v>0</v>
      </c>
      <c r="Q487" s="283"/>
      <c r="AC487" s="282"/>
      <c r="AD487" s="282"/>
      <c r="AE487" s="282"/>
      <c r="AF487" s="282"/>
      <c r="AG487" s="282"/>
      <c r="AH487" s="282"/>
      <c r="AI487" s="282"/>
      <c r="AJ487" s="282"/>
      <c r="AK487" s="282"/>
      <c r="AL487" s="282"/>
      <c r="AM487" s="282"/>
      <c r="AN487" s="282"/>
      <c r="AO487" s="282"/>
    </row>
    <row r="488" spans="1:41" s="263" customFormat="1" ht="9" customHeight="1" x14ac:dyDescent="0.25">
      <c r="A488" s="550" t="s">
        <v>27</v>
      </c>
      <c r="B488" s="629">
        <f t="shared" ref="B488:B515" si="55">SUM(D488+N488)</f>
        <v>166</v>
      </c>
      <c r="C488" s="629"/>
      <c r="D488" s="629">
        <f t="shared" si="53"/>
        <v>153</v>
      </c>
      <c r="E488" s="629">
        <v>41</v>
      </c>
      <c r="F488" s="629"/>
      <c r="G488" s="629">
        <f t="shared" si="54"/>
        <v>108</v>
      </c>
      <c r="H488" s="629">
        <v>15</v>
      </c>
      <c r="I488" s="629">
        <v>8</v>
      </c>
      <c r="J488" s="629">
        <v>85</v>
      </c>
      <c r="K488" s="629">
        <v>1</v>
      </c>
      <c r="L488" s="629">
        <v>0</v>
      </c>
      <c r="M488" s="629">
        <v>3</v>
      </c>
      <c r="N488" s="629">
        <v>13</v>
      </c>
      <c r="Q488" s="283"/>
      <c r="AC488" s="282"/>
      <c r="AD488" s="282"/>
      <c r="AE488" s="282"/>
      <c r="AF488" s="282"/>
      <c r="AG488" s="282"/>
      <c r="AH488" s="282"/>
      <c r="AI488" s="282"/>
      <c r="AJ488" s="282"/>
      <c r="AK488" s="282"/>
      <c r="AL488" s="282"/>
      <c r="AM488" s="282"/>
      <c r="AN488" s="282"/>
      <c r="AO488" s="282"/>
    </row>
    <row r="489" spans="1:41" s="263" customFormat="1" ht="9" customHeight="1" x14ac:dyDescent="0.25">
      <c r="A489" s="550" t="s">
        <v>28</v>
      </c>
      <c r="B489" s="629">
        <f t="shared" si="55"/>
        <v>55</v>
      </c>
      <c r="C489" s="629"/>
      <c r="D489" s="629">
        <f t="shared" si="53"/>
        <v>53</v>
      </c>
      <c r="E489" s="629">
        <v>20</v>
      </c>
      <c r="F489" s="629"/>
      <c r="G489" s="629">
        <f t="shared" si="54"/>
        <v>29</v>
      </c>
      <c r="H489" s="629">
        <v>4</v>
      </c>
      <c r="I489" s="629">
        <v>3</v>
      </c>
      <c r="J489" s="629">
        <v>22</v>
      </c>
      <c r="K489" s="629">
        <v>4</v>
      </c>
      <c r="L489" s="629">
        <v>0</v>
      </c>
      <c r="M489" s="629">
        <v>0</v>
      </c>
      <c r="N489" s="629">
        <v>2</v>
      </c>
      <c r="Q489" s="283"/>
      <c r="AC489" s="282"/>
      <c r="AD489" s="282"/>
      <c r="AE489" s="282"/>
      <c r="AF489" s="282"/>
      <c r="AG489" s="282"/>
      <c r="AH489" s="282"/>
      <c r="AI489" s="282"/>
      <c r="AJ489" s="282"/>
      <c r="AK489" s="282"/>
      <c r="AL489" s="282"/>
      <c r="AM489" s="282"/>
      <c r="AN489" s="282"/>
      <c r="AO489" s="282"/>
    </row>
    <row r="490" spans="1:41" s="263" customFormat="1" ht="9" customHeight="1" x14ac:dyDescent="0.25">
      <c r="A490" s="550" t="s">
        <v>29</v>
      </c>
      <c r="B490" s="629">
        <f t="shared" si="55"/>
        <v>187</v>
      </c>
      <c r="C490" s="629"/>
      <c r="D490" s="629">
        <f t="shared" si="53"/>
        <v>183</v>
      </c>
      <c r="E490" s="629">
        <v>115</v>
      </c>
      <c r="F490" s="629"/>
      <c r="G490" s="629">
        <f t="shared" si="54"/>
        <v>61</v>
      </c>
      <c r="H490" s="629">
        <v>10</v>
      </c>
      <c r="I490" s="629">
        <v>9</v>
      </c>
      <c r="J490" s="629">
        <v>42</v>
      </c>
      <c r="K490" s="629">
        <v>4</v>
      </c>
      <c r="L490" s="629">
        <v>0</v>
      </c>
      <c r="M490" s="629">
        <v>3</v>
      </c>
      <c r="N490" s="629">
        <v>4</v>
      </c>
      <c r="Q490" s="283"/>
      <c r="AC490" s="282"/>
      <c r="AD490" s="282"/>
      <c r="AE490" s="282"/>
      <c r="AF490" s="282"/>
      <c r="AG490" s="282"/>
      <c r="AH490" s="282"/>
      <c r="AI490" s="282"/>
      <c r="AJ490" s="282"/>
      <c r="AK490" s="282"/>
      <c r="AL490" s="282"/>
      <c r="AM490" s="282"/>
      <c r="AN490" s="282"/>
      <c r="AO490" s="282"/>
    </row>
    <row r="491" spans="1:41" s="263" customFormat="1" ht="9" customHeight="1" x14ac:dyDescent="0.25">
      <c r="A491" s="603" t="s">
        <v>30</v>
      </c>
      <c r="B491" s="630">
        <f t="shared" si="55"/>
        <v>1299</v>
      </c>
      <c r="C491" s="630"/>
      <c r="D491" s="630">
        <f t="shared" si="53"/>
        <v>1291</v>
      </c>
      <c r="E491" s="630">
        <v>122</v>
      </c>
      <c r="F491" s="630"/>
      <c r="G491" s="630">
        <f t="shared" si="54"/>
        <v>1103</v>
      </c>
      <c r="H491" s="630">
        <v>68</v>
      </c>
      <c r="I491" s="630">
        <v>59</v>
      </c>
      <c r="J491" s="630">
        <v>976</v>
      </c>
      <c r="K491" s="630">
        <v>4</v>
      </c>
      <c r="L491" s="630">
        <v>59</v>
      </c>
      <c r="M491" s="630">
        <v>3</v>
      </c>
      <c r="N491" s="630">
        <v>8</v>
      </c>
      <c r="Q491" s="283"/>
      <c r="AC491" s="282"/>
      <c r="AD491" s="282"/>
      <c r="AE491" s="282"/>
      <c r="AF491" s="282"/>
      <c r="AG491" s="282"/>
      <c r="AH491" s="282"/>
      <c r="AI491" s="282"/>
      <c r="AJ491" s="282"/>
      <c r="AK491" s="282"/>
      <c r="AL491" s="282"/>
      <c r="AM491" s="282"/>
      <c r="AN491" s="282"/>
      <c r="AO491" s="282"/>
    </row>
    <row r="492" spans="1:41" s="263" customFormat="1" ht="9" customHeight="1" x14ac:dyDescent="0.25">
      <c r="A492" s="550" t="s">
        <v>63</v>
      </c>
      <c r="B492" s="629">
        <f t="shared" si="55"/>
        <v>3520</v>
      </c>
      <c r="C492" s="629"/>
      <c r="D492" s="629">
        <f t="shared" si="53"/>
        <v>3346</v>
      </c>
      <c r="E492" s="629">
        <v>510</v>
      </c>
      <c r="F492" s="629"/>
      <c r="G492" s="629">
        <f t="shared" si="54"/>
        <v>1988</v>
      </c>
      <c r="H492" s="629">
        <v>197</v>
      </c>
      <c r="I492" s="629">
        <v>237</v>
      </c>
      <c r="J492" s="629">
        <v>1554</v>
      </c>
      <c r="K492" s="629">
        <v>220</v>
      </c>
      <c r="L492" s="629">
        <v>537</v>
      </c>
      <c r="M492" s="629">
        <v>91</v>
      </c>
      <c r="N492" s="629">
        <v>174</v>
      </c>
      <c r="Q492" s="283"/>
      <c r="AC492" s="282"/>
      <c r="AD492" s="282"/>
      <c r="AE492" s="282"/>
      <c r="AF492" s="282"/>
      <c r="AG492" s="282"/>
      <c r="AH492" s="282"/>
      <c r="AI492" s="282"/>
      <c r="AJ492" s="282"/>
      <c r="AK492" s="282"/>
      <c r="AL492" s="282"/>
      <c r="AM492" s="282"/>
      <c r="AN492" s="282"/>
      <c r="AO492" s="282"/>
    </row>
    <row r="493" spans="1:41" s="263" customFormat="1" ht="9" customHeight="1" x14ac:dyDescent="0.25">
      <c r="A493" s="550" t="s">
        <v>31</v>
      </c>
      <c r="B493" s="629">
        <f t="shared" si="55"/>
        <v>125</v>
      </c>
      <c r="C493" s="629"/>
      <c r="D493" s="629">
        <f t="shared" si="53"/>
        <v>125</v>
      </c>
      <c r="E493" s="629">
        <v>46</v>
      </c>
      <c r="F493" s="629"/>
      <c r="G493" s="629">
        <f t="shared" si="54"/>
        <v>79</v>
      </c>
      <c r="H493" s="629">
        <v>44</v>
      </c>
      <c r="I493" s="629">
        <v>6</v>
      </c>
      <c r="J493" s="629">
        <v>29</v>
      </c>
      <c r="K493" s="629">
        <v>0</v>
      </c>
      <c r="L493" s="629">
        <v>0</v>
      </c>
      <c r="M493" s="629">
        <v>0</v>
      </c>
      <c r="N493" s="629">
        <v>0</v>
      </c>
      <c r="Q493" s="283"/>
      <c r="AC493" s="282"/>
      <c r="AD493" s="282"/>
      <c r="AE493" s="282"/>
      <c r="AF493" s="282"/>
      <c r="AG493" s="282"/>
      <c r="AH493" s="282"/>
      <c r="AI493" s="282"/>
      <c r="AJ493" s="282"/>
      <c r="AK493" s="282"/>
      <c r="AL493" s="282"/>
      <c r="AM493" s="282"/>
      <c r="AN493" s="282"/>
      <c r="AO493" s="282"/>
    </row>
    <row r="494" spans="1:41" s="263" customFormat="1" ht="9" customHeight="1" x14ac:dyDescent="0.25">
      <c r="A494" s="550" t="s">
        <v>32</v>
      </c>
      <c r="B494" s="629">
        <f t="shared" si="55"/>
        <v>439</v>
      </c>
      <c r="C494" s="629"/>
      <c r="D494" s="629">
        <f t="shared" si="53"/>
        <v>430</v>
      </c>
      <c r="E494" s="629">
        <v>212</v>
      </c>
      <c r="F494" s="629"/>
      <c r="G494" s="629">
        <f t="shared" si="54"/>
        <v>173</v>
      </c>
      <c r="H494" s="629">
        <v>31</v>
      </c>
      <c r="I494" s="629">
        <v>23</v>
      </c>
      <c r="J494" s="629">
        <v>119</v>
      </c>
      <c r="K494" s="629">
        <v>6</v>
      </c>
      <c r="L494" s="629">
        <v>34</v>
      </c>
      <c r="M494" s="629">
        <v>5</v>
      </c>
      <c r="N494" s="629">
        <v>9</v>
      </c>
      <c r="Q494" s="283"/>
      <c r="AC494" s="282"/>
      <c r="AD494" s="282"/>
      <c r="AE494" s="282"/>
      <c r="AF494" s="282"/>
      <c r="AG494" s="282"/>
      <c r="AH494" s="282"/>
      <c r="AI494" s="282"/>
      <c r="AJ494" s="282"/>
      <c r="AK494" s="282"/>
      <c r="AL494" s="282"/>
      <c r="AM494" s="282"/>
      <c r="AN494" s="282"/>
      <c r="AO494" s="282"/>
    </row>
    <row r="495" spans="1:41" s="263" customFormat="1" ht="9" customHeight="1" x14ac:dyDescent="0.25">
      <c r="A495" s="603" t="s">
        <v>33</v>
      </c>
      <c r="B495" s="630">
        <f t="shared" si="55"/>
        <v>208</v>
      </c>
      <c r="C495" s="630"/>
      <c r="D495" s="630">
        <f t="shared" si="53"/>
        <v>208</v>
      </c>
      <c r="E495" s="630">
        <v>105</v>
      </c>
      <c r="F495" s="630"/>
      <c r="G495" s="630">
        <f t="shared" si="54"/>
        <v>102</v>
      </c>
      <c r="H495" s="630">
        <v>18</v>
      </c>
      <c r="I495" s="630">
        <v>14</v>
      </c>
      <c r="J495" s="630">
        <v>70</v>
      </c>
      <c r="K495" s="630">
        <v>0</v>
      </c>
      <c r="L495" s="630">
        <v>0</v>
      </c>
      <c r="M495" s="630">
        <v>1</v>
      </c>
      <c r="N495" s="630">
        <v>0</v>
      </c>
      <c r="Q495" s="283"/>
      <c r="AC495" s="282"/>
      <c r="AD495" s="282"/>
      <c r="AE495" s="282"/>
      <c r="AF495" s="282"/>
      <c r="AG495" s="282"/>
      <c r="AH495" s="282"/>
      <c r="AI495" s="282"/>
      <c r="AJ495" s="282"/>
      <c r="AK495" s="282"/>
      <c r="AL495" s="282"/>
      <c r="AM495" s="282"/>
      <c r="AN495" s="282"/>
      <c r="AO495" s="282"/>
    </row>
    <row r="496" spans="1:41" s="263" customFormat="1" ht="9" customHeight="1" x14ac:dyDescent="0.25">
      <c r="A496" s="550" t="s">
        <v>34</v>
      </c>
      <c r="B496" s="629">
        <f t="shared" si="55"/>
        <v>939</v>
      </c>
      <c r="C496" s="629"/>
      <c r="D496" s="629">
        <f t="shared" si="53"/>
        <v>922</v>
      </c>
      <c r="E496" s="629">
        <v>251</v>
      </c>
      <c r="F496" s="629"/>
      <c r="G496" s="629">
        <f t="shared" si="54"/>
        <v>644</v>
      </c>
      <c r="H496" s="629">
        <v>118</v>
      </c>
      <c r="I496" s="629">
        <v>107</v>
      </c>
      <c r="J496" s="629">
        <v>419</v>
      </c>
      <c r="K496" s="629">
        <v>0</v>
      </c>
      <c r="L496" s="629">
        <v>1</v>
      </c>
      <c r="M496" s="629">
        <v>26</v>
      </c>
      <c r="N496" s="629">
        <v>17</v>
      </c>
      <c r="Q496" s="283"/>
      <c r="AC496" s="282"/>
      <c r="AD496" s="282"/>
      <c r="AE496" s="282"/>
      <c r="AF496" s="282"/>
      <c r="AG496" s="282"/>
      <c r="AH496" s="282"/>
      <c r="AI496" s="282"/>
      <c r="AJ496" s="282"/>
      <c r="AK496" s="282"/>
      <c r="AL496" s="282"/>
      <c r="AM496" s="282"/>
      <c r="AN496" s="282"/>
      <c r="AO496" s="282"/>
    </row>
    <row r="497" spans="1:41" s="263" customFormat="1" ht="9" customHeight="1" x14ac:dyDescent="0.25">
      <c r="A497" s="550" t="s">
        <v>35</v>
      </c>
      <c r="B497" s="629">
        <f t="shared" si="55"/>
        <v>866</v>
      </c>
      <c r="C497" s="629"/>
      <c r="D497" s="629">
        <f t="shared" si="53"/>
        <v>839</v>
      </c>
      <c r="E497" s="629">
        <v>228</v>
      </c>
      <c r="F497" s="629"/>
      <c r="G497" s="629">
        <f t="shared" si="54"/>
        <v>513</v>
      </c>
      <c r="H497" s="629">
        <v>75</v>
      </c>
      <c r="I497" s="629">
        <v>58</v>
      </c>
      <c r="J497" s="629">
        <v>380</v>
      </c>
      <c r="K497" s="629">
        <v>12</v>
      </c>
      <c r="L497" s="629">
        <v>79</v>
      </c>
      <c r="M497" s="629">
        <v>7</v>
      </c>
      <c r="N497" s="629">
        <v>27</v>
      </c>
      <c r="Q497" s="283"/>
      <c r="AC497" s="282"/>
      <c r="AD497" s="282"/>
      <c r="AE497" s="282"/>
      <c r="AF497" s="282"/>
      <c r="AG497" s="282"/>
      <c r="AH497" s="282"/>
      <c r="AI497" s="282"/>
      <c r="AJ497" s="282"/>
      <c r="AK497" s="282"/>
      <c r="AL497" s="282"/>
      <c r="AM497" s="282"/>
      <c r="AN497" s="282"/>
      <c r="AO497" s="282"/>
    </row>
    <row r="498" spans="1:41" s="263" customFormat="1" ht="9" customHeight="1" x14ac:dyDescent="0.25">
      <c r="A498" s="550" t="s">
        <v>36</v>
      </c>
      <c r="B498" s="629">
        <f t="shared" si="55"/>
        <v>1721</v>
      </c>
      <c r="C498" s="629"/>
      <c r="D498" s="629">
        <f t="shared" si="53"/>
        <v>1690</v>
      </c>
      <c r="E498" s="629">
        <v>885</v>
      </c>
      <c r="F498" s="629"/>
      <c r="G498" s="629">
        <f t="shared" si="54"/>
        <v>676</v>
      </c>
      <c r="H498" s="629">
        <v>132</v>
      </c>
      <c r="I498" s="629">
        <v>103</v>
      </c>
      <c r="J498" s="629">
        <v>441</v>
      </c>
      <c r="K498" s="629">
        <v>37</v>
      </c>
      <c r="L498" s="629">
        <v>56</v>
      </c>
      <c r="M498" s="629">
        <v>36</v>
      </c>
      <c r="N498" s="629">
        <v>31</v>
      </c>
      <c r="Q498" s="283"/>
      <c r="AC498" s="282"/>
      <c r="AD498" s="282"/>
      <c r="AE498" s="282"/>
      <c r="AF498" s="282"/>
      <c r="AG498" s="282"/>
      <c r="AH498" s="282"/>
      <c r="AI498" s="282"/>
      <c r="AJ498" s="282"/>
      <c r="AK498" s="282"/>
      <c r="AL498" s="282"/>
      <c r="AM498" s="282"/>
      <c r="AN498" s="282"/>
      <c r="AO498" s="282"/>
    </row>
    <row r="499" spans="1:41" s="263" customFormat="1" ht="9" customHeight="1" x14ac:dyDescent="0.25">
      <c r="A499" s="603" t="s">
        <v>37</v>
      </c>
      <c r="B499" s="630">
        <f t="shared" si="55"/>
        <v>615</v>
      </c>
      <c r="C499" s="630"/>
      <c r="D499" s="630">
        <f t="shared" si="53"/>
        <v>614</v>
      </c>
      <c r="E499" s="630">
        <v>252</v>
      </c>
      <c r="F499" s="630"/>
      <c r="G499" s="630">
        <f t="shared" si="54"/>
        <v>297</v>
      </c>
      <c r="H499" s="630">
        <v>49</v>
      </c>
      <c r="I499" s="630">
        <v>39</v>
      </c>
      <c r="J499" s="630">
        <v>209</v>
      </c>
      <c r="K499" s="630">
        <v>11</v>
      </c>
      <c r="L499" s="630">
        <v>46</v>
      </c>
      <c r="M499" s="630">
        <v>8</v>
      </c>
      <c r="N499" s="630">
        <v>1</v>
      </c>
      <c r="Q499" s="283"/>
      <c r="AC499" s="282"/>
      <c r="AD499" s="282"/>
      <c r="AE499" s="282"/>
      <c r="AF499" s="282"/>
      <c r="AG499" s="282"/>
      <c r="AH499" s="282"/>
      <c r="AI499" s="282"/>
      <c r="AJ499" s="282"/>
      <c r="AK499" s="282"/>
      <c r="AL499" s="282"/>
      <c r="AM499" s="282"/>
      <c r="AN499" s="282"/>
      <c r="AO499" s="282"/>
    </row>
    <row r="500" spans="1:41" s="263" customFormat="1" ht="9" customHeight="1" x14ac:dyDescent="0.25">
      <c r="A500" s="550" t="s">
        <v>38</v>
      </c>
      <c r="B500" s="629">
        <f t="shared" si="55"/>
        <v>156</v>
      </c>
      <c r="C500" s="629"/>
      <c r="D500" s="629">
        <f t="shared" si="53"/>
        <v>150</v>
      </c>
      <c r="E500" s="629">
        <v>80</v>
      </c>
      <c r="F500" s="629"/>
      <c r="G500" s="629">
        <f t="shared" si="54"/>
        <v>68</v>
      </c>
      <c r="H500" s="629">
        <v>15</v>
      </c>
      <c r="I500" s="629">
        <v>10</v>
      </c>
      <c r="J500" s="629">
        <v>43</v>
      </c>
      <c r="K500" s="629">
        <v>1</v>
      </c>
      <c r="L500" s="629">
        <v>0</v>
      </c>
      <c r="M500" s="629">
        <v>1</v>
      </c>
      <c r="N500" s="629">
        <v>6</v>
      </c>
      <c r="Q500" s="283"/>
      <c r="AC500" s="282"/>
      <c r="AD500" s="282"/>
      <c r="AE500" s="282"/>
      <c r="AF500" s="282"/>
      <c r="AG500" s="282"/>
      <c r="AH500" s="282"/>
      <c r="AI500" s="282"/>
      <c r="AJ500" s="282"/>
      <c r="AK500" s="282"/>
      <c r="AL500" s="282"/>
      <c r="AM500" s="282"/>
      <c r="AN500" s="282"/>
      <c r="AO500" s="282"/>
    </row>
    <row r="501" spans="1:41" s="263" customFormat="1" ht="9" customHeight="1" x14ac:dyDescent="0.25">
      <c r="A501" s="550" t="s">
        <v>39</v>
      </c>
      <c r="B501" s="629">
        <f t="shared" si="55"/>
        <v>70</v>
      </c>
      <c r="C501" s="629"/>
      <c r="D501" s="629">
        <f t="shared" si="53"/>
        <v>70</v>
      </c>
      <c r="E501" s="629">
        <v>21</v>
      </c>
      <c r="F501" s="629"/>
      <c r="G501" s="629">
        <f t="shared" si="54"/>
        <v>49</v>
      </c>
      <c r="H501" s="629">
        <v>9</v>
      </c>
      <c r="I501" s="629">
        <v>7</v>
      </c>
      <c r="J501" s="629">
        <v>33</v>
      </c>
      <c r="K501" s="629">
        <v>0</v>
      </c>
      <c r="L501" s="629">
        <v>0</v>
      </c>
      <c r="M501" s="629">
        <v>0</v>
      </c>
      <c r="N501" s="629">
        <v>0</v>
      </c>
      <c r="Q501" s="283"/>
      <c r="AC501" s="282"/>
      <c r="AD501" s="282"/>
      <c r="AE501" s="282"/>
      <c r="AF501" s="282"/>
      <c r="AG501" s="282"/>
      <c r="AH501" s="282"/>
      <c r="AI501" s="282"/>
      <c r="AJ501" s="282"/>
      <c r="AK501" s="282"/>
      <c r="AL501" s="282"/>
      <c r="AM501" s="282"/>
      <c r="AN501" s="282"/>
      <c r="AO501" s="282"/>
    </row>
    <row r="502" spans="1:41" s="263" customFormat="1" ht="9" customHeight="1" x14ac:dyDescent="0.25">
      <c r="A502" s="550" t="s">
        <v>40</v>
      </c>
      <c r="B502" s="629">
        <f t="shared" si="55"/>
        <v>1091</v>
      </c>
      <c r="C502" s="629"/>
      <c r="D502" s="629">
        <f t="shared" si="53"/>
        <v>1039</v>
      </c>
      <c r="E502" s="629">
        <v>150</v>
      </c>
      <c r="F502" s="629"/>
      <c r="G502" s="629">
        <f t="shared" si="54"/>
        <v>700</v>
      </c>
      <c r="H502" s="629">
        <v>72</v>
      </c>
      <c r="I502" s="629">
        <v>97</v>
      </c>
      <c r="J502" s="629">
        <v>531</v>
      </c>
      <c r="K502" s="629">
        <v>47</v>
      </c>
      <c r="L502" s="629">
        <v>119</v>
      </c>
      <c r="M502" s="629">
        <v>23</v>
      </c>
      <c r="N502" s="629">
        <v>52</v>
      </c>
      <c r="Q502" s="283"/>
      <c r="AC502" s="282"/>
      <c r="AD502" s="282"/>
      <c r="AE502" s="282"/>
      <c r="AF502" s="282"/>
      <c r="AG502" s="282"/>
      <c r="AH502" s="282"/>
      <c r="AI502" s="282"/>
      <c r="AJ502" s="282"/>
      <c r="AK502" s="282"/>
      <c r="AL502" s="282"/>
      <c r="AM502" s="282"/>
      <c r="AN502" s="282"/>
      <c r="AO502" s="282"/>
    </row>
    <row r="503" spans="1:41" s="263" customFormat="1" ht="9" customHeight="1" x14ac:dyDescent="0.25">
      <c r="A503" s="603" t="s">
        <v>41</v>
      </c>
      <c r="B503" s="630">
        <f t="shared" si="55"/>
        <v>167</v>
      </c>
      <c r="C503" s="630"/>
      <c r="D503" s="630">
        <f t="shared" si="53"/>
        <v>156</v>
      </c>
      <c r="E503" s="630">
        <v>94</v>
      </c>
      <c r="F503" s="630"/>
      <c r="G503" s="630">
        <f t="shared" si="54"/>
        <v>51</v>
      </c>
      <c r="H503" s="630">
        <v>10</v>
      </c>
      <c r="I503" s="630">
        <v>6</v>
      </c>
      <c r="J503" s="630">
        <v>35</v>
      </c>
      <c r="K503" s="630">
        <v>0</v>
      </c>
      <c r="L503" s="630">
        <v>0</v>
      </c>
      <c r="M503" s="630">
        <v>11</v>
      </c>
      <c r="N503" s="630">
        <v>11</v>
      </c>
      <c r="Q503" s="283"/>
      <c r="AC503" s="282"/>
      <c r="AD503" s="282"/>
      <c r="AE503" s="282"/>
      <c r="AF503" s="282"/>
      <c r="AG503" s="282"/>
      <c r="AH503" s="282"/>
      <c r="AI503" s="282"/>
      <c r="AJ503" s="282"/>
      <c r="AK503" s="282"/>
      <c r="AL503" s="282"/>
      <c r="AM503" s="282"/>
      <c r="AN503" s="282"/>
      <c r="AO503" s="282"/>
    </row>
    <row r="504" spans="1:41" s="263" customFormat="1" ht="9" customHeight="1" x14ac:dyDescent="0.25">
      <c r="A504" s="550" t="s">
        <v>42</v>
      </c>
      <c r="B504" s="629">
        <f t="shared" si="55"/>
        <v>328</v>
      </c>
      <c r="C504" s="629"/>
      <c r="D504" s="629">
        <f t="shared" si="53"/>
        <v>322</v>
      </c>
      <c r="E504" s="629">
        <v>150</v>
      </c>
      <c r="F504" s="629"/>
      <c r="G504" s="629">
        <f t="shared" si="54"/>
        <v>130</v>
      </c>
      <c r="H504" s="629">
        <v>18</v>
      </c>
      <c r="I504" s="629">
        <v>20</v>
      </c>
      <c r="J504" s="629">
        <v>92</v>
      </c>
      <c r="K504" s="629">
        <v>24</v>
      </c>
      <c r="L504" s="629">
        <v>12</v>
      </c>
      <c r="M504" s="629">
        <v>6</v>
      </c>
      <c r="N504" s="629">
        <v>6</v>
      </c>
      <c r="Q504" s="283"/>
      <c r="AC504" s="282"/>
      <c r="AD504" s="282"/>
      <c r="AE504" s="282"/>
      <c r="AF504" s="282"/>
      <c r="AG504" s="282"/>
      <c r="AH504" s="282"/>
      <c r="AI504" s="282"/>
      <c r="AJ504" s="282"/>
      <c r="AK504" s="282"/>
      <c r="AL504" s="282"/>
      <c r="AM504" s="282"/>
      <c r="AN504" s="282"/>
      <c r="AO504" s="282"/>
    </row>
    <row r="505" spans="1:41" s="263" customFormat="1" ht="9" customHeight="1" x14ac:dyDescent="0.25">
      <c r="A505" s="550" t="s">
        <v>43</v>
      </c>
      <c r="B505" s="629">
        <f t="shared" si="55"/>
        <v>144</v>
      </c>
      <c r="C505" s="629"/>
      <c r="D505" s="629">
        <f t="shared" si="53"/>
        <v>143</v>
      </c>
      <c r="E505" s="629">
        <v>62</v>
      </c>
      <c r="F505" s="629"/>
      <c r="G505" s="629">
        <f t="shared" si="54"/>
        <v>75</v>
      </c>
      <c r="H505" s="629">
        <v>6</v>
      </c>
      <c r="I505" s="629">
        <v>8</v>
      </c>
      <c r="J505" s="629">
        <v>61</v>
      </c>
      <c r="K505" s="629">
        <v>0</v>
      </c>
      <c r="L505" s="629">
        <v>5</v>
      </c>
      <c r="M505" s="629">
        <v>1</v>
      </c>
      <c r="N505" s="629">
        <v>1</v>
      </c>
      <c r="Q505" s="283"/>
      <c r="AC505" s="282"/>
      <c r="AD505" s="282"/>
      <c r="AE505" s="282"/>
      <c r="AF505" s="282"/>
      <c r="AG505" s="282"/>
      <c r="AH505" s="282"/>
      <c r="AI505" s="282"/>
      <c r="AJ505" s="282"/>
      <c r="AK505" s="282"/>
      <c r="AL505" s="282"/>
      <c r="AM505" s="282"/>
      <c r="AN505" s="282"/>
      <c r="AO505" s="282"/>
    </row>
    <row r="506" spans="1:41" s="263" customFormat="1" ht="9" customHeight="1" x14ac:dyDescent="0.25">
      <c r="A506" s="550" t="s">
        <v>44</v>
      </c>
      <c r="B506" s="629">
        <f t="shared" si="55"/>
        <v>53</v>
      </c>
      <c r="C506" s="629"/>
      <c r="D506" s="629">
        <f t="shared" si="53"/>
        <v>51</v>
      </c>
      <c r="E506" s="629">
        <v>36</v>
      </c>
      <c r="F506" s="629"/>
      <c r="G506" s="629">
        <f t="shared" si="54"/>
        <v>11</v>
      </c>
      <c r="H506" s="629">
        <v>3</v>
      </c>
      <c r="I506" s="629">
        <v>0</v>
      </c>
      <c r="J506" s="629">
        <v>8</v>
      </c>
      <c r="K506" s="629">
        <v>0</v>
      </c>
      <c r="L506" s="629">
        <v>0</v>
      </c>
      <c r="M506" s="629">
        <v>4</v>
      </c>
      <c r="N506" s="629">
        <v>2</v>
      </c>
      <c r="Q506" s="283"/>
      <c r="AC506" s="282"/>
      <c r="AD506" s="282"/>
      <c r="AE506" s="282"/>
      <c r="AF506" s="282"/>
      <c r="AG506" s="282"/>
      <c r="AH506" s="282"/>
      <c r="AI506" s="282"/>
      <c r="AJ506" s="282"/>
      <c r="AK506" s="282"/>
      <c r="AL506" s="282"/>
      <c r="AM506" s="282"/>
      <c r="AN506" s="282"/>
      <c r="AO506" s="282"/>
    </row>
    <row r="507" spans="1:41" s="263" customFormat="1" ht="9" customHeight="1" x14ac:dyDescent="0.25">
      <c r="A507" s="603" t="s">
        <v>45</v>
      </c>
      <c r="B507" s="630">
        <f t="shared" si="55"/>
        <v>238</v>
      </c>
      <c r="C507" s="630"/>
      <c r="D507" s="630">
        <f t="shared" si="53"/>
        <v>234</v>
      </c>
      <c r="E507" s="630">
        <v>184</v>
      </c>
      <c r="F507" s="630"/>
      <c r="G507" s="630">
        <f>SUM(H507:J507)</f>
        <v>40</v>
      </c>
      <c r="H507" s="630">
        <v>3</v>
      </c>
      <c r="I507" s="630">
        <v>10</v>
      </c>
      <c r="J507" s="630">
        <v>27</v>
      </c>
      <c r="K507" s="630">
        <v>0</v>
      </c>
      <c r="L507" s="630">
        <v>10</v>
      </c>
      <c r="M507" s="630">
        <v>0</v>
      </c>
      <c r="N507" s="630">
        <v>4</v>
      </c>
      <c r="Q507" s="283"/>
      <c r="AC507" s="282"/>
      <c r="AD507" s="282"/>
      <c r="AE507" s="282"/>
      <c r="AF507" s="282"/>
      <c r="AG507" s="282"/>
      <c r="AH507" s="282"/>
      <c r="AI507" s="282"/>
      <c r="AJ507" s="282"/>
      <c r="AK507" s="282"/>
      <c r="AL507" s="282"/>
      <c r="AM507" s="282"/>
      <c r="AN507" s="282"/>
      <c r="AO507" s="282"/>
    </row>
    <row r="508" spans="1:41" s="263" customFormat="1" ht="9" customHeight="1" x14ac:dyDescent="0.25">
      <c r="A508" s="550" t="s">
        <v>46</v>
      </c>
      <c r="B508" s="629">
        <f t="shared" si="55"/>
        <v>120</v>
      </c>
      <c r="C508" s="629"/>
      <c r="D508" s="629">
        <f t="shared" si="53"/>
        <v>120</v>
      </c>
      <c r="E508" s="629">
        <v>65</v>
      </c>
      <c r="F508" s="629"/>
      <c r="G508" s="629">
        <f t="shared" si="54"/>
        <v>49</v>
      </c>
      <c r="H508" s="629">
        <v>5</v>
      </c>
      <c r="I508" s="629">
        <v>5</v>
      </c>
      <c r="J508" s="629">
        <v>39</v>
      </c>
      <c r="K508" s="629">
        <v>4</v>
      </c>
      <c r="L508" s="629">
        <v>0</v>
      </c>
      <c r="M508" s="629">
        <v>2</v>
      </c>
      <c r="N508" s="629">
        <v>0</v>
      </c>
      <c r="Q508" s="283"/>
      <c r="AC508" s="282"/>
      <c r="AD508" s="282"/>
      <c r="AE508" s="282"/>
      <c r="AF508" s="282"/>
      <c r="AG508" s="282"/>
      <c r="AH508" s="282"/>
      <c r="AI508" s="282"/>
      <c r="AJ508" s="282"/>
      <c r="AK508" s="282"/>
      <c r="AL508" s="282"/>
      <c r="AM508" s="282"/>
      <c r="AN508" s="282"/>
      <c r="AO508" s="282"/>
    </row>
    <row r="509" spans="1:41" s="263" customFormat="1" ht="9" customHeight="1" x14ac:dyDescent="0.25">
      <c r="A509" s="550" t="s">
        <v>47</v>
      </c>
      <c r="B509" s="629">
        <f t="shared" si="55"/>
        <v>177</v>
      </c>
      <c r="C509" s="629"/>
      <c r="D509" s="629">
        <f t="shared" si="53"/>
        <v>166</v>
      </c>
      <c r="E509" s="629">
        <v>101</v>
      </c>
      <c r="F509" s="629"/>
      <c r="G509" s="629">
        <f t="shared" si="54"/>
        <v>65</v>
      </c>
      <c r="H509" s="629">
        <v>16</v>
      </c>
      <c r="I509" s="629">
        <v>13</v>
      </c>
      <c r="J509" s="629">
        <v>36</v>
      </c>
      <c r="K509" s="629">
        <v>0</v>
      </c>
      <c r="L509" s="629">
        <v>0</v>
      </c>
      <c r="M509" s="629">
        <v>0</v>
      </c>
      <c r="N509" s="629">
        <v>11</v>
      </c>
      <c r="Q509" s="283"/>
      <c r="AC509" s="282"/>
      <c r="AD509" s="282"/>
      <c r="AE509" s="282"/>
      <c r="AF509" s="282"/>
      <c r="AG509" s="282"/>
      <c r="AH509" s="282"/>
      <c r="AI509" s="282"/>
      <c r="AJ509" s="282"/>
      <c r="AK509" s="282"/>
      <c r="AL509" s="282"/>
      <c r="AM509" s="282"/>
      <c r="AN509" s="282"/>
      <c r="AO509" s="282"/>
    </row>
    <row r="510" spans="1:41" s="263" customFormat="1" ht="9" customHeight="1" x14ac:dyDescent="0.25">
      <c r="A510" s="550" t="s">
        <v>48</v>
      </c>
      <c r="B510" s="629">
        <f t="shared" si="55"/>
        <v>78</v>
      </c>
      <c r="C510" s="629"/>
      <c r="D510" s="629">
        <f t="shared" si="53"/>
        <v>78</v>
      </c>
      <c r="E510" s="629">
        <v>68</v>
      </c>
      <c r="F510" s="629"/>
      <c r="G510" s="629">
        <f t="shared" si="54"/>
        <v>9</v>
      </c>
      <c r="H510" s="629">
        <v>2</v>
      </c>
      <c r="I510" s="629">
        <v>1</v>
      </c>
      <c r="J510" s="629">
        <v>6</v>
      </c>
      <c r="K510" s="629">
        <v>1</v>
      </c>
      <c r="L510" s="629">
        <v>0</v>
      </c>
      <c r="M510" s="629">
        <v>0</v>
      </c>
      <c r="N510" s="629">
        <v>0</v>
      </c>
      <c r="Q510" s="283"/>
      <c r="AC510" s="282"/>
      <c r="AD510" s="282"/>
      <c r="AE510" s="282"/>
      <c r="AF510" s="282"/>
      <c r="AG510" s="282"/>
      <c r="AH510" s="282"/>
      <c r="AI510" s="282"/>
      <c r="AJ510" s="282"/>
      <c r="AK510" s="282"/>
      <c r="AL510" s="282"/>
      <c r="AM510" s="282"/>
      <c r="AN510" s="282"/>
      <c r="AO510" s="282"/>
    </row>
    <row r="511" spans="1:41" s="263" customFormat="1" ht="9" customHeight="1" x14ac:dyDescent="0.25">
      <c r="A511" s="603" t="s">
        <v>49</v>
      </c>
      <c r="B511" s="630">
        <f t="shared" si="55"/>
        <v>206</v>
      </c>
      <c r="C511" s="630"/>
      <c r="D511" s="630">
        <f t="shared" si="53"/>
        <v>203</v>
      </c>
      <c r="E511" s="630">
        <v>147</v>
      </c>
      <c r="F511" s="630"/>
      <c r="G511" s="630">
        <f t="shared" si="54"/>
        <v>48</v>
      </c>
      <c r="H511" s="630">
        <v>5</v>
      </c>
      <c r="I511" s="630">
        <v>4</v>
      </c>
      <c r="J511" s="630">
        <v>39</v>
      </c>
      <c r="K511" s="630">
        <v>8</v>
      </c>
      <c r="L511" s="630">
        <v>0</v>
      </c>
      <c r="M511" s="630">
        <v>0</v>
      </c>
      <c r="N511" s="630">
        <v>3</v>
      </c>
      <c r="Q511" s="283"/>
      <c r="AC511" s="282"/>
      <c r="AD511" s="282"/>
      <c r="AE511" s="282"/>
      <c r="AF511" s="282"/>
      <c r="AG511" s="282"/>
      <c r="AH511" s="282"/>
      <c r="AI511" s="282"/>
      <c r="AJ511" s="282"/>
      <c r="AK511" s="282"/>
      <c r="AL511" s="282"/>
      <c r="AM511" s="282"/>
      <c r="AN511" s="282"/>
      <c r="AO511" s="282"/>
    </row>
    <row r="512" spans="1:41" s="263" customFormat="1" ht="9" customHeight="1" x14ac:dyDescent="0.25">
      <c r="A512" s="550" t="s">
        <v>50</v>
      </c>
      <c r="B512" s="629">
        <f t="shared" si="55"/>
        <v>160</v>
      </c>
      <c r="C512" s="629"/>
      <c r="D512" s="629">
        <f t="shared" si="53"/>
        <v>160</v>
      </c>
      <c r="E512" s="629">
        <v>63</v>
      </c>
      <c r="F512" s="629"/>
      <c r="G512" s="629">
        <f t="shared" si="54"/>
        <v>96</v>
      </c>
      <c r="H512" s="629">
        <v>17</v>
      </c>
      <c r="I512" s="629">
        <v>18</v>
      </c>
      <c r="J512" s="629">
        <v>61</v>
      </c>
      <c r="K512" s="629">
        <v>1</v>
      </c>
      <c r="L512" s="629">
        <v>0</v>
      </c>
      <c r="M512" s="629">
        <v>0</v>
      </c>
      <c r="N512" s="629">
        <v>0</v>
      </c>
      <c r="Q512" s="283"/>
      <c r="AC512" s="282"/>
      <c r="AD512" s="282"/>
      <c r="AE512" s="282"/>
      <c r="AF512" s="282"/>
      <c r="AG512" s="282"/>
      <c r="AH512" s="282"/>
      <c r="AI512" s="282"/>
      <c r="AJ512" s="282"/>
      <c r="AK512" s="282"/>
      <c r="AL512" s="282"/>
      <c r="AM512" s="282"/>
      <c r="AN512" s="282"/>
      <c r="AO512" s="282"/>
    </row>
    <row r="513" spans="1:41" s="263" customFormat="1" ht="9" customHeight="1" x14ac:dyDescent="0.25">
      <c r="A513" s="550" t="s">
        <v>51</v>
      </c>
      <c r="B513" s="629">
        <f t="shared" si="55"/>
        <v>527</v>
      </c>
      <c r="C513" s="629"/>
      <c r="D513" s="629">
        <f t="shared" si="53"/>
        <v>513</v>
      </c>
      <c r="E513" s="629">
        <v>246</v>
      </c>
      <c r="F513" s="629"/>
      <c r="G513" s="629">
        <f t="shared" si="54"/>
        <v>262</v>
      </c>
      <c r="H513" s="629">
        <v>61</v>
      </c>
      <c r="I513" s="629">
        <v>36</v>
      </c>
      <c r="J513" s="629">
        <v>165</v>
      </c>
      <c r="K513" s="629">
        <v>0</v>
      </c>
      <c r="L513" s="629">
        <v>0</v>
      </c>
      <c r="M513" s="629">
        <v>5</v>
      </c>
      <c r="N513" s="629">
        <v>14</v>
      </c>
      <c r="Q513" s="283"/>
      <c r="AC513" s="282"/>
      <c r="AD513" s="282"/>
      <c r="AE513" s="282"/>
      <c r="AF513" s="282"/>
      <c r="AG513" s="282"/>
      <c r="AH513" s="282"/>
      <c r="AI513" s="282"/>
      <c r="AJ513" s="282"/>
      <c r="AK513" s="282"/>
      <c r="AL513" s="282"/>
      <c r="AM513" s="282"/>
      <c r="AN513" s="282"/>
      <c r="AO513" s="282"/>
    </row>
    <row r="514" spans="1:41" s="263" customFormat="1" ht="9" customHeight="1" x14ac:dyDescent="0.25">
      <c r="A514" s="550" t="s">
        <v>52</v>
      </c>
      <c r="B514" s="629">
        <f t="shared" si="55"/>
        <v>107</v>
      </c>
      <c r="C514" s="629"/>
      <c r="D514" s="629">
        <f t="shared" si="53"/>
        <v>101</v>
      </c>
      <c r="E514" s="629">
        <v>54</v>
      </c>
      <c r="F514" s="629"/>
      <c r="G514" s="629">
        <f t="shared" si="54"/>
        <v>45</v>
      </c>
      <c r="H514" s="629">
        <v>11</v>
      </c>
      <c r="I514" s="629">
        <v>10</v>
      </c>
      <c r="J514" s="629">
        <v>24</v>
      </c>
      <c r="K514" s="629">
        <v>0</v>
      </c>
      <c r="L514" s="629">
        <v>2</v>
      </c>
      <c r="M514" s="629">
        <v>0</v>
      </c>
      <c r="N514" s="629">
        <v>6</v>
      </c>
      <c r="Q514" s="283"/>
      <c r="AC514" s="282"/>
      <c r="AD514" s="282"/>
      <c r="AE514" s="282"/>
      <c r="AF514" s="282"/>
      <c r="AG514" s="282"/>
      <c r="AH514" s="282"/>
      <c r="AI514" s="282"/>
      <c r="AJ514" s="282"/>
      <c r="AK514" s="282"/>
      <c r="AL514" s="282"/>
      <c r="AM514" s="282"/>
      <c r="AN514" s="282"/>
      <c r="AO514" s="282"/>
    </row>
    <row r="515" spans="1:41" s="263" customFormat="1" ht="9" customHeight="1" x14ac:dyDescent="0.25">
      <c r="A515" s="267" t="s">
        <v>53</v>
      </c>
      <c r="B515" s="268">
        <f t="shared" si="55"/>
        <v>132</v>
      </c>
      <c r="C515" s="268"/>
      <c r="D515" s="268">
        <f t="shared" si="53"/>
        <v>128</v>
      </c>
      <c r="E515" s="268">
        <v>35</v>
      </c>
      <c r="F515" s="268"/>
      <c r="G515" s="268">
        <f t="shared" si="54"/>
        <v>93</v>
      </c>
      <c r="H515" s="268">
        <v>15</v>
      </c>
      <c r="I515" s="268">
        <v>11</v>
      </c>
      <c r="J515" s="268">
        <v>67</v>
      </c>
      <c r="K515" s="268">
        <v>0</v>
      </c>
      <c r="L515" s="268">
        <v>0</v>
      </c>
      <c r="M515" s="268">
        <v>0</v>
      </c>
      <c r="N515" s="268">
        <v>4</v>
      </c>
      <c r="Q515" s="283"/>
      <c r="AC515" s="282"/>
      <c r="AD515" s="282"/>
      <c r="AE515" s="282"/>
      <c r="AF515" s="282"/>
      <c r="AG515" s="282"/>
      <c r="AH515" s="282"/>
      <c r="AI515" s="282"/>
      <c r="AJ515" s="282"/>
      <c r="AK515" s="282"/>
      <c r="AL515" s="282"/>
      <c r="AM515" s="282"/>
      <c r="AN515" s="282"/>
      <c r="AO515" s="282"/>
    </row>
    <row r="516" spans="1:41" ht="9" customHeight="1" x14ac:dyDescent="0.25">
      <c r="B516" s="259"/>
      <c r="C516" s="259"/>
      <c r="D516" s="259"/>
      <c r="E516" s="259"/>
      <c r="F516" s="259"/>
      <c r="G516" s="259"/>
      <c r="H516" s="259"/>
      <c r="I516" s="259"/>
      <c r="J516" s="259"/>
      <c r="K516" s="259"/>
      <c r="L516" s="259"/>
      <c r="P516" s="606"/>
    </row>
    <row r="517" spans="1:41" ht="9" customHeight="1" x14ac:dyDescent="0.25">
      <c r="A517" s="601">
        <v>2015</v>
      </c>
      <c r="B517" s="262"/>
      <c r="C517" s="262"/>
      <c r="D517" s="262"/>
      <c r="E517" s="262"/>
      <c r="F517" s="262"/>
      <c r="G517" s="262"/>
      <c r="H517" s="262"/>
      <c r="I517" s="262"/>
      <c r="J517" s="262"/>
      <c r="K517" s="262"/>
      <c r="L517" s="262"/>
      <c r="M517" s="262"/>
      <c r="N517" s="262"/>
    </row>
    <row r="518" spans="1:41" s="265" customFormat="1" ht="9" customHeight="1" x14ac:dyDescent="0.25">
      <c r="A518" s="265" t="s">
        <v>21</v>
      </c>
      <c r="B518" s="262">
        <f>SUM(B520:B551)</f>
        <v>19306</v>
      </c>
      <c r="C518" s="262"/>
      <c r="D518" s="262">
        <f>SUM(D520:D551)</f>
        <v>18895</v>
      </c>
      <c r="E518" s="262">
        <f>SUM(E520:E551)</f>
        <v>4384</v>
      </c>
      <c r="F518" s="262"/>
      <c r="G518" s="262">
        <f>SUM(G520:G551)</f>
        <v>12845</v>
      </c>
      <c r="H518" s="262">
        <f t="shared" ref="H518:M518" si="56">SUM(H520:H551)</f>
        <v>2010</v>
      </c>
      <c r="I518" s="262">
        <f t="shared" si="56"/>
        <v>1734</v>
      </c>
      <c r="J518" s="262">
        <f t="shared" si="56"/>
        <v>9101</v>
      </c>
      <c r="K518" s="262">
        <f t="shared" si="56"/>
        <v>381</v>
      </c>
      <c r="L518" s="262">
        <f t="shared" si="56"/>
        <v>1009</v>
      </c>
      <c r="M518" s="262">
        <f t="shared" si="56"/>
        <v>276</v>
      </c>
      <c r="N518" s="262">
        <f>SUM(N520:N551)</f>
        <v>411</v>
      </c>
      <c r="V518" s="282"/>
    </row>
    <row r="519" spans="1:41" s="265" customFormat="1" ht="3" customHeight="1" x14ac:dyDescent="0.25">
      <c r="B519" s="262"/>
      <c r="C519" s="262"/>
      <c r="D519" s="262"/>
      <c r="E519" s="262"/>
      <c r="F519" s="262"/>
      <c r="G519" s="262"/>
      <c r="H519" s="262"/>
      <c r="I519" s="262"/>
      <c r="J519" s="262"/>
      <c r="K519" s="262"/>
      <c r="L519" s="262"/>
      <c r="M519" s="262"/>
      <c r="N519" s="262"/>
      <c r="V519" s="282"/>
    </row>
    <row r="520" spans="1:41" s="263" customFormat="1" ht="9" customHeight="1" x14ac:dyDescent="0.25">
      <c r="A520" s="550" t="s">
        <v>23</v>
      </c>
      <c r="B520" s="629">
        <f>SUM(D520+N520)</f>
        <v>87</v>
      </c>
      <c r="C520" s="629"/>
      <c r="D520" s="629">
        <f>SUM(E520+G520+K520+L520+M520)</f>
        <v>86</v>
      </c>
      <c r="E520" s="629">
        <v>17</v>
      </c>
      <c r="F520" s="629"/>
      <c r="G520" s="629">
        <f>SUM(H520:J520)</f>
        <v>55</v>
      </c>
      <c r="H520" s="629">
        <v>7</v>
      </c>
      <c r="I520" s="629">
        <v>7</v>
      </c>
      <c r="J520" s="629">
        <v>41</v>
      </c>
      <c r="K520" s="629">
        <v>11</v>
      </c>
      <c r="L520" s="629">
        <v>0</v>
      </c>
      <c r="M520" s="629">
        <v>3</v>
      </c>
      <c r="N520" s="629">
        <v>1</v>
      </c>
      <c r="Q520" s="283"/>
      <c r="U520" s="265"/>
      <c r="V520" s="282"/>
    </row>
    <row r="521" spans="1:41" s="263" customFormat="1" ht="9" customHeight="1" x14ac:dyDescent="0.25">
      <c r="A521" s="550" t="s">
        <v>24</v>
      </c>
      <c r="B521" s="629">
        <f>SUM(D521+N521)</f>
        <v>301</v>
      </c>
      <c r="C521" s="629"/>
      <c r="D521" s="629">
        <f t="shared" ref="D521:D551" si="57">SUM(E521+G521+K521+L521+M521)</f>
        <v>298</v>
      </c>
      <c r="E521" s="629">
        <v>105</v>
      </c>
      <c r="F521" s="629"/>
      <c r="G521" s="629">
        <f>SUM(H521:J521)</f>
        <v>192</v>
      </c>
      <c r="H521" s="629">
        <v>32</v>
      </c>
      <c r="I521" s="629">
        <v>24</v>
      </c>
      <c r="J521" s="629">
        <v>136</v>
      </c>
      <c r="K521" s="629">
        <v>0</v>
      </c>
      <c r="L521" s="629">
        <v>0</v>
      </c>
      <c r="M521" s="629">
        <v>1</v>
      </c>
      <c r="N521" s="629">
        <v>3</v>
      </c>
      <c r="Q521" s="283"/>
      <c r="V521" s="282"/>
    </row>
    <row r="522" spans="1:41" s="263" customFormat="1" ht="9" customHeight="1" x14ac:dyDescent="0.25">
      <c r="A522" s="550" t="s">
        <v>25</v>
      </c>
      <c r="B522" s="629">
        <f>SUM(D522+N522)</f>
        <v>32</v>
      </c>
      <c r="C522" s="629"/>
      <c r="D522" s="629">
        <f t="shared" si="57"/>
        <v>31</v>
      </c>
      <c r="E522" s="629">
        <v>18</v>
      </c>
      <c r="F522" s="629"/>
      <c r="G522" s="629">
        <f t="shared" ref="G522:G542" si="58">SUM(H522:J522)</f>
        <v>13</v>
      </c>
      <c r="H522" s="629">
        <v>2</v>
      </c>
      <c r="I522" s="629">
        <v>1</v>
      </c>
      <c r="J522" s="629">
        <v>10</v>
      </c>
      <c r="K522" s="629">
        <v>0</v>
      </c>
      <c r="L522" s="629">
        <v>0</v>
      </c>
      <c r="M522" s="629">
        <v>0</v>
      </c>
      <c r="N522" s="629">
        <v>1</v>
      </c>
      <c r="Q522" s="283"/>
      <c r="V522" s="282"/>
    </row>
    <row r="523" spans="1:41" s="263" customFormat="1" ht="9" customHeight="1" x14ac:dyDescent="0.25">
      <c r="A523" s="603" t="s">
        <v>26</v>
      </c>
      <c r="B523" s="630">
        <f>SUM(D523+N523)</f>
        <v>41</v>
      </c>
      <c r="C523" s="630"/>
      <c r="D523" s="630">
        <f t="shared" si="57"/>
        <v>41</v>
      </c>
      <c r="E523" s="630">
        <v>22</v>
      </c>
      <c r="F523" s="630"/>
      <c r="G523" s="630">
        <f t="shared" si="58"/>
        <v>19</v>
      </c>
      <c r="H523" s="630">
        <v>3</v>
      </c>
      <c r="I523" s="630">
        <v>2</v>
      </c>
      <c r="J523" s="630">
        <v>14</v>
      </c>
      <c r="K523" s="630">
        <v>0</v>
      </c>
      <c r="L523" s="630">
        <v>0</v>
      </c>
      <c r="M523" s="630">
        <v>0</v>
      </c>
      <c r="N523" s="630">
        <v>0</v>
      </c>
      <c r="Q523" s="283"/>
      <c r="V523" s="282"/>
    </row>
    <row r="524" spans="1:41" s="263" customFormat="1" ht="9" customHeight="1" x14ac:dyDescent="0.25">
      <c r="A524" s="550" t="s">
        <v>27</v>
      </c>
      <c r="B524" s="629">
        <f t="shared" ref="B524:B551" si="59">SUM(D524+N524)</f>
        <v>163</v>
      </c>
      <c r="C524" s="629"/>
      <c r="D524" s="629">
        <f t="shared" si="57"/>
        <v>151</v>
      </c>
      <c r="E524" s="629">
        <v>53</v>
      </c>
      <c r="F524" s="629"/>
      <c r="G524" s="629">
        <f t="shared" si="58"/>
        <v>96</v>
      </c>
      <c r="H524" s="629">
        <v>17</v>
      </c>
      <c r="I524" s="629">
        <v>10</v>
      </c>
      <c r="J524" s="629">
        <v>69</v>
      </c>
      <c r="K524" s="629">
        <v>1</v>
      </c>
      <c r="L524" s="629">
        <v>0</v>
      </c>
      <c r="M524" s="629">
        <v>1</v>
      </c>
      <c r="N524" s="629">
        <v>12</v>
      </c>
      <c r="Q524" s="283"/>
      <c r="V524" s="282"/>
    </row>
    <row r="525" spans="1:41" s="263" customFormat="1" ht="9" customHeight="1" x14ac:dyDescent="0.25">
      <c r="A525" s="550" t="s">
        <v>28</v>
      </c>
      <c r="B525" s="629">
        <f t="shared" si="59"/>
        <v>66</v>
      </c>
      <c r="C525" s="629"/>
      <c r="D525" s="629">
        <f t="shared" si="57"/>
        <v>64</v>
      </c>
      <c r="E525" s="629">
        <v>21</v>
      </c>
      <c r="F525" s="629"/>
      <c r="G525" s="629">
        <f t="shared" si="58"/>
        <v>39</v>
      </c>
      <c r="H525" s="629">
        <v>7</v>
      </c>
      <c r="I525" s="629">
        <v>5</v>
      </c>
      <c r="J525" s="629">
        <v>27</v>
      </c>
      <c r="K525" s="629">
        <v>4</v>
      </c>
      <c r="L525" s="629">
        <v>0</v>
      </c>
      <c r="M525" s="629">
        <v>0</v>
      </c>
      <c r="N525" s="629">
        <v>2</v>
      </c>
      <c r="Q525" s="283"/>
      <c r="V525" s="282"/>
    </row>
    <row r="526" spans="1:41" s="263" customFormat="1" ht="9" customHeight="1" x14ac:dyDescent="0.25">
      <c r="A526" s="550" t="s">
        <v>29</v>
      </c>
      <c r="B526" s="629">
        <f t="shared" si="59"/>
        <v>222</v>
      </c>
      <c r="C526" s="629"/>
      <c r="D526" s="629">
        <f t="shared" si="57"/>
        <v>216</v>
      </c>
      <c r="E526" s="629">
        <v>117</v>
      </c>
      <c r="F526" s="629"/>
      <c r="G526" s="629">
        <f t="shared" si="58"/>
        <v>93</v>
      </c>
      <c r="H526" s="629">
        <v>16</v>
      </c>
      <c r="I526" s="629">
        <v>15</v>
      </c>
      <c r="J526" s="629">
        <v>62</v>
      </c>
      <c r="K526" s="629">
        <v>1</v>
      </c>
      <c r="L526" s="629">
        <v>0</v>
      </c>
      <c r="M526" s="629">
        <v>5</v>
      </c>
      <c r="N526" s="629">
        <v>6</v>
      </c>
      <c r="Q526" s="283"/>
      <c r="V526" s="282"/>
    </row>
    <row r="527" spans="1:41" s="263" customFormat="1" ht="9" customHeight="1" x14ac:dyDescent="0.25">
      <c r="A527" s="603" t="s">
        <v>30</v>
      </c>
      <c r="B527" s="630">
        <f t="shared" si="59"/>
        <v>1096</v>
      </c>
      <c r="C527" s="630"/>
      <c r="D527" s="630">
        <f t="shared" si="57"/>
        <v>1049</v>
      </c>
      <c r="E527" s="630">
        <v>180</v>
      </c>
      <c r="F527" s="630"/>
      <c r="G527" s="630">
        <f t="shared" si="58"/>
        <v>841</v>
      </c>
      <c r="H527" s="630">
        <v>38</v>
      </c>
      <c r="I527" s="630">
        <v>30</v>
      </c>
      <c r="J527" s="630">
        <v>773</v>
      </c>
      <c r="K527" s="630">
        <v>5</v>
      </c>
      <c r="L527" s="630">
        <v>21</v>
      </c>
      <c r="M527" s="630">
        <v>2</v>
      </c>
      <c r="N527" s="630">
        <v>47</v>
      </c>
      <c r="Q527" s="283"/>
      <c r="V527" s="282"/>
    </row>
    <row r="528" spans="1:41" s="263" customFormat="1" ht="9" customHeight="1" x14ac:dyDescent="0.25">
      <c r="A528" s="550" t="s">
        <v>63</v>
      </c>
      <c r="B528" s="629">
        <f t="shared" si="59"/>
        <v>3239</v>
      </c>
      <c r="C528" s="629"/>
      <c r="D528" s="629">
        <f t="shared" si="57"/>
        <v>3109</v>
      </c>
      <c r="E528" s="629">
        <v>495</v>
      </c>
      <c r="F528" s="629"/>
      <c r="G528" s="629">
        <f t="shared" si="58"/>
        <v>1736</v>
      </c>
      <c r="H528" s="629">
        <v>151</v>
      </c>
      <c r="I528" s="629">
        <v>208</v>
      </c>
      <c r="J528" s="629">
        <v>1377</v>
      </c>
      <c r="K528" s="629">
        <v>205</v>
      </c>
      <c r="L528" s="629">
        <v>572</v>
      </c>
      <c r="M528" s="629">
        <v>101</v>
      </c>
      <c r="N528" s="629">
        <v>130</v>
      </c>
      <c r="Q528" s="283"/>
      <c r="V528" s="282"/>
    </row>
    <row r="529" spans="1:22" s="263" customFormat="1" ht="9" customHeight="1" x14ac:dyDescent="0.25">
      <c r="A529" s="550" t="s">
        <v>31</v>
      </c>
      <c r="B529" s="629">
        <f t="shared" si="59"/>
        <v>120</v>
      </c>
      <c r="C529" s="629"/>
      <c r="D529" s="629">
        <f t="shared" si="57"/>
        <v>120</v>
      </c>
      <c r="E529" s="629">
        <v>31</v>
      </c>
      <c r="F529" s="629"/>
      <c r="G529" s="629">
        <f t="shared" si="58"/>
        <v>83</v>
      </c>
      <c r="H529" s="629">
        <v>47</v>
      </c>
      <c r="I529" s="629">
        <v>8</v>
      </c>
      <c r="J529" s="629">
        <v>28</v>
      </c>
      <c r="K529" s="629">
        <v>0</v>
      </c>
      <c r="L529" s="629">
        <v>6</v>
      </c>
      <c r="M529" s="629">
        <v>0</v>
      </c>
      <c r="N529" s="629">
        <v>0</v>
      </c>
      <c r="Q529" s="283"/>
      <c r="V529" s="282"/>
    </row>
    <row r="530" spans="1:22" s="263" customFormat="1" ht="9" customHeight="1" x14ac:dyDescent="0.25">
      <c r="A530" s="550" t="s">
        <v>32</v>
      </c>
      <c r="B530" s="629">
        <f t="shared" si="59"/>
        <v>403</v>
      </c>
      <c r="C530" s="629"/>
      <c r="D530" s="629">
        <f t="shared" si="57"/>
        <v>396</v>
      </c>
      <c r="E530" s="629">
        <v>214</v>
      </c>
      <c r="F530" s="629"/>
      <c r="G530" s="629">
        <f t="shared" si="58"/>
        <v>139</v>
      </c>
      <c r="H530" s="629">
        <v>25</v>
      </c>
      <c r="I530" s="629">
        <v>19</v>
      </c>
      <c r="J530" s="629">
        <v>95</v>
      </c>
      <c r="K530" s="629">
        <v>6</v>
      </c>
      <c r="L530" s="629">
        <v>34</v>
      </c>
      <c r="M530" s="629">
        <v>3</v>
      </c>
      <c r="N530" s="629">
        <v>7</v>
      </c>
      <c r="Q530" s="283"/>
      <c r="V530" s="282"/>
    </row>
    <row r="531" spans="1:22" s="263" customFormat="1" ht="9" customHeight="1" x14ac:dyDescent="0.25">
      <c r="A531" s="603" t="s">
        <v>33</v>
      </c>
      <c r="B531" s="630">
        <f t="shared" si="59"/>
        <v>213</v>
      </c>
      <c r="C531" s="630"/>
      <c r="D531" s="630">
        <f t="shared" si="57"/>
        <v>213</v>
      </c>
      <c r="E531" s="630">
        <v>130</v>
      </c>
      <c r="F531" s="630"/>
      <c r="G531" s="630">
        <f t="shared" si="58"/>
        <v>77</v>
      </c>
      <c r="H531" s="630">
        <v>14</v>
      </c>
      <c r="I531" s="630">
        <v>13</v>
      </c>
      <c r="J531" s="630">
        <v>50</v>
      </c>
      <c r="K531" s="630">
        <v>2</v>
      </c>
      <c r="L531" s="630">
        <v>0</v>
      </c>
      <c r="M531" s="630">
        <v>4</v>
      </c>
      <c r="N531" s="630">
        <v>0</v>
      </c>
      <c r="Q531" s="283"/>
      <c r="V531" s="282"/>
    </row>
    <row r="532" spans="1:22" s="263" customFormat="1" ht="9" customHeight="1" x14ac:dyDescent="0.25">
      <c r="A532" s="550" t="s">
        <v>34</v>
      </c>
      <c r="B532" s="629">
        <f t="shared" si="59"/>
        <v>1024</v>
      </c>
      <c r="C532" s="629"/>
      <c r="D532" s="629">
        <f t="shared" si="57"/>
        <v>1012</v>
      </c>
      <c r="E532" s="629">
        <v>243</v>
      </c>
      <c r="F532" s="629"/>
      <c r="G532" s="629">
        <f t="shared" si="58"/>
        <v>745</v>
      </c>
      <c r="H532" s="629">
        <v>133</v>
      </c>
      <c r="I532" s="629">
        <v>116</v>
      </c>
      <c r="J532" s="629">
        <v>496</v>
      </c>
      <c r="K532" s="629">
        <v>1</v>
      </c>
      <c r="L532" s="629">
        <v>0</v>
      </c>
      <c r="M532" s="629">
        <v>23</v>
      </c>
      <c r="N532" s="629">
        <v>12</v>
      </c>
      <c r="Q532" s="283"/>
      <c r="V532" s="282"/>
    </row>
    <row r="533" spans="1:22" s="263" customFormat="1" ht="9" customHeight="1" x14ac:dyDescent="0.25">
      <c r="A533" s="550" t="s">
        <v>35</v>
      </c>
      <c r="B533" s="629">
        <f t="shared" si="59"/>
        <v>883</v>
      </c>
      <c r="C533" s="629"/>
      <c r="D533" s="629">
        <f t="shared" si="57"/>
        <v>850</v>
      </c>
      <c r="E533" s="629">
        <v>241</v>
      </c>
      <c r="F533" s="629"/>
      <c r="G533" s="629">
        <f t="shared" si="58"/>
        <v>520</v>
      </c>
      <c r="H533" s="629">
        <v>86</v>
      </c>
      <c r="I533" s="629">
        <v>61</v>
      </c>
      <c r="J533" s="629">
        <v>373</v>
      </c>
      <c r="K533" s="629">
        <v>7</v>
      </c>
      <c r="L533" s="629">
        <v>73</v>
      </c>
      <c r="M533" s="629">
        <v>9</v>
      </c>
      <c r="N533" s="629">
        <v>33</v>
      </c>
      <c r="Q533" s="283"/>
      <c r="V533" s="282"/>
    </row>
    <row r="534" spans="1:22" s="263" customFormat="1" ht="9" customHeight="1" x14ac:dyDescent="0.25">
      <c r="A534" s="550" t="s">
        <v>36</v>
      </c>
      <c r="B534" s="629">
        <f t="shared" si="59"/>
        <v>1941</v>
      </c>
      <c r="C534" s="629"/>
      <c r="D534" s="629">
        <f t="shared" si="57"/>
        <v>1917</v>
      </c>
      <c r="E534" s="629">
        <v>796</v>
      </c>
      <c r="F534" s="629"/>
      <c r="G534" s="629">
        <f t="shared" si="58"/>
        <v>955</v>
      </c>
      <c r="H534" s="629">
        <v>133</v>
      </c>
      <c r="I534" s="629">
        <v>125</v>
      </c>
      <c r="J534" s="629">
        <v>697</v>
      </c>
      <c r="K534" s="629">
        <v>48</v>
      </c>
      <c r="L534" s="629">
        <v>80</v>
      </c>
      <c r="M534" s="629">
        <v>38</v>
      </c>
      <c r="N534" s="629">
        <v>24</v>
      </c>
      <c r="Q534" s="283"/>
      <c r="V534" s="282"/>
    </row>
    <row r="535" spans="1:22" s="263" customFormat="1" ht="9" customHeight="1" x14ac:dyDescent="0.25">
      <c r="A535" s="603" t="s">
        <v>37</v>
      </c>
      <c r="B535" s="630">
        <f t="shared" si="59"/>
        <v>624</v>
      </c>
      <c r="C535" s="630"/>
      <c r="D535" s="630">
        <f t="shared" si="57"/>
        <v>624</v>
      </c>
      <c r="E535" s="630">
        <v>241</v>
      </c>
      <c r="F535" s="630"/>
      <c r="G535" s="630">
        <f t="shared" si="58"/>
        <v>329</v>
      </c>
      <c r="H535" s="630">
        <v>57</v>
      </c>
      <c r="I535" s="630">
        <v>42</v>
      </c>
      <c r="J535" s="630">
        <v>230</v>
      </c>
      <c r="K535" s="630">
        <v>11</v>
      </c>
      <c r="L535" s="630">
        <v>36</v>
      </c>
      <c r="M535" s="630">
        <v>7</v>
      </c>
      <c r="N535" s="630">
        <v>0</v>
      </c>
      <c r="Q535" s="283"/>
      <c r="V535" s="282"/>
    </row>
    <row r="536" spans="1:22" s="263" customFormat="1" ht="9" customHeight="1" x14ac:dyDescent="0.25">
      <c r="A536" s="550" t="s">
        <v>38</v>
      </c>
      <c r="B536" s="629">
        <f t="shared" si="59"/>
        <v>188</v>
      </c>
      <c r="C536" s="629"/>
      <c r="D536" s="629">
        <f t="shared" si="57"/>
        <v>181</v>
      </c>
      <c r="E536" s="629">
        <v>92</v>
      </c>
      <c r="F536" s="629"/>
      <c r="G536" s="629">
        <f t="shared" si="58"/>
        <v>87</v>
      </c>
      <c r="H536" s="629">
        <v>14</v>
      </c>
      <c r="I536" s="629">
        <v>11</v>
      </c>
      <c r="J536" s="629">
        <v>62</v>
      </c>
      <c r="K536" s="629">
        <v>1</v>
      </c>
      <c r="L536" s="629">
        <v>0</v>
      </c>
      <c r="M536" s="629">
        <v>1</v>
      </c>
      <c r="N536" s="629">
        <v>7</v>
      </c>
      <c r="Q536" s="283"/>
      <c r="V536" s="282"/>
    </row>
    <row r="537" spans="1:22" s="263" customFormat="1" ht="9" customHeight="1" x14ac:dyDescent="0.25">
      <c r="A537" s="550" t="s">
        <v>39</v>
      </c>
      <c r="B537" s="629">
        <f t="shared" si="59"/>
        <v>58</v>
      </c>
      <c r="C537" s="629"/>
      <c r="D537" s="629">
        <f t="shared" si="57"/>
        <v>58</v>
      </c>
      <c r="E537" s="629">
        <v>20</v>
      </c>
      <c r="F537" s="629"/>
      <c r="G537" s="629">
        <f t="shared" si="58"/>
        <v>38</v>
      </c>
      <c r="H537" s="629">
        <v>7</v>
      </c>
      <c r="I537" s="629">
        <v>5</v>
      </c>
      <c r="J537" s="629">
        <v>26</v>
      </c>
      <c r="K537" s="629">
        <v>0</v>
      </c>
      <c r="L537" s="629">
        <v>0</v>
      </c>
      <c r="M537" s="629">
        <v>0</v>
      </c>
      <c r="N537" s="629">
        <v>0</v>
      </c>
      <c r="Q537" s="283"/>
      <c r="V537" s="282"/>
    </row>
    <row r="538" spans="1:22" s="263" customFormat="1" ht="9" customHeight="1" x14ac:dyDescent="0.25">
      <c r="A538" s="550" t="s">
        <v>40</v>
      </c>
      <c r="B538" s="629">
        <f t="shared" si="59"/>
        <v>6188</v>
      </c>
      <c r="C538" s="629"/>
      <c r="D538" s="629">
        <f t="shared" si="57"/>
        <v>6124</v>
      </c>
      <c r="E538" s="629">
        <v>156</v>
      </c>
      <c r="F538" s="629"/>
      <c r="G538" s="629">
        <f t="shared" si="58"/>
        <v>5720</v>
      </c>
      <c r="H538" s="629">
        <v>1033</v>
      </c>
      <c r="I538" s="629">
        <v>877</v>
      </c>
      <c r="J538" s="629">
        <v>3810</v>
      </c>
      <c r="K538" s="629">
        <v>47</v>
      </c>
      <c r="L538" s="629">
        <v>155</v>
      </c>
      <c r="M538" s="629">
        <v>46</v>
      </c>
      <c r="N538" s="629">
        <v>64</v>
      </c>
      <c r="Q538" s="283"/>
      <c r="V538" s="282"/>
    </row>
    <row r="539" spans="1:22" s="263" customFormat="1" ht="9" customHeight="1" x14ac:dyDescent="0.25">
      <c r="A539" s="603" t="s">
        <v>41</v>
      </c>
      <c r="B539" s="630">
        <f t="shared" si="59"/>
        <v>180</v>
      </c>
      <c r="C539" s="630"/>
      <c r="D539" s="630">
        <f t="shared" si="57"/>
        <v>173</v>
      </c>
      <c r="E539" s="630">
        <v>83</v>
      </c>
      <c r="F539" s="630"/>
      <c r="G539" s="630">
        <f t="shared" si="58"/>
        <v>78</v>
      </c>
      <c r="H539" s="630">
        <v>15</v>
      </c>
      <c r="I539" s="630">
        <v>9</v>
      </c>
      <c r="J539" s="630">
        <v>54</v>
      </c>
      <c r="K539" s="630">
        <v>0</v>
      </c>
      <c r="L539" s="630">
        <v>0</v>
      </c>
      <c r="M539" s="630">
        <v>12</v>
      </c>
      <c r="N539" s="630">
        <v>7</v>
      </c>
      <c r="Q539" s="283"/>
      <c r="V539" s="282"/>
    </row>
    <row r="540" spans="1:22" s="263" customFormat="1" ht="9" customHeight="1" x14ac:dyDescent="0.25">
      <c r="A540" s="550" t="s">
        <v>42</v>
      </c>
      <c r="B540" s="629">
        <f t="shared" si="59"/>
        <v>359</v>
      </c>
      <c r="C540" s="629"/>
      <c r="D540" s="629">
        <f t="shared" si="57"/>
        <v>351</v>
      </c>
      <c r="E540" s="629">
        <v>168</v>
      </c>
      <c r="F540" s="629"/>
      <c r="G540" s="629">
        <f t="shared" si="58"/>
        <v>153</v>
      </c>
      <c r="H540" s="629">
        <v>24</v>
      </c>
      <c r="I540" s="629">
        <v>20</v>
      </c>
      <c r="J540" s="629">
        <v>109</v>
      </c>
      <c r="K540" s="629">
        <v>7</v>
      </c>
      <c r="L540" s="629">
        <v>17</v>
      </c>
      <c r="M540" s="629">
        <v>6</v>
      </c>
      <c r="N540" s="629">
        <v>8</v>
      </c>
      <c r="Q540" s="283"/>
      <c r="V540" s="282"/>
    </row>
    <row r="541" spans="1:22" s="263" customFormat="1" ht="9" customHeight="1" x14ac:dyDescent="0.25">
      <c r="A541" s="550" t="s">
        <v>43</v>
      </c>
      <c r="B541" s="629">
        <f t="shared" si="59"/>
        <v>167</v>
      </c>
      <c r="C541" s="629"/>
      <c r="D541" s="629">
        <f t="shared" si="57"/>
        <v>165</v>
      </c>
      <c r="E541" s="629">
        <v>65</v>
      </c>
      <c r="F541" s="629"/>
      <c r="G541" s="629">
        <f t="shared" si="58"/>
        <v>87</v>
      </c>
      <c r="H541" s="629">
        <v>7</v>
      </c>
      <c r="I541" s="629">
        <v>9</v>
      </c>
      <c r="J541" s="629">
        <v>71</v>
      </c>
      <c r="K541" s="629">
        <v>0</v>
      </c>
      <c r="L541" s="629">
        <v>12</v>
      </c>
      <c r="M541" s="629">
        <v>1</v>
      </c>
      <c r="N541" s="629">
        <v>2</v>
      </c>
      <c r="Q541" s="283"/>
      <c r="V541" s="282"/>
    </row>
    <row r="542" spans="1:22" s="263" customFormat="1" ht="9" customHeight="1" x14ac:dyDescent="0.25">
      <c r="A542" s="550" t="s">
        <v>44</v>
      </c>
      <c r="B542" s="629">
        <f t="shared" si="59"/>
        <v>62</v>
      </c>
      <c r="C542" s="629"/>
      <c r="D542" s="629">
        <f t="shared" si="57"/>
        <v>61</v>
      </c>
      <c r="E542" s="629">
        <v>40</v>
      </c>
      <c r="F542" s="629"/>
      <c r="G542" s="629">
        <f t="shared" si="58"/>
        <v>17</v>
      </c>
      <c r="H542" s="629">
        <v>3</v>
      </c>
      <c r="I542" s="629">
        <v>0</v>
      </c>
      <c r="J542" s="629">
        <v>14</v>
      </c>
      <c r="K542" s="629">
        <v>0</v>
      </c>
      <c r="L542" s="629">
        <v>0</v>
      </c>
      <c r="M542" s="629">
        <v>4</v>
      </c>
      <c r="N542" s="629">
        <v>1</v>
      </c>
      <c r="Q542" s="283"/>
      <c r="V542" s="282"/>
    </row>
    <row r="543" spans="1:22" s="263" customFormat="1" ht="9" customHeight="1" x14ac:dyDescent="0.25">
      <c r="A543" s="603" t="s">
        <v>45</v>
      </c>
      <c r="B543" s="630">
        <f t="shared" si="59"/>
        <v>89</v>
      </c>
      <c r="C543" s="630"/>
      <c r="D543" s="630">
        <f t="shared" si="57"/>
        <v>86</v>
      </c>
      <c r="E543" s="630">
        <v>51</v>
      </c>
      <c r="F543" s="630"/>
      <c r="G543" s="630">
        <f>SUM(H543:J543)</f>
        <v>31</v>
      </c>
      <c r="H543" s="630">
        <v>0</v>
      </c>
      <c r="I543" s="630">
        <v>12</v>
      </c>
      <c r="J543" s="630">
        <v>19</v>
      </c>
      <c r="K543" s="630">
        <v>4</v>
      </c>
      <c r="L543" s="630">
        <v>0</v>
      </c>
      <c r="M543" s="630">
        <v>0</v>
      </c>
      <c r="N543" s="630">
        <v>3</v>
      </c>
      <c r="Q543" s="283"/>
      <c r="V543" s="282"/>
    </row>
    <row r="544" spans="1:22" s="263" customFormat="1" ht="9" customHeight="1" x14ac:dyDescent="0.25">
      <c r="A544" s="550" t="s">
        <v>46</v>
      </c>
      <c r="B544" s="629">
        <f t="shared" si="59"/>
        <v>121</v>
      </c>
      <c r="C544" s="629"/>
      <c r="D544" s="629">
        <f t="shared" si="57"/>
        <v>121</v>
      </c>
      <c r="E544" s="629">
        <v>64</v>
      </c>
      <c r="F544" s="629"/>
      <c r="G544" s="629">
        <f t="shared" ref="G544:G551" si="60">SUM(H544:J544)</f>
        <v>51</v>
      </c>
      <c r="H544" s="629">
        <v>7</v>
      </c>
      <c r="I544" s="629">
        <v>6</v>
      </c>
      <c r="J544" s="629">
        <v>38</v>
      </c>
      <c r="K544" s="629">
        <v>4</v>
      </c>
      <c r="L544" s="629">
        <v>0</v>
      </c>
      <c r="M544" s="629">
        <v>2</v>
      </c>
      <c r="N544" s="629">
        <v>0</v>
      </c>
      <c r="Q544" s="283"/>
      <c r="V544" s="282"/>
    </row>
    <row r="545" spans="1:22" s="263" customFormat="1" ht="9" customHeight="1" x14ac:dyDescent="0.25">
      <c r="A545" s="550" t="s">
        <v>47</v>
      </c>
      <c r="B545" s="629">
        <f t="shared" si="59"/>
        <v>176</v>
      </c>
      <c r="C545" s="629"/>
      <c r="D545" s="629">
        <f t="shared" si="57"/>
        <v>166</v>
      </c>
      <c r="E545" s="629">
        <v>103</v>
      </c>
      <c r="F545" s="629"/>
      <c r="G545" s="629">
        <f t="shared" si="60"/>
        <v>63</v>
      </c>
      <c r="H545" s="629">
        <v>15</v>
      </c>
      <c r="I545" s="629">
        <v>13</v>
      </c>
      <c r="J545" s="629">
        <v>35</v>
      </c>
      <c r="K545" s="629">
        <v>0</v>
      </c>
      <c r="L545" s="629">
        <v>0</v>
      </c>
      <c r="M545" s="629">
        <v>0</v>
      </c>
      <c r="N545" s="629">
        <v>10</v>
      </c>
      <c r="Q545" s="283"/>
      <c r="V545" s="282"/>
    </row>
    <row r="546" spans="1:22" s="263" customFormat="1" ht="9" customHeight="1" x14ac:dyDescent="0.25">
      <c r="A546" s="550" t="s">
        <v>48</v>
      </c>
      <c r="B546" s="629">
        <f t="shared" si="59"/>
        <v>76</v>
      </c>
      <c r="C546" s="629"/>
      <c r="D546" s="629">
        <f t="shared" si="57"/>
        <v>75</v>
      </c>
      <c r="E546" s="629">
        <v>55</v>
      </c>
      <c r="F546" s="629"/>
      <c r="G546" s="629">
        <f t="shared" si="60"/>
        <v>20</v>
      </c>
      <c r="H546" s="629">
        <v>3</v>
      </c>
      <c r="I546" s="629">
        <v>6</v>
      </c>
      <c r="J546" s="629">
        <v>11</v>
      </c>
      <c r="K546" s="629">
        <v>0</v>
      </c>
      <c r="L546" s="629">
        <v>0</v>
      </c>
      <c r="M546" s="629">
        <v>0</v>
      </c>
      <c r="N546" s="629">
        <v>1</v>
      </c>
      <c r="Q546" s="283"/>
      <c r="V546" s="282"/>
    </row>
    <row r="547" spans="1:22" s="263" customFormat="1" ht="9" customHeight="1" x14ac:dyDescent="0.25">
      <c r="A547" s="603" t="s">
        <v>49</v>
      </c>
      <c r="B547" s="630">
        <f t="shared" si="59"/>
        <v>252</v>
      </c>
      <c r="C547" s="630"/>
      <c r="D547" s="630">
        <f t="shared" si="57"/>
        <v>246</v>
      </c>
      <c r="E547" s="630">
        <v>151</v>
      </c>
      <c r="F547" s="630"/>
      <c r="G547" s="630">
        <f t="shared" si="60"/>
        <v>78</v>
      </c>
      <c r="H547" s="630">
        <v>12</v>
      </c>
      <c r="I547" s="630">
        <v>6</v>
      </c>
      <c r="J547" s="630">
        <v>60</v>
      </c>
      <c r="K547" s="630">
        <v>14</v>
      </c>
      <c r="L547" s="630">
        <v>0</v>
      </c>
      <c r="M547" s="630">
        <v>3</v>
      </c>
      <c r="N547" s="630">
        <v>6</v>
      </c>
      <c r="Q547" s="283"/>
      <c r="V547" s="282"/>
    </row>
    <row r="548" spans="1:22" s="263" customFormat="1" ht="9" customHeight="1" x14ac:dyDescent="0.25">
      <c r="A548" s="550" t="s">
        <v>50</v>
      </c>
      <c r="B548" s="629">
        <f t="shared" si="59"/>
        <v>153</v>
      </c>
      <c r="C548" s="629"/>
      <c r="D548" s="629">
        <f t="shared" si="57"/>
        <v>153</v>
      </c>
      <c r="E548" s="629">
        <v>61</v>
      </c>
      <c r="F548" s="629"/>
      <c r="G548" s="629">
        <f t="shared" si="60"/>
        <v>91</v>
      </c>
      <c r="H548" s="629">
        <v>16</v>
      </c>
      <c r="I548" s="629">
        <v>16</v>
      </c>
      <c r="J548" s="629">
        <v>59</v>
      </c>
      <c r="K548" s="629">
        <v>1</v>
      </c>
      <c r="L548" s="629">
        <v>0</v>
      </c>
      <c r="M548" s="629">
        <v>0</v>
      </c>
      <c r="N548" s="629">
        <v>0</v>
      </c>
      <c r="Q548" s="283"/>
      <c r="V548" s="282"/>
    </row>
    <row r="549" spans="1:22" s="263" customFormat="1" ht="9" customHeight="1" x14ac:dyDescent="0.25">
      <c r="A549" s="550" t="s">
        <v>51</v>
      </c>
      <c r="B549" s="629">
        <f t="shared" si="59"/>
        <v>529</v>
      </c>
      <c r="C549" s="629"/>
      <c r="D549" s="629">
        <f t="shared" si="57"/>
        <v>514</v>
      </c>
      <c r="E549" s="629">
        <v>262</v>
      </c>
      <c r="F549" s="629"/>
      <c r="G549" s="629">
        <f t="shared" si="60"/>
        <v>249</v>
      </c>
      <c r="H549" s="629">
        <v>60</v>
      </c>
      <c r="I549" s="629">
        <v>35</v>
      </c>
      <c r="J549" s="629">
        <v>154</v>
      </c>
      <c r="K549" s="629">
        <v>0</v>
      </c>
      <c r="L549" s="629">
        <v>0</v>
      </c>
      <c r="M549" s="629">
        <v>3</v>
      </c>
      <c r="N549" s="629">
        <v>15</v>
      </c>
      <c r="Q549" s="283"/>
      <c r="V549" s="282"/>
    </row>
    <row r="550" spans="1:22" s="263" customFormat="1" ht="9" customHeight="1" x14ac:dyDescent="0.25">
      <c r="A550" s="550" t="s">
        <v>52</v>
      </c>
      <c r="B550" s="629">
        <f t="shared" si="59"/>
        <v>116</v>
      </c>
      <c r="C550" s="629"/>
      <c r="D550" s="629">
        <f t="shared" si="57"/>
        <v>109</v>
      </c>
      <c r="E550" s="629">
        <v>45</v>
      </c>
      <c r="F550" s="629"/>
      <c r="G550" s="629">
        <f t="shared" si="60"/>
        <v>59</v>
      </c>
      <c r="H550" s="629">
        <v>13</v>
      </c>
      <c r="I550" s="629">
        <v>13</v>
      </c>
      <c r="J550" s="629">
        <v>33</v>
      </c>
      <c r="K550" s="629">
        <v>1</v>
      </c>
      <c r="L550" s="629">
        <v>3</v>
      </c>
      <c r="M550" s="629">
        <v>1</v>
      </c>
      <c r="N550" s="629">
        <v>7</v>
      </c>
      <c r="Q550" s="283"/>
      <c r="V550" s="282"/>
    </row>
    <row r="551" spans="1:22" s="263" customFormat="1" ht="9" customHeight="1" x14ac:dyDescent="0.25">
      <c r="A551" s="267" t="s">
        <v>53</v>
      </c>
      <c r="B551" s="268">
        <f t="shared" si="59"/>
        <v>137</v>
      </c>
      <c r="C551" s="268"/>
      <c r="D551" s="268">
        <f t="shared" si="57"/>
        <v>135</v>
      </c>
      <c r="E551" s="268">
        <v>44</v>
      </c>
      <c r="F551" s="268"/>
      <c r="G551" s="268">
        <f t="shared" si="60"/>
        <v>91</v>
      </c>
      <c r="H551" s="268">
        <v>13</v>
      </c>
      <c r="I551" s="268">
        <v>10</v>
      </c>
      <c r="J551" s="268">
        <v>68</v>
      </c>
      <c r="K551" s="268">
        <v>0</v>
      </c>
      <c r="L551" s="268">
        <v>0</v>
      </c>
      <c r="M551" s="268">
        <v>0</v>
      </c>
      <c r="N551" s="268">
        <v>2</v>
      </c>
      <c r="Q551" s="283"/>
      <c r="V551" s="282"/>
    </row>
    <row r="552" spans="1:22" ht="9" customHeight="1" x14ac:dyDescent="0.25">
      <c r="B552" s="259"/>
      <c r="C552" s="259"/>
      <c r="D552" s="259"/>
      <c r="E552" s="259"/>
      <c r="F552" s="259"/>
      <c r="G552" s="259"/>
      <c r="H552" s="259"/>
      <c r="I552" s="259"/>
      <c r="J552" s="259"/>
      <c r="K552" s="259"/>
      <c r="L552" s="259"/>
      <c r="P552" s="606"/>
    </row>
    <row r="553" spans="1:22" ht="9" customHeight="1" x14ac:dyDescent="0.25">
      <c r="A553" s="601">
        <v>2016</v>
      </c>
      <c r="B553" s="262"/>
      <c r="C553" s="262"/>
      <c r="D553" s="262"/>
      <c r="E553" s="262"/>
      <c r="F553" s="262"/>
      <c r="G553" s="262"/>
      <c r="H553" s="262"/>
      <c r="I553" s="262"/>
      <c r="J553" s="262"/>
      <c r="K553" s="262"/>
      <c r="L553" s="262"/>
      <c r="M553" s="262"/>
      <c r="N553" s="262"/>
    </row>
    <row r="554" spans="1:22" s="265" customFormat="1" ht="9" customHeight="1" x14ac:dyDescent="0.25">
      <c r="A554" s="265" t="s">
        <v>21</v>
      </c>
      <c r="B554" s="262">
        <f>SUM(B556:B587)</f>
        <v>14478</v>
      </c>
      <c r="C554" s="262"/>
      <c r="D554" s="262">
        <f>SUM(D556:D587)</f>
        <v>14097</v>
      </c>
      <c r="E554" s="262">
        <f>SUM(E556:E587)</f>
        <v>4344</v>
      </c>
      <c r="F554" s="262"/>
      <c r="G554" s="262">
        <f>SUM(G556:G587)</f>
        <v>8072</v>
      </c>
      <c r="H554" s="262">
        <f t="shared" ref="H554:M554" si="61">SUM(H556:H587)</f>
        <v>1066</v>
      </c>
      <c r="I554" s="262">
        <f t="shared" si="61"/>
        <v>940</v>
      </c>
      <c r="J554" s="262">
        <f t="shared" si="61"/>
        <v>6066</v>
      </c>
      <c r="K554" s="262">
        <f t="shared" si="61"/>
        <v>388</v>
      </c>
      <c r="L554" s="262">
        <f t="shared" si="61"/>
        <v>1027</v>
      </c>
      <c r="M554" s="262">
        <f t="shared" si="61"/>
        <v>266</v>
      </c>
      <c r="N554" s="262">
        <f>SUM(N556:N587)</f>
        <v>381</v>
      </c>
      <c r="V554" s="282"/>
    </row>
    <row r="555" spans="1:22" s="265" customFormat="1" ht="3" customHeight="1" x14ac:dyDescent="0.25">
      <c r="B555" s="262"/>
      <c r="C555" s="262"/>
      <c r="D555" s="262"/>
      <c r="E555" s="262"/>
      <c r="F555" s="262"/>
      <c r="G555" s="262"/>
      <c r="H555" s="262"/>
      <c r="I555" s="262"/>
      <c r="J555" s="262"/>
      <c r="K555" s="262"/>
      <c r="L555" s="262"/>
      <c r="M555" s="262"/>
      <c r="N555" s="262"/>
      <c r="V555" s="282"/>
    </row>
    <row r="556" spans="1:22" s="263" customFormat="1" ht="9" customHeight="1" x14ac:dyDescent="0.25">
      <c r="A556" s="550" t="s">
        <v>23</v>
      </c>
      <c r="B556" s="629">
        <f>SUM(D556+N556)</f>
        <v>84</v>
      </c>
      <c r="C556" s="629"/>
      <c r="D556" s="629">
        <f>SUM(E556+G556+K556+L556+M556)</f>
        <v>83</v>
      </c>
      <c r="E556" s="629">
        <v>17</v>
      </c>
      <c r="F556" s="629"/>
      <c r="G556" s="629">
        <f>SUM(H556:J556)</f>
        <v>52</v>
      </c>
      <c r="H556" s="629">
        <v>5</v>
      </c>
      <c r="I556" s="629">
        <v>7</v>
      </c>
      <c r="J556" s="629">
        <v>40</v>
      </c>
      <c r="K556" s="629">
        <v>11</v>
      </c>
      <c r="L556" s="629">
        <v>0</v>
      </c>
      <c r="M556" s="629">
        <v>3</v>
      </c>
      <c r="N556" s="629">
        <v>1</v>
      </c>
      <c r="Q556" s="283"/>
      <c r="U556" s="265"/>
      <c r="V556" s="282"/>
    </row>
    <row r="557" spans="1:22" s="263" customFormat="1" ht="9" customHeight="1" x14ac:dyDescent="0.25">
      <c r="A557" s="550" t="s">
        <v>24</v>
      </c>
      <c r="B557" s="629">
        <f>SUM(D557+N557)</f>
        <v>193</v>
      </c>
      <c r="C557" s="629"/>
      <c r="D557" s="629">
        <f t="shared" ref="D557:D587" si="62">SUM(E557+G557+K557+L557+M557)</f>
        <v>192</v>
      </c>
      <c r="E557" s="629">
        <v>99</v>
      </c>
      <c r="F557" s="629"/>
      <c r="G557" s="629">
        <f>SUM(H557:J557)</f>
        <v>85</v>
      </c>
      <c r="H557" s="629">
        <v>10</v>
      </c>
      <c r="I557" s="629">
        <v>14</v>
      </c>
      <c r="J557" s="629">
        <v>61</v>
      </c>
      <c r="K557" s="629">
        <v>0</v>
      </c>
      <c r="L557" s="629">
        <v>3</v>
      </c>
      <c r="M557" s="629">
        <v>5</v>
      </c>
      <c r="N557" s="629">
        <v>1</v>
      </c>
      <c r="Q557" s="283"/>
      <c r="V557" s="282"/>
    </row>
    <row r="558" spans="1:22" s="263" customFormat="1" ht="9" customHeight="1" x14ac:dyDescent="0.25">
      <c r="A558" s="550" t="s">
        <v>25</v>
      </c>
      <c r="B558" s="629">
        <f>SUM(D558+N558)</f>
        <v>71</v>
      </c>
      <c r="C558" s="629"/>
      <c r="D558" s="629">
        <f t="shared" si="62"/>
        <v>70</v>
      </c>
      <c r="E558" s="629">
        <v>29</v>
      </c>
      <c r="F558" s="629"/>
      <c r="G558" s="629">
        <f t="shared" ref="G558:G578" si="63">SUM(H558:J558)</f>
        <v>39</v>
      </c>
      <c r="H558" s="629">
        <v>3</v>
      </c>
      <c r="I558" s="629">
        <v>4</v>
      </c>
      <c r="J558" s="629">
        <v>32</v>
      </c>
      <c r="K558" s="629">
        <v>0</v>
      </c>
      <c r="L558" s="629">
        <v>0</v>
      </c>
      <c r="M558" s="629">
        <v>2</v>
      </c>
      <c r="N558" s="629">
        <v>1</v>
      </c>
      <c r="Q558" s="283"/>
      <c r="V558" s="282"/>
    </row>
    <row r="559" spans="1:22" s="263" customFormat="1" ht="9" customHeight="1" x14ac:dyDescent="0.25">
      <c r="A559" s="603" t="s">
        <v>26</v>
      </c>
      <c r="B559" s="630">
        <f>SUM(D559+N559)</f>
        <v>40</v>
      </c>
      <c r="C559" s="630"/>
      <c r="D559" s="630">
        <f t="shared" si="62"/>
        <v>40</v>
      </c>
      <c r="E559" s="630">
        <v>21</v>
      </c>
      <c r="F559" s="630"/>
      <c r="G559" s="630">
        <f t="shared" si="63"/>
        <v>19</v>
      </c>
      <c r="H559" s="630">
        <v>3</v>
      </c>
      <c r="I559" s="630">
        <v>2</v>
      </c>
      <c r="J559" s="630">
        <v>14</v>
      </c>
      <c r="K559" s="630">
        <v>0</v>
      </c>
      <c r="L559" s="630">
        <v>0</v>
      </c>
      <c r="M559" s="630">
        <v>0</v>
      </c>
      <c r="N559" s="630">
        <v>0</v>
      </c>
      <c r="Q559" s="283"/>
      <c r="V559" s="282"/>
    </row>
    <row r="560" spans="1:22" s="263" customFormat="1" ht="9" customHeight="1" x14ac:dyDescent="0.25">
      <c r="A560" s="550" t="s">
        <v>27</v>
      </c>
      <c r="B560" s="629">
        <f t="shared" ref="B560:B587" si="64">SUM(D560+N560)</f>
        <v>154</v>
      </c>
      <c r="C560" s="629"/>
      <c r="D560" s="629">
        <f t="shared" si="62"/>
        <v>142</v>
      </c>
      <c r="E560" s="629">
        <v>41</v>
      </c>
      <c r="F560" s="629"/>
      <c r="G560" s="629">
        <f t="shared" si="63"/>
        <v>98</v>
      </c>
      <c r="H560" s="629">
        <v>17</v>
      </c>
      <c r="I560" s="629">
        <v>10</v>
      </c>
      <c r="J560" s="629">
        <v>71</v>
      </c>
      <c r="K560" s="629">
        <v>2</v>
      </c>
      <c r="L560" s="629">
        <v>0</v>
      </c>
      <c r="M560" s="629">
        <v>1</v>
      </c>
      <c r="N560" s="629">
        <v>12</v>
      </c>
      <c r="Q560" s="283"/>
      <c r="V560" s="282"/>
    </row>
    <row r="561" spans="1:22" s="263" customFormat="1" ht="9" customHeight="1" x14ac:dyDescent="0.25">
      <c r="A561" s="550" t="s">
        <v>28</v>
      </c>
      <c r="B561" s="629">
        <f t="shared" si="64"/>
        <v>56</v>
      </c>
      <c r="C561" s="629"/>
      <c r="D561" s="629">
        <f t="shared" si="62"/>
        <v>54</v>
      </c>
      <c r="E561" s="629">
        <v>20</v>
      </c>
      <c r="F561" s="629"/>
      <c r="G561" s="629">
        <f t="shared" si="63"/>
        <v>30</v>
      </c>
      <c r="H561" s="629">
        <v>4</v>
      </c>
      <c r="I561" s="629">
        <v>3</v>
      </c>
      <c r="J561" s="629">
        <v>23</v>
      </c>
      <c r="K561" s="629">
        <v>4</v>
      </c>
      <c r="L561" s="629">
        <v>0</v>
      </c>
      <c r="M561" s="629">
        <v>0</v>
      </c>
      <c r="N561" s="629">
        <v>2</v>
      </c>
      <c r="Q561" s="283"/>
      <c r="V561" s="282"/>
    </row>
    <row r="562" spans="1:22" s="263" customFormat="1" ht="9" customHeight="1" x14ac:dyDescent="0.25">
      <c r="A562" s="550" t="s">
        <v>29</v>
      </c>
      <c r="B562" s="629">
        <f t="shared" si="64"/>
        <v>231</v>
      </c>
      <c r="C562" s="629"/>
      <c r="D562" s="629">
        <f t="shared" si="62"/>
        <v>222</v>
      </c>
      <c r="E562" s="629">
        <v>123</v>
      </c>
      <c r="F562" s="629"/>
      <c r="G562" s="629">
        <f t="shared" si="63"/>
        <v>94</v>
      </c>
      <c r="H562" s="629">
        <v>15</v>
      </c>
      <c r="I562" s="629">
        <v>15</v>
      </c>
      <c r="J562" s="629">
        <v>64</v>
      </c>
      <c r="K562" s="629">
        <v>1</v>
      </c>
      <c r="L562" s="629">
        <v>0</v>
      </c>
      <c r="M562" s="629">
        <v>4</v>
      </c>
      <c r="N562" s="629">
        <v>9</v>
      </c>
      <c r="Q562" s="283"/>
      <c r="V562" s="282"/>
    </row>
    <row r="563" spans="1:22" s="263" customFormat="1" ht="9" customHeight="1" x14ac:dyDescent="0.25">
      <c r="A563" s="603" t="s">
        <v>30</v>
      </c>
      <c r="B563" s="630">
        <f t="shared" si="64"/>
        <v>1624</v>
      </c>
      <c r="C563" s="630"/>
      <c r="D563" s="630">
        <f t="shared" si="62"/>
        <v>1606</v>
      </c>
      <c r="E563" s="630">
        <v>128</v>
      </c>
      <c r="F563" s="630"/>
      <c r="G563" s="630">
        <f t="shared" si="63"/>
        <v>1451</v>
      </c>
      <c r="H563" s="630">
        <v>65</v>
      </c>
      <c r="I563" s="630">
        <v>50</v>
      </c>
      <c r="J563" s="630">
        <v>1336</v>
      </c>
      <c r="K563" s="630">
        <v>4</v>
      </c>
      <c r="L563" s="630">
        <v>21</v>
      </c>
      <c r="M563" s="630">
        <v>2</v>
      </c>
      <c r="N563" s="630">
        <v>18</v>
      </c>
      <c r="Q563" s="283"/>
      <c r="V563" s="282"/>
    </row>
    <row r="564" spans="1:22" s="263" customFormat="1" ht="9" customHeight="1" x14ac:dyDescent="0.25">
      <c r="A564" s="550" t="s">
        <v>63</v>
      </c>
      <c r="B564" s="629">
        <f t="shared" si="64"/>
        <v>3394</v>
      </c>
      <c r="C564" s="629"/>
      <c r="D564" s="629">
        <f t="shared" si="62"/>
        <v>3244</v>
      </c>
      <c r="E564" s="629">
        <v>554</v>
      </c>
      <c r="F564" s="629"/>
      <c r="G564" s="629">
        <f t="shared" si="63"/>
        <v>1758</v>
      </c>
      <c r="H564" s="629">
        <v>157</v>
      </c>
      <c r="I564" s="629">
        <v>209</v>
      </c>
      <c r="J564" s="629">
        <v>1392</v>
      </c>
      <c r="K564" s="629">
        <v>204</v>
      </c>
      <c r="L564" s="629">
        <v>620</v>
      </c>
      <c r="M564" s="629">
        <v>108</v>
      </c>
      <c r="N564" s="629">
        <v>150</v>
      </c>
      <c r="Q564" s="283"/>
      <c r="V564" s="282"/>
    </row>
    <row r="565" spans="1:22" s="263" customFormat="1" ht="9" customHeight="1" x14ac:dyDescent="0.25">
      <c r="A565" s="550" t="s">
        <v>31</v>
      </c>
      <c r="B565" s="629">
        <f t="shared" si="64"/>
        <v>180</v>
      </c>
      <c r="C565" s="629"/>
      <c r="D565" s="629">
        <f t="shared" si="62"/>
        <v>180</v>
      </c>
      <c r="E565" s="629">
        <v>49</v>
      </c>
      <c r="F565" s="629"/>
      <c r="G565" s="629">
        <f t="shared" si="63"/>
        <v>110</v>
      </c>
      <c r="H565" s="629">
        <v>49</v>
      </c>
      <c r="I565" s="629">
        <v>14</v>
      </c>
      <c r="J565" s="629">
        <v>47</v>
      </c>
      <c r="K565" s="629">
        <v>2</v>
      </c>
      <c r="L565" s="629">
        <v>15</v>
      </c>
      <c r="M565" s="629">
        <v>4</v>
      </c>
      <c r="N565" s="629">
        <v>0</v>
      </c>
      <c r="Q565" s="283"/>
      <c r="V565" s="282"/>
    </row>
    <row r="566" spans="1:22" s="263" customFormat="1" ht="9" customHeight="1" x14ac:dyDescent="0.25">
      <c r="A566" s="550" t="s">
        <v>32</v>
      </c>
      <c r="B566" s="629">
        <f t="shared" si="64"/>
        <v>538</v>
      </c>
      <c r="C566" s="629"/>
      <c r="D566" s="629">
        <f t="shared" si="62"/>
        <v>530</v>
      </c>
      <c r="E566" s="629">
        <v>275</v>
      </c>
      <c r="F566" s="629"/>
      <c r="G566" s="629">
        <f t="shared" si="63"/>
        <v>204</v>
      </c>
      <c r="H566" s="629">
        <v>36</v>
      </c>
      <c r="I566" s="629">
        <v>27</v>
      </c>
      <c r="J566" s="629">
        <v>141</v>
      </c>
      <c r="K566" s="629">
        <v>6</v>
      </c>
      <c r="L566" s="629">
        <v>38</v>
      </c>
      <c r="M566" s="629">
        <v>7</v>
      </c>
      <c r="N566" s="629">
        <v>8</v>
      </c>
      <c r="Q566" s="283"/>
      <c r="V566" s="282"/>
    </row>
    <row r="567" spans="1:22" s="263" customFormat="1" ht="9" customHeight="1" x14ac:dyDescent="0.25">
      <c r="A567" s="603" t="s">
        <v>33</v>
      </c>
      <c r="B567" s="630">
        <f t="shared" si="64"/>
        <v>180</v>
      </c>
      <c r="C567" s="630"/>
      <c r="D567" s="630">
        <f t="shared" si="62"/>
        <v>179</v>
      </c>
      <c r="E567" s="630">
        <v>110</v>
      </c>
      <c r="F567" s="630"/>
      <c r="G567" s="630">
        <f t="shared" si="63"/>
        <v>65</v>
      </c>
      <c r="H567" s="630">
        <v>15</v>
      </c>
      <c r="I567" s="630">
        <v>12</v>
      </c>
      <c r="J567" s="630">
        <v>38</v>
      </c>
      <c r="K567" s="630">
        <v>0</v>
      </c>
      <c r="L567" s="630">
        <v>0</v>
      </c>
      <c r="M567" s="630">
        <v>4</v>
      </c>
      <c r="N567" s="630">
        <v>1</v>
      </c>
      <c r="Q567" s="283"/>
      <c r="V567" s="282"/>
    </row>
    <row r="568" spans="1:22" s="263" customFormat="1" ht="9" customHeight="1" x14ac:dyDescent="0.25">
      <c r="A568" s="550" t="s">
        <v>34</v>
      </c>
      <c r="B568" s="629">
        <f t="shared" si="64"/>
        <v>354</v>
      </c>
      <c r="C568" s="629"/>
      <c r="D568" s="629">
        <f t="shared" si="62"/>
        <v>346</v>
      </c>
      <c r="E568" s="629">
        <v>134</v>
      </c>
      <c r="F568" s="629"/>
      <c r="G568" s="629">
        <f t="shared" si="63"/>
        <v>202</v>
      </c>
      <c r="H568" s="629">
        <v>43</v>
      </c>
      <c r="I568" s="629">
        <v>32</v>
      </c>
      <c r="J568" s="629">
        <v>127</v>
      </c>
      <c r="K568" s="629">
        <v>0</v>
      </c>
      <c r="L568" s="629">
        <v>0</v>
      </c>
      <c r="M568" s="629">
        <v>10</v>
      </c>
      <c r="N568" s="629">
        <v>8</v>
      </c>
      <c r="Q568" s="283"/>
      <c r="V568" s="282"/>
    </row>
    <row r="569" spans="1:22" s="263" customFormat="1" ht="9" customHeight="1" x14ac:dyDescent="0.25">
      <c r="A569" s="550" t="s">
        <v>35</v>
      </c>
      <c r="B569" s="629">
        <f t="shared" si="64"/>
        <v>874</v>
      </c>
      <c r="C569" s="629"/>
      <c r="D569" s="629">
        <f t="shared" si="62"/>
        <v>847</v>
      </c>
      <c r="E569" s="629">
        <v>256</v>
      </c>
      <c r="F569" s="629"/>
      <c r="G569" s="629">
        <f t="shared" si="63"/>
        <v>501</v>
      </c>
      <c r="H569" s="629">
        <v>84</v>
      </c>
      <c r="I569" s="629">
        <v>52</v>
      </c>
      <c r="J569" s="629">
        <v>365</v>
      </c>
      <c r="K569" s="629">
        <v>7</v>
      </c>
      <c r="L569" s="629">
        <v>74</v>
      </c>
      <c r="M569" s="629">
        <v>9</v>
      </c>
      <c r="N569" s="629">
        <v>27</v>
      </c>
      <c r="Q569" s="283"/>
      <c r="V569" s="282"/>
    </row>
    <row r="570" spans="1:22" s="263" customFormat="1" ht="9" customHeight="1" x14ac:dyDescent="0.25">
      <c r="A570" s="550" t="s">
        <v>36</v>
      </c>
      <c r="B570" s="629">
        <f t="shared" si="64"/>
        <v>2288</v>
      </c>
      <c r="C570" s="629"/>
      <c r="D570" s="629">
        <f t="shared" si="62"/>
        <v>2255</v>
      </c>
      <c r="E570" s="629">
        <v>762</v>
      </c>
      <c r="F570" s="629"/>
      <c r="G570" s="629">
        <f t="shared" si="63"/>
        <v>1330</v>
      </c>
      <c r="H570" s="629">
        <v>206</v>
      </c>
      <c r="I570" s="629">
        <v>182</v>
      </c>
      <c r="J570" s="629">
        <v>942</v>
      </c>
      <c r="K570" s="629">
        <v>56</v>
      </c>
      <c r="L570" s="629">
        <v>70</v>
      </c>
      <c r="M570" s="629">
        <v>37</v>
      </c>
      <c r="N570" s="629">
        <v>33</v>
      </c>
      <c r="Q570" s="283"/>
      <c r="V570" s="282"/>
    </row>
    <row r="571" spans="1:22" s="263" customFormat="1" ht="9" customHeight="1" x14ac:dyDescent="0.25">
      <c r="A571" s="603" t="s">
        <v>37</v>
      </c>
      <c r="B571" s="630">
        <f t="shared" si="64"/>
        <v>632</v>
      </c>
      <c r="C571" s="630"/>
      <c r="D571" s="630">
        <f t="shared" si="62"/>
        <v>632</v>
      </c>
      <c r="E571" s="630">
        <v>234</v>
      </c>
      <c r="F571" s="630"/>
      <c r="G571" s="630">
        <f t="shared" si="63"/>
        <v>331</v>
      </c>
      <c r="H571" s="630">
        <v>57</v>
      </c>
      <c r="I571" s="630">
        <v>42</v>
      </c>
      <c r="J571" s="630">
        <v>232</v>
      </c>
      <c r="K571" s="630">
        <v>11</v>
      </c>
      <c r="L571" s="630">
        <v>48</v>
      </c>
      <c r="M571" s="630">
        <v>8</v>
      </c>
      <c r="N571" s="630">
        <v>0</v>
      </c>
      <c r="Q571" s="283"/>
      <c r="V571" s="282"/>
    </row>
    <row r="572" spans="1:22" s="263" customFormat="1" ht="9" customHeight="1" x14ac:dyDescent="0.25">
      <c r="A572" s="550" t="s">
        <v>38</v>
      </c>
      <c r="B572" s="629">
        <f t="shared" si="64"/>
        <v>218</v>
      </c>
      <c r="C572" s="629"/>
      <c r="D572" s="629">
        <f t="shared" si="62"/>
        <v>214</v>
      </c>
      <c r="E572" s="629">
        <v>102</v>
      </c>
      <c r="F572" s="629"/>
      <c r="G572" s="629">
        <f t="shared" si="63"/>
        <v>110</v>
      </c>
      <c r="H572" s="629">
        <v>15</v>
      </c>
      <c r="I572" s="629">
        <v>11</v>
      </c>
      <c r="J572" s="629">
        <v>84</v>
      </c>
      <c r="K572" s="629">
        <v>1</v>
      </c>
      <c r="L572" s="629">
        <v>0</v>
      </c>
      <c r="M572" s="629">
        <v>1</v>
      </c>
      <c r="N572" s="629">
        <v>4</v>
      </c>
      <c r="Q572" s="283"/>
      <c r="V572" s="282"/>
    </row>
    <row r="573" spans="1:22" s="263" customFormat="1" ht="9" customHeight="1" x14ac:dyDescent="0.25">
      <c r="A573" s="550" t="s">
        <v>39</v>
      </c>
      <c r="B573" s="629">
        <f t="shared" si="64"/>
        <v>58</v>
      </c>
      <c r="C573" s="629"/>
      <c r="D573" s="629">
        <f t="shared" si="62"/>
        <v>58</v>
      </c>
      <c r="E573" s="629">
        <v>18</v>
      </c>
      <c r="F573" s="629"/>
      <c r="G573" s="629">
        <f t="shared" si="63"/>
        <v>39</v>
      </c>
      <c r="H573" s="629">
        <v>8</v>
      </c>
      <c r="I573" s="629">
        <v>5</v>
      </c>
      <c r="J573" s="629">
        <v>26</v>
      </c>
      <c r="K573" s="629">
        <v>1</v>
      </c>
      <c r="L573" s="629">
        <v>0</v>
      </c>
      <c r="M573" s="629">
        <v>0</v>
      </c>
      <c r="N573" s="629">
        <v>0</v>
      </c>
      <c r="Q573" s="283"/>
      <c r="V573" s="282"/>
    </row>
    <row r="574" spans="1:22" s="263" customFormat="1" ht="9" customHeight="1" x14ac:dyDescent="0.25">
      <c r="A574" s="550" t="s">
        <v>40</v>
      </c>
      <c r="B574" s="629">
        <f t="shared" si="64"/>
        <v>742</v>
      </c>
      <c r="C574" s="629"/>
      <c r="D574" s="629">
        <f t="shared" si="62"/>
        <v>699</v>
      </c>
      <c r="E574" s="629">
        <v>138</v>
      </c>
      <c r="F574" s="629"/>
      <c r="G574" s="629">
        <f t="shared" si="63"/>
        <v>357</v>
      </c>
      <c r="H574" s="629">
        <v>45</v>
      </c>
      <c r="I574" s="629">
        <v>58</v>
      </c>
      <c r="J574" s="629">
        <v>254</v>
      </c>
      <c r="K574" s="629">
        <v>53</v>
      </c>
      <c r="L574" s="629">
        <v>125</v>
      </c>
      <c r="M574" s="629">
        <v>26</v>
      </c>
      <c r="N574" s="629">
        <v>43</v>
      </c>
      <c r="Q574" s="283"/>
      <c r="V574" s="282"/>
    </row>
    <row r="575" spans="1:22" s="263" customFormat="1" ht="9" customHeight="1" x14ac:dyDescent="0.25">
      <c r="A575" s="603" t="s">
        <v>41</v>
      </c>
      <c r="B575" s="630">
        <f t="shared" si="64"/>
        <v>211</v>
      </c>
      <c r="C575" s="630"/>
      <c r="D575" s="630">
        <f t="shared" si="62"/>
        <v>199</v>
      </c>
      <c r="E575" s="630">
        <v>93</v>
      </c>
      <c r="F575" s="630"/>
      <c r="G575" s="630">
        <f t="shared" si="63"/>
        <v>95</v>
      </c>
      <c r="H575" s="630">
        <v>17</v>
      </c>
      <c r="I575" s="630">
        <v>11</v>
      </c>
      <c r="J575" s="630">
        <v>67</v>
      </c>
      <c r="K575" s="630">
        <v>0</v>
      </c>
      <c r="L575" s="630">
        <v>0</v>
      </c>
      <c r="M575" s="630">
        <v>11</v>
      </c>
      <c r="N575" s="630">
        <v>12</v>
      </c>
      <c r="Q575" s="283"/>
      <c r="V575" s="282"/>
    </row>
    <row r="576" spans="1:22" s="263" customFormat="1" ht="9" customHeight="1" x14ac:dyDescent="0.25">
      <c r="A576" s="550" t="s">
        <v>42</v>
      </c>
      <c r="B576" s="629">
        <f t="shared" si="64"/>
        <v>301</v>
      </c>
      <c r="C576" s="629"/>
      <c r="D576" s="629">
        <f t="shared" si="62"/>
        <v>299</v>
      </c>
      <c r="E576" s="629">
        <v>151</v>
      </c>
      <c r="F576" s="629"/>
      <c r="G576" s="629">
        <f t="shared" si="63"/>
        <v>133</v>
      </c>
      <c r="H576" s="629">
        <v>29</v>
      </c>
      <c r="I576" s="629">
        <v>17</v>
      </c>
      <c r="J576" s="629">
        <v>87</v>
      </c>
      <c r="K576" s="629">
        <v>7</v>
      </c>
      <c r="L576" s="629">
        <v>5</v>
      </c>
      <c r="M576" s="629">
        <v>3</v>
      </c>
      <c r="N576" s="629">
        <v>2</v>
      </c>
      <c r="Q576" s="283"/>
      <c r="V576" s="282"/>
    </row>
    <row r="577" spans="1:22" s="263" customFormat="1" ht="9" customHeight="1" x14ac:dyDescent="0.25">
      <c r="A577" s="550" t="s">
        <v>43</v>
      </c>
      <c r="B577" s="629">
        <f t="shared" si="64"/>
        <v>167</v>
      </c>
      <c r="C577" s="629"/>
      <c r="D577" s="629">
        <f t="shared" si="62"/>
        <v>164</v>
      </c>
      <c r="E577" s="629">
        <v>68</v>
      </c>
      <c r="F577" s="629"/>
      <c r="G577" s="629">
        <f t="shared" si="63"/>
        <v>90</v>
      </c>
      <c r="H577" s="629">
        <v>8</v>
      </c>
      <c r="I577" s="629">
        <v>11</v>
      </c>
      <c r="J577" s="629">
        <v>71</v>
      </c>
      <c r="K577" s="629">
        <v>1</v>
      </c>
      <c r="L577" s="629">
        <v>5</v>
      </c>
      <c r="M577" s="629">
        <v>0</v>
      </c>
      <c r="N577" s="629">
        <v>3</v>
      </c>
      <c r="Q577" s="283"/>
      <c r="V577" s="282"/>
    </row>
    <row r="578" spans="1:22" s="263" customFormat="1" ht="9" customHeight="1" x14ac:dyDescent="0.25">
      <c r="A578" s="550" t="s">
        <v>44</v>
      </c>
      <c r="B578" s="629">
        <f t="shared" si="64"/>
        <v>94</v>
      </c>
      <c r="C578" s="629"/>
      <c r="D578" s="629">
        <f t="shared" si="62"/>
        <v>93</v>
      </c>
      <c r="E578" s="629">
        <v>48</v>
      </c>
      <c r="F578" s="629"/>
      <c r="G578" s="629">
        <f t="shared" si="63"/>
        <v>42</v>
      </c>
      <c r="H578" s="629">
        <v>9</v>
      </c>
      <c r="I578" s="629">
        <v>3</v>
      </c>
      <c r="J578" s="629">
        <v>30</v>
      </c>
      <c r="K578" s="629">
        <v>0</v>
      </c>
      <c r="L578" s="629">
        <v>0</v>
      </c>
      <c r="M578" s="629">
        <v>3</v>
      </c>
      <c r="N578" s="629">
        <v>1</v>
      </c>
      <c r="Q578" s="283"/>
      <c r="V578" s="282"/>
    </row>
    <row r="579" spans="1:22" s="263" customFormat="1" ht="9" customHeight="1" x14ac:dyDescent="0.25">
      <c r="A579" s="603" t="s">
        <v>45</v>
      </c>
      <c r="B579" s="630">
        <f t="shared" si="64"/>
        <v>97</v>
      </c>
      <c r="C579" s="630"/>
      <c r="D579" s="630">
        <f t="shared" si="62"/>
        <v>94</v>
      </c>
      <c r="E579" s="630">
        <v>37</v>
      </c>
      <c r="F579" s="630"/>
      <c r="G579" s="630">
        <f>SUM(H579:J579)</f>
        <v>44</v>
      </c>
      <c r="H579" s="630">
        <v>1</v>
      </c>
      <c r="I579" s="630">
        <v>16</v>
      </c>
      <c r="J579" s="630">
        <v>27</v>
      </c>
      <c r="K579" s="630">
        <v>4</v>
      </c>
      <c r="L579" s="630">
        <v>1</v>
      </c>
      <c r="M579" s="630">
        <v>8</v>
      </c>
      <c r="N579" s="630">
        <v>3</v>
      </c>
      <c r="Q579" s="283"/>
      <c r="V579" s="282"/>
    </row>
    <row r="580" spans="1:22" s="263" customFormat="1" ht="9" customHeight="1" x14ac:dyDescent="0.25">
      <c r="A580" s="550" t="s">
        <v>46</v>
      </c>
      <c r="B580" s="629">
        <f t="shared" si="64"/>
        <v>134</v>
      </c>
      <c r="C580" s="629"/>
      <c r="D580" s="629">
        <f t="shared" si="62"/>
        <v>134</v>
      </c>
      <c r="E580" s="629">
        <v>67</v>
      </c>
      <c r="F580" s="629"/>
      <c r="G580" s="629">
        <f t="shared" ref="G580:G587" si="65">SUM(H580:J580)</f>
        <v>61</v>
      </c>
      <c r="H580" s="629">
        <v>9</v>
      </c>
      <c r="I580" s="629">
        <v>6</v>
      </c>
      <c r="J580" s="629">
        <v>46</v>
      </c>
      <c r="K580" s="629">
        <v>4</v>
      </c>
      <c r="L580" s="629">
        <v>0</v>
      </c>
      <c r="M580" s="629">
        <v>2</v>
      </c>
      <c r="N580" s="629">
        <v>0</v>
      </c>
      <c r="Q580" s="283"/>
      <c r="V580" s="282"/>
    </row>
    <row r="581" spans="1:22" s="263" customFormat="1" ht="9" customHeight="1" x14ac:dyDescent="0.25">
      <c r="A581" s="550" t="s">
        <v>47</v>
      </c>
      <c r="B581" s="629">
        <f t="shared" si="64"/>
        <v>189</v>
      </c>
      <c r="C581" s="629"/>
      <c r="D581" s="629">
        <f t="shared" si="62"/>
        <v>179</v>
      </c>
      <c r="E581" s="629">
        <v>106</v>
      </c>
      <c r="F581" s="629"/>
      <c r="G581" s="629">
        <f t="shared" si="65"/>
        <v>73</v>
      </c>
      <c r="H581" s="629">
        <v>19</v>
      </c>
      <c r="I581" s="629">
        <v>16</v>
      </c>
      <c r="J581" s="629">
        <v>38</v>
      </c>
      <c r="K581" s="629">
        <v>0</v>
      </c>
      <c r="L581" s="629">
        <v>0</v>
      </c>
      <c r="M581" s="629">
        <v>0</v>
      </c>
      <c r="N581" s="629">
        <v>10</v>
      </c>
      <c r="Q581" s="283"/>
      <c r="V581" s="282"/>
    </row>
    <row r="582" spans="1:22" s="263" customFormat="1" ht="9" customHeight="1" x14ac:dyDescent="0.25">
      <c r="A582" s="550" t="s">
        <v>48</v>
      </c>
      <c r="B582" s="629">
        <f t="shared" si="64"/>
        <v>147</v>
      </c>
      <c r="C582" s="629"/>
      <c r="D582" s="629">
        <f t="shared" si="62"/>
        <v>144</v>
      </c>
      <c r="E582" s="629">
        <v>70</v>
      </c>
      <c r="F582" s="629"/>
      <c r="G582" s="629">
        <f t="shared" si="65"/>
        <v>74</v>
      </c>
      <c r="H582" s="629">
        <v>12</v>
      </c>
      <c r="I582" s="629">
        <v>15</v>
      </c>
      <c r="J582" s="629">
        <v>47</v>
      </c>
      <c r="K582" s="629">
        <v>0</v>
      </c>
      <c r="L582" s="629">
        <v>0</v>
      </c>
      <c r="M582" s="629">
        <v>0</v>
      </c>
      <c r="N582" s="629">
        <v>3</v>
      </c>
      <c r="Q582" s="283"/>
      <c r="V582" s="282"/>
    </row>
    <row r="583" spans="1:22" s="263" customFormat="1" ht="9" customHeight="1" x14ac:dyDescent="0.25">
      <c r="A583" s="603" t="s">
        <v>49</v>
      </c>
      <c r="B583" s="630">
        <f t="shared" si="64"/>
        <v>261</v>
      </c>
      <c r="C583" s="630"/>
      <c r="D583" s="630">
        <f t="shared" si="62"/>
        <v>255</v>
      </c>
      <c r="E583" s="630">
        <v>175</v>
      </c>
      <c r="F583" s="630"/>
      <c r="G583" s="630">
        <f t="shared" si="65"/>
        <v>70</v>
      </c>
      <c r="H583" s="630">
        <v>9</v>
      </c>
      <c r="I583" s="630">
        <v>8</v>
      </c>
      <c r="J583" s="630">
        <v>53</v>
      </c>
      <c r="K583" s="630">
        <v>8</v>
      </c>
      <c r="L583" s="630">
        <v>0</v>
      </c>
      <c r="M583" s="630">
        <v>2</v>
      </c>
      <c r="N583" s="630">
        <v>6</v>
      </c>
      <c r="Q583" s="283"/>
      <c r="V583" s="282"/>
    </row>
    <row r="584" spans="1:22" s="263" customFormat="1" ht="9" customHeight="1" x14ac:dyDescent="0.25">
      <c r="A584" s="550" t="s">
        <v>50</v>
      </c>
      <c r="B584" s="629">
        <f t="shared" si="64"/>
        <v>183</v>
      </c>
      <c r="C584" s="629"/>
      <c r="D584" s="629">
        <f t="shared" si="62"/>
        <v>183</v>
      </c>
      <c r="E584" s="629">
        <v>68</v>
      </c>
      <c r="F584" s="629"/>
      <c r="G584" s="629">
        <f t="shared" si="65"/>
        <v>114</v>
      </c>
      <c r="H584" s="629">
        <v>18</v>
      </c>
      <c r="I584" s="629">
        <v>20</v>
      </c>
      <c r="J584" s="629">
        <v>76</v>
      </c>
      <c r="K584" s="629">
        <v>1</v>
      </c>
      <c r="L584" s="629">
        <v>0</v>
      </c>
      <c r="M584" s="629">
        <v>0</v>
      </c>
      <c r="N584" s="629">
        <v>0</v>
      </c>
      <c r="Q584" s="283"/>
      <c r="V584" s="282"/>
    </row>
    <row r="585" spans="1:22" s="263" customFormat="1" ht="9" customHeight="1" x14ac:dyDescent="0.25">
      <c r="A585" s="550" t="s">
        <v>51</v>
      </c>
      <c r="B585" s="629">
        <f t="shared" si="64"/>
        <v>539</v>
      </c>
      <c r="C585" s="629"/>
      <c r="D585" s="629">
        <f t="shared" si="62"/>
        <v>524</v>
      </c>
      <c r="E585" s="629">
        <v>260</v>
      </c>
      <c r="F585" s="629"/>
      <c r="G585" s="629">
        <f t="shared" si="65"/>
        <v>259</v>
      </c>
      <c r="H585" s="629">
        <v>72</v>
      </c>
      <c r="I585" s="629">
        <v>48</v>
      </c>
      <c r="J585" s="629">
        <v>139</v>
      </c>
      <c r="K585" s="629">
        <v>0</v>
      </c>
      <c r="L585" s="629">
        <v>0</v>
      </c>
      <c r="M585" s="629">
        <v>5</v>
      </c>
      <c r="N585" s="629">
        <v>15</v>
      </c>
      <c r="Q585" s="283"/>
      <c r="V585" s="282"/>
    </row>
    <row r="586" spans="1:22" s="263" customFormat="1" ht="9" customHeight="1" x14ac:dyDescent="0.25">
      <c r="A586" s="550" t="s">
        <v>52</v>
      </c>
      <c r="B586" s="629">
        <f t="shared" si="64"/>
        <v>130</v>
      </c>
      <c r="C586" s="629"/>
      <c r="D586" s="629">
        <f t="shared" si="62"/>
        <v>122</v>
      </c>
      <c r="E586" s="629">
        <v>51</v>
      </c>
      <c r="F586" s="629"/>
      <c r="G586" s="629">
        <f t="shared" si="65"/>
        <v>68</v>
      </c>
      <c r="H586" s="629">
        <v>14</v>
      </c>
      <c r="I586" s="629">
        <v>13</v>
      </c>
      <c r="J586" s="629">
        <v>41</v>
      </c>
      <c r="K586" s="629">
        <v>0</v>
      </c>
      <c r="L586" s="629">
        <v>2</v>
      </c>
      <c r="M586" s="629">
        <v>1</v>
      </c>
      <c r="N586" s="629">
        <v>8</v>
      </c>
      <c r="Q586" s="283"/>
      <c r="V586" s="282"/>
    </row>
    <row r="587" spans="1:22" s="263" customFormat="1" ht="9" customHeight="1" x14ac:dyDescent="0.25">
      <c r="A587" s="267" t="s">
        <v>53</v>
      </c>
      <c r="B587" s="268">
        <f t="shared" si="64"/>
        <v>114</v>
      </c>
      <c r="C587" s="268"/>
      <c r="D587" s="268">
        <f t="shared" si="62"/>
        <v>114</v>
      </c>
      <c r="E587" s="268">
        <v>40</v>
      </c>
      <c r="F587" s="268"/>
      <c r="G587" s="268">
        <f t="shared" si="65"/>
        <v>74</v>
      </c>
      <c r="H587" s="268">
        <v>12</v>
      </c>
      <c r="I587" s="268">
        <v>7</v>
      </c>
      <c r="J587" s="268">
        <v>55</v>
      </c>
      <c r="K587" s="268">
        <v>0</v>
      </c>
      <c r="L587" s="268">
        <v>0</v>
      </c>
      <c r="M587" s="268">
        <v>0</v>
      </c>
      <c r="N587" s="268">
        <v>0</v>
      </c>
      <c r="Q587" s="283"/>
      <c r="V587" s="282"/>
    </row>
    <row r="588" spans="1:22" ht="9" customHeight="1" x14ac:dyDescent="0.25">
      <c r="B588" s="259"/>
      <c r="C588" s="259"/>
      <c r="D588" s="259"/>
      <c r="E588" s="259"/>
      <c r="F588" s="259"/>
      <c r="G588" s="259"/>
      <c r="H588" s="259"/>
      <c r="I588" s="259"/>
      <c r="J588" s="259"/>
      <c r="K588" s="259"/>
      <c r="L588" s="259"/>
      <c r="P588" s="606"/>
    </row>
    <row r="589" spans="1:22" ht="9" customHeight="1" x14ac:dyDescent="0.25">
      <c r="A589" s="601">
        <v>2017</v>
      </c>
      <c r="B589" s="262"/>
      <c r="C589" s="262"/>
      <c r="D589" s="262"/>
      <c r="E589" s="262"/>
      <c r="F589" s="262"/>
      <c r="G589" s="262"/>
      <c r="H589" s="262"/>
      <c r="I589" s="262"/>
      <c r="J589" s="262"/>
      <c r="K589" s="262"/>
      <c r="L589" s="262"/>
      <c r="M589" s="262"/>
      <c r="N589" s="262"/>
    </row>
    <row r="590" spans="1:22" s="265" customFormat="1" ht="9" customHeight="1" x14ac:dyDescent="0.25">
      <c r="A590" s="265" t="s">
        <v>21</v>
      </c>
      <c r="B590" s="262">
        <f>SUM(B592:B623)</f>
        <v>14213</v>
      </c>
      <c r="C590" s="262"/>
      <c r="D590" s="262">
        <f>SUM(D592:D623)</f>
        <v>13759</v>
      </c>
      <c r="E590" s="262">
        <f>SUM(E592:E623)</f>
        <v>4428</v>
      </c>
      <c r="F590" s="262"/>
      <c r="G590" s="262">
        <f>SUM(G592:G623)</f>
        <v>7737</v>
      </c>
      <c r="H590" s="262">
        <f t="shared" ref="H590:M590" si="66">SUM(H592:H623)</f>
        <v>1062</v>
      </c>
      <c r="I590" s="262">
        <f t="shared" si="66"/>
        <v>958</v>
      </c>
      <c r="J590" s="262">
        <f t="shared" si="66"/>
        <v>5717</v>
      </c>
      <c r="K590" s="262">
        <f t="shared" si="66"/>
        <v>357</v>
      </c>
      <c r="L590" s="262">
        <f t="shared" si="66"/>
        <v>980</v>
      </c>
      <c r="M590" s="262">
        <f t="shared" si="66"/>
        <v>257</v>
      </c>
      <c r="N590" s="262">
        <f>SUM(N592:N623)</f>
        <v>454</v>
      </c>
      <c r="Q590" s="262"/>
      <c r="R590" s="282"/>
      <c r="V590" s="282"/>
    </row>
    <row r="591" spans="1:22" s="265" customFormat="1" ht="3" customHeight="1" x14ac:dyDescent="0.25">
      <c r="B591" s="262"/>
      <c r="C591" s="262"/>
      <c r="D591" s="262"/>
      <c r="E591" s="262"/>
      <c r="F591" s="262"/>
      <c r="G591" s="262"/>
      <c r="H591" s="262"/>
      <c r="I591" s="262"/>
      <c r="J591" s="262"/>
      <c r="K591" s="262"/>
      <c r="L591" s="262"/>
      <c r="M591" s="262"/>
      <c r="N591" s="262"/>
      <c r="R591" s="282"/>
      <c r="V591" s="282"/>
    </row>
    <row r="592" spans="1:22" s="263" customFormat="1" ht="9" customHeight="1" x14ac:dyDescent="0.25">
      <c r="A592" s="550" t="s">
        <v>23</v>
      </c>
      <c r="B592" s="629">
        <f>SUM(D592+N592)</f>
        <v>83</v>
      </c>
      <c r="C592" s="629"/>
      <c r="D592" s="629">
        <f>SUM(E592+G592+K592+L592+M592)</f>
        <v>82</v>
      </c>
      <c r="E592" s="629">
        <v>16</v>
      </c>
      <c r="F592" s="629"/>
      <c r="G592" s="629">
        <f>SUM(H592:J592)</f>
        <v>52</v>
      </c>
      <c r="H592" s="629">
        <v>6</v>
      </c>
      <c r="I592" s="629">
        <v>7</v>
      </c>
      <c r="J592" s="629">
        <v>39</v>
      </c>
      <c r="K592" s="629">
        <v>11</v>
      </c>
      <c r="L592" s="629">
        <v>0</v>
      </c>
      <c r="M592" s="629">
        <v>3</v>
      </c>
      <c r="N592" s="629">
        <v>1</v>
      </c>
      <c r="Q592" s="283"/>
      <c r="R592" s="282"/>
      <c r="U592" s="265"/>
      <c r="V592" s="282"/>
    </row>
    <row r="593" spans="1:22" s="263" customFormat="1" ht="9" customHeight="1" x14ac:dyDescent="0.25">
      <c r="A593" s="550" t="s">
        <v>24</v>
      </c>
      <c r="B593" s="629">
        <f>SUM(D593+N593)</f>
        <v>221</v>
      </c>
      <c r="C593" s="629"/>
      <c r="D593" s="629">
        <f t="shared" ref="D593:D623" si="67">SUM(E593+G593+K593+L593+M593)</f>
        <v>206</v>
      </c>
      <c r="E593" s="629">
        <v>96</v>
      </c>
      <c r="F593" s="629"/>
      <c r="G593" s="629">
        <f>SUM(H593:J593)</f>
        <v>104</v>
      </c>
      <c r="H593" s="629">
        <v>9</v>
      </c>
      <c r="I593" s="629">
        <v>20</v>
      </c>
      <c r="J593" s="629">
        <v>75</v>
      </c>
      <c r="K593" s="629">
        <v>0</v>
      </c>
      <c r="L593" s="629">
        <v>0</v>
      </c>
      <c r="M593" s="629">
        <v>6</v>
      </c>
      <c r="N593" s="629">
        <v>15</v>
      </c>
      <c r="Q593" s="283"/>
      <c r="R593" s="282"/>
      <c r="V593" s="282"/>
    </row>
    <row r="594" spans="1:22" s="263" customFormat="1" ht="9" customHeight="1" x14ac:dyDescent="0.25">
      <c r="A594" s="550" t="s">
        <v>25</v>
      </c>
      <c r="B594" s="629">
        <f>SUM(D594+N594)</f>
        <v>75</v>
      </c>
      <c r="C594" s="629"/>
      <c r="D594" s="629">
        <f t="shared" si="67"/>
        <v>74</v>
      </c>
      <c r="E594" s="629">
        <v>32</v>
      </c>
      <c r="F594" s="629"/>
      <c r="G594" s="629">
        <f t="shared" ref="G594:G614" si="68">SUM(H594:J594)</f>
        <v>40</v>
      </c>
      <c r="H594" s="629">
        <v>4</v>
      </c>
      <c r="I594" s="629">
        <v>4</v>
      </c>
      <c r="J594" s="629">
        <v>32</v>
      </c>
      <c r="K594" s="629">
        <v>0</v>
      </c>
      <c r="L594" s="629">
        <v>0</v>
      </c>
      <c r="M594" s="629">
        <v>2</v>
      </c>
      <c r="N594" s="629">
        <v>1</v>
      </c>
      <c r="Q594" s="283"/>
      <c r="R594" s="282"/>
      <c r="V594" s="282"/>
    </row>
    <row r="595" spans="1:22" s="263" customFormat="1" ht="9" customHeight="1" x14ac:dyDescent="0.25">
      <c r="A595" s="603" t="s">
        <v>26</v>
      </c>
      <c r="B595" s="630">
        <f>SUM(D595+N595)</f>
        <v>40</v>
      </c>
      <c r="C595" s="630"/>
      <c r="D595" s="630">
        <f t="shared" si="67"/>
        <v>40</v>
      </c>
      <c r="E595" s="630">
        <v>21</v>
      </c>
      <c r="F595" s="630"/>
      <c r="G595" s="630">
        <f t="shared" si="68"/>
        <v>19</v>
      </c>
      <c r="H595" s="630">
        <v>3</v>
      </c>
      <c r="I595" s="630">
        <v>2</v>
      </c>
      <c r="J595" s="630">
        <v>14</v>
      </c>
      <c r="K595" s="630">
        <v>0</v>
      </c>
      <c r="L595" s="630">
        <v>0</v>
      </c>
      <c r="M595" s="630">
        <v>0</v>
      </c>
      <c r="N595" s="630">
        <v>0</v>
      </c>
      <c r="Q595" s="283"/>
      <c r="R595" s="282"/>
      <c r="V595" s="282"/>
    </row>
    <row r="596" spans="1:22" s="263" customFormat="1" ht="9" customHeight="1" x14ac:dyDescent="0.25">
      <c r="A596" s="550" t="s">
        <v>27</v>
      </c>
      <c r="B596" s="629">
        <f t="shared" ref="B596:B623" si="69">SUM(D596+N596)</f>
        <v>178</v>
      </c>
      <c r="C596" s="629"/>
      <c r="D596" s="629">
        <f t="shared" si="67"/>
        <v>164</v>
      </c>
      <c r="E596" s="629">
        <v>55</v>
      </c>
      <c r="F596" s="629"/>
      <c r="G596" s="629">
        <f t="shared" si="68"/>
        <v>106</v>
      </c>
      <c r="H596" s="629">
        <v>20</v>
      </c>
      <c r="I596" s="629">
        <v>12</v>
      </c>
      <c r="J596" s="629">
        <v>74</v>
      </c>
      <c r="K596" s="629">
        <v>2</v>
      </c>
      <c r="L596" s="629">
        <v>0</v>
      </c>
      <c r="M596" s="629">
        <v>1</v>
      </c>
      <c r="N596" s="629">
        <v>14</v>
      </c>
      <c r="Q596" s="283"/>
      <c r="R596" s="282"/>
      <c r="V596" s="282"/>
    </row>
    <row r="597" spans="1:22" s="263" customFormat="1" ht="9" customHeight="1" x14ac:dyDescent="0.25">
      <c r="A597" s="550" t="s">
        <v>28</v>
      </c>
      <c r="B597" s="629">
        <f t="shared" si="69"/>
        <v>55</v>
      </c>
      <c r="C597" s="629"/>
      <c r="D597" s="629">
        <f t="shared" si="67"/>
        <v>53</v>
      </c>
      <c r="E597" s="629">
        <v>20</v>
      </c>
      <c r="F597" s="629"/>
      <c r="G597" s="629">
        <f t="shared" si="68"/>
        <v>29</v>
      </c>
      <c r="H597" s="629">
        <v>4</v>
      </c>
      <c r="I597" s="629">
        <v>3</v>
      </c>
      <c r="J597" s="629">
        <v>22</v>
      </c>
      <c r="K597" s="629">
        <v>4</v>
      </c>
      <c r="L597" s="629">
        <v>0</v>
      </c>
      <c r="M597" s="629">
        <v>0</v>
      </c>
      <c r="N597" s="629">
        <v>2</v>
      </c>
      <c r="Q597" s="283"/>
      <c r="R597" s="282"/>
      <c r="V597" s="282"/>
    </row>
    <row r="598" spans="1:22" s="263" customFormat="1" ht="9" customHeight="1" x14ac:dyDescent="0.25">
      <c r="A598" s="550" t="s">
        <v>29</v>
      </c>
      <c r="B598" s="629">
        <f t="shared" si="69"/>
        <v>235</v>
      </c>
      <c r="C598" s="629"/>
      <c r="D598" s="629">
        <f t="shared" si="67"/>
        <v>227</v>
      </c>
      <c r="E598" s="629">
        <v>118</v>
      </c>
      <c r="F598" s="629"/>
      <c r="G598" s="629">
        <f t="shared" si="68"/>
        <v>103</v>
      </c>
      <c r="H598" s="629">
        <v>19</v>
      </c>
      <c r="I598" s="629">
        <v>18</v>
      </c>
      <c r="J598" s="629">
        <v>66</v>
      </c>
      <c r="K598" s="629">
        <v>3</v>
      </c>
      <c r="L598" s="629">
        <v>0</v>
      </c>
      <c r="M598" s="629">
        <v>3</v>
      </c>
      <c r="N598" s="629">
        <v>8</v>
      </c>
      <c r="Q598" s="283"/>
      <c r="R598" s="282"/>
      <c r="V598" s="282"/>
    </row>
    <row r="599" spans="1:22" s="263" customFormat="1" ht="9" customHeight="1" x14ac:dyDescent="0.25">
      <c r="A599" s="603" t="s">
        <v>30</v>
      </c>
      <c r="B599" s="630">
        <f t="shared" si="69"/>
        <v>1063</v>
      </c>
      <c r="C599" s="630"/>
      <c r="D599" s="630">
        <f t="shared" si="67"/>
        <v>1049</v>
      </c>
      <c r="E599" s="630">
        <v>150</v>
      </c>
      <c r="F599" s="630"/>
      <c r="G599" s="630">
        <f t="shared" si="68"/>
        <v>863</v>
      </c>
      <c r="H599" s="630">
        <v>57</v>
      </c>
      <c r="I599" s="630">
        <v>46</v>
      </c>
      <c r="J599" s="630">
        <v>760</v>
      </c>
      <c r="K599" s="630">
        <v>5</v>
      </c>
      <c r="L599" s="630">
        <v>29</v>
      </c>
      <c r="M599" s="630">
        <v>2</v>
      </c>
      <c r="N599" s="630">
        <v>14</v>
      </c>
      <c r="Q599" s="283"/>
      <c r="R599" s="282"/>
      <c r="V599" s="282"/>
    </row>
    <row r="600" spans="1:22" s="263" customFormat="1" ht="9" customHeight="1" x14ac:dyDescent="0.25">
      <c r="A600" s="550" t="s">
        <v>63</v>
      </c>
      <c r="B600" s="629">
        <f t="shared" si="69"/>
        <v>3594</v>
      </c>
      <c r="C600" s="629"/>
      <c r="D600" s="629">
        <f t="shared" si="67"/>
        <v>3436</v>
      </c>
      <c r="E600" s="629">
        <v>587</v>
      </c>
      <c r="F600" s="629"/>
      <c r="G600" s="629">
        <f t="shared" si="68"/>
        <v>1874</v>
      </c>
      <c r="H600" s="629">
        <v>156</v>
      </c>
      <c r="I600" s="629">
        <v>214</v>
      </c>
      <c r="J600" s="629">
        <v>1504</v>
      </c>
      <c r="K600" s="629">
        <v>202</v>
      </c>
      <c r="L600" s="629">
        <v>677</v>
      </c>
      <c r="M600" s="629">
        <v>96</v>
      </c>
      <c r="N600" s="629">
        <v>158</v>
      </c>
      <c r="Q600" s="283"/>
      <c r="R600" s="282"/>
      <c r="V600" s="282"/>
    </row>
    <row r="601" spans="1:22" s="263" customFormat="1" ht="9" customHeight="1" x14ac:dyDescent="0.25">
      <c r="A601" s="550" t="s">
        <v>31</v>
      </c>
      <c r="B601" s="629">
        <f t="shared" si="69"/>
        <v>77</v>
      </c>
      <c r="C601" s="629"/>
      <c r="D601" s="629">
        <f t="shared" si="67"/>
        <v>77</v>
      </c>
      <c r="E601" s="629">
        <v>46</v>
      </c>
      <c r="F601" s="629"/>
      <c r="G601" s="629">
        <f t="shared" si="68"/>
        <v>21</v>
      </c>
      <c r="H601" s="629">
        <v>3</v>
      </c>
      <c r="I601" s="629">
        <v>4</v>
      </c>
      <c r="J601" s="629">
        <v>14</v>
      </c>
      <c r="K601" s="629">
        <v>0</v>
      </c>
      <c r="L601" s="629">
        <v>9</v>
      </c>
      <c r="M601" s="629">
        <v>1</v>
      </c>
      <c r="N601" s="629">
        <v>0</v>
      </c>
      <c r="Q601" s="283"/>
      <c r="R601" s="282"/>
      <c r="V601" s="282"/>
    </row>
    <row r="602" spans="1:22" s="263" customFormat="1" ht="9" customHeight="1" x14ac:dyDescent="0.25">
      <c r="A602" s="550" t="s">
        <v>32</v>
      </c>
      <c r="B602" s="629">
        <f t="shared" si="69"/>
        <v>526</v>
      </c>
      <c r="C602" s="629"/>
      <c r="D602" s="629">
        <f t="shared" si="67"/>
        <v>519</v>
      </c>
      <c r="E602" s="629">
        <v>232</v>
      </c>
      <c r="F602" s="629"/>
      <c r="G602" s="629">
        <f t="shared" si="68"/>
        <v>265</v>
      </c>
      <c r="H602" s="629">
        <v>50</v>
      </c>
      <c r="I602" s="629">
        <v>32</v>
      </c>
      <c r="J602" s="629">
        <v>183</v>
      </c>
      <c r="K602" s="629">
        <v>8</v>
      </c>
      <c r="L602" s="629">
        <v>7</v>
      </c>
      <c r="M602" s="629">
        <v>7</v>
      </c>
      <c r="N602" s="629">
        <v>7</v>
      </c>
      <c r="Q602" s="283"/>
      <c r="R602" s="282"/>
      <c r="V602" s="282"/>
    </row>
    <row r="603" spans="1:22" s="263" customFormat="1" ht="9" customHeight="1" x14ac:dyDescent="0.25">
      <c r="A603" s="603" t="s">
        <v>33</v>
      </c>
      <c r="B603" s="630">
        <f t="shared" si="69"/>
        <v>213</v>
      </c>
      <c r="C603" s="630"/>
      <c r="D603" s="630">
        <f t="shared" si="67"/>
        <v>210</v>
      </c>
      <c r="E603" s="630">
        <v>123</v>
      </c>
      <c r="F603" s="630"/>
      <c r="G603" s="630">
        <f t="shared" si="68"/>
        <v>85</v>
      </c>
      <c r="H603" s="630">
        <v>19</v>
      </c>
      <c r="I603" s="630">
        <v>12</v>
      </c>
      <c r="J603" s="630">
        <v>54</v>
      </c>
      <c r="K603" s="630">
        <v>1</v>
      </c>
      <c r="L603" s="630">
        <v>0</v>
      </c>
      <c r="M603" s="630">
        <v>1</v>
      </c>
      <c r="N603" s="630">
        <v>3</v>
      </c>
      <c r="Q603" s="283"/>
      <c r="R603" s="282"/>
      <c r="V603" s="282"/>
    </row>
    <row r="604" spans="1:22" s="263" customFormat="1" ht="9" customHeight="1" x14ac:dyDescent="0.25">
      <c r="A604" s="550" t="s">
        <v>34</v>
      </c>
      <c r="B604" s="629">
        <f t="shared" si="69"/>
        <v>311</v>
      </c>
      <c r="C604" s="629"/>
      <c r="D604" s="629">
        <f t="shared" si="67"/>
        <v>304</v>
      </c>
      <c r="E604" s="629">
        <v>121</v>
      </c>
      <c r="F604" s="629"/>
      <c r="G604" s="629">
        <f t="shared" si="68"/>
        <v>174</v>
      </c>
      <c r="H604" s="629">
        <v>42</v>
      </c>
      <c r="I604" s="629">
        <v>27</v>
      </c>
      <c r="J604" s="629">
        <v>105</v>
      </c>
      <c r="K604" s="629">
        <v>0</v>
      </c>
      <c r="L604" s="629">
        <v>0</v>
      </c>
      <c r="M604" s="629">
        <v>9</v>
      </c>
      <c r="N604" s="629">
        <v>7</v>
      </c>
      <c r="Q604" s="283"/>
      <c r="R604" s="282"/>
      <c r="V604" s="282"/>
    </row>
    <row r="605" spans="1:22" s="263" customFormat="1" ht="9" customHeight="1" x14ac:dyDescent="0.25">
      <c r="A605" s="550" t="s">
        <v>35</v>
      </c>
      <c r="B605" s="629">
        <f t="shared" si="69"/>
        <v>904</v>
      </c>
      <c r="C605" s="629"/>
      <c r="D605" s="629">
        <f t="shared" si="67"/>
        <v>868</v>
      </c>
      <c r="E605" s="629">
        <v>260</v>
      </c>
      <c r="F605" s="629"/>
      <c r="G605" s="629">
        <f t="shared" si="68"/>
        <v>520</v>
      </c>
      <c r="H605" s="629">
        <v>83</v>
      </c>
      <c r="I605" s="629">
        <v>63</v>
      </c>
      <c r="J605" s="629">
        <v>374</v>
      </c>
      <c r="K605" s="629">
        <v>7</v>
      </c>
      <c r="L605" s="629">
        <v>76</v>
      </c>
      <c r="M605" s="629">
        <v>5</v>
      </c>
      <c r="N605" s="629">
        <v>36</v>
      </c>
      <c r="Q605" s="283"/>
      <c r="R605" s="282"/>
      <c r="V605" s="282"/>
    </row>
    <row r="606" spans="1:22" s="263" customFormat="1" ht="9" customHeight="1" x14ac:dyDescent="0.25">
      <c r="A606" s="550" t="s">
        <v>36</v>
      </c>
      <c r="B606" s="629">
        <f t="shared" si="69"/>
        <v>2274</v>
      </c>
      <c r="C606" s="629"/>
      <c r="D606" s="629">
        <f t="shared" si="67"/>
        <v>2248</v>
      </c>
      <c r="E606" s="629">
        <v>743</v>
      </c>
      <c r="F606" s="629"/>
      <c r="G606" s="629">
        <f t="shared" si="68"/>
        <v>1330</v>
      </c>
      <c r="H606" s="629">
        <v>200</v>
      </c>
      <c r="I606" s="629">
        <v>182</v>
      </c>
      <c r="J606" s="629">
        <v>948</v>
      </c>
      <c r="K606" s="629">
        <v>64</v>
      </c>
      <c r="L606" s="629">
        <v>68</v>
      </c>
      <c r="M606" s="629">
        <v>43</v>
      </c>
      <c r="N606" s="629">
        <v>26</v>
      </c>
      <c r="Q606" s="283"/>
      <c r="R606" s="282"/>
      <c r="V606" s="282"/>
    </row>
    <row r="607" spans="1:22" s="263" customFormat="1" ht="9" customHeight="1" x14ac:dyDescent="0.25">
      <c r="A607" s="603" t="s">
        <v>37</v>
      </c>
      <c r="B607" s="630">
        <f t="shared" si="69"/>
        <v>620</v>
      </c>
      <c r="C607" s="630"/>
      <c r="D607" s="630">
        <f t="shared" si="67"/>
        <v>614</v>
      </c>
      <c r="E607" s="630">
        <v>229</v>
      </c>
      <c r="F607" s="630"/>
      <c r="G607" s="630">
        <f t="shared" si="68"/>
        <v>311</v>
      </c>
      <c r="H607" s="630">
        <v>55</v>
      </c>
      <c r="I607" s="630">
        <v>43</v>
      </c>
      <c r="J607" s="630">
        <v>213</v>
      </c>
      <c r="K607" s="630">
        <v>11</v>
      </c>
      <c r="L607" s="630">
        <v>55</v>
      </c>
      <c r="M607" s="630">
        <v>8</v>
      </c>
      <c r="N607" s="630">
        <v>6</v>
      </c>
      <c r="Q607" s="283"/>
      <c r="R607" s="282"/>
      <c r="V607" s="282"/>
    </row>
    <row r="608" spans="1:22" s="263" customFormat="1" ht="9" customHeight="1" x14ac:dyDescent="0.25">
      <c r="A608" s="550" t="s">
        <v>38</v>
      </c>
      <c r="B608" s="629">
        <f t="shared" si="69"/>
        <v>176</v>
      </c>
      <c r="C608" s="629"/>
      <c r="D608" s="629">
        <f t="shared" si="67"/>
        <v>172</v>
      </c>
      <c r="E608" s="629">
        <v>95</v>
      </c>
      <c r="F608" s="629"/>
      <c r="G608" s="629">
        <f t="shared" si="68"/>
        <v>75</v>
      </c>
      <c r="H608" s="629">
        <v>11</v>
      </c>
      <c r="I608" s="629">
        <v>7</v>
      </c>
      <c r="J608" s="629">
        <v>57</v>
      </c>
      <c r="K608" s="629">
        <v>1</v>
      </c>
      <c r="L608" s="629">
        <v>0</v>
      </c>
      <c r="M608" s="629">
        <v>1</v>
      </c>
      <c r="N608" s="629">
        <v>4</v>
      </c>
      <c r="Q608" s="283"/>
      <c r="R608" s="282"/>
      <c r="V608" s="282"/>
    </row>
    <row r="609" spans="1:22" s="263" customFormat="1" ht="9" customHeight="1" x14ac:dyDescent="0.25">
      <c r="A609" s="550" t="s">
        <v>39</v>
      </c>
      <c r="B609" s="629">
        <f t="shared" si="69"/>
        <v>65</v>
      </c>
      <c r="C609" s="629"/>
      <c r="D609" s="629">
        <f t="shared" si="67"/>
        <v>65</v>
      </c>
      <c r="E609" s="629">
        <v>24</v>
      </c>
      <c r="F609" s="629"/>
      <c r="G609" s="629">
        <f t="shared" si="68"/>
        <v>41</v>
      </c>
      <c r="H609" s="629">
        <v>8</v>
      </c>
      <c r="I609" s="629">
        <v>6</v>
      </c>
      <c r="J609" s="629">
        <v>27</v>
      </c>
      <c r="K609" s="629">
        <v>0</v>
      </c>
      <c r="L609" s="629">
        <v>0</v>
      </c>
      <c r="M609" s="629">
        <v>0</v>
      </c>
      <c r="N609" s="629">
        <v>0</v>
      </c>
      <c r="Q609" s="283"/>
      <c r="R609" s="282"/>
      <c r="V609" s="282"/>
    </row>
    <row r="610" spans="1:22" s="263" customFormat="1" ht="9" customHeight="1" x14ac:dyDescent="0.25">
      <c r="A610" s="550" t="s">
        <v>40</v>
      </c>
      <c r="B610" s="629">
        <f t="shared" si="69"/>
        <v>503</v>
      </c>
      <c r="C610" s="629"/>
      <c r="D610" s="629">
        <f t="shared" si="67"/>
        <v>473</v>
      </c>
      <c r="E610" s="629">
        <v>123</v>
      </c>
      <c r="F610" s="629"/>
      <c r="G610" s="629">
        <f t="shared" si="68"/>
        <v>288</v>
      </c>
      <c r="H610" s="629">
        <v>29</v>
      </c>
      <c r="I610" s="629">
        <v>51</v>
      </c>
      <c r="J610" s="629">
        <v>208</v>
      </c>
      <c r="K610" s="629">
        <v>4</v>
      </c>
      <c r="L610" s="629">
        <v>36</v>
      </c>
      <c r="M610" s="629">
        <v>22</v>
      </c>
      <c r="N610" s="629">
        <v>30</v>
      </c>
      <c r="Q610" s="283"/>
      <c r="R610" s="282"/>
      <c r="V610" s="282"/>
    </row>
    <row r="611" spans="1:22" s="263" customFormat="1" ht="9" customHeight="1" x14ac:dyDescent="0.25">
      <c r="A611" s="603" t="s">
        <v>41</v>
      </c>
      <c r="B611" s="630">
        <f t="shared" si="69"/>
        <v>242</v>
      </c>
      <c r="C611" s="630"/>
      <c r="D611" s="630">
        <f t="shared" si="67"/>
        <v>231</v>
      </c>
      <c r="E611" s="630">
        <v>103</v>
      </c>
      <c r="F611" s="630"/>
      <c r="G611" s="630">
        <f t="shared" si="68"/>
        <v>119</v>
      </c>
      <c r="H611" s="630">
        <v>23</v>
      </c>
      <c r="I611" s="630">
        <v>17</v>
      </c>
      <c r="J611" s="630">
        <v>79</v>
      </c>
      <c r="K611" s="630">
        <v>1</v>
      </c>
      <c r="L611" s="630">
        <v>0</v>
      </c>
      <c r="M611" s="630">
        <v>8</v>
      </c>
      <c r="N611" s="630">
        <v>11</v>
      </c>
      <c r="Q611" s="283"/>
      <c r="R611" s="282"/>
      <c r="V611" s="282"/>
    </row>
    <row r="612" spans="1:22" s="263" customFormat="1" ht="9" customHeight="1" x14ac:dyDescent="0.25">
      <c r="A612" s="550" t="s">
        <v>42</v>
      </c>
      <c r="B612" s="629">
        <f t="shared" si="69"/>
        <v>283</v>
      </c>
      <c r="C612" s="629"/>
      <c r="D612" s="629">
        <f t="shared" si="67"/>
        <v>276</v>
      </c>
      <c r="E612" s="629">
        <v>150</v>
      </c>
      <c r="F612" s="629"/>
      <c r="G612" s="629">
        <f t="shared" si="68"/>
        <v>90</v>
      </c>
      <c r="H612" s="629">
        <v>21</v>
      </c>
      <c r="I612" s="629">
        <v>10</v>
      </c>
      <c r="J612" s="629">
        <v>59</v>
      </c>
      <c r="K612" s="629">
        <v>22</v>
      </c>
      <c r="L612" s="629">
        <v>9</v>
      </c>
      <c r="M612" s="629">
        <v>5</v>
      </c>
      <c r="N612" s="629">
        <v>7</v>
      </c>
      <c r="Q612" s="283"/>
      <c r="R612" s="282"/>
      <c r="V612" s="282"/>
    </row>
    <row r="613" spans="1:22" s="263" customFormat="1" ht="9" customHeight="1" x14ac:dyDescent="0.25">
      <c r="A613" s="550" t="s">
        <v>43</v>
      </c>
      <c r="B613" s="629">
        <f t="shared" si="69"/>
        <v>213</v>
      </c>
      <c r="C613" s="629"/>
      <c r="D613" s="629">
        <f t="shared" si="67"/>
        <v>209</v>
      </c>
      <c r="E613" s="629">
        <v>84</v>
      </c>
      <c r="F613" s="629"/>
      <c r="G613" s="629">
        <f t="shared" si="68"/>
        <v>111</v>
      </c>
      <c r="H613" s="629">
        <v>10</v>
      </c>
      <c r="I613" s="629">
        <v>13</v>
      </c>
      <c r="J613" s="629">
        <v>88</v>
      </c>
      <c r="K613" s="629">
        <v>1</v>
      </c>
      <c r="L613" s="629">
        <v>12</v>
      </c>
      <c r="M613" s="629">
        <v>1</v>
      </c>
      <c r="N613" s="629">
        <v>4</v>
      </c>
      <c r="Q613" s="283"/>
      <c r="R613" s="282"/>
      <c r="V613" s="282"/>
    </row>
    <row r="614" spans="1:22" s="263" customFormat="1" ht="9" customHeight="1" x14ac:dyDescent="0.25">
      <c r="A614" s="550" t="s">
        <v>44</v>
      </c>
      <c r="B614" s="629">
        <f t="shared" si="69"/>
        <v>134</v>
      </c>
      <c r="C614" s="629"/>
      <c r="D614" s="629">
        <f t="shared" si="67"/>
        <v>129</v>
      </c>
      <c r="E614" s="629">
        <v>67</v>
      </c>
      <c r="F614" s="629"/>
      <c r="G614" s="629">
        <f t="shared" si="68"/>
        <v>56</v>
      </c>
      <c r="H614" s="629">
        <v>9</v>
      </c>
      <c r="I614" s="629">
        <v>5</v>
      </c>
      <c r="J614" s="629">
        <v>42</v>
      </c>
      <c r="K614" s="629">
        <v>0</v>
      </c>
      <c r="L614" s="629">
        <v>0</v>
      </c>
      <c r="M614" s="629">
        <v>6</v>
      </c>
      <c r="N614" s="629">
        <v>5</v>
      </c>
      <c r="Q614" s="283"/>
      <c r="R614" s="282"/>
      <c r="V614" s="282"/>
    </row>
    <row r="615" spans="1:22" s="263" customFormat="1" ht="9" customHeight="1" x14ac:dyDescent="0.25">
      <c r="A615" s="603" t="s">
        <v>45</v>
      </c>
      <c r="B615" s="630">
        <f t="shared" si="69"/>
        <v>224</v>
      </c>
      <c r="C615" s="630"/>
      <c r="D615" s="630">
        <f t="shared" si="67"/>
        <v>201</v>
      </c>
      <c r="E615" s="630">
        <v>67</v>
      </c>
      <c r="F615" s="630"/>
      <c r="G615" s="630">
        <f>SUM(H615:J615)</f>
        <v>131</v>
      </c>
      <c r="H615" s="630">
        <v>30</v>
      </c>
      <c r="I615" s="630">
        <v>31</v>
      </c>
      <c r="J615" s="630">
        <v>70</v>
      </c>
      <c r="K615" s="630">
        <v>0</v>
      </c>
      <c r="L615" s="630">
        <v>0</v>
      </c>
      <c r="M615" s="630">
        <v>3</v>
      </c>
      <c r="N615" s="630">
        <v>23</v>
      </c>
      <c r="Q615" s="283"/>
      <c r="R615" s="282"/>
      <c r="V615" s="282"/>
    </row>
    <row r="616" spans="1:22" s="263" customFormat="1" ht="9" customHeight="1" x14ac:dyDescent="0.25">
      <c r="A616" s="550" t="s">
        <v>46</v>
      </c>
      <c r="B616" s="629">
        <f t="shared" si="69"/>
        <v>311</v>
      </c>
      <c r="C616" s="629"/>
      <c r="D616" s="629">
        <f t="shared" si="67"/>
        <v>302</v>
      </c>
      <c r="E616" s="629">
        <v>103</v>
      </c>
      <c r="F616" s="629"/>
      <c r="G616" s="629">
        <f t="shared" ref="G616:G623" si="70">SUM(H616:J616)</f>
        <v>184</v>
      </c>
      <c r="H616" s="629">
        <v>42</v>
      </c>
      <c r="I616" s="629">
        <v>21</v>
      </c>
      <c r="J616" s="629">
        <v>121</v>
      </c>
      <c r="K616" s="629">
        <v>0</v>
      </c>
      <c r="L616" s="629">
        <v>0</v>
      </c>
      <c r="M616" s="629">
        <v>15</v>
      </c>
      <c r="N616" s="629">
        <v>9</v>
      </c>
      <c r="Q616" s="283"/>
      <c r="R616" s="282"/>
      <c r="V616" s="282"/>
    </row>
    <row r="617" spans="1:22" s="263" customFormat="1" ht="9" customHeight="1" x14ac:dyDescent="0.25">
      <c r="A617" s="550" t="s">
        <v>47</v>
      </c>
      <c r="B617" s="629">
        <f t="shared" si="69"/>
        <v>223</v>
      </c>
      <c r="C617" s="629"/>
      <c r="D617" s="629">
        <f t="shared" si="67"/>
        <v>213</v>
      </c>
      <c r="E617" s="629">
        <v>105</v>
      </c>
      <c r="F617" s="629"/>
      <c r="G617" s="629">
        <f t="shared" si="70"/>
        <v>108</v>
      </c>
      <c r="H617" s="629">
        <v>25</v>
      </c>
      <c r="I617" s="629">
        <v>18</v>
      </c>
      <c r="J617" s="629">
        <v>65</v>
      </c>
      <c r="K617" s="629">
        <v>0</v>
      </c>
      <c r="L617" s="629">
        <v>0</v>
      </c>
      <c r="M617" s="629">
        <v>0</v>
      </c>
      <c r="N617" s="629">
        <v>10</v>
      </c>
      <c r="Q617" s="283"/>
      <c r="R617" s="282"/>
      <c r="V617" s="282"/>
    </row>
    <row r="618" spans="1:22" s="263" customFormat="1" ht="9" customHeight="1" x14ac:dyDescent="0.25">
      <c r="A618" s="550" t="s">
        <v>48</v>
      </c>
      <c r="B618" s="629">
        <f t="shared" si="69"/>
        <v>153</v>
      </c>
      <c r="C618" s="629"/>
      <c r="D618" s="629">
        <f t="shared" si="67"/>
        <v>146</v>
      </c>
      <c r="E618" s="629">
        <v>86</v>
      </c>
      <c r="F618" s="629"/>
      <c r="G618" s="629">
        <f t="shared" si="70"/>
        <v>60</v>
      </c>
      <c r="H618" s="629">
        <v>9</v>
      </c>
      <c r="I618" s="629">
        <v>12</v>
      </c>
      <c r="J618" s="629">
        <v>39</v>
      </c>
      <c r="K618" s="629">
        <v>0</v>
      </c>
      <c r="L618" s="629">
        <v>0</v>
      </c>
      <c r="M618" s="629">
        <v>0</v>
      </c>
      <c r="N618" s="629">
        <v>7</v>
      </c>
      <c r="Q618" s="283"/>
      <c r="R618" s="282"/>
      <c r="V618" s="282"/>
    </row>
    <row r="619" spans="1:22" s="263" customFormat="1" ht="9" customHeight="1" x14ac:dyDescent="0.25">
      <c r="A619" s="603" t="s">
        <v>49</v>
      </c>
      <c r="B619" s="630">
        <f t="shared" si="69"/>
        <v>237</v>
      </c>
      <c r="C619" s="630"/>
      <c r="D619" s="630">
        <f t="shared" si="67"/>
        <v>223</v>
      </c>
      <c r="E619" s="630">
        <v>166</v>
      </c>
      <c r="F619" s="630"/>
      <c r="G619" s="630">
        <f t="shared" si="70"/>
        <v>47</v>
      </c>
      <c r="H619" s="630">
        <v>4</v>
      </c>
      <c r="I619" s="630">
        <v>4</v>
      </c>
      <c r="J619" s="630">
        <v>39</v>
      </c>
      <c r="K619" s="630">
        <v>9</v>
      </c>
      <c r="L619" s="630">
        <v>0</v>
      </c>
      <c r="M619" s="630">
        <v>1</v>
      </c>
      <c r="N619" s="630">
        <v>14</v>
      </c>
      <c r="Q619" s="283"/>
      <c r="R619" s="282"/>
      <c r="V619" s="282"/>
    </row>
    <row r="620" spans="1:22" s="263" customFormat="1" ht="9" customHeight="1" x14ac:dyDescent="0.25">
      <c r="A620" s="550" t="s">
        <v>50</v>
      </c>
      <c r="B620" s="629">
        <f t="shared" si="69"/>
        <v>174</v>
      </c>
      <c r="C620" s="629"/>
      <c r="D620" s="629">
        <f t="shared" si="67"/>
        <v>174</v>
      </c>
      <c r="E620" s="629">
        <v>68</v>
      </c>
      <c r="F620" s="629"/>
      <c r="G620" s="629">
        <f t="shared" si="70"/>
        <v>105</v>
      </c>
      <c r="H620" s="629">
        <v>17</v>
      </c>
      <c r="I620" s="629">
        <v>18</v>
      </c>
      <c r="J620" s="629">
        <v>70</v>
      </c>
      <c r="K620" s="629">
        <v>1</v>
      </c>
      <c r="L620" s="629">
        <v>0</v>
      </c>
      <c r="M620" s="629">
        <v>0</v>
      </c>
      <c r="N620" s="629">
        <v>0</v>
      </c>
      <c r="Q620" s="283"/>
      <c r="R620" s="282"/>
      <c r="V620" s="282"/>
    </row>
    <row r="621" spans="1:22" s="263" customFormat="1" ht="9" customHeight="1" x14ac:dyDescent="0.25">
      <c r="A621" s="550" t="s">
        <v>51</v>
      </c>
      <c r="B621" s="629">
        <f t="shared" si="69"/>
        <v>587</v>
      </c>
      <c r="C621" s="629"/>
      <c r="D621" s="629">
        <f t="shared" si="67"/>
        <v>562</v>
      </c>
      <c r="E621" s="629">
        <v>247</v>
      </c>
      <c r="F621" s="629"/>
      <c r="G621" s="629">
        <f t="shared" si="70"/>
        <v>308</v>
      </c>
      <c r="H621" s="629">
        <v>72</v>
      </c>
      <c r="I621" s="629">
        <v>42</v>
      </c>
      <c r="J621" s="629">
        <v>194</v>
      </c>
      <c r="K621" s="629">
        <v>0</v>
      </c>
      <c r="L621" s="629">
        <v>0</v>
      </c>
      <c r="M621" s="629">
        <v>7</v>
      </c>
      <c r="N621" s="629">
        <v>25</v>
      </c>
      <c r="Q621" s="283"/>
      <c r="R621" s="282"/>
      <c r="V621" s="282"/>
    </row>
    <row r="622" spans="1:22" s="263" customFormat="1" ht="9" customHeight="1" x14ac:dyDescent="0.25">
      <c r="A622" s="550" t="s">
        <v>52</v>
      </c>
      <c r="B622" s="629">
        <f t="shared" si="69"/>
        <v>116</v>
      </c>
      <c r="C622" s="629"/>
      <c r="D622" s="629">
        <f t="shared" si="67"/>
        <v>109</v>
      </c>
      <c r="E622" s="629">
        <v>50</v>
      </c>
      <c r="F622" s="629"/>
      <c r="G622" s="629">
        <f t="shared" si="70"/>
        <v>57</v>
      </c>
      <c r="H622" s="629">
        <v>12</v>
      </c>
      <c r="I622" s="629">
        <v>7</v>
      </c>
      <c r="J622" s="629">
        <v>38</v>
      </c>
      <c r="K622" s="629">
        <v>0</v>
      </c>
      <c r="L622" s="629">
        <v>2</v>
      </c>
      <c r="M622" s="629">
        <v>0</v>
      </c>
      <c r="N622" s="629">
        <v>7</v>
      </c>
      <c r="Q622" s="283"/>
      <c r="R622" s="282"/>
      <c r="V622" s="282"/>
    </row>
    <row r="623" spans="1:22" s="263" customFormat="1" ht="9" customHeight="1" x14ac:dyDescent="0.25">
      <c r="A623" s="267" t="s">
        <v>53</v>
      </c>
      <c r="B623" s="268">
        <f t="shared" si="69"/>
        <v>103</v>
      </c>
      <c r="C623" s="268"/>
      <c r="D623" s="268">
        <f t="shared" si="67"/>
        <v>103</v>
      </c>
      <c r="E623" s="268">
        <v>41</v>
      </c>
      <c r="F623" s="268"/>
      <c r="G623" s="268">
        <f t="shared" si="70"/>
        <v>61</v>
      </c>
      <c r="H623" s="268">
        <v>10</v>
      </c>
      <c r="I623" s="268">
        <v>7</v>
      </c>
      <c r="J623" s="268">
        <v>44</v>
      </c>
      <c r="K623" s="268">
        <v>0</v>
      </c>
      <c r="L623" s="268">
        <v>0</v>
      </c>
      <c r="M623" s="268">
        <v>1</v>
      </c>
      <c r="N623" s="268">
        <v>0</v>
      </c>
      <c r="Q623" s="283"/>
      <c r="R623" s="282"/>
      <c r="V623" s="282"/>
    </row>
    <row r="624" spans="1:22" ht="9" customHeight="1" x14ac:dyDescent="0.25">
      <c r="B624" s="259"/>
      <c r="C624" s="259"/>
      <c r="D624" s="259"/>
      <c r="E624" s="259"/>
      <c r="F624" s="259"/>
      <c r="G624" s="259"/>
      <c r="H624" s="259"/>
      <c r="I624" s="259"/>
      <c r="J624" s="259"/>
      <c r="K624" s="259"/>
      <c r="L624" s="259"/>
      <c r="P624" s="606"/>
    </row>
    <row r="625" spans="1:22" ht="9" customHeight="1" x14ac:dyDescent="0.25">
      <c r="A625" s="601">
        <v>2018</v>
      </c>
      <c r="B625" s="262"/>
      <c r="C625" s="262"/>
      <c r="D625" s="262"/>
      <c r="E625" s="262"/>
      <c r="F625" s="262"/>
      <c r="G625" s="262"/>
      <c r="H625" s="262"/>
      <c r="I625" s="262"/>
      <c r="J625" s="262"/>
      <c r="K625" s="262"/>
      <c r="L625" s="262"/>
      <c r="M625" s="262"/>
      <c r="N625" s="262"/>
    </row>
    <row r="626" spans="1:22" s="265" customFormat="1" ht="9" customHeight="1" x14ac:dyDescent="0.25">
      <c r="A626" s="265" t="s">
        <v>21</v>
      </c>
      <c r="B626" s="262">
        <f>SUM(B628:B659)</f>
        <v>15274</v>
      </c>
      <c r="C626" s="262"/>
      <c r="D626" s="262">
        <f>SUM(D628:D659)</f>
        <v>14813</v>
      </c>
      <c r="E626" s="262">
        <f>SUM(E628:E659)</f>
        <v>4461</v>
      </c>
      <c r="F626" s="262"/>
      <c r="G626" s="262">
        <f>SUM(G628:G659)</f>
        <v>8292</v>
      </c>
      <c r="H626" s="262">
        <f t="shared" ref="H626:M626" si="71">SUM(H628:H659)</f>
        <v>1111</v>
      </c>
      <c r="I626" s="262">
        <f t="shared" si="71"/>
        <v>1033</v>
      </c>
      <c r="J626" s="262">
        <f t="shared" si="71"/>
        <v>6148</v>
      </c>
      <c r="K626" s="262">
        <f t="shared" si="71"/>
        <v>496</v>
      </c>
      <c r="L626" s="262">
        <f t="shared" si="71"/>
        <v>1290</v>
      </c>
      <c r="M626" s="262">
        <f t="shared" si="71"/>
        <v>274</v>
      </c>
      <c r="N626" s="262">
        <f>SUM(N628:N659)</f>
        <v>461</v>
      </c>
      <c r="P626" s="606"/>
      <c r="Q626" s="262"/>
      <c r="R626" s="282"/>
      <c r="V626" s="282"/>
    </row>
    <row r="627" spans="1:22" s="265" customFormat="1" ht="3" customHeight="1" x14ac:dyDescent="0.25">
      <c r="B627" s="262"/>
      <c r="C627" s="262"/>
      <c r="D627" s="262"/>
      <c r="E627" s="262"/>
      <c r="F627" s="262"/>
      <c r="G627" s="262"/>
      <c r="H627" s="262"/>
      <c r="I627" s="262"/>
      <c r="J627" s="262"/>
      <c r="K627" s="262"/>
      <c r="L627" s="262"/>
      <c r="M627" s="262"/>
      <c r="N627" s="262"/>
      <c r="R627" s="282"/>
      <c r="V627" s="282"/>
    </row>
    <row r="628" spans="1:22" s="263" customFormat="1" ht="9" customHeight="1" x14ac:dyDescent="0.25">
      <c r="A628" s="550" t="s">
        <v>23</v>
      </c>
      <c r="B628" s="629">
        <f>SUM(D628+N628)</f>
        <v>92</v>
      </c>
      <c r="C628" s="629"/>
      <c r="D628" s="629">
        <f>SUM(E628+G628+K628+L628+M628)</f>
        <v>90</v>
      </c>
      <c r="E628" s="629">
        <v>24</v>
      </c>
      <c r="F628" s="629"/>
      <c r="G628" s="629">
        <f>SUM(H628:J628)</f>
        <v>52</v>
      </c>
      <c r="H628" s="629">
        <v>6</v>
      </c>
      <c r="I628" s="629">
        <v>7</v>
      </c>
      <c r="J628" s="629">
        <v>39</v>
      </c>
      <c r="K628" s="629">
        <v>11</v>
      </c>
      <c r="L628" s="629">
        <v>0</v>
      </c>
      <c r="M628" s="629">
        <v>3</v>
      </c>
      <c r="N628" s="629">
        <v>2</v>
      </c>
      <c r="Q628" s="283"/>
      <c r="R628" s="282"/>
      <c r="U628" s="265"/>
      <c r="V628" s="282"/>
    </row>
    <row r="629" spans="1:22" s="263" customFormat="1" ht="9" customHeight="1" x14ac:dyDescent="0.25">
      <c r="A629" s="550" t="s">
        <v>24</v>
      </c>
      <c r="B629" s="629">
        <f>SUM(D629+N629)</f>
        <v>234</v>
      </c>
      <c r="C629" s="629"/>
      <c r="D629" s="629">
        <f t="shared" ref="D629:D658" si="72">SUM(E629+G629+K629+L629+M629)</f>
        <v>224</v>
      </c>
      <c r="E629" s="629">
        <v>124</v>
      </c>
      <c r="F629" s="629"/>
      <c r="G629" s="629">
        <f>SUM(H629:J629)</f>
        <v>98</v>
      </c>
      <c r="H629" s="629">
        <v>11</v>
      </c>
      <c r="I629" s="629">
        <v>22</v>
      </c>
      <c r="J629" s="629">
        <v>65</v>
      </c>
      <c r="K629" s="629">
        <v>0</v>
      </c>
      <c r="L629" s="629">
        <v>0</v>
      </c>
      <c r="M629" s="629">
        <v>2</v>
      </c>
      <c r="N629" s="629">
        <v>10</v>
      </c>
      <c r="Q629" s="283"/>
      <c r="R629" s="282"/>
      <c r="V629" s="282"/>
    </row>
    <row r="630" spans="1:22" s="263" customFormat="1" ht="9" customHeight="1" x14ac:dyDescent="0.25">
      <c r="A630" s="550" t="s">
        <v>25</v>
      </c>
      <c r="B630" s="629">
        <f>SUM(D630+N630)</f>
        <v>84</v>
      </c>
      <c r="C630" s="629"/>
      <c r="D630" s="629">
        <f t="shared" si="72"/>
        <v>83</v>
      </c>
      <c r="E630" s="629">
        <v>36</v>
      </c>
      <c r="F630" s="629"/>
      <c r="G630" s="629">
        <f t="shared" ref="G630:G650" si="73">SUM(H630:J630)</f>
        <v>45</v>
      </c>
      <c r="H630" s="629">
        <v>3</v>
      </c>
      <c r="I630" s="629">
        <v>3</v>
      </c>
      <c r="J630" s="629">
        <v>39</v>
      </c>
      <c r="K630" s="629">
        <v>0</v>
      </c>
      <c r="L630" s="629">
        <v>0</v>
      </c>
      <c r="M630" s="629">
        <v>2</v>
      </c>
      <c r="N630" s="629">
        <v>1</v>
      </c>
      <c r="Q630" s="283"/>
      <c r="R630" s="282"/>
      <c r="V630" s="282"/>
    </row>
    <row r="631" spans="1:22" s="263" customFormat="1" ht="9" customHeight="1" x14ac:dyDescent="0.25">
      <c r="A631" s="603" t="s">
        <v>26</v>
      </c>
      <c r="B631" s="630">
        <f>SUM(D631+N631)</f>
        <v>54</v>
      </c>
      <c r="C631" s="630"/>
      <c r="D631" s="630">
        <f t="shared" si="72"/>
        <v>54</v>
      </c>
      <c r="E631" s="630">
        <v>24</v>
      </c>
      <c r="F631" s="630"/>
      <c r="G631" s="630">
        <f t="shared" si="73"/>
        <v>29</v>
      </c>
      <c r="H631" s="630">
        <v>3</v>
      </c>
      <c r="I631" s="630">
        <v>3</v>
      </c>
      <c r="J631" s="630">
        <v>23</v>
      </c>
      <c r="K631" s="630">
        <v>1</v>
      </c>
      <c r="L631" s="630">
        <v>0</v>
      </c>
      <c r="M631" s="630">
        <v>0</v>
      </c>
      <c r="N631" s="630">
        <v>0</v>
      </c>
      <c r="Q631" s="283"/>
      <c r="R631" s="282"/>
      <c r="V631" s="282"/>
    </row>
    <row r="632" spans="1:22" s="263" customFormat="1" ht="9" customHeight="1" x14ac:dyDescent="0.25">
      <c r="A632" s="550" t="s">
        <v>27</v>
      </c>
      <c r="B632" s="629">
        <f t="shared" ref="B632:B659" si="74">SUM(D632+N632)</f>
        <v>174</v>
      </c>
      <c r="C632" s="629"/>
      <c r="D632" s="629">
        <f t="shared" si="72"/>
        <v>165</v>
      </c>
      <c r="E632" s="629">
        <v>53</v>
      </c>
      <c r="F632" s="629"/>
      <c r="G632" s="629">
        <f t="shared" si="73"/>
        <v>107</v>
      </c>
      <c r="H632" s="629">
        <v>20</v>
      </c>
      <c r="I632" s="629">
        <v>12</v>
      </c>
      <c r="J632" s="629">
        <v>75</v>
      </c>
      <c r="K632" s="629">
        <v>2</v>
      </c>
      <c r="L632" s="629">
        <v>0</v>
      </c>
      <c r="M632" s="629">
        <v>3</v>
      </c>
      <c r="N632" s="629">
        <v>9</v>
      </c>
      <c r="Q632" s="283"/>
      <c r="R632" s="282"/>
      <c r="V632" s="282"/>
    </row>
    <row r="633" spans="1:22" s="263" customFormat="1" ht="9" customHeight="1" x14ac:dyDescent="0.25">
      <c r="A633" s="550" t="s">
        <v>28</v>
      </c>
      <c r="B633" s="629">
        <f t="shared" si="74"/>
        <v>55</v>
      </c>
      <c r="C633" s="629"/>
      <c r="D633" s="629">
        <f t="shared" si="72"/>
        <v>53</v>
      </c>
      <c r="E633" s="629">
        <v>20</v>
      </c>
      <c r="F633" s="629"/>
      <c r="G633" s="629">
        <f t="shared" si="73"/>
        <v>29</v>
      </c>
      <c r="H633" s="629">
        <v>4</v>
      </c>
      <c r="I633" s="629">
        <v>3</v>
      </c>
      <c r="J633" s="629">
        <v>22</v>
      </c>
      <c r="K633" s="629">
        <v>4</v>
      </c>
      <c r="L633" s="629">
        <v>0</v>
      </c>
      <c r="M633" s="629">
        <v>0</v>
      </c>
      <c r="N633" s="629">
        <v>2</v>
      </c>
      <c r="Q633" s="283"/>
      <c r="R633" s="282"/>
      <c r="V633" s="282"/>
    </row>
    <row r="634" spans="1:22" s="263" customFormat="1" ht="9" customHeight="1" x14ac:dyDescent="0.25">
      <c r="A634" s="550" t="s">
        <v>29</v>
      </c>
      <c r="B634" s="629">
        <f t="shared" si="74"/>
        <v>249</v>
      </c>
      <c r="C634" s="629"/>
      <c r="D634" s="629">
        <f t="shared" si="72"/>
        <v>245</v>
      </c>
      <c r="E634" s="629">
        <v>119</v>
      </c>
      <c r="F634" s="629"/>
      <c r="G634" s="629">
        <f t="shared" si="73"/>
        <v>119</v>
      </c>
      <c r="H634" s="629">
        <v>21</v>
      </c>
      <c r="I634" s="629">
        <v>20</v>
      </c>
      <c r="J634" s="629">
        <v>78</v>
      </c>
      <c r="K634" s="629">
        <v>5</v>
      </c>
      <c r="L634" s="629">
        <v>0</v>
      </c>
      <c r="M634" s="629">
        <v>2</v>
      </c>
      <c r="N634" s="629">
        <v>4</v>
      </c>
      <c r="Q634" s="283"/>
      <c r="R634" s="282"/>
      <c r="V634" s="282"/>
    </row>
    <row r="635" spans="1:22" s="263" customFormat="1" ht="9" customHeight="1" x14ac:dyDescent="0.25">
      <c r="A635" s="603" t="s">
        <v>30</v>
      </c>
      <c r="B635" s="630">
        <f t="shared" si="74"/>
        <v>1048</v>
      </c>
      <c r="C635" s="630"/>
      <c r="D635" s="630">
        <f t="shared" si="72"/>
        <v>1031</v>
      </c>
      <c r="E635" s="630">
        <v>127</v>
      </c>
      <c r="F635" s="630"/>
      <c r="G635" s="630">
        <f t="shared" si="73"/>
        <v>871</v>
      </c>
      <c r="H635" s="630">
        <v>61</v>
      </c>
      <c r="I635" s="630">
        <v>46</v>
      </c>
      <c r="J635" s="630">
        <v>764</v>
      </c>
      <c r="K635" s="630">
        <v>5</v>
      </c>
      <c r="L635" s="630">
        <v>26</v>
      </c>
      <c r="M635" s="630">
        <v>2</v>
      </c>
      <c r="N635" s="630">
        <v>17</v>
      </c>
      <c r="Q635" s="283"/>
      <c r="R635" s="282"/>
      <c r="V635" s="282"/>
    </row>
    <row r="636" spans="1:22" s="263" customFormat="1" ht="9" customHeight="1" x14ac:dyDescent="0.25">
      <c r="A636" s="550" t="s">
        <v>63</v>
      </c>
      <c r="B636" s="629">
        <f t="shared" si="74"/>
        <v>3874</v>
      </c>
      <c r="C636" s="629"/>
      <c r="D636" s="629">
        <f t="shared" si="72"/>
        <v>3694</v>
      </c>
      <c r="E636" s="629">
        <v>559</v>
      </c>
      <c r="F636" s="629"/>
      <c r="G636" s="629">
        <f t="shared" si="73"/>
        <v>2108</v>
      </c>
      <c r="H636" s="629">
        <v>180</v>
      </c>
      <c r="I636" s="629">
        <v>267</v>
      </c>
      <c r="J636" s="629">
        <v>1661</v>
      </c>
      <c r="K636" s="629">
        <v>251</v>
      </c>
      <c r="L636" s="629">
        <v>677</v>
      </c>
      <c r="M636" s="629">
        <v>99</v>
      </c>
      <c r="N636" s="629">
        <v>180</v>
      </c>
      <c r="Q636" s="283"/>
      <c r="R636" s="282"/>
      <c r="V636" s="282"/>
    </row>
    <row r="637" spans="1:22" s="263" customFormat="1" ht="9" customHeight="1" x14ac:dyDescent="0.25">
      <c r="A637" s="550" t="s">
        <v>31</v>
      </c>
      <c r="B637" s="629">
        <f t="shared" si="74"/>
        <v>87</v>
      </c>
      <c r="C637" s="629"/>
      <c r="D637" s="629">
        <f t="shared" si="72"/>
        <v>87</v>
      </c>
      <c r="E637" s="629">
        <v>53</v>
      </c>
      <c r="F637" s="629"/>
      <c r="G637" s="629">
        <f t="shared" si="73"/>
        <v>24</v>
      </c>
      <c r="H637" s="629">
        <v>3</v>
      </c>
      <c r="I637" s="629">
        <v>4</v>
      </c>
      <c r="J637" s="629">
        <v>17</v>
      </c>
      <c r="K637" s="629">
        <v>0</v>
      </c>
      <c r="L637" s="629">
        <v>9</v>
      </c>
      <c r="M637" s="629">
        <v>1</v>
      </c>
      <c r="N637" s="629">
        <v>0</v>
      </c>
      <c r="Q637" s="283"/>
      <c r="R637" s="282"/>
      <c r="V637" s="282"/>
    </row>
    <row r="638" spans="1:22" s="263" customFormat="1" ht="9" customHeight="1" x14ac:dyDescent="0.25">
      <c r="A638" s="550" t="s">
        <v>32</v>
      </c>
      <c r="B638" s="629">
        <f t="shared" si="74"/>
        <v>548</v>
      </c>
      <c r="C638" s="629"/>
      <c r="D638" s="629">
        <f t="shared" si="72"/>
        <v>544</v>
      </c>
      <c r="E638" s="629">
        <v>251</v>
      </c>
      <c r="F638" s="629"/>
      <c r="G638" s="629">
        <f t="shared" si="73"/>
        <v>231</v>
      </c>
      <c r="H638" s="629">
        <v>43</v>
      </c>
      <c r="I638" s="629">
        <v>31</v>
      </c>
      <c r="J638" s="629">
        <v>157</v>
      </c>
      <c r="K638" s="629">
        <v>42</v>
      </c>
      <c r="L638" s="629">
        <v>10</v>
      </c>
      <c r="M638" s="629">
        <v>10</v>
      </c>
      <c r="N638" s="629">
        <v>4</v>
      </c>
      <c r="Q638" s="283"/>
      <c r="R638" s="282"/>
      <c r="V638" s="282"/>
    </row>
    <row r="639" spans="1:22" s="263" customFormat="1" ht="9" customHeight="1" x14ac:dyDescent="0.25">
      <c r="A639" s="603" t="s">
        <v>33</v>
      </c>
      <c r="B639" s="630">
        <f t="shared" si="74"/>
        <v>181</v>
      </c>
      <c r="C639" s="630"/>
      <c r="D639" s="630">
        <f t="shared" si="72"/>
        <v>180</v>
      </c>
      <c r="E639" s="630">
        <v>114</v>
      </c>
      <c r="F639" s="630"/>
      <c r="G639" s="630">
        <f t="shared" si="73"/>
        <v>64</v>
      </c>
      <c r="H639" s="630">
        <v>21</v>
      </c>
      <c r="I639" s="630">
        <v>9</v>
      </c>
      <c r="J639" s="630">
        <v>34</v>
      </c>
      <c r="K639" s="630">
        <v>0</v>
      </c>
      <c r="L639" s="630">
        <v>0</v>
      </c>
      <c r="M639" s="630">
        <v>2</v>
      </c>
      <c r="N639" s="630">
        <v>1</v>
      </c>
      <c r="Q639" s="283"/>
      <c r="R639" s="282"/>
      <c r="V639" s="282"/>
    </row>
    <row r="640" spans="1:22" s="263" customFormat="1" ht="9" customHeight="1" x14ac:dyDescent="0.25">
      <c r="A640" s="550" t="s">
        <v>34</v>
      </c>
      <c r="B640" s="629">
        <f t="shared" si="74"/>
        <v>334</v>
      </c>
      <c r="C640" s="629"/>
      <c r="D640" s="629">
        <f t="shared" si="72"/>
        <v>331</v>
      </c>
      <c r="E640" s="629">
        <v>135</v>
      </c>
      <c r="F640" s="629"/>
      <c r="G640" s="629">
        <f t="shared" si="73"/>
        <v>186</v>
      </c>
      <c r="H640" s="629">
        <v>39</v>
      </c>
      <c r="I640" s="629">
        <v>31</v>
      </c>
      <c r="J640" s="629">
        <v>116</v>
      </c>
      <c r="K640" s="629">
        <v>1</v>
      </c>
      <c r="L640" s="629">
        <v>0</v>
      </c>
      <c r="M640" s="629">
        <v>9</v>
      </c>
      <c r="N640" s="629">
        <v>3</v>
      </c>
      <c r="Q640" s="283"/>
      <c r="R640" s="282"/>
      <c r="V640" s="282"/>
    </row>
    <row r="641" spans="1:22" s="263" customFormat="1" ht="9" customHeight="1" x14ac:dyDescent="0.25">
      <c r="A641" s="550" t="s">
        <v>35</v>
      </c>
      <c r="B641" s="629">
        <f t="shared" si="74"/>
        <v>916</v>
      </c>
      <c r="C641" s="629"/>
      <c r="D641" s="629">
        <f t="shared" si="72"/>
        <v>874</v>
      </c>
      <c r="E641" s="629">
        <v>272</v>
      </c>
      <c r="F641" s="629"/>
      <c r="G641" s="629">
        <f t="shared" si="73"/>
        <v>507</v>
      </c>
      <c r="H641" s="629">
        <v>77</v>
      </c>
      <c r="I641" s="629">
        <v>61</v>
      </c>
      <c r="J641" s="629">
        <v>369</v>
      </c>
      <c r="K641" s="629">
        <v>7</v>
      </c>
      <c r="L641" s="629">
        <v>84</v>
      </c>
      <c r="M641" s="629">
        <v>4</v>
      </c>
      <c r="N641" s="629">
        <v>42</v>
      </c>
      <c r="Q641" s="283"/>
      <c r="R641" s="282"/>
      <c r="V641" s="282"/>
    </row>
    <row r="642" spans="1:22" s="263" customFormat="1" ht="9" customHeight="1" x14ac:dyDescent="0.25">
      <c r="A642" s="550" t="s">
        <v>36</v>
      </c>
      <c r="B642" s="629">
        <f t="shared" si="74"/>
        <v>2305</v>
      </c>
      <c r="C642" s="629"/>
      <c r="D642" s="629">
        <f t="shared" si="72"/>
        <v>2269</v>
      </c>
      <c r="E642" s="629">
        <v>720</v>
      </c>
      <c r="F642" s="629"/>
      <c r="G642" s="629">
        <f t="shared" si="73"/>
        <v>1384</v>
      </c>
      <c r="H642" s="629">
        <v>208</v>
      </c>
      <c r="I642" s="629">
        <v>184</v>
      </c>
      <c r="J642" s="629">
        <v>992</v>
      </c>
      <c r="K642" s="629">
        <v>28</v>
      </c>
      <c r="L642" s="629">
        <v>91</v>
      </c>
      <c r="M642" s="629">
        <v>46</v>
      </c>
      <c r="N642" s="629">
        <v>36</v>
      </c>
      <c r="Q642" s="283"/>
      <c r="R642" s="282"/>
      <c r="V642" s="282"/>
    </row>
    <row r="643" spans="1:22" s="263" customFormat="1" ht="9" customHeight="1" x14ac:dyDescent="0.25">
      <c r="A643" s="603" t="s">
        <v>37</v>
      </c>
      <c r="B643" s="630">
        <f t="shared" si="74"/>
        <v>643</v>
      </c>
      <c r="C643" s="630"/>
      <c r="D643" s="630">
        <f t="shared" si="72"/>
        <v>635</v>
      </c>
      <c r="E643" s="630">
        <v>250</v>
      </c>
      <c r="F643" s="630"/>
      <c r="G643" s="630">
        <f t="shared" si="73"/>
        <v>310</v>
      </c>
      <c r="H643" s="630">
        <v>61</v>
      </c>
      <c r="I643" s="630">
        <v>44</v>
      </c>
      <c r="J643" s="630">
        <v>205</v>
      </c>
      <c r="K643" s="630">
        <v>11</v>
      </c>
      <c r="L643" s="630">
        <v>56</v>
      </c>
      <c r="M643" s="630">
        <v>8</v>
      </c>
      <c r="N643" s="630">
        <v>8</v>
      </c>
      <c r="Q643" s="283"/>
      <c r="R643" s="282"/>
      <c r="V643" s="282"/>
    </row>
    <row r="644" spans="1:22" s="263" customFormat="1" ht="9" customHeight="1" x14ac:dyDescent="0.25">
      <c r="A644" s="550" t="s">
        <v>38</v>
      </c>
      <c r="B644" s="629">
        <f t="shared" si="74"/>
        <v>179</v>
      </c>
      <c r="C644" s="629"/>
      <c r="D644" s="629">
        <f t="shared" si="72"/>
        <v>175</v>
      </c>
      <c r="E644" s="629">
        <v>80</v>
      </c>
      <c r="F644" s="629"/>
      <c r="G644" s="629">
        <f t="shared" si="73"/>
        <v>93</v>
      </c>
      <c r="H644" s="629">
        <v>11</v>
      </c>
      <c r="I644" s="629">
        <v>9</v>
      </c>
      <c r="J644" s="629">
        <v>73</v>
      </c>
      <c r="K644" s="629">
        <v>1</v>
      </c>
      <c r="L644" s="629">
        <v>0</v>
      </c>
      <c r="M644" s="629">
        <v>1</v>
      </c>
      <c r="N644" s="629">
        <v>4</v>
      </c>
      <c r="Q644" s="283"/>
      <c r="R644" s="282"/>
      <c r="V644" s="282"/>
    </row>
    <row r="645" spans="1:22" s="263" customFormat="1" ht="9" customHeight="1" x14ac:dyDescent="0.25">
      <c r="A645" s="550" t="s">
        <v>39</v>
      </c>
      <c r="B645" s="629">
        <f t="shared" si="74"/>
        <v>70</v>
      </c>
      <c r="C645" s="629"/>
      <c r="D645" s="629">
        <f t="shared" si="72"/>
        <v>70</v>
      </c>
      <c r="E645" s="629">
        <v>24</v>
      </c>
      <c r="F645" s="629"/>
      <c r="G645" s="629">
        <f t="shared" si="73"/>
        <v>46</v>
      </c>
      <c r="H645" s="629">
        <v>8</v>
      </c>
      <c r="I645" s="629">
        <v>6</v>
      </c>
      <c r="J645" s="629">
        <v>32</v>
      </c>
      <c r="K645" s="629">
        <v>0</v>
      </c>
      <c r="L645" s="629">
        <v>0</v>
      </c>
      <c r="M645" s="629">
        <v>0</v>
      </c>
      <c r="N645" s="629">
        <v>0</v>
      </c>
      <c r="Q645" s="283"/>
      <c r="R645" s="282"/>
      <c r="V645" s="282"/>
    </row>
    <row r="646" spans="1:22" s="263" customFormat="1" ht="9" customHeight="1" x14ac:dyDescent="0.25">
      <c r="A646" s="550" t="s">
        <v>40</v>
      </c>
      <c r="B646" s="629">
        <f t="shared" si="74"/>
        <v>1032</v>
      </c>
      <c r="C646" s="629"/>
      <c r="D646" s="629">
        <f t="shared" si="72"/>
        <v>994</v>
      </c>
      <c r="E646" s="629">
        <v>107</v>
      </c>
      <c r="F646" s="629"/>
      <c r="G646" s="629">
        <f t="shared" si="73"/>
        <v>466</v>
      </c>
      <c r="H646" s="629">
        <v>48</v>
      </c>
      <c r="I646" s="629">
        <v>62</v>
      </c>
      <c r="J646" s="629">
        <v>356</v>
      </c>
      <c r="K646" s="629">
        <v>85</v>
      </c>
      <c r="L646" s="629">
        <v>311</v>
      </c>
      <c r="M646" s="629">
        <v>25</v>
      </c>
      <c r="N646" s="629">
        <v>38</v>
      </c>
      <c r="Q646" s="283"/>
      <c r="R646" s="282"/>
      <c r="V646" s="282"/>
    </row>
    <row r="647" spans="1:22" s="263" customFormat="1" ht="9" customHeight="1" x14ac:dyDescent="0.25">
      <c r="A647" s="603" t="s">
        <v>41</v>
      </c>
      <c r="B647" s="630">
        <f t="shared" si="74"/>
        <v>225</v>
      </c>
      <c r="C647" s="630"/>
      <c r="D647" s="630">
        <f t="shared" si="72"/>
        <v>214</v>
      </c>
      <c r="E647" s="630">
        <v>97</v>
      </c>
      <c r="F647" s="630"/>
      <c r="G647" s="630">
        <f t="shared" si="73"/>
        <v>107</v>
      </c>
      <c r="H647" s="630">
        <v>21</v>
      </c>
      <c r="I647" s="630">
        <v>12</v>
      </c>
      <c r="J647" s="630">
        <v>74</v>
      </c>
      <c r="K647" s="630">
        <v>0</v>
      </c>
      <c r="L647" s="630">
        <v>0</v>
      </c>
      <c r="M647" s="630">
        <v>10</v>
      </c>
      <c r="N647" s="630">
        <v>11</v>
      </c>
      <c r="Q647" s="283"/>
      <c r="R647" s="282"/>
      <c r="V647" s="282"/>
    </row>
    <row r="648" spans="1:22" s="263" customFormat="1" ht="9" customHeight="1" x14ac:dyDescent="0.25">
      <c r="A648" s="550" t="s">
        <v>42</v>
      </c>
      <c r="B648" s="629">
        <f t="shared" si="74"/>
        <v>330</v>
      </c>
      <c r="C648" s="629"/>
      <c r="D648" s="629">
        <f t="shared" si="72"/>
        <v>320</v>
      </c>
      <c r="E648" s="629">
        <v>134</v>
      </c>
      <c r="F648" s="629"/>
      <c r="G648" s="629">
        <f t="shared" si="73"/>
        <v>141</v>
      </c>
      <c r="H648" s="629">
        <v>32</v>
      </c>
      <c r="I648" s="629">
        <v>18</v>
      </c>
      <c r="J648" s="629">
        <v>91</v>
      </c>
      <c r="K648" s="629">
        <v>30</v>
      </c>
      <c r="L648" s="629">
        <v>10</v>
      </c>
      <c r="M648" s="629">
        <v>5</v>
      </c>
      <c r="N648" s="629">
        <v>10</v>
      </c>
      <c r="Q648" s="283"/>
      <c r="R648" s="282"/>
      <c r="V648" s="282"/>
    </row>
    <row r="649" spans="1:22" s="263" customFormat="1" ht="9" customHeight="1" x14ac:dyDescent="0.25">
      <c r="A649" s="550" t="s">
        <v>43</v>
      </c>
      <c r="B649" s="629">
        <f t="shared" si="74"/>
        <v>215</v>
      </c>
      <c r="C649" s="629"/>
      <c r="D649" s="629">
        <f t="shared" si="72"/>
        <v>213</v>
      </c>
      <c r="E649" s="629">
        <v>88</v>
      </c>
      <c r="F649" s="629"/>
      <c r="G649" s="629">
        <f t="shared" si="73"/>
        <v>109</v>
      </c>
      <c r="H649" s="629">
        <v>10</v>
      </c>
      <c r="I649" s="629">
        <v>18</v>
      </c>
      <c r="J649" s="629">
        <v>81</v>
      </c>
      <c r="K649" s="629">
        <v>1</v>
      </c>
      <c r="L649" s="629">
        <v>14</v>
      </c>
      <c r="M649" s="629">
        <v>1</v>
      </c>
      <c r="N649" s="629">
        <v>2</v>
      </c>
      <c r="Q649" s="283"/>
      <c r="R649" s="282"/>
      <c r="V649" s="282"/>
    </row>
    <row r="650" spans="1:22" s="263" customFormat="1" ht="9" customHeight="1" x14ac:dyDescent="0.25">
      <c r="A650" s="550" t="s">
        <v>44</v>
      </c>
      <c r="B650" s="629">
        <f t="shared" si="74"/>
        <v>173</v>
      </c>
      <c r="C650" s="629"/>
      <c r="D650" s="629">
        <f t="shared" si="72"/>
        <v>165</v>
      </c>
      <c r="E650" s="629">
        <v>86</v>
      </c>
      <c r="F650" s="629"/>
      <c r="G650" s="629">
        <f t="shared" si="73"/>
        <v>65</v>
      </c>
      <c r="H650" s="629">
        <v>9</v>
      </c>
      <c r="I650" s="629">
        <v>6</v>
      </c>
      <c r="J650" s="629">
        <v>50</v>
      </c>
      <c r="K650" s="629">
        <v>2</v>
      </c>
      <c r="L650" s="629">
        <v>0</v>
      </c>
      <c r="M650" s="629">
        <v>12</v>
      </c>
      <c r="N650" s="629">
        <v>8</v>
      </c>
      <c r="Q650" s="283"/>
      <c r="R650" s="282"/>
      <c r="V650" s="282"/>
    </row>
    <row r="651" spans="1:22" s="263" customFormat="1" ht="9" customHeight="1" x14ac:dyDescent="0.25">
      <c r="A651" s="603" t="s">
        <v>45</v>
      </c>
      <c r="B651" s="630">
        <f t="shared" si="74"/>
        <v>218</v>
      </c>
      <c r="C651" s="630"/>
      <c r="D651" s="630">
        <f t="shared" si="72"/>
        <v>213</v>
      </c>
      <c r="E651" s="630">
        <v>90</v>
      </c>
      <c r="F651" s="630"/>
      <c r="G651" s="630">
        <f>SUM(H651:J651)</f>
        <v>120</v>
      </c>
      <c r="H651" s="630">
        <v>15</v>
      </c>
      <c r="I651" s="630">
        <v>20</v>
      </c>
      <c r="J651" s="630">
        <v>85</v>
      </c>
      <c r="K651" s="630">
        <v>0</v>
      </c>
      <c r="L651" s="630">
        <v>0</v>
      </c>
      <c r="M651" s="630">
        <v>3</v>
      </c>
      <c r="N651" s="630">
        <v>5</v>
      </c>
      <c r="Q651" s="283"/>
      <c r="R651" s="282"/>
      <c r="V651" s="282"/>
    </row>
    <row r="652" spans="1:22" s="263" customFormat="1" ht="9" customHeight="1" x14ac:dyDescent="0.25">
      <c r="A652" s="550" t="s">
        <v>46</v>
      </c>
      <c r="B652" s="629">
        <f t="shared" si="74"/>
        <v>359</v>
      </c>
      <c r="C652" s="629"/>
      <c r="D652" s="629">
        <f t="shared" si="72"/>
        <v>351</v>
      </c>
      <c r="E652" s="629">
        <v>107</v>
      </c>
      <c r="F652" s="629"/>
      <c r="G652" s="629">
        <f t="shared" ref="G652:G659" si="75">SUM(H652:J652)</f>
        <v>226</v>
      </c>
      <c r="H652" s="629">
        <v>47</v>
      </c>
      <c r="I652" s="629">
        <v>29</v>
      </c>
      <c r="J652" s="629">
        <v>150</v>
      </c>
      <c r="K652" s="629">
        <v>2</v>
      </c>
      <c r="L652" s="629">
        <v>0</v>
      </c>
      <c r="M652" s="629">
        <v>16</v>
      </c>
      <c r="N652" s="629">
        <v>8</v>
      </c>
      <c r="Q652" s="283"/>
      <c r="R652" s="282"/>
      <c r="V652" s="282"/>
    </row>
    <row r="653" spans="1:22" s="263" customFormat="1" ht="9" customHeight="1" x14ac:dyDescent="0.25">
      <c r="A653" s="550" t="s">
        <v>47</v>
      </c>
      <c r="B653" s="629">
        <f t="shared" si="74"/>
        <v>223</v>
      </c>
      <c r="C653" s="629"/>
      <c r="D653" s="629">
        <f t="shared" si="72"/>
        <v>213</v>
      </c>
      <c r="E653" s="629">
        <v>105</v>
      </c>
      <c r="F653" s="629"/>
      <c r="G653" s="629">
        <f t="shared" si="75"/>
        <v>108</v>
      </c>
      <c r="H653" s="629">
        <v>25</v>
      </c>
      <c r="I653" s="629">
        <v>18</v>
      </c>
      <c r="J653" s="629">
        <v>65</v>
      </c>
      <c r="K653" s="629">
        <v>0</v>
      </c>
      <c r="L653" s="629">
        <v>0</v>
      </c>
      <c r="M653" s="629">
        <v>0</v>
      </c>
      <c r="N653" s="629">
        <v>10</v>
      </c>
      <c r="Q653" s="283"/>
      <c r="R653" s="282"/>
      <c r="V653" s="282"/>
    </row>
    <row r="654" spans="1:22" s="263" customFormat="1" ht="9" customHeight="1" x14ac:dyDescent="0.25">
      <c r="A654" s="550" t="s">
        <v>48</v>
      </c>
      <c r="B654" s="629">
        <f t="shared" si="74"/>
        <v>79</v>
      </c>
      <c r="C654" s="629"/>
      <c r="D654" s="629">
        <f t="shared" si="72"/>
        <v>77</v>
      </c>
      <c r="E654" s="629">
        <v>54</v>
      </c>
      <c r="F654" s="629"/>
      <c r="G654" s="629">
        <f t="shared" si="75"/>
        <v>23</v>
      </c>
      <c r="H654" s="629">
        <v>6</v>
      </c>
      <c r="I654" s="629">
        <v>4</v>
      </c>
      <c r="J654" s="629">
        <v>13</v>
      </c>
      <c r="K654" s="629">
        <v>0</v>
      </c>
      <c r="L654" s="629">
        <v>0</v>
      </c>
      <c r="M654" s="629">
        <v>0</v>
      </c>
      <c r="N654" s="629">
        <v>2</v>
      </c>
      <c r="Q654" s="283"/>
      <c r="R654" s="282"/>
      <c r="V654" s="282"/>
    </row>
    <row r="655" spans="1:22" s="263" customFormat="1" ht="9" customHeight="1" x14ac:dyDescent="0.25">
      <c r="A655" s="603" t="s">
        <v>49</v>
      </c>
      <c r="B655" s="630">
        <f t="shared" si="74"/>
        <v>317</v>
      </c>
      <c r="C655" s="630"/>
      <c r="D655" s="630">
        <f t="shared" si="72"/>
        <v>306</v>
      </c>
      <c r="E655" s="630">
        <v>205</v>
      </c>
      <c r="F655" s="630"/>
      <c r="G655" s="630">
        <f t="shared" si="75"/>
        <v>93</v>
      </c>
      <c r="H655" s="630">
        <v>9</v>
      </c>
      <c r="I655" s="630">
        <v>8</v>
      </c>
      <c r="J655" s="630">
        <v>76</v>
      </c>
      <c r="K655" s="630">
        <v>7</v>
      </c>
      <c r="L655" s="630">
        <v>0</v>
      </c>
      <c r="M655" s="630">
        <v>1</v>
      </c>
      <c r="N655" s="630">
        <v>11</v>
      </c>
      <c r="Q655" s="283"/>
      <c r="R655" s="282"/>
      <c r="V655" s="282"/>
    </row>
    <row r="656" spans="1:22" s="263" customFormat="1" ht="9" customHeight="1" x14ac:dyDescent="0.25">
      <c r="A656" s="550" t="s">
        <v>50</v>
      </c>
      <c r="B656" s="629">
        <f t="shared" si="74"/>
        <v>184</v>
      </c>
      <c r="C656" s="629"/>
      <c r="D656" s="629">
        <f t="shared" si="72"/>
        <v>184</v>
      </c>
      <c r="E656" s="629">
        <v>69</v>
      </c>
      <c r="F656" s="629"/>
      <c r="G656" s="629">
        <f t="shared" si="75"/>
        <v>115</v>
      </c>
      <c r="H656" s="629">
        <v>18</v>
      </c>
      <c r="I656" s="629">
        <v>20</v>
      </c>
      <c r="J656" s="629">
        <v>77</v>
      </c>
      <c r="K656" s="629">
        <v>0</v>
      </c>
      <c r="L656" s="629">
        <v>0</v>
      </c>
      <c r="M656" s="629">
        <v>0</v>
      </c>
      <c r="N656" s="629">
        <v>0</v>
      </c>
      <c r="Q656" s="283"/>
      <c r="R656" s="282"/>
      <c r="V656" s="282"/>
    </row>
    <row r="657" spans="1:22" s="263" customFormat="1" ht="9" customHeight="1" x14ac:dyDescent="0.25">
      <c r="A657" s="550" t="s">
        <v>51</v>
      </c>
      <c r="B657" s="629">
        <f t="shared" si="74"/>
        <v>577</v>
      </c>
      <c r="C657" s="629"/>
      <c r="D657" s="629">
        <f t="shared" si="72"/>
        <v>552</v>
      </c>
      <c r="E657" s="629">
        <v>242</v>
      </c>
      <c r="F657" s="629"/>
      <c r="G657" s="629">
        <f t="shared" si="75"/>
        <v>303</v>
      </c>
      <c r="H657" s="629">
        <v>71</v>
      </c>
      <c r="I657" s="629">
        <v>42</v>
      </c>
      <c r="J657" s="629">
        <v>190</v>
      </c>
      <c r="K657" s="629">
        <v>0</v>
      </c>
      <c r="L657" s="629">
        <v>0</v>
      </c>
      <c r="M657" s="629">
        <v>7</v>
      </c>
      <c r="N657" s="629">
        <v>25</v>
      </c>
      <c r="Q657" s="283"/>
      <c r="R657" s="282"/>
      <c r="V657" s="282"/>
    </row>
    <row r="658" spans="1:22" s="263" customFormat="1" ht="9" customHeight="1" x14ac:dyDescent="0.25">
      <c r="A658" s="550" t="s">
        <v>52</v>
      </c>
      <c r="B658" s="629">
        <f t="shared" si="74"/>
        <v>113</v>
      </c>
      <c r="C658" s="629"/>
      <c r="D658" s="629">
        <f t="shared" si="72"/>
        <v>105</v>
      </c>
      <c r="E658" s="629">
        <v>50</v>
      </c>
      <c r="F658" s="629"/>
      <c r="G658" s="629">
        <f t="shared" si="75"/>
        <v>53</v>
      </c>
      <c r="H658" s="629">
        <v>11</v>
      </c>
      <c r="I658" s="629">
        <v>7</v>
      </c>
      <c r="J658" s="629">
        <v>35</v>
      </c>
      <c r="K658" s="629">
        <v>0</v>
      </c>
      <c r="L658" s="629">
        <v>2</v>
      </c>
      <c r="M658" s="629">
        <v>0</v>
      </c>
      <c r="N658" s="629">
        <v>8</v>
      </c>
      <c r="Q658" s="283"/>
      <c r="R658" s="282"/>
      <c r="V658" s="282"/>
    </row>
    <row r="659" spans="1:22" s="263" customFormat="1" ht="9" customHeight="1" x14ac:dyDescent="0.25">
      <c r="A659" s="267" t="s">
        <v>53</v>
      </c>
      <c r="B659" s="268">
        <f t="shared" si="74"/>
        <v>102</v>
      </c>
      <c r="C659" s="268"/>
      <c r="D659" s="268">
        <f>SUM(E659+G659+K659+L659+M659)</f>
        <v>102</v>
      </c>
      <c r="E659" s="268">
        <v>42</v>
      </c>
      <c r="F659" s="268"/>
      <c r="G659" s="268">
        <f t="shared" si="75"/>
        <v>60</v>
      </c>
      <c r="H659" s="268">
        <v>9</v>
      </c>
      <c r="I659" s="268">
        <v>7</v>
      </c>
      <c r="J659" s="268">
        <v>44</v>
      </c>
      <c r="K659" s="268">
        <v>0</v>
      </c>
      <c r="L659" s="268">
        <v>0</v>
      </c>
      <c r="M659" s="268">
        <v>0</v>
      </c>
      <c r="N659" s="268">
        <v>0</v>
      </c>
      <c r="Q659" s="283"/>
      <c r="R659" s="282"/>
      <c r="V659" s="282"/>
    </row>
    <row r="660" spans="1:22" ht="3" customHeight="1" x14ac:dyDescent="0.25">
      <c r="A660" s="257"/>
      <c r="B660" s="257"/>
      <c r="C660" s="257"/>
      <c r="D660" s="257"/>
      <c r="E660" s="257"/>
      <c r="F660" s="257"/>
      <c r="G660" s="257"/>
      <c r="H660" s="257"/>
      <c r="I660" s="257"/>
      <c r="J660" s="257"/>
      <c r="K660" s="257"/>
      <c r="L660" s="257"/>
      <c r="M660" s="257"/>
      <c r="N660" s="257"/>
      <c r="Q660" s="283"/>
      <c r="V660" s="283"/>
    </row>
    <row r="661" spans="1:22" ht="3" customHeight="1" x14ac:dyDescent="0.25">
      <c r="A661" s="307"/>
    </row>
    <row r="662" spans="1:22" ht="9" customHeight="1" x14ac:dyDescent="0.15">
      <c r="A662" s="311" t="s">
        <v>475</v>
      </c>
    </row>
    <row r="663" spans="1:22" s="260" customFormat="1" ht="9.6" customHeight="1" x14ac:dyDescent="0.15">
      <c r="A663" s="308" t="s">
        <v>476</v>
      </c>
    </row>
    <row r="664" spans="1:22" s="260" customFormat="1" ht="9" customHeight="1" x14ac:dyDescent="0.25">
      <c r="A664" s="607" t="s">
        <v>445</v>
      </c>
      <c r="B664" s="608"/>
    </row>
    <row r="665" spans="1:22" ht="11.25" hidden="1" customHeight="1" x14ac:dyDescent="0.25">
      <c r="O665" s="258" t="s">
        <v>74</v>
      </c>
    </row>
    <row r="666" spans="1:22" ht="11.25" hidden="1" customHeight="1" x14ac:dyDescent="0.25"/>
    <row r="667" spans="1:22" ht="11.25" hidden="1" customHeight="1" x14ac:dyDescent="0.25"/>
  </sheetData>
  <sheetProtection sheet="1" objects="1" scenarios="1"/>
  <mergeCells count="9">
    <mergeCell ref="M1:N1"/>
    <mergeCell ref="A6:A10"/>
    <mergeCell ref="N6:N9"/>
    <mergeCell ref="E7:E9"/>
    <mergeCell ref="K7:K9"/>
    <mergeCell ref="L7:L9"/>
    <mergeCell ref="M7:M9"/>
    <mergeCell ref="H9:H10"/>
    <mergeCell ref="I9:I10"/>
  </mergeCells>
  <hyperlinks>
    <hyperlink ref="M1" location="Índice!A1" display="Índice!A1"/>
    <hyperlink ref="M1:N1" location="Índice!A1" tooltip="Ir a Índice" display="Índice!A1"/>
  </hyperlinks>
  <printOptions horizontalCentered="1" verticalCentered="1"/>
  <pageMargins left="0.39370078740157483" right="0.39370078740157483" top="0.39370078740157483" bottom="0.39370078740157483" header="0.39370078740157483" footer="0.39370078740157483"/>
  <pageSetup orientation="portrait" r:id="rId1"/>
  <headerFooter>
    <oddHeader>&amp;L&amp;"Arial,Normal"&amp;10&amp;K000080INEGI. Anuario estadístico y geográfico por entidad federativa 2019.</oddHeader>
  </headerFooter>
  <rowBreaks count="8" manualBreakCount="8">
    <brk id="84" max="13" man="1"/>
    <brk id="156" max="13" man="1"/>
    <brk id="228" max="13" man="1"/>
    <brk id="300" max="13" man="1"/>
    <brk id="372" max="13" man="1"/>
    <brk id="444" max="13" man="1"/>
    <brk id="516" max="13" man="1"/>
    <brk id="588" max="13" man="1"/>
  </rowBreak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K666"/>
  <sheetViews>
    <sheetView showGridLines="0" showRowColHeaders="0" zoomScale="130" zoomScaleNormal="130" workbookViewId="0">
      <pane xSplit="1" ySplit="11" topLeftCell="B12" activePane="bottomRight" state="frozen"/>
      <selection activeCell="B5" sqref="B5"/>
      <selection pane="topRight" activeCell="B5" sqref="B5"/>
      <selection pane="bottomLeft" activeCell="B5" sqref="B5"/>
      <selection pane="bottomRight"/>
    </sheetView>
  </sheetViews>
  <sheetFormatPr baseColWidth="10" defaultColWidth="0" defaultRowHeight="11.25" customHeight="1" zeroHeight="1" x14ac:dyDescent="0.25"/>
  <cols>
    <col min="1" max="1" width="17.7109375" style="258" customWidth="1"/>
    <col min="2" max="2" width="6" style="258" customWidth="1"/>
    <col min="3" max="3" width="1.5703125" style="258" customWidth="1"/>
    <col min="4" max="4" width="5.7109375" style="258" customWidth="1"/>
    <col min="5" max="5" width="7.28515625" style="258" customWidth="1"/>
    <col min="6" max="6" width="1.7109375" style="258" customWidth="1"/>
    <col min="7" max="7" width="5.140625" style="258" customWidth="1"/>
    <col min="8" max="8" width="8" style="258" customWidth="1"/>
    <col min="9" max="11" width="6.28515625" style="258" customWidth="1"/>
    <col min="12" max="12" width="6.42578125" style="258" customWidth="1"/>
    <col min="13" max="13" width="6.5703125" style="258" customWidth="1"/>
    <col min="14" max="14" width="7.28515625" style="258" customWidth="1"/>
    <col min="15" max="16" width="0.85546875" style="258" hidden="1" customWidth="1"/>
    <col min="17" max="17" width="6" style="258" hidden="1" customWidth="1"/>
    <col min="18" max="18" width="7.5703125" style="258" hidden="1" customWidth="1"/>
    <col min="19" max="19" width="0.7109375" style="258" hidden="1" customWidth="1"/>
    <col min="20" max="21" width="7.5703125" style="258" hidden="1" customWidth="1"/>
    <col min="22" max="22" width="1.7109375" style="258" hidden="1" customWidth="1"/>
    <col min="23" max="29" width="7.5703125" style="258" hidden="1" customWidth="1"/>
    <col min="30" max="63" width="3.42578125" style="258" hidden="1" customWidth="1"/>
    <col min="64" max="16384" width="11.5703125" style="258" hidden="1"/>
  </cols>
  <sheetData>
    <row r="1" spans="1:14" s="256" customFormat="1" ht="12" customHeight="1" x14ac:dyDescent="0.2">
      <c r="A1" s="312" t="s">
        <v>477</v>
      </c>
      <c r="B1" s="255"/>
      <c r="C1" s="255"/>
      <c r="D1" s="255"/>
      <c r="E1" s="255"/>
      <c r="F1" s="255"/>
      <c r="G1" s="255"/>
      <c r="H1" s="255"/>
      <c r="I1" s="255"/>
      <c r="J1" s="255"/>
      <c r="K1" s="255"/>
      <c r="L1" s="255"/>
      <c r="M1" s="823" t="s">
        <v>478</v>
      </c>
      <c r="N1" s="823"/>
    </row>
    <row r="2" spans="1:14" s="256" customFormat="1" ht="12" customHeight="1" x14ac:dyDescent="0.2">
      <c r="A2" s="312" t="s">
        <v>466</v>
      </c>
      <c r="B2" s="255"/>
      <c r="C2" s="255"/>
      <c r="D2" s="255"/>
      <c r="E2" s="255"/>
      <c r="F2" s="255"/>
      <c r="G2" s="255"/>
      <c r="H2" s="255"/>
      <c r="I2" s="255"/>
      <c r="J2" s="255"/>
      <c r="K2" s="255"/>
      <c r="L2" s="255"/>
      <c r="N2" s="52"/>
    </row>
    <row r="3" spans="1:14" s="256" customFormat="1" ht="12" customHeight="1" x14ac:dyDescent="0.25">
      <c r="A3" s="56" t="s">
        <v>467</v>
      </c>
      <c r="B3" s="255"/>
      <c r="C3" s="255"/>
      <c r="D3" s="255"/>
      <c r="E3" s="255"/>
      <c r="F3" s="255"/>
      <c r="G3" s="255"/>
      <c r="H3" s="255"/>
      <c r="I3" s="255"/>
      <c r="J3" s="255"/>
      <c r="K3" s="255"/>
      <c r="L3" s="255"/>
    </row>
    <row r="4" spans="1:14" ht="3" customHeight="1" x14ac:dyDescent="0.25">
      <c r="A4" s="257"/>
      <c r="B4" s="257"/>
      <c r="C4" s="257"/>
      <c r="D4" s="257"/>
      <c r="E4" s="257"/>
      <c r="F4" s="257"/>
      <c r="G4" s="257"/>
      <c r="H4" s="257"/>
      <c r="I4" s="257"/>
      <c r="J4" s="257"/>
      <c r="K4" s="257"/>
      <c r="L4" s="257"/>
      <c r="M4" s="257"/>
      <c r="N4" s="257"/>
    </row>
    <row r="5" spans="1:14" ht="3" customHeight="1" x14ac:dyDescent="0.25">
      <c r="A5" s="259"/>
      <c r="B5" s="259"/>
      <c r="C5" s="259"/>
      <c r="D5" s="259"/>
      <c r="E5" s="259"/>
      <c r="F5" s="259"/>
      <c r="G5" s="259"/>
      <c r="H5" s="259"/>
      <c r="I5" s="259"/>
      <c r="J5" s="259"/>
      <c r="K5" s="259"/>
      <c r="L5" s="259"/>
    </row>
    <row r="6" spans="1:14" s="260" customFormat="1" ht="8.25" customHeight="1" x14ac:dyDescent="0.25">
      <c r="A6" s="812" t="s">
        <v>4</v>
      </c>
      <c r="B6" s="758" t="s">
        <v>13</v>
      </c>
      <c r="C6" s="758"/>
      <c r="D6" s="626" t="s">
        <v>228</v>
      </c>
      <c r="E6" s="626"/>
      <c r="F6" s="626"/>
      <c r="G6" s="626"/>
      <c r="H6" s="626"/>
      <c r="I6" s="626"/>
      <c r="J6" s="626"/>
      <c r="K6" s="626"/>
      <c r="L6" s="626"/>
      <c r="M6" s="626"/>
      <c r="N6" s="815" t="s">
        <v>468</v>
      </c>
    </row>
    <row r="7" spans="1:14" s="260" customFormat="1" ht="9.9499999999999993" customHeight="1" x14ac:dyDescent="0.25">
      <c r="A7" s="814"/>
      <c r="B7" s="758"/>
      <c r="C7" s="758"/>
      <c r="D7" s="758" t="s">
        <v>13</v>
      </c>
      <c r="E7" s="839" t="s">
        <v>469</v>
      </c>
      <c r="F7" s="758"/>
      <c r="G7" s="626" t="s">
        <v>231</v>
      </c>
      <c r="H7" s="626"/>
      <c r="I7" s="626"/>
      <c r="J7" s="626"/>
      <c r="K7" s="839" t="s">
        <v>470</v>
      </c>
      <c r="L7" s="839" t="s">
        <v>471</v>
      </c>
      <c r="M7" s="839" t="s">
        <v>472</v>
      </c>
      <c r="N7" s="816"/>
    </row>
    <row r="8" spans="1:14" s="260" customFormat="1" ht="2.1" customHeight="1" x14ac:dyDescent="0.25">
      <c r="A8" s="814"/>
      <c r="B8" s="758"/>
      <c r="C8" s="758"/>
      <c r="D8" s="758"/>
      <c r="E8" s="816"/>
      <c r="F8" s="758"/>
      <c r="G8" s="627"/>
      <c r="H8" s="627"/>
      <c r="I8" s="627"/>
      <c r="J8" s="627"/>
      <c r="K8" s="817"/>
      <c r="L8" s="817"/>
      <c r="M8" s="817"/>
      <c r="N8" s="816"/>
    </row>
    <row r="9" spans="1:14" s="260" customFormat="1" ht="8.25" customHeight="1" x14ac:dyDescent="0.25">
      <c r="A9" s="814"/>
      <c r="B9" s="628"/>
      <c r="C9" s="628"/>
      <c r="D9" s="628"/>
      <c r="E9" s="816"/>
      <c r="F9" s="628"/>
      <c r="G9" s="758" t="s">
        <v>13</v>
      </c>
      <c r="H9" s="815" t="s">
        <v>234</v>
      </c>
      <c r="I9" s="815" t="s">
        <v>235</v>
      </c>
      <c r="J9" s="280" t="s">
        <v>473</v>
      </c>
      <c r="K9" s="817"/>
      <c r="L9" s="817"/>
      <c r="M9" s="817"/>
      <c r="N9" s="816"/>
    </row>
    <row r="10" spans="1:14" s="260" customFormat="1" ht="8.25" customHeight="1" x14ac:dyDescent="0.25">
      <c r="A10" s="814"/>
      <c r="B10" s="758"/>
      <c r="C10" s="758"/>
      <c r="D10" s="758"/>
      <c r="E10" s="758"/>
      <c r="F10" s="758"/>
      <c r="G10" s="628"/>
      <c r="H10" s="816"/>
      <c r="I10" s="816"/>
      <c r="J10" s="628"/>
      <c r="K10" s="758"/>
      <c r="L10" s="758"/>
      <c r="M10" s="758"/>
      <c r="N10" s="758"/>
    </row>
    <row r="11" spans="1:14" ht="3" customHeight="1" x14ac:dyDescent="0.25">
      <c r="A11" s="257"/>
      <c r="B11" s="257"/>
      <c r="C11" s="257"/>
      <c r="D11" s="257"/>
      <c r="E11" s="257"/>
      <c r="F11" s="257"/>
      <c r="G11" s="257"/>
      <c r="H11" s="257"/>
      <c r="I11" s="257"/>
      <c r="J11" s="257"/>
      <c r="K11" s="257"/>
      <c r="L11" s="257"/>
      <c r="M11" s="257"/>
      <c r="N11" s="257"/>
    </row>
    <row r="12" spans="1:14" ht="3" customHeight="1" x14ac:dyDescent="0.25">
      <c r="A12" s="259"/>
      <c r="B12" s="259"/>
      <c r="C12" s="259"/>
      <c r="D12" s="259"/>
      <c r="E12" s="259"/>
      <c r="F12" s="259"/>
      <c r="G12" s="259"/>
      <c r="H12" s="259"/>
      <c r="I12" s="259"/>
      <c r="J12" s="259"/>
      <c r="K12" s="259"/>
      <c r="L12" s="259"/>
    </row>
    <row r="13" spans="1:14" ht="8.85" customHeight="1" x14ac:dyDescent="0.25">
      <c r="A13" s="601">
        <v>2001</v>
      </c>
      <c r="B13" s="259"/>
      <c r="C13" s="259"/>
      <c r="D13" s="259"/>
      <c r="E13" s="259"/>
      <c r="F13" s="259"/>
      <c r="G13" s="259"/>
      <c r="H13" s="259"/>
      <c r="I13" s="259"/>
      <c r="J13" s="259"/>
      <c r="K13" s="259"/>
      <c r="L13" s="259"/>
    </row>
    <row r="14" spans="1:14" s="263" customFormat="1" ht="8.85" customHeight="1" x14ac:dyDescent="0.25">
      <c r="A14" s="265" t="s">
        <v>21</v>
      </c>
      <c r="B14" s="262">
        <f>SUM(B16:B47)</f>
        <v>28193</v>
      </c>
      <c r="C14" s="262"/>
      <c r="D14" s="262">
        <f>SUM(D16:D47)</f>
        <v>27898</v>
      </c>
      <c r="E14" s="262">
        <f>SUM(E16:E47)</f>
        <v>3955</v>
      </c>
      <c r="F14" s="262"/>
      <c r="G14" s="262">
        <f t="shared" ref="G14:M14" si="0">SUM(G16:G47)</f>
        <v>23035</v>
      </c>
      <c r="H14" s="262">
        <f t="shared" si="0"/>
        <v>3768</v>
      </c>
      <c r="I14" s="262">
        <f t="shared" si="0"/>
        <v>3023</v>
      </c>
      <c r="J14" s="262">
        <f t="shared" si="0"/>
        <v>16244</v>
      </c>
      <c r="K14" s="262">
        <f t="shared" si="0"/>
        <v>176</v>
      </c>
      <c r="L14" s="262">
        <f t="shared" si="0"/>
        <v>288</v>
      </c>
      <c r="M14" s="262">
        <f t="shared" si="0"/>
        <v>444</v>
      </c>
      <c r="N14" s="262">
        <f>SUM(N16:N47)</f>
        <v>295</v>
      </c>
    </row>
    <row r="15" spans="1:14" s="263" customFormat="1" ht="3" customHeight="1" x14ac:dyDescent="0.25">
      <c r="A15" s="265"/>
      <c r="B15" s="262"/>
      <c r="C15" s="262"/>
      <c r="D15" s="262"/>
      <c r="E15" s="262"/>
      <c r="F15" s="262"/>
      <c r="G15" s="262"/>
      <c r="H15" s="262"/>
      <c r="I15" s="262"/>
      <c r="J15" s="262"/>
      <c r="K15" s="262"/>
      <c r="L15" s="262"/>
      <c r="M15" s="262"/>
      <c r="N15" s="262"/>
    </row>
    <row r="16" spans="1:14" s="263" customFormat="1" ht="9" customHeight="1" x14ac:dyDescent="0.25">
      <c r="A16" s="263" t="s">
        <v>23</v>
      </c>
      <c r="B16" s="266">
        <f t="shared" ref="B16:B47" si="1">SUM(D16+N16)</f>
        <v>150</v>
      </c>
      <c r="C16" s="266"/>
      <c r="D16" s="283">
        <f t="shared" ref="D16:D47" si="2">SUM(E16+G16+K16+L16+M16)</f>
        <v>148</v>
      </c>
      <c r="E16" s="600">
        <v>25</v>
      </c>
      <c r="F16" s="266"/>
      <c r="G16" s="266">
        <f t="shared" ref="G16:G47" si="3">SUM(H16:J16)</f>
        <v>109</v>
      </c>
      <c r="H16" s="600">
        <v>20</v>
      </c>
      <c r="I16" s="600">
        <v>14</v>
      </c>
      <c r="J16" s="266">
        <v>75</v>
      </c>
      <c r="K16" s="600">
        <v>12</v>
      </c>
      <c r="L16" s="600">
        <v>0</v>
      </c>
      <c r="M16" s="600">
        <v>2</v>
      </c>
      <c r="N16" s="600">
        <v>2</v>
      </c>
    </row>
    <row r="17" spans="1:14" s="263" customFormat="1" ht="9" customHeight="1" x14ac:dyDescent="0.25">
      <c r="A17" s="263" t="s">
        <v>24</v>
      </c>
      <c r="B17" s="266" t="s">
        <v>22</v>
      </c>
      <c r="C17" s="266"/>
      <c r="D17" s="266" t="s">
        <v>22</v>
      </c>
      <c r="E17" s="266" t="s">
        <v>22</v>
      </c>
      <c r="F17" s="266"/>
      <c r="G17" s="266" t="s">
        <v>22</v>
      </c>
      <c r="H17" s="266" t="s">
        <v>22</v>
      </c>
      <c r="I17" s="266" t="s">
        <v>22</v>
      </c>
      <c r="J17" s="266" t="s">
        <v>22</v>
      </c>
      <c r="K17" s="266" t="s">
        <v>22</v>
      </c>
      <c r="L17" s="266" t="s">
        <v>22</v>
      </c>
      <c r="M17" s="266" t="s">
        <v>22</v>
      </c>
      <c r="N17" s="266" t="s">
        <v>22</v>
      </c>
    </row>
    <row r="18" spans="1:14" s="263" customFormat="1" ht="9" customHeight="1" x14ac:dyDescent="0.25">
      <c r="A18" s="263" t="s">
        <v>25</v>
      </c>
      <c r="B18" s="266">
        <f t="shared" si="1"/>
        <v>115</v>
      </c>
      <c r="C18" s="266"/>
      <c r="D18" s="283">
        <f t="shared" si="2"/>
        <v>114</v>
      </c>
      <c r="E18" s="600">
        <v>20</v>
      </c>
      <c r="F18" s="266"/>
      <c r="G18" s="266">
        <f t="shared" si="3"/>
        <v>89</v>
      </c>
      <c r="H18" s="600">
        <v>16</v>
      </c>
      <c r="I18" s="600">
        <v>12</v>
      </c>
      <c r="J18" s="266">
        <v>61</v>
      </c>
      <c r="K18" s="600">
        <v>0</v>
      </c>
      <c r="L18" s="600">
        <v>0</v>
      </c>
      <c r="M18" s="600">
        <v>5</v>
      </c>
      <c r="N18" s="600">
        <v>1</v>
      </c>
    </row>
    <row r="19" spans="1:14" s="263" customFormat="1" ht="9" customHeight="1" x14ac:dyDescent="0.25">
      <c r="A19" s="267" t="s">
        <v>26</v>
      </c>
      <c r="B19" s="268">
        <f t="shared" si="1"/>
        <v>78</v>
      </c>
      <c r="C19" s="268"/>
      <c r="D19" s="284">
        <f t="shared" si="2"/>
        <v>70</v>
      </c>
      <c r="E19" s="604">
        <v>9</v>
      </c>
      <c r="F19" s="268"/>
      <c r="G19" s="268">
        <f t="shared" si="3"/>
        <v>53</v>
      </c>
      <c r="H19" s="604">
        <v>8</v>
      </c>
      <c r="I19" s="604">
        <v>9</v>
      </c>
      <c r="J19" s="268">
        <v>36</v>
      </c>
      <c r="K19" s="604">
        <v>2</v>
      </c>
      <c r="L19" s="604">
        <v>2</v>
      </c>
      <c r="M19" s="604">
        <v>4</v>
      </c>
      <c r="N19" s="604">
        <v>8</v>
      </c>
    </row>
    <row r="20" spans="1:14" s="263" customFormat="1" ht="9" customHeight="1" x14ac:dyDescent="0.25">
      <c r="A20" s="263" t="s">
        <v>27</v>
      </c>
      <c r="B20" s="266">
        <f t="shared" si="1"/>
        <v>782</v>
      </c>
      <c r="C20" s="266"/>
      <c r="D20" s="283">
        <f t="shared" si="2"/>
        <v>772</v>
      </c>
      <c r="E20" s="600">
        <v>46</v>
      </c>
      <c r="F20" s="266"/>
      <c r="G20" s="266">
        <f t="shared" si="3"/>
        <v>715</v>
      </c>
      <c r="H20" s="600">
        <v>160</v>
      </c>
      <c r="I20" s="600">
        <v>62</v>
      </c>
      <c r="J20" s="266">
        <v>493</v>
      </c>
      <c r="K20" s="600">
        <v>0</v>
      </c>
      <c r="L20" s="600">
        <v>0</v>
      </c>
      <c r="M20" s="600">
        <v>11</v>
      </c>
      <c r="N20" s="600">
        <v>10</v>
      </c>
    </row>
    <row r="21" spans="1:14" s="263" customFormat="1" ht="9" customHeight="1" x14ac:dyDescent="0.25">
      <c r="A21" s="263" t="s">
        <v>28</v>
      </c>
      <c r="B21" s="266">
        <f t="shared" si="1"/>
        <v>126</v>
      </c>
      <c r="C21" s="266"/>
      <c r="D21" s="283">
        <f t="shared" si="2"/>
        <v>124</v>
      </c>
      <c r="E21" s="600">
        <v>17</v>
      </c>
      <c r="F21" s="266"/>
      <c r="G21" s="266">
        <f t="shared" si="3"/>
        <v>104</v>
      </c>
      <c r="H21" s="600">
        <v>13</v>
      </c>
      <c r="I21" s="600">
        <v>13</v>
      </c>
      <c r="J21" s="266">
        <v>78</v>
      </c>
      <c r="K21" s="600">
        <v>0</v>
      </c>
      <c r="L21" s="600">
        <v>0</v>
      </c>
      <c r="M21" s="600">
        <v>3</v>
      </c>
      <c r="N21" s="600">
        <v>2</v>
      </c>
    </row>
    <row r="22" spans="1:14" s="263" customFormat="1" ht="9" customHeight="1" x14ac:dyDescent="0.25">
      <c r="A22" s="263" t="s">
        <v>29</v>
      </c>
      <c r="B22" s="266">
        <f t="shared" si="1"/>
        <v>490</v>
      </c>
      <c r="C22" s="266"/>
      <c r="D22" s="283">
        <f t="shared" si="2"/>
        <v>486</v>
      </c>
      <c r="E22" s="600">
        <v>60</v>
      </c>
      <c r="F22" s="266"/>
      <c r="G22" s="266">
        <f t="shared" si="3"/>
        <v>410</v>
      </c>
      <c r="H22" s="600">
        <v>72</v>
      </c>
      <c r="I22" s="600">
        <v>66</v>
      </c>
      <c r="J22" s="266">
        <v>272</v>
      </c>
      <c r="K22" s="600">
        <v>5</v>
      </c>
      <c r="L22" s="600">
        <v>2</v>
      </c>
      <c r="M22" s="600">
        <v>9</v>
      </c>
      <c r="N22" s="600">
        <v>4</v>
      </c>
    </row>
    <row r="23" spans="1:14" s="263" customFormat="1" ht="9" customHeight="1" x14ac:dyDescent="0.25">
      <c r="A23" s="267" t="s">
        <v>30</v>
      </c>
      <c r="B23" s="268">
        <f t="shared" si="1"/>
        <v>795</v>
      </c>
      <c r="C23" s="268"/>
      <c r="D23" s="284">
        <f t="shared" si="2"/>
        <v>785</v>
      </c>
      <c r="E23" s="604">
        <v>149</v>
      </c>
      <c r="F23" s="268"/>
      <c r="G23" s="268">
        <f t="shared" si="3"/>
        <v>607</v>
      </c>
      <c r="H23" s="604">
        <v>79</v>
      </c>
      <c r="I23" s="604">
        <v>67</v>
      </c>
      <c r="J23" s="268">
        <v>461</v>
      </c>
      <c r="K23" s="604">
        <v>16</v>
      </c>
      <c r="L23" s="604">
        <v>1</v>
      </c>
      <c r="M23" s="604">
        <v>12</v>
      </c>
      <c r="N23" s="604">
        <v>10</v>
      </c>
    </row>
    <row r="24" spans="1:14" s="263" customFormat="1" ht="9" customHeight="1" x14ac:dyDescent="0.25">
      <c r="A24" s="263" t="s">
        <v>63</v>
      </c>
      <c r="B24" s="266">
        <f t="shared" si="1"/>
        <v>4306</v>
      </c>
      <c r="C24" s="266"/>
      <c r="D24" s="283">
        <f t="shared" si="2"/>
        <v>4258</v>
      </c>
      <c r="E24" s="600">
        <v>834</v>
      </c>
      <c r="F24" s="266"/>
      <c r="G24" s="266">
        <f t="shared" si="3"/>
        <v>3218</v>
      </c>
      <c r="H24" s="600">
        <v>423</v>
      </c>
      <c r="I24" s="600">
        <v>281</v>
      </c>
      <c r="J24" s="266">
        <v>2514</v>
      </c>
      <c r="K24" s="600">
        <v>44</v>
      </c>
      <c r="L24" s="600">
        <v>94</v>
      </c>
      <c r="M24" s="600">
        <v>68</v>
      </c>
      <c r="N24" s="600">
        <v>48</v>
      </c>
    </row>
    <row r="25" spans="1:14" s="263" customFormat="1" ht="9" customHeight="1" x14ac:dyDescent="0.25">
      <c r="A25" s="263" t="s">
        <v>31</v>
      </c>
      <c r="B25" s="266">
        <f t="shared" si="1"/>
        <v>29</v>
      </c>
      <c r="C25" s="266"/>
      <c r="D25" s="283">
        <f t="shared" si="2"/>
        <v>29</v>
      </c>
      <c r="E25" s="600">
        <v>26</v>
      </c>
      <c r="F25" s="266"/>
      <c r="G25" s="266">
        <f t="shared" si="3"/>
        <v>1</v>
      </c>
      <c r="H25" s="600">
        <v>0</v>
      </c>
      <c r="I25" s="600">
        <v>0</v>
      </c>
      <c r="J25" s="266">
        <v>1</v>
      </c>
      <c r="K25" s="600">
        <v>0</v>
      </c>
      <c r="L25" s="600">
        <v>2</v>
      </c>
      <c r="M25" s="600">
        <v>0</v>
      </c>
      <c r="N25" s="600">
        <v>0</v>
      </c>
    </row>
    <row r="26" spans="1:14" s="263" customFormat="1" ht="9" customHeight="1" x14ac:dyDescent="0.25">
      <c r="A26" s="263" t="s">
        <v>32</v>
      </c>
      <c r="B26" s="266">
        <f t="shared" si="1"/>
        <v>1490</v>
      </c>
      <c r="C26" s="266"/>
      <c r="D26" s="283">
        <f t="shared" si="2"/>
        <v>1484</v>
      </c>
      <c r="E26" s="600">
        <v>253</v>
      </c>
      <c r="F26" s="266"/>
      <c r="G26" s="266">
        <f t="shared" si="3"/>
        <v>1201</v>
      </c>
      <c r="H26" s="600">
        <v>194</v>
      </c>
      <c r="I26" s="600">
        <v>178</v>
      </c>
      <c r="J26" s="266">
        <v>829</v>
      </c>
      <c r="K26" s="600">
        <v>2</v>
      </c>
      <c r="L26" s="600">
        <v>2</v>
      </c>
      <c r="M26" s="600">
        <v>26</v>
      </c>
      <c r="N26" s="600">
        <v>6</v>
      </c>
    </row>
    <row r="27" spans="1:14" s="263" customFormat="1" ht="9" customHeight="1" x14ac:dyDescent="0.25">
      <c r="A27" s="267" t="s">
        <v>33</v>
      </c>
      <c r="B27" s="268">
        <f t="shared" si="1"/>
        <v>522</v>
      </c>
      <c r="C27" s="268"/>
      <c r="D27" s="284">
        <f t="shared" si="2"/>
        <v>504</v>
      </c>
      <c r="E27" s="604">
        <v>86</v>
      </c>
      <c r="F27" s="268"/>
      <c r="G27" s="268">
        <f t="shared" si="3"/>
        <v>407</v>
      </c>
      <c r="H27" s="604">
        <v>74</v>
      </c>
      <c r="I27" s="604">
        <v>55</v>
      </c>
      <c r="J27" s="268">
        <v>278</v>
      </c>
      <c r="K27" s="604">
        <v>1</v>
      </c>
      <c r="L27" s="604">
        <v>0</v>
      </c>
      <c r="M27" s="604">
        <v>10</v>
      </c>
      <c r="N27" s="604">
        <v>18</v>
      </c>
    </row>
    <row r="28" spans="1:14" s="263" customFormat="1" ht="9" customHeight="1" x14ac:dyDescent="0.25">
      <c r="A28" s="263" t="s">
        <v>34</v>
      </c>
      <c r="B28" s="266">
        <f t="shared" si="1"/>
        <v>492</v>
      </c>
      <c r="C28" s="266"/>
      <c r="D28" s="283">
        <f t="shared" si="2"/>
        <v>487</v>
      </c>
      <c r="E28" s="600">
        <v>99</v>
      </c>
      <c r="F28" s="266"/>
      <c r="G28" s="266">
        <f t="shared" si="3"/>
        <v>372</v>
      </c>
      <c r="H28" s="600">
        <v>62</v>
      </c>
      <c r="I28" s="600">
        <v>64</v>
      </c>
      <c r="J28" s="266">
        <v>246</v>
      </c>
      <c r="K28" s="600">
        <v>5</v>
      </c>
      <c r="L28" s="600">
        <v>4</v>
      </c>
      <c r="M28" s="600">
        <v>7</v>
      </c>
      <c r="N28" s="600">
        <v>5</v>
      </c>
    </row>
    <row r="29" spans="1:14" s="263" customFormat="1" ht="9" customHeight="1" x14ac:dyDescent="0.25">
      <c r="A29" s="263" t="s">
        <v>35</v>
      </c>
      <c r="B29" s="266">
        <f t="shared" si="1"/>
        <v>3635</v>
      </c>
      <c r="C29" s="266"/>
      <c r="D29" s="283">
        <f t="shared" si="2"/>
        <v>3616</v>
      </c>
      <c r="E29" s="600">
        <v>307</v>
      </c>
      <c r="F29" s="266"/>
      <c r="G29" s="266">
        <f t="shared" si="3"/>
        <v>3244</v>
      </c>
      <c r="H29" s="600">
        <v>505</v>
      </c>
      <c r="I29" s="600">
        <v>397</v>
      </c>
      <c r="J29" s="266">
        <v>2342</v>
      </c>
      <c r="K29" s="600">
        <v>5</v>
      </c>
      <c r="L29" s="600">
        <v>30</v>
      </c>
      <c r="M29" s="600">
        <v>30</v>
      </c>
      <c r="N29" s="600">
        <v>19</v>
      </c>
    </row>
    <row r="30" spans="1:14" s="263" customFormat="1" ht="9" customHeight="1" x14ac:dyDescent="0.25">
      <c r="A30" s="263" t="s">
        <v>36</v>
      </c>
      <c r="B30" s="266">
        <f t="shared" si="1"/>
        <v>4299</v>
      </c>
      <c r="C30" s="266"/>
      <c r="D30" s="283">
        <f t="shared" si="2"/>
        <v>4258</v>
      </c>
      <c r="E30" s="600">
        <v>507</v>
      </c>
      <c r="F30" s="266"/>
      <c r="G30" s="266">
        <f t="shared" si="3"/>
        <v>3618</v>
      </c>
      <c r="H30" s="600">
        <v>615</v>
      </c>
      <c r="I30" s="600">
        <v>527</v>
      </c>
      <c r="J30" s="266">
        <v>2476</v>
      </c>
      <c r="K30" s="600">
        <v>31</v>
      </c>
      <c r="L30" s="600">
        <v>16</v>
      </c>
      <c r="M30" s="600">
        <v>86</v>
      </c>
      <c r="N30" s="600">
        <v>41</v>
      </c>
    </row>
    <row r="31" spans="1:14" s="263" customFormat="1" ht="9" customHeight="1" x14ac:dyDescent="0.25">
      <c r="A31" s="267" t="s">
        <v>37</v>
      </c>
      <c r="B31" s="268">
        <f t="shared" si="1"/>
        <v>1612</v>
      </c>
      <c r="C31" s="268"/>
      <c r="D31" s="284">
        <f t="shared" si="2"/>
        <v>1589</v>
      </c>
      <c r="E31" s="604">
        <v>298</v>
      </c>
      <c r="F31" s="268"/>
      <c r="G31" s="268">
        <f t="shared" si="3"/>
        <v>1237</v>
      </c>
      <c r="H31" s="604">
        <v>196</v>
      </c>
      <c r="I31" s="604">
        <v>190</v>
      </c>
      <c r="J31" s="268">
        <v>851</v>
      </c>
      <c r="K31" s="604">
        <v>22</v>
      </c>
      <c r="L31" s="604">
        <v>19</v>
      </c>
      <c r="M31" s="604">
        <v>13</v>
      </c>
      <c r="N31" s="604">
        <v>23</v>
      </c>
    </row>
    <row r="32" spans="1:14" s="263" customFormat="1" ht="9" customHeight="1" x14ac:dyDescent="0.25">
      <c r="A32" s="263" t="s">
        <v>38</v>
      </c>
      <c r="B32" s="266">
        <f t="shared" si="1"/>
        <v>391</v>
      </c>
      <c r="C32" s="266"/>
      <c r="D32" s="283">
        <f t="shared" si="2"/>
        <v>390</v>
      </c>
      <c r="E32" s="600">
        <v>70</v>
      </c>
      <c r="F32" s="266"/>
      <c r="G32" s="266">
        <f t="shared" si="3"/>
        <v>318</v>
      </c>
      <c r="H32" s="600">
        <v>67</v>
      </c>
      <c r="I32" s="600">
        <v>54</v>
      </c>
      <c r="J32" s="266">
        <v>197</v>
      </c>
      <c r="K32" s="600">
        <v>0</v>
      </c>
      <c r="L32" s="600">
        <v>0</v>
      </c>
      <c r="M32" s="600">
        <v>2</v>
      </c>
      <c r="N32" s="600">
        <v>1</v>
      </c>
    </row>
    <row r="33" spans="1:14" s="263" customFormat="1" ht="9" customHeight="1" x14ac:dyDescent="0.25">
      <c r="A33" s="263" t="s">
        <v>39</v>
      </c>
      <c r="B33" s="266">
        <f t="shared" si="1"/>
        <v>121</v>
      </c>
      <c r="C33" s="266"/>
      <c r="D33" s="283">
        <f t="shared" si="2"/>
        <v>121</v>
      </c>
      <c r="E33" s="600">
        <v>11</v>
      </c>
      <c r="F33" s="266"/>
      <c r="G33" s="266">
        <f t="shared" si="3"/>
        <v>108</v>
      </c>
      <c r="H33" s="600">
        <v>20</v>
      </c>
      <c r="I33" s="600">
        <v>14</v>
      </c>
      <c r="J33" s="266">
        <v>74</v>
      </c>
      <c r="K33" s="600">
        <v>0</v>
      </c>
      <c r="L33" s="600">
        <v>1</v>
      </c>
      <c r="M33" s="600">
        <v>1</v>
      </c>
      <c r="N33" s="600">
        <v>0</v>
      </c>
    </row>
    <row r="34" spans="1:14" s="263" customFormat="1" ht="9" customHeight="1" x14ac:dyDescent="0.25">
      <c r="A34" s="263" t="s">
        <v>40</v>
      </c>
      <c r="B34" s="266">
        <f t="shared" si="1"/>
        <v>648</v>
      </c>
      <c r="C34" s="266"/>
      <c r="D34" s="283">
        <f t="shared" si="2"/>
        <v>640</v>
      </c>
      <c r="E34" s="600">
        <v>45</v>
      </c>
      <c r="F34" s="266"/>
      <c r="G34" s="266">
        <f t="shared" si="3"/>
        <v>485</v>
      </c>
      <c r="H34" s="600">
        <v>106</v>
      </c>
      <c r="I34" s="600">
        <v>76</v>
      </c>
      <c r="J34" s="266">
        <v>303</v>
      </c>
      <c r="K34" s="600">
        <v>2</v>
      </c>
      <c r="L34" s="600">
        <v>99</v>
      </c>
      <c r="M34" s="600">
        <v>9</v>
      </c>
      <c r="N34" s="600">
        <v>8</v>
      </c>
    </row>
    <row r="35" spans="1:14" s="263" customFormat="1" ht="9" customHeight="1" x14ac:dyDescent="0.25">
      <c r="A35" s="267" t="s">
        <v>41</v>
      </c>
      <c r="B35" s="268">
        <f t="shared" si="1"/>
        <v>374</v>
      </c>
      <c r="C35" s="268"/>
      <c r="D35" s="284">
        <f t="shared" si="2"/>
        <v>371</v>
      </c>
      <c r="E35" s="604">
        <v>73</v>
      </c>
      <c r="F35" s="268"/>
      <c r="G35" s="268">
        <f t="shared" si="3"/>
        <v>288</v>
      </c>
      <c r="H35" s="604">
        <v>44</v>
      </c>
      <c r="I35" s="604">
        <v>45</v>
      </c>
      <c r="J35" s="268">
        <v>199</v>
      </c>
      <c r="K35" s="604">
        <v>1</v>
      </c>
      <c r="L35" s="604">
        <v>0</v>
      </c>
      <c r="M35" s="604">
        <v>9</v>
      </c>
      <c r="N35" s="604">
        <v>3</v>
      </c>
    </row>
    <row r="36" spans="1:14" s="263" customFormat="1" ht="9" customHeight="1" x14ac:dyDescent="0.25">
      <c r="A36" s="263" t="s">
        <v>42</v>
      </c>
      <c r="B36" s="266">
        <f t="shared" si="1"/>
        <v>1043</v>
      </c>
      <c r="C36" s="266"/>
      <c r="D36" s="283">
        <f t="shared" si="2"/>
        <v>1028</v>
      </c>
      <c r="E36" s="600">
        <v>195</v>
      </c>
      <c r="F36" s="266"/>
      <c r="G36" s="266">
        <f t="shared" si="3"/>
        <v>797</v>
      </c>
      <c r="H36" s="600">
        <v>125</v>
      </c>
      <c r="I36" s="600">
        <v>108</v>
      </c>
      <c r="J36" s="266">
        <v>564</v>
      </c>
      <c r="K36" s="600">
        <v>11</v>
      </c>
      <c r="L36" s="600">
        <v>7</v>
      </c>
      <c r="M36" s="600">
        <v>18</v>
      </c>
      <c r="N36" s="600">
        <v>15</v>
      </c>
    </row>
    <row r="37" spans="1:14" s="263" customFormat="1" ht="9" customHeight="1" x14ac:dyDescent="0.25">
      <c r="A37" s="263" t="s">
        <v>43</v>
      </c>
      <c r="B37" s="266">
        <f t="shared" si="1"/>
        <v>401</v>
      </c>
      <c r="C37" s="266"/>
      <c r="D37" s="283">
        <f t="shared" si="2"/>
        <v>395</v>
      </c>
      <c r="E37" s="600">
        <v>59</v>
      </c>
      <c r="F37" s="266"/>
      <c r="G37" s="266">
        <f t="shared" si="3"/>
        <v>332</v>
      </c>
      <c r="H37" s="600">
        <v>51</v>
      </c>
      <c r="I37" s="600">
        <v>41</v>
      </c>
      <c r="J37" s="266">
        <v>240</v>
      </c>
      <c r="K37" s="600">
        <v>0</v>
      </c>
      <c r="L37" s="600">
        <v>0</v>
      </c>
      <c r="M37" s="600">
        <v>4</v>
      </c>
      <c r="N37" s="600">
        <v>6</v>
      </c>
    </row>
    <row r="38" spans="1:14" s="263" customFormat="1" ht="9" customHeight="1" x14ac:dyDescent="0.25">
      <c r="A38" s="263" t="s">
        <v>44</v>
      </c>
      <c r="B38" s="266">
        <f t="shared" si="1"/>
        <v>277</v>
      </c>
      <c r="C38" s="266"/>
      <c r="D38" s="283">
        <f t="shared" si="2"/>
        <v>277</v>
      </c>
      <c r="E38" s="600">
        <v>41</v>
      </c>
      <c r="F38" s="266"/>
      <c r="G38" s="266">
        <f t="shared" si="3"/>
        <v>224</v>
      </c>
      <c r="H38" s="600">
        <v>30</v>
      </c>
      <c r="I38" s="600">
        <v>36</v>
      </c>
      <c r="J38" s="266">
        <v>158</v>
      </c>
      <c r="K38" s="600">
        <v>0</v>
      </c>
      <c r="L38" s="600">
        <v>0</v>
      </c>
      <c r="M38" s="600">
        <v>12</v>
      </c>
      <c r="N38" s="263">
        <v>0</v>
      </c>
    </row>
    <row r="39" spans="1:14" s="263" customFormat="1" ht="9" customHeight="1" x14ac:dyDescent="0.25">
      <c r="A39" s="267" t="s">
        <v>45</v>
      </c>
      <c r="B39" s="268">
        <f t="shared" si="1"/>
        <v>419</v>
      </c>
      <c r="C39" s="268"/>
      <c r="D39" s="284">
        <f t="shared" si="2"/>
        <v>418</v>
      </c>
      <c r="E39" s="604">
        <v>68</v>
      </c>
      <c r="F39" s="268"/>
      <c r="G39" s="268">
        <f t="shared" si="3"/>
        <v>345</v>
      </c>
      <c r="H39" s="604">
        <v>69</v>
      </c>
      <c r="I39" s="604">
        <v>68</v>
      </c>
      <c r="J39" s="268">
        <v>208</v>
      </c>
      <c r="K39" s="604">
        <v>0</v>
      </c>
      <c r="L39" s="604">
        <v>0</v>
      </c>
      <c r="M39" s="604">
        <v>5</v>
      </c>
      <c r="N39" s="604">
        <v>1</v>
      </c>
    </row>
    <row r="40" spans="1:14" s="263" customFormat="1" ht="9" customHeight="1" x14ac:dyDescent="0.25">
      <c r="A40" s="263" t="s">
        <v>46</v>
      </c>
      <c r="B40" s="266">
        <f t="shared" si="1"/>
        <v>540</v>
      </c>
      <c r="C40" s="266"/>
      <c r="D40" s="283">
        <f t="shared" si="2"/>
        <v>534</v>
      </c>
      <c r="E40" s="600">
        <v>71</v>
      </c>
      <c r="F40" s="266"/>
      <c r="G40" s="266">
        <f t="shared" si="3"/>
        <v>453</v>
      </c>
      <c r="H40" s="600">
        <v>75</v>
      </c>
      <c r="I40" s="600">
        <v>54</v>
      </c>
      <c r="J40" s="266">
        <v>324</v>
      </c>
      <c r="K40" s="600">
        <v>0</v>
      </c>
      <c r="L40" s="600">
        <v>0</v>
      </c>
      <c r="M40" s="600">
        <v>10</v>
      </c>
      <c r="N40" s="600">
        <v>6</v>
      </c>
    </row>
    <row r="41" spans="1:14" s="263" customFormat="1" ht="9" customHeight="1" x14ac:dyDescent="0.25">
      <c r="A41" s="263" t="s">
        <v>47</v>
      </c>
      <c r="B41" s="266">
        <f t="shared" si="1"/>
        <v>1610</v>
      </c>
      <c r="C41" s="266"/>
      <c r="D41" s="283">
        <f t="shared" si="2"/>
        <v>1594</v>
      </c>
      <c r="E41" s="600">
        <v>125</v>
      </c>
      <c r="F41" s="266"/>
      <c r="G41" s="266">
        <f t="shared" si="3"/>
        <v>1447</v>
      </c>
      <c r="H41" s="600">
        <v>285</v>
      </c>
      <c r="I41" s="600">
        <v>200</v>
      </c>
      <c r="J41" s="266">
        <v>962</v>
      </c>
      <c r="K41" s="600">
        <v>0</v>
      </c>
      <c r="L41" s="600">
        <v>0</v>
      </c>
      <c r="M41" s="600">
        <v>22</v>
      </c>
      <c r="N41" s="600">
        <v>16</v>
      </c>
    </row>
    <row r="42" spans="1:14" s="263" customFormat="1" ht="9" customHeight="1" x14ac:dyDescent="0.25">
      <c r="A42" s="263" t="s">
        <v>48</v>
      </c>
      <c r="B42" s="266">
        <f t="shared" si="1"/>
        <v>241</v>
      </c>
      <c r="C42" s="266"/>
      <c r="D42" s="283">
        <f t="shared" si="2"/>
        <v>235</v>
      </c>
      <c r="E42" s="600">
        <v>48</v>
      </c>
      <c r="F42" s="266"/>
      <c r="G42" s="266">
        <f t="shared" si="3"/>
        <v>178</v>
      </c>
      <c r="H42" s="600">
        <v>25</v>
      </c>
      <c r="I42" s="600">
        <v>22</v>
      </c>
      <c r="J42" s="266">
        <v>131</v>
      </c>
      <c r="K42" s="600">
        <v>1</v>
      </c>
      <c r="L42" s="600">
        <v>0</v>
      </c>
      <c r="M42" s="600">
        <v>8</v>
      </c>
      <c r="N42" s="600">
        <v>6</v>
      </c>
    </row>
    <row r="43" spans="1:14" s="263" customFormat="1" ht="9" customHeight="1" x14ac:dyDescent="0.25">
      <c r="A43" s="267" t="s">
        <v>49</v>
      </c>
      <c r="B43" s="268">
        <f t="shared" si="1"/>
        <v>765</v>
      </c>
      <c r="C43" s="268"/>
      <c r="D43" s="284">
        <f t="shared" si="2"/>
        <v>751</v>
      </c>
      <c r="E43" s="604">
        <v>126</v>
      </c>
      <c r="F43" s="268"/>
      <c r="G43" s="268">
        <f t="shared" si="3"/>
        <v>602</v>
      </c>
      <c r="H43" s="604">
        <v>103</v>
      </c>
      <c r="I43" s="604">
        <v>93</v>
      </c>
      <c r="J43" s="268">
        <v>406</v>
      </c>
      <c r="K43" s="604">
        <v>6</v>
      </c>
      <c r="L43" s="604">
        <v>3</v>
      </c>
      <c r="M43" s="604">
        <v>14</v>
      </c>
      <c r="N43" s="604">
        <v>14</v>
      </c>
    </row>
    <row r="44" spans="1:14" s="263" customFormat="1" ht="9" customHeight="1" x14ac:dyDescent="0.25">
      <c r="A44" s="263" t="s">
        <v>50</v>
      </c>
      <c r="B44" s="266">
        <f t="shared" si="1"/>
        <v>273</v>
      </c>
      <c r="C44" s="266"/>
      <c r="D44" s="283">
        <f t="shared" si="2"/>
        <v>266</v>
      </c>
      <c r="E44" s="600">
        <v>30</v>
      </c>
      <c r="F44" s="266"/>
      <c r="G44" s="266">
        <f t="shared" si="3"/>
        <v>220</v>
      </c>
      <c r="H44" s="600">
        <v>34</v>
      </c>
      <c r="I44" s="600">
        <v>31</v>
      </c>
      <c r="J44" s="266">
        <v>155</v>
      </c>
      <c r="K44" s="600">
        <v>5</v>
      </c>
      <c r="L44" s="600">
        <v>1</v>
      </c>
      <c r="M44" s="600">
        <v>10</v>
      </c>
      <c r="N44" s="600">
        <v>7</v>
      </c>
    </row>
    <row r="45" spans="1:14" s="263" customFormat="1" ht="9" customHeight="1" x14ac:dyDescent="0.25">
      <c r="A45" s="263" t="s">
        <v>51</v>
      </c>
      <c r="B45" s="266">
        <f t="shared" si="1"/>
        <v>1267</v>
      </c>
      <c r="C45" s="266"/>
      <c r="D45" s="283">
        <f t="shared" si="2"/>
        <v>1263</v>
      </c>
      <c r="E45" s="600">
        <v>158</v>
      </c>
      <c r="F45" s="266"/>
      <c r="G45" s="266">
        <f t="shared" si="3"/>
        <v>1085</v>
      </c>
      <c r="H45" s="600">
        <v>187</v>
      </c>
      <c r="I45" s="600">
        <v>146</v>
      </c>
      <c r="J45" s="266">
        <v>752</v>
      </c>
      <c r="K45" s="600">
        <v>1</v>
      </c>
      <c r="L45" s="600">
        <v>1</v>
      </c>
      <c r="M45" s="600">
        <v>18</v>
      </c>
      <c r="N45" s="600">
        <v>4</v>
      </c>
    </row>
    <row r="46" spans="1:14" s="263" customFormat="1" ht="9" customHeight="1" x14ac:dyDescent="0.25">
      <c r="A46" s="263" t="s">
        <v>52</v>
      </c>
      <c r="B46" s="266">
        <f t="shared" si="1"/>
        <v>540</v>
      </c>
      <c r="C46" s="266"/>
      <c r="D46" s="283">
        <f t="shared" si="2"/>
        <v>536</v>
      </c>
      <c r="E46" s="600">
        <v>48</v>
      </c>
      <c r="F46" s="266"/>
      <c r="G46" s="266">
        <f t="shared" si="3"/>
        <v>471</v>
      </c>
      <c r="H46" s="600">
        <v>60</v>
      </c>
      <c r="I46" s="600">
        <v>63</v>
      </c>
      <c r="J46" s="266">
        <v>348</v>
      </c>
      <c r="K46" s="600">
        <v>1</v>
      </c>
      <c r="L46" s="600">
        <v>4</v>
      </c>
      <c r="M46" s="600">
        <v>12</v>
      </c>
      <c r="N46" s="600">
        <v>4</v>
      </c>
    </row>
    <row r="47" spans="1:14" s="263" customFormat="1" ht="9" customHeight="1" x14ac:dyDescent="0.25">
      <c r="A47" s="267" t="s">
        <v>53</v>
      </c>
      <c r="B47" s="268">
        <f t="shared" si="1"/>
        <v>362</v>
      </c>
      <c r="C47" s="268"/>
      <c r="D47" s="284">
        <f t="shared" si="2"/>
        <v>355</v>
      </c>
      <c r="E47" s="604">
        <v>51</v>
      </c>
      <c r="F47" s="268"/>
      <c r="G47" s="268">
        <f t="shared" si="3"/>
        <v>297</v>
      </c>
      <c r="H47" s="604">
        <v>50</v>
      </c>
      <c r="I47" s="604">
        <v>37</v>
      </c>
      <c r="J47" s="268">
        <v>210</v>
      </c>
      <c r="K47" s="604">
        <v>3</v>
      </c>
      <c r="L47" s="604">
        <v>0</v>
      </c>
      <c r="M47" s="604">
        <v>4</v>
      </c>
      <c r="N47" s="604">
        <v>7</v>
      </c>
    </row>
    <row r="48" spans="1:14" ht="9" customHeight="1" x14ac:dyDescent="0.25">
      <c r="B48" s="259"/>
      <c r="C48" s="259"/>
      <c r="D48" s="259"/>
      <c r="E48" s="259"/>
      <c r="F48" s="259"/>
      <c r="G48" s="259"/>
      <c r="H48" s="259"/>
      <c r="I48" s="259"/>
      <c r="J48" s="259"/>
      <c r="K48" s="259"/>
      <c r="L48" s="259"/>
    </row>
    <row r="49" spans="1:14" ht="9" customHeight="1" x14ac:dyDescent="0.25">
      <c r="A49" s="601">
        <v>2002</v>
      </c>
      <c r="B49" s="259"/>
      <c r="C49" s="259"/>
      <c r="D49" s="259"/>
      <c r="E49" s="259"/>
      <c r="F49" s="259"/>
      <c r="G49" s="259"/>
      <c r="H49" s="259"/>
      <c r="I49" s="259"/>
      <c r="J49" s="259"/>
      <c r="K49" s="259"/>
      <c r="L49" s="259"/>
    </row>
    <row r="50" spans="1:14" s="263" customFormat="1" ht="9" customHeight="1" x14ac:dyDescent="0.25">
      <c r="A50" s="265" t="s">
        <v>21</v>
      </c>
      <c r="B50" s="262">
        <f>SUM(B52:B83)</f>
        <v>32658</v>
      </c>
      <c r="C50" s="262"/>
      <c r="D50" s="262">
        <f>SUM(D52:D83)</f>
        <v>32349</v>
      </c>
      <c r="E50" s="262">
        <f>SUM(E52:E83)</f>
        <v>4408</v>
      </c>
      <c r="F50" s="262"/>
      <c r="G50" s="262">
        <f t="shared" ref="G50:N50" si="4">SUM(G52:G83)</f>
        <v>26790</v>
      </c>
      <c r="H50" s="262">
        <f t="shared" si="4"/>
        <v>4383</v>
      </c>
      <c r="I50" s="262">
        <f t="shared" si="4"/>
        <v>3539</v>
      </c>
      <c r="J50" s="262">
        <f t="shared" si="4"/>
        <v>18868</v>
      </c>
      <c r="K50" s="262">
        <f t="shared" si="4"/>
        <v>230</v>
      </c>
      <c r="L50" s="262">
        <f t="shared" si="4"/>
        <v>379</v>
      </c>
      <c r="M50" s="262">
        <f t="shared" si="4"/>
        <v>542</v>
      </c>
      <c r="N50" s="262">
        <f t="shared" si="4"/>
        <v>309</v>
      </c>
    </row>
    <row r="51" spans="1:14" s="263" customFormat="1" ht="3" customHeight="1" x14ac:dyDescent="0.25">
      <c r="A51" s="265"/>
      <c r="B51" s="262"/>
      <c r="C51" s="262"/>
      <c r="D51" s="262"/>
      <c r="E51" s="262"/>
      <c r="F51" s="262"/>
      <c r="G51" s="262"/>
      <c r="H51" s="262"/>
      <c r="I51" s="262"/>
      <c r="J51" s="262"/>
      <c r="K51" s="262"/>
      <c r="L51" s="262"/>
      <c r="M51" s="262"/>
      <c r="N51" s="262"/>
    </row>
    <row r="52" spans="1:14" s="263" customFormat="1" ht="9" customHeight="1" x14ac:dyDescent="0.25">
      <c r="A52" s="263" t="s">
        <v>23</v>
      </c>
      <c r="B52" s="266">
        <f>SUM(D52+N52)</f>
        <v>148</v>
      </c>
      <c r="C52" s="266"/>
      <c r="D52" s="283">
        <f>SUM(E52+G52+K52+L52+M52)</f>
        <v>144</v>
      </c>
      <c r="E52" s="600">
        <v>25</v>
      </c>
      <c r="F52" s="266"/>
      <c r="G52" s="266">
        <f>SUM(H52:J52)</f>
        <v>118</v>
      </c>
      <c r="H52" s="600">
        <v>22</v>
      </c>
      <c r="I52" s="600">
        <v>15</v>
      </c>
      <c r="J52" s="266">
        <v>81</v>
      </c>
      <c r="K52" s="600">
        <v>1</v>
      </c>
      <c r="L52" s="600">
        <v>0</v>
      </c>
      <c r="M52" s="600">
        <v>0</v>
      </c>
      <c r="N52" s="600">
        <v>4</v>
      </c>
    </row>
    <row r="53" spans="1:14" s="263" customFormat="1" ht="9" customHeight="1" x14ac:dyDescent="0.25">
      <c r="A53" s="263" t="s">
        <v>24</v>
      </c>
      <c r="B53" s="266">
        <f>SUM(D53+N53)</f>
        <v>2073</v>
      </c>
      <c r="C53" s="266"/>
      <c r="D53" s="283">
        <f>SUM(E53+G53+K53+L53+M53)</f>
        <v>2054</v>
      </c>
      <c r="E53" s="266">
        <v>417</v>
      </c>
      <c r="F53" s="266"/>
      <c r="G53" s="266">
        <f>SUM(H53:J53)</f>
        <v>1609</v>
      </c>
      <c r="H53" s="266">
        <v>264</v>
      </c>
      <c r="I53" s="266">
        <v>263</v>
      </c>
      <c r="J53" s="266">
        <v>1082</v>
      </c>
      <c r="K53" s="266">
        <v>6</v>
      </c>
      <c r="L53" s="266">
        <v>5</v>
      </c>
      <c r="M53" s="266">
        <v>17</v>
      </c>
      <c r="N53" s="266">
        <v>19</v>
      </c>
    </row>
    <row r="54" spans="1:14" s="263" customFormat="1" ht="9" customHeight="1" x14ac:dyDescent="0.25">
      <c r="A54" s="263" t="s">
        <v>25</v>
      </c>
      <c r="B54" s="266">
        <f t="shared" ref="B54:B83" si="5">SUM(D54+N54)</f>
        <v>130</v>
      </c>
      <c r="C54" s="266"/>
      <c r="D54" s="283">
        <f t="shared" ref="D54:D83" si="6">SUM(E54+G54+K54+L54+M54)</f>
        <v>130</v>
      </c>
      <c r="E54" s="600">
        <v>16</v>
      </c>
      <c r="F54" s="266"/>
      <c r="G54" s="266">
        <f t="shared" ref="G54:G83" si="7">SUM(H54:J54)</f>
        <v>108</v>
      </c>
      <c r="H54" s="600">
        <v>18</v>
      </c>
      <c r="I54" s="600">
        <v>14</v>
      </c>
      <c r="J54" s="266">
        <v>76</v>
      </c>
      <c r="K54" s="600">
        <v>0</v>
      </c>
      <c r="L54" s="600">
        <v>3</v>
      </c>
      <c r="M54" s="600">
        <v>3</v>
      </c>
      <c r="N54" s="600">
        <v>0</v>
      </c>
    </row>
    <row r="55" spans="1:14" s="263" customFormat="1" ht="9" customHeight="1" x14ac:dyDescent="0.25">
      <c r="A55" s="267" t="s">
        <v>26</v>
      </c>
      <c r="B55" s="268">
        <f t="shared" si="5"/>
        <v>135</v>
      </c>
      <c r="C55" s="268"/>
      <c r="D55" s="284">
        <f t="shared" si="6"/>
        <v>130</v>
      </c>
      <c r="E55" s="604">
        <v>23</v>
      </c>
      <c r="F55" s="268"/>
      <c r="G55" s="268">
        <f t="shared" si="7"/>
        <v>106</v>
      </c>
      <c r="H55" s="604">
        <v>23</v>
      </c>
      <c r="I55" s="604">
        <v>21</v>
      </c>
      <c r="J55" s="268">
        <v>62</v>
      </c>
      <c r="K55" s="604">
        <v>0</v>
      </c>
      <c r="L55" s="604">
        <v>0</v>
      </c>
      <c r="M55" s="604">
        <v>1</v>
      </c>
      <c r="N55" s="604">
        <v>5</v>
      </c>
    </row>
    <row r="56" spans="1:14" s="263" customFormat="1" ht="9" customHeight="1" x14ac:dyDescent="0.25">
      <c r="A56" s="263" t="s">
        <v>27</v>
      </c>
      <c r="B56" s="266">
        <f t="shared" si="5"/>
        <v>835</v>
      </c>
      <c r="C56" s="266"/>
      <c r="D56" s="283">
        <f t="shared" si="6"/>
        <v>829</v>
      </c>
      <c r="E56" s="600">
        <v>32</v>
      </c>
      <c r="F56" s="266"/>
      <c r="G56" s="266">
        <f t="shared" si="7"/>
        <v>776</v>
      </c>
      <c r="H56" s="600">
        <v>110</v>
      </c>
      <c r="I56" s="600">
        <v>92</v>
      </c>
      <c r="J56" s="266">
        <v>574</v>
      </c>
      <c r="K56" s="600">
        <v>8</v>
      </c>
      <c r="L56" s="600">
        <v>4</v>
      </c>
      <c r="M56" s="600">
        <v>9</v>
      </c>
      <c r="N56" s="600">
        <v>6</v>
      </c>
    </row>
    <row r="57" spans="1:14" s="263" customFormat="1" ht="9" customHeight="1" x14ac:dyDescent="0.25">
      <c r="A57" s="263" t="s">
        <v>28</v>
      </c>
      <c r="B57" s="266">
        <f t="shared" si="5"/>
        <v>224</v>
      </c>
      <c r="C57" s="266"/>
      <c r="D57" s="283">
        <f t="shared" si="6"/>
        <v>224</v>
      </c>
      <c r="E57" s="600">
        <v>32</v>
      </c>
      <c r="F57" s="266"/>
      <c r="G57" s="266">
        <f t="shared" si="7"/>
        <v>189</v>
      </c>
      <c r="H57" s="600">
        <v>26</v>
      </c>
      <c r="I57" s="600">
        <v>22</v>
      </c>
      <c r="J57" s="266">
        <v>141</v>
      </c>
      <c r="K57" s="600">
        <v>0</v>
      </c>
      <c r="L57" s="600">
        <v>0</v>
      </c>
      <c r="M57" s="600">
        <v>3</v>
      </c>
      <c r="N57" s="600">
        <v>0</v>
      </c>
    </row>
    <row r="58" spans="1:14" s="263" customFormat="1" ht="9" customHeight="1" x14ac:dyDescent="0.25">
      <c r="A58" s="263" t="s">
        <v>29</v>
      </c>
      <c r="B58" s="266">
        <f t="shared" si="5"/>
        <v>427</v>
      </c>
      <c r="C58" s="266"/>
      <c r="D58" s="283">
        <f t="shared" si="6"/>
        <v>416</v>
      </c>
      <c r="E58" s="600">
        <v>82</v>
      </c>
      <c r="F58" s="266"/>
      <c r="G58" s="266">
        <f t="shared" si="7"/>
        <v>321</v>
      </c>
      <c r="H58" s="600">
        <v>62</v>
      </c>
      <c r="I58" s="600">
        <v>53</v>
      </c>
      <c r="J58" s="266">
        <v>206</v>
      </c>
      <c r="K58" s="600">
        <v>2</v>
      </c>
      <c r="L58" s="600">
        <v>6</v>
      </c>
      <c r="M58" s="600">
        <v>5</v>
      </c>
      <c r="N58" s="600">
        <v>11</v>
      </c>
    </row>
    <row r="59" spans="1:14" s="263" customFormat="1" ht="9" customHeight="1" x14ac:dyDescent="0.25">
      <c r="A59" s="267" t="s">
        <v>30</v>
      </c>
      <c r="B59" s="268">
        <f t="shared" si="5"/>
        <v>1215</v>
      </c>
      <c r="C59" s="268"/>
      <c r="D59" s="284">
        <f t="shared" si="6"/>
        <v>1212</v>
      </c>
      <c r="E59" s="604">
        <v>158</v>
      </c>
      <c r="F59" s="268"/>
      <c r="G59" s="268">
        <f t="shared" si="7"/>
        <v>1030</v>
      </c>
      <c r="H59" s="604">
        <v>200</v>
      </c>
      <c r="I59" s="604">
        <v>124</v>
      </c>
      <c r="J59" s="268">
        <v>706</v>
      </c>
      <c r="K59" s="604">
        <v>11</v>
      </c>
      <c r="L59" s="604">
        <v>3</v>
      </c>
      <c r="M59" s="604">
        <v>10</v>
      </c>
      <c r="N59" s="604">
        <v>3</v>
      </c>
    </row>
    <row r="60" spans="1:14" s="263" customFormat="1" ht="9" customHeight="1" x14ac:dyDescent="0.25">
      <c r="A60" s="263" t="s">
        <v>63</v>
      </c>
      <c r="B60" s="266">
        <f t="shared" si="5"/>
        <v>4392</v>
      </c>
      <c r="C60" s="266"/>
      <c r="D60" s="283">
        <f t="shared" si="6"/>
        <v>4347</v>
      </c>
      <c r="E60" s="600">
        <v>516</v>
      </c>
      <c r="F60" s="266"/>
      <c r="G60" s="266">
        <f t="shared" si="7"/>
        <v>3515</v>
      </c>
      <c r="H60" s="600">
        <v>405</v>
      </c>
      <c r="I60" s="600">
        <v>314</v>
      </c>
      <c r="J60" s="266">
        <v>2796</v>
      </c>
      <c r="K60" s="600">
        <v>77</v>
      </c>
      <c r="L60" s="600">
        <v>147</v>
      </c>
      <c r="M60" s="600">
        <v>92</v>
      </c>
      <c r="N60" s="600">
        <v>45</v>
      </c>
    </row>
    <row r="61" spans="1:14" s="263" customFormat="1" ht="9" customHeight="1" x14ac:dyDescent="0.25">
      <c r="A61" s="263" t="s">
        <v>31</v>
      </c>
      <c r="B61" s="266">
        <f t="shared" si="5"/>
        <v>23</v>
      </c>
      <c r="C61" s="266"/>
      <c r="D61" s="283">
        <f t="shared" si="6"/>
        <v>23</v>
      </c>
      <c r="E61" s="600">
        <v>16</v>
      </c>
      <c r="F61" s="266"/>
      <c r="G61" s="266">
        <f t="shared" si="7"/>
        <v>2</v>
      </c>
      <c r="H61" s="600">
        <v>1</v>
      </c>
      <c r="I61" s="600">
        <v>0</v>
      </c>
      <c r="J61" s="266">
        <v>1</v>
      </c>
      <c r="K61" s="600">
        <v>3</v>
      </c>
      <c r="L61" s="600">
        <v>2</v>
      </c>
      <c r="M61" s="600">
        <v>0</v>
      </c>
      <c r="N61" s="600">
        <v>0</v>
      </c>
    </row>
    <row r="62" spans="1:14" s="263" customFormat="1" ht="9" customHeight="1" x14ac:dyDescent="0.25">
      <c r="A62" s="263" t="s">
        <v>32</v>
      </c>
      <c r="B62" s="266">
        <f t="shared" si="5"/>
        <v>1978</v>
      </c>
      <c r="C62" s="266"/>
      <c r="D62" s="283">
        <f t="shared" si="6"/>
        <v>1963</v>
      </c>
      <c r="E62" s="600">
        <v>327</v>
      </c>
      <c r="F62" s="266"/>
      <c r="G62" s="266">
        <f t="shared" si="7"/>
        <v>1578</v>
      </c>
      <c r="H62" s="600">
        <v>237</v>
      </c>
      <c r="I62" s="600">
        <v>247</v>
      </c>
      <c r="J62" s="266">
        <v>1094</v>
      </c>
      <c r="K62" s="600">
        <v>17</v>
      </c>
      <c r="L62" s="600">
        <v>4</v>
      </c>
      <c r="M62" s="600">
        <v>37</v>
      </c>
      <c r="N62" s="600">
        <v>15</v>
      </c>
    </row>
    <row r="63" spans="1:14" s="263" customFormat="1" ht="9" customHeight="1" x14ac:dyDescent="0.25">
      <c r="A63" s="267" t="s">
        <v>33</v>
      </c>
      <c r="B63" s="268">
        <f t="shared" si="5"/>
        <v>526</v>
      </c>
      <c r="C63" s="268"/>
      <c r="D63" s="284">
        <f t="shared" si="6"/>
        <v>517</v>
      </c>
      <c r="E63" s="604">
        <v>90</v>
      </c>
      <c r="F63" s="268"/>
      <c r="G63" s="268">
        <f t="shared" si="7"/>
        <v>415</v>
      </c>
      <c r="H63" s="604">
        <v>78</v>
      </c>
      <c r="I63" s="604">
        <v>61</v>
      </c>
      <c r="J63" s="268">
        <v>276</v>
      </c>
      <c r="K63" s="604">
        <v>0</v>
      </c>
      <c r="L63" s="604">
        <v>0</v>
      </c>
      <c r="M63" s="604">
        <v>12</v>
      </c>
      <c r="N63" s="604">
        <v>9</v>
      </c>
    </row>
    <row r="64" spans="1:14" s="263" customFormat="1" ht="9" customHeight="1" x14ac:dyDescent="0.25">
      <c r="A64" s="263" t="s">
        <v>34</v>
      </c>
      <c r="B64" s="266">
        <f t="shared" si="5"/>
        <v>511</v>
      </c>
      <c r="C64" s="266"/>
      <c r="D64" s="283">
        <f t="shared" si="6"/>
        <v>508</v>
      </c>
      <c r="E64" s="600">
        <v>90</v>
      </c>
      <c r="F64" s="266"/>
      <c r="G64" s="266">
        <f t="shared" si="7"/>
        <v>405</v>
      </c>
      <c r="H64" s="600">
        <v>63</v>
      </c>
      <c r="I64" s="600">
        <v>62</v>
      </c>
      <c r="J64" s="266">
        <v>280</v>
      </c>
      <c r="K64" s="600">
        <v>3</v>
      </c>
      <c r="L64" s="600">
        <v>3</v>
      </c>
      <c r="M64" s="600">
        <v>7</v>
      </c>
      <c r="N64" s="600">
        <v>3</v>
      </c>
    </row>
    <row r="65" spans="1:14" s="263" customFormat="1" ht="9" customHeight="1" x14ac:dyDescent="0.25">
      <c r="A65" s="263" t="s">
        <v>35</v>
      </c>
      <c r="B65" s="266">
        <f t="shared" si="5"/>
        <v>4132</v>
      </c>
      <c r="C65" s="266"/>
      <c r="D65" s="283">
        <f t="shared" si="6"/>
        <v>4094</v>
      </c>
      <c r="E65" s="600">
        <v>374</v>
      </c>
      <c r="F65" s="266"/>
      <c r="G65" s="266">
        <f t="shared" si="7"/>
        <v>3649</v>
      </c>
      <c r="H65" s="600">
        <v>626</v>
      </c>
      <c r="I65" s="600">
        <v>443</v>
      </c>
      <c r="J65" s="266">
        <v>2580</v>
      </c>
      <c r="K65" s="600">
        <v>7</v>
      </c>
      <c r="L65" s="600">
        <v>36</v>
      </c>
      <c r="M65" s="600">
        <v>28</v>
      </c>
      <c r="N65" s="600">
        <v>38</v>
      </c>
    </row>
    <row r="66" spans="1:14" s="263" customFormat="1" ht="9" customHeight="1" x14ac:dyDescent="0.25">
      <c r="A66" s="263" t="s">
        <v>36</v>
      </c>
      <c r="B66" s="266">
        <f t="shared" si="5"/>
        <v>4686</v>
      </c>
      <c r="C66" s="266"/>
      <c r="D66" s="283">
        <f t="shared" si="6"/>
        <v>4648</v>
      </c>
      <c r="E66" s="600">
        <v>586</v>
      </c>
      <c r="F66" s="266"/>
      <c r="G66" s="266">
        <f t="shared" si="7"/>
        <v>3906</v>
      </c>
      <c r="H66" s="600">
        <v>681</v>
      </c>
      <c r="I66" s="600">
        <v>546</v>
      </c>
      <c r="J66" s="266">
        <v>2679</v>
      </c>
      <c r="K66" s="600">
        <v>26</v>
      </c>
      <c r="L66" s="600">
        <v>17</v>
      </c>
      <c r="M66" s="600">
        <v>113</v>
      </c>
      <c r="N66" s="600">
        <v>38</v>
      </c>
    </row>
    <row r="67" spans="1:14" s="263" customFormat="1" ht="9" customHeight="1" x14ac:dyDescent="0.25">
      <c r="A67" s="267" t="s">
        <v>37</v>
      </c>
      <c r="B67" s="268">
        <f t="shared" si="5"/>
        <v>1797</v>
      </c>
      <c r="C67" s="268"/>
      <c r="D67" s="284">
        <f t="shared" si="6"/>
        <v>1791</v>
      </c>
      <c r="E67" s="604">
        <v>331</v>
      </c>
      <c r="F67" s="268"/>
      <c r="G67" s="268">
        <f t="shared" si="7"/>
        <v>1388</v>
      </c>
      <c r="H67" s="604">
        <v>221</v>
      </c>
      <c r="I67" s="604">
        <v>204</v>
      </c>
      <c r="J67" s="268">
        <v>963</v>
      </c>
      <c r="K67" s="604">
        <v>21</v>
      </c>
      <c r="L67" s="604">
        <v>36</v>
      </c>
      <c r="M67" s="604">
        <v>15</v>
      </c>
      <c r="N67" s="604">
        <v>6</v>
      </c>
    </row>
    <row r="68" spans="1:14" s="263" customFormat="1" ht="9" customHeight="1" x14ac:dyDescent="0.25">
      <c r="A68" s="263" t="s">
        <v>38</v>
      </c>
      <c r="B68" s="266">
        <f t="shared" si="5"/>
        <v>447</v>
      </c>
      <c r="C68" s="266"/>
      <c r="D68" s="283">
        <f t="shared" si="6"/>
        <v>445</v>
      </c>
      <c r="E68" s="600">
        <v>69</v>
      </c>
      <c r="F68" s="266"/>
      <c r="G68" s="266">
        <f t="shared" si="7"/>
        <v>368</v>
      </c>
      <c r="H68" s="600">
        <v>64</v>
      </c>
      <c r="I68" s="600">
        <v>61</v>
      </c>
      <c r="J68" s="266">
        <v>243</v>
      </c>
      <c r="K68" s="600">
        <v>3</v>
      </c>
      <c r="L68" s="600">
        <v>1</v>
      </c>
      <c r="M68" s="600">
        <v>4</v>
      </c>
      <c r="N68" s="600">
        <v>2</v>
      </c>
    </row>
    <row r="69" spans="1:14" s="263" customFormat="1" ht="9" customHeight="1" x14ac:dyDescent="0.25">
      <c r="A69" s="263" t="s">
        <v>39</v>
      </c>
      <c r="B69" s="266">
        <f t="shared" si="5"/>
        <v>208</v>
      </c>
      <c r="C69" s="266"/>
      <c r="D69" s="283">
        <f t="shared" si="6"/>
        <v>208</v>
      </c>
      <c r="E69" s="600">
        <v>48</v>
      </c>
      <c r="F69" s="266"/>
      <c r="G69" s="266">
        <f t="shared" si="7"/>
        <v>159</v>
      </c>
      <c r="H69" s="600">
        <v>26</v>
      </c>
      <c r="I69" s="600">
        <v>21</v>
      </c>
      <c r="J69" s="266">
        <v>112</v>
      </c>
      <c r="K69" s="600">
        <v>0</v>
      </c>
      <c r="L69" s="600">
        <v>0</v>
      </c>
      <c r="M69" s="600">
        <v>1</v>
      </c>
      <c r="N69" s="600">
        <v>0</v>
      </c>
    </row>
    <row r="70" spans="1:14" s="263" customFormat="1" ht="9" customHeight="1" x14ac:dyDescent="0.25">
      <c r="A70" s="263" t="s">
        <v>40</v>
      </c>
      <c r="B70" s="266">
        <f t="shared" si="5"/>
        <v>665</v>
      </c>
      <c r="C70" s="266"/>
      <c r="D70" s="283">
        <f t="shared" si="6"/>
        <v>652</v>
      </c>
      <c r="E70" s="600">
        <v>55</v>
      </c>
      <c r="F70" s="266"/>
      <c r="G70" s="266">
        <f t="shared" si="7"/>
        <v>479</v>
      </c>
      <c r="H70" s="600">
        <v>101</v>
      </c>
      <c r="I70" s="600">
        <v>87</v>
      </c>
      <c r="J70" s="266">
        <v>291</v>
      </c>
      <c r="K70" s="600">
        <v>9</v>
      </c>
      <c r="L70" s="600">
        <v>92</v>
      </c>
      <c r="M70" s="600">
        <v>17</v>
      </c>
      <c r="N70" s="600">
        <v>13</v>
      </c>
    </row>
    <row r="71" spans="1:14" s="263" customFormat="1" ht="9" customHeight="1" x14ac:dyDescent="0.25">
      <c r="A71" s="267" t="s">
        <v>41</v>
      </c>
      <c r="B71" s="268">
        <f t="shared" si="5"/>
        <v>519</v>
      </c>
      <c r="C71" s="268"/>
      <c r="D71" s="284">
        <f t="shared" si="6"/>
        <v>503</v>
      </c>
      <c r="E71" s="604">
        <v>99</v>
      </c>
      <c r="F71" s="268"/>
      <c r="G71" s="268">
        <f t="shared" si="7"/>
        <v>386</v>
      </c>
      <c r="H71" s="604">
        <v>59</v>
      </c>
      <c r="I71" s="604">
        <v>53</v>
      </c>
      <c r="J71" s="268">
        <v>274</v>
      </c>
      <c r="K71" s="604">
        <v>8</v>
      </c>
      <c r="L71" s="604">
        <v>0</v>
      </c>
      <c r="M71" s="604">
        <v>10</v>
      </c>
      <c r="N71" s="604">
        <v>16</v>
      </c>
    </row>
    <row r="72" spans="1:14" s="263" customFormat="1" ht="9" customHeight="1" x14ac:dyDescent="0.25">
      <c r="A72" s="263" t="s">
        <v>42</v>
      </c>
      <c r="B72" s="266">
        <f t="shared" si="5"/>
        <v>759</v>
      </c>
      <c r="C72" s="266"/>
      <c r="D72" s="283">
        <f t="shared" si="6"/>
        <v>741</v>
      </c>
      <c r="E72" s="600">
        <v>153</v>
      </c>
      <c r="F72" s="266"/>
      <c r="G72" s="266">
        <f t="shared" si="7"/>
        <v>556</v>
      </c>
      <c r="H72" s="600">
        <v>80</v>
      </c>
      <c r="I72" s="600">
        <v>71</v>
      </c>
      <c r="J72" s="266">
        <v>405</v>
      </c>
      <c r="K72" s="600">
        <v>3</v>
      </c>
      <c r="L72" s="600">
        <v>10</v>
      </c>
      <c r="M72" s="600">
        <v>19</v>
      </c>
      <c r="N72" s="600">
        <v>18</v>
      </c>
    </row>
    <row r="73" spans="1:14" s="263" customFormat="1" ht="9" customHeight="1" x14ac:dyDescent="0.25">
      <c r="A73" s="263" t="s">
        <v>43</v>
      </c>
      <c r="B73" s="266">
        <f t="shared" si="5"/>
        <v>620</v>
      </c>
      <c r="C73" s="266"/>
      <c r="D73" s="283">
        <f t="shared" si="6"/>
        <v>610</v>
      </c>
      <c r="E73" s="600">
        <v>92</v>
      </c>
      <c r="F73" s="266"/>
      <c r="G73" s="266">
        <f t="shared" si="7"/>
        <v>490</v>
      </c>
      <c r="H73" s="600">
        <v>67</v>
      </c>
      <c r="I73" s="600">
        <v>56</v>
      </c>
      <c r="J73" s="266">
        <v>367</v>
      </c>
      <c r="K73" s="600">
        <v>2</v>
      </c>
      <c r="L73" s="600">
        <v>0</v>
      </c>
      <c r="M73" s="600">
        <v>26</v>
      </c>
      <c r="N73" s="600">
        <v>10</v>
      </c>
    </row>
    <row r="74" spans="1:14" s="263" customFormat="1" ht="9" customHeight="1" x14ac:dyDescent="0.25">
      <c r="A74" s="263" t="s">
        <v>44</v>
      </c>
      <c r="B74" s="266">
        <f t="shared" si="5"/>
        <v>315</v>
      </c>
      <c r="C74" s="266"/>
      <c r="D74" s="283">
        <f t="shared" si="6"/>
        <v>311</v>
      </c>
      <c r="E74" s="600">
        <v>47</v>
      </c>
      <c r="F74" s="266"/>
      <c r="G74" s="266">
        <f t="shared" si="7"/>
        <v>252</v>
      </c>
      <c r="H74" s="600">
        <v>57</v>
      </c>
      <c r="I74" s="600">
        <v>42</v>
      </c>
      <c r="J74" s="266">
        <v>153</v>
      </c>
      <c r="K74" s="600">
        <v>0</v>
      </c>
      <c r="L74" s="600">
        <v>0</v>
      </c>
      <c r="M74" s="600">
        <v>12</v>
      </c>
      <c r="N74" s="263">
        <v>4</v>
      </c>
    </row>
    <row r="75" spans="1:14" s="263" customFormat="1" ht="9" customHeight="1" x14ac:dyDescent="0.25">
      <c r="A75" s="267" t="s">
        <v>45</v>
      </c>
      <c r="B75" s="268">
        <f t="shared" si="5"/>
        <v>275</v>
      </c>
      <c r="C75" s="268"/>
      <c r="D75" s="284">
        <f t="shared" si="6"/>
        <v>274</v>
      </c>
      <c r="E75" s="604">
        <v>43</v>
      </c>
      <c r="F75" s="268"/>
      <c r="G75" s="268">
        <f t="shared" si="7"/>
        <v>226</v>
      </c>
      <c r="H75" s="604">
        <v>47</v>
      </c>
      <c r="I75" s="604">
        <v>40</v>
      </c>
      <c r="J75" s="268">
        <v>139</v>
      </c>
      <c r="K75" s="604">
        <v>0</v>
      </c>
      <c r="L75" s="604">
        <v>0</v>
      </c>
      <c r="M75" s="604">
        <v>5</v>
      </c>
      <c r="N75" s="604">
        <v>1</v>
      </c>
    </row>
    <row r="76" spans="1:14" s="263" customFormat="1" ht="9" customHeight="1" x14ac:dyDescent="0.25">
      <c r="A76" s="263" t="s">
        <v>46</v>
      </c>
      <c r="B76" s="266">
        <f t="shared" si="5"/>
        <v>583</v>
      </c>
      <c r="C76" s="266"/>
      <c r="D76" s="283">
        <f t="shared" si="6"/>
        <v>581</v>
      </c>
      <c r="E76" s="600">
        <v>75</v>
      </c>
      <c r="F76" s="266"/>
      <c r="G76" s="266">
        <f t="shared" si="7"/>
        <v>498</v>
      </c>
      <c r="H76" s="600">
        <v>83</v>
      </c>
      <c r="I76" s="600">
        <v>73</v>
      </c>
      <c r="J76" s="266">
        <v>342</v>
      </c>
      <c r="K76" s="600">
        <v>1</v>
      </c>
      <c r="L76" s="600">
        <v>0</v>
      </c>
      <c r="M76" s="600">
        <v>7</v>
      </c>
      <c r="N76" s="600">
        <v>2</v>
      </c>
    </row>
    <row r="77" spans="1:14" s="263" customFormat="1" ht="9" customHeight="1" x14ac:dyDescent="0.25">
      <c r="A77" s="263" t="s">
        <v>47</v>
      </c>
      <c r="B77" s="266">
        <f t="shared" si="5"/>
        <v>1192</v>
      </c>
      <c r="C77" s="266"/>
      <c r="D77" s="283">
        <f t="shared" si="6"/>
        <v>1187</v>
      </c>
      <c r="E77" s="600">
        <v>121</v>
      </c>
      <c r="F77" s="266"/>
      <c r="G77" s="266">
        <f t="shared" si="7"/>
        <v>1058</v>
      </c>
      <c r="H77" s="600">
        <v>228</v>
      </c>
      <c r="I77" s="600">
        <v>114</v>
      </c>
      <c r="J77" s="266">
        <v>716</v>
      </c>
      <c r="K77" s="600">
        <v>0</v>
      </c>
      <c r="L77" s="600">
        <v>1</v>
      </c>
      <c r="M77" s="600">
        <v>7</v>
      </c>
      <c r="N77" s="600">
        <v>5</v>
      </c>
    </row>
    <row r="78" spans="1:14" s="263" customFormat="1" ht="9" customHeight="1" x14ac:dyDescent="0.25">
      <c r="A78" s="263" t="s">
        <v>48</v>
      </c>
      <c r="B78" s="266">
        <f t="shared" si="5"/>
        <v>338</v>
      </c>
      <c r="C78" s="266"/>
      <c r="D78" s="283">
        <f t="shared" si="6"/>
        <v>336</v>
      </c>
      <c r="E78" s="600">
        <v>65</v>
      </c>
      <c r="F78" s="266"/>
      <c r="G78" s="266">
        <f t="shared" si="7"/>
        <v>262</v>
      </c>
      <c r="H78" s="600">
        <v>40</v>
      </c>
      <c r="I78" s="600">
        <v>41</v>
      </c>
      <c r="J78" s="266">
        <v>181</v>
      </c>
      <c r="K78" s="600">
        <v>0</v>
      </c>
      <c r="L78" s="600">
        <v>0</v>
      </c>
      <c r="M78" s="600">
        <v>9</v>
      </c>
      <c r="N78" s="600">
        <v>2</v>
      </c>
    </row>
    <row r="79" spans="1:14" s="263" customFormat="1" ht="9" customHeight="1" x14ac:dyDescent="0.25">
      <c r="A79" s="267" t="s">
        <v>49</v>
      </c>
      <c r="B79" s="268">
        <f t="shared" si="5"/>
        <v>1020</v>
      </c>
      <c r="C79" s="268"/>
      <c r="D79" s="284">
        <f t="shared" si="6"/>
        <v>1005</v>
      </c>
      <c r="E79" s="604">
        <v>165</v>
      </c>
      <c r="F79" s="268"/>
      <c r="G79" s="268">
        <f t="shared" si="7"/>
        <v>810</v>
      </c>
      <c r="H79" s="604">
        <v>138</v>
      </c>
      <c r="I79" s="604">
        <v>114</v>
      </c>
      <c r="J79" s="268">
        <v>558</v>
      </c>
      <c r="K79" s="604">
        <v>7</v>
      </c>
      <c r="L79" s="604">
        <v>0</v>
      </c>
      <c r="M79" s="604">
        <v>23</v>
      </c>
      <c r="N79" s="604">
        <v>15</v>
      </c>
    </row>
    <row r="80" spans="1:14" s="263" customFormat="1" ht="9" customHeight="1" x14ac:dyDescent="0.25">
      <c r="A80" s="263" t="s">
        <v>50</v>
      </c>
      <c r="B80" s="266">
        <f t="shared" si="5"/>
        <v>328</v>
      </c>
      <c r="C80" s="266"/>
      <c r="D80" s="283">
        <f t="shared" si="6"/>
        <v>326</v>
      </c>
      <c r="E80" s="600">
        <v>44</v>
      </c>
      <c r="F80" s="266"/>
      <c r="G80" s="266">
        <f t="shared" si="7"/>
        <v>269</v>
      </c>
      <c r="H80" s="600">
        <v>42</v>
      </c>
      <c r="I80" s="600">
        <v>36</v>
      </c>
      <c r="J80" s="266">
        <v>191</v>
      </c>
      <c r="K80" s="600">
        <v>3</v>
      </c>
      <c r="L80" s="600">
        <v>0</v>
      </c>
      <c r="M80" s="600">
        <v>10</v>
      </c>
      <c r="N80" s="600">
        <v>2</v>
      </c>
    </row>
    <row r="81" spans="1:14" s="263" customFormat="1" ht="9" customHeight="1" x14ac:dyDescent="0.25">
      <c r="A81" s="263" t="s">
        <v>51</v>
      </c>
      <c r="B81" s="266">
        <f t="shared" si="5"/>
        <v>1234</v>
      </c>
      <c r="C81" s="266"/>
      <c r="D81" s="283">
        <f t="shared" si="6"/>
        <v>1222</v>
      </c>
      <c r="E81" s="600">
        <v>121</v>
      </c>
      <c r="F81" s="266"/>
      <c r="G81" s="266">
        <f t="shared" si="7"/>
        <v>1077</v>
      </c>
      <c r="H81" s="600">
        <v>199</v>
      </c>
      <c r="I81" s="600">
        <v>143</v>
      </c>
      <c r="J81" s="266">
        <v>735</v>
      </c>
      <c r="K81" s="600">
        <v>6</v>
      </c>
      <c r="L81" s="600">
        <v>4</v>
      </c>
      <c r="M81" s="600">
        <v>14</v>
      </c>
      <c r="N81" s="600">
        <v>12</v>
      </c>
    </row>
    <row r="82" spans="1:14" s="263" customFormat="1" ht="9" customHeight="1" x14ac:dyDescent="0.25">
      <c r="A82" s="263" t="s">
        <v>52</v>
      </c>
      <c r="B82" s="266">
        <f t="shared" si="5"/>
        <v>487</v>
      </c>
      <c r="C82" s="266"/>
      <c r="D82" s="283">
        <f t="shared" si="6"/>
        <v>487</v>
      </c>
      <c r="E82" s="600">
        <v>32</v>
      </c>
      <c r="F82" s="266"/>
      <c r="G82" s="266">
        <f t="shared" si="7"/>
        <v>431</v>
      </c>
      <c r="H82" s="600">
        <v>61</v>
      </c>
      <c r="I82" s="600">
        <v>59</v>
      </c>
      <c r="J82" s="266">
        <v>311</v>
      </c>
      <c r="K82" s="600">
        <v>2</v>
      </c>
      <c r="L82" s="600">
        <v>5</v>
      </c>
      <c r="M82" s="600">
        <v>17</v>
      </c>
      <c r="N82" s="600">
        <v>0</v>
      </c>
    </row>
    <row r="83" spans="1:14" s="263" customFormat="1" ht="9" customHeight="1" x14ac:dyDescent="0.25">
      <c r="A83" s="267" t="s">
        <v>53</v>
      </c>
      <c r="B83" s="268">
        <f t="shared" si="5"/>
        <v>436</v>
      </c>
      <c r="C83" s="268"/>
      <c r="D83" s="284">
        <f t="shared" si="6"/>
        <v>431</v>
      </c>
      <c r="E83" s="604">
        <v>64</v>
      </c>
      <c r="F83" s="268"/>
      <c r="G83" s="268">
        <f t="shared" si="7"/>
        <v>354</v>
      </c>
      <c r="H83" s="604">
        <v>54</v>
      </c>
      <c r="I83" s="604">
        <v>47</v>
      </c>
      <c r="J83" s="268">
        <v>253</v>
      </c>
      <c r="K83" s="604">
        <v>4</v>
      </c>
      <c r="L83" s="604">
        <v>0</v>
      </c>
      <c r="M83" s="604">
        <v>9</v>
      </c>
      <c r="N83" s="604">
        <v>5</v>
      </c>
    </row>
    <row r="84" spans="1:14" ht="8.25" customHeight="1" x14ac:dyDescent="0.25">
      <c r="B84" s="259"/>
      <c r="C84" s="259"/>
      <c r="D84" s="259"/>
      <c r="E84" s="259"/>
      <c r="F84" s="259"/>
      <c r="G84" s="259"/>
      <c r="H84" s="259"/>
      <c r="I84" s="259"/>
      <c r="J84" s="259"/>
      <c r="K84" s="259"/>
      <c r="L84" s="259"/>
    </row>
    <row r="85" spans="1:14" ht="8.85" customHeight="1" x14ac:dyDescent="0.25">
      <c r="A85" s="601">
        <v>2003</v>
      </c>
      <c r="B85" s="259"/>
      <c r="C85" s="259"/>
      <c r="D85" s="259"/>
      <c r="E85" s="259"/>
      <c r="F85" s="259"/>
      <c r="G85" s="259"/>
      <c r="H85" s="259"/>
      <c r="I85" s="259"/>
      <c r="J85" s="259"/>
      <c r="K85" s="259"/>
      <c r="L85" s="259"/>
    </row>
    <row r="86" spans="1:14" s="263" customFormat="1" ht="8.85" customHeight="1" x14ac:dyDescent="0.25">
      <c r="A86" s="265" t="s">
        <v>21</v>
      </c>
      <c r="B86" s="262">
        <f>SUM(B88:B119)</f>
        <v>38393</v>
      </c>
      <c r="C86" s="262"/>
      <c r="D86" s="262">
        <f>SUM(D88:D119)</f>
        <v>38044</v>
      </c>
      <c r="E86" s="262">
        <f>SUM(E88:E119)</f>
        <v>4751</v>
      </c>
      <c r="F86" s="262"/>
      <c r="G86" s="262">
        <f t="shared" ref="G86:N86" si="8">SUM(G88:G119)</f>
        <v>32045</v>
      </c>
      <c r="H86" s="262">
        <f t="shared" si="8"/>
        <v>5121</v>
      </c>
      <c r="I86" s="262">
        <f t="shared" si="8"/>
        <v>4193</v>
      </c>
      <c r="J86" s="262">
        <f t="shared" si="8"/>
        <v>22731</v>
      </c>
      <c r="K86" s="262">
        <f t="shared" si="8"/>
        <v>174</v>
      </c>
      <c r="L86" s="262">
        <f t="shared" si="8"/>
        <v>493</v>
      </c>
      <c r="M86" s="262">
        <f t="shared" si="8"/>
        <v>581</v>
      </c>
      <c r="N86" s="262">
        <f t="shared" si="8"/>
        <v>349</v>
      </c>
    </row>
    <row r="87" spans="1:14" s="263" customFormat="1" ht="2.1" customHeight="1" x14ac:dyDescent="0.25">
      <c r="A87" s="265"/>
      <c r="B87" s="262"/>
      <c r="C87" s="262"/>
      <c r="D87" s="262"/>
      <c r="E87" s="262"/>
      <c r="F87" s="262"/>
      <c r="G87" s="262"/>
      <c r="H87" s="262"/>
      <c r="I87" s="262"/>
      <c r="J87" s="262"/>
      <c r="K87" s="262"/>
      <c r="L87" s="262"/>
      <c r="M87" s="262"/>
      <c r="N87" s="262"/>
    </row>
    <row r="88" spans="1:14" s="263" customFormat="1" ht="8.85" customHeight="1" x14ac:dyDescent="0.25">
      <c r="A88" s="263" t="s">
        <v>23</v>
      </c>
      <c r="B88" s="266">
        <f>SUM(D88+N88)</f>
        <v>118</v>
      </c>
      <c r="C88" s="266"/>
      <c r="D88" s="283">
        <f>SUM(E88+G88+K88+L88+M88)</f>
        <v>115</v>
      </c>
      <c r="E88" s="600">
        <v>23</v>
      </c>
      <c r="F88" s="266"/>
      <c r="G88" s="266">
        <f>SUM(H88:J88)</f>
        <v>90</v>
      </c>
      <c r="H88" s="600">
        <v>14</v>
      </c>
      <c r="I88" s="600">
        <v>9</v>
      </c>
      <c r="J88" s="266">
        <v>67</v>
      </c>
      <c r="K88" s="600">
        <v>1</v>
      </c>
      <c r="L88" s="600">
        <v>0</v>
      </c>
      <c r="M88" s="600">
        <v>1</v>
      </c>
      <c r="N88" s="600">
        <v>3</v>
      </c>
    </row>
    <row r="89" spans="1:14" s="263" customFormat="1" ht="8.85" customHeight="1" x14ac:dyDescent="0.25">
      <c r="A89" s="263" t="s">
        <v>24</v>
      </c>
      <c r="B89" s="266">
        <f>SUM(D89+N89)</f>
        <v>1766</v>
      </c>
      <c r="C89" s="266"/>
      <c r="D89" s="283">
        <f>SUM(E89+G89+K89+L89+M89)</f>
        <v>1748</v>
      </c>
      <c r="E89" s="266">
        <v>340</v>
      </c>
      <c r="F89" s="266"/>
      <c r="G89" s="266">
        <f>SUM(H89:J89)</f>
        <v>1387</v>
      </c>
      <c r="H89" s="266">
        <v>241</v>
      </c>
      <c r="I89" s="266">
        <v>193</v>
      </c>
      <c r="J89" s="266">
        <v>953</v>
      </c>
      <c r="K89" s="266">
        <v>2</v>
      </c>
      <c r="L89" s="266">
        <v>0</v>
      </c>
      <c r="M89" s="266">
        <v>19</v>
      </c>
      <c r="N89" s="266">
        <v>18</v>
      </c>
    </row>
    <row r="90" spans="1:14" s="263" customFormat="1" ht="8.85" customHeight="1" x14ac:dyDescent="0.25">
      <c r="A90" s="263" t="s">
        <v>25</v>
      </c>
      <c r="B90" s="266">
        <f t="shared" ref="B90:B119" si="9">SUM(D90+N90)</f>
        <v>139</v>
      </c>
      <c r="C90" s="266"/>
      <c r="D90" s="283">
        <f t="shared" ref="D90:D119" si="10">SUM(E90+G90+K90+L90+M90)</f>
        <v>139</v>
      </c>
      <c r="E90" s="600">
        <v>21</v>
      </c>
      <c r="F90" s="266"/>
      <c r="G90" s="266">
        <f t="shared" ref="G90:G119" si="11">SUM(H90:J90)</f>
        <v>109</v>
      </c>
      <c r="H90" s="600">
        <v>17</v>
      </c>
      <c r="I90" s="600">
        <v>15</v>
      </c>
      <c r="J90" s="266">
        <v>77</v>
      </c>
      <c r="K90" s="600">
        <v>0</v>
      </c>
      <c r="L90" s="600">
        <v>4</v>
      </c>
      <c r="M90" s="600">
        <v>5</v>
      </c>
      <c r="N90" s="600">
        <v>0</v>
      </c>
    </row>
    <row r="91" spans="1:14" s="263" customFormat="1" ht="8.85" customHeight="1" x14ac:dyDescent="0.25">
      <c r="A91" s="267" t="s">
        <v>26</v>
      </c>
      <c r="B91" s="268">
        <f t="shared" si="9"/>
        <v>139</v>
      </c>
      <c r="C91" s="268"/>
      <c r="D91" s="284">
        <f t="shared" si="10"/>
        <v>134</v>
      </c>
      <c r="E91" s="604">
        <v>34</v>
      </c>
      <c r="F91" s="268"/>
      <c r="G91" s="268">
        <f t="shared" si="11"/>
        <v>98</v>
      </c>
      <c r="H91" s="604">
        <v>17</v>
      </c>
      <c r="I91" s="604">
        <v>16</v>
      </c>
      <c r="J91" s="268">
        <v>65</v>
      </c>
      <c r="K91" s="604">
        <v>0</v>
      </c>
      <c r="L91" s="604">
        <v>0</v>
      </c>
      <c r="M91" s="604">
        <v>2</v>
      </c>
      <c r="N91" s="604">
        <v>5</v>
      </c>
    </row>
    <row r="92" spans="1:14" s="263" customFormat="1" ht="8.85" customHeight="1" x14ac:dyDescent="0.25">
      <c r="A92" s="263" t="s">
        <v>27</v>
      </c>
      <c r="B92" s="266">
        <f t="shared" si="9"/>
        <v>1093</v>
      </c>
      <c r="C92" s="266"/>
      <c r="D92" s="283">
        <f t="shared" si="10"/>
        <v>1083</v>
      </c>
      <c r="E92" s="600">
        <v>68</v>
      </c>
      <c r="F92" s="266"/>
      <c r="G92" s="266">
        <f t="shared" si="11"/>
        <v>994</v>
      </c>
      <c r="H92" s="600">
        <v>164</v>
      </c>
      <c r="I92" s="600">
        <v>153</v>
      </c>
      <c r="J92" s="266">
        <v>677</v>
      </c>
      <c r="K92" s="600">
        <v>10</v>
      </c>
      <c r="L92" s="600">
        <v>0</v>
      </c>
      <c r="M92" s="600">
        <v>11</v>
      </c>
      <c r="N92" s="600">
        <v>10</v>
      </c>
    </row>
    <row r="93" spans="1:14" s="263" customFormat="1" ht="8.85" customHeight="1" x14ac:dyDescent="0.25">
      <c r="A93" s="263" t="s">
        <v>28</v>
      </c>
      <c r="B93" s="266">
        <f t="shared" si="9"/>
        <v>202</v>
      </c>
      <c r="C93" s="266"/>
      <c r="D93" s="283">
        <f t="shared" si="10"/>
        <v>202</v>
      </c>
      <c r="E93" s="600">
        <v>23</v>
      </c>
      <c r="F93" s="266"/>
      <c r="G93" s="266">
        <f t="shared" si="11"/>
        <v>176</v>
      </c>
      <c r="H93" s="600">
        <v>26</v>
      </c>
      <c r="I93" s="600">
        <v>21</v>
      </c>
      <c r="J93" s="266">
        <v>129</v>
      </c>
      <c r="K93" s="600">
        <v>0</v>
      </c>
      <c r="L93" s="600">
        <v>0</v>
      </c>
      <c r="M93" s="600">
        <v>3</v>
      </c>
      <c r="N93" s="600">
        <v>0</v>
      </c>
    </row>
    <row r="94" spans="1:14" s="263" customFormat="1" ht="8.85" customHeight="1" x14ac:dyDescent="0.25">
      <c r="A94" s="263" t="s">
        <v>29</v>
      </c>
      <c r="B94" s="266">
        <f t="shared" si="9"/>
        <v>444</v>
      </c>
      <c r="C94" s="266"/>
      <c r="D94" s="283">
        <f t="shared" si="10"/>
        <v>431</v>
      </c>
      <c r="E94" s="600">
        <v>78</v>
      </c>
      <c r="F94" s="266"/>
      <c r="G94" s="266">
        <f t="shared" si="11"/>
        <v>341</v>
      </c>
      <c r="H94" s="600">
        <v>63</v>
      </c>
      <c r="I94" s="600">
        <v>52</v>
      </c>
      <c r="J94" s="266">
        <v>226</v>
      </c>
      <c r="K94" s="600">
        <v>2</v>
      </c>
      <c r="L94" s="600">
        <v>6</v>
      </c>
      <c r="M94" s="600">
        <v>4</v>
      </c>
      <c r="N94" s="600">
        <v>13</v>
      </c>
    </row>
    <row r="95" spans="1:14" s="263" customFormat="1" ht="8.85" customHeight="1" x14ac:dyDescent="0.25">
      <c r="A95" s="267" t="s">
        <v>30</v>
      </c>
      <c r="B95" s="268">
        <f t="shared" si="9"/>
        <v>1148</v>
      </c>
      <c r="C95" s="268"/>
      <c r="D95" s="284">
        <f t="shared" si="10"/>
        <v>1140</v>
      </c>
      <c r="E95" s="604">
        <v>165</v>
      </c>
      <c r="F95" s="268"/>
      <c r="G95" s="268">
        <f t="shared" si="11"/>
        <v>960</v>
      </c>
      <c r="H95" s="604">
        <v>150</v>
      </c>
      <c r="I95" s="604">
        <v>143</v>
      </c>
      <c r="J95" s="268">
        <v>667</v>
      </c>
      <c r="K95" s="604">
        <v>2</v>
      </c>
      <c r="L95" s="604">
        <v>1</v>
      </c>
      <c r="M95" s="604">
        <v>12</v>
      </c>
      <c r="N95" s="604">
        <v>8</v>
      </c>
    </row>
    <row r="96" spans="1:14" s="263" customFormat="1" ht="8.85" customHeight="1" x14ac:dyDescent="0.25">
      <c r="A96" s="263" t="s">
        <v>63</v>
      </c>
      <c r="B96" s="266">
        <f t="shared" si="9"/>
        <v>5647</v>
      </c>
      <c r="C96" s="266"/>
      <c r="D96" s="283">
        <f t="shared" si="10"/>
        <v>5591</v>
      </c>
      <c r="E96" s="600">
        <v>493</v>
      </c>
      <c r="F96" s="266"/>
      <c r="G96" s="266">
        <f t="shared" si="11"/>
        <v>4654</v>
      </c>
      <c r="H96" s="600">
        <v>557</v>
      </c>
      <c r="I96" s="600">
        <v>413</v>
      </c>
      <c r="J96" s="266">
        <v>3684</v>
      </c>
      <c r="K96" s="600">
        <v>72</v>
      </c>
      <c r="L96" s="600">
        <v>258</v>
      </c>
      <c r="M96" s="600">
        <v>114</v>
      </c>
      <c r="N96" s="600">
        <v>56</v>
      </c>
    </row>
    <row r="97" spans="1:14" s="263" customFormat="1" ht="8.85" customHeight="1" x14ac:dyDescent="0.25">
      <c r="A97" s="263" t="s">
        <v>31</v>
      </c>
      <c r="B97" s="266">
        <f t="shared" si="9"/>
        <v>153</v>
      </c>
      <c r="C97" s="266"/>
      <c r="D97" s="283">
        <f t="shared" si="10"/>
        <v>152</v>
      </c>
      <c r="E97" s="600">
        <v>29</v>
      </c>
      <c r="F97" s="266"/>
      <c r="G97" s="266">
        <f t="shared" si="11"/>
        <v>113</v>
      </c>
      <c r="H97" s="600">
        <v>18</v>
      </c>
      <c r="I97" s="600">
        <v>14</v>
      </c>
      <c r="J97" s="266">
        <v>81</v>
      </c>
      <c r="K97" s="600">
        <v>0</v>
      </c>
      <c r="L97" s="600">
        <v>8</v>
      </c>
      <c r="M97" s="600">
        <v>2</v>
      </c>
      <c r="N97" s="600">
        <v>1</v>
      </c>
    </row>
    <row r="98" spans="1:14" s="263" customFormat="1" ht="8.85" customHeight="1" x14ac:dyDescent="0.25">
      <c r="A98" s="263" t="s">
        <v>32</v>
      </c>
      <c r="B98" s="266">
        <f t="shared" si="9"/>
        <v>2234</v>
      </c>
      <c r="C98" s="266"/>
      <c r="D98" s="283">
        <f t="shared" si="10"/>
        <v>2205</v>
      </c>
      <c r="E98" s="600">
        <v>349</v>
      </c>
      <c r="F98" s="266"/>
      <c r="G98" s="266">
        <f t="shared" si="11"/>
        <v>1807</v>
      </c>
      <c r="H98" s="600">
        <v>280</v>
      </c>
      <c r="I98" s="600">
        <v>261</v>
      </c>
      <c r="J98" s="266">
        <v>1266</v>
      </c>
      <c r="K98" s="600">
        <v>7</v>
      </c>
      <c r="L98" s="600">
        <v>0</v>
      </c>
      <c r="M98" s="600">
        <v>42</v>
      </c>
      <c r="N98" s="600">
        <v>29</v>
      </c>
    </row>
    <row r="99" spans="1:14" s="263" customFormat="1" ht="8.85" customHeight="1" x14ac:dyDescent="0.25">
      <c r="A99" s="267" t="s">
        <v>33</v>
      </c>
      <c r="B99" s="268">
        <f t="shared" si="9"/>
        <v>488</v>
      </c>
      <c r="C99" s="268"/>
      <c r="D99" s="284">
        <f t="shared" si="10"/>
        <v>483</v>
      </c>
      <c r="E99" s="604">
        <v>99</v>
      </c>
      <c r="F99" s="268"/>
      <c r="G99" s="268">
        <f t="shared" si="11"/>
        <v>376</v>
      </c>
      <c r="H99" s="604">
        <v>69</v>
      </c>
      <c r="I99" s="604">
        <v>57</v>
      </c>
      <c r="J99" s="268">
        <v>250</v>
      </c>
      <c r="K99" s="604">
        <v>1</v>
      </c>
      <c r="L99" s="604">
        <v>0</v>
      </c>
      <c r="M99" s="604">
        <v>7</v>
      </c>
      <c r="N99" s="604">
        <v>5</v>
      </c>
    </row>
    <row r="100" spans="1:14" s="263" customFormat="1" ht="8.85" customHeight="1" x14ac:dyDescent="0.25">
      <c r="A100" s="263" t="s">
        <v>34</v>
      </c>
      <c r="B100" s="266">
        <f t="shared" si="9"/>
        <v>520</v>
      </c>
      <c r="C100" s="266"/>
      <c r="D100" s="283">
        <f t="shared" si="10"/>
        <v>513</v>
      </c>
      <c r="E100" s="600">
        <v>98</v>
      </c>
      <c r="F100" s="266"/>
      <c r="G100" s="266">
        <f t="shared" si="11"/>
        <v>400</v>
      </c>
      <c r="H100" s="600">
        <v>69</v>
      </c>
      <c r="I100" s="600">
        <v>67</v>
      </c>
      <c r="J100" s="266">
        <v>264</v>
      </c>
      <c r="K100" s="600">
        <v>1</v>
      </c>
      <c r="L100" s="600">
        <v>1</v>
      </c>
      <c r="M100" s="600">
        <v>13</v>
      </c>
      <c r="N100" s="600">
        <v>7</v>
      </c>
    </row>
    <row r="101" spans="1:14" s="263" customFormat="1" ht="8.85" customHeight="1" x14ac:dyDescent="0.25">
      <c r="A101" s="263" t="s">
        <v>35</v>
      </c>
      <c r="B101" s="266">
        <f t="shared" si="9"/>
        <v>4369</v>
      </c>
      <c r="C101" s="266"/>
      <c r="D101" s="283">
        <f t="shared" si="10"/>
        <v>4345</v>
      </c>
      <c r="E101" s="600">
        <v>452</v>
      </c>
      <c r="F101" s="266"/>
      <c r="G101" s="266">
        <f t="shared" si="11"/>
        <v>3800</v>
      </c>
      <c r="H101" s="600">
        <v>648</v>
      </c>
      <c r="I101" s="600">
        <v>452</v>
      </c>
      <c r="J101" s="266">
        <v>2700</v>
      </c>
      <c r="K101" s="600">
        <v>11</v>
      </c>
      <c r="L101" s="600">
        <v>53</v>
      </c>
      <c r="M101" s="600">
        <v>29</v>
      </c>
      <c r="N101" s="600">
        <v>24</v>
      </c>
    </row>
    <row r="102" spans="1:14" s="263" customFormat="1" ht="8.85" customHeight="1" x14ac:dyDescent="0.25">
      <c r="A102" s="263" t="s">
        <v>36</v>
      </c>
      <c r="B102" s="266">
        <f t="shared" si="9"/>
        <v>4949</v>
      </c>
      <c r="C102" s="266"/>
      <c r="D102" s="283">
        <f t="shared" si="10"/>
        <v>4926</v>
      </c>
      <c r="E102" s="600">
        <v>648</v>
      </c>
      <c r="F102" s="266"/>
      <c r="G102" s="266">
        <f t="shared" si="11"/>
        <v>4154</v>
      </c>
      <c r="H102" s="600">
        <v>737</v>
      </c>
      <c r="I102" s="600">
        <v>594</v>
      </c>
      <c r="J102" s="266">
        <v>2823</v>
      </c>
      <c r="K102" s="600">
        <v>15</v>
      </c>
      <c r="L102" s="600">
        <v>15</v>
      </c>
      <c r="M102" s="600">
        <v>94</v>
      </c>
      <c r="N102" s="600">
        <v>23</v>
      </c>
    </row>
    <row r="103" spans="1:14" s="263" customFormat="1" ht="8.85" customHeight="1" x14ac:dyDescent="0.25">
      <c r="A103" s="267" t="s">
        <v>37</v>
      </c>
      <c r="B103" s="268">
        <f t="shared" si="9"/>
        <v>1903</v>
      </c>
      <c r="C103" s="268"/>
      <c r="D103" s="284">
        <f t="shared" si="10"/>
        <v>1888</v>
      </c>
      <c r="E103" s="604">
        <v>331</v>
      </c>
      <c r="F103" s="268"/>
      <c r="G103" s="268">
        <f t="shared" si="11"/>
        <v>1467</v>
      </c>
      <c r="H103" s="604">
        <v>236</v>
      </c>
      <c r="I103" s="604">
        <v>215</v>
      </c>
      <c r="J103" s="268">
        <v>1016</v>
      </c>
      <c r="K103" s="604">
        <v>19</v>
      </c>
      <c r="L103" s="604">
        <v>55</v>
      </c>
      <c r="M103" s="604">
        <v>16</v>
      </c>
      <c r="N103" s="604">
        <v>15</v>
      </c>
    </row>
    <row r="104" spans="1:14" s="263" customFormat="1" ht="8.85" customHeight="1" x14ac:dyDescent="0.25">
      <c r="A104" s="263" t="s">
        <v>38</v>
      </c>
      <c r="B104" s="266">
        <f t="shared" si="9"/>
        <v>450</v>
      </c>
      <c r="C104" s="266"/>
      <c r="D104" s="283">
        <f t="shared" si="10"/>
        <v>448</v>
      </c>
      <c r="E104" s="600">
        <v>77</v>
      </c>
      <c r="F104" s="266"/>
      <c r="G104" s="266">
        <f t="shared" si="11"/>
        <v>365</v>
      </c>
      <c r="H104" s="600">
        <v>66</v>
      </c>
      <c r="I104" s="600">
        <v>59</v>
      </c>
      <c r="J104" s="266">
        <v>240</v>
      </c>
      <c r="K104" s="600">
        <v>2</v>
      </c>
      <c r="L104" s="600">
        <v>0</v>
      </c>
      <c r="M104" s="600">
        <v>4</v>
      </c>
      <c r="N104" s="600">
        <v>2</v>
      </c>
    </row>
    <row r="105" spans="1:14" s="263" customFormat="1" ht="8.85" customHeight="1" x14ac:dyDescent="0.25">
      <c r="A105" s="263" t="s">
        <v>39</v>
      </c>
      <c r="B105" s="266">
        <f t="shared" si="9"/>
        <v>326</v>
      </c>
      <c r="C105" s="266"/>
      <c r="D105" s="283">
        <f t="shared" si="10"/>
        <v>316</v>
      </c>
      <c r="E105" s="600">
        <v>69</v>
      </c>
      <c r="F105" s="266"/>
      <c r="G105" s="266">
        <f t="shared" si="11"/>
        <v>245</v>
      </c>
      <c r="H105" s="600">
        <v>40</v>
      </c>
      <c r="I105" s="600">
        <v>40</v>
      </c>
      <c r="J105" s="266">
        <v>165</v>
      </c>
      <c r="K105" s="600">
        <v>0</v>
      </c>
      <c r="L105" s="600">
        <v>1</v>
      </c>
      <c r="M105" s="600">
        <v>1</v>
      </c>
      <c r="N105" s="600">
        <v>10</v>
      </c>
    </row>
    <row r="106" spans="1:14" s="263" customFormat="1" ht="8.85" customHeight="1" x14ac:dyDescent="0.25">
      <c r="A106" s="263" t="s">
        <v>40</v>
      </c>
      <c r="B106" s="266">
        <f t="shared" si="9"/>
        <v>2495</v>
      </c>
      <c r="C106" s="266"/>
      <c r="D106" s="283">
        <f t="shared" si="10"/>
        <v>2479</v>
      </c>
      <c r="E106" s="600">
        <v>79</v>
      </c>
      <c r="F106" s="266"/>
      <c r="G106" s="266">
        <f t="shared" si="11"/>
        <v>2308</v>
      </c>
      <c r="H106" s="600">
        <v>295</v>
      </c>
      <c r="I106" s="600">
        <v>277</v>
      </c>
      <c r="J106" s="266">
        <v>1736</v>
      </c>
      <c r="K106" s="600">
        <v>2</v>
      </c>
      <c r="L106" s="600">
        <v>74</v>
      </c>
      <c r="M106" s="600">
        <v>16</v>
      </c>
      <c r="N106" s="600">
        <v>16</v>
      </c>
    </row>
    <row r="107" spans="1:14" s="263" customFormat="1" ht="8.85" customHeight="1" x14ac:dyDescent="0.25">
      <c r="A107" s="267" t="s">
        <v>41</v>
      </c>
      <c r="B107" s="268">
        <f t="shared" si="9"/>
        <v>554</v>
      </c>
      <c r="C107" s="268"/>
      <c r="D107" s="284">
        <f t="shared" si="10"/>
        <v>549</v>
      </c>
      <c r="E107" s="604">
        <v>100</v>
      </c>
      <c r="F107" s="268"/>
      <c r="G107" s="268">
        <f t="shared" si="11"/>
        <v>429</v>
      </c>
      <c r="H107" s="604">
        <v>66</v>
      </c>
      <c r="I107" s="604">
        <v>58</v>
      </c>
      <c r="J107" s="268">
        <v>305</v>
      </c>
      <c r="K107" s="604">
        <v>7</v>
      </c>
      <c r="L107" s="604">
        <v>0</v>
      </c>
      <c r="M107" s="604">
        <v>13</v>
      </c>
      <c r="N107" s="604">
        <v>5</v>
      </c>
    </row>
    <row r="108" spans="1:14" s="263" customFormat="1" ht="8.85" customHeight="1" x14ac:dyDescent="0.25">
      <c r="A108" s="263" t="s">
        <v>42</v>
      </c>
      <c r="B108" s="266">
        <f t="shared" si="9"/>
        <v>884</v>
      </c>
      <c r="C108" s="266"/>
      <c r="D108" s="283">
        <f t="shared" si="10"/>
        <v>864</v>
      </c>
      <c r="E108" s="600">
        <v>176</v>
      </c>
      <c r="F108" s="266"/>
      <c r="G108" s="266">
        <f t="shared" si="11"/>
        <v>657</v>
      </c>
      <c r="H108" s="600">
        <v>92</v>
      </c>
      <c r="I108" s="600">
        <v>93</v>
      </c>
      <c r="J108" s="266">
        <v>472</v>
      </c>
      <c r="K108" s="600">
        <v>6</v>
      </c>
      <c r="L108" s="600">
        <v>5</v>
      </c>
      <c r="M108" s="600">
        <v>20</v>
      </c>
      <c r="N108" s="600">
        <v>20</v>
      </c>
    </row>
    <row r="109" spans="1:14" s="263" customFormat="1" ht="8.85" customHeight="1" x14ac:dyDescent="0.25">
      <c r="A109" s="263" t="s">
        <v>43</v>
      </c>
      <c r="B109" s="266">
        <f t="shared" si="9"/>
        <v>821</v>
      </c>
      <c r="C109" s="266"/>
      <c r="D109" s="283">
        <f t="shared" si="10"/>
        <v>815</v>
      </c>
      <c r="E109" s="600">
        <v>103</v>
      </c>
      <c r="F109" s="266"/>
      <c r="G109" s="266">
        <f t="shared" si="11"/>
        <v>692</v>
      </c>
      <c r="H109" s="600">
        <v>135</v>
      </c>
      <c r="I109" s="600">
        <v>79</v>
      </c>
      <c r="J109" s="266">
        <v>478</v>
      </c>
      <c r="K109" s="600">
        <v>1</v>
      </c>
      <c r="L109" s="600">
        <v>2</v>
      </c>
      <c r="M109" s="600">
        <v>17</v>
      </c>
      <c r="N109" s="600">
        <v>6</v>
      </c>
    </row>
    <row r="110" spans="1:14" s="263" customFormat="1" ht="8.85" customHeight="1" x14ac:dyDescent="0.25">
      <c r="A110" s="263" t="s">
        <v>44</v>
      </c>
      <c r="B110" s="266">
        <f t="shared" si="9"/>
        <v>329</v>
      </c>
      <c r="C110" s="266"/>
      <c r="D110" s="283">
        <f t="shared" si="10"/>
        <v>327</v>
      </c>
      <c r="E110" s="600">
        <v>47</v>
      </c>
      <c r="F110" s="266"/>
      <c r="G110" s="266">
        <f t="shared" si="11"/>
        <v>267</v>
      </c>
      <c r="H110" s="600">
        <v>40</v>
      </c>
      <c r="I110" s="600">
        <v>41</v>
      </c>
      <c r="J110" s="266">
        <v>186</v>
      </c>
      <c r="K110" s="600">
        <v>0</v>
      </c>
      <c r="L110" s="600">
        <v>0</v>
      </c>
      <c r="M110" s="600">
        <v>13</v>
      </c>
      <c r="N110" s="263">
        <v>2</v>
      </c>
    </row>
    <row r="111" spans="1:14" s="263" customFormat="1" ht="8.85" customHeight="1" x14ac:dyDescent="0.25">
      <c r="A111" s="267" t="s">
        <v>45</v>
      </c>
      <c r="B111" s="268">
        <f t="shared" si="9"/>
        <v>899</v>
      </c>
      <c r="C111" s="268"/>
      <c r="D111" s="284">
        <f t="shared" si="10"/>
        <v>895</v>
      </c>
      <c r="E111" s="604">
        <v>38</v>
      </c>
      <c r="F111" s="268"/>
      <c r="G111" s="268">
        <f t="shared" si="11"/>
        <v>852</v>
      </c>
      <c r="H111" s="604">
        <v>161</v>
      </c>
      <c r="I111" s="604">
        <v>148</v>
      </c>
      <c r="J111" s="268">
        <v>543</v>
      </c>
      <c r="K111" s="604">
        <v>1</v>
      </c>
      <c r="L111" s="604">
        <v>0</v>
      </c>
      <c r="M111" s="604">
        <v>4</v>
      </c>
      <c r="N111" s="604">
        <v>4</v>
      </c>
    </row>
    <row r="112" spans="1:14" s="263" customFormat="1" ht="8.85" customHeight="1" x14ac:dyDescent="0.25">
      <c r="A112" s="263" t="s">
        <v>46</v>
      </c>
      <c r="B112" s="266">
        <f t="shared" si="9"/>
        <v>626</v>
      </c>
      <c r="C112" s="266"/>
      <c r="D112" s="283">
        <f t="shared" si="10"/>
        <v>624</v>
      </c>
      <c r="E112" s="600">
        <v>72</v>
      </c>
      <c r="F112" s="266"/>
      <c r="G112" s="266">
        <f t="shared" si="11"/>
        <v>537</v>
      </c>
      <c r="H112" s="600">
        <v>85</v>
      </c>
      <c r="I112" s="600">
        <v>75</v>
      </c>
      <c r="J112" s="266">
        <v>377</v>
      </c>
      <c r="K112" s="600">
        <v>3</v>
      </c>
      <c r="L112" s="600">
        <v>0</v>
      </c>
      <c r="M112" s="600">
        <v>12</v>
      </c>
      <c r="N112" s="600">
        <v>2</v>
      </c>
    </row>
    <row r="113" spans="1:53" s="263" customFormat="1" ht="8.85" customHeight="1" x14ac:dyDescent="0.25">
      <c r="A113" s="263" t="s">
        <v>47</v>
      </c>
      <c r="B113" s="266">
        <f t="shared" si="9"/>
        <v>1556</v>
      </c>
      <c r="C113" s="266"/>
      <c r="D113" s="283">
        <f t="shared" si="10"/>
        <v>1544</v>
      </c>
      <c r="E113" s="600">
        <v>121</v>
      </c>
      <c r="F113" s="266"/>
      <c r="G113" s="266">
        <f t="shared" si="11"/>
        <v>1411</v>
      </c>
      <c r="H113" s="600">
        <v>299</v>
      </c>
      <c r="I113" s="600">
        <v>168</v>
      </c>
      <c r="J113" s="266">
        <v>944</v>
      </c>
      <c r="K113" s="600">
        <v>0</v>
      </c>
      <c r="L113" s="600">
        <v>0</v>
      </c>
      <c r="M113" s="600">
        <v>12</v>
      </c>
      <c r="N113" s="600">
        <v>12</v>
      </c>
    </row>
    <row r="114" spans="1:53" s="263" customFormat="1" ht="8.85" customHeight="1" x14ac:dyDescent="0.25">
      <c r="A114" s="263" t="s">
        <v>48</v>
      </c>
      <c r="B114" s="266">
        <f t="shared" si="9"/>
        <v>376</v>
      </c>
      <c r="C114" s="266"/>
      <c r="D114" s="283">
        <f t="shared" si="10"/>
        <v>373</v>
      </c>
      <c r="E114" s="600">
        <v>73</v>
      </c>
      <c r="F114" s="266"/>
      <c r="G114" s="266">
        <f t="shared" si="11"/>
        <v>291</v>
      </c>
      <c r="H114" s="600">
        <v>41</v>
      </c>
      <c r="I114" s="600">
        <v>38</v>
      </c>
      <c r="J114" s="266">
        <v>212</v>
      </c>
      <c r="K114" s="600">
        <v>0</v>
      </c>
      <c r="L114" s="600">
        <v>1</v>
      </c>
      <c r="M114" s="600">
        <v>8</v>
      </c>
      <c r="N114" s="600">
        <v>3</v>
      </c>
    </row>
    <row r="115" spans="1:53" s="263" customFormat="1" ht="8.85" customHeight="1" x14ac:dyDescent="0.25">
      <c r="A115" s="267" t="s">
        <v>49</v>
      </c>
      <c r="B115" s="268">
        <f t="shared" si="9"/>
        <v>1163</v>
      </c>
      <c r="C115" s="268"/>
      <c r="D115" s="284">
        <f t="shared" si="10"/>
        <v>1147</v>
      </c>
      <c r="E115" s="604">
        <v>184</v>
      </c>
      <c r="F115" s="268"/>
      <c r="G115" s="268">
        <f t="shared" si="11"/>
        <v>937</v>
      </c>
      <c r="H115" s="604">
        <v>153</v>
      </c>
      <c r="I115" s="604">
        <v>143</v>
      </c>
      <c r="J115" s="268">
        <v>641</v>
      </c>
      <c r="K115" s="604">
        <v>0</v>
      </c>
      <c r="L115" s="604">
        <v>0</v>
      </c>
      <c r="M115" s="604">
        <v>26</v>
      </c>
      <c r="N115" s="604">
        <v>16</v>
      </c>
    </row>
    <row r="116" spans="1:53" s="263" customFormat="1" ht="8.85" customHeight="1" x14ac:dyDescent="0.25">
      <c r="A116" s="263" t="s">
        <v>50</v>
      </c>
      <c r="B116" s="266">
        <f t="shared" si="9"/>
        <v>347</v>
      </c>
      <c r="C116" s="266"/>
      <c r="D116" s="283">
        <f t="shared" si="10"/>
        <v>343</v>
      </c>
      <c r="E116" s="600">
        <v>49</v>
      </c>
      <c r="F116" s="266"/>
      <c r="G116" s="266">
        <f t="shared" si="11"/>
        <v>283</v>
      </c>
      <c r="H116" s="600">
        <v>45</v>
      </c>
      <c r="I116" s="600">
        <v>40</v>
      </c>
      <c r="J116" s="266">
        <v>198</v>
      </c>
      <c r="K116" s="600">
        <v>1</v>
      </c>
      <c r="L116" s="600">
        <v>0</v>
      </c>
      <c r="M116" s="600">
        <v>10</v>
      </c>
      <c r="N116" s="600">
        <v>4</v>
      </c>
    </row>
    <row r="117" spans="1:53" s="263" customFormat="1" ht="8.85" customHeight="1" x14ac:dyDescent="0.25">
      <c r="A117" s="263" t="s">
        <v>51</v>
      </c>
      <c r="B117" s="266">
        <f t="shared" si="9"/>
        <v>1343</v>
      </c>
      <c r="C117" s="266"/>
      <c r="D117" s="283">
        <f t="shared" si="10"/>
        <v>1315</v>
      </c>
      <c r="E117" s="600">
        <v>204</v>
      </c>
      <c r="F117" s="266"/>
      <c r="G117" s="266">
        <f t="shared" si="11"/>
        <v>1080</v>
      </c>
      <c r="H117" s="600">
        <v>182</v>
      </c>
      <c r="I117" s="600">
        <v>156</v>
      </c>
      <c r="J117" s="266">
        <v>742</v>
      </c>
      <c r="K117" s="600">
        <v>7</v>
      </c>
      <c r="L117" s="600">
        <v>3</v>
      </c>
      <c r="M117" s="600">
        <v>21</v>
      </c>
      <c r="N117" s="600">
        <v>28</v>
      </c>
    </row>
    <row r="118" spans="1:53" s="263" customFormat="1" ht="8.85" customHeight="1" x14ac:dyDescent="0.25">
      <c r="A118" s="263" t="s">
        <v>52</v>
      </c>
      <c r="B118" s="266">
        <f t="shared" si="9"/>
        <v>588</v>
      </c>
      <c r="C118" s="266"/>
      <c r="D118" s="283">
        <f t="shared" si="10"/>
        <v>587</v>
      </c>
      <c r="E118" s="600">
        <v>56</v>
      </c>
      <c r="F118" s="266"/>
      <c r="G118" s="266">
        <f t="shared" si="11"/>
        <v>504</v>
      </c>
      <c r="H118" s="600">
        <v>73</v>
      </c>
      <c r="I118" s="600">
        <v>70</v>
      </c>
      <c r="J118" s="266">
        <v>361</v>
      </c>
      <c r="K118" s="600">
        <v>1</v>
      </c>
      <c r="L118" s="600">
        <v>6</v>
      </c>
      <c r="M118" s="600">
        <v>20</v>
      </c>
      <c r="N118" s="600">
        <v>1</v>
      </c>
    </row>
    <row r="119" spans="1:53" s="263" customFormat="1" ht="8.85" customHeight="1" x14ac:dyDescent="0.25">
      <c r="A119" s="267" t="s">
        <v>53</v>
      </c>
      <c r="B119" s="268">
        <f t="shared" si="9"/>
        <v>324</v>
      </c>
      <c r="C119" s="268"/>
      <c r="D119" s="284">
        <f t="shared" si="10"/>
        <v>323</v>
      </c>
      <c r="E119" s="604">
        <v>52</v>
      </c>
      <c r="F119" s="268"/>
      <c r="G119" s="268">
        <f t="shared" si="11"/>
        <v>261</v>
      </c>
      <c r="H119" s="604">
        <v>42</v>
      </c>
      <c r="I119" s="604">
        <v>33</v>
      </c>
      <c r="J119" s="268">
        <v>186</v>
      </c>
      <c r="K119" s="604">
        <v>0</v>
      </c>
      <c r="L119" s="604">
        <v>0</v>
      </c>
      <c r="M119" s="604">
        <v>10</v>
      </c>
      <c r="N119" s="604">
        <v>1</v>
      </c>
    </row>
    <row r="120" spans="1:53" ht="8.25" customHeight="1" x14ac:dyDescent="0.25">
      <c r="B120" s="259"/>
      <c r="C120" s="259"/>
      <c r="D120" s="259"/>
      <c r="E120" s="259"/>
      <c r="F120" s="259"/>
      <c r="G120" s="259"/>
      <c r="H120" s="259"/>
      <c r="I120" s="259"/>
      <c r="J120" s="259"/>
      <c r="K120" s="259"/>
      <c r="L120" s="259"/>
    </row>
    <row r="121" spans="1:53" ht="8.85" customHeight="1" x14ac:dyDescent="0.25">
      <c r="A121" s="601">
        <v>2004</v>
      </c>
      <c r="B121" s="259"/>
      <c r="C121" s="259"/>
      <c r="D121" s="259"/>
      <c r="E121" s="259"/>
      <c r="F121" s="259"/>
      <c r="G121" s="259"/>
      <c r="H121" s="259"/>
      <c r="I121" s="259"/>
      <c r="J121" s="259"/>
      <c r="K121" s="259"/>
      <c r="L121" s="259"/>
    </row>
    <row r="122" spans="1:53" s="263" customFormat="1" ht="8.85" customHeight="1" x14ac:dyDescent="0.25">
      <c r="A122" s="265" t="s">
        <v>21</v>
      </c>
      <c r="B122" s="262">
        <f>SUM(B124:B155)</f>
        <v>40866</v>
      </c>
      <c r="C122" s="262"/>
      <c r="D122" s="262">
        <f>SUM(D124:D155)</f>
        <v>40494</v>
      </c>
      <c r="E122" s="262">
        <f>SUM(E124:E155)</f>
        <v>4897</v>
      </c>
      <c r="F122" s="262"/>
      <c r="G122" s="262">
        <f t="shared" ref="G122:M122" si="12">SUM(G124:G155)</f>
        <v>34175</v>
      </c>
      <c r="H122" s="262">
        <f t="shared" si="12"/>
        <v>5121</v>
      </c>
      <c r="I122" s="262">
        <f t="shared" si="12"/>
        <v>4420</v>
      </c>
      <c r="J122" s="262">
        <f t="shared" si="12"/>
        <v>24634</v>
      </c>
      <c r="K122" s="262">
        <f t="shared" si="12"/>
        <v>216</v>
      </c>
      <c r="L122" s="262">
        <f t="shared" si="12"/>
        <v>513</v>
      </c>
      <c r="M122" s="262">
        <f t="shared" si="12"/>
        <v>693</v>
      </c>
      <c r="N122" s="262">
        <f>SUM(N124:N155)</f>
        <v>372</v>
      </c>
      <c r="AD122" s="283"/>
      <c r="AE122" s="283"/>
      <c r="AF122" s="283"/>
      <c r="AG122" s="283"/>
      <c r="AH122" s="283"/>
      <c r="AI122" s="283"/>
      <c r="AJ122" s="283"/>
      <c r="AK122" s="283"/>
      <c r="AL122" s="283"/>
      <c r="AM122" s="283"/>
      <c r="AN122" s="283"/>
      <c r="AO122" s="283"/>
      <c r="AP122" s="283"/>
      <c r="AQ122" s="283"/>
      <c r="AR122" s="283"/>
      <c r="AS122" s="283"/>
      <c r="AT122" s="283"/>
      <c r="AU122" s="283"/>
      <c r="AV122" s="283"/>
      <c r="AW122" s="283"/>
      <c r="AX122" s="283"/>
      <c r="AY122" s="283"/>
      <c r="AZ122" s="283"/>
      <c r="BA122" s="283"/>
    </row>
    <row r="123" spans="1:53" s="263" customFormat="1" ht="2.1" customHeight="1" x14ac:dyDescent="0.25">
      <c r="A123" s="265"/>
      <c r="B123" s="262"/>
      <c r="C123" s="262"/>
      <c r="D123" s="262"/>
      <c r="E123" s="262"/>
      <c r="F123" s="262"/>
      <c r="G123" s="262"/>
      <c r="H123" s="262"/>
      <c r="I123" s="262"/>
      <c r="J123" s="262"/>
      <c r="K123" s="262"/>
      <c r="L123" s="262"/>
      <c r="M123" s="262"/>
      <c r="N123" s="262"/>
      <c r="AE123" s="283"/>
      <c r="AF123" s="283"/>
      <c r="AG123" s="283"/>
      <c r="AH123" s="283"/>
      <c r="AI123" s="283"/>
      <c r="AJ123" s="283"/>
      <c r="AK123" s="283"/>
      <c r="AL123" s="283"/>
      <c r="AM123" s="283"/>
      <c r="AN123" s="283"/>
      <c r="AO123" s="283"/>
      <c r="AP123" s="283"/>
      <c r="AQ123" s="283"/>
    </row>
    <row r="124" spans="1:53" s="263" customFormat="1" ht="8.85" customHeight="1" x14ac:dyDescent="0.25">
      <c r="A124" s="263" t="s">
        <v>23</v>
      </c>
      <c r="B124" s="266">
        <f>SUM(D124+N124)</f>
        <v>127</v>
      </c>
      <c r="C124" s="266"/>
      <c r="D124" s="283">
        <f>SUM(E124+G124+K124+L124+M124)</f>
        <v>124</v>
      </c>
      <c r="E124" s="600">
        <v>19</v>
      </c>
      <c r="F124" s="266"/>
      <c r="G124" s="266">
        <f>SUM(H124:J124)</f>
        <v>104</v>
      </c>
      <c r="H124" s="600">
        <v>14</v>
      </c>
      <c r="I124" s="600">
        <v>9</v>
      </c>
      <c r="J124" s="266">
        <v>81</v>
      </c>
      <c r="K124" s="600">
        <v>1</v>
      </c>
      <c r="L124" s="600">
        <v>0</v>
      </c>
      <c r="M124" s="600">
        <v>0</v>
      </c>
      <c r="N124" s="600">
        <v>3</v>
      </c>
      <c r="AE124" s="283"/>
      <c r="AF124" s="283"/>
      <c r="AG124" s="283"/>
      <c r="AH124" s="283"/>
      <c r="AI124" s="283"/>
      <c r="AJ124" s="283"/>
      <c r="AK124" s="283"/>
      <c r="AL124" s="283"/>
      <c r="AM124" s="283"/>
      <c r="AN124" s="283"/>
      <c r="AO124" s="283"/>
      <c r="AP124" s="283"/>
      <c r="AQ124" s="283"/>
    </row>
    <row r="125" spans="1:53" s="263" customFormat="1" ht="8.85" customHeight="1" x14ac:dyDescent="0.25">
      <c r="A125" s="263" t="s">
        <v>24</v>
      </c>
      <c r="B125" s="266">
        <f>SUM(D125+N125)</f>
        <v>1955</v>
      </c>
      <c r="C125" s="266"/>
      <c r="D125" s="283">
        <f>SUM(E125+G125+K125+L125+M125)</f>
        <v>1942</v>
      </c>
      <c r="E125" s="266">
        <v>327</v>
      </c>
      <c r="F125" s="266"/>
      <c r="G125" s="266">
        <f>SUM(H125:J125)</f>
        <v>1514</v>
      </c>
      <c r="H125" s="266">
        <v>265</v>
      </c>
      <c r="I125" s="266">
        <v>222</v>
      </c>
      <c r="J125" s="266">
        <v>1027</v>
      </c>
      <c r="K125" s="266">
        <v>4</v>
      </c>
      <c r="L125" s="266">
        <v>1</v>
      </c>
      <c r="M125" s="266">
        <v>96</v>
      </c>
      <c r="N125" s="266">
        <v>13</v>
      </c>
      <c r="AE125" s="283"/>
      <c r="AF125" s="283"/>
      <c r="AG125" s="283"/>
      <c r="AH125" s="283"/>
      <c r="AI125" s="283"/>
      <c r="AJ125" s="283"/>
      <c r="AK125" s="283"/>
      <c r="AL125" s="283"/>
      <c r="AM125" s="283"/>
      <c r="AN125" s="283"/>
      <c r="AO125" s="283"/>
      <c r="AP125" s="283"/>
      <c r="AQ125" s="283"/>
    </row>
    <row r="126" spans="1:53" s="263" customFormat="1" ht="8.85" customHeight="1" x14ac:dyDescent="0.25">
      <c r="A126" s="263" t="s">
        <v>25</v>
      </c>
      <c r="B126" s="266">
        <f t="shared" ref="B126:B155" si="13">SUM(D126+N126)</f>
        <v>145</v>
      </c>
      <c r="C126" s="266"/>
      <c r="D126" s="283">
        <f t="shared" ref="D126:D155" si="14">SUM(E126+G126+K126+L126+M126)</f>
        <v>145</v>
      </c>
      <c r="E126" s="600">
        <v>22</v>
      </c>
      <c r="F126" s="266"/>
      <c r="G126" s="266">
        <f t="shared" ref="G126:G155" si="15">SUM(H126:J126)</f>
        <v>112</v>
      </c>
      <c r="H126" s="600">
        <v>18</v>
      </c>
      <c r="I126" s="600">
        <v>17</v>
      </c>
      <c r="J126" s="266">
        <v>77</v>
      </c>
      <c r="K126" s="600">
        <v>0</v>
      </c>
      <c r="L126" s="600">
        <v>4</v>
      </c>
      <c r="M126" s="600">
        <v>7</v>
      </c>
      <c r="N126" s="600">
        <v>0</v>
      </c>
      <c r="AE126" s="283"/>
      <c r="AF126" s="283"/>
      <c r="AG126" s="283"/>
      <c r="AH126" s="283"/>
      <c r="AI126" s="283"/>
      <c r="AJ126" s="283"/>
      <c r="AK126" s="283"/>
      <c r="AL126" s="283"/>
      <c r="AM126" s="283"/>
      <c r="AN126" s="283"/>
      <c r="AO126" s="283"/>
      <c r="AP126" s="283"/>
      <c r="AQ126" s="283"/>
    </row>
    <row r="127" spans="1:53" s="263" customFormat="1" ht="8.85" customHeight="1" x14ac:dyDescent="0.25">
      <c r="A127" s="267" t="s">
        <v>26</v>
      </c>
      <c r="B127" s="268">
        <f t="shared" si="13"/>
        <v>76</v>
      </c>
      <c r="C127" s="268"/>
      <c r="D127" s="284">
        <f t="shared" si="14"/>
        <v>72</v>
      </c>
      <c r="E127" s="604">
        <v>9</v>
      </c>
      <c r="F127" s="268"/>
      <c r="G127" s="268">
        <f t="shared" si="15"/>
        <v>60</v>
      </c>
      <c r="H127" s="604">
        <v>12</v>
      </c>
      <c r="I127" s="604">
        <v>9</v>
      </c>
      <c r="J127" s="268">
        <v>39</v>
      </c>
      <c r="K127" s="604">
        <v>0</v>
      </c>
      <c r="L127" s="604">
        <v>0</v>
      </c>
      <c r="M127" s="604">
        <v>3</v>
      </c>
      <c r="N127" s="604">
        <v>4</v>
      </c>
      <c r="AE127" s="283"/>
      <c r="AF127" s="283"/>
      <c r="AG127" s="283"/>
      <c r="AH127" s="283"/>
      <c r="AI127" s="283"/>
      <c r="AJ127" s="283"/>
      <c r="AK127" s="283"/>
      <c r="AL127" s="283"/>
      <c r="AM127" s="283"/>
      <c r="AN127" s="283"/>
      <c r="AO127" s="283"/>
      <c r="AP127" s="283"/>
      <c r="AQ127" s="283"/>
    </row>
    <row r="128" spans="1:53" s="263" customFormat="1" ht="8.85" customHeight="1" x14ac:dyDescent="0.25">
      <c r="A128" s="263" t="s">
        <v>27</v>
      </c>
      <c r="B128" s="266">
        <f t="shared" si="13"/>
        <v>858</v>
      </c>
      <c r="C128" s="266"/>
      <c r="D128" s="283">
        <f t="shared" si="14"/>
        <v>852</v>
      </c>
      <c r="E128" s="600">
        <v>48</v>
      </c>
      <c r="F128" s="266"/>
      <c r="G128" s="266">
        <f t="shared" si="15"/>
        <v>784</v>
      </c>
      <c r="H128" s="600">
        <v>125</v>
      </c>
      <c r="I128" s="600">
        <v>96</v>
      </c>
      <c r="J128" s="266">
        <v>563</v>
      </c>
      <c r="K128" s="600">
        <v>11</v>
      </c>
      <c r="L128" s="600">
        <v>0</v>
      </c>
      <c r="M128" s="600">
        <v>9</v>
      </c>
      <c r="N128" s="600">
        <v>6</v>
      </c>
      <c r="AE128" s="283"/>
      <c r="AF128" s="283"/>
      <c r="AG128" s="283"/>
      <c r="AH128" s="283"/>
      <c r="AI128" s="283"/>
      <c r="AJ128" s="283"/>
      <c r="AK128" s="283"/>
      <c r="AL128" s="283"/>
      <c r="AM128" s="283"/>
      <c r="AN128" s="283"/>
      <c r="AO128" s="283"/>
      <c r="AP128" s="283"/>
      <c r="AQ128" s="283"/>
    </row>
    <row r="129" spans="1:43" s="263" customFormat="1" ht="8.85" customHeight="1" x14ac:dyDescent="0.25">
      <c r="A129" s="263" t="s">
        <v>28</v>
      </c>
      <c r="B129" s="266">
        <f t="shared" si="13"/>
        <v>206</v>
      </c>
      <c r="C129" s="266"/>
      <c r="D129" s="283">
        <f t="shared" si="14"/>
        <v>206</v>
      </c>
      <c r="E129" s="600">
        <v>27</v>
      </c>
      <c r="F129" s="266"/>
      <c r="G129" s="266">
        <f t="shared" si="15"/>
        <v>176</v>
      </c>
      <c r="H129" s="600">
        <v>28</v>
      </c>
      <c r="I129" s="600">
        <v>23</v>
      </c>
      <c r="J129" s="266">
        <v>125</v>
      </c>
      <c r="K129" s="600">
        <v>0</v>
      </c>
      <c r="L129" s="600">
        <v>0</v>
      </c>
      <c r="M129" s="600">
        <v>3</v>
      </c>
      <c r="N129" s="600">
        <v>0</v>
      </c>
      <c r="AE129" s="283"/>
      <c r="AF129" s="283"/>
      <c r="AG129" s="283"/>
      <c r="AH129" s="283"/>
      <c r="AI129" s="283"/>
      <c r="AJ129" s="283"/>
      <c r="AK129" s="283"/>
      <c r="AL129" s="283"/>
      <c r="AM129" s="283"/>
      <c r="AN129" s="283"/>
      <c r="AO129" s="283"/>
      <c r="AP129" s="283"/>
      <c r="AQ129" s="283"/>
    </row>
    <row r="130" spans="1:43" s="263" customFormat="1" ht="8.85" customHeight="1" x14ac:dyDescent="0.25">
      <c r="A130" s="263" t="s">
        <v>29</v>
      </c>
      <c r="B130" s="266">
        <f t="shared" si="13"/>
        <v>498</v>
      </c>
      <c r="C130" s="266"/>
      <c r="D130" s="283">
        <f t="shared" si="14"/>
        <v>494</v>
      </c>
      <c r="E130" s="600">
        <v>100</v>
      </c>
      <c r="F130" s="266"/>
      <c r="G130" s="266">
        <f t="shared" si="15"/>
        <v>381</v>
      </c>
      <c r="H130" s="600">
        <v>61</v>
      </c>
      <c r="I130" s="600">
        <v>65</v>
      </c>
      <c r="J130" s="266">
        <v>255</v>
      </c>
      <c r="K130" s="600">
        <v>4</v>
      </c>
      <c r="L130" s="600">
        <v>2</v>
      </c>
      <c r="M130" s="600">
        <v>7</v>
      </c>
      <c r="N130" s="600">
        <v>4</v>
      </c>
      <c r="AE130" s="283"/>
      <c r="AF130" s="283"/>
      <c r="AG130" s="283"/>
      <c r="AH130" s="283"/>
      <c r="AI130" s="283"/>
      <c r="AJ130" s="283"/>
      <c r="AK130" s="283"/>
      <c r="AL130" s="283"/>
      <c r="AM130" s="283"/>
      <c r="AN130" s="283"/>
      <c r="AO130" s="283"/>
      <c r="AP130" s="283"/>
      <c r="AQ130" s="283"/>
    </row>
    <row r="131" spans="1:43" s="263" customFormat="1" ht="8.85" customHeight="1" x14ac:dyDescent="0.25">
      <c r="A131" s="267" t="s">
        <v>30</v>
      </c>
      <c r="B131" s="268">
        <f t="shared" si="13"/>
        <v>1328</v>
      </c>
      <c r="C131" s="268"/>
      <c r="D131" s="284">
        <f t="shared" si="14"/>
        <v>1327</v>
      </c>
      <c r="E131" s="604">
        <v>165</v>
      </c>
      <c r="F131" s="268"/>
      <c r="G131" s="268">
        <f t="shared" si="15"/>
        <v>1143</v>
      </c>
      <c r="H131" s="604">
        <v>206</v>
      </c>
      <c r="I131" s="604">
        <v>126</v>
      </c>
      <c r="J131" s="268">
        <v>811</v>
      </c>
      <c r="K131" s="604">
        <v>12</v>
      </c>
      <c r="L131" s="604">
        <v>1</v>
      </c>
      <c r="M131" s="604">
        <v>6</v>
      </c>
      <c r="N131" s="604">
        <v>1</v>
      </c>
      <c r="AE131" s="283"/>
      <c r="AF131" s="283"/>
      <c r="AG131" s="283"/>
      <c r="AH131" s="283"/>
      <c r="AI131" s="283"/>
      <c r="AJ131" s="283"/>
      <c r="AK131" s="283"/>
      <c r="AL131" s="283"/>
      <c r="AM131" s="283"/>
      <c r="AN131" s="283"/>
      <c r="AO131" s="283"/>
      <c r="AP131" s="283"/>
      <c r="AQ131" s="283"/>
    </row>
    <row r="132" spans="1:43" s="263" customFormat="1" ht="8.85" customHeight="1" x14ac:dyDescent="0.25">
      <c r="A132" s="263" t="s">
        <v>63</v>
      </c>
      <c r="B132" s="266">
        <f t="shared" si="13"/>
        <v>5404</v>
      </c>
      <c r="C132" s="266"/>
      <c r="D132" s="283">
        <f t="shared" si="14"/>
        <v>5352</v>
      </c>
      <c r="E132" s="600">
        <v>535</v>
      </c>
      <c r="F132" s="266"/>
      <c r="G132" s="266">
        <f t="shared" si="15"/>
        <v>4395</v>
      </c>
      <c r="H132" s="600">
        <v>566</v>
      </c>
      <c r="I132" s="600">
        <v>438</v>
      </c>
      <c r="J132" s="266">
        <v>3391</v>
      </c>
      <c r="K132" s="600">
        <v>52</v>
      </c>
      <c r="L132" s="600">
        <v>246</v>
      </c>
      <c r="M132" s="600">
        <v>124</v>
      </c>
      <c r="N132" s="600">
        <v>52</v>
      </c>
      <c r="AE132" s="283"/>
      <c r="AF132" s="283"/>
      <c r="AG132" s="283"/>
      <c r="AH132" s="283"/>
      <c r="AI132" s="283"/>
      <c r="AJ132" s="283"/>
      <c r="AK132" s="283"/>
      <c r="AL132" s="283"/>
      <c r="AM132" s="283"/>
      <c r="AN132" s="283"/>
      <c r="AO132" s="283"/>
      <c r="AP132" s="283"/>
      <c r="AQ132" s="283"/>
    </row>
    <row r="133" spans="1:43" s="263" customFormat="1" ht="8.85" customHeight="1" x14ac:dyDescent="0.25">
      <c r="A133" s="263" t="s">
        <v>31</v>
      </c>
      <c r="B133" s="266">
        <f t="shared" si="13"/>
        <v>181</v>
      </c>
      <c r="C133" s="266"/>
      <c r="D133" s="283">
        <f t="shared" si="14"/>
        <v>180</v>
      </c>
      <c r="E133" s="600">
        <v>37</v>
      </c>
      <c r="F133" s="266"/>
      <c r="G133" s="266">
        <f t="shared" si="15"/>
        <v>129</v>
      </c>
      <c r="H133" s="600">
        <v>19</v>
      </c>
      <c r="I133" s="600">
        <v>17</v>
      </c>
      <c r="J133" s="266">
        <v>93</v>
      </c>
      <c r="K133" s="600">
        <v>3</v>
      </c>
      <c r="L133" s="600">
        <v>9</v>
      </c>
      <c r="M133" s="600">
        <v>2</v>
      </c>
      <c r="N133" s="600">
        <v>1</v>
      </c>
      <c r="AE133" s="283"/>
      <c r="AF133" s="283"/>
      <c r="AG133" s="283"/>
      <c r="AH133" s="283"/>
      <c r="AI133" s="283"/>
      <c r="AJ133" s="283"/>
      <c r="AK133" s="283"/>
      <c r="AL133" s="283"/>
      <c r="AM133" s="283"/>
      <c r="AN133" s="283"/>
      <c r="AO133" s="283"/>
      <c r="AP133" s="283"/>
      <c r="AQ133" s="283"/>
    </row>
    <row r="134" spans="1:43" s="263" customFormat="1" ht="8.85" customHeight="1" x14ac:dyDescent="0.25">
      <c r="A134" s="263" t="s">
        <v>32</v>
      </c>
      <c r="B134" s="266">
        <f t="shared" si="13"/>
        <v>2397</v>
      </c>
      <c r="C134" s="266"/>
      <c r="D134" s="283">
        <f t="shared" si="14"/>
        <v>2370</v>
      </c>
      <c r="E134" s="600">
        <v>376</v>
      </c>
      <c r="F134" s="266"/>
      <c r="G134" s="266">
        <f t="shared" si="15"/>
        <v>1922</v>
      </c>
      <c r="H134" s="600">
        <v>292</v>
      </c>
      <c r="I134" s="600">
        <v>273</v>
      </c>
      <c r="J134" s="266">
        <v>1357</v>
      </c>
      <c r="K134" s="600">
        <v>20</v>
      </c>
      <c r="L134" s="600">
        <v>0</v>
      </c>
      <c r="M134" s="600">
        <v>52</v>
      </c>
      <c r="N134" s="600">
        <v>27</v>
      </c>
      <c r="AE134" s="283"/>
      <c r="AF134" s="283"/>
      <c r="AG134" s="283"/>
      <c r="AH134" s="283"/>
      <c r="AI134" s="283"/>
      <c r="AJ134" s="283"/>
      <c r="AK134" s="283"/>
      <c r="AL134" s="283"/>
      <c r="AM134" s="283"/>
      <c r="AN134" s="283"/>
      <c r="AO134" s="283"/>
      <c r="AP134" s="283"/>
      <c r="AQ134" s="283"/>
    </row>
    <row r="135" spans="1:43" s="263" customFormat="1" ht="8.85" customHeight="1" x14ac:dyDescent="0.25">
      <c r="A135" s="267" t="s">
        <v>33</v>
      </c>
      <c r="B135" s="268">
        <f t="shared" si="13"/>
        <v>517</v>
      </c>
      <c r="C135" s="268"/>
      <c r="D135" s="284">
        <f t="shared" si="14"/>
        <v>499</v>
      </c>
      <c r="E135" s="604">
        <v>119</v>
      </c>
      <c r="F135" s="268"/>
      <c r="G135" s="268">
        <f t="shared" si="15"/>
        <v>363</v>
      </c>
      <c r="H135" s="604">
        <v>60</v>
      </c>
      <c r="I135" s="604">
        <v>52</v>
      </c>
      <c r="J135" s="268">
        <v>251</v>
      </c>
      <c r="K135" s="604">
        <v>9</v>
      </c>
      <c r="L135" s="604">
        <v>0</v>
      </c>
      <c r="M135" s="604">
        <v>8</v>
      </c>
      <c r="N135" s="604">
        <v>18</v>
      </c>
      <c r="AE135" s="283"/>
      <c r="AF135" s="283"/>
      <c r="AG135" s="283"/>
      <c r="AH135" s="283"/>
      <c r="AI135" s="283"/>
      <c r="AJ135" s="283"/>
      <c r="AK135" s="283"/>
      <c r="AL135" s="283"/>
      <c r="AM135" s="283"/>
      <c r="AN135" s="283"/>
      <c r="AO135" s="283"/>
      <c r="AP135" s="283"/>
      <c r="AQ135" s="283"/>
    </row>
    <row r="136" spans="1:43" s="263" customFormat="1" ht="8.85" customHeight="1" x14ac:dyDescent="0.25">
      <c r="A136" s="263" t="s">
        <v>34</v>
      </c>
      <c r="B136" s="266">
        <f t="shared" si="13"/>
        <v>513</v>
      </c>
      <c r="C136" s="266"/>
      <c r="D136" s="283">
        <f t="shared" si="14"/>
        <v>501</v>
      </c>
      <c r="E136" s="600">
        <v>85</v>
      </c>
      <c r="F136" s="266"/>
      <c r="G136" s="266">
        <f t="shared" si="15"/>
        <v>408</v>
      </c>
      <c r="H136" s="600">
        <v>65</v>
      </c>
      <c r="I136" s="600">
        <v>61</v>
      </c>
      <c r="J136" s="266">
        <v>282</v>
      </c>
      <c r="K136" s="600">
        <v>0</v>
      </c>
      <c r="L136" s="600">
        <v>2</v>
      </c>
      <c r="M136" s="600">
        <v>6</v>
      </c>
      <c r="N136" s="600">
        <v>12</v>
      </c>
      <c r="AE136" s="283"/>
      <c r="AF136" s="283"/>
      <c r="AG136" s="283"/>
      <c r="AH136" s="283"/>
      <c r="AI136" s="283"/>
      <c r="AJ136" s="283"/>
      <c r="AK136" s="283"/>
      <c r="AL136" s="283"/>
      <c r="AM136" s="283"/>
      <c r="AN136" s="283"/>
      <c r="AO136" s="283"/>
      <c r="AP136" s="283"/>
      <c r="AQ136" s="283"/>
    </row>
    <row r="137" spans="1:43" s="263" customFormat="1" ht="8.85" customHeight="1" x14ac:dyDescent="0.25">
      <c r="A137" s="263" t="s">
        <v>35</v>
      </c>
      <c r="B137" s="266">
        <f t="shared" si="13"/>
        <v>4588</v>
      </c>
      <c r="C137" s="266"/>
      <c r="D137" s="283">
        <f t="shared" si="14"/>
        <v>4563</v>
      </c>
      <c r="E137" s="600">
        <v>429</v>
      </c>
      <c r="F137" s="266"/>
      <c r="G137" s="266">
        <f t="shared" si="15"/>
        <v>4038</v>
      </c>
      <c r="H137" s="600">
        <v>644</v>
      </c>
      <c r="I137" s="600">
        <v>481</v>
      </c>
      <c r="J137" s="266">
        <v>2913</v>
      </c>
      <c r="K137" s="600">
        <v>7</v>
      </c>
      <c r="L137" s="600">
        <v>54</v>
      </c>
      <c r="M137" s="600">
        <v>35</v>
      </c>
      <c r="N137" s="600">
        <v>25</v>
      </c>
      <c r="AE137" s="283"/>
      <c r="AF137" s="283"/>
      <c r="AG137" s="283"/>
      <c r="AH137" s="283"/>
      <c r="AI137" s="283"/>
      <c r="AJ137" s="283"/>
      <c r="AK137" s="283"/>
      <c r="AL137" s="283"/>
      <c r="AM137" s="283"/>
      <c r="AN137" s="283"/>
      <c r="AO137" s="283"/>
      <c r="AP137" s="283"/>
      <c r="AQ137" s="283"/>
    </row>
    <row r="138" spans="1:43" s="263" customFormat="1" ht="8.85" customHeight="1" x14ac:dyDescent="0.25">
      <c r="A138" s="263" t="s">
        <v>36</v>
      </c>
      <c r="B138" s="266">
        <f t="shared" si="13"/>
        <v>5084</v>
      </c>
      <c r="C138" s="266"/>
      <c r="D138" s="283">
        <f t="shared" si="14"/>
        <v>5054</v>
      </c>
      <c r="E138" s="600">
        <v>718</v>
      </c>
      <c r="F138" s="266"/>
      <c r="G138" s="266">
        <f t="shared" si="15"/>
        <v>4218</v>
      </c>
      <c r="H138" s="600">
        <v>728</v>
      </c>
      <c r="I138" s="600">
        <v>601</v>
      </c>
      <c r="J138" s="266">
        <v>2889</v>
      </c>
      <c r="K138" s="600">
        <v>13</v>
      </c>
      <c r="L138" s="600">
        <v>5</v>
      </c>
      <c r="M138" s="600">
        <v>100</v>
      </c>
      <c r="N138" s="600">
        <v>30</v>
      </c>
      <c r="AE138" s="283"/>
      <c r="AF138" s="283"/>
      <c r="AG138" s="283"/>
      <c r="AH138" s="283"/>
      <c r="AI138" s="283"/>
      <c r="AJ138" s="283"/>
      <c r="AK138" s="283"/>
      <c r="AL138" s="283"/>
      <c r="AM138" s="283"/>
      <c r="AN138" s="283"/>
      <c r="AO138" s="283"/>
      <c r="AP138" s="283"/>
      <c r="AQ138" s="283"/>
    </row>
    <row r="139" spans="1:43" s="263" customFormat="1" ht="8.85" customHeight="1" x14ac:dyDescent="0.25">
      <c r="A139" s="267" t="s">
        <v>37</v>
      </c>
      <c r="B139" s="268">
        <f t="shared" si="13"/>
        <v>1935</v>
      </c>
      <c r="C139" s="268"/>
      <c r="D139" s="284">
        <f t="shared" si="14"/>
        <v>1921</v>
      </c>
      <c r="E139" s="604">
        <v>325</v>
      </c>
      <c r="F139" s="268"/>
      <c r="G139" s="268">
        <f t="shared" si="15"/>
        <v>1484</v>
      </c>
      <c r="H139" s="604">
        <v>237</v>
      </c>
      <c r="I139" s="604">
        <v>223</v>
      </c>
      <c r="J139" s="268">
        <v>1024</v>
      </c>
      <c r="K139" s="604">
        <v>27</v>
      </c>
      <c r="L139" s="604">
        <v>68</v>
      </c>
      <c r="M139" s="604">
        <v>17</v>
      </c>
      <c r="N139" s="604">
        <v>14</v>
      </c>
      <c r="AE139" s="283"/>
      <c r="AF139" s="283"/>
      <c r="AG139" s="283"/>
      <c r="AH139" s="283"/>
      <c r="AI139" s="283"/>
      <c r="AJ139" s="283"/>
      <c r="AK139" s="283"/>
      <c r="AL139" s="283"/>
      <c r="AM139" s="283"/>
      <c r="AN139" s="283"/>
      <c r="AO139" s="283"/>
      <c r="AP139" s="283"/>
      <c r="AQ139" s="283"/>
    </row>
    <row r="140" spans="1:43" s="263" customFormat="1" ht="8.85" customHeight="1" x14ac:dyDescent="0.25">
      <c r="A140" s="263" t="s">
        <v>38</v>
      </c>
      <c r="B140" s="266">
        <f t="shared" si="13"/>
        <v>448</v>
      </c>
      <c r="C140" s="266"/>
      <c r="D140" s="283">
        <f t="shared" si="14"/>
        <v>436</v>
      </c>
      <c r="E140" s="600">
        <v>82</v>
      </c>
      <c r="F140" s="266"/>
      <c r="G140" s="266">
        <f t="shared" si="15"/>
        <v>347</v>
      </c>
      <c r="H140" s="600">
        <v>67</v>
      </c>
      <c r="I140" s="600">
        <v>55</v>
      </c>
      <c r="J140" s="266">
        <v>225</v>
      </c>
      <c r="K140" s="600">
        <v>3</v>
      </c>
      <c r="L140" s="600">
        <v>0</v>
      </c>
      <c r="M140" s="600">
        <v>4</v>
      </c>
      <c r="N140" s="600">
        <v>12</v>
      </c>
      <c r="AE140" s="283"/>
      <c r="AF140" s="283"/>
      <c r="AG140" s="283"/>
      <c r="AH140" s="283"/>
      <c r="AI140" s="283"/>
      <c r="AJ140" s="283"/>
      <c r="AK140" s="283"/>
      <c r="AL140" s="283"/>
      <c r="AM140" s="283"/>
      <c r="AN140" s="283"/>
      <c r="AO140" s="283"/>
      <c r="AP140" s="283"/>
      <c r="AQ140" s="283"/>
    </row>
    <row r="141" spans="1:43" s="263" customFormat="1" ht="8.85" customHeight="1" x14ac:dyDescent="0.25">
      <c r="A141" s="263" t="s">
        <v>39</v>
      </c>
      <c r="B141" s="266">
        <f t="shared" si="13"/>
        <v>314</v>
      </c>
      <c r="C141" s="266"/>
      <c r="D141" s="283">
        <f t="shared" si="14"/>
        <v>310</v>
      </c>
      <c r="E141" s="600">
        <v>34</v>
      </c>
      <c r="F141" s="266"/>
      <c r="G141" s="266">
        <f t="shared" si="15"/>
        <v>275</v>
      </c>
      <c r="H141" s="600">
        <v>51</v>
      </c>
      <c r="I141" s="600">
        <v>33</v>
      </c>
      <c r="J141" s="266">
        <v>191</v>
      </c>
      <c r="K141" s="600">
        <v>0</v>
      </c>
      <c r="L141" s="600">
        <v>0</v>
      </c>
      <c r="M141" s="600">
        <v>1</v>
      </c>
      <c r="N141" s="600">
        <v>4</v>
      </c>
      <c r="AE141" s="283"/>
      <c r="AF141" s="283"/>
      <c r="AG141" s="283"/>
      <c r="AH141" s="283"/>
      <c r="AI141" s="283"/>
      <c r="AJ141" s="283"/>
      <c r="AK141" s="283"/>
      <c r="AL141" s="283"/>
      <c r="AM141" s="283"/>
      <c r="AN141" s="283"/>
      <c r="AO141" s="283"/>
      <c r="AP141" s="283"/>
      <c r="AQ141" s="283"/>
    </row>
    <row r="142" spans="1:43" s="263" customFormat="1" ht="8.85" customHeight="1" x14ac:dyDescent="0.25">
      <c r="A142" s="263" t="s">
        <v>40</v>
      </c>
      <c r="B142" s="266">
        <f t="shared" si="13"/>
        <v>3521</v>
      </c>
      <c r="C142" s="266"/>
      <c r="D142" s="283">
        <f t="shared" si="14"/>
        <v>3506</v>
      </c>
      <c r="E142" s="600">
        <v>62</v>
      </c>
      <c r="F142" s="266"/>
      <c r="G142" s="266">
        <f t="shared" si="15"/>
        <v>3327</v>
      </c>
      <c r="H142" s="600">
        <v>94</v>
      </c>
      <c r="I142" s="600">
        <v>360</v>
      </c>
      <c r="J142" s="266">
        <v>2873</v>
      </c>
      <c r="K142" s="600">
        <v>11</v>
      </c>
      <c r="L142" s="600">
        <v>83</v>
      </c>
      <c r="M142" s="600">
        <v>23</v>
      </c>
      <c r="N142" s="600">
        <v>15</v>
      </c>
      <c r="AE142" s="283"/>
      <c r="AF142" s="283"/>
      <c r="AG142" s="283"/>
      <c r="AH142" s="283"/>
      <c r="AI142" s="283"/>
      <c r="AJ142" s="283"/>
      <c r="AK142" s="283"/>
      <c r="AL142" s="283"/>
      <c r="AM142" s="283"/>
      <c r="AN142" s="283"/>
      <c r="AO142" s="283"/>
      <c r="AP142" s="283"/>
      <c r="AQ142" s="283"/>
    </row>
    <row r="143" spans="1:43" s="263" customFormat="1" ht="8.85" customHeight="1" x14ac:dyDescent="0.25">
      <c r="A143" s="267" t="s">
        <v>41</v>
      </c>
      <c r="B143" s="268">
        <f t="shared" si="13"/>
        <v>600</v>
      </c>
      <c r="C143" s="268"/>
      <c r="D143" s="284">
        <f t="shared" si="14"/>
        <v>595</v>
      </c>
      <c r="E143" s="604">
        <v>116</v>
      </c>
      <c r="F143" s="268"/>
      <c r="G143" s="268">
        <f t="shared" si="15"/>
        <v>462</v>
      </c>
      <c r="H143" s="604">
        <v>67</v>
      </c>
      <c r="I143" s="604">
        <v>57</v>
      </c>
      <c r="J143" s="268">
        <v>338</v>
      </c>
      <c r="K143" s="604">
        <v>5</v>
      </c>
      <c r="L143" s="604">
        <v>0</v>
      </c>
      <c r="M143" s="604">
        <v>12</v>
      </c>
      <c r="N143" s="604">
        <v>5</v>
      </c>
      <c r="AE143" s="283"/>
      <c r="AF143" s="283"/>
      <c r="AG143" s="283"/>
      <c r="AH143" s="283"/>
      <c r="AI143" s="283"/>
      <c r="AJ143" s="283"/>
      <c r="AK143" s="283"/>
      <c r="AL143" s="283"/>
      <c r="AM143" s="283"/>
      <c r="AN143" s="283"/>
      <c r="AO143" s="283"/>
      <c r="AP143" s="283"/>
      <c r="AQ143" s="283"/>
    </row>
    <row r="144" spans="1:43" s="263" customFormat="1" ht="8.85" customHeight="1" x14ac:dyDescent="0.25">
      <c r="A144" s="263" t="s">
        <v>42</v>
      </c>
      <c r="B144" s="266">
        <f t="shared" si="13"/>
        <v>914</v>
      </c>
      <c r="C144" s="266"/>
      <c r="D144" s="283">
        <f t="shared" si="14"/>
        <v>887</v>
      </c>
      <c r="E144" s="600">
        <v>164</v>
      </c>
      <c r="F144" s="266"/>
      <c r="G144" s="266">
        <f t="shared" si="15"/>
        <v>666</v>
      </c>
      <c r="H144" s="600">
        <v>96</v>
      </c>
      <c r="I144" s="600">
        <v>101</v>
      </c>
      <c r="J144" s="266">
        <v>469</v>
      </c>
      <c r="K144" s="600">
        <v>8</v>
      </c>
      <c r="L144" s="600">
        <v>23</v>
      </c>
      <c r="M144" s="600">
        <v>26</v>
      </c>
      <c r="N144" s="600">
        <v>27</v>
      </c>
      <c r="AE144" s="283"/>
      <c r="AF144" s="283"/>
      <c r="AG144" s="283"/>
      <c r="AH144" s="283"/>
      <c r="AI144" s="283"/>
      <c r="AJ144" s="283"/>
      <c r="AK144" s="283"/>
      <c r="AL144" s="283"/>
      <c r="AM144" s="283"/>
      <c r="AN144" s="283"/>
      <c r="AO144" s="283"/>
      <c r="AP144" s="283"/>
      <c r="AQ144" s="283"/>
    </row>
    <row r="145" spans="1:43" s="263" customFormat="1" ht="8.85" customHeight="1" x14ac:dyDescent="0.25">
      <c r="A145" s="263" t="s">
        <v>43</v>
      </c>
      <c r="B145" s="266">
        <f t="shared" si="13"/>
        <v>1011</v>
      </c>
      <c r="C145" s="266"/>
      <c r="D145" s="283">
        <f t="shared" si="14"/>
        <v>1004</v>
      </c>
      <c r="E145" s="600">
        <v>129</v>
      </c>
      <c r="F145" s="266"/>
      <c r="G145" s="266">
        <f t="shared" si="15"/>
        <v>856</v>
      </c>
      <c r="H145" s="600">
        <v>220</v>
      </c>
      <c r="I145" s="600">
        <v>109</v>
      </c>
      <c r="J145" s="266">
        <v>527</v>
      </c>
      <c r="K145" s="600">
        <v>4</v>
      </c>
      <c r="L145" s="600">
        <v>0</v>
      </c>
      <c r="M145" s="600">
        <v>15</v>
      </c>
      <c r="N145" s="600">
        <v>7</v>
      </c>
      <c r="AE145" s="283"/>
      <c r="AF145" s="283"/>
      <c r="AG145" s="283"/>
      <c r="AH145" s="283"/>
      <c r="AI145" s="283"/>
      <c r="AJ145" s="283"/>
      <c r="AK145" s="283"/>
      <c r="AL145" s="283"/>
      <c r="AM145" s="283"/>
      <c r="AN145" s="283"/>
      <c r="AO145" s="283"/>
      <c r="AP145" s="283"/>
      <c r="AQ145" s="283"/>
    </row>
    <row r="146" spans="1:43" s="263" customFormat="1" ht="8.85" customHeight="1" x14ac:dyDescent="0.25">
      <c r="A146" s="263" t="s">
        <v>44</v>
      </c>
      <c r="B146" s="266">
        <f t="shared" si="13"/>
        <v>358</v>
      </c>
      <c r="C146" s="266"/>
      <c r="D146" s="283">
        <f t="shared" si="14"/>
        <v>354</v>
      </c>
      <c r="E146" s="600">
        <v>55</v>
      </c>
      <c r="F146" s="266"/>
      <c r="G146" s="266">
        <f t="shared" si="15"/>
        <v>283</v>
      </c>
      <c r="H146" s="600">
        <v>48</v>
      </c>
      <c r="I146" s="600">
        <v>42</v>
      </c>
      <c r="J146" s="266">
        <v>193</v>
      </c>
      <c r="K146" s="600">
        <v>0</v>
      </c>
      <c r="L146" s="600">
        <v>0</v>
      </c>
      <c r="M146" s="600">
        <v>16</v>
      </c>
      <c r="N146" s="263">
        <v>4</v>
      </c>
      <c r="AE146" s="283"/>
      <c r="AF146" s="283"/>
      <c r="AG146" s="283"/>
      <c r="AH146" s="283"/>
      <c r="AI146" s="283"/>
      <c r="AJ146" s="283"/>
      <c r="AK146" s="283"/>
      <c r="AL146" s="283"/>
      <c r="AM146" s="283"/>
      <c r="AN146" s="283"/>
      <c r="AO146" s="283"/>
      <c r="AP146" s="283"/>
      <c r="AQ146" s="283"/>
    </row>
    <row r="147" spans="1:43" s="263" customFormat="1" ht="8.85" customHeight="1" x14ac:dyDescent="0.25">
      <c r="A147" s="267" t="s">
        <v>45</v>
      </c>
      <c r="B147" s="268">
        <f t="shared" si="13"/>
        <v>880</v>
      </c>
      <c r="C147" s="268"/>
      <c r="D147" s="284">
        <f t="shared" si="14"/>
        <v>866</v>
      </c>
      <c r="E147" s="604">
        <v>46</v>
      </c>
      <c r="F147" s="268"/>
      <c r="G147" s="268">
        <f t="shared" si="15"/>
        <v>813</v>
      </c>
      <c r="H147" s="604">
        <v>153</v>
      </c>
      <c r="I147" s="604">
        <v>140</v>
      </c>
      <c r="J147" s="268">
        <v>520</v>
      </c>
      <c r="K147" s="604">
        <v>0</v>
      </c>
      <c r="L147" s="604">
        <v>0</v>
      </c>
      <c r="M147" s="604">
        <v>7</v>
      </c>
      <c r="N147" s="604">
        <v>14</v>
      </c>
      <c r="AE147" s="283"/>
      <c r="AF147" s="283"/>
      <c r="AG147" s="283"/>
      <c r="AH147" s="283"/>
      <c r="AI147" s="283"/>
      <c r="AJ147" s="283"/>
      <c r="AK147" s="283"/>
      <c r="AL147" s="283"/>
      <c r="AM147" s="283"/>
      <c r="AN147" s="283"/>
      <c r="AO147" s="283"/>
      <c r="AP147" s="283"/>
      <c r="AQ147" s="283"/>
    </row>
    <row r="148" spans="1:43" s="263" customFormat="1" ht="8.85" customHeight="1" x14ac:dyDescent="0.25">
      <c r="A148" s="263" t="s">
        <v>46</v>
      </c>
      <c r="B148" s="266">
        <f t="shared" si="13"/>
        <v>679</v>
      </c>
      <c r="C148" s="266"/>
      <c r="D148" s="283">
        <f t="shared" si="14"/>
        <v>679</v>
      </c>
      <c r="E148" s="600">
        <v>86</v>
      </c>
      <c r="F148" s="266"/>
      <c r="G148" s="266">
        <f t="shared" si="15"/>
        <v>580</v>
      </c>
      <c r="H148" s="600">
        <v>84</v>
      </c>
      <c r="I148" s="600">
        <v>78</v>
      </c>
      <c r="J148" s="266">
        <v>418</v>
      </c>
      <c r="K148" s="600">
        <v>2</v>
      </c>
      <c r="L148" s="600">
        <v>0</v>
      </c>
      <c r="M148" s="600">
        <v>11</v>
      </c>
      <c r="N148" s="600">
        <v>0</v>
      </c>
      <c r="AE148" s="283"/>
      <c r="AF148" s="283"/>
      <c r="AG148" s="283"/>
      <c r="AH148" s="283"/>
      <c r="AI148" s="283"/>
      <c r="AJ148" s="283"/>
      <c r="AK148" s="283"/>
      <c r="AL148" s="283"/>
      <c r="AM148" s="283"/>
      <c r="AN148" s="283"/>
      <c r="AO148" s="283"/>
      <c r="AP148" s="283"/>
      <c r="AQ148" s="283"/>
    </row>
    <row r="149" spans="1:43" s="263" customFormat="1" ht="8.85" customHeight="1" x14ac:dyDescent="0.25">
      <c r="A149" s="263" t="s">
        <v>47</v>
      </c>
      <c r="B149" s="266">
        <f t="shared" si="13"/>
        <v>1788</v>
      </c>
      <c r="C149" s="266"/>
      <c r="D149" s="283">
        <f t="shared" si="14"/>
        <v>1778</v>
      </c>
      <c r="E149" s="600">
        <v>127</v>
      </c>
      <c r="F149" s="266"/>
      <c r="G149" s="266">
        <f t="shared" si="15"/>
        <v>1641</v>
      </c>
      <c r="H149" s="600">
        <v>303</v>
      </c>
      <c r="I149" s="600">
        <v>198</v>
      </c>
      <c r="J149" s="266">
        <v>1140</v>
      </c>
      <c r="K149" s="600">
        <v>0</v>
      </c>
      <c r="L149" s="600">
        <v>0</v>
      </c>
      <c r="M149" s="600">
        <v>10</v>
      </c>
      <c r="N149" s="600">
        <v>10</v>
      </c>
      <c r="AE149" s="283"/>
      <c r="AF149" s="283"/>
      <c r="AG149" s="283"/>
      <c r="AH149" s="283"/>
      <c r="AI149" s="283"/>
      <c r="AJ149" s="283"/>
      <c r="AK149" s="283"/>
      <c r="AL149" s="283"/>
      <c r="AM149" s="283"/>
      <c r="AN149" s="283"/>
      <c r="AO149" s="283"/>
      <c r="AP149" s="283"/>
      <c r="AQ149" s="283"/>
    </row>
    <row r="150" spans="1:43" s="263" customFormat="1" ht="8.85" customHeight="1" x14ac:dyDescent="0.25">
      <c r="A150" s="263" t="s">
        <v>48</v>
      </c>
      <c r="B150" s="266">
        <f t="shared" si="13"/>
        <v>394</v>
      </c>
      <c r="C150" s="266"/>
      <c r="D150" s="283">
        <f t="shared" si="14"/>
        <v>389</v>
      </c>
      <c r="E150" s="600">
        <v>69</v>
      </c>
      <c r="F150" s="266"/>
      <c r="G150" s="266">
        <f t="shared" si="15"/>
        <v>312</v>
      </c>
      <c r="H150" s="600">
        <v>51</v>
      </c>
      <c r="I150" s="600">
        <v>46</v>
      </c>
      <c r="J150" s="266">
        <v>215</v>
      </c>
      <c r="K150" s="600">
        <v>1</v>
      </c>
      <c r="L150" s="600">
        <v>0</v>
      </c>
      <c r="M150" s="600">
        <v>7</v>
      </c>
      <c r="N150" s="600">
        <v>5</v>
      </c>
      <c r="AE150" s="283"/>
      <c r="AF150" s="283"/>
      <c r="AG150" s="283"/>
      <c r="AH150" s="283"/>
      <c r="AI150" s="283"/>
      <c r="AJ150" s="283"/>
      <c r="AK150" s="283"/>
      <c r="AL150" s="283"/>
      <c r="AM150" s="283"/>
      <c r="AN150" s="283"/>
      <c r="AO150" s="283"/>
      <c r="AP150" s="283"/>
      <c r="AQ150" s="283"/>
    </row>
    <row r="151" spans="1:43" s="263" customFormat="1" ht="8.85" customHeight="1" x14ac:dyDescent="0.25">
      <c r="A151" s="267" t="s">
        <v>49</v>
      </c>
      <c r="B151" s="268">
        <f t="shared" si="13"/>
        <v>1088</v>
      </c>
      <c r="C151" s="268"/>
      <c r="D151" s="284">
        <f t="shared" si="14"/>
        <v>1076</v>
      </c>
      <c r="E151" s="604">
        <v>174</v>
      </c>
      <c r="F151" s="268"/>
      <c r="G151" s="268">
        <f t="shared" si="15"/>
        <v>882</v>
      </c>
      <c r="H151" s="604">
        <v>148</v>
      </c>
      <c r="I151" s="604">
        <v>134</v>
      </c>
      <c r="J151" s="268">
        <v>600</v>
      </c>
      <c r="K151" s="604">
        <v>0</v>
      </c>
      <c r="L151" s="604">
        <v>0</v>
      </c>
      <c r="M151" s="604">
        <v>20</v>
      </c>
      <c r="N151" s="604">
        <v>12</v>
      </c>
      <c r="AE151" s="283"/>
      <c r="AF151" s="283"/>
      <c r="AG151" s="283"/>
      <c r="AH151" s="283"/>
      <c r="AI151" s="283"/>
      <c r="AJ151" s="283"/>
      <c r="AK151" s="283"/>
      <c r="AL151" s="283"/>
      <c r="AM151" s="283"/>
      <c r="AN151" s="283"/>
      <c r="AO151" s="283"/>
      <c r="AP151" s="283"/>
      <c r="AQ151" s="283"/>
    </row>
    <row r="152" spans="1:43" s="263" customFormat="1" ht="8.85" customHeight="1" x14ac:dyDescent="0.25">
      <c r="A152" s="263" t="s">
        <v>50</v>
      </c>
      <c r="B152" s="266">
        <f t="shared" si="13"/>
        <v>395</v>
      </c>
      <c r="C152" s="266"/>
      <c r="D152" s="283">
        <f t="shared" si="14"/>
        <v>392</v>
      </c>
      <c r="E152" s="600">
        <v>67</v>
      </c>
      <c r="F152" s="266"/>
      <c r="G152" s="266">
        <f t="shared" si="15"/>
        <v>313</v>
      </c>
      <c r="H152" s="600">
        <v>52</v>
      </c>
      <c r="I152" s="600">
        <v>46</v>
      </c>
      <c r="J152" s="266">
        <v>215</v>
      </c>
      <c r="K152" s="600">
        <v>2</v>
      </c>
      <c r="L152" s="600">
        <v>0</v>
      </c>
      <c r="M152" s="600">
        <v>10</v>
      </c>
      <c r="N152" s="600">
        <v>3</v>
      </c>
      <c r="AE152" s="283"/>
      <c r="AF152" s="283"/>
      <c r="AG152" s="283"/>
      <c r="AH152" s="283"/>
      <c r="AI152" s="283"/>
      <c r="AJ152" s="283"/>
      <c r="AK152" s="283"/>
      <c r="AL152" s="283"/>
      <c r="AM152" s="283"/>
      <c r="AN152" s="283"/>
      <c r="AO152" s="283"/>
      <c r="AP152" s="283"/>
      <c r="AQ152" s="283"/>
    </row>
    <row r="153" spans="1:43" s="263" customFormat="1" ht="8.85" customHeight="1" x14ac:dyDescent="0.25">
      <c r="A153" s="263" t="s">
        <v>51</v>
      </c>
      <c r="B153" s="266">
        <f t="shared" si="13"/>
        <v>1481</v>
      </c>
      <c r="C153" s="266"/>
      <c r="D153" s="283">
        <f t="shared" si="14"/>
        <v>1444</v>
      </c>
      <c r="E153" s="600">
        <v>229</v>
      </c>
      <c r="F153" s="266"/>
      <c r="G153" s="266">
        <f t="shared" si="15"/>
        <v>1179</v>
      </c>
      <c r="H153" s="600">
        <v>196</v>
      </c>
      <c r="I153" s="600">
        <v>175</v>
      </c>
      <c r="J153" s="266">
        <v>808</v>
      </c>
      <c r="K153" s="600">
        <v>7</v>
      </c>
      <c r="L153" s="600">
        <v>5</v>
      </c>
      <c r="M153" s="600">
        <v>24</v>
      </c>
      <c r="N153" s="600">
        <v>37</v>
      </c>
      <c r="AE153" s="283"/>
      <c r="AF153" s="283"/>
      <c r="AG153" s="283"/>
      <c r="AH153" s="283"/>
      <c r="AI153" s="283"/>
      <c r="AJ153" s="283"/>
      <c r="AK153" s="283"/>
      <c r="AL153" s="283"/>
      <c r="AM153" s="283"/>
      <c r="AN153" s="283"/>
      <c r="AO153" s="283"/>
      <c r="AP153" s="283"/>
      <c r="AQ153" s="283"/>
    </row>
    <row r="154" spans="1:43" s="263" customFormat="1" ht="8.85" customHeight="1" x14ac:dyDescent="0.25">
      <c r="A154" s="263" t="s">
        <v>52</v>
      </c>
      <c r="B154" s="266">
        <f t="shared" si="13"/>
        <v>622</v>
      </c>
      <c r="C154" s="266"/>
      <c r="D154" s="283">
        <f t="shared" si="14"/>
        <v>617</v>
      </c>
      <c r="E154" s="600">
        <v>55</v>
      </c>
      <c r="F154" s="266"/>
      <c r="G154" s="266">
        <f t="shared" si="15"/>
        <v>537</v>
      </c>
      <c r="H154" s="600">
        <v>71</v>
      </c>
      <c r="I154" s="600">
        <v>73</v>
      </c>
      <c r="J154" s="266">
        <v>393</v>
      </c>
      <c r="K154" s="600">
        <v>0</v>
      </c>
      <c r="L154" s="600">
        <v>10</v>
      </c>
      <c r="M154" s="600">
        <v>15</v>
      </c>
      <c r="N154" s="600">
        <v>5</v>
      </c>
      <c r="AE154" s="283"/>
      <c r="AF154" s="283"/>
      <c r="AG154" s="283"/>
      <c r="AH154" s="283"/>
      <c r="AI154" s="283"/>
      <c r="AJ154" s="283"/>
      <c r="AK154" s="283"/>
      <c r="AL154" s="283"/>
      <c r="AM154" s="283"/>
      <c r="AN154" s="283"/>
      <c r="AO154" s="283"/>
      <c r="AP154" s="283"/>
      <c r="AQ154" s="283"/>
    </row>
    <row r="155" spans="1:43" s="263" customFormat="1" ht="8.85" customHeight="1" x14ac:dyDescent="0.25">
      <c r="A155" s="267" t="s">
        <v>53</v>
      </c>
      <c r="B155" s="268">
        <f t="shared" si="13"/>
        <v>561</v>
      </c>
      <c r="C155" s="268"/>
      <c r="D155" s="284">
        <f t="shared" si="14"/>
        <v>559</v>
      </c>
      <c r="E155" s="604">
        <v>61</v>
      </c>
      <c r="F155" s="268"/>
      <c r="G155" s="268">
        <f t="shared" si="15"/>
        <v>471</v>
      </c>
      <c r="H155" s="604">
        <v>80</v>
      </c>
      <c r="I155" s="604">
        <v>60</v>
      </c>
      <c r="J155" s="268">
        <v>331</v>
      </c>
      <c r="K155" s="604">
        <v>10</v>
      </c>
      <c r="L155" s="604">
        <v>0</v>
      </c>
      <c r="M155" s="604">
        <v>17</v>
      </c>
      <c r="N155" s="604">
        <v>2</v>
      </c>
      <c r="AE155" s="283"/>
      <c r="AF155" s="283"/>
      <c r="AG155" s="283"/>
      <c r="AH155" s="283"/>
      <c r="AI155" s="283"/>
      <c r="AJ155" s="283"/>
      <c r="AK155" s="283"/>
      <c r="AL155" s="283"/>
      <c r="AM155" s="283"/>
      <c r="AN155" s="283"/>
      <c r="AO155" s="283"/>
      <c r="AP155" s="283"/>
      <c r="AQ155" s="283"/>
    </row>
    <row r="156" spans="1:43" ht="8.25" customHeight="1" x14ac:dyDescent="0.25">
      <c r="B156" s="259"/>
      <c r="C156" s="259"/>
      <c r="D156" s="259"/>
      <c r="E156" s="259"/>
      <c r="F156" s="259"/>
      <c r="G156" s="259"/>
      <c r="H156" s="259"/>
      <c r="I156" s="259"/>
      <c r="J156" s="259"/>
      <c r="K156" s="259"/>
      <c r="L156" s="259"/>
      <c r="AE156" s="283"/>
      <c r="AF156" s="283"/>
      <c r="AG156" s="283"/>
      <c r="AH156" s="283"/>
      <c r="AI156" s="283"/>
      <c r="AJ156" s="283"/>
      <c r="AK156" s="283"/>
      <c r="AL156" s="283"/>
      <c r="AM156" s="283"/>
      <c r="AN156" s="283"/>
      <c r="AO156" s="283"/>
      <c r="AP156" s="283"/>
      <c r="AQ156" s="283"/>
    </row>
    <row r="157" spans="1:43" ht="9" customHeight="1" x14ac:dyDescent="0.25">
      <c r="A157" s="601">
        <v>2005</v>
      </c>
      <c r="B157" s="259"/>
      <c r="C157" s="259"/>
      <c r="D157" s="259"/>
      <c r="E157" s="259"/>
      <c r="F157" s="259"/>
      <c r="G157" s="259"/>
      <c r="H157" s="259"/>
      <c r="I157" s="259"/>
      <c r="J157" s="259"/>
      <c r="K157" s="259"/>
      <c r="L157" s="259"/>
      <c r="AE157" s="283"/>
      <c r="AF157" s="283"/>
      <c r="AG157" s="283"/>
      <c r="AH157" s="283"/>
      <c r="AI157" s="283"/>
      <c r="AJ157" s="283"/>
      <c r="AK157" s="283"/>
      <c r="AL157" s="283"/>
      <c r="AM157" s="283"/>
      <c r="AN157" s="283"/>
      <c r="AO157" s="283"/>
      <c r="AP157" s="283"/>
      <c r="AQ157" s="283"/>
    </row>
    <row r="158" spans="1:43" s="263" customFormat="1" ht="9" customHeight="1" x14ac:dyDescent="0.25">
      <c r="A158" s="265" t="s">
        <v>21</v>
      </c>
      <c r="B158" s="262">
        <f>SUM(B160:B191)</f>
        <v>44400</v>
      </c>
      <c r="C158" s="262"/>
      <c r="D158" s="262">
        <f>SUM(D160:D191)</f>
        <v>43995</v>
      </c>
      <c r="E158" s="262">
        <f>SUM(E160:E191)</f>
        <v>5418</v>
      </c>
      <c r="F158" s="262"/>
      <c r="G158" s="262">
        <f t="shared" ref="G158:M158" si="16">SUM(G160:G191)</f>
        <v>37054</v>
      </c>
      <c r="H158" s="262">
        <f t="shared" si="16"/>
        <v>5901</v>
      </c>
      <c r="I158" s="262">
        <f t="shared" si="16"/>
        <v>4647</v>
      </c>
      <c r="J158" s="262">
        <f t="shared" si="16"/>
        <v>26506</v>
      </c>
      <c r="K158" s="262">
        <f t="shared" si="16"/>
        <v>220</v>
      </c>
      <c r="L158" s="262">
        <f t="shared" si="16"/>
        <v>543</v>
      </c>
      <c r="M158" s="262">
        <f t="shared" si="16"/>
        <v>760</v>
      </c>
      <c r="N158" s="262">
        <f>SUM(N160:N191)</f>
        <v>405</v>
      </c>
      <c r="AE158" s="283"/>
      <c r="AF158" s="283"/>
      <c r="AG158" s="283"/>
      <c r="AH158" s="283"/>
      <c r="AI158" s="283"/>
      <c r="AJ158" s="283"/>
      <c r="AK158" s="283"/>
      <c r="AL158" s="283"/>
      <c r="AM158" s="283"/>
      <c r="AN158" s="283"/>
      <c r="AO158" s="283"/>
      <c r="AP158" s="283"/>
      <c r="AQ158" s="283"/>
    </row>
    <row r="159" spans="1:43" s="263" customFormat="1" ht="2.1" customHeight="1" x14ac:dyDescent="0.25">
      <c r="A159" s="265"/>
      <c r="B159" s="262"/>
      <c r="C159" s="262"/>
      <c r="D159" s="262"/>
      <c r="E159" s="262"/>
      <c r="F159" s="262"/>
      <c r="G159" s="262"/>
      <c r="H159" s="262"/>
      <c r="I159" s="262"/>
      <c r="J159" s="262"/>
      <c r="K159" s="262"/>
      <c r="L159" s="262"/>
      <c r="M159" s="262"/>
      <c r="N159" s="262"/>
      <c r="AE159" s="283"/>
      <c r="AF159" s="283"/>
      <c r="AG159" s="283"/>
      <c r="AH159" s="283"/>
      <c r="AI159" s="283"/>
      <c r="AJ159" s="283"/>
      <c r="AK159" s="283"/>
      <c r="AL159" s="283"/>
      <c r="AM159" s="283"/>
      <c r="AN159" s="283"/>
      <c r="AO159" s="283"/>
      <c r="AP159" s="283"/>
      <c r="AQ159" s="283"/>
    </row>
    <row r="160" spans="1:43" s="263" customFormat="1" ht="9" customHeight="1" x14ac:dyDescent="0.25">
      <c r="A160" s="550" t="s">
        <v>23</v>
      </c>
      <c r="B160" s="629">
        <f>SUM(D160+N160)</f>
        <v>244</v>
      </c>
      <c r="C160" s="629"/>
      <c r="D160" s="631">
        <f>SUM(E160+G160+K160+L160+M160)</f>
        <v>238</v>
      </c>
      <c r="E160" s="632">
        <v>22</v>
      </c>
      <c r="F160" s="629"/>
      <c r="G160" s="629">
        <f>SUM(H160:J160)</f>
        <v>206</v>
      </c>
      <c r="H160" s="632">
        <v>26</v>
      </c>
      <c r="I160" s="632">
        <v>16</v>
      </c>
      <c r="J160" s="629">
        <v>164</v>
      </c>
      <c r="K160" s="632">
        <v>1</v>
      </c>
      <c r="L160" s="632">
        <v>0</v>
      </c>
      <c r="M160" s="632">
        <v>9</v>
      </c>
      <c r="N160" s="632">
        <v>6</v>
      </c>
      <c r="AE160" s="283"/>
      <c r="AF160" s="283"/>
      <c r="AG160" s="283"/>
      <c r="AH160" s="283"/>
      <c r="AI160" s="283"/>
      <c r="AJ160" s="283"/>
      <c r="AK160" s="283"/>
      <c r="AL160" s="283"/>
      <c r="AM160" s="283"/>
      <c r="AN160" s="283"/>
      <c r="AO160" s="283"/>
      <c r="AP160" s="283"/>
      <c r="AQ160" s="283"/>
    </row>
    <row r="161" spans="1:43" s="263" customFormat="1" ht="9" customHeight="1" x14ac:dyDescent="0.25">
      <c r="A161" s="550" t="s">
        <v>24</v>
      </c>
      <c r="B161" s="629">
        <f>SUM(D161+N161)</f>
        <v>2524</v>
      </c>
      <c r="C161" s="629"/>
      <c r="D161" s="631">
        <f>SUM(E161+G161+K161+L161+M161)</f>
        <v>2509</v>
      </c>
      <c r="E161" s="629">
        <v>401</v>
      </c>
      <c r="F161" s="629"/>
      <c r="G161" s="629">
        <f>SUM(H161:J161)</f>
        <v>2003</v>
      </c>
      <c r="H161" s="629">
        <v>301</v>
      </c>
      <c r="I161" s="629">
        <v>244</v>
      </c>
      <c r="J161" s="629">
        <v>1458</v>
      </c>
      <c r="K161" s="629">
        <v>1</v>
      </c>
      <c r="L161" s="629">
        <v>0</v>
      </c>
      <c r="M161" s="629">
        <v>104</v>
      </c>
      <c r="N161" s="629">
        <v>15</v>
      </c>
      <c r="AE161" s="283"/>
      <c r="AF161" s="283"/>
      <c r="AG161" s="283"/>
      <c r="AH161" s="283"/>
      <c r="AI161" s="283"/>
      <c r="AJ161" s="283"/>
      <c r="AK161" s="283"/>
      <c r="AL161" s="283"/>
      <c r="AM161" s="283"/>
      <c r="AN161" s="283"/>
      <c r="AO161" s="283"/>
      <c r="AP161" s="283"/>
      <c r="AQ161" s="283"/>
    </row>
    <row r="162" spans="1:43" s="263" customFormat="1" ht="9" customHeight="1" x14ac:dyDescent="0.25">
      <c r="A162" s="550" t="s">
        <v>25</v>
      </c>
      <c r="B162" s="629">
        <f>SUM(D162+N162)</f>
        <v>175</v>
      </c>
      <c r="C162" s="629"/>
      <c r="D162" s="631">
        <f>SUM(E162+G162+K162+L162+M162)</f>
        <v>175</v>
      </c>
      <c r="E162" s="629">
        <v>26</v>
      </c>
      <c r="F162" s="629"/>
      <c r="G162" s="629">
        <f>SUM(H162:J162)</f>
        <v>137</v>
      </c>
      <c r="H162" s="629">
        <v>19</v>
      </c>
      <c r="I162" s="629">
        <v>16</v>
      </c>
      <c r="J162" s="629">
        <v>102</v>
      </c>
      <c r="K162" s="629">
        <v>0</v>
      </c>
      <c r="L162" s="629">
        <v>5</v>
      </c>
      <c r="M162" s="629">
        <v>7</v>
      </c>
      <c r="N162" s="629">
        <v>0</v>
      </c>
      <c r="AE162" s="283"/>
      <c r="AF162" s="283"/>
      <c r="AG162" s="283"/>
      <c r="AH162" s="283"/>
      <c r="AI162" s="283"/>
      <c r="AJ162" s="283"/>
      <c r="AK162" s="283"/>
      <c r="AL162" s="283"/>
      <c r="AM162" s="283"/>
      <c r="AN162" s="283"/>
      <c r="AO162" s="283"/>
      <c r="AP162" s="283"/>
      <c r="AQ162" s="283"/>
    </row>
    <row r="163" spans="1:43" s="263" customFormat="1" ht="9" customHeight="1" x14ac:dyDescent="0.25">
      <c r="A163" s="603" t="s">
        <v>26</v>
      </c>
      <c r="B163" s="630">
        <f>SUM(D163+N163)</f>
        <v>70</v>
      </c>
      <c r="C163" s="630"/>
      <c r="D163" s="633">
        <f>SUM(E163+G163+K163+L163+M163)</f>
        <v>69</v>
      </c>
      <c r="E163" s="634">
        <v>5</v>
      </c>
      <c r="F163" s="630"/>
      <c r="G163" s="630">
        <f>SUM(H163:J163)</f>
        <v>61</v>
      </c>
      <c r="H163" s="634">
        <v>14</v>
      </c>
      <c r="I163" s="634">
        <v>12</v>
      </c>
      <c r="J163" s="630">
        <v>35</v>
      </c>
      <c r="K163" s="634">
        <v>0</v>
      </c>
      <c r="L163" s="634">
        <v>0</v>
      </c>
      <c r="M163" s="634">
        <v>3</v>
      </c>
      <c r="N163" s="634">
        <v>1</v>
      </c>
      <c r="AE163" s="283"/>
      <c r="AF163" s="283"/>
      <c r="AG163" s="283"/>
      <c r="AH163" s="283"/>
      <c r="AI163" s="283"/>
      <c r="AJ163" s="283"/>
      <c r="AK163" s="283"/>
      <c r="AL163" s="283"/>
      <c r="AM163" s="283"/>
      <c r="AN163" s="283"/>
      <c r="AO163" s="283"/>
      <c r="AP163" s="283"/>
      <c r="AQ163" s="283"/>
    </row>
    <row r="164" spans="1:43" s="263" customFormat="1" ht="9" customHeight="1" x14ac:dyDescent="0.25">
      <c r="A164" s="550" t="s">
        <v>27</v>
      </c>
      <c r="B164" s="629">
        <f t="shared" ref="B164:B191" si="17">SUM(D164+N164)</f>
        <v>765</v>
      </c>
      <c r="C164" s="629"/>
      <c r="D164" s="631">
        <f t="shared" ref="D164:D191" si="18">SUM(E164+G164+K164+L164+M164)</f>
        <v>758</v>
      </c>
      <c r="E164" s="632">
        <v>50</v>
      </c>
      <c r="F164" s="629"/>
      <c r="G164" s="629">
        <f t="shared" ref="G164:G191" si="19">SUM(H164:J164)</f>
        <v>696</v>
      </c>
      <c r="H164" s="632">
        <v>107</v>
      </c>
      <c r="I164" s="632">
        <v>71</v>
      </c>
      <c r="J164" s="629">
        <v>518</v>
      </c>
      <c r="K164" s="632">
        <v>1</v>
      </c>
      <c r="L164" s="632">
        <v>0</v>
      </c>
      <c r="M164" s="632">
        <v>11</v>
      </c>
      <c r="N164" s="632">
        <v>7</v>
      </c>
      <c r="AE164" s="283"/>
      <c r="AF164" s="283"/>
      <c r="AG164" s="283"/>
      <c r="AH164" s="283"/>
      <c r="AI164" s="283"/>
      <c r="AJ164" s="283"/>
      <c r="AK164" s="283"/>
      <c r="AL164" s="283"/>
      <c r="AM164" s="283"/>
      <c r="AN164" s="283"/>
      <c r="AO164" s="283"/>
      <c r="AP164" s="283"/>
      <c r="AQ164" s="283"/>
    </row>
    <row r="165" spans="1:43" s="263" customFormat="1" ht="9" customHeight="1" x14ac:dyDescent="0.25">
      <c r="A165" s="550" t="s">
        <v>28</v>
      </c>
      <c r="B165" s="629">
        <f t="shared" si="17"/>
        <v>219</v>
      </c>
      <c r="C165" s="629"/>
      <c r="D165" s="631">
        <f t="shared" si="18"/>
        <v>219</v>
      </c>
      <c r="E165" s="632">
        <v>33</v>
      </c>
      <c r="F165" s="629"/>
      <c r="G165" s="629">
        <f t="shared" si="19"/>
        <v>181</v>
      </c>
      <c r="H165" s="632">
        <v>27</v>
      </c>
      <c r="I165" s="632">
        <v>21</v>
      </c>
      <c r="J165" s="629">
        <v>133</v>
      </c>
      <c r="K165" s="632">
        <v>0</v>
      </c>
      <c r="L165" s="632">
        <v>0</v>
      </c>
      <c r="M165" s="632">
        <v>5</v>
      </c>
      <c r="N165" s="632">
        <v>0</v>
      </c>
      <c r="AE165" s="283"/>
      <c r="AF165" s="283"/>
      <c r="AG165" s="283"/>
      <c r="AH165" s="283"/>
      <c r="AI165" s="283"/>
      <c r="AJ165" s="283"/>
      <c r="AK165" s="283"/>
      <c r="AL165" s="283"/>
      <c r="AM165" s="283"/>
      <c r="AN165" s="283"/>
      <c r="AO165" s="283"/>
      <c r="AP165" s="283"/>
      <c r="AQ165" s="283"/>
    </row>
    <row r="166" spans="1:43" s="263" customFormat="1" ht="9" customHeight="1" x14ac:dyDescent="0.25">
      <c r="A166" s="550" t="s">
        <v>29</v>
      </c>
      <c r="B166" s="629">
        <f t="shared" si="17"/>
        <v>575</v>
      </c>
      <c r="C166" s="629"/>
      <c r="D166" s="631">
        <f t="shared" si="18"/>
        <v>563</v>
      </c>
      <c r="E166" s="632">
        <v>106</v>
      </c>
      <c r="F166" s="629"/>
      <c r="G166" s="629">
        <f t="shared" si="19"/>
        <v>448</v>
      </c>
      <c r="H166" s="632">
        <v>73</v>
      </c>
      <c r="I166" s="632">
        <v>64</v>
      </c>
      <c r="J166" s="629">
        <v>311</v>
      </c>
      <c r="K166" s="632">
        <v>1</v>
      </c>
      <c r="L166" s="632">
        <v>5</v>
      </c>
      <c r="M166" s="632">
        <v>3</v>
      </c>
      <c r="N166" s="632">
        <v>12</v>
      </c>
      <c r="AE166" s="283"/>
      <c r="AF166" s="283"/>
      <c r="AG166" s="283"/>
      <c r="AH166" s="283"/>
      <c r="AI166" s="283"/>
      <c r="AJ166" s="283"/>
      <c r="AK166" s="283"/>
      <c r="AL166" s="283"/>
      <c r="AM166" s="283"/>
      <c r="AN166" s="283"/>
      <c r="AO166" s="283"/>
      <c r="AP166" s="283"/>
      <c r="AQ166" s="283"/>
    </row>
    <row r="167" spans="1:43" s="263" customFormat="1" ht="9" customHeight="1" x14ac:dyDescent="0.25">
      <c r="A167" s="603" t="s">
        <v>30</v>
      </c>
      <c r="B167" s="630">
        <f t="shared" si="17"/>
        <v>1623</v>
      </c>
      <c r="C167" s="630"/>
      <c r="D167" s="633">
        <f t="shared" si="18"/>
        <v>1604</v>
      </c>
      <c r="E167" s="634">
        <v>181</v>
      </c>
      <c r="F167" s="630"/>
      <c r="G167" s="630">
        <f t="shared" si="19"/>
        <v>1404</v>
      </c>
      <c r="H167" s="634">
        <v>230</v>
      </c>
      <c r="I167" s="634">
        <v>162</v>
      </c>
      <c r="J167" s="630">
        <v>1012</v>
      </c>
      <c r="K167" s="634">
        <v>3</v>
      </c>
      <c r="L167" s="634">
        <v>1</v>
      </c>
      <c r="M167" s="634">
        <v>15</v>
      </c>
      <c r="N167" s="634">
        <v>19</v>
      </c>
      <c r="AE167" s="283"/>
      <c r="AF167" s="283"/>
      <c r="AG167" s="283"/>
      <c r="AH167" s="283"/>
      <c r="AI167" s="283"/>
      <c r="AJ167" s="283"/>
      <c r="AK167" s="283"/>
      <c r="AL167" s="283"/>
      <c r="AM167" s="283"/>
      <c r="AN167" s="283"/>
      <c r="AO167" s="283"/>
      <c r="AP167" s="283"/>
      <c r="AQ167" s="283"/>
    </row>
    <row r="168" spans="1:43" s="263" customFormat="1" ht="9" customHeight="1" x14ac:dyDescent="0.25">
      <c r="A168" s="550" t="s">
        <v>63</v>
      </c>
      <c r="B168" s="629">
        <f t="shared" si="17"/>
        <v>5338</v>
      </c>
      <c r="C168" s="629"/>
      <c r="D168" s="631">
        <f t="shared" si="18"/>
        <v>5276</v>
      </c>
      <c r="E168" s="632">
        <v>575</v>
      </c>
      <c r="F168" s="629"/>
      <c r="G168" s="629">
        <f t="shared" si="19"/>
        <v>4349</v>
      </c>
      <c r="H168" s="632">
        <v>571</v>
      </c>
      <c r="I168" s="632">
        <v>441</v>
      </c>
      <c r="J168" s="629">
        <v>3337</v>
      </c>
      <c r="K168" s="632">
        <v>77</v>
      </c>
      <c r="L168" s="632">
        <v>160</v>
      </c>
      <c r="M168" s="632">
        <v>115</v>
      </c>
      <c r="N168" s="632">
        <v>62</v>
      </c>
      <c r="AE168" s="283"/>
      <c r="AF168" s="283"/>
      <c r="AG168" s="283"/>
      <c r="AH168" s="283"/>
      <c r="AI168" s="283"/>
      <c r="AJ168" s="283"/>
      <c r="AK168" s="283"/>
      <c r="AL168" s="283"/>
      <c r="AM168" s="283"/>
      <c r="AN168" s="283"/>
      <c r="AO168" s="283"/>
      <c r="AP168" s="283"/>
      <c r="AQ168" s="283"/>
    </row>
    <row r="169" spans="1:43" s="263" customFormat="1" ht="9" customHeight="1" x14ac:dyDescent="0.25">
      <c r="A169" s="550" t="s">
        <v>31</v>
      </c>
      <c r="B169" s="629">
        <f t="shared" si="17"/>
        <v>238</v>
      </c>
      <c r="C169" s="629"/>
      <c r="D169" s="631">
        <f t="shared" si="18"/>
        <v>237</v>
      </c>
      <c r="E169" s="632">
        <v>41</v>
      </c>
      <c r="F169" s="629"/>
      <c r="G169" s="629">
        <f t="shared" si="19"/>
        <v>178</v>
      </c>
      <c r="H169" s="632">
        <v>27</v>
      </c>
      <c r="I169" s="632">
        <v>24</v>
      </c>
      <c r="J169" s="629">
        <v>127</v>
      </c>
      <c r="K169" s="632">
        <v>2</v>
      </c>
      <c r="L169" s="632">
        <v>14</v>
      </c>
      <c r="M169" s="632">
        <v>2</v>
      </c>
      <c r="N169" s="632">
        <v>1</v>
      </c>
      <c r="AE169" s="283"/>
      <c r="AF169" s="283"/>
      <c r="AG169" s="283"/>
      <c r="AH169" s="283"/>
      <c r="AI169" s="283"/>
      <c r="AJ169" s="283"/>
      <c r="AK169" s="283"/>
      <c r="AL169" s="283"/>
      <c r="AM169" s="283"/>
      <c r="AN169" s="283"/>
      <c r="AO169" s="283"/>
      <c r="AP169" s="283"/>
      <c r="AQ169" s="283"/>
    </row>
    <row r="170" spans="1:43" s="263" customFormat="1" ht="9" customHeight="1" x14ac:dyDescent="0.25">
      <c r="A170" s="550" t="s">
        <v>32</v>
      </c>
      <c r="B170" s="629">
        <f t="shared" si="17"/>
        <v>2578</v>
      </c>
      <c r="C170" s="629"/>
      <c r="D170" s="631">
        <f t="shared" si="18"/>
        <v>2554</v>
      </c>
      <c r="E170" s="632">
        <v>443</v>
      </c>
      <c r="F170" s="629"/>
      <c r="G170" s="629">
        <f t="shared" si="19"/>
        <v>2063</v>
      </c>
      <c r="H170" s="632">
        <v>320</v>
      </c>
      <c r="I170" s="632">
        <v>296</v>
      </c>
      <c r="J170" s="629">
        <v>1447</v>
      </c>
      <c r="K170" s="632">
        <v>4</v>
      </c>
      <c r="L170" s="632">
        <v>4</v>
      </c>
      <c r="M170" s="632">
        <v>40</v>
      </c>
      <c r="N170" s="632">
        <v>24</v>
      </c>
      <c r="AE170" s="283"/>
      <c r="AF170" s="283"/>
      <c r="AG170" s="283"/>
      <c r="AH170" s="283"/>
      <c r="AI170" s="283"/>
      <c r="AJ170" s="283"/>
      <c r="AK170" s="283"/>
      <c r="AL170" s="283"/>
      <c r="AM170" s="283"/>
      <c r="AN170" s="283"/>
      <c r="AO170" s="283"/>
      <c r="AP170" s="283"/>
      <c r="AQ170" s="283"/>
    </row>
    <row r="171" spans="1:43" s="263" customFormat="1" ht="9" customHeight="1" x14ac:dyDescent="0.25">
      <c r="A171" s="603" t="s">
        <v>33</v>
      </c>
      <c r="B171" s="630">
        <f t="shared" si="17"/>
        <v>551</v>
      </c>
      <c r="C171" s="630"/>
      <c r="D171" s="633">
        <f t="shared" si="18"/>
        <v>544</v>
      </c>
      <c r="E171" s="634">
        <v>129</v>
      </c>
      <c r="F171" s="630"/>
      <c r="G171" s="630">
        <f t="shared" si="19"/>
        <v>406</v>
      </c>
      <c r="H171" s="634">
        <v>77</v>
      </c>
      <c r="I171" s="634">
        <v>57</v>
      </c>
      <c r="J171" s="630">
        <v>272</v>
      </c>
      <c r="K171" s="634">
        <v>1</v>
      </c>
      <c r="L171" s="634">
        <v>0</v>
      </c>
      <c r="M171" s="634">
        <v>8</v>
      </c>
      <c r="N171" s="634">
        <v>7</v>
      </c>
      <c r="AE171" s="283"/>
      <c r="AF171" s="283"/>
      <c r="AG171" s="283"/>
      <c r="AH171" s="283"/>
      <c r="AI171" s="283"/>
      <c r="AJ171" s="283"/>
      <c r="AK171" s="283"/>
      <c r="AL171" s="283"/>
      <c r="AM171" s="283"/>
      <c r="AN171" s="283"/>
      <c r="AO171" s="283"/>
      <c r="AP171" s="283"/>
      <c r="AQ171" s="283"/>
    </row>
    <row r="172" spans="1:43" s="263" customFormat="1" ht="9" customHeight="1" x14ac:dyDescent="0.25">
      <c r="A172" s="550" t="s">
        <v>34</v>
      </c>
      <c r="B172" s="629">
        <f t="shared" si="17"/>
        <v>606</v>
      </c>
      <c r="C172" s="629"/>
      <c r="D172" s="631">
        <f t="shared" si="18"/>
        <v>601</v>
      </c>
      <c r="E172" s="632">
        <v>97</v>
      </c>
      <c r="F172" s="629"/>
      <c r="G172" s="629">
        <f t="shared" si="19"/>
        <v>492</v>
      </c>
      <c r="H172" s="632">
        <v>94</v>
      </c>
      <c r="I172" s="632">
        <v>79</v>
      </c>
      <c r="J172" s="629">
        <v>319</v>
      </c>
      <c r="K172" s="632">
        <v>2</v>
      </c>
      <c r="L172" s="632">
        <v>1</v>
      </c>
      <c r="M172" s="632">
        <v>9</v>
      </c>
      <c r="N172" s="632">
        <v>5</v>
      </c>
      <c r="AE172" s="283"/>
      <c r="AF172" s="283"/>
      <c r="AG172" s="283"/>
      <c r="AH172" s="283"/>
      <c r="AI172" s="283"/>
      <c r="AJ172" s="283"/>
      <c r="AK172" s="283"/>
      <c r="AL172" s="283"/>
      <c r="AM172" s="283"/>
      <c r="AN172" s="283"/>
      <c r="AO172" s="283"/>
      <c r="AP172" s="283"/>
      <c r="AQ172" s="283"/>
    </row>
    <row r="173" spans="1:43" s="263" customFormat="1" ht="9" customHeight="1" x14ac:dyDescent="0.25">
      <c r="A173" s="550" t="s">
        <v>35</v>
      </c>
      <c r="B173" s="629">
        <f t="shared" si="17"/>
        <v>4720</v>
      </c>
      <c r="C173" s="629"/>
      <c r="D173" s="631">
        <f t="shared" si="18"/>
        <v>4702</v>
      </c>
      <c r="E173" s="632">
        <v>451</v>
      </c>
      <c r="F173" s="629"/>
      <c r="G173" s="629">
        <f t="shared" si="19"/>
        <v>4153</v>
      </c>
      <c r="H173" s="632">
        <v>701</v>
      </c>
      <c r="I173" s="632">
        <v>483</v>
      </c>
      <c r="J173" s="629">
        <v>2969</v>
      </c>
      <c r="K173" s="632">
        <v>12</v>
      </c>
      <c r="L173" s="632">
        <v>47</v>
      </c>
      <c r="M173" s="632">
        <v>39</v>
      </c>
      <c r="N173" s="632">
        <v>18</v>
      </c>
      <c r="AE173" s="283"/>
      <c r="AF173" s="283"/>
      <c r="AG173" s="283"/>
      <c r="AH173" s="283"/>
      <c r="AI173" s="283"/>
      <c r="AJ173" s="283"/>
      <c r="AK173" s="283"/>
      <c r="AL173" s="283"/>
      <c r="AM173" s="283"/>
      <c r="AN173" s="283"/>
      <c r="AO173" s="283"/>
      <c r="AP173" s="283"/>
      <c r="AQ173" s="283"/>
    </row>
    <row r="174" spans="1:43" s="263" customFormat="1" ht="9" customHeight="1" x14ac:dyDescent="0.25">
      <c r="A174" s="550" t="s">
        <v>36</v>
      </c>
      <c r="B174" s="629">
        <f t="shared" si="17"/>
        <v>5641</v>
      </c>
      <c r="C174" s="629"/>
      <c r="D174" s="631">
        <f t="shared" si="18"/>
        <v>5614</v>
      </c>
      <c r="E174" s="632">
        <v>638</v>
      </c>
      <c r="F174" s="629"/>
      <c r="G174" s="629">
        <f t="shared" si="19"/>
        <v>4812</v>
      </c>
      <c r="H174" s="632">
        <v>823</v>
      </c>
      <c r="I174" s="632">
        <v>670</v>
      </c>
      <c r="J174" s="629">
        <v>3319</v>
      </c>
      <c r="K174" s="632">
        <v>9</v>
      </c>
      <c r="L174" s="632">
        <v>41</v>
      </c>
      <c r="M174" s="632">
        <v>114</v>
      </c>
      <c r="N174" s="632">
        <v>27</v>
      </c>
      <c r="AE174" s="283"/>
      <c r="AF174" s="283"/>
      <c r="AG174" s="283"/>
      <c r="AH174" s="283"/>
      <c r="AI174" s="283"/>
      <c r="AJ174" s="283"/>
      <c r="AK174" s="283"/>
      <c r="AL174" s="283"/>
      <c r="AM174" s="283"/>
      <c r="AN174" s="283"/>
      <c r="AO174" s="283"/>
      <c r="AP174" s="283"/>
      <c r="AQ174" s="283"/>
    </row>
    <row r="175" spans="1:43" s="263" customFormat="1" ht="9" customHeight="1" x14ac:dyDescent="0.25">
      <c r="A175" s="603" t="s">
        <v>37</v>
      </c>
      <c r="B175" s="630">
        <f t="shared" si="17"/>
        <v>2048</v>
      </c>
      <c r="C175" s="630"/>
      <c r="D175" s="633">
        <f t="shared" si="18"/>
        <v>2028</v>
      </c>
      <c r="E175" s="634">
        <v>489</v>
      </c>
      <c r="F175" s="630"/>
      <c r="G175" s="630">
        <f t="shared" si="19"/>
        <v>1465</v>
      </c>
      <c r="H175" s="634">
        <v>278</v>
      </c>
      <c r="I175" s="634">
        <v>217</v>
      </c>
      <c r="J175" s="630">
        <v>970</v>
      </c>
      <c r="K175" s="634">
        <v>17</v>
      </c>
      <c r="L175" s="634">
        <v>37</v>
      </c>
      <c r="M175" s="634">
        <v>20</v>
      </c>
      <c r="N175" s="634">
        <v>20</v>
      </c>
      <c r="AE175" s="283"/>
      <c r="AF175" s="283"/>
      <c r="AG175" s="283"/>
      <c r="AH175" s="283"/>
      <c r="AI175" s="283"/>
      <c r="AJ175" s="283"/>
      <c r="AK175" s="283"/>
      <c r="AL175" s="283"/>
      <c r="AM175" s="283"/>
      <c r="AN175" s="283"/>
      <c r="AO175" s="283"/>
      <c r="AP175" s="283"/>
      <c r="AQ175" s="283"/>
    </row>
    <row r="176" spans="1:43" s="263" customFormat="1" ht="9" customHeight="1" x14ac:dyDescent="0.25">
      <c r="A176" s="550" t="s">
        <v>38</v>
      </c>
      <c r="B176" s="629">
        <f t="shared" si="17"/>
        <v>460</v>
      </c>
      <c r="C176" s="629"/>
      <c r="D176" s="631">
        <f t="shared" si="18"/>
        <v>460</v>
      </c>
      <c r="E176" s="632">
        <v>78</v>
      </c>
      <c r="F176" s="629"/>
      <c r="G176" s="629">
        <f t="shared" si="19"/>
        <v>375</v>
      </c>
      <c r="H176" s="632">
        <v>69</v>
      </c>
      <c r="I176" s="632">
        <v>63</v>
      </c>
      <c r="J176" s="629">
        <v>243</v>
      </c>
      <c r="K176" s="632">
        <v>4</v>
      </c>
      <c r="L176" s="632">
        <v>0</v>
      </c>
      <c r="M176" s="632">
        <v>3</v>
      </c>
      <c r="N176" s="632">
        <v>0</v>
      </c>
      <c r="AE176" s="283"/>
      <c r="AF176" s="283"/>
      <c r="AG176" s="283"/>
      <c r="AH176" s="283"/>
      <c r="AI176" s="283"/>
      <c r="AJ176" s="283"/>
      <c r="AK176" s="283"/>
      <c r="AL176" s="283"/>
      <c r="AM176" s="283"/>
      <c r="AN176" s="283"/>
      <c r="AO176" s="283"/>
      <c r="AP176" s="283"/>
      <c r="AQ176" s="283"/>
    </row>
    <row r="177" spans="1:43" s="263" customFormat="1" ht="9" customHeight="1" x14ac:dyDescent="0.25">
      <c r="A177" s="550" t="s">
        <v>39</v>
      </c>
      <c r="B177" s="629">
        <f t="shared" si="17"/>
        <v>289</v>
      </c>
      <c r="C177" s="629"/>
      <c r="D177" s="631">
        <f t="shared" si="18"/>
        <v>286</v>
      </c>
      <c r="E177" s="632">
        <v>29</v>
      </c>
      <c r="F177" s="629"/>
      <c r="G177" s="629">
        <f t="shared" si="19"/>
        <v>253</v>
      </c>
      <c r="H177" s="632">
        <v>44</v>
      </c>
      <c r="I177" s="632">
        <v>36</v>
      </c>
      <c r="J177" s="629">
        <v>173</v>
      </c>
      <c r="K177" s="632">
        <v>3</v>
      </c>
      <c r="L177" s="632">
        <v>0</v>
      </c>
      <c r="M177" s="632">
        <v>1</v>
      </c>
      <c r="N177" s="632">
        <v>3</v>
      </c>
      <c r="AE177" s="283"/>
      <c r="AF177" s="283"/>
      <c r="AG177" s="283"/>
      <c r="AH177" s="283"/>
      <c r="AI177" s="283"/>
      <c r="AJ177" s="283"/>
      <c r="AK177" s="283"/>
      <c r="AL177" s="283"/>
      <c r="AM177" s="283"/>
      <c r="AN177" s="283"/>
      <c r="AO177" s="283"/>
      <c r="AP177" s="283"/>
      <c r="AQ177" s="283"/>
    </row>
    <row r="178" spans="1:43" s="263" customFormat="1" ht="9" customHeight="1" x14ac:dyDescent="0.25">
      <c r="A178" s="550" t="s">
        <v>40</v>
      </c>
      <c r="B178" s="629">
        <f t="shared" si="17"/>
        <v>3751</v>
      </c>
      <c r="C178" s="629"/>
      <c r="D178" s="631">
        <f t="shared" si="18"/>
        <v>3730</v>
      </c>
      <c r="E178" s="632">
        <v>74</v>
      </c>
      <c r="F178" s="629"/>
      <c r="G178" s="629">
        <f t="shared" si="19"/>
        <v>3416</v>
      </c>
      <c r="H178" s="632">
        <v>468</v>
      </c>
      <c r="I178" s="632">
        <v>367</v>
      </c>
      <c r="J178" s="629">
        <v>2581</v>
      </c>
      <c r="K178" s="632">
        <v>42</v>
      </c>
      <c r="L178" s="632">
        <v>183</v>
      </c>
      <c r="M178" s="632">
        <v>15</v>
      </c>
      <c r="N178" s="632">
        <v>21</v>
      </c>
      <c r="AE178" s="283"/>
      <c r="AF178" s="283"/>
      <c r="AG178" s="283"/>
      <c r="AH178" s="283"/>
      <c r="AI178" s="283"/>
      <c r="AJ178" s="283"/>
      <c r="AK178" s="283"/>
      <c r="AL178" s="283"/>
      <c r="AM178" s="283"/>
      <c r="AN178" s="283"/>
      <c r="AO178" s="283"/>
      <c r="AP178" s="283"/>
      <c r="AQ178" s="283"/>
    </row>
    <row r="179" spans="1:43" s="263" customFormat="1" ht="9" customHeight="1" x14ac:dyDescent="0.25">
      <c r="A179" s="603" t="s">
        <v>41</v>
      </c>
      <c r="B179" s="630">
        <f t="shared" si="17"/>
        <v>741</v>
      </c>
      <c r="C179" s="630"/>
      <c r="D179" s="633">
        <f t="shared" si="18"/>
        <v>737</v>
      </c>
      <c r="E179" s="634">
        <v>135</v>
      </c>
      <c r="F179" s="630"/>
      <c r="G179" s="630">
        <f t="shared" si="19"/>
        <v>581</v>
      </c>
      <c r="H179" s="634">
        <v>90</v>
      </c>
      <c r="I179" s="634">
        <v>79</v>
      </c>
      <c r="J179" s="630">
        <v>412</v>
      </c>
      <c r="K179" s="634">
        <v>1</v>
      </c>
      <c r="L179" s="634">
        <v>2</v>
      </c>
      <c r="M179" s="634">
        <v>18</v>
      </c>
      <c r="N179" s="634">
        <v>4</v>
      </c>
      <c r="AE179" s="283"/>
      <c r="AF179" s="283"/>
      <c r="AG179" s="283"/>
      <c r="AH179" s="283"/>
      <c r="AI179" s="283"/>
      <c r="AJ179" s="283"/>
      <c r="AK179" s="283"/>
      <c r="AL179" s="283"/>
      <c r="AM179" s="283"/>
      <c r="AN179" s="283"/>
      <c r="AO179" s="283"/>
      <c r="AP179" s="283"/>
      <c r="AQ179" s="283"/>
    </row>
    <row r="180" spans="1:43" s="263" customFormat="1" ht="9" customHeight="1" x14ac:dyDescent="0.25">
      <c r="A180" s="550" t="s">
        <v>42</v>
      </c>
      <c r="B180" s="629">
        <f t="shared" si="17"/>
        <v>1108</v>
      </c>
      <c r="C180" s="629"/>
      <c r="D180" s="631">
        <f t="shared" si="18"/>
        <v>1084</v>
      </c>
      <c r="E180" s="632">
        <v>188</v>
      </c>
      <c r="F180" s="629"/>
      <c r="G180" s="629">
        <f t="shared" si="19"/>
        <v>839</v>
      </c>
      <c r="H180" s="632">
        <v>125</v>
      </c>
      <c r="I180" s="632">
        <v>130</v>
      </c>
      <c r="J180" s="629">
        <v>584</v>
      </c>
      <c r="K180" s="632">
        <v>11</v>
      </c>
      <c r="L180" s="632">
        <v>20</v>
      </c>
      <c r="M180" s="632">
        <v>26</v>
      </c>
      <c r="N180" s="632">
        <v>24</v>
      </c>
      <c r="AE180" s="283"/>
      <c r="AF180" s="283"/>
      <c r="AG180" s="283"/>
      <c r="AH180" s="283"/>
      <c r="AI180" s="283"/>
      <c r="AJ180" s="283"/>
      <c r="AK180" s="283"/>
      <c r="AL180" s="283"/>
      <c r="AM180" s="283"/>
      <c r="AN180" s="283"/>
      <c r="AO180" s="283"/>
      <c r="AP180" s="283"/>
      <c r="AQ180" s="283"/>
    </row>
    <row r="181" spans="1:43" s="263" customFormat="1" ht="9" customHeight="1" x14ac:dyDescent="0.25">
      <c r="A181" s="550" t="s">
        <v>43</v>
      </c>
      <c r="B181" s="629">
        <f t="shared" si="17"/>
        <v>958</v>
      </c>
      <c r="C181" s="629"/>
      <c r="D181" s="631">
        <f t="shared" si="18"/>
        <v>956</v>
      </c>
      <c r="E181" s="632">
        <v>120</v>
      </c>
      <c r="F181" s="629"/>
      <c r="G181" s="629">
        <f t="shared" si="19"/>
        <v>818</v>
      </c>
      <c r="H181" s="632">
        <v>166</v>
      </c>
      <c r="I181" s="632">
        <v>121</v>
      </c>
      <c r="J181" s="629">
        <v>531</v>
      </c>
      <c r="K181" s="632">
        <v>4</v>
      </c>
      <c r="L181" s="632">
        <v>0</v>
      </c>
      <c r="M181" s="632">
        <v>14</v>
      </c>
      <c r="N181" s="632">
        <v>2</v>
      </c>
      <c r="AE181" s="283"/>
      <c r="AF181" s="283"/>
      <c r="AG181" s="283"/>
      <c r="AH181" s="283"/>
      <c r="AI181" s="283"/>
      <c r="AJ181" s="283"/>
      <c r="AK181" s="283"/>
      <c r="AL181" s="283"/>
      <c r="AM181" s="283"/>
      <c r="AN181" s="283"/>
      <c r="AO181" s="283"/>
      <c r="AP181" s="283"/>
      <c r="AQ181" s="283"/>
    </row>
    <row r="182" spans="1:43" s="263" customFormat="1" ht="9" customHeight="1" x14ac:dyDescent="0.25">
      <c r="A182" s="550" t="s">
        <v>44</v>
      </c>
      <c r="B182" s="629">
        <f t="shared" si="17"/>
        <v>401</v>
      </c>
      <c r="C182" s="629"/>
      <c r="D182" s="631">
        <f t="shared" si="18"/>
        <v>392</v>
      </c>
      <c r="E182" s="632">
        <v>69</v>
      </c>
      <c r="F182" s="629"/>
      <c r="G182" s="629">
        <f t="shared" si="19"/>
        <v>302</v>
      </c>
      <c r="H182" s="632">
        <v>51</v>
      </c>
      <c r="I182" s="632">
        <v>40</v>
      </c>
      <c r="J182" s="629">
        <v>211</v>
      </c>
      <c r="K182" s="632">
        <v>0</v>
      </c>
      <c r="L182" s="632">
        <v>0</v>
      </c>
      <c r="M182" s="632">
        <v>21</v>
      </c>
      <c r="N182" s="550">
        <v>9</v>
      </c>
      <c r="AE182" s="283"/>
      <c r="AF182" s="283"/>
      <c r="AG182" s="283"/>
      <c r="AH182" s="283"/>
      <c r="AI182" s="283"/>
      <c r="AJ182" s="283"/>
      <c r="AK182" s="283"/>
      <c r="AL182" s="283"/>
      <c r="AM182" s="283"/>
      <c r="AN182" s="283"/>
      <c r="AO182" s="283"/>
      <c r="AP182" s="283"/>
      <c r="AQ182" s="283"/>
    </row>
    <row r="183" spans="1:43" s="263" customFormat="1" ht="9" customHeight="1" x14ac:dyDescent="0.25">
      <c r="A183" s="603" t="s">
        <v>45</v>
      </c>
      <c r="B183" s="630">
        <f t="shared" si="17"/>
        <v>1074</v>
      </c>
      <c r="C183" s="630"/>
      <c r="D183" s="633">
        <f t="shared" si="18"/>
        <v>1059</v>
      </c>
      <c r="E183" s="634">
        <v>65</v>
      </c>
      <c r="F183" s="630"/>
      <c r="G183" s="630">
        <f t="shared" si="19"/>
        <v>981</v>
      </c>
      <c r="H183" s="634">
        <v>72</v>
      </c>
      <c r="I183" s="634">
        <v>68</v>
      </c>
      <c r="J183" s="630">
        <v>841</v>
      </c>
      <c r="K183" s="634">
        <v>0</v>
      </c>
      <c r="L183" s="634">
        <v>0</v>
      </c>
      <c r="M183" s="634">
        <v>13</v>
      </c>
      <c r="N183" s="634">
        <v>15</v>
      </c>
      <c r="AE183" s="283"/>
      <c r="AF183" s="283"/>
      <c r="AG183" s="283"/>
      <c r="AH183" s="283"/>
      <c r="AI183" s="283"/>
      <c r="AJ183" s="283"/>
      <c r="AK183" s="283"/>
      <c r="AL183" s="283"/>
      <c r="AM183" s="283"/>
      <c r="AN183" s="283"/>
      <c r="AO183" s="283"/>
      <c r="AP183" s="283"/>
      <c r="AQ183" s="283"/>
    </row>
    <row r="184" spans="1:43" s="263" customFormat="1" ht="9" customHeight="1" x14ac:dyDescent="0.25">
      <c r="A184" s="550" t="s">
        <v>46</v>
      </c>
      <c r="B184" s="629">
        <f t="shared" si="17"/>
        <v>793</v>
      </c>
      <c r="C184" s="629"/>
      <c r="D184" s="631">
        <f t="shared" si="18"/>
        <v>792</v>
      </c>
      <c r="E184" s="632">
        <v>100</v>
      </c>
      <c r="F184" s="629"/>
      <c r="G184" s="629">
        <f t="shared" si="19"/>
        <v>656</v>
      </c>
      <c r="H184" s="632">
        <v>101</v>
      </c>
      <c r="I184" s="632">
        <v>96</v>
      </c>
      <c r="J184" s="629">
        <v>459</v>
      </c>
      <c r="K184" s="632">
        <v>1</v>
      </c>
      <c r="L184" s="632">
        <v>1</v>
      </c>
      <c r="M184" s="632">
        <v>34</v>
      </c>
      <c r="N184" s="632">
        <v>1</v>
      </c>
      <c r="AE184" s="283"/>
      <c r="AF184" s="283"/>
      <c r="AG184" s="283"/>
      <c r="AH184" s="283"/>
      <c r="AI184" s="283"/>
      <c r="AJ184" s="283"/>
      <c r="AK184" s="283"/>
      <c r="AL184" s="283"/>
      <c r="AM184" s="283"/>
      <c r="AN184" s="283"/>
      <c r="AO184" s="283"/>
      <c r="AP184" s="283"/>
      <c r="AQ184" s="283"/>
    </row>
    <row r="185" spans="1:43" s="263" customFormat="1" ht="9" customHeight="1" x14ac:dyDescent="0.25">
      <c r="A185" s="550" t="s">
        <v>47</v>
      </c>
      <c r="B185" s="629">
        <f t="shared" si="17"/>
        <v>1845</v>
      </c>
      <c r="C185" s="629"/>
      <c r="D185" s="631">
        <f t="shared" si="18"/>
        <v>1808</v>
      </c>
      <c r="E185" s="632">
        <v>147</v>
      </c>
      <c r="F185" s="629"/>
      <c r="G185" s="629">
        <f t="shared" si="19"/>
        <v>1647</v>
      </c>
      <c r="H185" s="632">
        <v>320</v>
      </c>
      <c r="I185" s="632">
        <v>207</v>
      </c>
      <c r="J185" s="629">
        <v>1120</v>
      </c>
      <c r="K185" s="632">
        <v>0</v>
      </c>
      <c r="L185" s="632">
        <v>0</v>
      </c>
      <c r="M185" s="632">
        <v>14</v>
      </c>
      <c r="N185" s="632">
        <v>37</v>
      </c>
      <c r="AE185" s="283"/>
      <c r="AF185" s="283"/>
      <c r="AG185" s="283"/>
      <c r="AH185" s="283"/>
      <c r="AI185" s="283"/>
      <c r="AJ185" s="283"/>
      <c r="AK185" s="283"/>
      <c r="AL185" s="283"/>
      <c r="AM185" s="283"/>
      <c r="AN185" s="283"/>
      <c r="AO185" s="283"/>
      <c r="AP185" s="283"/>
      <c r="AQ185" s="283"/>
    </row>
    <row r="186" spans="1:43" s="263" customFormat="1" ht="9" customHeight="1" x14ac:dyDescent="0.25">
      <c r="A186" s="550" t="s">
        <v>48</v>
      </c>
      <c r="B186" s="629">
        <f t="shared" si="17"/>
        <v>468</v>
      </c>
      <c r="C186" s="629"/>
      <c r="D186" s="631">
        <f t="shared" si="18"/>
        <v>447</v>
      </c>
      <c r="E186" s="632">
        <v>77</v>
      </c>
      <c r="F186" s="629"/>
      <c r="G186" s="629">
        <f t="shared" si="19"/>
        <v>362</v>
      </c>
      <c r="H186" s="632">
        <v>86</v>
      </c>
      <c r="I186" s="632">
        <v>56</v>
      </c>
      <c r="J186" s="629">
        <v>220</v>
      </c>
      <c r="K186" s="632">
        <v>3</v>
      </c>
      <c r="L186" s="632">
        <v>0</v>
      </c>
      <c r="M186" s="632">
        <v>5</v>
      </c>
      <c r="N186" s="632">
        <v>21</v>
      </c>
      <c r="AE186" s="283"/>
      <c r="AF186" s="283"/>
      <c r="AG186" s="283"/>
      <c r="AH186" s="283"/>
      <c r="AI186" s="283"/>
      <c r="AJ186" s="283"/>
      <c r="AK186" s="283"/>
      <c r="AL186" s="283"/>
      <c r="AM186" s="283"/>
      <c r="AN186" s="283"/>
      <c r="AO186" s="283"/>
      <c r="AP186" s="283"/>
      <c r="AQ186" s="283"/>
    </row>
    <row r="187" spans="1:43" s="263" customFormat="1" ht="9" customHeight="1" x14ac:dyDescent="0.25">
      <c r="A187" s="603" t="s">
        <v>49</v>
      </c>
      <c r="B187" s="630">
        <f t="shared" si="17"/>
        <v>1407</v>
      </c>
      <c r="C187" s="630"/>
      <c r="D187" s="633">
        <f t="shared" si="18"/>
        <v>1390</v>
      </c>
      <c r="E187" s="634">
        <v>179</v>
      </c>
      <c r="F187" s="630"/>
      <c r="G187" s="630">
        <f t="shared" si="19"/>
        <v>1176</v>
      </c>
      <c r="H187" s="634">
        <v>193</v>
      </c>
      <c r="I187" s="634">
        <v>150</v>
      </c>
      <c r="J187" s="630">
        <v>833</v>
      </c>
      <c r="K187" s="634">
        <v>4</v>
      </c>
      <c r="L187" s="634">
        <v>0</v>
      </c>
      <c r="M187" s="634">
        <v>31</v>
      </c>
      <c r="N187" s="634">
        <v>17</v>
      </c>
      <c r="AE187" s="283"/>
      <c r="AF187" s="283"/>
      <c r="AG187" s="283"/>
      <c r="AH187" s="283"/>
      <c r="AI187" s="283"/>
      <c r="AJ187" s="283"/>
      <c r="AK187" s="283"/>
      <c r="AL187" s="283"/>
      <c r="AM187" s="283"/>
      <c r="AN187" s="283"/>
      <c r="AO187" s="283"/>
      <c r="AP187" s="283"/>
      <c r="AQ187" s="283"/>
    </row>
    <row r="188" spans="1:43" s="263" customFormat="1" ht="9" customHeight="1" x14ac:dyDescent="0.25">
      <c r="A188" s="550" t="s">
        <v>50</v>
      </c>
      <c r="B188" s="629">
        <f t="shared" si="17"/>
        <v>446</v>
      </c>
      <c r="C188" s="629"/>
      <c r="D188" s="631">
        <f t="shared" si="18"/>
        <v>438</v>
      </c>
      <c r="E188" s="632">
        <v>90</v>
      </c>
      <c r="F188" s="629"/>
      <c r="G188" s="629">
        <f t="shared" si="19"/>
        <v>334</v>
      </c>
      <c r="H188" s="632">
        <v>49</v>
      </c>
      <c r="I188" s="632">
        <v>49</v>
      </c>
      <c r="J188" s="629">
        <v>236</v>
      </c>
      <c r="K188" s="632">
        <v>2</v>
      </c>
      <c r="L188" s="632">
        <v>0</v>
      </c>
      <c r="M188" s="632">
        <v>12</v>
      </c>
      <c r="N188" s="632">
        <v>8</v>
      </c>
      <c r="AE188" s="283"/>
      <c r="AF188" s="283"/>
      <c r="AG188" s="283"/>
      <c r="AH188" s="283"/>
      <c r="AI188" s="283"/>
      <c r="AJ188" s="283"/>
      <c r="AK188" s="283"/>
      <c r="AL188" s="283"/>
      <c r="AM188" s="283"/>
      <c r="AN188" s="283"/>
      <c r="AO188" s="283"/>
      <c r="AP188" s="283"/>
      <c r="AQ188" s="283"/>
    </row>
    <row r="189" spans="1:43" s="263" customFormat="1" ht="9" customHeight="1" x14ac:dyDescent="0.25">
      <c r="A189" s="550" t="s">
        <v>51</v>
      </c>
      <c r="B189" s="629">
        <f t="shared" si="17"/>
        <v>1510</v>
      </c>
      <c r="C189" s="629"/>
      <c r="D189" s="631">
        <f t="shared" si="18"/>
        <v>1498</v>
      </c>
      <c r="E189" s="632">
        <v>232</v>
      </c>
      <c r="F189" s="629"/>
      <c r="G189" s="629">
        <f t="shared" si="19"/>
        <v>1232</v>
      </c>
      <c r="H189" s="632">
        <v>196</v>
      </c>
      <c r="I189" s="632">
        <v>182</v>
      </c>
      <c r="J189" s="629">
        <v>854</v>
      </c>
      <c r="K189" s="632">
        <v>6</v>
      </c>
      <c r="L189" s="632">
        <v>5</v>
      </c>
      <c r="M189" s="632">
        <v>23</v>
      </c>
      <c r="N189" s="632">
        <v>12</v>
      </c>
      <c r="AE189" s="283"/>
      <c r="AF189" s="283"/>
      <c r="AG189" s="283"/>
      <c r="AH189" s="283"/>
      <c r="AI189" s="283"/>
      <c r="AJ189" s="283"/>
      <c r="AK189" s="283"/>
      <c r="AL189" s="283"/>
      <c r="AM189" s="283"/>
      <c r="AN189" s="283"/>
      <c r="AO189" s="283"/>
      <c r="AP189" s="283"/>
      <c r="AQ189" s="283"/>
    </row>
    <row r="190" spans="1:43" s="263" customFormat="1" ht="9" customHeight="1" x14ac:dyDescent="0.25">
      <c r="A190" s="550" t="s">
        <v>52</v>
      </c>
      <c r="B190" s="629">
        <f t="shared" si="17"/>
        <v>705</v>
      </c>
      <c r="C190" s="629"/>
      <c r="D190" s="631">
        <f t="shared" si="18"/>
        <v>702</v>
      </c>
      <c r="E190" s="632">
        <v>57</v>
      </c>
      <c r="F190" s="629"/>
      <c r="G190" s="629">
        <f t="shared" si="19"/>
        <v>607</v>
      </c>
      <c r="H190" s="632">
        <v>107</v>
      </c>
      <c r="I190" s="632">
        <v>80</v>
      </c>
      <c r="J190" s="629">
        <v>420</v>
      </c>
      <c r="K190" s="632">
        <v>8</v>
      </c>
      <c r="L190" s="632">
        <v>17</v>
      </c>
      <c r="M190" s="632">
        <v>13</v>
      </c>
      <c r="N190" s="632">
        <v>3</v>
      </c>
      <c r="AE190" s="283"/>
      <c r="AF190" s="283"/>
      <c r="AG190" s="283"/>
      <c r="AH190" s="283"/>
      <c r="AI190" s="283"/>
      <c r="AJ190" s="283"/>
      <c r="AK190" s="283"/>
      <c r="AL190" s="283"/>
      <c r="AM190" s="283"/>
      <c r="AN190" s="283"/>
      <c r="AO190" s="283"/>
      <c r="AP190" s="283"/>
      <c r="AQ190" s="283"/>
    </row>
    <row r="191" spans="1:43" s="263" customFormat="1" ht="9" customHeight="1" x14ac:dyDescent="0.25">
      <c r="A191" s="603" t="s">
        <v>53</v>
      </c>
      <c r="B191" s="630">
        <f t="shared" si="17"/>
        <v>529</v>
      </c>
      <c r="C191" s="630"/>
      <c r="D191" s="633">
        <f t="shared" si="18"/>
        <v>525</v>
      </c>
      <c r="E191" s="634">
        <v>91</v>
      </c>
      <c r="F191" s="630"/>
      <c r="G191" s="630">
        <f t="shared" si="19"/>
        <v>421</v>
      </c>
      <c r="H191" s="634">
        <v>76</v>
      </c>
      <c r="I191" s="634">
        <v>50</v>
      </c>
      <c r="J191" s="630">
        <v>295</v>
      </c>
      <c r="K191" s="634">
        <v>0</v>
      </c>
      <c r="L191" s="634">
        <v>0</v>
      </c>
      <c r="M191" s="634">
        <v>13</v>
      </c>
      <c r="N191" s="634">
        <v>4</v>
      </c>
      <c r="AE191" s="283"/>
      <c r="AF191" s="283"/>
      <c r="AG191" s="283"/>
      <c r="AH191" s="283"/>
      <c r="AI191" s="283"/>
      <c r="AJ191" s="283"/>
      <c r="AK191" s="283"/>
      <c r="AL191" s="283"/>
      <c r="AM191" s="283"/>
      <c r="AN191" s="283"/>
      <c r="AO191" s="283"/>
      <c r="AP191" s="283"/>
      <c r="AQ191" s="283"/>
    </row>
    <row r="192" spans="1:43" ht="8.25" customHeight="1" x14ac:dyDescent="0.25">
      <c r="B192" s="259"/>
      <c r="C192" s="259"/>
      <c r="D192" s="259"/>
      <c r="E192" s="259"/>
      <c r="F192" s="259"/>
      <c r="G192" s="259"/>
      <c r="H192" s="259"/>
      <c r="I192" s="259"/>
      <c r="J192" s="259"/>
      <c r="K192" s="259"/>
      <c r="L192" s="259"/>
      <c r="AE192" s="283"/>
      <c r="AF192" s="283"/>
      <c r="AG192" s="283"/>
      <c r="AH192" s="283"/>
      <c r="AI192" s="283"/>
      <c r="AJ192" s="283"/>
      <c r="AK192" s="283"/>
      <c r="AL192" s="283"/>
      <c r="AM192" s="283"/>
      <c r="AN192" s="283"/>
      <c r="AO192" s="283"/>
      <c r="AP192" s="283"/>
      <c r="AQ192" s="283"/>
    </row>
    <row r="193" spans="1:43" ht="9" customHeight="1" x14ac:dyDescent="0.25">
      <c r="A193" s="601">
        <v>2006</v>
      </c>
      <c r="B193" s="262"/>
      <c r="C193" s="262"/>
      <c r="D193" s="262"/>
      <c r="E193" s="262"/>
      <c r="F193" s="262"/>
      <c r="G193" s="262"/>
      <c r="H193" s="262"/>
      <c r="I193" s="262"/>
      <c r="J193" s="262"/>
      <c r="K193" s="262"/>
      <c r="L193" s="262"/>
      <c r="M193" s="262"/>
      <c r="N193" s="262"/>
      <c r="AE193" s="283"/>
      <c r="AF193" s="283"/>
      <c r="AG193" s="283"/>
      <c r="AH193" s="283"/>
      <c r="AI193" s="283"/>
      <c r="AJ193" s="283"/>
      <c r="AK193" s="283"/>
      <c r="AL193" s="283"/>
      <c r="AM193" s="283"/>
      <c r="AN193" s="283"/>
      <c r="AO193" s="283"/>
      <c r="AP193" s="283"/>
      <c r="AQ193" s="283"/>
    </row>
    <row r="194" spans="1:43" s="263" customFormat="1" ht="9" customHeight="1" x14ac:dyDescent="0.25">
      <c r="A194" s="265" t="s">
        <v>21</v>
      </c>
      <c r="B194" s="262">
        <f>SUM(B196:B227)</f>
        <v>52546</v>
      </c>
      <c r="C194" s="262"/>
      <c r="D194" s="262">
        <f>SUM(D196:D227)</f>
        <v>50971</v>
      </c>
      <c r="E194" s="262">
        <f>SUM(E196:E227)</f>
        <v>5466</v>
      </c>
      <c r="F194" s="262"/>
      <c r="G194" s="262">
        <f t="shared" ref="G194:M194" si="20">SUM(G196:G227)</f>
        <v>44098</v>
      </c>
      <c r="H194" s="262">
        <f t="shared" si="20"/>
        <v>6930</v>
      </c>
      <c r="I194" s="262">
        <f t="shared" si="20"/>
        <v>5749</v>
      </c>
      <c r="J194" s="262">
        <f t="shared" si="20"/>
        <v>31419</v>
      </c>
      <c r="K194" s="262">
        <f t="shared" si="20"/>
        <v>250</v>
      </c>
      <c r="L194" s="262">
        <f t="shared" si="20"/>
        <v>503</v>
      </c>
      <c r="M194" s="262">
        <f t="shared" si="20"/>
        <v>654</v>
      </c>
      <c r="N194" s="262">
        <f>SUM(N196:N227)</f>
        <v>1575</v>
      </c>
      <c r="AE194" s="283"/>
      <c r="AF194" s="283"/>
      <c r="AG194" s="283"/>
      <c r="AH194" s="283"/>
      <c r="AI194" s="283"/>
      <c r="AJ194" s="283"/>
      <c r="AK194" s="283"/>
      <c r="AL194" s="283"/>
      <c r="AM194" s="283"/>
      <c r="AN194" s="283"/>
      <c r="AO194" s="283"/>
      <c r="AP194" s="283"/>
      <c r="AQ194" s="283"/>
    </row>
    <row r="195" spans="1:43" s="263" customFormat="1" ht="2.1" customHeight="1" x14ac:dyDescent="0.25">
      <c r="A195" s="265"/>
      <c r="B195" s="262"/>
      <c r="C195" s="262"/>
      <c r="D195" s="262"/>
      <c r="E195" s="262"/>
      <c r="F195" s="262"/>
      <c r="G195" s="262"/>
      <c r="H195" s="262"/>
      <c r="I195" s="262"/>
      <c r="J195" s="262"/>
      <c r="K195" s="262"/>
      <c r="L195" s="262"/>
      <c r="M195" s="262"/>
      <c r="N195" s="262"/>
      <c r="AE195" s="283"/>
      <c r="AF195" s="283"/>
      <c r="AG195" s="283"/>
      <c r="AH195" s="283"/>
      <c r="AI195" s="283"/>
      <c r="AJ195" s="283"/>
      <c r="AK195" s="283"/>
      <c r="AL195" s="283"/>
      <c r="AM195" s="283"/>
      <c r="AN195" s="283"/>
      <c r="AO195" s="283"/>
      <c r="AP195" s="283"/>
      <c r="AQ195" s="283"/>
    </row>
    <row r="196" spans="1:43" s="263" customFormat="1" ht="9" customHeight="1" x14ac:dyDescent="0.25">
      <c r="A196" s="550" t="s">
        <v>23</v>
      </c>
      <c r="B196" s="629">
        <f>SUM(D196+N196)</f>
        <v>127</v>
      </c>
      <c r="C196" s="629"/>
      <c r="D196" s="631">
        <f>SUM(E196+G196+K196+L196+M196)</f>
        <v>126</v>
      </c>
      <c r="E196" s="632">
        <v>18</v>
      </c>
      <c r="F196" s="629"/>
      <c r="G196" s="629">
        <f>SUM(H196:J196)</f>
        <v>107</v>
      </c>
      <c r="H196" s="632">
        <v>13</v>
      </c>
      <c r="I196" s="632">
        <v>11</v>
      </c>
      <c r="J196" s="629">
        <v>83</v>
      </c>
      <c r="K196" s="632">
        <v>1</v>
      </c>
      <c r="L196" s="632">
        <v>0</v>
      </c>
      <c r="M196" s="632">
        <v>0</v>
      </c>
      <c r="N196" s="632">
        <v>1</v>
      </c>
      <c r="AE196" s="283"/>
      <c r="AF196" s="283"/>
      <c r="AG196" s="283"/>
      <c r="AH196" s="283"/>
      <c r="AI196" s="283"/>
      <c r="AJ196" s="283"/>
      <c r="AK196" s="283"/>
      <c r="AL196" s="283"/>
      <c r="AM196" s="283"/>
      <c r="AN196" s="283"/>
      <c r="AO196" s="283"/>
      <c r="AP196" s="283"/>
      <c r="AQ196" s="283"/>
    </row>
    <row r="197" spans="1:43" s="263" customFormat="1" ht="9" customHeight="1" x14ac:dyDescent="0.25">
      <c r="A197" s="550" t="s">
        <v>24</v>
      </c>
      <c r="B197" s="629">
        <f>SUM(D197+N197)</f>
        <v>1589</v>
      </c>
      <c r="C197" s="629"/>
      <c r="D197" s="631">
        <f>SUM(E197+G197+K197+L197+M197)</f>
        <v>1571</v>
      </c>
      <c r="E197" s="629">
        <v>247</v>
      </c>
      <c r="F197" s="629"/>
      <c r="G197" s="629">
        <f>SUM(H197:J197)</f>
        <v>1302</v>
      </c>
      <c r="H197" s="629">
        <v>197</v>
      </c>
      <c r="I197" s="629">
        <v>167</v>
      </c>
      <c r="J197" s="629">
        <v>938</v>
      </c>
      <c r="K197" s="629">
        <v>4</v>
      </c>
      <c r="L197" s="629">
        <v>6</v>
      </c>
      <c r="M197" s="629">
        <v>12</v>
      </c>
      <c r="N197" s="629">
        <v>18</v>
      </c>
      <c r="AE197" s="283"/>
      <c r="AF197" s="283"/>
      <c r="AG197" s="283"/>
      <c r="AH197" s="283"/>
      <c r="AI197" s="283"/>
      <c r="AJ197" s="283"/>
      <c r="AK197" s="283"/>
      <c r="AL197" s="283"/>
      <c r="AM197" s="283"/>
      <c r="AN197" s="283"/>
      <c r="AO197" s="283"/>
      <c r="AP197" s="283"/>
      <c r="AQ197" s="283"/>
    </row>
    <row r="198" spans="1:43" s="263" customFormat="1" ht="9" customHeight="1" x14ac:dyDescent="0.25">
      <c r="A198" s="550" t="s">
        <v>25</v>
      </c>
      <c r="B198" s="629">
        <f>SUM(D198+N198)</f>
        <v>195</v>
      </c>
      <c r="C198" s="629"/>
      <c r="D198" s="631">
        <f>SUM(E198+G198+K198+L198+M198)</f>
        <v>195</v>
      </c>
      <c r="E198" s="629">
        <v>29</v>
      </c>
      <c r="F198" s="629"/>
      <c r="G198" s="629">
        <f>SUM(H198:J198)</f>
        <v>156</v>
      </c>
      <c r="H198" s="629">
        <v>18</v>
      </c>
      <c r="I198" s="629">
        <v>25</v>
      </c>
      <c r="J198" s="629">
        <v>113</v>
      </c>
      <c r="K198" s="629">
        <v>0</v>
      </c>
      <c r="L198" s="629">
        <v>5</v>
      </c>
      <c r="M198" s="629">
        <v>5</v>
      </c>
      <c r="N198" s="629">
        <v>0</v>
      </c>
      <c r="AE198" s="283"/>
      <c r="AF198" s="283"/>
      <c r="AG198" s="283"/>
      <c r="AH198" s="283"/>
      <c r="AI198" s="283"/>
      <c r="AJ198" s="283"/>
      <c r="AK198" s="283"/>
      <c r="AL198" s="283"/>
      <c r="AM198" s="283"/>
      <c r="AN198" s="283"/>
      <c r="AO198" s="283"/>
      <c r="AP198" s="283"/>
      <c r="AQ198" s="283"/>
    </row>
    <row r="199" spans="1:43" s="263" customFormat="1" ht="9" customHeight="1" x14ac:dyDescent="0.25">
      <c r="A199" s="603" t="s">
        <v>26</v>
      </c>
      <c r="B199" s="630">
        <f>SUM(D199+N199)</f>
        <v>84</v>
      </c>
      <c r="C199" s="630"/>
      <c r="D199" s="633">
        <f>SUM(E199+G199+K199+L199+M199)</f>
        <v>79</v>
      </c>
      <c r="E199" s="634">
        <v>4</v>
      </c>
      <c r="F199" s="630"/>
      <c r="G199" s="630">
        <f>SUM(H199:J199)</f>
        <v>70</v>
      </c>
      <c r="H199" s="634">
        <v>13</v>
      </c>
      <c r="I199" s="634">
        <v>11</v>
      </c>
      <c r="J199" s="630">
        <v>46</v>
      </c>
      <c r="K199" s="634">
        <v>3</v>
      </c>
      <c r="L199" s="634">
        <v>0</v>
      </c>
      <c r="M199" s="634">
        <v>2</v>
      </c>
      <c r="N199" s="634">
        <v>5</v>
      </c>
      <c r="AE199" s="283"/>
      <c r="AF199" s="283"/>
      <c r="AG199" s="283"/>
      <c r="AH199" s="283"/>
      <c r="AI199" s="283"/>
      <c r="AJ199" s="283"/>
      <c r="AK199" s="283"/>
      <c r="AL199" s="283"/>
      <c r="AM199" s="283"/>
      <c r="AN199" s="283"/>
      <c r="AO199" s="283"/>
      <c r="AP199" s="283"/>
      <c r="AQ199" s="283"/>
    </row>
    <row r="200" spans="1:43" s="263" customFormat="1" ht="9" customHeight="1" x14ac:dyDescent="0.25">
      <c r="A200" s="550" t="s">
        <v>27</v>
      </c>
      <c r="B200" s="629">
        <f t="shared" ref="B200:B227" si="21">SUM(D200+N200)</f>
        <v>774</v>
      </c>
      <c r="C200" s="629"/>
      <c r="D200" s="631">
        <f t="shared" ref="D200:D227" si="22">SUM(E200+G200+K200+L200+M200)</f>
        <v>771</v>
      </c>
      <c r="E200" s="632">
        <v>58</v>
      </c>
      <c r="F200" s="629"/>
      <c r="G200" s="629">
        <f t="shared" ref="G200:G227" si="23">SUM(H200:J200)</f>
        <v>701</v>
      </c>
      <c r="H200" s="632">
        <v>128</v>
      </c>
      <c r="I200" s="632">
        <v>86</v>
      </c>
      <c r="J200" s="629">
        <v>487</v>
      </c>
      <c r="K200" s="632">
        <v>2</v>
      </c>
      <c r="L200" s="632">
        <v>0</v>
      </c>
      <c r="M200" s="632">
        <v>10</v>
      </c>
      <c r="N200" s="632">
        <v>3</v>
      </c>
      <c r="AE200" s="283"/>
      <c r="AF200" s="283"/>
      <c r="AG200" s="283"/>
      <c r="AH200" s="283"/>
      <c r="AI200" s="283"/>
      <c r="AJ200" s="283"/>
      <c r="AK200" s="283"/>
      <c r="AL200" s="283"/>
      <c r="AM200" s="283"/>
      <c r="AN200" s="283"/>
      <c r="AO200" s="283"/>
      <c r="AP200" s="283"/>
      <c r="AQ200" s="283"/>
    </row>
    <row r="201" spans="1:43" s="263" customFormat="1" ht="9" customHeight="1" x14ac:dyDescent="0.25">
      <c r="A201" s="550" t="s">
        <v>28</v>
      </c>
      <c r="B201" s="629">
        <f t="shared" si="21"/>
        <v>243</v>
      </c>
      <c r="C201" s="629"/>
      <c r="D201" s="631">
        <f t="shared" si="22"/>
        <v>243</v>
      </c>
      <c r="E201" s="632">
        <v>27</v>
      </c>
      <c r="F201" s="629"/>
      <c r="G201" s="629">
        <f t="shared" si="23"/>
        <v>212</v>
      </c>
      <c r="H201" s="632">
        <v>27</v>
      </c>
      <c r="I201" s="632">
        <v>21</v>
      </c>
      <c r="J201" s="629">
        <v>164</v>
      </c>
      <c r="K201" s="632">
        <v>0</v>
      </c>
      <c r="L201" s="632">
        <v>0</v>
      </c>
      <c r="M201" s="632">
        <v>4</v>
      </c>
      <c r="N201" s="632">
        <v>0</v>
      </c>
      <c r="AE201" s="283"/>
      <c r="AF201" s="283"/>
      <c r="AG201" s="283"/>
      <c r="AH201" s="283"/>
      <c r="AI201" s="283"/>
      <c r="AJ201" s="283"/>
      <c r="AK201" s="283"/>
      <c r="AL201" s="283"/>
      <c r="AM201" s="283"/>
      <c r="AN201" s="283"/>
      <c r="AO201" s="283"/>
      <c r="AP201" s="283"/>
      <c r="AQ201" s="283"/>
    </row>
    <row r="202" spans="1:43" s="263" customFormat="1" ht="9" customHeight="1" x14ac:dyDescent="0.25">
      <c r="A202" s="550" t="s">
        <v>29</v>
      </c>
      <c r="B202" s="629">
        <f t="shared" si="21"/>
        <v>492</v>
      </c>
      <c r="C202" s="629"/>
      <c r="D202" s="631">
        <f t="shared" si="22"/>
        <v>484</v>
      </c>
      <c r="E202" s="632">
        <v>88</v>
      </c>
      <c r="F202" s="629"/>
      <c r="G202" s="629">
        <f t="shared" si="23"/>
        <v>388</v>
      </c>
      <c r="H202" s="632">
        <v>70</v>
      </c>
      <c r="I202" s="632">
        <v>57</v>
      </c>
      <c r="J202" s="629">
        <v>261</v>
      </c>
      <c r="K202" s="632">
        <v>3</v>
      </c>
      <c r="L202" s="632">
        <v>2</v>
      </c>
      <c r="M202" s="632">
        <v>3</v>
      </c>
      <c r="N202" s="632">
        <v>8</v>
      </c>
      <c r="AE202" s="283"/>
      <c r="AF202" s="283"/>
      <c r="AG202" s="283"/>
      <c r="AH202" s="283"/>
      <c r="AI202" s="283"/>
      <c r="AJ202" s="283"/>
      <c r="AK202" s="283"/>
      <c r="AL202" s="283"/>
      <c r="AM202" s="283"/>
      <c r="AN202" s="283"/>
      <c r="AO202" s="283"/>
      <c r="AP202" s="283"/>
      <c r="AQ202" s="283"/>
    </row>
    <row r="203" spans="1:43" s="263" customFormat="1" ht="9" customHeight="1" x14ac:dyDescent="0.25">
      <c r="A203" s="603" t="s">
        <v>30</v>
      </c>
      <c r="B203" s="630">
        <f t="shared" si="21"/>
        <v>1599</v>
      </c>
      <c r="C203" s="630"/>
      <c r="D203" s="633">
        <f t="shared" si="22"/>
        <v>1580</v>
      </c>
      <c r="E203" s="634">
        <v>215</v>
      </c>
      <c r="F203" s="630"/>
      <c r="G203" s="630">
        <f t="shared" si="23"/>
        <v>1316</v>
      </c>
      <c r="H203" s="634">
        <v>242</v>
      </c>
      <c r="I203" s="634">
        <v>152</v>
      </c>
      <c r="J203" s="630">
        <v>922</v>
      </c>
      <c r="K203" s="634">
        <v>2</v>
      </c>
      <c r="L203" s="634">
        <v>1</v>
      </c>
      <c r="M203" s="634">
        <v>46</v>
      </c>
      <c r="N203" s="634">
        <v>19</v>
      </c>
      <c r="AE203" s="283"/>
      <c r="AF203" s="283"/>
      <c r="AG203" s="283"/>
      <c r="AH203" s="283"/>
      <c r="AI203" s="283"/>
      <c r="AJ203" s="283"/>
      <c r="AK203" s="283"/>
      <c r="AL203" s="283"/>
      <c r="AM203" s="283"/>
      <c r="AN203" s="283"/>
      <c r="AO203" s="283"/>
      <c r="AP203" s="283"/>
      <c r="AQ203" s="283"/>
    </row>
    <row r="204" spans="1:43" s="263" customFormat="1" ht="9" customHeight="1" x14ac:dyDescent="0.25">
      <c r="A204" s="550" t="s">
        <v>63</v>
      </c>
      <c r="B204" s="629">
        <f t="shared" si="21"/>
        <v>5251</v>
      </c>
      <c r="C204" s="629"/>
      <c r="D204" s="631">
        <f t="shared" si="22"/>
        <v>5191</v>
      </c>
      <c r="E204" s="632">
        <v>614</v>
      </c>
      <c r="F204" s="629"/>
      <c r="G204" s="629">
        <f t="shared" si="23"/>
        <v>4221</v>
      </c>
      <c r="H204" s="632">
        <v>575</v>
      </c>
      <c r="I204" s="632">
        <v>430</v>
      </c>
      <c r="J204" s="629">
        <v>3216</v>
      </c>
      <c r="K204" s="632">
        <v>84</v>
      </c>
      <c r="L204" s="632">
        <v>160</v>
      </c>
      <c r="M204" s="632">
        <v>112</v>
      </c>
      <c r="N204" s="632">
        <v>60</v>
      </c>
      <c r="AE204" s="283"/>
      <c r="AF204" s="283"/>
      <c r="AG204" s="283"/>
      <c r="AH204" s="283"/>
      <c r="AI204" s="283"/>
      <c r="AJ204" s="283"/>
      <c r="AK204" s="283"/>
      <c r="AL204" s="283"/>
      <c r="AM204" s="283"/>
      <c r="AN204" s="283"/>
      <c r="AO204" s="283"/>
      <c r="AP204" s="283"/>
      <c r="AQ204" s="283"/>
    </row>
    <row r="205" spans="1:43" s="263" customFormat="1" ht="9" customHeight="1" x14ac:dyDescent="0.25">
      <c r="A205" s="550" t="s">
        <v>31</v>
      </c>
      <c r="B205" s="629">
        <f t="shared" si="21"/>
        <v>217</v>
      </c>
      <c r="C205" s="629"/>
      <c r="D205" s="631">
        <f t="shared" si="22"/>
        <v>217</v>
      </c>
      <c r="E205" s="632">
        <v>37</v>
      </c>
      <c r="F205" s="629"/>
      <c r="G205" s="629">
        <f t="shared" si="23"/>
        <v>162</v>
      </c>
      <c r="H205" s="632">
        <v>22</v>
      </c>
      <c r="I205" s="632">
        <v>21</v>
      </c>
      <c r="J205" s="629">
        <v>119</v>
      </c>
      <c r="K205" s="632">
        <v>6</v>
      </c>
      <c r="L205" s="632">
        <v>10</v>
      </c>
      <c r="M205" s="632">
        <v>2</v>
      </c>
      <c r="N205" s="632">
        <v>0</v>
      </c>
      <c r="AE205" s="283"/>
      <c r="AF205" s="283"/>
      <c r="AG205" s="283"/>
      <c r="AH205" s="283"/>
      <c r="AI205" s="283"/>
      <c r="AJ205" s="283"/>
      <c r="AK205" s="283"/>
      <c r="AL205" s="283"/>
      <c r="AM205" s="283"/>
      <c r="AN205" s="283"/>
      <c r="AO205" s="283"/>
      <c r="AP205" s="283"/>
      <c r="AQ205" s="283"/>
    </row>
    <row r="206" spans="1:43" s="263" customFormat="1" ht="9" customHeight="1" x14ac:dyDescent="0.25">
      <c r="A206" s="550" t="s">
        <v>32</v>
      </c>
      <c r="B206" s="629">
        <f t="shared" si="21"/>
        <v>2673</v>
      </c>
      <c r="C206" s="629"/>
      <c r="D206" s="631">
        <f t="shared" si="22"/>
        <v>2660</v>
      </c>
      <c r="E206" s="632">
        <v>423</v>
      </c>
      <c r="F206" s="629"/>
      <c r="G206" s="629">
        <f t="shared" si="23"/>
        <v>2176</v>
      </c>
      <c r="H206" s="632">
        <v>329</v>
      </c>
      <c r="I206" s="632">
        <v>314</v>
      </c>
      <c r="J206" s="629">
        <v>1533</v>
      </c>
      <c r="K206" s="632">
        <v>11</v>
      </c>
      <c r="L206" s="632">
        <v>4</v>
      </c>
      <c r="M206" s="632">
        <v>46</v>
      </c>
      <c r="N206" s="632">
        <v>13</v>
      </c>
      <c r="AE206" s="283"/>
      <c r="AF206" s="283"/>
      <c r="AG206" s="283"/>
      <c r="AH206" s="283"/>
      <c r="AI206" s="283"/>
      <c r="AJ206" s="283"/>
      <c r="AK206" s="283"/>
      <c r="AL206" s="283"/>
      <c r="AM206" s="283"/>
      <c r="AN206" s="283"/>
      <c r="AO206" s="283"/>
      <c r="AP206" s="283"/>
      <c r="AQ206" s="283"/>
    </row>
    <row r="207" spans="1:43" s="263" customFormat="1" ht="9" customHeight="1" x14ac:dyDescent="0.25">
      <c r="A207" s="603" t="s">
        <v>33</v>
      </c>
      <c r="B207" s="630">
        <f t="shared" si="21"/>
        <v>563</v>
      </c>
      <c r="C207" s="630"/>
      <c r="D207" s="633">
        <f t="shared" si="22"/>
        <v>541</v>
      </c>
      <c r="E207" s="634">
        <v>124</v>
      </c>
      <c r="F207" s="630"/>
      <c r="G207" s="630">
        <f t="shared" si="23"/>
        <v>410</v>
      </c>
      <c r="H207" s="634">
        <v>79</v>
      </c>
      <c r="I207" s="634">
        <v>62</v>
      </c>
      <c r="J207" s="630">
        <v>269</v>
      </c>
      <c r="K207" s="634">
        <v>2</v>
      </c>
      <c r="L207" s="634">
        <v>0</v>
      </c>
      <c r="M207" s="634">
        <v>5</v>
      </c>
      <c r="N207" s="634">
        <v>22</v>
      </c>
      <c r="AE207" s="283"/>
      <c r="AF207" s="283"/>
      <c r="AG207" s="283"/>
      <c r="AH207" s="283"/>
      <c r="AI207" s="283"/>
      <c r="AJ207" s="283"/>
      <c r="AK207" s="283"/>
      <c r="AL207" s="283"/>
      <c r="AM207" s="283"/>
      <c r="AN207" s="283"/>
      <c r="AO207" s="283"/>
      <c r="AP207" s="283"/>
      <c r="AQ207" s="283"/>
    </row>
    <row r="208" spans="1:43" s="263" customFormat="1" ht="9" customHeight="1" x14ac:dyDescent="0.25">
      <c r="A208" s="550" t="s">
        <v>34</v>
      </c>
      <c r="B208" s="629">
        <f t="shared" si="21"/>
        <v>590</v>
      </c>
      <c r="C208" s="629"/>
      <c r="D208" s="631">
        <f t="shared" si="22"/>
        <v>578</v>
      </c>
      <c r="E208" s="632">
        <v>87</v>
      </c>
      <c r="F208" s="629"/>
      <c r="G208" s="629">
        <f t="shared" si="23"/>
        <v>482</v>
      </c>
      <c r="H208" s="632">
        <v>80</v>
      </c>
      <c r="I208" s="632">
        <v>65</v>
      </c>
      <c r="J208" s="629">
        <v>337</v>
      </c>
      <c r="K208" s="632">
        <v>1</v>
      </c>
      <c r="L208" s="632">
        <v>2</v>
      </c>
      <c r="M208" s="632">
        <v>6</v>
      </c>
      <c r="N208" s="632">
        <v>12</v>
      </c>
      <c r="AE208" s="283"/>
      <c r="AF208" s="283"/>
      <c r="AG208" s="283"/>
      <c r="AH208" s="283"/>
      <c r="AI208" s="283"/>
      <c r="AJ208" s="283"/>
      <c r="AK208" s="283"/>
      <c r="AL208" s="283"/>
      <c r="AM208" s="283"/>
      <c r="AN208" s="283"/>
      <c r="AO208" s="283"/>
      <c r="AP208" s="283"/>
      <c r="AQ208" s="283"/>
    </row>
    <row r="209" spans="1:43" s="263" customFormat="1" ht="9" customHeight="1" x14ac:dyDescent="0.25">
      <c r="A209" s="550" t="s">
        <v>35</v>
      </c>
      <c r="B209" s="629">
        <f t="shared" si="21"/>
        <v>5181</v>
      </c>
      <c r="C209" s="629"/>
      <c r="D209" s="631">
        <f t="shared" si="22"/>
        <v>5161</v>
      </c>
      <c r="E209" s="632">
        <v>488</v>
      </c>
      <c r="F209" s="629"/>
      <c r="G209" s="629">
        <f t="shared" si="23"/>
        <v>4594</v>
      </c>
      <c r="H209" s="632">
        <v>792</v>
      </c>
      <c r="I209" s="632">
        <v>523</v>
      </c>
      <c r="J209" s="629">
        <v>3279</v>
      </c>
      <c r="K209" s="632">
        <v>9</v>
      </c>
      <c r="L209" s="632">
        <v>39</v>
      </c>
      <c r="M209" s="632">
        <v>31</v>
      </c>
      <c r="N209" s="632">
        <v>20</v>
      </c>
      <c r="AE209" s="283"/>
      <c r="AF209" s="283"/>
      <c r="AG209" s="283"/>
      <c r="AH209" s="283"/>
      <c r="AI209" s="283"/>
      <c r="AJ209" s="283"/>
      <c r="AK209" s="283"/>
      <c r="AL209" s="283"/>
      <c r="AM209" s="283"/>
      <c r="AN209" s="283"/>
      <c r="AO209" s="283"/>
      <c r="AP209" s="283"/>
      <c r="AQ209" s="283"/>
    </row>
    <row r="210" spans="1:43" s="263" customFormat="1" ht="9" customHeight="1" x14ac:dyDescent="0.25">
      <c r="A210" s="550" t="s">
        <v>36</v>
      </c>
      <c r="B210" s="629">
        <f t="shared" si="21"/>
        <v>5987</v>
      </c>
      <c r="C210" s="629"/>
      <c r="D210" s="631">
        <f t="shared" si="22"/>
        <v>5959</v>
      </c>
      <c r="E210" s="632">
        <v>654</v>
      </c>
      <c r="F210" s="629"/>
      <c r="G210" s="629">
        <f t="shared" si="23"/>
        <v>5177</v>
      </c>
      <c r="H210" s="632">
        <v>878</v>
      </c>
      <c r="I210" s="632">
        <v>683</v>
      </c>
      <c r="J210" s="629">
        <v>3616</v>
      </c>
      <c r="K210" s="632">
        <v>16</v>
      </c>
      <c r="L210" s="632">
        <v>3</v>
      </c>
      <c r="M210" s="632">
        <v>109</v>
      </c>
      <c r="N210" s="632">
        <v>28</v>
      </c>
      <c r="AE210" s="283"/>
      <c r="AF210" s="283"/>
      <c r="AG210" s="283"/>
      <c r="AH210" s="283"/>
      <c r="AI210" s="283"/>
      <c r="AJ210" s="283"/>
      <c r="AK210" s="283"/>
      <c r="AL210" s="283"/>
      <c r="AM210" s="283"/>
      <c r="AN210" s="283"/>
      <c r="AO210" s="283"/>
      <c r="AP210" s="283"/>
      <c r="AQ210" s="283"/>
    </row>
    <row r="211" spans="1:43" s="263" customFormat="1" ht="9" customHeight="1" x14ac:dyDescent="0.25">
      <c r="A211" s="603" t="s">
        <v>37</v>
      </c>
      <c r="B211" s="630">
        <f t="shared" si="21"/>
        <v>1980</v>
      </c>
      <c r="C211" s="630"/>
      <c r="D211" s="633">
        <f t="shared" si="22"/>
        <v>1959</v>
      </c>
      <c r="E211" s="634">
        <v>550</v>
      </c>
      <c r="F211" s="630"/>
      <c r="G211" s="630">
        <f t="shared" si="23"/>
        <v>1342</v>
      </c>
      <c r="H211" s="634">
        <v>263</v>
      </c>
      <c r="I211" s="634">
        <v>198</v>
      </c>
      <c r="J211" s="630">
        <v>881</v>
      </c>
      <c r="K211" s="634">
        <v>17</v>
      </c>
      <c r="L211" s="634">
        <v>39</v>
      </c>
      <c r="M211" s="634">
        <v>11</v>
      </c>
      <c r="N211" s="634">
        <v>21</v>
      </c>
      <c r="AE211" s="283"/>
      <c r="AF211" s="283"/>
      <c r="AG211" s="283"/>
      <c r="AH211" s="283"/>
      <c r="AI211" s="283"/>
      <c r="AJ211" s="283"/>
      <c r="AK211" s="283"/>
      <c r="AL211" s="283"/>
      <c r="AM211" s="283"/>
      <c r="AN211" s="283"/>
      <c r="AO211" s="283"/>
      <c r="AP211" s="283"/>
      <c r="AQ211" s="283"/>
    </row>
    <row r="212" spans="1:43" s="263" customFormat="1" ht="9" customHeight="1" x14ac:dyDescent="0.25">
      <c r="A212" s="550" t="s">
        <v>38</v>
      </c>
      <c r="B212" s="629">
        <f t="shared" si="21"/>
        <v>470</v>
      </c>
      <c r="C212" s="629"/>
      <c r="D212" s="631">
        <f t="shared" si="22"/>
        <v>459</v>
      </c>
      <c r="E212" s="632">
        <v>67</v>
      </c>
      <c r="F212" s="629"/>
      <c r="G212" s="629">
        <f t="shared" si="23"/>
        <v>389</v>
      </c>
      <c r="H212" s="632">
        <v>67</v>
      </c>
      <c r="I212" s="632">
        <v>55</v>
      </c>
      <c r="J212" s="629">
        <v>267</v>
      </c>
      <c r="K212" s="632">
        <v>0</v>
      </c>
      <c r="L212" s="632">
        <v>0</v>
      </c>
      <c r="M212" s="632">
        <v>3</v>
      </c>
      <c r="N212" s="632">
        <v>11</v>
      </c>
      <c r="AE212" s="283"/>
      <c r="AF212" s="283"/>
      <c r="AG212" s="283"/>
      <c r="AH212" s="283"/>
      <c r="AI212" s="283"/>
      <c r="AJ212" s="283"/>
      <c r="AK212" s="283"/>
      <c r="AL212" s="283"/>
      <c r="AM212" s="283"/>
      <c r="AN212" s="283"/>
      <c r="AO212" s="283"/>
      <c r="AP212" s="283"/>
      <c r="AQ212" s="283"/>
    </row>
    <row r="213" spans="1:43" s="263" customFormat="1" ht="9" customHeight="1" x14ac:dyDescent="0.25">
      <c r="A213" s="550" t="s">
        <v>39</v>
      </c>
      <c r="B213" s="629">
        <f t="shared" si="21"/>
        <v>294</v>
      </c>
      <c r="C213" s="629"/>
      <c r="D213" s="631">
        <f t="shared" si="22"/>
        <v>289</v>
      </c>
      <c r="E213" s="632">
        <v>36</v>
      </c>
      <c r="F213" s="629"/>
      <c r="G213" s="629">
        <f t="shared" si="23"/>
        <v>250</v>
      </c>
      <c r="H213" s="632">
        <v>41</v>
      </c>
      <c r="I213" s="632">
        <v>31</v>
      </c>
      <c r="J213" s="629">
        <v>178</v>
      </c>
      <c r="K213" s="632">
        <v>1</v>
      </c>
      <c r="L213" s="632">
        <v>1</v>
      </c>
      <c r="M213" s="632">
        <v>1</v>
      </c>
      <c r="N213" s="632">
        <v>5</v>
      </c>
      <c r="AE213" s="283"/>
      <c r="AF213" s="283"/>
      <c r="AG213" s="283"/>
      <c r="AH213" s="283"/>
      <c r="AI213" s="283"/>
      <c r="AJ213" s="283"/>
      <c r="AK213" s="283"/>
      <c r="AL213" s="283"/>
      <c r="AM213" s="283"/>
      <c r="AN213" s="283"/>
      <c r="AO213" s="283"/>
      <c r="AP213" s="283"/>
      <c r="AQ213" s="283"/>
    </row>
    <row r="214" spans="1:43" s="263" customFormat="1" ht="9" customHeight="1" x14ac:dyDescent="0.25">
      <c r="A214" s="550" t="s">
        <v>40</v>
      </c>
      <c r="B214" s="629">
        <f t="shared" si="21"/>
        <v>12023</v>
      </c>
      <c r="C214" s="629"/>
      <c r="D214" s="631">
        <f t="shared" si="22"/>
        <v>10783</v>
      </c>
      <c r="E214" s="632">
        <v>121</v>
      </c>
      <c r="F214" s="629"/>
      <c r="G214" s="629">
        <f t="shared" si="23"/>
        <v>10377</v>
      </c>
      <c r="H214" s="632">
        <v>1436</v>
      </c>
      <c r="I214" s="632">
        <v>1454</v>
      </c>
      <c r="J214" s="629">
        <v>7487</v>
      </c>
      <c r="K214" s="632">
        <v>51</v>
      </c>
      <c r="L214" s="632">
        <v>187</v>
      </c>
      <c r="M214" s="632">
        <v>47</v>
      </c>
      <c r="N214" s="632">
        <v>1240</v>
      </c>
      <c r="AE214" s="283"/>
      <c r="AF214" s="283"/>
      <c r="AG214" s="283"/>
      <c r="AH214" s="283"/>
      <c r="AI214" s="283"/>
      <c r="AJ214" s="283"/>
      <c r="AK214" s="283"/>
      <c r="AL214" s="283"/>
      <c r="AM214" s="283"/>
      <c r="AN214" s="283"/>
      <c r="AO214" s="283"/>
      <c r="AP214" s="283"/>
      <c r="AQ214" s="283"/>
    </row>
    <row r="215" spans="1:43" s="263" customFormat="1" ht="9" customHeight="1" x14ac:dyDescent="0.25">
      <c r="A215" s="603" t="s">
        <v>41</v>
      </c>
      <c r="B215" s="630">
        <f t="shared" si="21"/>
        <v>728</v>
      </c>
      <c r="C215" s="630"/>
      <c r="D215" s="633">
        <f t="shared" si="22"/>
        <v>727</v>
      </c>
      <c r="E215" s="634">
        <v>140</v>
      </c>
      <c r="F215" s="630"/>
      <c r="G215" s="630">
        <f t="shared" si="23"/>
        <v>575</v>
      </c>
      <c r="H215" s="634">
        <v>91</v>
      </c>
      <c r="I215" s="634">
        <v>77</v>
      </c>
      <c r="J215" s="630">
        <v>407</v>
      </c>
      <c r="K215" s="634">
        <v>1</v>
      </c>
      <c r="L215" s="634">
        <v>0</v>
      </c>
      <c r="M215" s="634">
        <v>11</v>
      </c>
      <c r="N215" s="634">
        <v>1</v>
      </c>
      <c r="AE215" s="283"/>
      <c r="AF215" s="283"/>
      <c r="AG215" s="283"/>
      <c r="AH215" s="283"/>
      <c r="AI215" s="283"/>
      <c r="AJ215" s="283"/>
      <c r="AK215" s="283"/>
      <c r="AL215" s="283"/>
      <c r="AM215" s="283"/>
      <c r="AN215" s="283"/>
      <c r="AO215" s="283"/>
      <c r="AP215" s="283"/>
      <c r="AQ215" s="283"/>
    </row>
    <row r="216" spans="1:43" s="263" customFormat="1" ht="9" customHeight="1" x14ac:dyDescent="0.25">
      <c r="A216" s="550" t="s">
        <v>42</v>
      </c>
      <c r="B216" s="629">
        <f t="shared" si="21"/>
        <v>1257</v>
      </c>
      <c r="C216" s="629"/>
      <c r="D216" s="631">
        <f t="shared" si="22"/>
        <v>1235</v>
      </c>
      <c r="E216" s="632">
        <v>207</v>
      </c>
      <c r="F216" s="629"/>
      <c r="G216" s="629">
        <f t="shared" si="23"/>
        <v>969</v>
      </c>
      <c r="H216" s="632">
        <v>143</v>
      </c>
      <c r="I216" s="632">
        <v>152</v>
      </c>
      <c r="J216" s="629">
        <v>674</v>
      </c>
      <c r="K216" s="632">
        <v>14</v>
      </c>
      <c r="L216" s="632">
        <v>16</v>
      </c>
      <c r="M216" s="632">
        <v>29</v>
      </c>
      <c r="N216" s="632">
        <v>22</v>
      </c>
      <c r="AE216" s="283"/>
      <c r="AF216" s="283"/>
      <c r="AG216" s="283"/>
      <c r="AH216" s="283"/>
      <c r="AI216" s="283"/>
      <c r="AJ216" s="283"/>
      <c r="AK216" s="283"/>
      <c r="AL216" s="283"/>
      <c r="AM216" s="283"/>
      <c r="AN216" s="283"/>
      <c r="AO216" s="283"/>
      <c r="AP216" s="283"/>
      <c r="AQ216" s="283"/>
    </row>
    <row r="217" spans="1:43" s="263" customFormat="1" ht="9" customHeight="1" x14ac:dyDescent="0.25">
      <c r="A217" s="550" t="s">
        <v>43</v>
      </c>
      <c r="B217" s="629">
        <f t="shared" si="21"/>
        <v>943</v>
      </c>
      <c r="C217" s="629"/>
      <c r="D217" s="631">
        <f t="shared" si="22"/>
        <v>941</v>
      </c>
      <c r="E217" s="632">
        <v>128</v>
      </c>
      <c r="F217" s="629"/>
      <c r="G217" s="629">
        <f t="shared" si="23"/>
        <v>796</v>
      </c>
      <c r="H217" s="632">
        <v>149</v>
      </c>
      <c r="I217" s="632">
        <v>116</v>
      </c>
      <c r="J217" s="629">
        <v>531</v>
      </c>
      <c r="K217" s="632">
        <v>2</v>
      </c>
      <c r="L217" s="632">
        <v>0</v>
      </c>
      <c r="M217" s="632">
        <v>15</v>
      </c>
      <c r="N217" s="632">
        <v>2</v>
      </c>
      <c r="AE217" s="283"/>
      <c r="AF217" s="283"/>
      <c r="AG217" s="283"/>
      <c r="AH217" s="283"/>
      <c r="AI217" s="283"/>
      <c r="AJ217" s="283"/>
      <c r="AK217" s="283"/>
      <c r="AL217" s="283"/>
      <c r="AM217" s="283"/>
      <c r="AN217" s="283"/>
      <c r="AO217" s="283"/>
      <c r="AP217" s="283"/>
      <c r="AQ217" s="283"/>
    </row>
    <row r="218" spans="1:43" s="263" customFormat="1" ht="9" customHeight="1" x14ac:dyDescent="0.25">
      <c r="A218" s="550" t="s">
        <v>44</v>
      </c>
      <c r="B218" s="629">
        <f t="shared" si="21"/>
        <v>428</v>
      </c>
      <c r="C218" s="629"/>
      <c r="D218" s="631">
        <f t="shared" si="22"/>
        <v>425</v>
      </c>
      <c r="E218" s="632">
        <v>71</v>
      </c>
      <c r="F218" s="629"/>
      <c r="G218" s="629">
        <f t="shared" si="23"/>
        <v>336</v>
      </c>
      <c r="H218" s="632">
        <v>46</v>
      </c>
      <c r="I218" s="632">
        <v>41</v>
      </c>
      <c r="J218" s="629">
        <v>249</v>
      </c>
      <c r="K218" s="632">
        <v>0</v>
      </c>
      <c r="L218" s="632">
        <v>0</v>
      </c>
      <c r="M218" s="632">
        <v>18</v>
      </c>
      <c r="N218" s="550">
        <v>3</v>
      </c>
      <c r="AE218" s="283"/>
      <c r="AF218" s="283"/>
      <c r="AG218" s="283"/>
      <c r="AH218" s="283"/>
      <c r="AI218" s="283"/>
      <c r="AJ218" s="283"/>
      <c r="AK218" s="283"/>
      <c r="AL218" s="283"/>
      <c r="AM218" s="283"/>
      <c r="AN218" s="283"/>
      <c r="AO218" s="283"/>
      <c r="AP218" s="283"/>
      <c r="AQ218" s="283"/>
    </row>
    <row r="219" spans="1:43" s="263" customFormat="1" ht="9" customHeight="1" x14ac:dyDescent="0.25">
      <c r="A219" s="603" t="s">
        <v>45</v>
      </c>
      <c r="B219" s="630">
        <f t="shared" si="21"/>
        <v>1062</v>
      </c>
      <c r="C219" s="630"/>
      <c r="D219" s="633">
        <f t="shared" si="22"/>
        <v>1055</v>
      </c>
      <c r="E219" s="634">
        <v>69</v>
      </c>
      <c r="F219" s="630"/>
      <c r="G219" s="630">
        <f t="shared" si="23"/>
        <v>970</v>
      </c>
      <c r="H219" s="634">
        <v>147</v>
      </c>
      <c r="I219" s="634">
        <v>102</v>
      </c>
      <c r="J219" s="630">
        <v>721</v>
      </c>
      <c r="K219" s="634">
        <v>2</v>
      </c>
      <c r="L219" s="634">
        <v>0</v>
      </c>
      <c r="M219" s="634">
        <v>14</v>
      </c>
      <c r="N219" s="634">
        <v>7</v>
      </c>
      <c r="AE219" s="283"/>
      <c r="AF219" s="283"/>
      <c r="AG219" s="283"/>
      <c r="AH219" s="283"/>
      <c r="AI219" s="283"/>
      <c r="AJ219" s="283"/>
      <c r="AK219" s="283"/>
      <c r="AL219" s="283"/>
      <c r="AM219" s="283"/>
      <c r="AN219" s="283"/>
      <c r="AO219" s="283"/>
      <c r="AP219" s="283"/>
      <c r="AQ219" s="283"/>
    </row>
    <row r="220" spans="1:43" s="263" customFormat="1" ht="9" customHeight="1" x14ac:dyDescent="0.25">
      <c r="A220" s="550" t="s">
        <v>46</v>
      </c>
      <c r="B220" s="629">
        <f t="shared" si="21"/>
        <v>1000</v>
      </c>
      <c r="C220" s="629"/>
      <c r="D220" s="631">
        <f t="shared" si="22"/>
        <v>997</v>
      </c>
      <c r="E220" s="632">
        <v>114</v>
      </c>
      <c r="F220" s="629"/>
      <c r="G220" s="629">
        <f t="shared" si="23"/>
        <v>869</v>
      </c>
      <c r="H220" s="632">
        <v>133</v>
      </c>
      <c r="I220" s="632">
        <v>128</v>
      </c>
      <c r="J220" s="629">
        <v>608</v>
      </c>
      <c r="K220" s="632">
        <v>3</v>
      </c>
      <c r="L220" s="632">
        <v>0</v>
      </c>
      <c r="M220" s="632">
        <v>11</v>
      </c>
      <c r="N220" s="632">
        <v>3</v>
      </c>
      <c r="AE220" s="283"/>
      <c r="AF220" s="283"/>
      <c r="AG220" s="283"/>
      <c r="AH220" s="283"/>
      <c r="AI220" s="283"/>
      <c r="AJ220" s="283"/>
      <c r="AK220" s="283"/>
      <c r="AL220" s="283"/>
      <c r="AM220" s="283"/>
      <c r="AN220" s="283"/>
      <c r="AO220" s="283"/>
      <c r="AP220" s="283"/>
      <c r="AQ220" s="283"/>
    </row>
    <row r="221" spans="1:43" s="263" customFormat="1" ht="9" customHeight="1" x14ac:dyDescent="0.25">
      <c r="A221" s="550" t="s">
        <v>47</v>
      </c>
      <c r="B221" s="629">
        <f t="shared" si="21"/>
        <v>1899</v>
      </c>
      <c r="C221" s="629"/>
      <c r="D221" s="631">
        <f t="shared" si="22"/>
        <v>1883</v>
      </c>
      <c r="E221" s="632">
        <v>156</v>
      </c>
      <c r="F221" s="629"/>
      <c r="G221" s="629">
        <f t="shared" si="23"/>
        <v>1711</v>
      </c>
      <c r="H221" s="632">
        <v>322</v>
      </c>
      <c r="I221" s="632">
        <v>208</v>
      </c>
      <c r="J221" s="629">
        <v>1181</v>
      </c>
      <c r="K221" s="632">
        <v>0</v>
      </c>
      <c r="L221" s="632">
        <v>0</v>
      </c>
      <c r="M221" s="632">
        <v>16</v>
      </c>
      <c r="N221" s="632">
        <v>16</v>
      </c>
      <c r="AE221" s="283"/>
      <c r="AF221" s="283"/>
      <c r="AG221" s="283"/>
      <c r="AH221" s="283"/>
      <c r="AI221" s="283"/>
      <c r="AJ221" s="283"/>
      <c r="AK221" s="283"/>
      <c r="AL221" s="283"/>
      <c r="AM221" s="283"/>
      <c r="AN221" s="283"/>
      <c r="AO221" s="283"/>
      <c r="AP221" s="283"/>
      <c r="AQ221" s="283"/>
    </row>
    <row r="222" spans="1:43" s="263" customFormat="1" ht="9" customHeight="1" x14ac:dyDescent="0.25">
      <c r="A222" s="550" t="s">
        <v>48</v>
      </c>
      <c r="B222" s="629">
        <f t="shared" si="21"/>
        <v>434</v>
      </c>
      <c r="C222" s="629"/>
      <c r="D222" s="631">
        <f t="shared" si="22"/>
        <v>430</v>
      </c>
      <c r="E222" s="632">
        <v>64</v>
      </c>
      <c r="F222" s="629"/>
      <c r="G222" s="629">
        <f t="shared" si="23"/>
        <v>361</v>
      </c>
      <c r="H222" s="632">
        <v>57</v>
      </c>
      <c r="I222" s="632">
        <v>55</v>
      </c>
      <c r="J222" s="629">
        <v>249</v>
      </c>
      <c r="K222" s="632">
        <v>1</v>
      </c>
      <c r="L222" s="632">
        <v>0</v>
      </c>
      <c r="M222" s="632">
        <v>4</v>
      </c>
      <c r="N222" s="632">
        <v>4</v>
      </c>
      <c r="AE222" s="283"/>
      <c r="AF222" s="283"/>
      <c r="AG222" s="283"/>
      <c r="AH222" s="283"/>
      <c r="AI222" s="283"/>
      <c r="AJ222" s="283"/>
      <c r="AK222" s="283"/>
      <c r="AL222" s="283"/>
      <c r="AM222" s="283"/>
      <c r="AN222" s="283"/>
      <c r="AO222" s="283"/>
      <c r="AP222" s="283"/>
      <c r="AQ222" s="283"/>
    </row>
    <row r="223" spans="1:43" s="263" customFormat="1" ht="9" customHeight="1" x14ac:dyDescent="0.25">
      <c r="A223" s="603" t="s">
        <v>49</v>
      </c>
      <c r="B223" s="630">
        <f t="shared" si="21"/>
        <v>1225</v>
      </c>
      <c r="C223" s="630"/>
      <c r="D223" s="633">
        <f t="shared" si="22"/>
        <v>1210</v>
      </c>
      <c r="E223" s="634">
        <v>184</v>
      </c>
      <c r="F223" s="630"/>
      <c r="G223" s="630">
        <f t="shared" si="23"/>
        <v>1000</v>
      </c>
      <c r="H223" s="634">
        <v>181</v>
      </c>
      <c r="I223" s="634">
        <v>143</v>
      </c>
      <c r="J223" s="630">
        <v>676</v>
      </c>
      <c r="K223" s="634">
        <v>1</v>
      </c>
      <c r="L223" s="634">
        <v>1</v>
      </c>
      <c r="M223" s="634">
        <v>24</v>
      </c>
      <c r="N223" s="634">
        <v>15</v>
      </c>
      <c r="AE223" s="283"/>
      <c r="AF223" s="283"/>
      <c r="AG223" s="283"/>
      <c r="AH223" s="283"/>
      <c r="AI223" s="283"/>
      <c r="AJ223" s="283"/>
      <c r="AK223" s="283"/>
      <c r="AL223" s="283"/>
      <c r="AM223" s="283"/>
      <c r="AN223" s="283"/>
      <c r="AO223" s="283"/>
      <c r="AP223" s="283"/>
      <c r="AQ223" s="283"/>
    </row>
    <row r="224" spans="1:43" s="263" customFormat="1" ht="9" customHeight="1" x14ac:dyDescent="0.25">
      <c r="A224" s="550" t="s">
        <v>50</v>
      </c>
      <c r="B224" s="629">
        <f t="shared" si="21"/>
        <v>441</v>
      </c>
      <c r="C224" s="629"/>
      <c r="D224" s="631">
        <f t="shared" si="22"/>
        <v>441</v>
      </c>
      <c r="E224" s="632">
        <v>85</v>
      </c>
      <c r="F224" s="629"/>
      <c r="G224" s="629">
        <f t="shared" si="23"/>
        <v>342</v>
      </c>
      <c r="H224" s="632">
        <v>49</v>
      </c>
      <c r="I224" s="632">
        <v>50</v>
      </c>
      <c r="J224" s="629">
        <v>243</v>
      </c>
      <c r="K224" s="632">
        <v>1</v>
      </c>
      <c r="L224" s="632">
        <v>0</v>
      </c>
      <c r="M224" s="632">
        <v>13</v>
      </c>
      <c r="N224" s="632">
        <v>0</v>
      </c>
      <c r="AE224" s="283"/>
      <c r="AF224" s="283"/>
      <c r="AG224" s="283"/>
      <c r="AH224" s="283"/>
      <c r="AI224" s="283"/>
      <c r="AJ224" s="283"/>
      <c r="AK224" s="283"/>
      <c r="AL224" s="283"/>
      <c r="AM224" s="283"/>
      <c r="AN224" s="283"/>
      <c r="AO224" s="283"/>
      <c r="AP224" s="283"/>
      <c r="AQ224" s="283"/>
    </row>
    <row r="225" spans="1:43" s="263" customFormat="1" ht="9" customHeight="1" x14ac:dyDescent="0.25">
      <c r="A225" s="550" t="s">
        <v>51</v>
      </c>
      <c r="B225" s="629">
        <f t="shared" si="21"/>
        <v>1371</v>
      </c>
      <c r="C225" s="629"/>
      <c r="D225" s="631">
        <f t="shared" si="22"/>
        <v>1356</v>
      </c>
      <c r="E225" s="632">
        <v>222</v>
      </c>
      <c r="F225" s="629"/>
      <c r="G225" s="629">
        <f t="shared" si="23"/>
        <v>1102</v>
      </c>
      <c r="H225" s="632">
        <v>175</v>
      </c>
      <c r="I225" s="632">
        <v>156</v>
      </c>
      <c r="J225" s="629">
        <v>771</v>
      </c>
      <c r="K225" s="632">
        <v>8</v>
      </c>
      <c r="L225" s="632">
        <v>5</v>
      </c>
      <c r="M225" s="632">
        <v>19</v>
      </c>
      <c r="N225" s="632">
        <v>15</v>
      </c>
      <c r="AE225" s="283"/>
      <c r="AF225" s="283"/>
      <c r="AG225" s="283"/>
      <c r="AH225" s="283"/>
      <c r="AI225" s="283"/>
      <c r="AJ225" s="283"/>
      <c r="AK225" s="283"/>
      <c r="AL225" s="283"/>
      <c r="AM225" s="283"/>
      <c r="AN225" s="283"/>
      <c r="AO225" s="283"/>
      <c r="AP225" s="283"/>
      <c r="AQ225" s="283"/>
    </row>
    <row r="226" spans="1:43" s="263" customFormat="1" ht="9" customHeight="1" x14ac:dyDescent="0.25">
      <c r="A226" s="550" t="s">
        <v>52</v>
      </c>
      <c r="B226" s="629">
        <f t="shared" si="21"/>
        <v>881</v>
      </c>
      <c r="C226" s="629"/>
      <c r="D226" s="631">
        <f t="shared" si="22"/>
        <v>881</v>
      </c>
      <c r="E226" s="632">
        <v>58</v>
      </c>
      <c r="F226" s="629"/>
      <c r="G226" s="629">
        <f t="shared" si="23"/>
        <v>782</v>
      </c>
      <c r="H226" s="632">
        <v>105</v>
      </c>
      <c r="I226" s="632">
        <v>101</v>
      </c>
      <c r="J226" s="629">
        <v>576</v>
      </c>
      <c r="K226" s="632">
        <v>4</v>
      </c>
      <c r="L226" s="632">
        <v>22</v>
      </c>
      <c r="M226" s="632">
        <v>15</v>
      </c>
      <c r="N226" s="632">
        <v>0</v>
      </c>
      <c r="AE226" s="283"/>
      <c r="AF226" s="283"/>
      <c r="AG226" s="283"/>
      <c r="AH226" s="283"/>
      <c r="AI226" s="283"/>
      <c r="AJ226" s="283"/>
      <c r="AK226" s="283"/>
      <c r="AL226" s="283"/>
      <c r="AM226" s="283"/>
      <c r="AN226" s="283"/>
      <c r="AO226" s="283"/>
      <c r="AP226" s="283"/>
      <c r="AQ226" s="283"/>
    </row>
    <row r="227" spans="1:43" s="263" customFormat="1" ht="9" customHeight="1" x14ac:dyDescent="0.25">
      <c r="A227" s="603" t="s">
        <v>53</v>
      </c>
      <c r="B227" s="630">
        <f t="shared" si="21"/>
        <v>545</v>
      </c>
      <c r="C227" s="630"/>
      <c r="D227" s="633">
        <f t="shared" si="22"/>
        <v>544</v>
      </c>
      <c r="E227" s="634">
        <v>81</v>
      </c>
      <c r="F227" s="630"/>
      <c r="G227" s="630">
        <f t="shared" si="23"/>
        <v>453</v>
      </c>
      <c r="H227" s="634">
        <v>62</v>
      </c>
      <c r="I227" s="634">
        <v>54</v>
      </c>
      <c r="J227" s="630">
        <v>337</v>
      </c>
      <c r="K227" s="634">
        <v>0</v>
      </c>
      <c r="L227" s="634">
        <v>0</v>
      </c>
      <c r="M227" s="634">
        <v>10</v>
      </c>
      <c r="N227" s="634">
        <v>1</v>
      </c>
      <c r="AE227" s="283"/>
      <c r="AF227" s="283"/>
      <c r="AG227" s="283"/>
      <c r="AH227" s="283"/>
      <c r="AI227" s="283"/>
      <c r="AJ227" s="283"/>
      <c r="AK227" s="283"/>
      <c r="AL227" s="283"/>
      <c r="AM227" s="283"/>
      <c r="AN227" s="283"/>
      <c r="AO227" s="283"/>
      <c r="AP227" s="283"/>
      <c r="AQ227" s="283"/>
    </row>
    <row r="228" spans="1:43" ht="8.25" customHeight="1" x14ac:dyDescent="0.25">
      <c r="B228" s="259"/>
      <c r="C228" s="259"/>
      <c r="D228" s="259"/>
      <c r="E228" s="259"/>
      <c r="F228" s="259"/>
      <c r="G228" s="259"/>
      <c r="H228" s="259"/>
      <c r="I228" s="259"/>
      <c r="J228" s="259"/>
      <c r="K228" s="259"/>
      <c r="L228" s="259"/>
      <c r="AE228" s="283"/>
      <c r="AF228" s="283"/>
      <c r="AG228" s="283"/>
      <c r="AH228" s="283"/>
      <c r="AI228" s="283"/>
      <c r="AJ228" s="283"/>
      <c r="AK228" s="283"/>
      <c r="AL228" s="283"/>
      <c r="AM228" s="283"/>
      <c r="AN228" s="283"/>
      <c r="AO228" s="283"/>
      <c r="AP228" s="283"/>
      <c r="AQ228" s="283"/>
    </row>
    <row r="229" spans="1:43" ht="9" customHeight="1" x14ac:dyDescent="0.25">
      <c r="A229" s="601">
        <v>2007</v>
      </c>
      <c r="B229" s="262"/>
      <c r="C229" s="262"/>
      <c r="D229" s="262"/>
      <c r="E229" s="262"/>
      <c r="F229" s="262"/>
      <c r="G229" s="262"/>
      <c r="H229" s="262"/>
      <c r="I229" s="262"/>
      <c r="J229" s="262"/>
      <c r="K229" s="262"/>
      <c r="L229" s="262"/>
      <c r="M229" s="262"/>
      <c r="N229" s="262"/>
      <c r="AE229" s="283"/>
      <c r="AF229" s="283"/>
      <c r="AG229" s="283"/>
      <c r="AH229" s="283"/>
      <c r="AI229" s="283"/>
      <c r="AJ229" s="283"/>
      <c r="AK229" s="283"/>
      <c r="AL229" s="283"/>
      <c r="AM229" s="283"/>
      <c r="AN229" s="283"/>
      <c r="AO229" s="283"/>
      <c r="AP229" s="283"/>
      <c r="AQ229" s="283"/>
    </row>
    <row r="230" spans="1:43" s="263" customFormat="1" ht="9" customHeight="1" x14ac:dyDescent="0.25">
      <c r="A230" s="265" t="s">
        <v>21</v>
      </c>
      <c r="B230" s="262">
        <f>SUM(B232:B263)</f>
        <v>52693</v>
      </c>
      <c r="C230" s="262"/>
      <c r="D230" s="262">
        <f>SUM(D232:D263)</f>
        <v>52282</v>
      </c>
      <c r="E230" s="262">
        <f>SUM(E232:E263)</f>
        <v>5456</v>
      </c>
      <c r="F230" s="262"/>
      <c r="G230" s="262">
        <f t="shared" ref="G230:M230" si="24">SUM(G232:G263)</f>
        <v>45442</v>
      </c>
      <c r="H230" s="262">
        <f t="shared" si="24"/>
        <v>7679</v>
      </c>
      <c r="I230" s="262">
        <f t="shared" si="24"/>
        <v>5772</v>
      </c>
      <c r="J230" s="262">
        <f t="shared" si="24"/>
        <v>31991</v>
      </c>
      <c r="K230" s="262">
        <f t="shared" si="24"/>
        <v>223</v>
      </c>
      <c r="L230" s="262">
        <f t="shared" si="24"/>
        <v>492</v>
      </c>
      <c r="M230" s="262">
        <f t="shared" si="24"/>
        <v>669</v>
      </c>
      <c r="N230" s="262">
        <f>SUM(N232:N263)</f>
        <v>411</v>
      </c>
      <c r="AE230" s="283"/>
      <c r="AF230" s="283"/>
      <c r="AG230" s="283"/>
      <c r="AH230" s="283"/>
      <c r="AI230" s="283"/>
      <c r="AJ230" s="283"/>
      <c r="AK230" s="283"/>
      <c r="AL230" s="283"/>
      <c r="AM230" s="283"/>
      <c r="AN230" s="283"/>
      <c r="AO230" s="283"/>
      <c r="AP230" s="283"/>
      <c r="AQ230" s="283"/>
    </row>
    <row r="231" spans="1:43" s="263" customFormat="1" ht="2.1" customHeight="1" x14ac:dyDescent="0.25">
      <c r="A231" s="265"/>
      <c r="B231" s="262"/>
      <c r="C231" s="262"/>
      <c r="D231" s="262"/>
      <c r="E231" s="262"/>
      <c r="F231" s="262"/>
      <c r="G231" s="262"/>
      <c r="H231" s="262"/>
      <c r="I231" s="262"/>
      <c r="J231" s="262"/>
      <c r="K231" s="262"/>
      <c r="L231" s="262"/>
      <c r="M231" s="262"/>
      <c r="N231" s="262"/>
      <c r="AE231" s="283"/>
      <c r="AF231" s="283"/>
      <c r="AG231" s="283"/>
      <c r="AH231" s="283"/>
      <c r="AI231" s="283"/>
      <c r="AJ231" s="283"/>
      <c r="AK231" s="283"/>
      <c r="AL231" s="283"/>
      <c r="AM231" s="283"/>
      <c r="AN231" s="283"/>
      <c r="AO231" s="283"/>
      <c r="AP231" s="283"/>
      <c r="AQ231" s="283"/>
    </row>
    <row r="232" spans="1:43" s="263" customFormat="1" ht="9" customHeight="1" x14ac:dyDescent="0.25">
      <c r="A232" s="550" t="s">
        <v>23</v>
      </c>
      <c r="B232" s="629">
        <f>SUM(D232+N232)</f>
        <v>209</v>
      </c>
      <c r="C232" s="629"/>
      <c r="D232" s="631">
        <f>SUM(E232+G232+K232+L232+M232)</f>
        <v>206</v>
      </c>
      <c r="E232" s="632">
        <v>21</v>
      </c>
      <c r="F232" s="629"/>
      <c r="G232" s="629">
        <f>SUM(H232:J232)</f>
        <v>184</v>
      </c>
      <c r="H232" s="632">
        <v>26</v>
      </c>
      <c r="I232" s="632">
        <v>16</v>
      </c>
      <c r="J232" s="629">
        <v>142</v>
      </c>
      <c r="K232" s="632">
        <v>1</v>
      </c>
      <c r="L232" s="632">
        <v>0</v>
      </c>
      <c r="M232" s="632">
        <v>0</v>
      </c>
      <c r="N232" s="632">
        <v>3</v>
      </c>
      <c r="AE232" s="283"/>
      <c r="AF232" s="283"/>
      <c r="AG232" s="283"/>
      <c r="AH232" s="283"/>
      <c r="AI232" s="283"/>
      <c r="AJ232" s="283"/>
      <c r="AK232" s="283"/>
      <c r="AL232" s="283"/>
      <c r="AM232" s="283"/>
      <c r="AN232" s="283"/>
      <c r="AO232" s="283"/>
      <c r="AP232" s="283"/>
      <c r="AQ232" s="283"/>
    </row>
    <row r="233" spans="1:43" s="263" customFormat="1" ht="9" customHeight="1" x14ac:dyDescent="0.25">
      <c r="A233" s="550" t="s">
        <v>24</v>
      </c>
      <c r="B233" s="629">
        <f>SUM(D233+N233)</f>
        <v>1675</v>
      </c>
      <c r="C233" s="629"/>
      <c r="D233" s="631">
        <f>SUM(E233+G233+K233+L233+M233)</f>
        <v>1648</v>
      </c>
      <c r="E233" s="629">
        <v>225</v>
      </c>
      <c r="F233" s="629"/>
      <c r="G233" s="629">
        <f>SUM(H233:J233)</f>
        <v>1396</v>
      </c>
      <c r="H233" s="629">
        <v>203</v>
      </c>
      <c r="I233" s="629">
        <v>179</v>
      </c>
      <c r="J233" s="629">
        <v>1014</v>
      </c>
      <c r="K233" s="629">
        <v>5</v>
      </c>
      <c r="L233" s="629">
        <v>6</v>
      </c>
      <c r="M233" s="629">
        <v>16</v>
      </c>
      <c r="N233" s="629">
        <v>27</v>
      </c>
      <c r="AE233" s="283"/>
      <c r="AF233" s="283"/>
      <c r="AG233" s="283"/>
      <c r="AH233" s="283"/>
      <c r="AI233" s="283"/>
      <c r="AJ233" s="283"/>
      <c r="AK233" s="283"/>
      <c r="AL233" s="283"/>
      <c r="AM233" s="283"/>
      <c r="AN233" s="283"/>
      <c r="AO233" s="283"/>
      <c r="AP233" s="283"/>
      <c r="AQ233" s="283"/>
    </row>
    <row r="234" spans="1:43" s="263" customFormat="1" ht="9" customHeight="1" x14ac:dyDescent="0.25">
      <c r="A234" s="550" t="s">
        <v>25</v>
      </c>
      <c r="B234" s="629">
        <f>SUM(D234+N234)</f>
        <v>180</v>
      </c>
      <c r="C234" s="629"/>
      <c r="D234" s="631">
        <f>SUM(E234+G234+K234+L234+M234)</f>
        <v>172</v>
      </c>
      <c r="E234" s="629">
        <v>29</v>
      </c>
      <c r="F234" s="629"/>
      <c r="G234" s="629">
        <f>SUM(H234:J234)</f>
        <v>133</v>
      </c>
      <c r="H234" s="629">
        <v>18</v>
      </c>
      <c r="I234" s="629">
        <v>19</v>
      </c>
      <c r="J234" s="629">
        <v>96</v>
      </c>
      <c r="K234" s="629">
        <v>0</v>
      </c>
      <c r="L234" s="629">
        <v>5</v>
      </c>
      <c r="M234" s="629">
        <v>5</v>
      </c>
      <c r="N234" s="629">
        <v>8</v>
      </c>
      <c r="AE234" s="283"/>
      <c r="AF234" s="283"/>
      <c r="AG234" s="283"/>
      <c r="AH234" s="283"/>
      <c r="AI234" s="283"/>
      <c r="AJ234" s="283"/>
      <c r="AK234" s="283"/>
      <c r="AL234" s="283"/>
      <c r="AM234" s="283"/>
      <c r="AN234" s="283"/>
      <c r="AO234" s="283"/>
      <c r="AP234" s="283"/>
      <c r="AQ234" s="283"/>
    </row>
    <row r="235" spans="1:43" s="263" customFormat="1" ht="9" customHeight="1" x14ac:dyDescent="0.25">
      <c r="A235" s="603" t="s">
        <v>26</v>
      </c>
      <c r="B235" s="630">
        <f>SUM(D235+N235)</f>
        <v>96</v>
      </c>
      <c r="C235" s="630"/>
      <c r="D235" s="633">
        <f>SUM(E235+G235+K235+L235+M235)</f>
        <v>94</v>
      </c>
      <c r="E235" s="634">
        <v>9</v>
      </c>
      <c r="F235" s="630"/>
      <c r="G235" s="630">
        <f>SUM(H235:J235)</f>
        <v>82</v>
      </c>
      <c r="H235" s="634">
        <v>19</v>
      </c>
      <c r="I235" s="634">
        <v>16</v>
      </c>
      <c r="J235" s="630">
        <v>47</v>
      </c>
      <c r="K235" s="634">
        <v>0</v>
      </c>
      <c r="L235" s="634">
        <v>0</v>
      </c>
      <c r="M235" s="634">
        <v>3</v>
      </c>
      <c r="N235" s="634">
        <v>2</v>
      </c>
      <c r="AE235" s="283"/>
      <c r="AF235" s="283"/>
      <c r="AG235" s="283"/>
      <c r="AH235" s="283"/>
      <c r="AI235" s="283"/>
      <c r="AJ235" s="283"/>
      <c r="AK235" s="283"/>
      <c r="AL235" s="283"/>
      <c r="AM235" s="283"/>
      <c r="AN235" s="283"/>
      <c r="AO235" s="283"/>
      <c r="AP235" s="283"/>
      <c r="AQ235" s="283"/>
    </row>
    <row r="236" spans="1:43" s="263" customFormat="1" ht="9" customHeight="1" x14ac:dyDescent="0.25">
      <c r="A236" s="550" t="s">
        <v>27</v>
      </c>
      <c r="B236" s="629">
        <f t="shared" ref="B236:B263" si="25">SUM(D236+N236)</f>
        <v>897</v>
      </c>
      <c r="C236" s="629"/>
      <c r="D236" s="631">
        <f t="shared" ref="D236:D263" si="26">SUM(E236+G236+K236+L236+M236)</f>
        <v>892</v>
      </c>
      <c r="E236" s="632">
        <v>64</v>
      </c>
      <c r="F236" s="629"/>
      <c r="G236" s="629">
        <f t="shared" ref="G236:G263" si="27">SUM(H236:J236)</f>
        <v>816</v>
      </c>
      <c r="H236" s="632">
        <v>146</v>
      </c>
      <c r="I236" s="632">
        <v>105</v>
      </c>
      <c r="J236" s="629">
        <v>565</v>
      </c>
      <c r="K236" s="632">
        <v>2</v>
      </c>
      <c r="L236" s="632">
        <v>1</v>
      </c>
      <c r="M236" s="632">
        <v>9</v>
      </c>
      <c r="N236" s="632">
        <v>5</v>
      </c>
      <c r="AE236" s="283"/>
      <c r="AF236" s="283"/>
      <c r="AG236" s="283"/>
      <c r="AH236" s="283"/>
      <c r="AI236" s="283"/>
      <c r="AJ236" s="283"/>
      <c r="AK236" s="283"/>
      <c r="AL236" s="283"/>
      <c r="AM236" s="283"/>
      <c r="AN236" s="283"/>
      <c r="AO236" s="283"/>
      <c r="AP236" s="283"/>
      <c r="AQ236" s="283"/>
    </row>
    <row r="237" spans="1:43" s="263" customFormat="1" ht="9" customHeight="1" x14ac:dyDescent="0.25">
      <c r="A237" s="550" t="s">
        <v>28</v>
      </c>
      <c r="B237" s="629">
        <f t="shared" si="25"/>
        <v>241</v>
      </c>
      <c r="C237" s="629"/>
      <c r="D237" s="631">
        <f t="shared" si="26"/>
        <v>241</v>
      </c>
      <c r="E237" s="632">
        <v>28</v>
      </c>
      <c r="F237" s="629"/>
      <c r="G237" s="629">
        <f t="shared" si="27"/>
        <v>209</v>
      </c>
      <c r="H237" s="632">
        <v>28</v>
      </c>
      <c r="I237" s="632">
        <v>20</v>
      </c>
      <c r="J237" s="629">
        <v>161</v>
      </c>
      <c r="K237" s="632">
        <v>0</v>
      </c>
      <c r="L237" s="632">
        <v>0</v>
      </c>
      <c r="M237" s="632">
        <v>4</v>
      </c>
      <c r="N237" s="632">
        <v>0</v>
      </c>
      <c r="AE237" s="283"/>
      <c r="AF237" s="283"/>
      <c r="AG237" s="283"/>
      <c r="AH237" s="283"/>
      <c r="AI237" s="283"/>
      <c r="AJ237" s="283"/>
      <c r="AK237" s="283"/>
      <c r="AL237" s="283"/>
      <c r="AM237" s="283"/>
      <c r="AN237" s="283"/>
      <c r="AO237" s="283"/>
      <c r="AP237" s="283"/>
      <c r="AQ237" s="283"/>
    </row>
    <row r="238" spans="1:43" s="263" customFormat="1" ht="9" customHeight="1" x14ac:dyDescent="0.25">
      <c r="A238" s="550" t="s">
        <v>29</v>
      </c>
      <c r="B238" s="629">
        <f t="shared" si="25"/>
        <v>565</v>
      </c>
      <c r="C238" s="629"/>
      <c r="D238" s="631">
        <f t="shared" si="26"/>
        <v>560</v>
      </c>
      <c r="E238" s="632">
        <v>98</v>
      </c>
      <c r="F238" s="629"/>
      <c r="G238" s="629">
        <f t="shared" si="27"/>
        <v>450</v>
      </c>
      <c r="H238" s="632">
        <v>77</v>
      </c>
      <c r="I238" s="632">
        <v>69</v>
      </c>
      <c r="J238" s="629">
        <v>304</v>
      </c>
      <c r="K238" s="632">
        <v>1</v>
      </c>
      <c r="L238" s="632">
        <v>6</v>
      </c>
      <c r="M238" s="632">
        <v>5</v>
      </c>
      <c r="N238" s="632">
        <v>5</v>
      </c>
      <c r="AE238" s="283"/>
      <c r="AF238" s="283"/>
      <c r="AG238" s="283"/>
      <c r="AH238" s="283"/>
      <c r="AI238" s="283"/>
      <c r="AJ238" s="283"/>
      <c r="AK238" s="283"/>
      <c r="AL238" s="283"/>
      <c r="AM238" s="283"/>
      <c r="AN238" s="283"/>
      <c r="AO238" s="283"/>
      <c r="AP238" s="283"/>
      <c r="AQ238" s="283"/>
    </row>
    <row r="239" spans="1:43" s="263" customFormat="1" ht="9" customHeight="1" x14ac:dyDescent="0.25">
      <c r="A239" s="603" t="s">
        <v>30</v>
      </c>
      <c r="B239" s="630">
        <f t="shared" si="25"/>
        <v>2413</v>
      </c>
      <c r="C239" s="630"/>
      <c r="D239" s="633">
        <f t="shared" si="26"/>
        <v>2393</v>
      </c>
      <c r="E239" s="634">
        <v>275</v>
      </c>
      <c r="F239" s="630"/>
      <c r="G239" s="630">
        <f t="shared" si="27"/>
        <v>2081</v>
      </c>
      <c r="H239" s="634">
        <v>387</v>
      </c>
      <c r="I239" s="634">
        <v>258</v>
      </c>
      <c r="J239" s="630">
        <v>1436</v>
      </c>
      <c r="K239" s="634">
        <v>6</v>
      </c>
      <c r="L239" s="634">
        <v>1</v>
      </c>
      <c r="M239" s="634">
        <v>30</v>
      </c>
      <c r="N239" s="634">
        <v>20</v>
      </c>
      <c r="AE239" s="283"/>
      <c r="AF239" s="283"/>
      <c r="AG239" s="283"/>
      <c r="AH239" s="283"/>
      <c r="AI239" s="283"/>
      <c r="AJ239" s="283"/>
      <c r="AK239" s="283"/>
      <c r="AL239" s="283"/>
      <c r="AM239" s="283"/>
      <c r="AN239" s="283"/>
      <c r="AO239" s="283"/>
      <c r="AP239" s="283"/>
      <c r="AQ239" s="283"/>
    </row>
    <row r="240" spans="1:43" s="263" customFormat="1" ht="9" customHeight="1" x14ac:dyDescent="0.25">
      <c r="A240" s="550" t="s">
        <v>63</v>
      </c>
      <c r="B240" s="629">
        <f t="shared" si="25"/>
        <v>4561</v>
      </c>
      <c r="C240" s="629"/>
      <c r="D240" s="631">
        <f t="shared" si="26"/>
        <v>4511</v>
      </c>
      <c r="E240" s="632">
        <v>485</v>
      </c>
      <c r="F240" s="629"/>
      <c r="G240" s="629">
        <f t="shared" si="27"/>
        <v>3710</v>
      </c>
      <c r="H240" s="632">
        <v>544</v>
      </c>
      <c r="I240" s="632">
        <v>409</v>
      </c>
      <c r="J240" s="629">
        <v>2757</v>
      </c>
      <c r="K240" s="632">
        <v>63</v>
      </c>
      <c r="L240" s="632">
        <v>153</v>
      </c>
      <c r="M240" s="632">
        <v>100</v>
      </c>
      <c r="N240" s="632">
        <v>50</v>
      </c>
      <c r="AE240" s="283"/>
      <c r="AF240" s="283"/>
      <c r="AG240" s="283"/>
      <c r="AH240" s="283"/>
      <c r="AI240" s="283"/>
      <c r="AJ240" s="283"/>
      <c r="AK240" s="283"/>
      <c r="AL240" s="283"/>
      <c r="AM240" s="283"/>
      <c r="AN240" s="283"/>
      <c r="AO240" s="283"/>
      <c r="AP240" s="283"/>
      <c r="AQ240" s="283"/>
    </row>
    <row r="241" spans="1:43" s="263" customFormat="1" ht="9" customHeight="1" x14ac:dyDescent="0.25">
      <c r="A241" s="550" t="s">
        <v>31</v>
      </c>
      <c r="B241" s="629">
        <f t="shared" si="25"/>
        <v>204</v>
      </c>
      <c r="C241" s="629"/>
      <c r="D241" s="631">
        <f t="shared" si="26"/>
        <v>202</v>
      </c>
      <c r="E241" s="632">
        <v>31</v>
      </c>
      <c r="F241" s="629"/>
      <c r="G241" s="629">
        <f t="shared" si="27"/>
        <v>156</v>
      </c>
      <c r="H241" s="632">
        <v>25</v>
      </c>
      <c r="I241" s="632">
        <v>17</v>
      </c>
      <c r="J241" s="629">
        <v>114</v>
      </c>
      <c r="K241" s="632">
        <v>4</v>
      </c>
      <c r="L241" s="632">
        <v>9</v>
      </c>
      <c r="M241" s="632">
        <v>2</v>
      </c>
      <c r="N241" s="632">
        <v>2</v>
      </c>
      <c r="AE241" s="283"/>
      <c r="AF241" s="283"/>
      <c r="AG241" s="283"/>
      <c r="AH241" s="283"/>
      <c r="AI241" s="283"/>
      <c r="AJ241" s="283"/>
      <c r="AK241" s="283"/>
      <c r="AL241" s="283"/>
      <c r="AM241" s="283"/>
      <c r="AN241" s="283"/>
      <c r="AO241" s="283"/>
      <c r="AP241" s="283"/>
      <c r="AQ241" s="283"/>
    </row>
    <row r="242" spans="1:43" s="263" customFormat="1" ht="9" customHeight="1" x14ac:dyDescent="0.25">
      <c r="A242" s="550" t="s">
        <v>32</v>
      </c>
      <c r="B242" s="629">
        <f t="shared" si="25"/>
        <v>2652</v>
      </c>
      <c r="C242" s="629"/>
      <c r="D242" s="631">
        <f t="shared" si="26"/>
        <v>2624</v>
      </c>
      <c r="E242" s="632">
        <v>393</v>
      </c>
      <c r="F242" s="629"/>
      <c r="G242" s="629">
        <f t="shared" si="27"/>
        <v>2167</v>
      </c>
      <c r="H242" s="632">
        <v>334</v>
      </c>
      <c r="I242" s="632">
        <v>310</v>
      </c>
      <c r="J242" s="629">
        <v>1523</v>
      </c>
      <c r="K242" s="632">
        <v>8</v>
      </c>
      <c r="L242" s="632">
        <v>3</v>
      </c>
      <c r="M242" s="632">
        <v>53</v>
      </c>
      <c r="N242" s="632">
        <v>28</v>
      </c>
      <c r="AE242" s="283"/>
      <c r="AF242" s="283"/>
      <c r="AG242" s="283"/>
      <c r="AH242" s="283"/>
      <c r="AI242" s="283"/>
      <c r="AJ242" s="283"/>
      <c r="AK242" s="283"/>
      <c r="AL242" s="283"/>
      <c r="AM242" s="283"/>
      <c r="AN242" s="283"/>
      <c r="AO242" s="283"/>
      <c r="AP242" s="283"/>
      <c r="AQ242" s="283"/>
    </row>
    <row r="243" spans="1:43" s="263" customFormat="1" ht="9" customHeight="1" x14ac:dyDescent="0.25">
      <c r="A243" s="603" t="s">
        <v>33</v>
      </c>
      <c r="B243" s="630">
        <f t="shared" si="25"/>
        <v>558</v>
      </c>
      <c r="C243" s="630"/>
      <c r="D243" s="633">
        <f t="shared" si="26"/>
        <v>537</v>
      </c>
      <c r="E243" s="634">
        <v>127</v>
      </c>
      <c r="F243" s="630"/>
      <c r="G243" s="630">
        <f t="shared" si="27"/>
        <v>398</v>
      </c>
      <c r="H243" s="634">
        <v>71</v>
      </c>
      <c r="I243" s="634">
        <v>59</v>
      </c>
      <c r="J243" s="630">
        <v>268</v>
      </c>
      <c r="K243" s="634">
        <v>1</v>
      </c>
      <c r="L243" s="634">
        <v>0</v>
      </c>
      <c r="M243" s="634">
        <v>11</v>
      </c>
      <c r="N243" s="634">
        <v>21</v>
      </c>
      <c r="AE243" s="283"/>
      <c r="AF243" s="283"/>
      <c r="AG243" s="283"/>
      <c r="AH243" s="283"/>
      <c r="AI243" s="283"/>
      <c r="AJ243" s="283"/>
      <c r="AK243" s="283"/>
      <c r="AL243" s="283"/>
      <c r="AM243" s="283"/>
      <c r="AN243" s="283"/>
      <c r="AO243" s="283"/>
      <c r="AP243" s="283"/>
      <c r="AQ243" s="283"/>
    </row>
    <row r="244" spans="1:43" s="263" customFormat="1" ht="9" customHeight="1" x14ac:dyDescent="0.25">
      <c r="A244" s="550" t="s">
        <v>34</v>
      </c>
      <c r="B244" s="629">
        <f t="shared" si="25"/>
        <v>753</v>
      </c>
      <c r="C244" s="629"/>
      <c r="D244" s="631">
        <f t="shared" si="26"/>
        <v>746</v>
      </c>
      <c r="E244" s="632">
        <v>60</v>
      </c>
      <c r="F244" s="629"/>
      <c r="G244" s="629">
        <f t="shared" si="27"/>
        <v>676</v>
      </c>
      <c r="H244" s="632">
        <v>150</v>
      </c>
      <c r="I244" s="632">
        <v>100</v>
      </c>
      <c r="J244" s="629">
        <v>426</v>
      </c>
      <c r="K244" s="632">
        <v>2</v>
      </c>
      <c r="L244" s="632">
        <v>2</v>
      </c>
      <c r="M244" s="632">
        <v>6</v>
      </c>
      <c r="N244" s="632">
        <v>7</v>
      </c>
      <c r="AE244" s="283"/>
      <c r="AF244" s="283"/>
      <c r="AG244" s="283"/>
      <c r="AH244" s="283"/>
      <c r="AI244" s="283"/>
      <c r="AJ244" s="283"/>
      <c r="AK244" s="283"/>
      <c r="AL244" s="283"/>
      <c r="AM244" s="283"/>
      <c r="AN244" s="283"/>
      <c r="AO244" s="283"/>
      <c r="AP244" s="283"/>
      <c r="AQ244" s="283"/>
    </row>
    <row r="245" spans="1:43" s="263" customFormat="1" ht="9" customHeight="1" x14ac:dyDescent="0.25">
      <c r="A245" s="550" t="s">
        <v>35</v>
      </c>
      <c r="B245" s="629">
        <f t="shared" si="25"/>
        <v>5499</v>
      </c>
      <c r="C245" s="629"/>
      <c r="D245" s="631">
        <f t="shared" si="26"/>
        <v>5469</v>
      </c>
      <c r="E245" s="632">
        <v>486</v>
      </c>
      <c r="F245" s="629"/>
      <c r="G245" s="629">
        <f t="shared" si="27"/>
        <v>4896</v>
      </c>
      <c r="H245" s="632">
        <v>858</v>
      </c>
      <c r="I245" s="632">
        <v>542</v>
      </c>
      <c r="J245" s="629">
        <v>3496</v>
      </c>
      <c r="K245" s="632">
        <v>12</v>
      </c>
      <c r="L245" s="632">
        <v>33</v>
      </c>
      <c r="M245" s="632">
        <v>42</v>
      </c>
      <c r="N245" s="632">
        <v>30</v>
      </c>
      <c r="AE245" s="283"/>
      <c r="AF245" s="283"/>
      <c r="AG245" s="283"/>
      <c r="AH245" s="283"/>
      <c r="AI245" s="283"/>
      <c r="AJ245" s="283"/>
      <c r="AK245" s="283"/>
      <c r="AL245" s="283"/>
      <c r="AM245" s="283"/>
      <c r="AN245" s="283"/>
      <c r="AO245" s="283"/>
      <c r="AP245" s="283"/>
      <c r="AQ245" s="283"/>
    </row>
    <row r="246" spans="1:43" s="263" customFormat="1" ht="9" customHeight="1" x14ac:dyDescent="0.25">
      <c r="A246" s="550" t="s">
        <v>36</v>
      </c>
      <c r="B246" s="629">
        <f t="shared" si="25"/>
        <v>5872</v>
      </c>
      <c r="C246" s="629"/>
      <c r="D246" s="631">
        <f t="shared" si="26"/>
        <v>5848</v>
      </c>
      <c r="E246" s="632">
        <v>658</v>
      </c>
      <c r="F246" s="629"/>
      <c r="G246" s="629">
        <f t="shared" si="27"/>
        <v>5058</v>
      </c>
      <c r="H246" s="632">
        <v>822</v>
      </c>
      <c r="I246" s="632">
        <v>660</v>
      </c>
      <c r="J246" s="629">
        <v>3576</v>
      </c>
      <c r="K246" s="632">
        <v>16</v>
      </c>
      <c r="L246" s="632">
        <v>12</v>
      </c>
      <c r="M246" s="632">
        <v>104</v>
      </c>
      <c r="N246" s="632">
        <v>24</v>
      </c>
      <c r="AE246" s="283"/>
      <c r="AF246" s="283"/>
      <c r="AG246" s="283"/>
      <c r="AH246" s="283"/>
      <c r="AI246" s="283"/>
      <c r="AJ246" s="283"/>
      <c r="AK246" s="283"/>
      <c r="AL246" s="283"/>
      <c r="AM246" s="283"/>
      <c r="AN246" s="283"/>
      <c r="AO246" s="283"/>
      <c r="AP246" s="283"/>
      <c r="AQ246" s="283"/>
    </row>
    <row r="247" spans="1:43" s="263" customFormat="1" ht="9" customHeight="1" x14ac:dyDescent="0.25">
      <c r="A247" s="603" t="s">
        <v>37</v>
      </c>
      <c r="B247" s="630">
        <f t="shared" si="25"/>
        <v>1891</v>
      </c>
      <c r="C247" s="630"/>
      <c r="D247" s="633">
        <f t="shared" si="26"/>
        <v>1873</v>
      </c>
      <c r="E247" s="634">
        <v>507</v>
      </c>
      <c r="F247" s="630"/>
      <c r="G247" s="630">
        <f t="shared" si="27"/>
        <v>1313</v>
      </c>
      <c r="H247" s="634">
        <v>256</v>
      </c>
      <c r="I247" s="634">
        <v>196</v>
      </c>
      <c r="J247" s="630">
        <v>861</v>
      </c>
      <c r="K247" s="634">
        <v>10</v>
      </c>
      <c r="L247" s="634">
        <v>28</v>
      </c>
      <c r="M247" s="634">
        <v>15</v>
      </c>
      <c r="N247" s="634">
        <v>18</v>
      </c>
      <c r="AE247" s="283"/>
      <c r="AF247" s="283"/>
      <c r="AG247" s="283"/>
      <c r="AH247" s="283"/>
      <c r="AI247" s="283"/>
      <c r="AJ247" s="283"/>
      <c r="AK247" s="283"/>
      <c r="AL247" s="283"/>
      <c r="AM247" s="283"/>
      <c r="AN247" s="283"/>
      <c r="AO247" s="283"/>
      <c r="AP247" s="283"/>
      <c r="AQ247" s="283"/>
    </row>
    <row r="248" spans="1:43" s="263" customFormat="1" ht="9" customHeight="1" x14ac:dyDescent="0.25">
      <c r="A248" s="550" t="s">
        <v>38</v>
      </c>
      <c r="B248" s="629">
        <f t="shared" si="25"/>
        <v>501</v>
      </c>
      <c r="C248" s="629"/>
      <c r="D248" s="631">
        <f t="shared" si="26"/>
        <v>490</v>
      </c>
      <c r="E248" s="632">
        <v>75</v>
      </c>
      <c r="F248" s="629"/>
      <c r="G248" s="629">
        <f t="shared" si="27"/>
        <v>404</v>
      </c>
      <c r="H248" s="632">
        <v>70</v>
      </c>
      <c r="I248" s="632">
        <v>58</v>
      </c>
      <c r="J248" s="629">
        <v>276</v>
      </c>
      <c r="K248" s="632">
        <v>1</v>
      </c>
      <c r="L248" s="632">
        <v>8</v>
      </c>
      <c r="M248" s="632">
        <v>2</v>
      </c>
      <c r="N248" s="632">
        <v>11</v>
      </c>
      <c r="AE248" s="283"/>
      <c r="AF248" s="283"/>
      <c r="AG248" s="283"/>
      <c r="AH248" s="283"/>
      <c r="AI248" s="283"/>
      <c r="AJ248" s="283"/>
      <c r="AK248" s="283"/>
      <c r="AL248" s="283"/>
      <c r="AM248" s="283"/>
      <c r="AN248" s="283"/>
      <c r="AO248" s="283"/>
      <c r="AP248" s="283"/>
      <c r="AQ248" s="283"/>
    </row>
    <row r="249" spans="1:43" s="263" customFormat="1" ht="9" customHeight="1" x14ac:dyDescent="0.25">
      <c r="A249" s="550" t="s">
        <v>39</v>
      </c>
      <c r="B249" s="629">
        <f t="shared" si="25"/>
        <v>243</v>
      </c>
      <c r="C249" s="629"/>
      <c r="D249" s="631">
        <f t="shared" si="26"/>
        <v>237</v>
      </c>
      <c r="E249" s="632">
        <v>25</v>
      </c>
      <c r="F249" s="629"/>
      <c r="G249" s="629">
        <f t="shared" si="27"/>
        <v>210</v>
      </c>
      <c r="H249" s="632">
        <v>35</v>
      </c>
      <c r="I249" s="632">
        <v>21</v>
      </c>
      <c r="J249" s="629">
        <v>154</v>
      </c>
      <c r="K249" s="632">
        <v>1</v>
      </c>
      <c r="L249" s="632">
        <v>0</v>
      </c>
      <c r="M249" s="632">
        <v>1</v>
      </c>
      <c r="N249" s="632">
        <v>6</v>
      </c>
      <c r="AE249" s="283"/>
      <c r="AF249" s="283"/>
      <c r="AG249" s="283"/>
      <c r="AH249" s="283"/>
      <c r="AI249" s="283"/>
      <c r="AJ249" s="283"/>
      <c r="AK249" s="283"/>
      <c r="AL249" s="283"/>
      <c r="AM249" s="283"/>
      <c r="AN249" s="283"/>
      <c r="AO249" s="283"/>
      <c r="AP249" s="283"/>
      <c r="AQ249" s="283"/>
    </row>
    <row r="250" spans="1:43" s="263" customFormat="1" ht="9" customHeight="1" x14ac:dyDescent="0.25">
      <c r="A250" s="550" t="s">
        <v>40</v>
      </c>
      <c r="B250" s="629">
        <f t="shared" si="25"/>
        <v>9636</v>
      </c>
      <c r="C250" s="629"/>
      <c r="D250" s="631">
        <f t="shared" si="26"/>
        <v>9582</v>
      </c>
      <c r="E250" s="632">
        <v>111</v>
      </c>
      <c r="F250" s="629"/>
      <c r="G250" s="629">
        <f t="shared" si="27"/>
        <v>9179</v>
      </c>
      <c r="H250" s="632">
        <v>1701</v>
      </c>
      <c r="I250" s="632">
        <v>1163</v>
      </c>
      <c r="J250" s="629">
        <v>6315</v>
      </c>
      <c r="K250" s="632">
        <v>40</v>
      </c>
      <c r="L250" s="632">
        <v>196</v>
      </c>
      <c r="M250" s="632">
        <v>56</v>
      </c>
      <c r="N250" s="632">
        <v>54</v>
      </c>
      <c r="AE250" s="283"/>
      <c r="AF250" s="283"/>
      <c r="AG250" s="283"/>
      <c r="AH250" s="283"/>
      <c r="AI250" s="283"/>
      <c r="AJ250" s="283"/>
      <c r="AK250" s="283"/>
      <c r="AL250" s="283"/>
      <c r="AM250" s="283"/>
      <c r="AN250" s="283"/>
      <c r="AO250" s="283"/>
      <c r="AP250" s="283"/>
      <c r="AQ250" s="283"/>
    </row>
    <row r="251" spans="1:43" s="263" customFormat="1" ht="9" customHeight="1" x14ac:dyDescent="0.25">
      <c r="A251" s="603" t="s">
        <v>41</v>
      </c>
      <c r="B251" s="630">
        <f t="shared" si="25"/>
        <v>770</v>
      </c>
      <c r="C251" s="630"/>
      <c r="D251" s="633">
        <f t="shared" si="26"/>
        <v>763</v>
      </c>
      <c r="E251" s="634">
        <v>157</v>
      </c>
      <c r="F251" s="630"/>
      <c r="G251" s="630">
        <f t="shared" si="27"/>
        <v>589</v>
      </c>
      <c r="H251" s="634">
        <v>87</v>
      </c>
      <c r="I251" s="634">
        <v>72</v>
      </c>
      <c r="J251" s="630">
        <v>430</v>
      </c>
      <c r="K251" s="634">
        <v>0</v>
      </c>
      <c r="L251" s="634">
        <v>0</v>
      </c>
      <c r="M251" s="634">
        <v>17</v>
      </c>
      <c r="N251" s="634">
        <v>7</v>
      </c>
      <c r="AE251" s="283"/>
      <c r="AF251" s="283"/>
      <c r="AG251" s="283"/>
      <c r="AH251" s="283"/>
      <c r="AI251" s="283"/>
      <c r="AJ251" s="283"/>
      <c r="AK251" s="283"/>
      <c r="AL251" s="283"/>
      <c r="AM251" s="283"/>
      <c r="AN251" s="283"/>
      <c r="AO251" s="283"/>
      <c r="AP251" s="283"/>
      <c r="AQ251" s="283"/>
    </row>
    <row r="252" spans="1:43" s="263" customFormat="1" ht="9" customHeight="1" x14ac:dyDescent="0.25">
      <c r="A252" s="550" t="s">
        <v>42</v>
      </c>
      <c r="B252" s="629">
        <f t="shared" si="25"/>
        <v>1836</v>
      </c>
      <c r="C252" s="629"/>
      <c r="D252" s="631">
        <f t="shared" si="26"/>
        <v>1818</v>
      </c>
      <c r="E252" s="632">
        <v>250</v>
      </c>
      <c r="F252" s="629"/>
      <c r="G252" s="629">
        <f t="shared" si="27"/>
        <v>1498</v>
      </c>
      <c r="H252" s="632">
        <v>197</v>
      </c>
      <c r="I252" s="632">
        <v>222</v>
      </c>
      <c r="J252" s="629">
        <v>1079</v>
      </c>
      <c r="K252" s="632">
        <v>25</v>
      </c>
      <c r="L252" s="632">
        <v>13</v>
      </c>
      <c r="M252" s="632">
        <v>32</v>
      </c>
      <c r="N252" s="632">
        <v>18</v>
      </c>
      <c r="AE252" s="283"/>
      <c r="AF252" s="283"/>
      <c r="AG252" s="283"/>
      <c r="AH252" s="283"/>
      <c r="AI252" s="283"/>
      <c r="AJ252" s="283"/>
      <c r="AK252" s="283"/>
      <c r="AL252" s="283"/>
      <c r="AM252" s="283"/>
      <c r="AN252" s="283"/>
      <c r="AO252" s="283"/>
      <c r="AP252" s="283"/>
      <c r="AQ252" s="283"/>
    </row>
    <row r="253" spans="1:43" s="263" customFormat="1" ht="9" customHeight="1" x14ac:dyDescent="0.25">
      <c r="A253" s="550" t="s">
        <v>43</v>
      </c>
      <c r="B253" s="629">
        <f t="shared" si="25"/>
        <v>1110</v>
      </c>
      <c r="C253" s="629"/>
      <c r="D253" s="631">
        <f t="shared" si="26"/>
        <v>1099</v>
      </c>
      <c r="E253" s="632">
        <v>119</v>
      </c>
      <c r="F253" s="629"/>
      <c r="G253" s="629">
        <f t="shared" si="27"/>
        <v>968</v>
      </c>
      <c r="H253" s="632">
        <v>174</v>
      </c>
      <c r="I253" s="632">
        <v>126</v>
      </c>
      <c r="J253" s="629">
        <v>668</v>
      </c>
      <c r="K253" s="632">
        <v>0</v>
      </c>
      <c r="L253" s="632">
        <v>0</v>
      </c>
      <c r="M253" s="632">
        <v>12</v>
      </c>
      <c r="N253" s="632">
        <v>11</v>
      </c>
      <c r="AE253" s="283"/>
      <c r="AF253" s="283"/>
      <c r="AG253" s="283"/>
      <c r="AH253" s="283"/>
      <c r="AI253" s="283"/>
      <c r="AJ253" s="283"/>
      <c r="AK253" s="283"/>
      <c r="AL253" s="283"/>
      <c r="AM253" s="283"/>
      <c r="AN253" s="283"/>
      <c r="AO253" s="283"/>
      <c r="AP253" s="283"/>
      <c r="AQ253" s="283"/>
    </row>
    <row r="254" spans="1:43" s="263" customFormat="1" ht="9" customHeight="1" x14ac:dyDescent="0.25">
      <c r="A254" s="550" t="s">
        <v>44</v>
      </c>
      <c r="B254" s="629">
        <f t="shared" si="25"/>
        <v>452</v>
      </c>
      <c r="C254" s="629"/>
      <c r="D254" s="631">
        <f t="shared" si="26"/>
        <v>448</v>
      </c>
      <c r="E254" s="632">
        <v>60</v>
      </c>
      <c r="F254" s="629"/>
      <c r="G254" s="629">
        <f t="shared" si="27"/>
        <v>367</v>
      </c>
      <c r="H254" s="632">
        <v>53</v>
      </c>
      <c r="I254" s="632">
        <v>40</v>
      </c>
      <c r="J254" s="629">
        <v>274</v>
      </c>
      <c r="K254" s="632">
        <v>0</v>
      </c>
      <c r="L254" s="632">
        <v>0</v>
      </c>
      <c r="M254" s="632">
        <v>21</v>
      </c>
      <c r="N254" s="550">
        <v>4</v>
      </c>
      <c r="AE254" s="283"/>
      <c r="AF254" s="283"/>
      <c r="AG254" s="283"/>
      <c r="AH254" s="283"/>
      <c r="AI254" s="283"/>
      <c r="AJ254" s="283"/>
      <c r="AK254" s="283"/>
      <c r="AL254" s="283"/>
      <c r="AM254" s="283"/>
      <c r="AN254" s="283"/>
      <c r="AO254" s="283"/>
      <c r="AP254" s="283"/>
      <c r="AQ254" s="283"/>
    </row>
    <row r="255" spans="1:43" s="263" customFormat="1" ht="9" customHeight="1" x14ac:dyDescent="0.25">
      <c r="A255" s="603" t="s">
        <v>45</v>
      </c>
      <c r="B255" s="630">
        <f t="shared" si="25"/>
        <v>1160</v>
      </c>
      <c r="C255" s="630"/>
      <c r="D255" s="633">
        <f t="shared" si="26"/>
        <v>1158</v>
      </c>
      <c r="E255" s="634">
        <v>86</v>
      </c>
      <c r="F255" s="630"/>
      <c r="G255" s="630">
        <f t="shared" si="27"/>
        <v>1062</v>
      </c>
      <c r="H255" s="634">
        <v>138</v>
      </c>
      <c r="I255" s="634">
        <v>94</v>
      </c>
      <c r="J255" s="630">
        <v>830</v>
      </c>
      <c r="K255" s="634">
        <v>1</v>
      </c>
      <c r="L255" s="634">
        <v>2</v>
      </c>
      <c r="M255" s="634">
        <v>7</v>
      </c>
      <c r="N255" s="634">
        <v>2</v>
      </c>
      <c r="AE255" s="283"/>
      <c r="AF255" s="283"/>
      <c r="AG255" s="283"/>
      <c r="AH255" s="283"/>
      <c r="AI255" s="283"/>
      <c r="AJ255" s="283"/>
      <c r="AK255" s="283"/>
      <c r="AL255" s="283"/>
      <c r="AM255" s="283"/>
      <c r="AN255" s="283"/>
      <c r="AO255" s="283"/>
      <c r="AP255" s="283"/>
      <c r="AQ255" s="283"/>
    </row>
    <row r="256" spans="1:43" s="263" customFormat="1" ht="9" customHeight="1" x14ac:dyDescent="0.25">
      <c r="A256" s="550" t="s">
        <v>46</v>
      </c>
      <c r="B256" s="629">
        <f t="shared" si="25"/>
        <v>1242</v>
      </c>
      <c r="C256" s="629"/>
      <c r="D256" s="631">
        <f t="shared" si="26"/>
        <v>1241</v>
      </c>
      <c r="E256" s="632">
        <v>112</v>
      </c>
      <c r="F256" s="629"/>
      <c r="G256" s="629">
        <f t="shared" si="27"/>
        <v>1120</v>
      </c>
      <c r="H256" s="632">
        <v>201</v>
      </c>
      <c r="I256" s="632">
        <v>162</v>
      </c>
      <c r="J256" s="629">
        <v>757</v>
      </c>
      <c r="K256" s="632">
        <v>2</v>
      </c>
      <c r="L256" s="632">
        <v>0</v>
      </c>
      <c r="M256" s="632">
        <v>7</v>
      </c>
      <c r="N256" s="632">
        <v>1</v>
      </c>
      <c r="AE256" s="283"/>
      <c r="AF256" s="283"/>
      <c r="AG256" s="283"/>
      <c r="AH256" s="283"/>
      <c r="AI256" s="283"/>
      <c r="AJ256" s="283"/>
      <c r="AK256" s="283"/>
      <c r="AL256" s="283"/>
      <c r="AM256" s="283"/>
      <c r="AN256" s="283"/>
      <c r="AO256" s="283"/>
      <c r="AP256" s="283"/>
      <c r="AQ256" s="283"/>
    </row>
    <row r="257" spans="1:43" s="263" customFormat="1" ht="9" customHeight="1" x14ac:dyDescent="0.25">
      <c r="A257" s="550" t="s">
        <v>47</v>
      </c>
      <c r="B257" s="629">
        <f t="shared" si="25"/>
        <v>2098</v>
      </c>
      <c r="C257" s="629"/>
      <c r="D257" s="631">
        <f t="shared" si="26"/>
        <v>2084</v>
      </c>
      <c r="E257" s="632">
        <v>167</v>
      </c>
      <c r="F257" s="629"/>
      <c r="G257" s="629">
        <f t="shared" si="27"/>
        <v>1900</v>
      </c>
      <c r="H257" s="632">
        <v>374</v>
      </c>
      <c r="I257" s="632">
        <v>245</v>
      </c>
      <c r="J257" s="629">
        <v>1281</v>
      </c>
      <c r="K257" s="632">
        <v>0</v>
      </c>
      <c r="L257" s="632">
        <v>0</v>
      </c>
      <c r="M257" s="632">
        <v>17</v>
      </c>
      <c r="N257" s="632">
        <v>14</v>
      </c>
      <c r="AE257" s="283"/>
      <c r="AF257" s="283"/>
      <c r="AG257" s="283"/>
      <c r="AH257" s="283"/>
      <c r="AI257" s="283"/>
      <c r="AJ257" s="283"/>
      <c r="AK257" s="283"/>
      <c r="AL257" s="283"/>
      <c r="AM257" s="283"/>
      <c r="AN257" s="283"/>
      <c r="AO257" s="283"/>
      <c r="AP257" s="283"/>
      <c r="AQ257" s="283"/>
    </row>
    <row r="258" spans="1:43" s="263" customFormat="1" ht="9" customHeight="1" x14ac:dyDescent="0.25">
      <c r="A258" s="550" t="s">
        <v>48</v>
      </c>
      <c r="B258" s="629">
        <f t="shared" si="25"/>
        <v>540</v>
      </c>
      <c r="C258" s="629"/>
      <c r="D258" s="631">
        <f t="shared" si="26"/>
        <v>538</v>
      </c>
      <c r="E258" s="632">
        <v>80</v>
      </c>
      <c r="F258" s="629"/>
      <c r="G258" s="629">
        <f t="shared" si="27"/>
        <v>448</v>
      </c>
      <c r="H258" s="632">
        <v>70</v>
      </c>
      <c r="I258" s="632">
        <v>64</v>
      </c>
      <c r="J258" s="629">
        <v>314</v>
      </c>
      <c r="K258" s="632">
        <v>4</v>
      </c>
      <c r="L258" s="632">
        <v>0</v>
      </c>
      <c r="M258" s="632">
        <v>6</v>
      </c>
      <c r="N258" s="632">
        <v>2</v>
      </c>
      <c r="AE258" s="283"/>
      <c r="AF258" s="283"/>
      <c r="AG258" s="283"/>
      <c r="AH258" s="283"/>
      <c r="AI258" s="283"/>
      <c r="AJ258" s="283"/>
      <c r="AK258" s="283"/>
      <c r="AL258" s="283"/>
      <c r="AM258" s="283"/>
      <c r="AN258" s="283"/>
      <c r="AO258" s="283"/>
      <c r="AP258" s="283"/>
      <c r="AQ258" s="283"/>
    </row>
    <row r="259" spans="1:43" s="263" customFormat="1" ht="9" customHeight="1" x14ac:dyDescent="0.25">
      <c r="A259" s="603" t="s">
        <v>49</v>
      </c>
      <c r="B259" s="630">
        <f t="shared" si="25"/>
        <v>1273</v>
      </c>
      <c r="C259" s="630"/>
      <c r="D259" s="633">
        <f t="shared" si="26"/>
        <v>1265</v>
      </c>
      <c r="E259" s="634">
        <v>199</v>
      </c>
      <c r="F259" s="630"/>
      <c r="G259" s="630">
        <f t="shared" si="27"/>
        <v>1032</v>
      </c>
      <c r="H259" s="634">
        <v>188</v>
      </c>
      <c r="I259" s="634">
        <v>155</v>
      </c>
      <c r="J259" s="630">
        <v>689</v>
      </c>
      <c r="K259" s="634">
        <v>6</v>
      </c>
      <c r="L259" s="634">
        <v>0</v>
      </c>
      <c r="M259" s="634">
        <v>28</v>
      </c>
      <c r="N259" s="634">
        <v>8</v>
      </c>
      <c r="AE259" s="283"/>
      <c r="AF259" s="283"/>
      <c r="AG259" s="283"/>
      <c r="AH259" s="283"/>
      <c r="AI259" s="283"/>
      <c r="AJ259" s="283"/>
      <c r="AK259" s="283"/>
      <c r="AL259" s="283"/>
      <c r="AM259" s="283"/>
      <c r="AN259" s="283"/>
      <c r="AO259" s="283"/>
      <c r="AP259" s="283"/>
      <c r="AQ259" s="283"/>
    </row>
    <row r="260" spans="1:43" s="263" customFormat="1" ht="9" customHeight="1" x14ac:dyDescent="0.25">
      <c r="A260" s="550" t="s">
        <v>50</v>
      </c>
      <c r="B260" s="629">
        <f t="shared" si="25"/>
        <v>519</v>
      </c>
      <c r="C260" s="629"/>
      <c r="D260" s="631">
        <f t="shared" si="26"/>
        <v>518</v>
      </c>
      <c r="E260" s="632">
        <v>96</v>
      </c>
      <c r="F260" s="629"/>
      <c r="G260" s="629">
        <f t="shared" si="27"/>
        <v>408</v>
      </c>
      <c r="H260" s="632">
        <v>56</v>
      </c>
      <c r="I260" s="632">
        <v>51</v>
      </c>
      <c r="J260" s="629">
        <v>301</v>
      </c>
      <c r="K260" s="632">
        <v>2</v>
      </c>
      <c r="L260" s="632">
        <v>0</v>
      </c>
      <c r="M260" s="632">
        <v>12</v>
      </c>
      <c r="N260" s="632">
        <v>1</v>
      </c>
      <c r="AE260" s="283"/>
      <c r="AF260" s="283"/>
      <c r="AG260" s="283"/>
      <c r="AH260" s="283"/>
      <c r="AI260" s="283"/>
      <c r="AJ260" s="283"/>
      <c r="AK260" s="283"/>
      <c r="AL260" s="283"/>
      <c r="AM260" s="283"/>
      <c r="AN260" s="283"/>
      <c r="AO260" s="283"/>
      <c r="AP260" s="283"/>
      <c r="AQ260" s="283"/>
    </row>
    <row r="261" spans="1:43" s="263" customFormat="1" ht="9" customHeight="1" x14ac:dyDescent="0.25">
      <c r="A261" s="550" t="s">
        <v>51</v>
      </c>
      <c r="B261" s="629">
        <f t="shared" si="25"/>
        <v>1587</v>
      </c>
      <c r="C261" s="629"/>
      <c r="D261" s="631">
        <f t="shared" si="26"/>
        <v>1567</v>
      </c>
      <c r="E261" s="632">
        <v>273</v>
      </c>
      <c r="F261" s="629"/>
      <c r="G261" s="629">
        <f t="shared" si="27"/>
        <v>1262</v>
      </c>
      <c r="H261" s="632">
        <v>199</v>
      </c>
      <c r="I261" s="632">
        <v>172</v>
      </c>
      <c r="J261" s="629">
        <v>891</v>
      </c>
      <c r="K261" s="632">
        <v>6</v>
      </c>
      <c r="L261" s="632">
        <v>5</v>
      </c>
      <c r="M261" s="632">
        <v>21</v>
      </c>
      <c r="N261" s="632">
        <v>20</v>
      </c>
      <c r="AE261" s="283"/>
      <c r="AF261" s="283"/>
      <c r="AG261" s="283"/>
      <c r="AH261" s="283"/>
      <c r="AI261" s="283"/>
      <c r="AJ261" s="283"/>
      <c r="AK261" s="283"/>
      <c r="AL261" s="283"/>
      <c r="AM261" s="283"/>
      <c r="AN261" s="283"/>
      <c r="AO261" s="283"/>
      <c r="AP261" s="283"/>
      <c r="AQ261" s="283"/>
    </row>
    <row r="262" spans="1:43" s="263" customFormat="1" ht="9" customHeight="1" x14ac:dyDescent="0.25">
      <c r="A262" s="550" t="s">
        <v>52</v>
      </c>
      <c r="B262" s="629">
        <f t="shared" si="25"/>
        <v>850</v>
      </c>
      <c r="C262" s="629"/>
      <c r="D262" s="631">
        <f t="shared" si="26"/>
        <v>849</v>
      </c>
      <c r="E262" s="632">
        <v>63</v>
      </c>
      <c r="F262" s="629"/>
      <c r="G262" s="629">
        <f t="shared" si="27"/>
        <v>759</v>
      </c>
      <c r="H262" s="632">
        <v>100</v>
      </c>
      <c r="I262" s="632">
        <v>98</v>
      </c>
      <c r="J262" s="629">
        <v>561</v>
      </c>
      <c r="K262" s="632">
        <v>4</v>
      </c>
      <c r="L262" s="632">
        <v>9</v>
      </c>
      <c r="M262" s="632">
        <v>14</v>
      </c>
      <c r="N262" s="632">
        <v>1</v>
      </c>
      <c r="AE262" s="283"/>
      <c r="AF262" s="283"/>
      <c r="AG262" s="283"/>
      <c r="AH262" s="283"/>
      <c r="AI262" s="283"/>
      <c r="AJ262" s="283"/>
      <c r="AK262" s="283"/>
      <c r="AL262" s="283"/>
      <c r="AM262" s="283"/>
      <c r="AN262" s="283"/>
      <c r="AO262" s="283"/>
      <c r="AP262" s="283"/>
      <c r="AQ262" s="283"/>
    </row>
    <row r="263" spans="1:43" s="263" customFormat="1" ht="9" customHeight="1" x14ac:dyDescent="0.25">
      <c r="A263" s="603" t="s">
        <v>53</v>
      </c>
      <c r="B263" s="630">
        <f t="shared" si="25"/>
        <v>610</v>
      </c>
      <c r="C263" s="630"/>
      <c r="D263" s="633">
        <f t="shared" si="26"/>
        <v>609</v>
      </c>
      <c r="E263" s="634">
        <v>87</v>
      </c>
      <c r="F263" s="630"/>
      <c r="G263" s="630">
        <f t="shared" si="27"/>
        <v>511</v>
      </c>
      <c r="H263" s="634">
        <v>72</v>
      </c>
      <c r="I263" s="634">
        <v>54</v>
      </c>
      <c r="J263" s="630">
        <v>385</v>
      </c>
      <c r="K263" s="634">
        <v>0</v>
      </c>
      <c r="L263" s="634">
        <v>0</v>
      </c>
      <c r="M263" s="634">
        <v>11</v>
      </c>
      <c r="N263" s="634">
        <v>1</v>
      </c>
      <c r="AE263" s="283"/>
      <c r="AF263" s="283"/>
      <c r="AG263" s="283"/>
      <c r="AH263" s="283"/>
      <c r="AI263" s="283"/>
      <c r="AJ263" s="283"/>
      <c r="AK263" s="283"/>
      <c r="AL263" s="283"/>
      <c r="AM263" s="283"/>
      <c r="AN263" s="283"/>
      <c r="AO263" s="283"/>
      <c r="AP263" s="283"/>
      <c r="AQ263" s="283"/>
    </row>
    <row r="264" spans="1:43" ht="8.25" customHeight="1" x14ac:dyDescent="0.25">
      <c r="B264" s="259"/>
      <c r="C264" s="259"/>
      <c r="D264" s="259"/>
      <c r="E264" s="259"/>
      <c r="F264" s="259"/>
      <c r="G264" s="259"/>
      <c r="H264" s="259"/>
      <c r="I264" s="259"/>
      <c r="J264" s="259"/>
      <c r="K264" s="259"/>
      <c r="L264" s="259"/>
      <c r="AE264" s="283"/>
      <c r="AF264" s="283"/>
      <c r="AG264" s="283"/>
      <c r="AH264" s="283"/>
      <c r="AI264" s="283"/>
      <c r="AJ264" s="283"/>
      <c r="AK264" s="283"/>
      <c r="AL264" s="283"/>
      <c r="AM264" s="283"/>
      <c r="AN264" s="283"/>
      <c r="AO264" s="283"/>
      <c r="AP264" s="283"/>
      <c r="AQ264" s="283"/>
    </row>
    <row r="265" spans="1:43" ht="9" customHeight="1" x14ac:dyDescent="0.25">
      <c r="A265" s="601">
        <v>2008</v>
      </c>
      <c r="B265" s="262"/>
      <c r="C265" s="262"/>
      <c r="D265" s="262"/>
      <c r="E265" s="262"/>
      <c r="F265" s="262"/>
      <c r="G265" s="262"/>
      <c r="H265" s="262"/>
      <c r="I265" s="262"/>
      <c r="J265" s="262"/>
      <c r="K265" s="262"/>
      <c r="L265" s="262"/>
      <c r="M265" s="262"/>
      <c r="N265" s="262"/>
      <c r="AE265" s="283"/>
      <c r="AF265" s="283"/>
      <c r="AG265" s="283"/>
      <c r="AH265" s="283"/>
      <c r="AI265" s="283"/>
      <c r="AJ265" s="283"/>
      <c r="AK265" s="283"/>
      <c r="AL265" s="283"/>
      <c r="AM265" s="283"/>
      <c r="AN265" s="283"/>
      <c r="AO265" s="283"/>
      <c r="AP265" s="283"/>
      <c r="AQ265" s="283"/>
    </row>
    <row r="266" spans="1:43" s="263" customFormat="1" ht="9" customHeight="1" x14ac:dyDescent="0.25">
      <c r="A266" s="265" t="s">
        <v>21</v>
      </c>
      <c r="B266" s="262">
        <f>SUM(B268:B299)</f>
        <v>52974</v>
      </c>
      <c r="C266" s="262"/>
      <c r="D266" s="262">
        <f>SUM(D268:D299)</f>
        <v>52588</v>
      </c>
      <c r="E266" s="262">
        <f>SUM(E268:E299)</f>
        <v>5693</v>
      </c>
      <c r="F266" s="262"/>
      <c r="G266" s="262">
        <f t="shared" ref="G266:M266" si="28">SUM(G268:G299)</f>
        <v>45453</v>
      </c>
      <c r="H266" s="262">
        <f t="shared" si="28"/>
        <v>7953</v>
      </c>
      <c r="I266" s="262">
        <f t="shared" si="28"/>
        <v>5876</v>
      </c>
      <c r="J266" s="262">
        <f t="shared" si="28"/>
        <v>31624</v>
      </c>
      <c r="K266" s="262">
        <f t="shared" si="28"/>
        <v>232</v>
      </c>
      <c r="L266" s="262">
        <f t="shared" si="28"/>
        <v>499</v>
      </c>
      <c r="M266" s="262">
        <f t="shared" si="28"/>
        <v>711</v>
      </c>
      <c r="N266" s="262">
        <f>SUM(N268:N299)</f>
        <v>386</v>
      </c>
      <c r="AE266" s="283"/>
      <c r="AF266" s="283"/>
      <c r="AG266" s="283"/>
      <c r="AH266" s="283"/>
      <c r="AI266" s="283"/>
      <c r="AJ266" s="283"/>
      <c r="AK266" s="283"/>
      <c r="AL266" s="283"/>
      <c r="AM266" s="283"/>
      <c r="AN266" s="283"/>
      <c r="AO266" s="283"/>
      <c r="AP266" s="283"/>
      <c r="AQ266" s="283"/>
    </row>
    <row r="267" spans="1:43" s="263" customFormat="1" ht="2.1" customHeight="1" x14ac:dyDescent="0.25">
      <c r="A267" s="265"/>
      <c r="B267" s="262"/>
      <c r="C267" s="262"/>
      <c r="D267" s="262"/>
      <c r="E267" s="262"/>
      <c r="F267" s="262"/>
      <c r="G267" s="262"/>
      <c r="H267" s="262"/>
      <c r="I267" s="262"/>
      <c r="J267" s="262"/>
      <c r="K267" s="262"/>
      <c r="L267" s="262"/>
      <c r="M267" s="262"/>
      <c r="N267" s="262"/>
      <c r="AE267" s="283"/>
      <c r="AF267" s="283"/>
      <c r="AG267" s="283"/>
      <c r="AH267" s="283"/>
      <c r="AI267" s="283"/>
      <c r="AJ267" s="283"/>
      <c r="AK267" s="283"/>
      <c r="AL267" s="283"/>
      <c r="AM267" s="283"/>
      <c r="AN267" s="283"/>
      <c r="AO267" s="283"/>
      <c r="AP267" s="283"/>
      <c r="AQ267" s="283"/>
    </row>
    <row r="268" spans="1:43" s="263" customFormat="1" ht="9" customHeight="1" x14ac:dyDescent="0.25">
      <c r="A268" s="550" t="s">
        <v>23</v>
      </c>
      <c r="B268" s="629">
        <f>SUM(D268+N268)</f>
        <v>230</v>
      </c>
      <c r="C268" s="629"/>
      <c r="D268" s="631">
        <f>SUM(E268+G268+K268+L268+M268)</f>
        <v>225</v>
      </c>
      <c r="E268" s="632">
        <v>24</v>
      </c>
      <c r="F268" s="629"/>
      <c r="G268" s="629">
        <f>SUM(H268:J268)</f>
        <v>199</v>
      </c>
      <c r="H268" s="632">
        <v>28</v>
      </c>
      <c r="I268" s="632">
        <v>19</v>
      </c>
      <c r="J268" s="629">
        <v>152</v>
      </c>
      <c r="K268" s="632">
        <v>1</v>
      </c>
      <c r="L268" s="632">
        <v>1</v>
      </c>
      <c r="M268" s="632">
        <v>0</v>
      </c>
      <c r="N268" s="632">
        <v>5</v>
      </c>
      <c r="AE268" s="283"/>
      <c r="AF268" s="283"/>
      <c r="AG268" s="283"/>
      <c r="AH268" s="283"/>
      <c r="AI268" s="283"/>
      <c r="AJ268" s="283"/>
      <c r="AK268" s="283"/>
      <c r="AL268" s="283"/>
      <c r="AM268" s="283"/>
      <c r="AN268" s="283"/>
      <c r="AO268" s="283"/>
      <c r="AP268" s="283"/>
      <c r="AQ268" s="283"/>
    </row>
    <row r="269" spans="1:43" s="263" customFormat="1" ht="9" customHeight="1" x14ac:dyDescent="0.25">
      <c r="A269" s="550" t="s">
        <v>24</v>
      </c>
      <c r="B269" s="629">
        <f>SUM(D269+N269)</f>
        <v>1524</v>
      </c>
      <c r="C269" s="629"/>
      <c r="D269" s="631">
        <f>SUM(E269+G269+K269+L269+M269)</f>
        <v>1522</v>
      </c>
      <c r="E269" s="629">
        <v>224</v>
      </c>
      <c r="F269" s="629"/>
      <c r="G269" s="629">
        <f>SUM(H269:J269)</f>
        <v>1281</v>
      </c>
      <c r="H269" s="629">
        <v>195</v>
      </c>
      <c r="I269" s="629">
        <v>175</v>
      </c>
      <c r="J269" s="629">
        <v>911</v>
      </c>
      <c r="K269" s="629">
        <v>1</v>
      </c>
      <c r="L269" s="629">
        <v>0</v>
      </c>
      <c r="M269" s="629">
        <v>16</v>
      </c>
      <c r="N269" s="629">
        <v>2</v>
      </c>
      <c r="AE269" s="283"/>
      <c r="AF269" s="283"/>
      <c r="AG269" s="283"/>
      <c r="AH269" s="283"/>
      <c r="AI269" s="283"/>
      <c r="AJ269" s="283"/>
      <c r="AK269" s="283"/>
      <c r="AL269" s="283"/>
      <c r="AM269" s="283"/>
      <c r="AN269" s="283"/>
      <c r="AO269" s="283"/>
      <c r="AP269" s="283"/>
      <c r="AQ269" s="283"/>
    </row>
    <row r="270" spans="1:43" s="263" customFormat="1" ht="9" customHeight="1" x14ac:dyDescent="0.25">
      <c r="A270" s="550" t="s">
        <v>25</v>
      </c>
      <c r="B270" s="629">
        <f>SUM(D270+N270)</f>
        <v>186</v>
      </c>
      <c r="C270" s="629"/>
      <c r="D270" s="631">
        <f>SUM(E270+G270+K270+L270+M270)</f>
        <v>181</v>
      </c>
      <c r="E270" s="629">
        <v>37</v>
      </c>
      <c r="F270" s="629"/>
      <c r="G270" s="629">
        <f>SUM(H270:J270)</f>
        <v>134</v>
      </c>
      <c r="H270" s="629">
        <v>19</v>
      </c>
      <c r="I270" s="629">
        <v>17</v>
      </c>
      <c r="J270" s="629">
        <v>98</v>
      </c>
      <c r="K270" s="629">
        <v>0</v>
      </c>
      <c r="L270" s="629">
        <v>5</v>
      </c>
      <c r="M270" s="629">
        <v>5</v>
      </c>
      <c r="N270" s="629">
        <v>5</v>
      </c>
      <c r="AE270" s="283"/>
      <c r="AF270" s="283"/>
      <c r="AG270" s="283"/>
      <c r="AH270" s="283"/>
      <c r="AI270" s="283"/>
      <c r="AJ270" s="283"/>
      <c r="AK270" s="283"/>
      <c r="AL270" s="283"/>
      <c r="AM270" s="283"/>
      <c r="AN270" s="283"/>
      <c r="AO270" s="283"/>
      <c r="AP270" s="283"/>
      <c r="AQ270" s="283"/>
    </row>
    <row r="271" spans="1:43" s="263" customFormat="1" ht="9" customHeight="1" x14ac:dyDescent="0.25">
      <c r="A271" s="603" t="s">
        <v>26</v>
      </c>
      <c r="B271" s="630">
        <f>SUM(D271+N271)</f>
        <v>99</v>
      </c>
      <c r="C271" s="630"/>
      <c r="D271" s="633">
        <f>SUM(E271+G271+K271+L271+M271)</f>
        <v>97</v>
      </c>
      <c r="E271" s="634">
        <v>8</v>
      </c>
      <c r="F271" s="630"/>
      <c r="G271" s="630">
        <f>SUM(H271:J271)</f>
        <v>86</v>
      </c>
      <c r="H271" s="634">
        <v>17</v>
      </c>
      <c r="I271" s="634">
        <v>18</v>
      </c>
      <c r="J271" s="630">
        <v>51</v>
      </c>
      <c r="K271" s="634">
        <v>0</v>
      </c>
      <c r="L271" s="634">
        <v>0</v>
      </c>
      <c r="M271" s="634">
        <v>3</v>
      </c>
      <c r="N271" s="634">
        <v>2</v>
      </c>
      <c r="AE271" s="283"/>
      <c r="AF271" s="283"/>
      <c r="AG271" s="283"/>
      <c r="AH271" s="283"/>
      <c r="AI271" s="283"/>
      <c r="AJ271" s="283"/>
      <c r="AK271" s="283"/>
      <c r="AL271" s="283"/>
      <c r="AM271" s="283"/>
      <c r="AN271" s="283"/>
      <c r="AO271" s="283"/>
      <c r="AP271" s="283"/>
      <c r="AQ271" s="283"/>
    </row>
    <row r="272" spans="1:43" s="263" customFormat="1" ht="9" customHeight="1" x14ac:dyDescent="0.25">
      <c r="A272" s="550" t="s">
        <v>27</v>
      </c>
      <c r="B272" s="629">
        <f t="shared" ref="B272:B299" si="29">SUM(D272+N272)</f>
        <v>1078</v>
      </c>
      <c r="C272" s="629"/>
      <c r="D272" s="631">
        <f t="shared" ref="D272:D299" si="30">SUM(E272+G272+K272+L272+M272)</f>
        <v>1022</v>
      </c>
      <c r="E272" s="632">
        <v>94</v>
      </c>
      <c r="F272" s="629"/>
      <c r="G272" s="629">
        <f t="shared" ref="G272:G299" si="31">SUM(H272:J272)</f>
        <v>906</v>
      </c>
      <c r="H272" s="632">
        <v>184</v>
      </c>
      <c r="I272" s="632">
        <v>135</v>
      </c>
      <c r="J272" s="629">
        <v>587</v>
      </c>
      <c r="K272" s="632">
        <v>2</v>
      </c>
      <c r="L272" s="632">
        <v>0</v>
      </c>
      <c r="M272" s="632">
        <v>20</v>
      </c>
      <c r="N272" s="632">
        <v>56</v>
      </c>
      <c r="AE272" s="283"/>
      <c r="AF272" s="283"/>
      <c r="AG272" s="283"/>
      <c r="AH272" s="283"/>
      <c r="AI272" s="283"/>
      <c r="AJ272" s="283"/>
      <c r="AK272" s="283"/>
      <c r="AL272" s="283"/>
      <c r="AM272" s="283"/>
      <c r="AN272" s="283"/>
      <c r="AO272" s="283"/>
      <c r="AP272" s="283"/>
      <c r="AQ272" s="283"/>
    </row>
    <row r="273" spans="1:43" s="263" customFormat="1" ht="9" customHeight="1" x14ac:dyDescent="0.25">
      <c r="A273" s="550" t="s">
        <v>28</v>
      </c>
      <c r="B273" s="629">
        <f t="shared" si="29"/>
        <v>217</v>
      </c>
      <c r="C273" s="629"/>
      <c r="D273" s="631">
        <f t="shared" si="30"/>
        <v>217</v>
      </c>
      <c r="E273" s="632">
        <v>28</v>
      </c>
      <c r="F273" s="629"/>
      <c r="G273" s="629">
        <f t="shared" si="31"/>
        <v>185</v>
      </c>
      <c r="H273" s="632">
        <v>26</v>
      </c>
      <c r="I273" s="632">
        <v>21</v>
      </c>
      <c r="J273" s="629">
        <v>138</v>
      </c>
      <c r="K273" s="632">
        <v>0</v>
      </c>
      <c r="L273" s="632">
        <v>0</v>
      </c>
      <c r="M273" s="632">
        <v>4</v>
      </c>
      <c r="N273" s="632">
        <v>0</v>
      </c>
      <c r="AE273" s="283"/>
      <c r="AF273" s="283"/>
      <c r="AG273" s="283"/>
      <c r="AH273" s="283"/>
      <c r="AI273" s="283"/>
      <c r="AJ273" s="283"/>
      <c r="AK273" s="283"/>
      <c r="AL273" s="283"/>
      <c r="AM273" s="283"/>
      <c r="AN273" s="283"/>
      <c r="AO273" s="283"/>
      <c r="AP273" s="283"/>
      <c r="AQ273" s="283"/>
    </row>
    <row r="274" spans="1:43" s="263" customFormat="1" ht="9" customHeight="1" x14ac:dyDescent="0.25">
      <c r="A274" s="550" t="s">
        <v>29</v>
      </c>
      <c r="B274" s="629">
        <f t="shared" si="29"/>
        <v>582</v>
      </c>
      <c r="C274" s="629"/>
      <c r="D274" s="631">
        <f t="shared" si="30"/>
        <v>570</v>
      </c>
      <c r="E274" s="632">
        <v>129</v>
      </c>
      <c r="F274" s="629"/>
      <c r="G274" s="629">
        <f t="shared" si="31"/>
        <v>434</v>
      </c>
      <c r="H274" s="632">
        <v>82</v>
      </c>
      <c r="I274" s="632">
        <v>67</v>
      </c>
      <c r="J274" s="629">
        <v>285</v>
      </c>
      <c r="K274" s="632">
        <v>1</v>
      </c>
      <c r="L274" s="632">
        <v>0</v>
      </c>
      <c r="M274" s="632">
        <v>6</v>
      </c>
      <c r="N274" s="632">
        <v>12</v>
      </c>
      <c r="AE274" s="283"/>
      <c r="AF274" s="283"/>
      <c r="AG274" s="283"/>
      <c r="AH274" s="283"/>
      <c r="AI274" s="283"/>
      <c r="AJ274" s="283"/>
      <c r="AK274" s="283"/>
      <c r="AL274" s="283"/>
      <c r="AM274" s="283"/>
      <c r="AN274" s="283"/>
      <c r="AO274" s="283"/>
      <c r="AP274" s="283"/>
      <c r="AQ274" s="283"/>
    </row>
    <row r="275" spans="1:43" s="263" customFormat="1" ht="9" customHeight="1" x14ac:dyDescent="0.25">
      <c r="A275" s="603" t="s">
        <v>30</v>
      </c>
      <c r="B275" s="630">
        <f t="shared" si="29"/>
        <v>2266</v>
      </c>
      <c r="C275" s="630"/>
      <c r="D275" s="633">
        <f t="shared" si="30"/>
        <v>2242</v>
      </c>
      <c r="E275" s="634">
        <v>251</v>
      </c>
      <c r="F275" s="630"/>
      <c r="G275" s="630">
        <f t="shared" si="31"/>
        <v>1969</v>
      </c>
      <c r="H275" s="634">
        <v>338</v>
      </c>
      <c r="I275" s="634">
        <v>223</v>
      </c>
      <c r="J275" s="630">
        <v>1408</v>
      </c>
      <c r="K275" s="634">
        <v>2</v>
      </c>
      <c r="L275" s="634">
        <v>1</v>
      </c>
      <c r="M275" s="634">
        <v>19</v>
      </c>
      <c r="N275" s="634">
        <v>24</v>
      </c>
      <c r="AE275" s="283"/>
      <c r="AF275" s="283"/>
      <c r="AG275" s="283"/>
      <c r="AH275" s="283"/>
      <c r="AI275" s="283"/>
      <c r="AJ275" s="283"/>
      <c r="AK275" s="283"/>
      <c r="AL275" s="283"/>
      <c r="AM275" s="283"/>
      <c r="AN275" s="283"/>
      <c r="AO275" s="283"/>
      <c r="AP275" s="283"/>
      <c r="AQ275" s="283"/>
    </row>
    <row r="276" spans="1:43" s="263" customFormat="1" ht="9" customHeight="1" x14ac:dyDescent="0.25">
      <c r="A276" s="550" t="s">
        <v>63</v>
      </c>
      <c r="B276" s="629">
        <f t="shared" si="29"/>
        <v>4679</v>
      </c>
      <c r="C276" s="629"/>
      <c r="D276" s="631">
        <f t="shared" si="30"/>
        <v>4621</v>
      </c>
      <c r="E276" s="632">
        <v>532</v>
      </c>
      <c r="F276" s="629"/>
      <c r="G276" s="629">
        <f t="shared" si="31"/>
        <v>3745</v>
      </c>
      <c r="H276" s="632">
        <v>565</v>
      </c>
      <c r="I276" s="632">
        <v>410</v>
      </c>
      <c r="J276" s="629">
        <v>2770</v>
      </c>
      <c r="K276" s="632">
        <v>80</v>
      </c>
      <c r="L276" s="632">
        <v>159</v>
      </c>
      <c r="M276" s="632">
        <v>105</v>
      </c>
      <c r="N276" s="632">
        <v>58</v>
      </c>
      <c r="AE276" s="283"/>
      <c r="AF276" s="283"/>
      <c r="AG276" s="283"/>
      <c r="AH276" s="283"/>
      <c r="AI276" s="283"/>
      <c r="AJ276" s="283"/>
      <c r="AK276" s="283"/>
      <c r="AL276" s="283"/>
      <c r="AM276" s="283"/>
      <c r="AN276" s="283"/>
      <c r="AO276" s="283"/>
      <c r="AP276" s="283"/>
      <c r="AQ276" s="283"/>
    </row>
    <row r="277" spans="1:43" s="263" customFormat="1" ht="9" customHeight="1" x14ac:dyDescent="0.25">
      <c r="A277" s="550" t="s">
        <v>31</v>
      </c>
      <c r="B277" s="629">
        <f t="shared" si="29"/>
        <v>194</v>
      </c>
      <c r="C277" s="629"/>
      <c r="D277" s="631">
        <f t="shared" si="30"/>
        <v>194</v>
      </c>
      <c r="E277" s="632">
        <v>26</v>
      </c>
      <c r="F277" s="629"/>
      <c r="G277" s="629">
        <f t="shared" si="31"/>
        <v>147</v>
      </c>
      <c r="H277" s="632">
        <v>17</v>
      </c>
      <c r="I277" s="632">
        <v>17</v>
      </c>
      <c r="J277" s="629">
        <v>113</v>
      </c>
      <c r="K277" s="632">
        <v>1</v>
      </c>
      <c r="L277" s="632">
        <v>15</v>
      </c>
      <c r="M277" s="632">
        <v>5</v>
      </c>
      <c r="N277" s="632">
        <v>0</v>
      </c>
      <c r="AE277" s="283"/>
      <c r="AF277" s="283"/>
      <c r="AG277" s="283"/>
      <c r="AH277" s="283"/>
      <c r="AI277" s="283"/>
      <c r="AJ277" s="283"/>
      <c r="AK277" s="283"/>
      <c r="AL277" s="283"/>
      <c r="AM277" s="283"/>
      <c r="AN277" s="283"/>
      <c r="AO277" s="283"/>
      <c r="AP277" s="283"/>
      <c r="AQ277" s="283"/>
    </row>
    <row r="278" spans="1:43" s="263" customFormat="1" ht="9" customHeight="1" x14ac:dyDescent="0.25">
      <c r="A278" s="550" t="s">
        <v>32</v>
      </c>
      <c r="B278" s="629">
        <f t="shared" si="29"/>
        <v>2500</v>
      </c>
      <c r="C278" s="629"/>
      <c r="D278" s="631">
        <f t="shared" si="30"/>
        <v>2475</v>
      </c>
      <c r="E278" s="632">
        <v>376</v>
      </c>
      <c r="F278" s="629"/>
      <c r="G278" s="629">
        <f t="shared" si="31"/>
        <v>2028</v>
      </c>
      <c r="H278" s="632">
        <v>315</v>
      </c>
      <c r="I278" s="632">
        <v>300</v>
      </c>
      <c r="J278" s="629">
        <v>1413</v>
      </c>
      <c r="K278" s="632">
        <v>13</v>
      </c>
      <c r="L278" s="632">
        <v>4</v>
      </c>
      <c r="M278" s="632">
        <v>54</v>
      </c>
      <c r="N278" s="632">
        <v>25</v>
      </c>
      <c r="AE278" s="283"/>
      <c r="AF278" s="283"/>
      <c r="AG278" s="283"/>
      <c r="AH278" s="283"/>
      <c r="AI278" s="283"/>
      <c r="AJ278" s="283"/>
      <c r="AK278" s="283"/>
      <c r="AL278" s="283"/>
      <c r="AM278" s="283"/>
      <c r="AN278" s="283"/>
      <c r="AO278" s="283"/>
      <c r="AP278" s="283"/>
      <c r="AQ278" s="283"/>
    </row>
    <row r="279" spans="1:43" s="263" customFormat="1" ht="9" customHeight="1" x14ac:dyDescent="0.25">
      <c r="A279" s="603" t="s">
        <v>33</v>
      </c>
      <c r="B279" s="630">
        <f t="shared" si="29"/>
        <v>713</v>
      </c>
      <c r="C279" s="630"/>
      <c r="D279" s="633">
        <f t="shared" si="30"/>
        <v>709</v>
      </c>
      <c r="E279" s="634">
        <v>140</v>
      </c>
      <c r="F279" s="630"/>
      <c r="G279" s="630">
        <f t="shared" si="31"/>
        <v>542</v>
      </c>
      <c r="H279" s="634">
        <v>106</v>
      </c>
      <c r="I279" s="634">
        <v>79</v>
      </c>
      <c r="J279" s="630">
        <v>357</v>
      </c>
      <c r="K279" s="634">
        <v>1</v>
      </c>
      <c r="L279" s="634">
        <v>0</v>
      </c>
      <c r="M279" s="634">
        <v>26</v>
      </c>
      <c r="N279" s="634">
        <v>4</v>
      </c>
      <c r="AE279" s="283"/>
      <c r="AF279" s="283"/>
      <c r="AG279" s="283"/>
      <c r="AH279" s="283"/>
      <c r="AI279" s="283"/>
      <c r="AJ279" s="283"/>
      <c r="AK279" s="283"/>
      <c r="AL279" s="283"/>
      <c r="AM279" s="283"/>
      <c r="AN279" s="283"/>
      <c r="AO279" s="283"/>
      <c r="AP279" s="283"/>
      <c r="AQ279" s="283"/>
    </row>
    <row r="280" spans="1:43" s="263" customFormat="1" ht="9" customHeight="1" x14ac:dyDescent="0.25">
      <c r="A280" s="550" t="s">
        <v>34</v>
      </c>
      <c r="B280" s="629">
        <f t="shared" si="29"/>
        <v>741</v>
      </c>
      <c r="C280" s="629"/>
      <c r="D280" s="631">
        <f t="shared" si="30"/>
        <v>734</v>
      </c>
      <c r="E280" s="632">
        <v>70</v>
      </c>
      <c r="F280" s="629"/>
      <c r="G280" s="629">
        <f t="shared" si="31"/>
        <v>649</v>
      </c>
      <c r="H280" s="632">
        <v>104</v>
      </c>
      <c r="I280" s="632">
        <v>92</v>
      </c>
      <c r="J280" s="629">
        <v>453</v>
      </c>
      <c r="K280" s="632">
        <v>3</v>
      </c>
      <c r="L280" s="632">
        <v>2</v>
      </c>
      <c r="M280" s="632">
        <v>10</v>
      </c>
      <c r="N280" s="632">
        <v>7</v>
      </c>
      <c r="AE280" s="283"/>
      <c r="AF280" s="283"/>
      <c r="AG280" s="283"/>
      <c r="AH280" s="283"/>
      <c r="AI280" s="283"/>
      <c r="AJ280" s="283"/>
      <c r="AK280" s="283"/>
      <c r="AL280" s="283"/>
      <c r="AM280" s="283"/>
      <c r="AN280" s="283"/>
      <c r="AO280" s="283"/>
      <c r="AP280" s="283"/>
      <c r="AQ280" s="283"/>
    </row>
    <row r="281" spans="1:43" s="263" customFormat="1" ht="9" customHeight="1" x14ac:dyDescent="0.25">
      <c r="A281" s="550" t="s">
        <v>35</v>
      </c>
      <c r="B281" s="629">
        <f t="shared" si="29"/>
        <v>5098</v>
      </c>
      <c r="C281" s="629"/>
      <c r="D281" s="631">
        <f t="shared" si="30"/>
        <v>5078</v>
      </c>
      <c r="E281" s="632">
        <v>462</v>
      </c>
      <c r="F281" s="629"/>
      <c r="G281" s="629">
        <f t="shared" si="31"/>
        <v>4532</v>
      </c>
      <c r="H281" s="632">
        <v>796</v>
      </c>
      <c r="I281" s="632">
        <v>502</v>
      </c>
      <c r="J281" s="629">
        <v>3234</v>
      </c>
      <c r="K281" s="632">
        <v>12</v>
      </c>
      <c r="L281" s="632">
        <v>37</v>
      </c>
      <c r="M281" s="632">
        <v>35</v>
      </c>
      <c r="N281" s="632">
        <v>20</v>
      </c>
      <c r="AE281" s="283"/>
      <c r="AF281" s="283"/>
      <c r="AG281" s="283"/>
      <c r="AH281" s="283"/>
      <c r="AI281" s="283"/>
      <c r="AJ281" s="283"/>
      <c r="AK281" s="283"/>
      <c r="AL281" s="283"/>
      <c r="AM281" s="283"/>
      <c r="AN281" s="283"/>
      <c r="AO281" s="283"/>
      <c r="AP281" s="283"/>
      <c r="AQ281" s="283"/>
    </row>
    <row r="282" spans="1:43" s="263" customFormat="1" ht="9" customHeight="1" x14ac:dyDescent="0.25">
      <c r="A282" s="550" t="s">
        <v>36</v>
      </c>
      <c r="B282" s="629">
        <f t="shared" si="29"/>
        <v>5888</v>
      </c>
      <c r="C282" s="629"/>
      <c r="D282" s="631">
        <f t="shared" si="30"/>
        <v>5866</v>
      </c>
      <c r="E282" s="632">
        <v>613</v>
      </c>
      <c r="F282" s="629"/>
      <c r="G282" s="629">
        <f t="shared" si="31"/>
        <v>5129</v>
      </c>
      <c r="H282" s="632">
        <v>848</v>
      </c>
      <c r="I282" s="632">
        <v>659</v>
      </c>
      <c r="J282" s="629">
        <v>3622</v>
      </c>
      <c r="K282" s="632">
        <v>6</v>
      </c>
      <c r="L282" s="632">
        <v>14</v>
      </c>
      <c r="M282" s="632">
        <v>104</v>
      </c>
      <c r="N282" s="632">
        <v>22</v>
      </c>
      <c r="AE282" s="283"/>
      <c r="AF282" s="283"/>
      <c r="AG282" s="283"/>
      <c r="AH282" s="283"/>
      <c r="AI282" s="283"/>
      <c r="AJ282" s="283"/>
      <c r="AK282" s="283"/>
      <c r="AL282" s="283"/>
      <c r="AM282" s="283"/>
      <c r="AN282" s="283"/>
      <c r="AO282" s="283"/>
      <c r="AP282" s="283"/>
      <c r="AQ282" s="283"/>
    </row>
    <row r="283" spans="1:43" s="263" customFormat="1" ht="9" customHeight="1" x14ac:dyDescent="0.25">
      <c r="A283" s="603" t="s">
        <v>37</v>
      </c>
      <c r="B283" s="630">
        <f t="shared" si="29"/>
        <v>2100</v>
      </c>
      <c r="C283" s="630"/>
      <c r="D283" s="633">
        <f t="shared" si="30"/>
        <v>2090</v>
      </c>
      <c r="E283" s="634">
        <v>546</v>
      </c>
      <c r="F283" s="630"/>
      <c r="G283" s="630">
        <f t="shared" si="31"/>
        <v>1461</v>
      </c>
      <c r="H283" s="634">
        <v>273</v>
      </c>
      <c r="I283" s="634">
        <v>207</v>
      </c>
      <c r="J283" s="630">
        <v>981</v>
      </c>
      <c r="K283" s="634">
        <v>18</v>
      </c>
      <c r="L283" s="634">
        <v>46</v>
      </c>
      <c r="M283" s="634">
        <v>19</v>
      </c>
      <c r="N283" s="634">
        <v>10</v>
      </c>
      <c r="AE283" s="283"/>
      <c r="AF283" s="283"/>
      <c r="AG283" s="283"/>
      <c r="AH283" s="283"/>
      <c r="AI283" s="283"/>
      <c r="AJ283" s="283"/>
      <c r="AK283" s="283"/>
      <c r="AL283" s="283"/>
      <c r="AM283" s="283"/>
      <c r="AN283" s="283"/>
      <c r="AO283" s="283"/>
      <c r="AP283" s="283"/>
      <c r="AQ283" s="283"/>
    </row>
    <row r="284" spans="1:43" s="263" customFormat="1" ht="9" customHeight="1" x14ac:dyDescent="0.25">
      <c r="A284" s="550" t="s">
        <v>38</v>
      </c>
      <c r="B284" s="629">
        <f t="shared" si="29"/>
        <v>474</v>
      </c>
      <c r="C284" s="629"/>
      <c r="D284" s="631">
        <f t="shared" si="30"/>
        <v>463</v>
      </c>
      <c r="E284" s="632">
        <v>74</v>
      </c>
      <c r="F284" s="629"/>
      <c r="G284" s="629">
        <f t="shared" si="31"/>
        <v>386</v>
      </c>
      <c r="H284" s="632">
        <v>69</v>
      </c>
      <c r="I284" s="632">
        <v>56</v>
      </c>
      <c r="J284" s="629">
        <v>261</v>
      </c>
      <c r="K284" s="632">
        <v>0</v>
      </c>
      <c r="L284" s="632">
        <v>1</v>
      </c>
      <c r="M284" s="632">
        <v>2</v>
      </c>
      <c r="N284" s="632">
        <v>11</v>
      </c>
      <c r="AE284" s="283"/>
      <c r="AF284" s="283"/>
      <c r="AG284" s="283"/>
      <c r="AH284" s="283"/>
      <c r="AI284" s="283"/>
      <c r="AJ284" s="283"/>
      <c r="AK284" s="283"/>
      <c r="AL284" s="283"/>
      <c r="AM284" s="283"/>
      <c r="AN284" s="283"/>
      <c r="AO284" s="283"/>
      <c r="AP284" s="283"/>
      <c r="AQ284" s="283"/>
    </row>
    <row r="285" spans="1:43" s="263" customFormat="1" ht="9" customHeight="1" x14ac:dyDescent="0.25">
      <c r="A285" s="550" t="s">
        <v>39</v>
      </c>
      <c r="B285" s="629">
        <f t="shared" si="29"/>
        <v>227</v>
      </c>
      <c r="C285" s="629"/>
      <c r="D285" s="631">
        <f t="shared" si="30"/>
        <v>226</v>
      </c>
      <c r="E285" s="632">
        <v>19</v>
      </c>
      <c r="F285" s="629"/>
      <c r="G285" s="629">
        <f t="shared" si="31"/>
        <v>207</v>
      </c>
      <c r="H285" s="632">
        <v>35</v>
      </c>
      <c r="I285" s="632">
        <v>32</v>
      </c>
      <c r="J285" s="629">
        <v>140</v>
      </c>
      <c r="K285" s="632">
        <v>0</v>
      </c>
      <c r="L285" s="632">
        <v>0</v>
      </c>
      <c r="M285" s="632">
        <v>0</v>
      </c>
      <c r="N285" s="632">
        <v>1</v>
      </c>
      <c r="AE285" s="283"/>
      <c r="AF285" s="283"/>
      <c r="AG285" s="283"/>
      <c r="AH285" s="283"/>
      <c r="AI285" s="283"/>
      <c r="AJ285" s="283"/>
      <c r="AK285" s="283"/>
      <c r="AL285" s="283"/>
      <c r="AM285" s="283"/>
      <c r="AN285" s="283"/>
      <c r="AO285" s="283"/>
      <c r="AP285" s="283"/>
      <c r="AQ285" s="283"/>
    </row>
    <row r="286" spans="1:43" s="263" customFormat="1" ht="9" customHeight="1" x14ac:dyDescent="0.25">
      <c r="A286" s="550" t="s">
        <v>40</v>
      </c>
      <c r="B286" s="629">
        <f t="shared" si="29"/>
        <v>9460</v>
      </c>
      <c r="C286" s="629"/>
      <c r="D286" s="631">
        <f t="shared" si="30"/>
        <v>9424</v>
      </c>
      <c r="E286" s="632">
        <v>167</v>
      </c>
      <c r="F286" s="629"/>
      <c r="G286" s="629">
        <f t="shared" si="31"/>
        <v>8960</v>
      </c>
      <c r="H286" s="632">
        <v>1760</v>
      </c>
      <c r="I286" s="632">
        <v>1220</v>
      </c>
      <c r="J286" s="629">
        <v>5980</v>
      </c>
      <c r="K286" s="632">
        <v>44</v>
      </c>
      <c r="L286" s="632">
        <v>193</v>
      </c>
      <c r="M286" s="632">
        <v>60</v>
      </c>
      <c r="N286" s="632">
        <v>36</v>
      </c>
      <c r="AE286" s="283"/>
      <c r="AF286" s="283"/>
      <c r="AG286" s="283"/>
      <c r="AH286" s="283"/>
      <c r="AI286" s="283"/>
      <c r="AJ286" s="283"/>
      <c r="AK286" s="283"/>
      <c r="AL286" s="283"/>
      <c r="AM286" s="283"/>
      <c r="AN286" s="283"/>
      <c r="AO286" s="283"/>
      <c r="AP286" s="283"/>
      <c r="AQ286" s="283"/>
    </row>
    <row r="287" spans="1:43" s="263" customFormat="1" ht="9" customHeight="1" x14ac:dyDescent="0.25">
      <c r="A287" s="603" t="s">
        <v>41</v>
      </c>
      <c r="B287" s="630">
        <f t="shared" si="29"/>
        <v>968</v>
      </c>
      <c r="C287" s="630"/>
      <c r="D287" s="633">
        <f t="shared" si="30"/>
        <v>963</v>
      </c>
      <c r="E287" s="634">
        <v>197</v>
      </c>
      <c r="F287" s="630"/>
      <c r="G287" s="630">
        <f t="shared" si="31"/>
        <v>754</v>
      </c>
      <c r="H287" s="634">
        <v>116</v>
      </c>
      <c r="I287" s="634">
        <v>95</v>
      </c>
      <c r="J287" s="630">
        <v>543</v>
      </c>
      <c r="K287" s="634">
        <v>1</v>
      </c>
      <c r="L287" s="634">
        <v>0</v>
      </c>
      <c r="M287" s="634">
        <v>11</v>
      </c>
      <c r="N287" s="634">
        <v>5</v>
      </c>
      <c r="AE287" s="283"/>
      <c r="AF287" s="283"/>
      <c r="AG287" s="283"/>
      <c r="AH287" s="283"/>
      <c r="AI287" s="283"/>
      <c r="AJ287" s="283"/>
      <c r="AK287" s="283"/>
      <c r="AL287" s="283"/>
      <c r="AM287" s="283"/>
      <c r="AN287" s="283"/>
      <c r="AO287" s="283"/>
      <c r="AP287" s="283"/>
      <c r="AQ287" s="283"/>
    </row>
    <row r="288" spans="1:43" s="263" customFormat="1" ht="9" customHeight="1" x14ac:dyDescent="0.25">
      <c r="A288" s="550" t="s">
        <v>42</v>
      </c>
      <c r="B288" s="629">
        <f t="shared" si="29"/>
        <v>2470</v>
      </c>
      <c r="C288" s="629"/>
      <c r="D288" s="631">
        <f t="shared" si="30"/>
        <v>2449</v>
      </c>
      <c r="E288" s="632">
        <v>313</v>
      </c>
      <c r="F288" s="629"/>
      <c r="G288" s="629">
        <f t="shared" si="31"/>
        <v>2064</v>
      </c>
      <c r="H288" s="632">
        <v>339</v>
      </c>
      <c r="I288" s="632">
        <v>298</v>
      </c>
      <c r="J288" s="629">
        <v>1427</v>
      </c>
      <c r="K288" s="632">
        <v>24</v>
      </c>
      <c r="L288" s="632">
        <v>10</v>
      </c>
      <c r="M288" s="632">
        <v>38</v>
      </c>
      <c r="N288" s="632">
        <v>21</v>
      </c>
      <c r="AE288" s="283"/>
      <c r="AF288" s="283"/>
      <c r="AG288" s="283"/>
      <c r="AH288" s="283"/>
      <c r="AI288" s="283"/>
      <c r="AJ288" s="283"/>
      <c r="AK288" s="283"/>
      <c r="AL288" s="283"/>
      <c r="AM288" s="283"/>
      <c r="AN288" s="283"/>
      <c r="AO288" s="283"/>
      <c r="AP288" s="283"/>
      <c r="AQ288" s="283"/>
    </row>
    <row r="289" spans="1:43" s="263" customFormat="1" ht="9" customHeight="1" x14ac:dyDescent="0.25">
      <c r="A289" s="550" t="s">
        <v>43</v>
      </c>
      <c r="B289" s="629">
        <f t="shared" si="29"/>
        <v>1038</v>
      </c>
      <c r="C289" s="629"/>
      <c r="D289" s="631">
        <f t="shared" si="30"/>
        <v>1033</v>
      </c>
      <c r="E289" s="632">
        <v>153</v>
      </c>
      <c r="F289" s="629"/>
      <c r="G289" s="629">
        <f t="shared" si="31"/>
        <v>848</v>
      </c>
      <c r="H289" s="632">
        <v>143</v>
      </c>
      <c r="I289" s="632">
        <v>97</v>
      </c>
      <c r="J289" s="629">
        <v>608</v>
      </c>
      <c r="K289" s="632">
        <v>4</v>
      </c>
      <c r="L289" s="632">
        <v>0</v>
      </c>
      <c r="M289" s="632">
        <v>28</v>
      </c>
      <c r="N289" s="632">
        <v>5</v>
      </c>
      <c r="AE289" s="283"/>
      <c r="AF289" s="283"/>
      <c r="AG289" s="283"/>
      <c r="AH289" s="283"/>
      <c r="AI289" s="283"/>
      <c r="AJ289" s="283"/>
      <c r="AK289" s="283"/>
      <c r="AL289" s="283"/>
      <c r="AM289" s="283"/>
      <c r="AN289" s="283"/>
      <c r="AO289" s="283"/>
      <c r="AP289" s="283"/>
      <c r="AQ289" s="283"/>
    </row>
    <row r="290" spans="1:43" s="263" customFormat="1" ht="9" customHeight="1" x14ac:dyDescent="0.25">
      <c r="A290" s="550" t="s">
        <v>44</v>
      </c>
      <c r="B290" s="629">
        <f t="shared" si="29"/>
        <v>403</v>
      </c>
      <c r="C290" s="629"/>
      <c r="D290" s="631">
        <f t="shared" si="30"/>
        <v>401</v>
      </c>
      <c r="E290" s="632">
        <v>72</v>
      </c>
      <c r="F290" s="629"/>
      <c r="G290" s="629">
        <f t="shared" si="31"/>
        <v>312</v>
      </c>
      <c r="H290" s="632">
        <v>53</v>
      </c>
      <c r="I290" s="632">
        <v>43</v>
      </c>
      <c r="J290" s="629">
        <v>216</v>
      </c>
      <c r="K290" s="632">
        <v>0</v>
      </c>
      <c r="L290" s="632">
        <v>0</v>
      </c>
      <c r="M290" s="632">
        <v>17</v>
      </c>
      <c r="N290" s="550">
        <v>2</v>
      </c>
      <c r="AE290" s="283"/>
      <c r="AF290" s="283"/>
      <c r="AG290" s="283"/>
      <c r="AH290" s="283"/>
      <c r="AI290" s="283"/>
      <c r="AJ290" s="283"/>
      <c r="AK290" s="283"/>
      <c r="AL290" s="283"/>
      <c r="AM290" s="283"/>
      <c r="AN290" s="283"/>
      <c r="AO290" s="283"/>
      <c r="AP290" s="283"/>
      <c r="AQ290" s="283"/>
    </row>
    <row r="291" spans="1:43" s="263" customFormat="1" ht="9" customHeight="1" x14ac:dyDescent="0.25">
      <c r="A291" s="603" t="s">
        <v>45</v>
      </c>
      <c r="B291" s="630">
        <f t="shared" si="29"/>
        <v>1109</v>
      </c>
      <c r="C291" s="630"/>
      <c r="D291" s="633">
        <f t="shared" si="30"/>
        <v>1103</v>
      </c>
      <c r="E291" s="634">
        <v>86</v>
      </c>
      <c r="F291" s="630"/>
      <c r="G291" s="630">
        <f t="shared" si="31"/>
        <v>1008</v>
      </c>
      <c r="H291" s="634">
        <v>146</v>
      </c>
      <c r="I291" s="634">
        <v>115</v>
      </c>
      <c r="J291" s="630">
        <v>747</v>
      </c>
      <c r="K291" s="634">
        <v>1</v>
      </c>
      <c r="L291" s="634">
        <v>0</v>
      </c>
      <c r="M291" s="634">
        <v>8</v>
      </c>
      <c r="N291" s="634">
        <v>6</v>
      </c>
      <c r="AE291" s="283"/>
      <c r="AF291" s="283"/>
      <c r="AG291" s="283"/>
      <c r="AH291" s="283"/>
      <c r="AI291" s="283"/>
      <c r="AJ291" s="283"/>
      <c r="AK291" s="283"/>
      <c r="AL291" s="283"/>
      <c r="AM291" s="283"/>
      <c r="AN291" s="283"/>
      <c r="AO291" s="283"/>
      <c r="AP291" s="283"/>
      <c r="AQ291" s="283"/>
    </row>
    <row r="292" spans="1:43" s="263" customFormat="1" ht="9" customHeight="1" x14ac:dyDescent="0.25">
      <c r="A292" s="550" t="s">
        <v>46</v>
      </c>
      <c r="B292" s="629">
        <f t="shared" si="29"/>
        <v>1066</v>
      </c>
      <c r="C292" s="629"/>
      <c r="D292" s="631">
        <f t="shared" si="30"/>
        <v>1065</v>
      </c>
      <c r="E292" s="632">
        <v>124</v>
      </c>
      <c r="F292" s="629"/>
      <c r="G292" s="629">
        <f t="shared" si="31"/>
        <v>928</v>
      </c>
      <c r="H292" s="632">
        <v>154</v>
      </c>
      <c r="I292" s="632">
        <v>144</v>
      </c>
      <c r="J292" s="629">
        <v>630</v>
      </c>
      <c r="K292" s="632">
        <v>2</v>
      </c>
      <c r="L292" s="632">
        <v>0</v>
      </c>
      <c r="M292" s="632">
        <v>11</v>
      </c>
      <c r="N292" s="632">
        <v>1</v>
      </c>
      <c r="AE292" s="283"/>
      <c r="AF292" s="283"/>
      <c r="AG292" s="283"/>
      <c r="AH292" s="283"/>
      <c r="AI292" s="283"/>
      <c r="AJ292" s="283"/>
      <c r="AK292" s="283"/>
      <c r="AL292" s="283"/>
      <c r="AM292" s="283"/>
      <c r="AN292" s="283"/>
      <c r="AO292" s="283"/>
      <c r="AP292" s="283"/>
      <c r="AQ292" s="283"/>
    </row>
    <row r="293" spans="1:43" s="263" customFormat="1" ht="9" customHeight="1" x14ac:dyDescent="0.25">
      <c r="A293" s="550" t="s">
        <v>47</v>
      </c>
      <c r="B293" s="629">
        <f t="shared" si="29"/>
        <v>2364</v>
      </c>
      <c r="C293" s="629"/>
      <c r="D293" s="631">
        <f t="shared" si="30"/>
        <v>2352</v>
      </c>
      <c r="E293" s="632">
        <v>207</v>
      </c>
      <c r="F293" s="629"/>
      <c r="G293" s="629">
        <f t="shared" si="31"/>
        <v>2130</v>
      </c>
      <c r="H293" s="632">
        <v>421</v>
      </c>
      <c r="I293" s="632">
        <v>269</v>
      </c>
      <c r="J293" s="629">
        <v>1440</v>
      </c>
      <c r="K293" s="632">
        <v>0</v>
      </c>
      <c r="L293" s="632">
        <v>0</v>
      </c>
      <c r="M293" s="632">
        <v>15</v>
      </c>
      <c r="N293" s="632">
        <v>12</v>
      </c>
      <c r="AE293" s="283"/>
      <c r="AF293" s="283"/>
      <c r="AG293" s="283"/>
      <c r="AH293" s="283"/>
      <c r="AI293" s="283"/>
      <c r="AJ293" s="283"/>
      <c r="AK293" s="283"/>
      <c r="AL293" s="283"/>
      <c r="AM293" s="283"/>
      <c r="AN293" s="283"/>
      <c r="AO293" s="283"/>
      <c r="AP293" s="283"/>
      <c r="AQ293" s="283"/>
    </row>
    <row r="294" spans="1:43" s="263" customFormat="1" ht="9" customHeight="1" x14ac:dyDescent="0.25">
      <c r="A294" s="550" t="s">
        <v>48</v>
      </c>
      <c r="B294" s="629">
        <f t="shared" si="29"/>
        <v>558</v>
      </c>
      <c r="C294" s="629"/>
      <c r="D294" s="631">
        <f t="shared" si="30"/>
        <v>556</v>
      </c>
      <c r="E294" s="632">
        <v>91</v>
      </c>
      <c r="F294" s="629"/>
      <c r="G294" s="629">
        <f t="shared" si="31"/>
        <v>458</v>
      </c>
      <c r="H294" s="632">
        <v>72</v>
      </c>
      <c r="I294" s="632">
        <v>67</v>
      </c>
      <c r="J294" s="629">
        <v>319</v>
      </c>
      <c r="K294" s="632">
        <v>1</v>
      </c>
      <c r="L294" s="632">
        <v>0</v>
      </c>
      <c r="M294" s="632">
        <v>6</v>
      </c>
      <c r="N294" s="632">
        <v>2</v>
      </c>
      <c r="AE294" s="283"/>
      <c r="AF294" s="283"/>
      <c r="AG294" s="283"/>
      <c r="AH294" s="283"/>
      <c r="AI294" s="283"/>
      <c r="AJ294" s="283"/>
      <c r="AK294" s="283"/>
      <c r="AL294" s="283"/>
      <c r="AM294" s="283"/>
      <c r="AN294" s="283"/>
      <c r="AO294" s="283"/>
      <c r="AP294" s="283"/>
      <c r="AQ294" s="283"/>
    </row>
    <row r="295" spans="1:43" s="263" customFormat="1" ht="9" customHeight="1" x14ac:dyDescent="0.25">
      <c r="A295" s="603" t="s">
        <v>49</v>
      </c>
      <c r="B295" s="630">
        <f t="shared" si="29"/>
        <v>1258</v>
      </c>
      <c r="C295" s="630"/>
      <c r="D295" s="633">
        <f t="shared" si="30"/>
        <v>1246</v>
      </c>
      <c r="E295" s="634">
        <v>183</v>
      </c>
      <c r="F295" s="630"/>
      <c r="G295" s="630">
        <f t="shared" si="31"/>
        <v>1027</v>
      </c>
      <c r="H295" s="634">
        <v>183</v>
      </c>
      <c r="I295" s="634">
        <v>141</v>
      </c>
      <c r="J295" s="630">
        <v>703</v>
      </c>
      <c r="K295" s="634">
        <v>3</v>
      </c>
      <c r="L295" s="634">
        <v>1</v>
      </c>
      <c r="M295" s="634">
        <v>32</v>
      </c>
      <c r="N295" s="634">
        <v>12</v>
      </c>
      <c r="AE295" s="283"/>
      <c r="AF295" s="283"/>
      <c r="AG295" s="283"/>
      <c r="AH295" s="283"/>
      <c r="AI295" s="283"/>
      <c r="AJ295" s="283"/>
      <c r="AK295" s="283"/>
      <c r="AL295" s="283"/>
      <c r="AM295" s="283"/>
      <c r="AN295" s="283"/>
      <c r="AO295" s="283"/>
      <c r="AP295" s="283"/>
      <c r="AQ295" s="283"/>
    </row>
    <row r="296" spans="1:43" s="263" customFormat="1" ht="9" customHeight="1" x14ac:dyDescent="0.25">
      <c r="A296" s="550" t="s">
        <v>50</v>
      </c>
      <c r="B296" s="629">
        <f t="shared" si="29"/>
        <v>453</v>
      </c>
      <c r="C296" s="629"/>
      <c r="D296" s="631">
        <f t="shared" si="30"/>
        <v>451</v>
      </c>
      <c r="E296" s="632">
        <v>70</v>
      </c>
      <c r="F296" s="629"/>
      <c r="G296" s="629">
        <f t="shared" si="31"/>
        <v>366</v>
      </c>
      <c r="H296" s="632">
        <v>48</v>
      </c>
      <c r="I296" s="632">
        <v>44</v>
      </c>
      <c r="J296" s="629">
        <v>274</v>
      </c>
      <c r="K296" s="632">
        <v>5</v>
      </c>
      <c r="L296" s="632">
        <v>0</v>
      </c>
      <c r="M296" s="632">
        <v>10</v>
      </c>
      <c r="N296" s="632">
        <v>2</v>
      </c>
      <c r="AE296" s="283"/>
      <c r="AF296" s="283"/>
      <c r="AG296" s="283"/>
      <c r="AH296" s="283"/>
      <c r="AI296" s="283"/>
      <c r="AJ296" s="283"/>
      <c r="AK296" s="283"/>
      <c r="AL296" s="283"/>
      <c r="AM296" s="283"/>
      <c r="AN296" s="283"/>
      <c r="AO296" s="283"/>
      <c r="AP296" s="283"/>
      <c r="AQ296" s="283"/>
    </row>
    <row r="297" spans="1:43" s="263" customFormat="1" ht="9" customHeight="1" x14ac:dyDescent="0.25">
      <c r="A297" s="550" t="s">
        <v>51</v>
      </c>
      <c r="B297" s="629">
        <f t="shared" si="29"/>
        <v>1688</v>
      </c>
      <c r="C297" s="629"/>
      <c r="D297" s="631">
        <f t="shared" si="30"/>
        <v>1673</v>
      </c>
      <c r="E297" s="632">
        <v>253</v>
      </c>
      <c r="F297" s="629"/>
      <c r="G297" s="629">
        <f t="shared" si="31"/>
        <v>1393</v>
      </c>
      <c r="H297" s="632">
        <v>329</v>
      </c>
      <c r="I297" s="632">
        <v>174</v>
      </c>
      <c r="J297" s="629">
        <v>890</v>
      </c>
      <c r="K297" s="632">
        <v>3</v>
      </c>
      <c r="L297" s="632">
        <v>6</v>
      </c>
      <c r="M297" s="632">
        <v>18</v>
      </c>
      <c r="N297" s="632">
        <v>15</v>
      </c>
      <c r="AE297" s="283"/>
      <c r="AF297" s="283"/>
      <c r="AG297" s="283"/>
      <c r="AH297" s="283"/>
      <c r="AI297" s="283"/>
      <c r="AJ297" s="283"/>
      <c r="AK297" s="283"/>
      <c r="AL297" s="283"/>
      <c r="AM297" s="283"/>
      <c r="AN297" s="283"/>
      <c r="AO297" s="283"/>
      <c r="AP297" s="283"/>
      <c r="AQ297" s="283"/>
    </row>
    <row r="298" spans="1:43" s="263" customFormat="1" ht="9" customHeight="1" x14ac:dyDescent="0.25">
      <c r="A298" s="550" t="s">
        <v>52</v>
      </c>
      <c r="B298" s="629">
        <f t="shared" si="29"/>
        <v>818</v>
      </c>
      <c r="C298" s="629"/>
      <c r="D298" s="631">
        <f t="shared" si="30"/>
        <v>817</v>
      </c>
      <c r="E298" s="632">
        <v>54</v>
      </c>
      <c r="F298" s="629"/>
      <c r="G298" s="629">
        <f t="shared" si="31"/>
        <v>741</v>
      </c>
      <c r="H298" s="632">
        <v>102</v>
      </c>
      <c r="I298" s="632">
        <v>91</v>
      </c>
      <c r="J298" s="629">
        <v>548</v>
      </c>
      <c r="K298" s="632">
        <v>3</v>
      </c>
      <c r="L298" s="632">
        <v>4</v>
      </c>
      <c r="M298" s="632">
        <v>15</v>
      </c>
      <c r="N298" s="632">
        <v>1</v>
      </c>
      <c r="AE298" s="283"/>
      <c r="AF298" s="283"/>
      <c r="AG298" s="283"/>
      <c r="AH298" s="283"/>
      <c r="AI298" s="283"/>
      <c r="AJ298" s="283"/>
      <c r="AK298" s="283"/>
      <c r="AL298" s="283"/>
      <c r="AM298" s="283"/>
      <c r="AN298" s="283"/>
      <c r="AO298" s="283"/>
      <c r="AP298" s="283"/>
      <c r="AQ298" s="283"/>
    </row>
    <row r="299" spans="1:43" s="263" customFormat="1" ht="9" customHeight="1" x14ac:dyDescent="0.25">
      <c r="A299" s="603" t="s">
        <v>53</v>
      </c>
      <c r="B299" s="630">
        <f t="shared" si="29"/>
        <v>525</v>
      </c>
      <c r="C299" s="630"/>
      <c r="D299" s="633">
        <f t="shared" si="30"/>
        <v>523</v>
      </c>
      <c r="E299" s="634">
        <v>70</v>
      </c>
      <c r="F299" s="630"/>
      <c r="G299" s="630">
        <f t="shared" si="31"/>
        <v>444</v>
      </c>
      <c r="H299" s="634">
        <v>70</v>
      </c>
      <c r="I299" s="634">
        <v>49</v>
      </c>
      <c r="J299" s="630">
        <v>325</v>
      </c>
      <c r="K299" s="634">
        <v>0</v>
      </c>
      <c r="L299" s="634">
        <v>0</v>
      </c>
      <c r="M299" s="634">
        <v>9</v>
      </c>
      <c r="N299" s="634">
        <v>2</v>
      </c>
      <c r="AE299" s="283"/>
      <c r="AF299" s="283"/>
      <c r="AG299" s="283"/>
      <c r="AH299" s="283"/>
      <c r="AI299" s="283"/>
      <c r="AJ299" s="283"/>
      <c r="AK299" s="283"/>
      <c r="AL299" s="283"/>
      <c r="AM299" s="283"/>
      <c r="AN299" s="283"/>
      <c r="AO299" s="283"/>
      <c r="AP299" s="283"/>
      <c r="AQ299" s="283"/>
    </row>
    <row r="300" spans="1:43" ht="8.25" customHeight="1" x14ac:dyDescent="0.25">
      <c r="B300" s="259"/>
      <c r="C300" s="259"/>
      <c r="D300" s="259"/>
      <c r="E300" s="259"/>
      <c r="F300" s="259"/>
      <c r="G300" s="259"/>
      <c r="H300" s="259"/>
      <c r="I300" s="259"/>
      <c r="J300" s="259"/>
      <c r="K300" s="259"/>
      <c r="L300" s="259"/>
      <c r="AE300" s="283"/>
      <c r="AF300" s="283"/>
      <c r="AG300" s="283"/>
      <c r="AH300" s="283"/>
      <c r="AI300" s="283"/>
      <c r="AJ300" s="283"/>
      <c r="AK300" s="283"/>
      <c r="AL300" s="283"/>
      <c r="AM300" s="283"/>
      <c r="AN300" s="283"/>
      <c r="AO300" s="283"/>
      <c r="AP300" s="283"/>
      <c r="AQ300" s="283"/>
    </row>
    <row r="301" spans="1:43" ht="9" customHeight="1" x14ac:dyDescent="0.25">
      <c r="A301" s="601">
        <v>2009</v>
      </c>
      <c r="B301" s="262"/>
      <c r="C301" s="262"/>
      <c r="D301" s="262"/>
      <c r="E301" s="262"/>
      <c r="F301" s="262"/>
      <c r="G301" s="262"/>
      <c r="H301" s="262"/>
      <c r="I301" s="262"/>
      <c r="J301" s="262"/>
      <c r="K301" s="262"/>
      <c r="L301" s="262"/>
      <c r="M301" s="262"/>
      <c r="N301" s="262"/>
      <c r="AE301" s="283"/>
      <c r="AF301" s="283"/>
      <c r="AG301" s="283"/>
      <c r="AH301" s="283"/>
      <c r="AI301" s="283"/>
      <c r="AJ301" s="283"/>
      <c r="AK301" s="283"/>
      <c r="AL301" s="283"/>
      <c r="AM301" s="283"/>
      <c r="AN301" s="283"/>
      <c r="AO301" s="283"/>
      <c r="AP301" s="283"/>
      <c r="AQ301" s="283"/>
    </row>
    <row r="302" spans="1:43" s="263" customFormat="1" ht="9" customHeight="1" x14ac:dyDescent="0.25">
      <c r="A302" s="265" t="s">
        <v>21</v>
      </c>
      <c r="B302" s="262">
        <f>SUM(B304:B335)</f>
        <v>52358</v>
      </c>
      <c r="C302" s="262"/>
      <c r="D302" s="262">
        <f>SUM(D304:D335)</f>
        <v>51946</v>
      </c>
      <c r="E302" s="262">
        <f>SUM(E304:E335)</f>
        <v>5679</v>
      </c>
      <c r="F302" s="262"/>
      <c r="G302" s="262">
        <f t="shared" ref="G302:M302" si="32">SUM(G304:G335)</f>
        <v>44861</v>
      </c>
      <c r="H302" s="262">
        <f t="shared" si="32"/>
        <v>7651</v>
      </c>
      <c r="I302" s="262">
        <f t="shared" si="32"/>
        <v>5897</v>
      </c>
      <c r="J302" s="262">
        <f t="shared" si="32"/>
        <v>31313</v>
      </c>
      <c r="K302" s="262">
        <f t="shared" si="32"/>
        <v>218</v>
      </c>
      <c r="L302" s="262">
        <f t="shared" si="32"/>
        <v>501</v>
      </c>
      <c r="M302" s="262">
        <f t="shared" si="32"/>
        <v>687</v>
      </c>
      <c r="N302" s="262">
        <f>SUM(N304:N335)</f>
        <v>412</v>
      </c>
      <c r="AE302" s="283"/>
      <c r="AF302" s="283"/>
      <c r="AG302" s="283"/>
      <c r="AH302" s="283"/>
      <c r="AI302" s="283"/>
      <c r="AJ302" s="283"/>
      <c r="AK302" s="283"/>
      <c r="AL302" s="283"/>
      <c r="AM302" s="283"/>
      <c r="AN302" s="283"/>
      <c r="AO302" s="283"/>
      <c r="AP302" s="283"/>
      <c r="AQ302" s="283"/>
    </row>
    <row r="303" spans="1:43" s="263" customFormat="1" ht="2.1" customHeight="1" x14ac:dyDescent="0.25">
      <c r="A303" s="265"/>
      <c r="B303" s="262"/>
      <c r="C303" s="262"/>
      <c r="D303" s="262"/>
      <c r="E303" s="262"/>
      <c r="F303" s="262"/>
      <c r="G303" s="262"/>
      <c r="H303" s="262"/>
      <c r="I303" s="262"/>
      <c r="J303" s="262"/>
      <c r="K303" s="262"/>
      <c r="L303" s="262"/>
      <c r="M303" s="262"/>
      <c r="N303" s="262"/>
      <c r="AE303" s="283"/>
      <c r="AF303" s="283"/>
      <c r="AG303" s="283"/>
      <c r="AH303" s="283"/>
      <c r="AI303" s="283"/>
      <c r="AJ303" s="283"/>
      <c r="AK303" s="283"/>
      <c r="AL303" s="283"/>
      <c r="AM303" s="283"/>
      <c r="AN303" s="283"/>
      <c r="AO303" s="283"/>
      <c r="AP303" s="283"/>
      <c r="AQ303" s="283"/>
    </row>
    <row r="304" spans="1:43" s="263" customFormat="1" ht="9" customHeight="1" x14ac:dyDescent="0.25">
      <c r="A304" s="550" t="s">
        <v>23</v>
      </c>
      <c r="B304" s="629">
        <f>SUM(D304+N304)</f>
        <v>246</v>
      </c>
      <c r="C304" s="629"/>
      <c r="D304" s="631">
        <f>SUM(E304+G304+K304+L304+M304)</f>
        <v>241</v>
      </c>
      <c r="E304" s="632">
        <v>29</v>
      </c>
      <c r="F304" s="629"/>
      <c r="G304" s="629">
        <f>SUM(H304:J304)</f>
        <v>206</v>
      </c>
      <c r="H304" s="632">
        <v>34</v>
      </c>
      <c r="I304" s="632">
        <v>16</v>
      </c>
      <c r="J304" s="629">
        <v>156</v>
      </c>
      <c r="K304" s="632">
        <v>1</v>
      </c>
      <c r="L304" s="632">
        <v>4</v>
      </c>
      <c r="M304" s="632">
        <v>1</v>
      </c>
      <c r="N304" s="632">
        <v>5</v>
      </c>
      <c r="AE304" s="283"/>
      <c r="AF304" s="283"/>
      <c r="AG304" s="283"/>
      <c r="AH304" s="283"/>
      <c r="AI304" s="283"/>
      <c r="AJ304" s="283"/>
      <c r="AK304" s="283"/>
      <c r="AL304" s="283"/>
      <c r="AM304" s="283"/>
      <c r="AN304" s="283"/>
      <c r="AO304" s="283"/>
      <c r="AP304" s="283"/>
      <c r="AQ304" s="283"/>
    </row>
    <row r="305" spans="1:43" s="263" customFormat="1" ht="9" customHeight="1" x14ac:dyDescent="0.25">
      <c r="A305" s="550" t="s">
        <v>24</v>
      </c>
      <c r="B305" s="629">
        <f>SUM(D305+N305)</f>
        <v>2031</v>
      </c>
      <c r="C305" s="629"/>
      <c r="D305" s="631">
        <f>SUM(E305+G305+K305+L305+M305)</f>
        <v>2025</v>
      </c>
      <c r="E305" s="629">
        <v>352</v>
      </c>
      <c r="F305" s="629"/>
      <c r="G305" s="629">
        <f>SUM(H305:J305)</f>
        <v>1640</v>
      </c>
      <c r="H305" s="629">
        <v>234</v>
      </c>
      <c r="I305" s="629">
        <v>207</v>
      </c>
      <c r="J305" s="629">
        <v>1199</v>
      </c>
      <c r="K305" s="629">
        <v>6</v>
      </c>
      <c r="L305" s="629">
        <v>0</v>
      </c>
      <c r="M305" s="629">
        <v>27</v>
      </c>
      <c r="N305" s="629">
        <v>6</v>
      </c>
      <c r="AE305" s="283"/>
      <c r="AF305" s="283"/>
      <c r="AG305" s="283"/>
      <c r="AH305" s="283"/>
      <c r="AI305" s="283"/>
      <c r="AJ305" s="283"/>
      <c r="AK305" s="283"/>
      <c r="AL305" s="283"/>
      <c r="AM305" s="283"/>
      <c r="AN305" s="283"/>
      <c r="AO305" s="283"/>
      <c r="AP305" s="283"/>
      <c r="AQ305" s="283"/>
    </row>
    <row r="306" spans="1:43" s="263" customFormat="1" ht="9" customHeight="1" x14ac:dyDescent="0.25">
      <c r="A306" s="550" t="s">
        <v>25</v>
      </c>
      <c r="B306" s="629">
        <f>SUM(D306+N306)</f>
        <v>196</v>
      </c>
      <c r="C306" s="629"/>
      <c r="D306" s="631">
        <f>SUM(E306+G306+K306+L306+M306)</f>
        <v>195</v>
      </c>
      <c r="E306" s="629">
        <v>31</v>
      </c>
      <c r="F306" s="629"/>
      <c r="G306" s="629">
        <f>SUM(H306:J306)</f>
        <v>161</v>
      </c>
      <c r="H306" s="629">
        <v>22</v>
      </c>
      <c r="I306" s="629">
        <v>20</v>
      </c>
      <c r="J306" s="629">
        <v>119</v>
      </c>
      <c r="K306" s="629">
        <v>0</v>
      </c>
      <c r="L306" s="629">
        <v>0</v>
      </c>
      <c r="M306" s="629">
        <v>3</v>
      </c>
      <c r="N306" s="629">
        <v>1</v>
      </c>
      <c r="AE306" s="283"/>
      <c r="AF306" s="283"/>
      <c r="AG306" s="283"/>
      <c r="AH306" s="283"/>
      <c r="AI306" s="283"/>
      <c r="AJ306" s="283"/>
      <c r="AK306" s="283"/>
      <c r="AL306" s="283"/>
      <c r="AM306" s="283"/>
      <c r="AN306" s="283"/>
      <c r="AO306" s="283"/>
      <c r="AP306" s="283"/>
      <c r="AQ306" s="283"/>
    </row>
    <row r="307" spans="1:43" s="263" customFormat="1" ht="9" customHeight="1" x14ac:dyDescent="0.25">
      <c r="A307" s="603" t="s">
        <v>26</v>
      </c>
      <c r="B307" s="630">
        <f>SUM(D307+N307)</f>
        <v>156</v>
      </c>
      <c r="C307" s="630"/>
      <c r="D307" s="633">
        <f>SUM(E307+G307+K307+L307+M307)</f>
        <v>142</v>
      </c>
      <c r="E307" s="634">
        <v>2</v>
      </c>
      <c r="F307" s="630"/>
      <c r="G307" s="630">
        <f>SUM(H307:J307)</f>
        <v>134</v>
      </c>
      <c r="H307" s="634">
        <v>30</v>
      </c>
      <c r="I307" s="634">
        <v>29</v>
      </c>
      <c r="J307" s="630">
        <v>75</v>
      </c>
      <c r="K307" s="634">
        <v>1</v>
      </c>
      <c r="L307" s="634">
        <v>0</v>
      </c>
      <c r="M307" s="634">
        <v>5</v>
      </c>
      <c r="N307" s="634">
        <v>14</v>
      </c>
      <c r="AE307" s="283"/>
      <c r="AF307" s="283"/>
      <c r="AG307" s="283"/>
      <c r="AH307" s="283"/>
      <c r="AI307" s="283"/>
      <c r="AJ307" s="283"/>
      <c r="AK307" s="283"/>
      <c r="AL307" s="283"/>
      <c r="AM307" s="283"/>
      <c r="AN307" s="283"/>
      <c r="AO307" s="283"/>
      <c r="AP307" s="283"/>
      <c r="AQ307" s="283"/>
    </row>
    <row r="308" spans="1:43" s="263" customFormat="1" ht="9" customHeight="1" x14ac:dyDescent="0.25">
      <c r="A308" s="550" t="s">
        <v>27</v>
      </c>
      <c r="B308" s="629">
        <f t="shared" ref="B308:B335" si="33">SUM(D308+N308)</f>
        <v>889</v>
      </c>
      <c r="C308" s="629"/>
      <c r="D308" s="631">
        <f t="shared" ref="D308:D335" si="34">SUM(E308+G308+K308+L308+M308)</f>
        <v>837</v>
      </c>
      <c r="E308" s="632">
        <v>62</v>
      </c>
      <c r="F308" s="629"/>
      <c r="G308" s="629">
        <f t="shared" ref="G308:G335" si="35">SUM(H308:J308)</f>
        <v>754</v>
      </c>
      <c r="H308" s="632">
        <v>136</v>
      </c>
      <c r="I308" s="632">
        <v>108</v>
      </c>
      <c r="J308" s="629">
        <v>510</v>
      </c>
      <c r="K308" s="632">
        <v>2</v>
      </c>
      <c r="L308" s="632">
        <v>1</v>
      </c>
      <c r="M308" s="632">
        <v>18</v>
      </c>
      <c r="N308" s="632">
        <v>52</v>
      </c>
      <c r="AE308" s="283"/>
      <c r="AF308" s="283"/>
      <c r="AG308" s="283"/>
      <c r="AH308" s="283"/>
      <c r="AI308" s="283"/>
      <c r="AJ308" s="283"/>
      <c r="AK308" s="283"/>
      <c r="AL308" s="283"/>
      <c r="AM308" s="283"/>
      <c r="AN308" s="283"/>
      <c r="AO308" s="283"/>
      <c r="AP308" s="283"/>
      <c r="AQ308" s="283"/>
    </row>
    <row r="309" spans="1:43" s="263" customFormat="1" ht="9" customHeight="1" x14ac:dyDescent="0.25">
      <c r="A309" s="550" t="s">
        <v>28</v>
      </c>
      <c r="B309" s="629">
        <f t="shared" si="33"/>
        <v>206</v>
      </c>
      <c r="C309" s="629"/>
      <c r="D309" s="631">
        <f t="shared" si="34"/>
        <v>206</v>
      </c>
      <c r="E309" s="632">
        <v>19</v>
      </c>
      <c r="F309" s="629"/>
      <c r="G309" s="629">
        <f t="shared" si="35"/>
        <v>184</v>
      </c>
      <c r="H309" s="632">
        <v>21</v>
      </c>
      <c r="I309" s="632">
        <v>18</v>
      </c>
      <c r="J309" s="629">
        <v>145</v>
      </c>
      <c r="K309" s="632">
        <v>0</v>
      </c>
      <c r="L309" s="632">
        <v>0</v>
      </c>
      <c r="M309" s="632">
        <v>3</v>
      </c>
      <c r="N309" s="632">
        <v>0</v>
      </c>
      <c r="AE309" s="283"/>
      <c r="AF309" s="283"/>
      <c r="AG309" s="283"/>
      <c r="AH309" s="283"/>
      <c r="AI309" s="283"/>
      <c r="AJ309" s="283"/>
      <c r="AK309" s="283"/>
      <c r="AL309" s="283"/>
      <c r="AM309" s="283"/>
      <c r="AN309" s="283"/>
      <c r="AO309" s="283"/>
      <c r="AP309" s="283"/>
      <c r="AQ309" s="283"/>
    </row>
    <row r="310" spans="1:43" s="263" customFormat="1" ht="9" customHeight="1" x14ac:dyDescent="0.25">
      <c r="A310" s="550" t="s">
        <v>29</v>
      </c>
      <c r="B310" s="629">
        <f t="shared" si="33"/>
        <v>635</v>
      </c>
      <c r="C310" s="629"/>
      <c r="D310" s="631">
        <f t="shared" si="34"/>
        <v>629</v>
      </c>
      <c r="E310" s="632">
        <v>116</v>
      </c>
      <c r="F310" s="629"/>
      <c r="G310" s="629">
        <f t="shared" si="35"/>
        <v>506</v>
      </c>
      <c r="H310" s="632">
        <v>89</v>
      </c>
      <c r="I310" s="632">
        <v>87</v>
      </c>
      <c r="J310" s="629">
        <v>330</v>
      </c>
      <c r="K310" s="632">
        <v>3</v>
      </c>
      <c r="L310" s="632">
        <v>0</v>
      </c>
      <c r="M310" s="632">
        <v>4</v>
      </c>
      <c r="N310" s="632">
        <v>6</v>
      </c>
      <c r="AE310" s="283"/>
      <c r="AF310" s="283"/>
      <c r="AG310" s="283"/>
      <c r="AH310" s="283"/>
      <c r="AI310" s="283"/>
      <c r="AJ310" s="283"/>
      <c r="AK310" s="283"/>
      <c r="AL310" s="283"/>
      <c r="AM310" s="283"/>
      <c r="AN310" s="283"/>
      <c r="AO310" s="283"/>
      <c r="AP310" s="283"/>
      <c r="AQ310" s="283"/>
    </row>
    <row r="311" spans="1:43" s="263" customFormat="1" ht="9" customHeight="1" x14ac:dyDescent="0.25">
      <c r="A311" s="603" t="s">
        <v>30</v>
      </c>
      <c r="B311" s="630">
        <f t="shared" si="33"/>
        <v>2362</v>
      </c>
      <c r="C311" s="630"/>
      <c r="D311" s="633">
        <f t="shared" si="34"/>
        <v>2335</v>
      </c>
      <c r="E311" s="634">
        <v>224</v>
      </c>
      <c r="F311" s="630"/>
      <c r="G311" s="630">
        <f t="shared" si="35"/>
        <v>2089</v>
      </c>
      <c r="H311" s="634">
        <v>327</v>
      </c>
      <c r="I311" s="634">
        <v>219</v>
      </c>
      <c r="J311" s="630">
        <v>1543</v>
      </c>
      <c r="K311" s="634">
        <v>3</v>
      </c>
      <c r="L311" s="634">
        <v>1</v>
      </c>
      <c r="M311" s="634">
        <v>18</v>
      </c>
      <c r="N311" s="634">
        <v>27</v>
      </c>
      <c r="AE311" s="283"/>
      <c r="AF311" s="283"/>
      <c r="AG311" s="283"/>
      <c r="AH311" s="283"/>
      <c r="AI311" s="283"/>
      <c r="AJ311" s="283"/>
      <c r="AK311" s="283"/>
      <c r="AL311" s="283"/>
      <c r="AM311" s="283"/>
      <c r="AN311" s="283"/>
      <c r="AO311" s="283"/>
      <c r="AP311" s="283"/>
      <c r="AQ311" s="283"/>
    </row>
    <row r="312" spans="1:43" s="263" customFormat="1" ht="9" customHeight="1" x14ac:dyDescent="0.25">
      <c r="A312" s="550" t="s">
        <v>63</v>
      </c>
      <c r="B312" s="629">
        <f t="shared" si="33"/>
        <v>4634</v>
      </c>
      <c r="C312" s="629"/>
      <c r="D312" s="631">
        <f t="shared" si="34"/>
        <v>4571</v>
      </c>
      <c r="E312" s="632">
        <v>580</v>
      </c>
      <c r="F312" s="629"/>
      <c r="G312" s="629">
        <f t="shared" si="35"/>
        <v>3656</v>
      </c>
      <c r="H312" s="632">
        <v>536</v>
      </c>
      <c r="I312" s="632">
        <v>378</v>
      </c>
      <c r="J312" s="629">
        <v>2742</v>
      </c>
      <c r="K312" s="632">
        <v>62</v>
      </c>
      <c r="L312" s="632">
        <v>171</v>
      </c>
      <c r="M312" s="632">
        <v>102</v>
      </c>
      <c r="N312" s="632">
        <v>63</v>
      </c>
      <c r="AE312" s="283"/>
      <c r="AF312" s="283"/>
      <c r="AG312" s="283"/>
      <c r="AH312" s="283"/>
      <c r="AI312" s="283"/>
      <c r="AJ312" s="283"/>
      <c r="AK312" s="283"/>
      <c r="AL312" s="283"/>
      <c r="AM312" s="283"/>
      <c r="AN312" s="283"/>
      <c r="AO312" s="283"/>
      <c r="AP312" s="283"/>
      <c r="AQ312" s="283"/>
    </row>
    <row r="313" spans="1:43" s="263" customFormat="1" ht="9" customHeight="1" x14ac:dyDescent="0.25">
      <c r="A313" s="550" t="s">
        <v>31</v>
      </c>
      <c r="B313" s="629">
        <f t="shared" si="33"/>
        <v>171</v>
      </c>
      <c r="C313" s="629"/>
      <c r="D313" s="631">
        <f t="shared" si="34"/>
        <v>171</v>
      </c>
      <c r="E313" s="632">
        <v>40</v>
      </c>
      <c r="F313" s="629"/>
      <c r="G313" s="629">
        <f t="shared" si="35"/>
        <v>121</v>
      </c>
      <c r="H313" s="632">
        <v>16</v>
      </c>
      <c r="I313" s="632">
        <v>15</v>
      </c>
      <c r="J313" s="629">
        <v>90</v>
      </c>
      <c r="K313" s="632">
        <v>0</v>
      </c>
      <c r="L313" s="632">
        <v>5</v>
      </c>
      <c r="M313" s="632">
        <v>5</v>
      </c>
      <c r="N313" s="632">
        <v>0</v>
      </c>
      <c r="AE313" s="283"/>
      <c r="AF313" s="283"/>
      <c r="AG313" s="283"/>
      <c r="AH313" s="283"/>
      <c r="AI313" s="283"/>
      <c r="AJ313" s="283"/>
      <c r="AK313" s="283"/>
      <c r="AL313" s="283"/>
      <c r="AM313" s="283"/>
      <c r="AN313" s="283"/>
      <c r="AO313" s="283"/>
      <c r="AP313" s="283"/>
      <c r="AQ313" s="283"/>
    </row>
    <row r="314" spans="1:43" s="263" customFormat="1" ht="9" customHeight="1" x14ac:dyDescent="0.25">
      <c r="A314" s="550" t="s">
        <v>32</v>
      </c>
      <c r="B314" s="629">
        <f t="shared" si="33"/>
        <v>2589</v>
      </c>
      <c r="C314" s="629"/>
      <c r="D314" s="631">
        <f t="shared" si="34"/>
        <v>2573</v>
      </c>
      <c r="E314" s="632">
        <v>354</v>
      </c>
      <c r="F314" s="629"/>
      <c r="G314" s="629">
        <f t="shared" si="35"/>
        <v>2143</v>
      </c>
      <c r="H314" s="632">
        <v>347</v>
      </c>
      <c r="I314" s="632">
        <v>335</v>
      </c>
      <c r="J314" s="629">
        <v>1461</v>
      </c>
      <c r="K314" s="632">
        <v>18</v>
      </c>
      <c r="L314" s="632">
        <v>4</v>
      </c>
      <c r="M314" s="632">
        <v>54</v>
      </c>
      <c r="N314" s="632">
        <v>16</v>
      </c>
      <c r="AE314" s="283"/>
      <c r="AF314" s="283"/>
      <c r="AG314" s="283"/>
      <c r="AH314" s="283"/>
      <c r="AI314" s="283"/>
      <c r="AJ314" s="283"/>
      <c r="AK314" s="283"/>
      <c r="AL314" s="283"/>
      <c r="AM314" s="283"/>
      <c r="AN314" s="283"/>
      <c r="AO314" s="283"/>
      <c r="AP314" s="283"/>
      <c r="AQ314" s="283"/>
    </row>
    <row r="315" spans="1:43" s="263" customFormat="1" ht="9" customHeight="1" x14ac:dyDescent="0.25">
      <c r="A315" s="603" t="s">
        <v>33</v>
      </c>
      <c r="B315" s="630">
        <f t="shared" si="33"/>
        <v>634</v>
      </c>
      <c r="C315" s="630"/>
      <c r="D315" s="633">
        <f t="shared" si="34"/>
        <v>617</v>
      </c>
      <c r="E315" s="634">
        <v>128</v>
      </c>
      <c r="F315" s="630"/>
      <c r="G315" s="630">
        <f t="shared" si="35"/>
        <v>463</v>
      </c>
      <c r="H315" s="634">
        <v>88</v>
      </c>
      <c r="I315" s="634">
        <v>73</v>
      </c>
      <c r="J315" s="630">
        <v>302</v>
      </c>
      <c r="K315" s="634">
        <v>0</v>
      </c>
      <c r="L315" s="634">
        <v>0</v>
      </c>
      <c r="M315" s="634">
        <v>26</v>
      </c>
      <c r="N315" s="634">
        <v>17</v>
      </c>
      <c r="AE315" s="283"/>
      <c r="AF315" s="283"/>
      <c r="AG315" s="283"/>
      <c r="AH315" s="283"/>
      <c r="AI315" s="283"/>
      <c r="AJ315" s="283"/>
      <c r="AK315" s="283"/>
      <c r="AL315" s="283"/>
      <c r="AM315" s="283"/>
      <c r="AN315" s="283"/>
      <c r="AO315" s="283"/>
      <c r="AP315" s="283"/>
      <c r="AQ315" s="283"/>
    </row>
    <row r="316" spans="1:43" s="263" customFormat="1" ht="9" customHeight="1" x14ac:dyDescent="0.25">
      <c r="A316" s="550" t="s">
        <v>34</v>
      </c>
      <c r="B316" s="629">
        <f t="shared" si="33"/>
        <v>649</v>
      </c>
      <c r="C316" s="629"/>
      <c r="D316" s="631">
        <f t="shared" si="34"/>
        <v>645</v>
      </c>
      <c r="E316" s="632">
        <v>80</v>
      </c>
      <c r="F316" s="629"/>
      <c r="G316" s="629">
        <f t="shared" si="35"/>
        <v>546</v>
      </c>
      <c r="H316" s="632">
        <v>91</v>
      </c>
      <c r="I316" s="632">
        <v>85</v>
      </c>
      <c r="J316" s="629">
        <v>370</v>
      </c>
      <c r="K316" s="632">
        <v>2</v>
      </c>
      <c r="L316" s="632">
        <v>1</v>
      </c>
      <c r="M316" s="632">
        <v>16</v>
      </c>
      <c r="N316" s="632">
        <v>4</v>
      </c>
      <c r="AE316" s="283"/>
      <c r="AF316" s="283"/>
      <c r="AG316" s="283"/>
      <c r="AH316" s="283"/>
      <c r="AI316" s="283"/>
      <c r="AJ316" s="283"/>
      <c r="AK316" s="283"/>
      <c r="AL316" s="283"/>
      <c r="AM316" s="283"/>
      <c r="AN316" s="283"/>
      <c r="AO316" s="283"/>
      <c r="AP316" s="283"/>
      <c r="AQ316" s="283"/>
    </row>
    <row r="317" spans="1:43" s="263" customFormat="1" ht="9" customHeight="1" x14ac:dyDescent="0.25">
      <c r="A317" s="550" t="s">
        <v>35</v>
      </c>
      <c r="B317" s="629">
        <f t="shared" si="33"/>
        <v>5778</v>
      </c>
      <c r="C317" s="629"/>
      <c r="D317" s="631">
        <f t="shared" si="34"/>
        <v>5759</v>
      </c>
      <c r="E317" s="632">
        <v>477</v>
      </c>
      <c r="F317" s="629"/>
      <c r="G317" s="629">
        <f t="shared" si="35"/>
        <v>5205</v>
      </c>
      <c r="H317" s="632">
        <v>840</v>
      </c>
      <c r="I317" s="632">
        <v>548</v>
      </c>
      <c r="J317" s="629">
        <v>3817</v>
      </c>
      <c r="K317" s="632">
        <v>16</v>
      </c>
      <c r="L317" s="632">
        <v>38</v>
      </c>
      <c r="M317" s="632">
        <v>23</v>
      </c>
      <c r="N317" s="632">
        <v>19</v>
      </c>
      <c r="AE317" s="283"/>
      <c r="AF317" s="283"/>
      <c r="AG317" s="283"/>
      <c r="AH317" s="283"/>
      <c r="AI317" s="283"/>
      <c r="AJ317" s="283"/>
      <c r="AK317" s="283"/>
      <c r="AL317" s="283"/>
      <c r="AM317" s="283"/>
      <c r="AN317" s="283"/>
      <c r="AO317" s="283"/>
      <c r="AP317" s="283"/>
      <c r="AQ317" s="283"/>
    </row>
    <row r="318" spans="1:43" s="263" customFormat="1" ht="9" customHeight="1" x14ac:dyDescent="0.25">
      <c r="A318" s="550" t="s">
        <v>36</v>
      </c>
      <c r="B318" s="629">
        <f t="shared" si="33"/>
        <v>6291</v>
      </c>
      <c r="C318" s="629"/>
      <c r="D318" s="631">
        <f t="shared" si="34"/>
        <v>6264</v>
      </c>
      <c r="E318" s="632">
        <v>686</v>
      </c>
      <c r="F318" s="629"/>
      <c r="G318" s="629">
        <f t="shared" si="35"/>
        <v>5451</v>
      </c>
      <c r="H318" s="632">
        <v>926</v>
      </c>
      <c r="I318" s="632">
        <v>718</v>
      </c>
      <c r="J318" s="629">
        <v>3807</v>
      </c>
      <c r="K318" s="632">
        <v>9</v>
      </c>
      <c r="L318" s="632">
        <v>16</v>
      </c>
      <c r="M318" s="632">
        <v>102</v>
      </c>
      <c r="N318" s="632">
        <v>27</v>
      </c>
      <c r="AE318" s="283"/>
      <c r="AF318" s="283"/>
      <c r="AG318" s="283"/>
      <c r="AH318" s="283"/>
      <c r="AI318" s="283"/>
      <c r="AJ318" s="283"/>
      <c r="AK318" s="283"/>
      <c r="AL318" s="283"/>
      <c r="AM318" s="283"/>
      <c r="AN318" s="283"/>
      <c r="AO318" s="283"/>
      <c r="AP318" s="283"/>
      <c r="AQ318" s="283"/>
    </row>
    <row r="319" spans="1:43" s="263" customFormat="1" ht="9" customHeight="1" x14ac:dyDescent="0.25">
      <c r="A319" s="603" t="s">
        <v>37</v>
      </c>
      <c r="B319" s="630">
        <f t="shared" si="33"/>
        <v>1812</v>
      </c>
      <c r="C319" s="630"/>
      <c r="D319" s="633">
        <f t="shared" si="34"/>
        <v>1799</v>
      </c>
      <c r="E319" s="634">
        <v>457</v>
      </c>
      <c r="F319" s="630"/>
      <c r="G319" s="630">
        <f t="shared" si="35"/>
        <v>1272</v>
      </c>
      <c r="H319" s="634">
        <v>202</v>
      </c>
      <c r="I319" s="634">
        <v>189</v>
      </c>
      <c r="J319" s="630">
        <v>881</v>
      </c>
      <c r="K319" s="634">
        <v>20</v>
      </c>
      <c r="L319" s="634">
        <v>40</v>
      </c>
      <c r="M319" s="634">
        <v>10</v>
      </c>
      <c r="N319" s="634">
        <v>13</v>
      </c>
      <c r="AE319" s="283"/>
      <c r="AF319" s="283"/>
      <c r="AG319" s="283"/>
      <c r="AH319" s="283"/>
      <c r="AI319" s="283"/>
      <c r="AJ319" s="283"/>
      <c r="AK319" s="283"/>
      <c r="AL319" s="283"/>
      <c r="AM319" s="283"/>
      <c r="AN319" s="283"/>
      <c r="AO319" s="283"/>
      <c r="AP319" s="283"/>
      <c r="AQ319" s="283"/>
    </row>
    <row r="320" spans="1:43" s="263" customFormat="1" ht="9" customHeight="1" x14ac:dyDescent="0.25">
      <c r="A320" s="550" t="s">
        <v>38</v>
      </c>
      <c r="B320" s="629">
        <f t="shared" si="33"/>
        <v>496</v>
      </c>
      <c r="C320" s="629"/>
      <c r="D320" s="631">
        <f t="shared" si="34"/>
        <v>477</v>
      </c>
      <c r="E320" s="632">
        <v>83</v>
      </c>
      <c r="F320" s="629"/>
      <c r="G320" s="629">
        <f t="shared" si="35"/>
        <v>388</v>
      </c>
      <c r="H320" s="632">
        <v>66</v>
      </c>
      <c r="I320" s="632">
        <v>62</v>
      </c>
      <c r="J320" s="629">
        <v>260</v>
      </c>
      <c r="K320" s="632">
        <v>1</v>
      </c>
      <c r="L320" s="632">
        <v>2</v>
      </c>
      <c r="M320" s="632">
        <v>3</v>
      </c>
      <c r="N320" s="632">
        <v>19</v>
      </c>
      <c r="AE320" s="283"/>
      <c r="AF320" s="283"/>
      <c r="AG320" s="283"/>
      <c r="AH320" s="283"/>
      <c r="AI320" s="283"/>
      <c r="AJ320" s="283"/>
      <c r="AK320" s="283"/>
      <c r="AL320" s="283"/>
      <c r="AM320" s="283"/>
      <c r="AN320" s="283"/>
      <c r="AO320" s="283"/>
      <c r="AP320" s="283"/>
      <c r="AQ320" s="283"/>
    </row>
    <row r="321" spans="1:43" s="263" customFormat="1" ht="9" customHeight="1" x14ac:dyDescent="0.25">
      <c r="A321" s="550" t="s">
        <v>39</v>
      </c>
      <c r="B321" s="629">
        <f t="shared" si="33"/>
        <v>214</v>
      </c>
      <c r="C321" s="629"/>
      <c r="D321" s="631">
        <f t="shared" si="34"/>
        <v>214</v>
      </c>
      <c r="E321" s="632">
        <v>26</v>
      </c>
      <c r="F321" s="629"/>
      <c r="G321" s="629">
        <f t="shared" si="35"/>
        <v>185</v>
      </c>
      <c r="H321" s="632">
        <v>34</v>
      </c>
      <c r="I321" s="632">
        <v>23</v>
      </c>
      <c r="J321" s="629">
        <v>128</v>
      </c>
      <c r="K321" s="632">
        <v>2</v>
      </c>
      <c r="L321" s="632">
        <v>0</v>
      </c>
      <c r="M321" s="632">
        <v>1</v>
      </c>
      <c r="N321" s="632">
        <v>0</v>
      </c>
      <c r="AE321" s="283"/>
      <c r="AF321" s="283"/>
      <c r="AG321" s="283"/>
      <c r="AH321" s="283"/>
      <c r="AI321" s="283"/>
      <c r="AJ321" s="283"/>
      <c r="AK321" s="283"/>
      <c r="AL321" s="283"/>
      <c r="AM321" s="283"/>
      <c r="AN321" s="283"/>
      <c r="AO321" s="283"/>
      <c r="AP321" s="283"/>
      <c r="AQ321" s="283"/>
    </row>
    <row r="322" spans="1:43" s="263" customFormat="1" ht="9" customHeight="1" x14ac:dyDescent="0.25">
      <c r="A322" s="550" t="s">
        <v>40</v>
      </c>
      <c r="B322" s="629">
        <f t="shared" si="33"/>
        <v>8533</v>
      </c>
      <c r="C322" s="629"/>
      <c r="D322" s="631">
        <f t="shared" si="34"/>
        <v>8505</v>
      </c>
      <c r="E322" s="632">
        <v>145</v>
      </c>
      <c r="F322" s="629"/>
      <c r="G322" s="629">
        <f t="shared" si="35"/>
        <v>8058</v>
      </c>
      <c r="H322" s="632">
        <v>1642</v>
      </c>
      <c r="I322" s="632">
        <v>1193</v>
      </c>
      <c r="J322" s="629">
        <v>5223</v>
      </c>
      <c r="K322" s="632">
        <v>40</v>
      </c>
      <c r="L322" s="632">
        <v>201</v>
      </c>
      <c r="M322" s="632">
        <v>61</v>
      </c>
      <c r="N322" s="632">
        <v>28</v>
      </c>
      <c r="AE322" s="283"/>
      <c r="AF322" s="283"/>
      <c r="AG322" s="283"/>
      <c r="AH322" s="283"/>
      <c r="AI322" s="283"/>
      <c r="AJ322" s="283"/>
      <c r="AK322" s="283"/>
      <c r="AL322" s="283"/>
      <c r="AM322" s="283"/>
      <c r="AN322" s="283"/>
      <c r="AO322" s="283"/>
      <c r="AP322" s="283"/>
      <c r="AQ322" s="283"/>
    </row>
    <row r="323" spans="1:43" s="263" customFormat="1" ht="9" customHeight="1" x14ac:dyDescent="0.25">
      <c r="A323" s="603" t="s">
        <v>41</v>
      </c>
      <c r="B323" s="630">
        <f t="shared" si="33"/>
        <v>899</v>
      </c>
      <c r="C323" s="630"/>
      <c r="D323" s="633">
        <f t="shared" si="34"/>
        <v>882</v>
      </c>
      <c r="E323" s="634">
        <v>204</v>
      </c>
      <c r="F323" s="630"/>
      <c r="G323" s="630">
        <f t="shared" si="35"/>
        <v>659</v>
      </c>
      <c r="H323" s="634">
        <v>105</v>
      </c>
      <c r="I323" s="634">
        <v>84</v>
      </c>
      <c r="J323" s="630">
        <v>470</v>
      </c>
      <c r="K323" s="634">
        <v>1</v>
      </c>
      <c r="L323" s="634">
        <v>0</v>
      </c>
      <c r="M323" s="634">
        <v>18</v>
      </c>
      <c r="N323" s="634">
        <v>17</v>
      </c>
      <c r="AE323" s="283"/>
      <c r="AF323" s="283"/>
      <c r="AG323" s="283"/>
      <c r="AH323" s="283"/>
      <c r="AI323" s="283"/>
      <c r="AJ323" s="283"/>
      <c r="AK323" s="283"/>
      <c r="AL323" s="283"/>
      <c r="AM323" s="283"/>
      <c r="AN323" s="283"/>
      <c r="AO323" s="283"/>
      <c r="AP323" s="283"/>
      <c r="AQ323" s="283"/>
    </row>
    <row r="324" spans="1:43" s="263" customFormat="1" ht="9" customHeight="1" x14ac:dyDescent="0.25">
      <c r="A324" s="550" t="s">
        <v>42</v>
      </c>
      <c r="B324" s="629">
        <f t="shared" si="33"/>
        <v>2405</v>
      </c>
      <c r="C324" s="629"/>
      <c r="D324" s="631">
        <f t="shared" si="34"/>
        <v>2383</v>
      </c>
      <c r="E324" s="632">
        <v>281</v>
      </c>
      <c r="F324" s="629"/>
      <c r="G324" s="629">
        <f t="shared" si="35"/>
        <v>2054</v>
      </c>
      <c r="H324" s="632">
        <v>335</v>
      </c>
      <c r="I324" s="632">
        <v>293</v>
      </c>
      <c r="J324" s="629">
        <v>1426</v>
      </c>
      <c r="K324" s="632">
        <v>8</v>
      </c>
      <c r="L324" s="632">
        <v>9</v>
      </c>
      <c r="M324" s="632">
        <v>31</v>
      </c>
      <c r="N324" s="632">
        <v>22</v>
      </c>
      <c r="AE324" s="283"/>
      <c r="AF324" s="283"/>
      <c r="AG324" s="283"/>
      <c r="AH324" s="283"/>
      <c r="AI324" s="283"/>
      <c r="AJ324" s="283"/>
      <c r="AK324" s="283"/>
      <c r="AL324" s="283"/>
      <c r="AM324" s="283"/>
      <c r="AN324" s="283"/>
      <c r="AO324" s="283"/>
      <c r="AP324" s="283"/>
      <c r="AQ324" s="283"/>
    </row>
    <row r="325" spans="1:43" s="263" customFormat="1" ht="9" customHeight="1" x14ac:dyDescent="0.25">
      <c r="A325" s="550" t="s">
        <v>43</v>
      </c>
      <c r="B325" s="629">
        <f t="shared" si="33"/>
        <v>1070</v>
      </c>
      <c r="C325" s="629"/>
      <c r="D325" s="631">
        <f t="shared" si="34"/>
        <v>1066</v>
      </c>
      <c r="E325" s="632">
        <v>180</v>
      </c>
      <c r="F325" s="629"/>
      <c r="G325" s="629">
        <f t="shared" si="35"/>
        <v>859</v>
      </c>
      <c r="H325" s="632">
        <v>141</v>
      </c>
      <c r="I325" s="632">
        <v>105</v>
      </c>
      <c r="J325" s="629">
        <v>613</v>
      </c>
      <c r="K325" s="632">
        <v>4</v>
      </c>
      <c r="L325" s="632">
        <v>0</v>
      </c>
      <c r="M325" s="632">
        <v>23</v>
      </c>
      <c r="N325" s="632">
        <v>4</v>
      </c>
      <c r="AE325" s="283"/>
      <c r="AF325" s="283"/>
      <c r="AG325" s="283"/>
      <c r="AH325" s="283"/>
      <c r="AI325" s="283"/>
      <c r="AJ325" s="283"/>
      <c r="AK325" s="283"/>
      <c r="AL325" s="283"/>
      <c r="AM325" s="283"/>
      <c r="AN325" s="283"/>
      <c r="AO325" s="283"/>
      <c r="AP325" s="283"/>
      <c r="AQ325" s="283"/>
    </row>
    <row r="326" spans="1:43" s="263" customFormat="1" ht="9" customHeight="1" x14ac:dyDescent="0.25">
      <c r="A326" s="550" t="s">
        <v>44</v>
      </c>
      <c r="B326" s="629">
        <f t="shared" si="33"/>
        <v>420</v>
      </c>
      <c r="C326" s="629"/>
      <c r="D326" s="631">
        <f t="shared" si="34"/>
        <v>416</v>
      </c>
      <c r="E326" s="632">
        <v>70</v>
      </c>
      <c r="F326" s="629"/>
      <c r="G326" s="629">
        <f t="shared" si="35"/>
        <v>332</v>
      </c>
      <c r="H326" s="632">
        <v>52</v>
      </c>
      <c r="I326" s="632">
        <v>51</v>
      </c>
      <c r="J326" s="629">
        <v>229</v>
      </c>
      <c r="K326" s="632">
        <v>0</v>
      </c>
      <c r="L326" s="632">
        <v>0</v>
      </c>
      <c r="M326" s="632">
        <v>14</v>
      </c>
      <c r="N326" s="550">
        <v>4</v>
      </c>
      <c r="AE326" s="283"/>
      <c r="AF326" s="283"/>
      <c r="AG326" s="283"/>
      <c r="AH326" s="283"/>
      <c r="AI326" s="283"/>
      <c r="AJ326" s="283"/>
      <c r="AK326" s="283"/>
      <c r="AL326" s="283"/>
      <c r="AM326" s="283"/>
      <c r="AN326" s="283"/>
      <c r="AO326" s="283"/>
      <c r="AP326" s="283"/>
      <c r="AQ326" s="283"/>
    </row>
    <row r="327" spans="1:43" s="263" customFormat="1" ht="9" customHeight="1" x14ac:dyDescent="0.25">
      <c r="A327" s="603" t="s">
        <v>45</v>
      </c>
      <c r="B327" s="630">
        <f t="shared" si="33"/>
        <v>641</v>
      </c>
      <c r="C327" s="630"/>
      <c r="D327" s="633">
        <f t="shared" si="34"/>
        <v>635</v>
      </c>
      <c r="E327" s="634">
        <v>80</v>
      </c>
      <c r="F327" s="630"/>
      <c r="G327" s="630">
        <f t="shared" si="35"/>
        <v>542</v>
      </c>
      <c r="H327" s="634">
        <v>94</v>
      </c>
      <c r="I327" s="634">
        <v>86</v>
      </c>
      <c r="J327" s="630">
        <v>362</v>
      </c>
      <c r="K327" s="634">
        <v>1</v>
      </c>
      <c r="L327" s="634">
        <v>1</v>
      </c>
      <c r="M327" s="634">
        <v>11</v>
      </c>
      <c r="N327" s="634">
        <v>6</v>
      </c>
      <c r="AE327" s="283"/>
      <c r="AF327" s="283"/>
      <c r="AG327" s="283"/>
      <c r="AH327" s="283"/>
      <c r="AI327" s="283"/>
      <c r="AJ327" s="283"/>
      <c r="AK327" s="283"/>
      <c r="AL327" s="283"/>
      <c r="AM327" s="283"/>
      <c r="AN327" s="283"/>
      <c r="AO327" s="283"/>
      <c r="AP327" s="283"/>
      <c r="AQ327" s="283"/>
    </row>
    <row r="328" spans="1:43" s="263" customFormat="1" ht="9" customHeight="1" x14ac:dyDescent="0.25">
      <c r="A328" s="550" t="s">
        <v>46</v>
      </c>
      <c r="B328" s="629">
        <f t="shared" si="33"/>
        <v>1038</v>
      </c>
      <c r="C328" s="629"/>
      <c r="D328" s="631">
        <f t="shared" si="34"/>
        <v>1033</v>
      </c>
      <c r="E328" s="632">
        <v>123</v>
      </c>
      <c r="F328" s="629"/>
      <c r="G328" s="629">
        <f t="shared" si="35"/>
        <v>891</v>
      </c>
      <c r="H328" s="632">
        <v>157</v>
      </c>
      <c r="I328" s="632">
        <v>140</v>
      </c>
      <c r="J328" s="629">
        <v>594</v>
      </c>
      <c r="K328" s="632">
        <v>5</v>
      </c>
      <c r="L328" s="632">
        <v>0</v>
      </c>
      <c r="M328" s="632">
        <v>14</v>
      </c>
      <c r="N328" s="632">
        <v>5</v>
      </c>
      <c r="AE328" s="283"/>
      <c r="AF328" s="283"/>
      <c r="AG328" s="283"/>
      <c r="AH328" s="283"/>
      <c r="AI328" s="283"/>
      <c r="AJ328" s="283"/>
      <c r="AK328" s="283"/>
      <c r="AL328" s="283"/>
      <c r="AM328" s="283"/>
      <c r="AN328" s="283"/>
      <c r="AO328" s="283"/>
      <c r="AP328" s="283"/>
      <c r="AQ328" s="283"/>
    </row>
    <row r="329" spans="1:43" s="263" customFormat="1" ht="9" customHeight="1" x14ac:dyDescent="0.25">
      <c r="A329" s="550" t="s">
        <v>47</v>
      </c>
      <c r="B329" s="629">
        <f t="shared" si="33"/>
        <v>2303</v>
      </c>
      <c r="C329" s="629"/>
      <c r="D329" s="631">
        <f t="shared" si="34"/>
        <v>2291</v>
      </c>
      <c r="E329" s="632">
        <v>176</v>
      </c>
      <c r="F329" s="629"/>
      <c r="G329" s="629">
        <f t="shared" si="35"/>
        <v>2099</v>
      </c>
      <c r="H329" s="632">
        <v>415</v>
      </c>
      <c r="I329" s="632">
        <v>265</v>
      </c>
      <c r="J329" s="629">
        <v>1419</v>
      </c>
      <c r="K329" s="632">
        <v>0</v>
      </c>
      <c r="L329" s="632">
        <v>0</v>
      </c>
      <c r="M329" s="632">
        <v>16</v>
      </c>
      <c r="N329" s="632">
        <v>12</v>
      </c>
      <c r="AE329" s="283"/>
      <c r="AF329" s="283"/>
      <c r="AG329" s="283"/>
      <c r="AH329" s="283"/>
      <c r="AI329" s="283"/>
      <c r="AJ329" s="283"/>
      <c r="AK329" s="283"/>
      <c r="AL329" s="283"/>
      <c r="AM329" s="283"/>
      <c r="AN329" s="283"/>
      <c r="AO329" s="283"/>
      <c r="AP329" s="283"/>
      <c r="AQ329" s="283"/>
    </row>
    <row r="330" spans="1:43" s="263" customFormat="1" ht="9" customHeight="1" x14ac:dyDescent="0.25">
      <c r="A330" s="550" t="s">
        <v>48</v>
      </c>
      <c r="B330" s="629">
        <f t="shared" si="33"/>
        <v>509</v>
      </c>
      <c r="C330" s="629"/>
      <c r="D330" s="631">
        <f t="shared" si="34"/>
        <v>507</v>
      </c>
      <c r="E330" s="632">
        <v>80</v>
      </c>
      <c r="F330" s="629"/>
      <c r="G330" s="629">
        <f t="shared" si="35"/>
        <v>417</v>
      </c>
      <c r="H330" s="632">
        <v>61</v>
      </c>
      <c r="I330" s="632">
        <v>57</v>
      </c>
      <c r="J330" s="629">
        <v>299</v>
      </c>
      <c r="K330" s="632">
        <v>1</v>
      </c>
      <c r="L330" s="632">
        <v>0</v>
      </c>
      <c r="M330" s="632">
        <v>9</v>
      </c>
      <c r="N330" s="632">
        <v>2</v>
      </c>
      <c r="AE330" s="283"/>
      <c r="AF330" s="283"/>
      <c r="AG330" s="283"/>
      <c r="AH330" s="283"/>
      <c r="AI330" s="283"/>
      <c r="AJ330" s="283"/>
      <c r="AK330" s="283"/>
      <c r="AL330" s="283"/>
      <c r="AM330" s="283"/>
      <c r="AN330" s="283"/>
      <c r="AO330" s="283"/>
      <c r="AP330" s="283"/>
      <c r="AQ330" s="283"/>
    </row>
    <row r="331" spans="1:43" s="263" customFormat="1" ht="9" customHeight="1" x14ac:dyDescent="0.25">
      <c r="A331" s="603" t="s">
        <v>49</v>
      </c>
      <c r="B331" s="630">
        <f t="shared" si="33"/>
        <v>1278</v>
      </c>
      <c r="C331" s="630"/>
      <c r="D331" s="633">
        <f t="shared" si="34"/>
        <v>1271</v>
      </c>
      <c r="E331" s="634">
        <v>193</v>
      </c>
      <c r="F331" s="630"/>
      <c r="G331" s="630">
        <f t="shared" si="35"/>
        <v>1056</v>
      </c>
      <c r="H331" s="634">
        <v>185</v>
      </c>
      <c r="I331" s="634">
        <v>137</v>
      </c>
      <c r="J331" s="630">
        <v>734</v>
      </c>
      <c r="K331" s="634">
        <v>1</v>
      </c>
      <c r="L331" s="634">
        <v>0</v>
      </c>
      <c r="M331" s="634">
        <v>21</v>
      </c>
      <c r="N331" s="634">
        <v>7</v>
      </c>
      <c r="AE331" s="283"/>
      <c r="AF331" s="283"/>
      <c r="AG331" s="283"/>
      <c r="AH331" s="283"/>
      <c r="AI331" s="283"/>
      <c r="AJ331" s="283"/>
      <c r="AK331" s="283"/>
      <c r="AL331" s="283"/>
      <c r="AM331" s="283"/>
      <c r="AN331" s="283"/>
      <c r="AO331" s="283"/>
      <c r="AP331" s="283"/>
      <c r="AQ331" s="283"/>
    </row>
    <row r="332" spans="1:43" s="263" customFormat="1" ht="9" customHeight="1" x14ac:dyDescent="0.25">
      <c r="A332" s="550" t="s">
        <v>50</v>
      </c>
      <c r="B332" s="629">
        <f t="shared" si="33"/>
        <v>430</v>
      </c>
      <c r="C332" s="629"/>
      <c r="D332" s="631">
        <f t="shared" si="34"/>
        <v>430</v>
      </c>
      <c r="E332" s="632">
        <v>68</v>
      </c>
      <c r="F332" s="629"/>
      <c r="G332" s="629">
        <f t="shared" si="35"/>
        <v>348</v>
      </c>
      <c r="H332" s="632">
        <v>45</v>
      </c>
      <c r="I332" s="632">
        <v>40</v>
      </c>
      <c r="J332" s="629">
        <v>263</v>
      </c>
      <c r="K332" s="632">
        <v>3</v>
      </c>
      <c r="L332" s="632">
        <v>1</v>
      </c>
      <c r="M332" s="632">
        <v>10</v>
      </c>
      <c r="N332" s="632">
        <v>0</v>
      </c>
      <c r="AE332" s="283"/>
      <c r="AF332" s="283"/>
      <c r="AG332" s="283"/>
      <c r="AH332" s="283"/>
      <c r="AI332" s="283"/>
      <c r="AJ332" s="283"/>
      <c r="AK332" s="283"/>
      <c r="AL332" s="283"/>
      <c r="AM332" s="283"/>
      <c r="AN332" s="283"/>
      <c r="AO332" s="283"/>
      <c r="AP332" s="283"/>
      <c r="AQ332" s="283"/>
    </row>
    <row r="333" spans="1:43" s="263" customFormat="1" ht="9" customHeight="1" x14ac:dyDescent="0.25">
      <c r="A333" s="550" t="s">
        <v>51</v>
      </c>
      <c r="B333" s="629">
        <f t="shared" si="33"/>
        <v>1532</v>
      </c>
      <c r="C333" s="629"/>
      <c r="D333" s="631">
        <f t="shared" si="34"/>
        <v>1519</v>
      </c>
      <c r="E333" s="632">
        <v>245</v>
      </c>
      <c r="F333" s="629"/>
      <c r="G333" s="629">
        <f t="shared" si="35"/>
        <v>1254</v>
      </c>
      <c r="H333" s="632">
        <v>202</v>
      </c>
      <c r="I333" s="632">
        <v>172</v>
      </c>
      <c r="J333" s="629">
        <v>880</v>
      </c>
      <c r="K333" s="632">
        <v>3</v>
      </c>
      <c r="L333" s="632">
        <v>2</v>
      </c>
      <c r="M333" s="632">
        <v>15</v>
      </c>
      <c r="N333" s="632">
        <v>13</v>
      </c>
      <c r="AE333" s="283"/>
      <c r="AF333" s="283"/>
      <c r="AG333" s="283"/>
      <c r="AH333" s="283"/>
      <c r="AI333" s="283"/>
      <c r="AJ333" s="283"/>
      <c r="AK333" s="283"/>
      <c r="AL333" s="283"/>
      <c r="AM333" s="283"/>
      <c r="AN333" s="283"/>
      <c r="AO333" s="283"/>
      <c r="AP333" s="283"/>
      <c r="AQ333" s="283"/>
    </row>
    <row r="334" spans="1:43" s="263" customFormat="1" ht="9" customHeight="1" x14ac:dyDescent="0.25">
      <c r="A334" s="550" t="s">
        <v>52</v>
      </c>
      <c r="B334" s="629">
        <f t="shared" si="33"/>
        <v>776</v>
      </c>
      <c r="C334" s="629"/>
      <c r="D334" s="631">
        <f t="shared" si="34"/>
        <v>774</v>
      </c>
      <c r="E334" s="632">
        <v>30</v>
      </c>
      <c r="F334" s="629"/>
      <c r="G334" s="629">
        <f t="shared" si="35"/>
        <v>720</v>
      </c>
      <c r="H334" s="632">
        <v>102</v>
      </c>
      <c r="I334" s="632">
        <v>95</v>
      </c>
      <c r="J334" s="629">
        <v>523</v>
      </c>
      <c r="K334" s="632">
        <v>5</v>
      </c>
      <c r="L334" s="632">
        <v>4</v>
      </c>
      <c r="M334" s="632">
        <v>15</v>
      </c>
      <c r="N334" s="632">
        <v>2</v>
      </c>
      <c r="AE334" s="283"/>
      <c r="AF334" s="283"/>
      <c r="AG334" s="283"/>
      <c r="AH334" s="283"/>
      <c r="AI334" s="283"/>
      <c r="AJ334" s="283"/>
      <c r="AK334" s="283"/>
      <c r="AL334" s="283"/>
      <c r="AM334" s="283"/>
      <c r="AN334" s="283"/>
      <c r="AO334" s="283"/>
      <c r="AP334" s="283"/>
      <c r="AQ334" s="283"/>
    </row>
    <row r="335" spans="1:43" s="263" customFormat="1" ht="9" customHeight="1" x14ac:dyDescent="0.25">
      <c r="A335" s="603" t="s">
        <v>53</v>
      </c>
      <c r="B335" s="630">
        <f t="shared" si="33"/>
        <v>535</v>
      </c>
      <c r="C335" s="630"/>
      <c r="D335" s="633">
        <f t="shared" si="34"/>
        <v>534</v>
      </c>
      <c r="E335" s="634">
        <v>58</v>
      </c>
      <c r="F335" s="630"/>
      <c r="G335" s="630">
        <f t="shared" si="35"/>
        <v>468</v>
      </c>
      <c r="H335" s="634">
        <v>76</v>
      </c>
      <c r="I335" s="634">
        <v>49</v>
      </c>
      <c r="J335" s="630">
        <v>343</v>
      </c>
      <c r="K335" s="634">
        <v>0</v>
      </c>
      <c r="L335" s="634">
        <v>0</v>
      </c>
      <c r="M335" s="634">
        <v>8</v>
      </c>
      <c r="N335" s="634">
        <v>1</v>
      </c>
      <c r="AE335" s="283"/>
      <c r="AF335" s="283"/>
      <c r="AG335" s="283"/>
      <c r="AH335" s="283"/>
      <c r="AI335" s="283"/>
      <c r="AJ335" s="283"/>
      <c r="AK335" s="283"/>
      <c r="AL335" s="283"/>
      <c r="AM335" s="283"/>
      <c r="AN335" s="283"/>
      <c r="AO335" s="283"/>
      <c r="AP335" s="283"/>
      <c r="AQ335" s="283"/>
    </row>
    <row r="336" spans="1:43" ht="8.25" customHeight="1" x14ac:dyDescent="0.25">
      <c r="B336" s="259"/>
      <c r="C336" s="259"/>
      <c r="D336" s="259"/>
      <c r="E336" s="259"/>
      <c r="F336" s="259"/>
      <c r="G336" s="259"/>
      <c r="H336" s="259"/>
      <c r="I336" s="259"/>
      <c r="J336" s="259"/>
      <c r="K336" s="259"/>
      <c r="L336" s="259"/>
      <c r="AE336" s="283"/>
      <c r="AF336" s="283"/>
      <c r="AG336" s="283"/>
      <c r="AH336" s="283"/>
      <c r="AI336" s="283"/>
      <c r="AJ336" s="283"/>
      <c r="AK336" s="283"/>
      <c r="AL336" s="283"/>
      <c r="AM336" s="283"/>
      <c r="AN336" s="283"/>
      <c r="AO336" s="283"/>
      <c r="AP336" s="283"/>
      <c r="AQ336" s="283"/>
    </row>
    <row r="337" spans="1:43" ht="9" customHeight="1" x14ac:dyDescent="0.25">
      <c r="A337" s="601">
        <v>2010</v>
      </c>
      <c r="B337" s="262"/>
      <c r="C337" s="262"/>
      <c r="D337" s="262"/>
      <c r="E337" s="262"/>
      <c r="F337" s="262"/>
      <c r="G337" s="262"/>
      <c r="H337" s="262"/>
      <c r="I337" s="262"/>
      <c r="J337" s="262"/>
      <c r="K337" s="262"/>
      <c r="L337" s="262"/>
      <c r="M337" s="262"/>
      <c r="N337" s="262"/>
      <c r="AE337" s="283"/>
      <c r="AF337" s="283"/>
      <c r="AG337" s="283"/>
      <c r="AH337" s="283"/>
      <c r="AI337" s="283"/>
      <c r="AJ337" s="283"/>
      <c r="AK337" s="283"/>
      <c r="AL337" s="283"/>
      <c r="AM337" s="283"/>
      <c r="AN337" s="283"/>
      <c r="AO337" s="283"/>
      <c r="AP337" s="283"/>
      <c r="AQ337" s="283"/>
    </row>
    <row r="338" spans="1:43" s="263" customFormat="1" ht="9" customHeight="1" x14ac:dyDescent="0.25">
      <c r="A338" s="265" t="s">
        <v>21</v>
      </c>
      <c r="B338" s="262">
        <f>SUM(B340:B371)</f>
        <v>56037</v>
      </c>
      <c r="C338" s="262"/>
      <c r="D338" s="262">
        <f>SUM(D340:D371)</f>
        <v>55465</v>
      </c>
      <c r="E338" s="262">
        <f>SUM(E340:E371)</f>
        <v>5717</v>
      </c>
      <c r="F338" s="262"/>
      <c r="G338" s="262">
        <f t="shared" ref="G338:M338" si="36">SUM(G340:G371)</f>
        <v>48427</v>
      </c>
      <c r="H338" s="262">
        <f t="shared" si="36"/>
        <v>8046</v>
      </c>
      <c r="I338" s="262">
        <f t="shared" si="36"/>
        <v>6122</v>
      </c>
      <c r="J338" s="262">
        <f t="shared" si="36"/>
        <v>34259</v>
      </c>
      <c r="K338" s="262">
        <f t="shared" si="36"/>
        <v>161</v>
      </c>
      <c r="L338" s="262">
        <f t="shared" si="36"/>
        <v>481</v>
      </c>
      <c r="M338" s="262">
        <f t="shared" si="36"/>
        <v>679</v>
      </c>
      <c r="N338" s="262">
        <f>SUM(N340:N371)</f>
        <v>572</v>
      </c>
      <c r="AE338" s="283"/>
      <c r="AF338" s="283"/>
      <c r="AG338" s="283"/>
      <c r="AH338" s="283"/>
      <c r="AI338" s="283"/>
      <c r="AJ338" s="283"/>
      <c r="AK338" s="283"/>
      <c r="AL338" s="283"/>
      <c r="AM338" s="283"/>
      <c r="AN338" s="283"/>
      <c r="AO338" s="283"/>
      <c r="AP338" s="283"/>
      <c r="AQ338" s="283"/>
    </row>
    <row r="339" spans="1:43" s="263" customFormat="1" ht="2.1" customHeight="1" x14ac:dyDescent="0.25">
      <c r="A339" s="265"/>
      <c r="B339" s="262"/>
      <c r="C339" s="262"/>
      <c r="D339" s="262"/>
      <c r="E339" s="262"/>
      <c r="F339" s="262"/>
      <c r="G339" s="262"/>
      <c r="H339" s="262"/>
      <c r="I339" s="262"/>
      <c r="J339" s="262"/>
      <c r="K339" s="262"/>
      <c r="L339" s="262"/>
      <c r="M339" s="262"/>
      <c r="N339" s="262"/>
      <c r="AE339" s="283"/>
      <c r="AF339" s="283"/>
      <c r="AG339" s="283"/>
      <c r="AH339" s="283"/>
      <c r="AI339" s="283"/>
      <c r="AJ339" s="283"/>
      <c r="AK339" s="283"/>
      <c r="AL339" s="283"/>
      <c r="AM339" s="283"/>
      <c r="AN339" s="283"/>
      <c r="AO339" s="283"/>
      <c r="AP339" s="283"/>
      <c r="AQ339" s="283"/>
    </row>
    <row r="340" spans="1:43" s="263" customFormat="1" ht="9" customHeight="1" x14ac:dyDescent="0.25">
      <c r="A340" s="550" t="s">
        <v>23</v>
      </c>
      <c r="B340" s="629">
        <f>SUM(D340+N340)</f>
        <v>243</v>
      </c>
      <c r="C340" s="629"/>
      <c r="D340" s="631">
        <f>SUM(E340+G340+K340+L340+M340)</f>
        <v>240</v>
      </c>
      <c r="E340" s="632">
        <v>34</v>
      </c>
      <c r="F340" s="629"/>
      <c r="G340" s="629">
        <f>SUM(H340:J340)</f>
        <v>202</v>
      </c>
      <c r="H340" s="632">
        <v>28</v>
      </c>
      <c r="I340" s="632">
        <v>19</v>
      </c>
      <c r="J340" s="629">
        <v>155</v>
      </c>
      <c r="K340" s="632">
        <v>2</v>
      </c>
      <c r="L340" s="632">
        <v>0</v>
      </c>
      <c r="M340" s="632">
        <v>2</v>
      </c>
      <c r="N340" s="632">
        <v>3</v>
      </c>
      <c r="AE340" s="283"/>
      <c r="AF340" s="283"/>
      <c r="AG340" s="283"/>
      <c r="AH340" s="283"/>
      <c r="AI340" s="283"/>
      <c r="AJ340" s="283"/>
      <c r="AK340" s="283"/>
      <c r="AL340" s="283"/>
      <c r="AM340" s="283"/>
      <c r="AN340" s="283"/>
      <c r="AO340" s="283"/>
      <c r="AP340" s="283"/>
      <c r="AQ340" s="283"/>
    </row>
    <row r="341" spans="1:43" s="263" customFormat="1" ht="9" customHeight="1" x14ac:dyDescent="0.25">
      <c r="A341" s="550" t="s">
        <v>24</v>
      </c>
      <c r="B341" s="629">
        <f>SUM(D341+N341)</f>
        <v>1826</v>
      </c>
      <c r="C341" s="629"/>
      <c r="D341" s="631">
        <f>SUM(E341+G341+K341+L341+M341)</f>
        <v>1818</v>
      </c>
      <c r="E341" s="629">
        <v>311</v>
      </c>
      <c r="F341" s="629"/>
      <c r="G341" s="629">
        <f>SUM(H341:J341)</f>
        <v>1472</v>
      </c>
      <c r="H341" s="629">
        <v>214</v>
      </c>
      <c r="I341" s="629">
        <v>182</v>
      </c>
      <c r="J341" s="629">
        <v>1076</v>
      </c>
      <c r="K341" s="629">
        <v>2</v>
      </c>
      <c r="L341" s="629">
        <v>3</v>
      </c>
      <c r="M341" s="629">
        <v>30</v>
      </c>
      <c r="N341" s="629">
        <v>8</v>
      </c>
      <c r="AE341" s="283"/>
      <c r="AF341" s="283"/>
      <c r="AG341" s="283"/>
      <c r="AH341" s="283"/>
      <c r="AI341" s="283"/>
      <c r="AJ341" s="283"/>
      <c r="AK341" s="283"/>
      <c r="AL341" s="283"/>
      <c r="AM341" s="283"/>
      <c r="AN341" s="283"/>
      <c r="AO341" s="283"/>
      <c r="AP341" s="283"/>
      <c r="AQ341" s="283"/>
    </row>
    <row r="342" spans="1:43" s="263" customFormat="1" ht="9" customHeight="1" x14ac:dyDescent="0.25">
      <c r="A342" s="550" t="s">
        <v>25</v>
      </c>
      <c r="B342" s="629">
        <f>SUM(D342+N342)</f>
        <v>215</v>
      </c>
      <c r="C342" s="629"/>
      <c r="D342" s="631">
        <f>SUM(E342+G342+K342+L342+M342)</f>
        <v>214</v>
      </c>
      <c r="E342" s="629">
        <v>59</v>
      </c>
      <c r="F342" s="629"/>
      <c r="G342" s="629">
        <f>SUM(H342:J342)</f>
        <v>144</v>
      </c>
      <c r="H342" s="629">
        <v>19</v>
      </c>
      <c r="I342" s="629">
        <v>20</v>
      </c>
      <c r="J342" s="629">
        <v>105</v>
      </c>
      <c r="K342" s="629">
        <v>0</v>
      </c>
      <c r="L342" s="629">
        <v>5</v>
      </c>
      <c r="M342" s="629">
        <v>6</v>
      </c>
      <c r="N342" s="629">
        <v>1</v>
      </c>
      <c r="AE342" s="283"/>
      <c r="AF342" s="283"/>
      <c r="AG342" s="283"/>
      <c r="AH342" s="283"/>
      <c r="AI342" s="283"/>
      <c r="AJ342" s="283"/>
      <c r="AK342" s="283"/>
      <c r="AL342" s="283"/>
      <c r="AM342" s="283"/>
      <c r="AN342" s="283"/>
      <c r="AO342" s="283"/>
      <c r="AP342" s="283"/>
      <c r="AQ342" s="283"/>
    </row>
    <row r="343" spans="1:43" s="263" customFormat="1" ht="9" customHeight="1" x14ac:dyDescent="0.25">
      <c r="A343" s="603" t="s">
        <v>26</v>
      </c>
      <c r="B343" s="630">
        <f>SUM(D343+N343)</f>
        <v>162</v>
      </c>
      <c r="C343" s="630"/>
      <c r="D343" s="633">
        <f>SUM(E343+G343+K343+L343+M343)</f>
        <v>158</v>
      </c>
      <c r="E343" s="634">
        <v>9</v>
      </c>
      <c r="F343" s="630"/>
      <c r="G343" s="630">
        <f>SUM(H343:J343)</f>
        <v>143</v>
      </c>
      <c r="H343" s="634">
        <v>34</v>
      </c>
      <c r="I343" s="634">
        <v>26</v>
      </c>
      <c r="J343" s="630">
        <v>83</v>
      </c>
      <c r="K343" s="634">
        <v>0</v>
      </c>
      <c r="L343" s="634">
        <v>0</v>
      </c>
      <c r="M343" s="634">
        <v>6</v>
      </c>
      <c r="N343" s="634">
        <v>4</v>
      </c>
      <c r="AE343" s="283"/>
      <c r="AF343" s="283"/>
      <c r="AG343" s="283"/>
      <c r="AH343" s="283"/>
      <c r="AI343" s="283"/>
      <c r="AJ343" s="283"/>
      <c r="AK343" s="283"/>
      <c r="AL343" s="283"/>
      <c r="AM343" s="283"/>
      <c r="AN343" s="283"/>
      <c r="AO343" s="283"/>
      <c r="AP343" s="283"/>
      <c r="AQ343" s="283"/>
    </row>
    <row r="344" spans="1:43" s="263" customFormat="1" ht="9" customHeight="1" x14ac:dyDescent="0.25">
      <c r="A344" s="550" t="s">
        <v>27</v>
      </c>
      <c r="B344" s="629">
        <f t="shared" ref="B344:B371" si="37">SUM(D344+N344)</f>
        <v>956</v>
      </c>
      <c r="C344" s="629"/>
      <c r="D344" s="631">
        <f t="shared" ref="D344:D371" si="38">SUM(E344+G344+K344+L344+M344)</f>
        <v>945</v>
      </c>
      <c r="E344" s="632">
        <v>56</v>
      </c>
      <c r="F344" s="629"/>
      <c r="G344" s="629">
        <f t="shared" ref="G344:G371" si="39">SUM(H344:J344)</f>
        <v>871</v>
      </c>
      <c r="H344" s="632">
        <v>135</v>
      </c>
      <c r="I344" s="632">
        <v>89</v>
      </c>
      <c r="J344" s="629">
        <v>647</v>
      </c>
      <c r="K344" s="632">
        <v>2</v>
      </c>
      <c r="L344" s="632">
        <v>0</v>
      </c>
      <c r="M344" s="632">
        <v>16</v>
      </c>
      <c r="N344" s="632">
        <v>11</v>
      </c>
      <c r="AE344" s="283"/>
      <c r="AF344" s="283"/>
      <c r="AG344" s="283"/>
      <c r="AH344" s="283"/>
      <c r="AI344" s="283"/>
      <c r="AJ344" s="283"/>
      <c r="AK344" s="283"/>
      <c r="AL344" s="283"/>
      <c r="AM344" s="283"/>
      <c r="AN344" s="283"/>
      <c r="AO344" s="283"/>
      <c r="AP344" s="283"/>
      <c r="AQ344" s="283"/>
    </row>
    <row r="345" spans="1:43" s="263" customFormat="1" ht="9" customHeight="1" x14ac:dyDescent="0.25">
      <c r="A345" s="550" t="s">
        <v>28</v>
      </c>
      <c r="B345" s="629">
        <f t="shared" si="37"/>
        <v>234</v>
      </c>
      <c r="C345" s="629"/>
      <c r="D345" s="631">
        <f t="shared" si="38"/>
        <v>234</v>
      </c>
      <c r="E345" s="632">
        <v>24</v>
      </c>
      <c r="F345" s="629"/>
      <c r="G345" s="629">
        <f t="shared" si="39"/>
        <v>207</v>
      </c>
      <c r="H345" s="632">
        <v>24</v>
      </c>
      <c r="I345" s="632">
        <v>21</v>
      </c>
      <c r="J345" s="629">
        <v>162</v>
      </c>
      <c r="K345" s="632">
        <v>0</v>
      </c>
      <c r="L345" s="632">
        <v>0</v>
      </c>
      <c r="M345" s="632">
        <v>3</v>
      </c>
      <c r="N345" s="632">
        <v>0</v>
      </c>
      <c r="AE345" s="283"/>
      <c r="AF345" s="283"/>
      <c r="AG345" s="283"/>
      <c r="AH345" s="283"/>
      <c r="AI345" s="283"/>
      <c r="AJ345" s="283"/>
      <c r="AK345" s="283"/>
      <c r="AL345" s="283"/>
      <c r="AM345" s="283"/>
      <c r="AN345" s="283"/>
      <c r="AO345" s="283"/>
      <c r="AP345" s="283"/>
      <c r="AQ345" s="283"/>
    </row>
    <row r="346" spans="1:43" s="263" customFormat="1" ht="9" customHeight="1" x14ac:dyDescent="0.25">
      <c r="A346" s="550" t="s">
        <v>29</v>
      </c>
      <c r="B346" s="629">
        <f t="shared" si="37"/>
        <v>609</v>
      </c>
      <c r="C346" s="629"/>
      <c r="D346" s="631">
        <f t="shared" si="38"/>
        <v>606</v>
      </c>
      <c r="E346" s="632">
        <v>114</v>
      </c>
      <c r="F346" s="629"/>
      <c r="G346" s="629">
        <f t="shared" si="39"/>
        <v>486</v>
      </c>
      <c r="H346" s="632">
        <v>85</v>
      </c>
      <c r="I346" s="632">
        <v>75</v>
      </c>
      <c r="J346" s="629">
        <v>326</v>
      </c>
      <c r="K346" s="632">
        <v>2</v>
      </c>
      <c r="L346" s="632">
        <v>2</v>
      </c>
      <c r="M346" s="632">
        <v>2</v>
      </c>
      <c r="N346" s="632">
        <v>3</v>
      </c>
      <c r="AE346" s="283"/>
      <c r="AF346" s="283"/>
      <c r="AG346" s="283"/>
      <c r="AH346" s="283"/>
      <c r="AI346" s="283"/>
      <c r="AJ346" s="283"/>
      <c r="AK346" s="283"/>
      <c r="AL346" s="283"/>
      <c r="AM346" s="283"/>
      <c r="AN346" s="283"/>
      <c r="AO346" s="283"/>
      <c r="AP346" s="283"/>
      <c r="AQ346" s="283"/>
    </row>
    <row r="347" spans="1:43" s="263" customFormat="1" ht="9" customHeight="1" x14ac:dyDescent="0.25">
      <c r="A347" s="603" t="s">
        <v>30</v>
      </c>
      <c r="B347" s="630">
        <f t="shared" si="37"/>
        <v>2684</v>
      </c>
      <c r="C347" s="630"/>
      <c r="D347" s="633">
        <f t="shared" si="38"/>
        <v>2655</v>
      </c>
      <c r="E347" s="634">
        <v>187</v>
      </c>
      <c r="F347" s="630"/>
      <c r="G347" s="630">
        <f t="shared" si="39"/>
        <v>2424</v>
      </c>
      <c r="H347" s="634">
        <v>408</v>
      </c>
      <c r="I347" s="634">
        <v>279</v>
      </c>
      <c r="J347" s="630">
        <v>1737</v>
      </c>
      <c r="K347" s="634">
        <v>3</v>
      </c>
      <c r="L347" s="634">
        <v>25</v>
      </c>
      <c r="M347" s="634">
        <v>16</v>
      </c>
      <c r="N347" s="634">
        <v>29</v>
      </c>
      <c r="AE347" s="283"/>
      <c r="AF347" s="283"/>
      <c r="AG347" s="283"/>
      <c r="AH347" s="283"/>
      <c r="AI347" s="283"/>
      <c r="AJ347" s="283"/>
      <c r="AK347" s="283"/>
      <c r="AL347" s="283"/>
      <c r="AM347" s="283"/>
      <c r="AN347" s="283"/>
      <c r="AO347" s="283"/>
      <c r="AP347" s="283"/>
      <c r="AQ347" s="283"/>
    </row>
    <row r="348" spans="1:43" s="263" customFormat="1" ht="9" customHeight="1" x14ac:dyDescent="0.25">
      <c r="A348" s="550" t="s">
        <v>63</v>
      </c>
      <c r="B348" s="629">
        <f t="shared" si="37"/>
        <v>4637</v>
      </c>
      <c r="C348" s="629"/>
      <c r="D348" s="631">
        <f t="shared" si="38"/>
        <v>4581</v>
      </c>
      <c r="E348" s="632">
        <v>565</v>
      </c>
      <c r="F348" s="629"/>
      <c r="G348" s="629">
        <f t="shared" si="39"/>
        <v>3691</v>
      </c>
      <c r="H348" s="632">
        <v>528</v>
      </c>
      <c r="I348" s="632">
        <v>392</v>
      </c>
      <c r="J348" s="629">
        <v>2771</v>
      </c>
      <c r="K348" s="632">
        <v>44</v>
      </c>
      <c r="L348" s="632">
        <v>173</v>
      </c>
      <c r="M348" s="632">
        <v>108</v>
      </c>
      <c r="N348" s="632">
        <v>56</v>
      </c>
      <c r="AE348" s="283"/>
      <c r="AF348" s="283"/>
      <c r="AG348" s="283"/>
      <c r="AH348" s="283"/>
      <c r="AI348" s="283"/>
      <c r="AJ348" s="283"/>
      <c r="AK348" s="283"/>
      <c r="AL348" s="283"/>
      <c r="AM348" s="283"/>
      <c r="AN348" s="283"/>
      <c r="AO348" s="283"/>
      <c r="AP348" s="283"/>
      <c r="AQ348" s="283"/>
    </row>
    <row r="349" spans="1:43" s="263" customFormat="1" ht="9" customHeight="1" x14ac:dyDescent="0.25">
      <c r="A349" s="550" t="s">
        <v>31</v>
      </c>
      <c r="B349" s="629">
        <f t="shared" si="37"/>
        <v>182</v>
      </c>
      <c r="C349" s="629"/>
      <c r="D349" s="631">
        <f t="shared" si="38"/>
        <v>182</v>
      </c>
      <c r="E349" s="632">
        <v>45</v>
      </c>
      <c r="F349" s="629"/>
      <c r="G349" s="629">
        <f t="shared" si="39"/>
        <v>119</v>
      </c>
      <c r="H349" s="632">
        <v>16</v>
      </c>
      <c r="I349" s="632">
        <v>13</v>
      </c>
      <c r="J349" s="629">
        <v>90</v>
      </c>
      <c r="K349" s="632">
        <v>2</v>
      </c>
      <c r="L349" s="632">
        <v>11</v>
      </c>
      <c r="M349" s="632">
        <v>5</v>
      </c>
      <c r="N349" s="632">
        <v>0</v>
      </c>
      <c r="AE349" s="283"/>
      <c r="AF349" s="283"/>
      <c r="AG349" s="283"/>
      <c r="AH349" s="283"/>
      <c r="AI349" s="283"/>
      <c r="AJ349" s="283"/>
      <c r="AK349" s="283"/>
      <c r="AL349" s="283"/>
      <c r="AM349" s="283"/>
      <c r="AN349" s="283"/>
      <c r="AO349" s="283"/>
      <c r="AP349" s="283"/>
      <c r="AQ349" s="283"/>
    </row>
    <row r="350" spans="1:43" s="263" customFormat="1" ht="9" customHeight="1" x14ac:dyDescent="0.25">
      <c r="A350" s="550" t="s">
        <v>32</v>
      </c>
      <c r="B350" s="629">
        <f t="shared" si="37"/>
        <v>3064</v>
      </c>
      <c r="C350" s="629"/>
      <c r="D350" s="631">
        <f t="shared" si="38"/>
        <v>3043</v>
      </c>
      <c r="E350" s="632">
        <v>474</v>
      </c>
      <c r="F350" s="629"/>
      <c r="G350" s="629">
        <f t="shared" si="39"/>
        <v>2471</v>
      </c>
      <c r="H350" s="632">
        <v>379</v>
      </c>
      <c r="I350" s="632">
        <v>368</v>
      </c>
      <c r="J350" s="629">
        <v>1724</v>
      </c>
      <c r="K350" s="632">
        <v>22</v>
      </c>
      <c r="L350" s="632">
        <v>6</v>
      </c>
      <c r="M350" s="632">
        <v>70</v>
      </c>
      <c r="N350" s="632">
        <v>21</v>
      </c>
      <c r="AE350" s="283"/>
      <c r="AF350" s="283"/>
      <c r="AG350" s="283"/>
      <c r="AH350" s="283"/>
      <c r="AI350" s="283"/>
      <c r="AJ350" s="283"/>
      <c r="AK350" s="283"/>
      <c r="AL350" s="283"/>
      <c r="AM350" s="283"/>
      <c r="AN350" s="283"/>
      <c r="AO350" s="283"/>
      <c r="AP350" s="283"/>
      <c r="AQ350" s="283"/>
    </row>
    <row r="351" spans="1:43" s="263" customFormat="1" ht="9" customHeight="1" x14ac:dyDescent="0.25">
      <c r="A351" s="603" t="s">
        <v>33</v>
      </c>
      <c r="B351" s="630">
        <f t="shared" si="37"/>
        <v>736</v>
      </c>
      <c r="C351" s="630"/>
      <c r="D351" s="633">
        <f t="shared" si="38"/>
        <v>734</v>
      </c>
      <c r="E351" s="634">
        <v>134</v>
      </c>
      <c r="F351" s="630"/>
      <c r="G351" s="630">
        <f t="shared" si="39"/>
        <v>581</v>
      </c>
      <c r="H351" s="634">
        <v>128</v>
      </c>
      <c r="I351" s="634">
        <v>77</v>
      </c>
      <c r="J351" s="630">
        <v>376</v>
      </c>
      <c r="K351" s="634">
        <v>0</v>
      </c>
      <c r="L351" s="634">
        <v>0</v>
      </c>
      <c r="M351" s="634">
        <v>19</v>
      </c>
      <c r="N351" s="634">
        <v>2</v>
      </c>
      <c r="AE351" s="283"/>
      <c r="AF351" s="283"/>
      <c r="AG351" s="283"/>
      <c r="AH351" s="283"/>
      <c r="AI351" s="283"/>
      <c r="AJ351" s="283"/>
      <c r="AK351" s="283"/>
      <c r="AL351" s="283"/>
      <c r="AM351" s="283"/>
      <c r="AN351" s="283"/>
      <c r="AO351" s="283"/>
      <c r="AP351" s="283"/>
      <c r="AQ351" s="283"/>
    </row>
    <row r="352" spans="1:43" s="263" customFormat="1" ht="9" customHeight="1" x14ac:dyDescent="0.25">
      <c r="A352" s="550" t="s">
        <v>34</v>
      </c>
      <c r="B352" s="629">
        <f t="shared" si="37"/>
        <v>362</v>
      </c>
      <c r="C352" s="629"/>
      <c r="D352" s="631">
        <f t="shared" si="38"/>
        <v>358</v>
      </c>
      <c r="E352" s="632">
        <v>49</v>
      </c>
      <c r="F352" s="629"/>
      <c r="G352" s="629">
        <f t="shared" si="39"/>
        <v>299</v>
      </c>
      <c r="H352" s="632">
        <v>42</v>
      </c>
      <c r="I352" s="632">
        <v>44</v>
      </c>
      <c r="J352" s="629">
        <v>213</v>
      </c>
      <c r="K352" s="632">
        <v>2</v>
      </c>
      <c r="L352" s="632">
        <v>0</v>
      </c>
      <c r="M352" s="632">
        <v>8</v>
      </c>
      <c r="N352" s="632">
        <v>4</v>
      </c>
      <c r="AE352" s="283"/>
      <c r="AF352" s="283"/>
      <c r="AG352" s="283"/>
      <c r="AH352" s="283"/>
      <c r="AI352" s="283"/>
      <c r="AJ352" s="283"/>
      <c r="AK352" s="283"/>
      <c r="AL352" s="283"/>
      <c r="AM352" s="283"/>
      <c r="AN352" s="283"/>
      <c r="AO352" s="283"/>
      <c r="AP352" s="283"/>
      <c r="AQ352" s="283"/>
    </row>
    <row r="353" spans="1:43" s="263" customFormat="1" ht="9" customHeight="1" x14ac:dyDescent="0.25">
      <c r="A353" s="550" t="s">
        <v>35</v>
      </c>
      <c r="B353" s="629">
        <f t="shared" si="37"/>
        <v>6083</v>
      </c>
      <c r="C353" s="629"/>
      <c r="D353" s="631">
        <f t="shared" si="38"/>
        <v>6067</v>
      </c>
      <c r="E353" s="632">
        <v>553</v>
      </c>
      <c r="F353" s="629"/>
      <c r="G353" s="629">
        <f t="shared" si="39"/>
        <v>5423</v>
      </c>
      <c r="H353" s="632">
        <v>862</v>
      </c>
      <c r="I353" s="632">
        <v>615</v>
      </c>
      <c r="J353" s="629">
        <v>3946</v>
      </c>
      <c r="K353" s="632">
        <v>19</v>
      </c>
      <c r="L353" s="632">
        <v>48</v>
      </c>
      <c r="M353" s="632">
        <v>24</v>
      </c>
      <c r="N353" s="632">
        <v>16</v>
      </c>
      <c r="AE353" s="283"/>
      <c r="AF353" s="283"/>
      <c r="AG353" s="283"/>
      <c r="AH353" s="283"/>
      <c r="AI353" s="283"/>
      <c r="AJ353" s="283"/>
      <c r="AK353" s="283"/>
      <c r="AL353" s="283"/>
      <c r="AM353" s="283"/>
      <c r="AN353" s="283"/>
      <c r="AO353" s="283"/>
      <c r="AP353" s="283"/>
      <c r="AQ353" s="283"/>
    </row>
    <row r="354" spans="1:43" s="263" customFormat="1" ht="9" customHeight="1" x14ac:dyDescent="0.25">
      <c r="A354" s="550" t="s">
        <v>36</v>
      </c>
      <c r="B354" s="629">
        <f t="shared" si="37"/>
        <v>6555</v>
      </c>
      <c r="C354" s="629"/>
      <c r="D354" s="631">
        <f t="shared" si="38"/>
        <v>6531</v>
      </c>
      <c r="E354" s="632">
        <v>677</v>
      </c>
      <c r="F354" s="629"/>
      <c r="G354" s="629">
        <f t="shared" si="39"/>
        <v>5724</v>
      </c>
      <c r="H354" s="632">
        <v>1005</v>
      </c>
      <c r="I354" s="632">
        <v>686</v>
      </c>
      <c r="J354" s="629">
        <v>4033</v>
      </c>
      <c r="K354" s="632">
        <v>11</v>
      </c>
      <c r="L354" s="632">
        <v>14</v>
      </c>
      <c r="M354" s="632">
        <v>105</v>
      </c>
      <c r="N354" s="632">
        <v>24</v>
      </c>
      <c r="AE354" s="283"/>
      <c r="AF354" s="283"/>
      <c r="AG354" s="283"/>
      <c r="AH354" s="283"/>
      <c r="AI354" s="283"/>
      <c r="AJ354" s="283"/>
      <c r="AK354" s="283"/>
      <c r="AL354" s="283"/>
      <c r="AM354" s="283"/>
      <c r="AN354" s="283"/>
      <c r="AO354" s="283"/>
      <c r="AP354" s="283"/>
      <c r="AQ354" s="283"/>
    </row>
    <row r="355" spans="1:43" s="263" customFormat="1" ht="9" customHeight="1" x14ac:dyDescent="0.25">
      <c r="A355" s="603" t="s">
        <v>37</v>
      </c>
      <c r="B355" s="630">
        <f t="shared" si="37"/>
        <v>1871</v>
      </c>
      <c r="C355" s="630"/>
      <c r="D355" s="633">
        <f t="shared" si="38"/>
        <v>1861</v>
      </c>
      <c r="E355" s="634">
        <v>434</v>
      </c>
      <c r="F355" s="630"/>
      <c r="G355" s="630">
        <f t="shared" si="39"/>
        <v>1331</v>
      </c>
      <c r="H355" s="634">
        <v>224</v>
      </c>
      <c r="I355" s="634">
        <v>191</v>
      </c>
      <c r="J355" s="630">
        <v>916</v>
      </c>
      <c r="K355" s="634">
        <v>22</v>
      </c>
      <c r="L355" s="634">
        <v>57</v>
      </c>
      <c r="M355" s="634">
        <v>17</v>
      </c>
      <c r="N355" s="634">
        <v>10</v>
      </c>
      <c r="AE355" s="283"/>
      <c r="AF355" s="283"/>
      <c r="AG355" s="283"/>
      <c r="AH355" s="283"/>
      <c r="AI355" s="283"/>
      <c r="AJ355" s="283"/>
      <c r="AK355" s="283"/>
      <c r="AL355" s="283"/>
      <c r="AM355" s="283"/>
      <c r="AN355" s="283"/>
      <c r="AO355" s="283"/>
      <c r="AP355" s="283"/>
      <c r="AQ355" s="283"/>
    </row>
    <row r="356" spans="1:43" s="263" customFormat="1" ht="9" customHeight="1" x14ac:dyDescent="0.25">
      <c r="A356" s="550" t="s">
        <v>38</v>
      </c>
      <c r="B356" s="629">
        <f t="shared" si="37"/>
        <v>463</v>
      </c>
      <c r="C356" s="629"/>
      <c r="D356" s="631">
        <f t="shared" si="38"/>
        <v>450</v>
      </c>
      <c r="E356" s="632">
        <v>70</v>
      </c>
      <c r="F356" s="629"/>
      <c r="G356" s="629">
        <f t="shared" si="39"/>
        <v>373</v>
      </c>
      <c r="H356" s="632">
        <v>61</v>
      </c>
      <c r="I356" s="632">
        <v>57</v>
      </c>
      <c r="J356" s="629">
        <v>255</v>
      </c>
      <c r="K356" s="632">
        <v>4</v>
      </c>
      <c r="L356" s="632">
        <v>0</v>
      </c>
      <c r="M356" s="632">
        <v>3</v>
      </c>
      <c r="N356" s="632">
        <v>13</v>
      </c>
      <c r="AE356" s="283"/>
      <c r="AF356" s="283"/>
      <c r="AG356" s="283"/>
      <c r="AH356" s="283"/>
      <c r="AI356" s="283"/>
      <c r="AJ356" s="283"/>
      <c r="AK356" s="283"/>
      <c r="AL356" s="283"/>
      <c r="AM356" s="283"/>
      <c r="AN356" s="283"/>
      <c r="AO356" s="283"/>
      <c r="AP356" s="283"/>
      <c r="AQ356" s="283"/>
    </row>
    <row r="357" spans="1:43" s="263" customFormat="1" ht="9" customHeight="1" x14ac:dyDescent="0.25">
      <c r="A357" s="550" t="s">
        <v>39</v>
      </c>
      <c r="B357" s="629">
        <f t="shared" si="37"/>
        <v>225</v>
      </c>
      <c r="C357" s="629"/>
      <c r="D357" s="631">
        <f t="shared" si="38"/>
        <v>220</v>
      </c>
      <c r="E357" s="632">
        <v>25</v>
      </c>
      <c r="F357" s="629"/>
      <c r="G357" s="629">
        <f t="shared" si="39"/>
        <v>195</v>
      </c>
      <c r="H357" s="632">
        <v>39</v>
      </c>
      <c r="I357" s="632">
        <v>21</v>
      </c>
      <c r="J357" s="629">
        <v>135</v>
      </c>
      <c r="K357" s="632">
        <v>0</v>
      </c>
      <c r="L357" s="632">
        <v>0</v>
      </c>
      <c r="M357" s="632">
        <v>0</v>
      </c>
      <c r="N357" s="632">
        <v>5</v>
      </c>
      <c r="AE357" s="283"/>
      <c r="AF357" s="283"/>
      <c r="AG357" s="283"/>
      <c r="AH357" s="283"/>
      <c r="AI357" s="283"/>
      <c r="AJ357" s="283"/>
      <c r="AK357" s="283"/>
      <c r="AL357" s="283"/>
      <c r="AM357" s="283"/>
      <c r="AN357" s="283"/>
      <c r="AO357" s="283"/>
      <c r="AP357" s="283"/>
      <c r="AQ357" s="283"/>
    </row>
    <row r="358" spans="1:43" s="263" customFormat="1" ht="9" customHeight="1" x14ac:dyDescent="0.25">
      <c r="A358" s="550" t="s">
        <v>40</v>
      </c>
      <c r="B358" s="629">
        <f t="shared" si="37"/>
        <v>9842</v>
      </c>
      <c r="C358" s="629"/>
      <c r="D358" s="631">
        <f t="shared" si="38"/>
        <v>9796</v>
      </c>
      <c r="E358" s="632">
        <v>125</v>
      </c>
      <c r="F358" s="629"/>
      <c r="G358" s="629">
        <f t="shared" si="39"/>
        <v>9510</v>
      </c>
      <c r="H358" s="632">
        <v>1673</v>
      </c>
      <c r="I358" s="632">
        <v>1258</v>
      </c>
      <c r="J358" s="629">
        <v>6579</v>
      </c>
      <c r="K358" s="632">
        <v>4</v>
      </c>
      <c r="L358" s="632">
        <v>123</v>
      </c>
      <c r="M358" s="632">
        <v>34</v>
      </c>
      <c r="N358" s="632">
        <v>46</v>
      </c>
      <c r="AE358" s="283"/>
      <c r="AF358" s="283"/>
      <c r="AG358" s="283"/>
      <c r="AH358" s="283"/>
      <c r="AI358" s="283"/>
      <c r="AJ358" s="283"/>
      <c r="AK358" s="283"/>
      <c r="AL358" s="283"/>
      <c r="AM358" s="283"/>
      <c r="AN358" s="283"/>
      <c r="AO358" s="283"/>
      <c r="AP358" s="283"/>
      <c r="AQ358" s="283"/>
    </row>
    <row r="359" spans="1:43" s="263" customFormat="1" ht="9" customHeight="1" x14ac:dyDescent="0.25">
      <c r="A359" s="603" t="s">
        <v>41</v>
      </c>
      <c r="B359" s="630">
        <f t="shared" si="37"/>
        <v>972</v>
      </c>
      <c r="C359" s="630"/>
      <c r="D359" s="633">
        <f t="shared" si="38"/>
        <v>966</v>
      </c>
      <c r="E359" s="634">
        <v>233</v>
      </c>
      <c r="F359" s="630"/>
      <c r="G359" s="630">
        <f t="shared" si="39"/>
        <v>719</v>
      </c>
      <c r="H359" s="634">
        <v>119</v>
      </c>
      <c r="I359" s="634">
        <v>102</v>
      </c>
      <c r="J359" s="630">
        <v>498</v>
      </c>
      <c r="K359" s="634">
        <v>0</v>
      </c>
      <c r="L359" s="634">
        <v>0</v>
      </c>
      <c r="M359" s="634">
        <v>14</v>
      </c>
      <c r="N359" s="634">
        <v>6</v>
      </c>
      <c r="AE359" s="283"/>
      <c r="AF359" s="283"/>
      <c r="AG359" s="283"/>
      <c r="AH359" s="283"/>
      <c r="AI359" s="283"/>
      <c r="AJ359" s="283"/>
      <c r="AK359" s="283"/>
      <c r="AL359" s="283"/>
      <c r="AM359" s="283"/>
      <c r="AN359" s="283"/>
      <c r="AO359" s="283"/>
      <c r="AP359" s="283"/>
      <c r="AQ359" s="283"/>
    </row>
    <row r="360" spans="1:43" s="263" customFormat="1" ht="9" customHeight="1" x14ac:dyDescent="0.25">
      <c r="A360" s="550" t="s">
        <v>42</v>
      </c>
      <c r="B360" s="629">
        <f t="shared" si="37"/>
        <v>2454</v>
      </c>
      <c r="C360" s="629"/>
      <c r="D360" s="631">
        <f t="shared" si="38"/>
        <v>2439</v>
      </c>
      <c r="E360" s="632">
        <v>277</v>
      </c>
      <c r="F360" s="629"/>
      <c r="G360" s="629">
        <f t="shared" si="39"/>
        <v>2118</v>
      </c>
      <c r="H360" s="632">
        <v>341</v>
      </c>
      <c r="I360" s="632">
        <v>297</v>
      </c>
      <c r="J360" s="629">
        <v>1480</v>
      </c>
      <c r="K360" s="632">
        <v>1</v>
      </c>
      <c r="L360" s="632">
        <v>6</v>
      </c>
      <c r="M360" s="632">
        <v>37</v>
      </c>
      <c r="N360" s="632">
        <v>15</v>
      </c>
      <c r="AE360" s="283"/>
      <c r="AF360" s="283"/>
      <c r="AG360" s="283"/>
      <c r="AH360" s="283"/>
      <c r="AI360" s="283"/>
      <c r="AJ360" s="283"/>
      <c r="AK360" s="283"/>
      <c r="AL360" s="283"/>
      <c r="AM360" s="283"/>
      <c r="AN360" s="283"/>
      <c r="AO360" s="283"/>
      <c r="AP360" s="283"/>
      <c r="AQ360" s="283"/>
    </row>
    <row r="361" spans="1:43" s="263" customFormat="1" ht="9" customHeight="1" x14ac:dyDescent="0.25">
      <c r="A361" s="550" t="s">
        <v>43</v>
      </c>
      <c r="B361" s="629">
        <f t="shared" si="37"/>
        <v>1013</v>
      </c>
      <c r="C361" s="629"/>
      <c r="D361" s="631">
        <f t="shared" si="38"/>
        <v>1007</v>
      </c>
      <c r="E361" s="632">
        <v>185</v>
      </c>
      <c r="F361" s="629"/>
      <c r="G361" s="629">
        <f t="shared" si="39"/>
        <v>789</v>
      </c>
      <c r="H361" s="632">
        <v>146</v>
      </c>
      <c r="I361" s="632">
        <v>102</v>
      </c>
      <c r="J361" s="629">
        <v>541</v>
      </c>
      <c r="K361" s="632">
        <v>7</v>
      </c>
      <c r="L361" s="632">
        <v>0</v>
      </c>
      <c r="M361" s="632">
        <v>26</v>
      </c>
      <c r="N361" s="632">
        <v>6</v>
      </c>
      <c r="AE361" s="283"/>
      <c r="AF361" s="283"/>
      <c r="AG361" s="283"/>
      <c r="AH361" s="283"/>
      <c r="AI361" s="283"/>
      <c r="AJ361" s="283"/>
      <c r="AK361" s="283"/>
      <c r="AL361" s="283"/>
      <c r="AM361" s="283"/>
      <c r="AN361" s="283"/>
      <c r="AO361" s="283"/>
      <c r="AP361" s="283"/>
      <c r="AQ361" s="283"/>
    </row>
    <row r="362" spans="1:43" s="263" customFormat="1" ht="9" customHeight="1" x14ac:dyDescent="0.25">
      <c r="A362" s="550" t="s">
        <v>44</v>
      </c>
      <c r="B362" s="629">
        <f t="shared" si="37"/>
        <v>422</v>
      </c>
      <c r="C362" s="629"/>
      <c r="D362" s="631">
        <f t="shared" si="38"/>
        <v>417</v>
      </c>
      <c r="E362" s="632">
        <v>76</v>
      </c>
      <c r="F362" s="629"/>
      <c r="G362" s="629">
        <f t="shared" si="39"/>
        <v>331</v>
      </c>
      <c r="H362" s="632">
        <v>48</v>
      </c>
      <c r="I362" s="632">
        <v>54</v>
      </c>
      <c r="J362" s="629">
        <v>229</v>
      </c>
      <c r="K362" s="632">
        <v>0</v>
      </c>
      <c r="L362" s="632">
        <v>0</v>
      </c>
      <c r="M362" s="632">
        <v>10</v>
      </c>
      <c r="N362" s="550">
        <v>5</v>
      </c>
      <c r="AE362" s="283"/>
      <c r="AF362" s="283"/>
      <c r="AG362" s="283"/>
      <c r="AH362" s="283"/>
      <c r="AI362" s="283"/>
      <c r="AJ362" s="283"/>
      <c r="AK362" s="283"/>
      <c r="AL362" s="283"/>
      <c r="AM362" s="283"/>
      <c r="AN362" s="283"/>
      <c r="AO362" s="283"/>
      <c r="AP362" s="283"/>
      <c r="AQ362" s="283"/>
    </row>
    <row r="363" spans="1:43" s="263" customFormat="1" ht="9" customHeight="1" x14ac:dyDescent="0.25">
      <c r="A363" s="603" t="s">
        <v>45</v>
      </c>
      <c r="B363" s="630">
        <f t="shared" si="37"/>
        <v>1215</v>
      </c>
      <c r="C363" s="630"/>
      <c r="D363" s="633">
        <f t="shared" si="38"/>
        <v>1187</v>
      </c>
      <c r="E363" s="634">
        <v>75</v>
      </c>
      <c r="F363" s="630"/>
      <c r="G363" s="630">
        <f t="shared" si="39"/>
        <v>1099</v>
      </c>
      <c r="H363" s="634">
        <v>162</v>
      </c>
      <c r="I363" s="634">
        <v>113</v>
      </c>
      <c r="J363" s="630">
        <v>824</v>
      </c>
      <c r="K363" s="634">
        <v>0</v>
      </c>
      <c r="L363" s="634">
        <v>1</v>
      </c>
      <c r="M363" s="634">
        <v>12</v>
      </c>
      <c r="N363" s="634">
        <v>28</v>
      </c>
      <c r="AE363" s="283"/>
      <c r="AF363" s="283"/>
      <c r="AG363" s="283"/>
      <c r="AH363" s="283"/>
      <c r="AI363" s="283"/>
      <c r="AJ363" s="283"/>
      <c r="AK363" s="283"/>
      <c r="AL363" s="283"/>
      <c r="AM363" s="283"/>
      <c r="AN363" s="283"/>
      <c r="AO363" s="283"/>
      <c r="AP363" s="283"/>
      <c r="AQ363" s="283"/>
    </row>
    <row r="364" spans="1:43" s="263" customFormat="1" ht="9" customHeight="1" x14ac:dyDescent="0.25">
      <c r="A364" s="550" t="s">
        <v>46</v>
      </c>
      <c r="B364" s="629">
        <f t="shared" si="37"/>
        <v>1099</v>
      </c>
      <c r="C364" s="629"/>
      <c r="D364" s="631">
        <f t="shared" si="38"/>
        <v>1099</v>
      </c>
      <c r="E364" s="632">
        <v>91</v>
      </c>
      <c r="F364" s="629"/>
      <c r="G364" s="629">
        <f t="shared" si="39"/>
        <v>998</v>
      </c>
      <c r="H364" s="632">
        <v>179</v>
      </c>
      <c r="I364" s="632">
        <v>162</v>
      </c>
      <c r="J364" s="629">
        <v>657</v>
      </c>
      <c r="K364" s="632">
        <v>0</v>
      </c>
      <c r="L364" s="632">
        <v>2</v>
      </c>
      <c r="M364" s="632">
        <v>8</v>
      </c>
      <c r="N364" s="632">
        <v>0</v>
      </c>
      <c r="AE364" s="283"/>
      <c r="AF364" s="283"/>
      <c r="AG364" s="283"/>
      <c r="AH364" s="283"/>
      <c r="AI364" s="283"/>
      <c r="AJ364" s="283"/>
      <c r="AK364" s="283"/>
      <c r="AL364" s="283"/>
      <c r="AM364" s="283"/>
      <c r="AN364" s="283"/>
      <c r="AO364" s="283"/>
      <c r="AP364" s="283"/>
      <c r="AQ364" s="283"/>
    </row>
    <row r="365" spans="1:43" s="263" customFormat="1" ht="9" customHeight="1" x14ac:dyDescent="0.25">
      <c r="A365" s="550" t="s">
        <v>47</v>
      </c>
      <c r="B365" s="629">
        <f t="shared" si="37"/>
        <v>2431</v>
      </c>
      <c r="C365" s="629"/>
      <c r="D365" s="631">
        <f t="shared" si="38"/>
        <v>2421</v>
      </c>
      <c r="E365" s="632">
        <v>173</v>
      </c>
      <c r="F365" s="629"/>
      <c r="G365" s="629">
        <f t="shared" si="39"/>
        <v>2226</v>
      </c>
      <c r="H365" s="632">
        <v>416</v>
      </c>
      <c r="I365" s="632">
        <v>276</v>
      </c>
      <c r="J365" s="629">
        <v>1534</v>
      </c>
      <c r="K365" s="632">
        <v>0</v>
      </c>
      <c r="L365" s="632">
        <v>0</v>
      </c>
      <c r="M365" s="632">
        <v>22</v>
      </c>
      <c r="N365" s="632">
        <v>10</v>
      </c>
      <c r="AE365" s="283"/>
      <c r="AF365" s="283"/>
      <c r="AG365" s="283"/>
      <c r="AH365" s="283"/>
      <c r="AI365" s="283"/>
      <c r="AJ365" s="283"/>
      <c r="AK365" s="283"/>
      <c r="AL365" s="283"/>
      <c r="AM365" s="283"/>
      <c r="AN365" s="283"/>
      <c r="AO365" s="283"/>
      <c r="AP365" s="283"/>
      <c r="AQ365" s="283"/>
    </row>
    <row r="366" spans="1:43" s="263" customFormat="1" ht="9" customHeight="1" x14ac:dyDescent="0.25">
      <c r="A366" s="550" t="s">
        <v>48</v>
      </c>
      <c r="B366" s="629">
        <f t="shared" si="37"/>
        <v>543</v>
      </c>
      <c r="C366" s="629"/>
      <c r="D366" s="631">
        <f t="shared" si="38"/>
        <v>537</v>
      </c>
      <c r="E366" s="632">
        <v>80</v>
      </c>
      <c r="F366" s="629"/>
      <c r="G366" s="629">
        <f t="shared" si="39"/>
        <v>452</v>
      </c>
      <c r="H366" s="632">
        <v>69</v>
      </c>
      <c r="I366" s="632">
        <v>70</v>
      </c>
      <c r="J366" s="629">
        <v>313</v>
      </c>
      <c r="K366" s="632">
        <v>1</v>
      </c>
      <c r="L366" s="632">
        <v>0</v>
      </c>
      <c r="M366" s="632">
        <v>4</v>
      </c>
      <c r="N366" s="632">
        <v>6</v>
      </c>
      <c r="AE366" s="283"/>
      <c r="AF366" s="283"/>
      <c r="AG366" s="283"/>
      <c r="AH366" s="283"/>
      <c r="AI366" s="283"/>
      <c r="AJ366" s="283"/>
      <c r="AK366" s="283"/>
      <c r="AL366" s="283"/>
      <c r="AM366" s="283"/>
      <c r="AN366" s="283"/>
      <c r="AO366" s="283"/>
      <c r="AP366" s="283"/>
      <c r="AQ366" s="283"/>
    </row>
    <row r="367" spans="1:43" s="263" customFormat="1" ht="9" customHeight="1" x14ac:dyDescent="0.25">
      <c r="A367" s="603" t="s">
        <v>49</v>
      </c>
      <c r="B367" s="630">
        <f t="shared" si="37"/>
        <v>1669</v>
      </c>
      <c r="C367" s="630"/>
      <c r="D367" s="633">
        <f t="shared" si="38"/>
        <v>1467</v>
      </c>
      <c r="E367" s="634">
        <v>186</v>
      </c>
      <c r="F367" s="630"/>
      <c r="G367" s="630">
        <f t="shared" si="39"/>
        <v>1262</v>
      </c>
      <c r="H367" s="634">
        <v>254</v>
      </c>
      <c r="I367" s="634">
        <v>160</v>
      </c>
      <c r="J367" s="630">
        <v>848</v>
      </c>
      <c r="K367" s="634">
        <v>0</v>
      </c>
      <c r="L367" s="634">
        <v>0</v>
      </c>
      <c r="M367" s="634">
        <v>19</v>
      </c>
      <c r="N367" s="634">
        <v>202</v>
      </c>
      <c r="AE367" s="283"/>
      <c r="AF367" s="283"/>
      <c r="AG367" s="283"/>
      <c r="AH367" s="283"/>
      <c r="AI367" s="283"/>
      <c r="AJ367" s="283"/>
      <c r="AK367" s="283"/>
      <c r="AL367" s="283"/>
      <c r="AM367" s="283"/>
      <c r="AN367" s="283"/>
      <c r="AO367" s="283"/>
      <c r="AP367" s="283"/>
      <c r="AQ367" s="283"/>
    </row>
    <row r="368" spans="1:43" s="263" customFormat="1" ht="9" customHeight="1" x14ac:dyDescent="0.25">
      <c r="A368" s="550" t="s">
        <v>50</v>
      </c>
      <c r="B368" s="629">
        <f t="shared" si="37"/>
        <v>441</v>
      </c>
      <c r="C368" s="629"/>
      <c r="D368" s="631">
        <f t="shared" si="38"/>
        <v>441</v>
      </c>
      <c r="E368" s="632">
        <v>76</v>
      </c>
      <c r="F368" s="629"/>
      <c r="G368" s="629">
        <f t="shared" si="39"/>
        <v>350</v>
      </c>
      <c r="H368" s="632">
        <v>42</v>
      </c>
      <c r="I368" s="632">
        <v>42</v>
      </c>
      <c r="J368" s="629">
        <v>266</v>
      </c>
      <c r="K368" s="632">
        <v>5</v>
      </c>
      <c r="L368" s="632">
        <v>0</v>
      </c>
      <c r="M368" s="632">
        <v>10</v>
      </c>
      <c r="N368" s="632">
        <v>0</v>
      </c>
      <c r="AE368" s="283"/>
      <c r="AF368" s="283"/>
      <c r="AG368" s="283"/>
      <c r="AH368" s="283"/>
      <c r="AI368" s="283"/>
      <c r="AJ368" s="283"/>
      <c r="AK368" s="283"/>
      <c r="AL368" s="283"/>
      <c r="AM368" s="283"/>
      <c r="AN368" s="283"/>
      <c r="AO368" s="283"/>
      <c r="AP368" s="283"/>
      <c r="AQ368" s="283"/>
    </row>
    <row r="369" spans="1:43" s="263" customFormat="1" ht="9" customHeight="1" x14ac:dyDescent="0.25">
      <c r="A369" s="550" t="s">
        <v>51</v>
      </c>
      <c r="B369" s="629">
        <f t="shared" si="37"/>
        <v>1483</v>
      </c>
      <c r="C369" s="629"/>
      <c r="D369" s="631">
        <f t="shared" si="38"/>
        <v>1470</v>
      </c>
      <c r="E369" s="632">
        <v>228</v>
      </c>
      <c r="F369" s="629"/>
      <c r="G369" s="629">
        <f t="shared" si="39"/>
        <v>1217</v>
      </c>
      <c r="H369" s="632">
        <v>192</v>
      </c>
      <c r="I369" s="632">
        <v>170</v>
      </c>
      <c r="J369" s="629">
        <v>855</v>
      </c>
      <c r="K369" s="632">
        <v>3</v>
      </c>
      <c r="L369" s="632">
        <v>0</v>
      </c>
      <c r="M369" s="632">
        <v>22</v>
      </c>
      <c r="N369" s="632">
        <v>13</v>
      </c>
      <c r="AE369" s="283"/>
      <c r="AF369" s="283"/>
      <c r="AG369" s="283"/>
      <c r="AH369" s="283"/>
      <c r="AI369" s="283"/>
      <c r="AJ369" s="283"/>
      <c r="AK369" s="283"/>
      <c r="AL369" s="283"/>
      <c r="AM369" s="283"/>
      <c r="AN369" s="283"/>
      <c r="AO369" s="283"/>
      <c r="AP369" s="283"/>
      <c r="AQ369" s="283"/>
    </row>
    <row r="370" spans="1:43" s="263" customFormat="1" ht="9" customHeight="1" x14ac:dyDescent="0.25">
      <c r="A370" s="550" t="s">
        <v>52</v>
      </c>
      <c r="B370" s="629">
        <f t="shared" si="37"/>
        <v>810</v>
      </c>
      <c r="C370" s="629"/>
      <c r="D370" s="631">
        <f t="shared" si="38"/>
        <v>785</v>
      </c>
      <c r="E370" s="632">
        <v>29</v>
      </c>
      <c r="F370" s="629"/>
      <c r="G370" s="629">
        <f t="shared" si="39"/>
        <v>732</v>
      </c>
      <c r="H370" s="632">
        <v>103</v>
      </c>
      <c r="I370" s="632">
        <v>96</v>
      </c>
      <c r="J370" s="629">
        <v>533</v>
      </c>
      <c r="K370" s="632">
        <v>3</v>
      </c>
      <c r="L370" s="632">
        <v>5</v>
      </c>
      <c r="M370" s="632">
        <v>16</v>
      </c>
      <c r="N370" s="632">
        <v>25</v>
      </c>
      <c r="AE370" s="283"/>
      <c r="AF370" s="283"/>
      <c r="AG370" s="283"/>
      <c r="AH370" s="283"/>
      <c r="AI370" s="283"/>
      <c r="AJ370" s="283"/>
      <c r="AK370" s="283"/>
      <c r="AL370" s="283"/>
      <c r="AM370" s="283"/>
      <c r="AN370" s="283"/>
      <c r="AO370" s="283"/>
      <c r="AP370" s="283"/>
      <c r="AQ370" s="283"/>
    </row>
    <row r="371" spans="1:43" s="263" customFormat="1" ht="9" customHeight="1" x14ac:dyDescent="0.25">
      <c r="A371" s="603" t="s">
        <v>53</v>
      </c>
      <c r="B371" s="630">
        <f t="shared" si="37"/>
        <v>536</v>
      </c>
      <c r="C371" s="630"/>
      <c r="D371" s="633">
        <f t="shared" si="38"/>
        <v>536</v>
      </c>
      <c r="E371" s="634">
        <v>63</v>
      </c>
      <c r="F371" s="630"/>
      <c r="G371" s="630">
        <f t="shared" si="39"/>
        <v>468</v>
      </c>
      <c r="H371" s="634">
        <v>71</v>
      </c>
      <c r="I371" s="634">
        <v>45</v>
      </c>
      <c r="J371" s="630">
        <v>352</v>
      </c>
      <c r="K371" s="634">
        <v>0</v>
      </c>
      <c r="L371" s="634">
        <v>0</v>
      </c>
      <c r="M371" s="634">
        <v>5</v>
      </c>
      <c r="N371" s="634">
        <v>0</v>
      </c>
      <c r="AE371" s="283"/>
      <c r="AF371" s="283"/>
      <c r="AG371" s="283"/>
      <c r="AH371" s="283"/>
      <c r="AI371" s="283"/>
      <c r="AJ371" s="283"/>
      <c r="AK371" s="283"/>
      <c r="AL371" s="283"/>
      <c r="AM371" s="283"/>
      <c r="AN371" s="283"/>
      <c r="AO371" s="283"/>
      <c r="AP371" s="283"/>
      <c r="AQ371" s="283"/>
    </row>
    <row r="372" spans="1:43" ht="8.25" customHeight="1" x14ac:dyDescent="0.25">
      <c r="B372" s="259"/>
      <c r="C372" s="259"/>
      <c r="D372" s="259"/>
      <c r="E372" s="259"/>
      <c r="F372" s="259"/>
      <c r="G372" s="259"/>
      <c r="H372" s="259"/>
      <c r="I372" s="259"/>
      <c r="J372" s="259"/>
      <c r="K372" s="259"/>
      <c r="L372" s="259"/>
      <c r="AE372" s="283"/>
      <c r="AF372" s="283"/>
      <c r="AG372" s="283"/>
      <c r="AH372" s="283"/>
      <c r="AI372" s="283"/>
      <c r="AJ372" s="283"/>
      <c r="AK372" s="283"/>
      <c r="AL372" s="283"/>
      <c r="AM372" s="283"/>
      <c r="AN372" s="283"/>
      <c r="AO372" s="283"/>
      <c r="AP372" s="283"/>
      <c r="AQ372" s="283"/>
    </row>
    <row r="373" spans="1:43" ht="9" customHeight="1" x14ac:dyDescent="0.25">
      <c r="A373" s="601">
        <v>2011</v>
      </c>
      <c r="B373" s="262"/>
      <c r="C373" s="262"/>
      <c r="D373" s="262"/>
      <c r="E373" s="262"/>
      <c r="F373" s="262"/>
      <c r="G373" s="262"/>
      <c r="H373" s="262"/>
      <c r="I373" s="262"/>
      <c r="J373" s="262"/>
      <c r="K373" s="262"/>
      <c r="L373" s="262"/>
      <c r="M373" s="262"/>
      <c r="N373" s="262"/>
      <c r="AE373" s="283"/>
      <c r="AF373" s="283"/>
      <c r="AG373" s="283"/>
      <c r="AH373" s="283"/>
      <c r="AI373" s="283"/>
      <c r="AJ373" s="283"/>
      <c r="AK373" s="283"/>
      <c r="AL373" s="283"/>
      <c r="AM373" s="283"/>
      <c r="AN373" s="283"/>
      <c r="AO373" s="283"/>
      <c r="AP373" s="283"/>
      <c r="AQ373" s="283"/>
    </row>
    <row r="374" spans="1:43" s="263" customFormat="1" ht="9" customHeight="1" x14ac:dyDescent="0.25">
      <c r="A374" s="265" t="s">
        <v>21</v>
      </c>
      <c r="B374" s="262">
        <f>SUM(B376:B407)</f>
        <v>59057</v>
      </c>
      <c r="C374" s="262"/>
      <c r="D374" s="262">
        <f>SUM(D376:D407)</f>
        <v>58661</v>
      </c>
      <c r="E374" s="262">
        <f>SUM(E376:E407)</f>
        <v>5886</v>
      </c>
      <c r="F374" s="262"/>
      <c r="G374" s="262">
        <f t="shared" ref="G374:M374" si="40">SUM(G376:G407)</f>
        <v>51604</v>
      </c>
      <c r="H374" s="262">
        <f t="shared" si="40"/>
        <v>8681</v>
      </c>
      <c r="I374" s="262">
        <f t="shared" si="40"/>
        <v>6736</v>
      </c>
      <c r="J374" s="262">
        <f t="shared" si="40"/>
        <v>36187</v>
      </c>
      <c r="K374" s="262">
        <f t="shared" si="40"/>
        <v>107</v>
      </c>
      <c r="L374" s="262">
        <f t="shared" si="40"/>
        <v>319</v>
      </c>
      <c r="M374" s="262">
        <f t="shared" si="40"/>
        <v>745</v>
      </c>
      <c r="N374" s="262">
        <f>SUM(N376:N407)</f>
        <v>396</v>
      </c>
      <c r="AE374" s="283"/>
      <c r="AF374" s="283"/>
      <c r="AG374" s="283"/>
      <c r="AH374" s="283"/>
      <c r="AI374" s="283"/>
      <c r="AJ374" s="283"/>
      <c r="AK374" s="283"/>
      <c r="AL374" s="283"/>
      <c r="AM374" s="283"/>
      <c r="AN374" s="283"/>
      <c r="AO374" s="283"/>
      <c r="AP374" s="283"/>
      <c r="AQ374" s="283"/>
    </row>
    <row r="375" spans="1:43" s="263" customFormat="1" ht="2.1" customHeight="1" x14ac:dyDescent="0.25">
      <c r="A375" s="265"/>
      <c r="B375" s="262"/>
      <c r="C375" s="262"/>
      <c r="D375" s="262"/>
      <c r="E375" s="262"/>
      <c r="F375" s="262"/>
      <c r="G375" s="262"/>
      <c r="H375" s="262"/>
      <c r="I375" s="262"/>
      <c r="J375" s="262"/>
      <c r="K375" s="262"/>
      <c r="L375" s="262"/>
      <c r="M375" s="262"/>
      <c r="N375" s="262"/>
      <c r="AE375" s="283"/>
      <c r="AF375" s="283"/>
      <c r="AG375" s="283"/>
      <c r="AH375" s="283"/>
      <c r="AI375" s="283"/>
      <c r="AJ375" s="283"/>
      <c r="AK375" s="283"/>
      <c r="AL375" s="283"/>
      <c r="AM375" s="283"/>
      <c r="AN375" s="283"/>
      <c r="AO375" s="283"/>
      <c r="AP375" s="283"/>
      <c r="AQ375" s="283"/>
    </row>
    <row r="376" spans="1:43" s="263" customFormat="1" ht="9" customHeight="1" x14ac:dyDescent="0.25">
      <c r="A376" s="550" t="s">
        <v>23</v>
      </c>
      <c r="B376" s="629">
        <f>SUM(D376+N376)</f>
        <v>245</v>
      </c>
      <c r="C376" s="629"/>
      <c r="D376" s="631">
        <f>SUM(E376+G376+K376+L376+M376)</f>
        <v>242</v>
      </c>
      <c r="E376" s="632">
        <v>34</v>
      </c>
      <c r="F376" s="629"/>
      <c r="G376" s="629">
        <f>SUM(H376:J376)</f>
        <v>204</v>
      </c>
      <c r="H376" s="632">
        <v>29</v>
      </c>
      <c r="I376" s="632">
        <v>19</v>
      </c>
      <c r="J376" s="629">
        <v>156</v>
      </c>
      <c r="K376" s="632">
        <v>2</v>
      </c>
      <c r="L376" s="632">
        <v>0</v>
      </c>
      <c r="M376" s="632">
        <v>2</v>
      </c>
      <c r="N376" s="632">
        <v>3</v>
      </c>
      <c r="AE376" s="283"/>
      <c r="AF376" s="283"/>
      <c r="AG376" s="283"/>
      <c r="AH376" s="283"/>
      <c r="AI376" s="283"/>
      <c r="AJ376" s="283"/>
      <c r="AK376" s="283"/>
      <c r="AL376" s="283"/>
      <c r="AM376" s="283"/>
      <c r="AN376" s="283"/>
      <c r="AO376" s="283"/>
      <c r="AP376" s="283"/>
      <c r="AQ376" s="283"/>
    </row>
    <row r="377" spans="1:43" s="263" customFormat="1" ht="9" customHeight="1" x14ac:dyDescent="0.25">
      <c r="A377" s="550" t="s">
        <v>24</v>
      </c>
      <c r="B377" s="629">
        <f>SUM(D377+N377)</f>
        <v>1758</v>
      </c>
      <c r="C377" s="629"/>
      <c r="D377" s="631">
        <f>SUM(E377+G377+K377+L377+M377)</f>
        <v>1739</v>
      </c>
      <c r="E377" s="629">
        <v>326</v>
      </c>
      <c r="F377" s="629"/>
      <c r="G377" s="629">
        <f>SUM(H377:J377)</f>
        <v>1357</v>
      </c>
      <c r="H377" s="629">
        <v>175</v>
      </c>
      <c r="I377" s="629">
        <v>181</v>
      </c>
      <c r="J377" s="629">
        <v>1001</v>
      </c>
      <c r="K377" s="629">
        <v>2</v>
      </c>
      <c r="L377" s="629">
        <v>3</v>
      </c>
      <c r="M377" s="629">
        <v>51</v>
      </c>
      <c r="N377" s="629">
        <v>19</v>
      </c>
      <c r="AE377" s="283"/>
      <c r="AF377" s="283"/>
      <c r="AG377" s="283"/>
      <c r="AH377" s="283"/>
      <c r="AI377" s="283"/>
      <c r="AJ377" s="283"/>
      <c r="AK377" s="283"/>
      <c r="AL377" s="283"/>
      <c r="AM377" s="283"/>
      <c r="AN377" s="283"/>
      <c r="AO377" s="283"/>
      <c r="AP377" s="283"/>
      <c r="AQ377" s="283"/>
    </row>
    <row r="378" spans="1:43" s="263" customFormat="1" ht="9" customHeight="1" x14ac:dyDescent="0.25">
      <c r="A378" s="550" t="s">
        <v>25</v>
      </c>
      <c r="B378" s="629">
        <f>SUM(D378+N378)</f>
        <v>242</v>
      </c>
      <c r="C378" s="629"/>
      <c r="D378" s="631">
        <f>SUM(E378+G378+K378+L378+M378)</f>
        <v>237</v>
      </c>
      <c r="E378" s="629">
        <v>50</v>
      </c>
      <c r="F378" s="629"/>
      <c r="G378" s="629">
        <f>SUM(H378:J378)</f>
        <v>181</v>
      </c>
      <c r="H378" s="629">
        <v>32</v>
      </c>
      <c r="I378" s="629">
        <v>24</v>
      </c>
      <c r="J378" s="629">
        <v>125</v>
      </c>
      <c r="K378" s="629">
        <v>0</v>
      </c>
      <c r="L378" s="629">
        <v>0</v>
      </c>
      <c r="M378" s="629">
        <v>6</v>
      </c>
      <c r="N378" s="629">
        <v>5</v>
      </c>
      <c r="AE378" s="283"/>
      <c r="AF378" s="283"/>
      <c r="AG378" s="283"/>
      <c r="AH378" s="283"/>
      <c r="AI378" s="283"/>
      <c r="AJ378" s="283"/>
      <c r="AK378" s="283"/>
      <c r="AL378" s="283"/>
      <c r="AM378" s="283"/>
      <c r="AN378" s="283"/>
      <c r="AO378" s="283"/>
      <c r="AP378" s="283"/>
      <c r="AQ378" s="283"/>
    </row>
    <row r="379" spans="1:43" s="263" customFormat="1" ht="9" customHeight="1" x14ac:dyDescent="0.25">
      <c r="A379" s="603" t="s">
        <v>26</v>
      </c>
      <c r="B379" s="630">
        <f>SUM(D379+N379)</f>
        <v>290</v>
      </c>
      <c r="C379" s="630"/>
      <c r="D379" s="633">
        <f>SUM(E379+G379+K379+L379+M379)</f>
        <v>276</v>
      </c>
      <c r="E379" s="634">
        <v>20</v>
      </c>
      <c r="F379" s="630"/>
      <c r="G379" s="630">
        <f>SUM(H379:J379)</f>
        <v>248</v>
      </c>
      <c r="H379" s="634">
        <v>58</v>
      </c>
      <c r="I379" s="634">
        <v>46</v>
      </c>
      <c r="J379" s="630">
        <v>144</v>
      </c>
      <c r="K379" s="634">
        <v>1</v>
      </c>
      <c r="L379" s="634">
        <v>0</v>
      </c>
      <c r="M379" s="634">
        <v>7</v>
      </c>
      <c r="N379" s="634">
        <v>14</v>
      </c>
      <c r="AE379" s="283"/>
      <c r="AF379" s="283"/>
      <c r="AG379" s="283"/>
      <c r="AH379" s="283"/>
      <c r="AI379" s="283"/>
      <c r="AJ379" s="283"/>
      <c r="AK379" s="283"/>
      <c r="AL379" s="283"/>
      <c r="AM379" s="283"/>
      <c r="AN379" s="283"/>
      <c r="AO379" s="283"/>
      <c r="AP379" s="283"/>
      <c r="AQ379" s="283"/>
    </row>
    <row r="380" spans="1:43" s="263" customFormat="1" ht="9" customHeight="1" x14ac:dyDescent="0.25">
      <c r="A380" s="550" t="s">
        <v>27</v>
      </c>
      <c r="B380" s="629">
        <f t="shared" ref="B380:B407" si="41">SUM(D380+N380)</f>
        <v>980</v>
      </c>
      <c r="C380" s="629"/>
      <c r="D380" s="631">
        <f t="shared" ref="D380:D407" si="42">SUM(E380+G380+K380+L380+M380)</f>
        <v>970</v>
      </c>
      <c r="E380" s="632">
        <v>51</v>
      </c>
      <c r="F380" s="629"/>
      <c r="G380" s="629">
        <f t="shared" ref="G380:G407" si="43">SUM(H380:J380)</f>
        <v>900</v>
      </c>
      <c r="H380" s="632">
        <v>140</v>
      </c>
      <c r="I380" s="632">
        <v>93</v>
      </c>
      <c r="J380" s="629">
        <v>667</v>
      </c>
      <c r="K380" s="632">
        <v>2</v>
      </c>
      <c r="L380" s="632">
        <v>0</v>
      </c>
      <c r="M380" s="632">
        <v>17</v>
      </c>
      <c r="N380" s="632">
        <v>10</v>
      </c>
      <c r="AE380" s="283"/>
      <c r="AF380" s="283"/>
      <c r="AG380" s="283"/>
      <c r="AH380" s="283"/>
      <c r="AI380" s="283"/>
      <c r="AJ380" s="283"/>
      <c r="AK380" s="283"/>
      <c r="AL380" s="283"/>
      <c r="AM380" s="283"/>
      <c r="AN380" s="283"/>
      <c r="AO380" s="283"/>
      <c r="AP380" s="283"/>
      <c r="AQ380" s="283"/>
    </row>
    <row r="381" spans="1:43" s="263" customFormat="1" ht="9" customHeight="1" x14ac:dyDescent="0.25">
      <c r="A381" s="550" t="s">
        <v>28</v>
      </c>
      <c r="B381" s="629">
        <f t="shared" si="41"/>
        <v>250</v>
      </c>
      <c r="C381" s="629"/>
      <c r="D381" s="631">
        <f t="shared" si="42"/>
        <v>246</v>
      </c>
      <c r="E381" s="632">
        <v>30</v>
      </c>
      <c r="F381" s="629"/>
      <c r="G381" s="629">
        <f t="shared" si="43"/>
        <v>212</v>
      </c>
      <c r="H381" s="632">
        <v>27</v>
      </c>
      <c r="I381" s="632">
        <v>20</v>
      </c>
      <c r="J381" s="629">
        <v>165</v>
      </c>
      <c r="K381" s="632">
        <v>1</v>
      </c>
      <c r="L381" s="632">
        <v>0</v>
      </c>
      <c r="M381" s="632">
        <v>3</v>
      </c>
      <c r="N381" s="632">
        <v>4</v>
      </c>
      <c r="AE381" s="283"/>
      <c r="AF381" s="283"/>
      <c r="AG381" s="283"/>
      <c r="AH381" s="283"/>
      <c r="AI381" s="283"/>
      <c r="AJ381" s="283"/>
      <c r="AK381" s="283"/>
      <c r="AL381" s="283"/>
      <c r="AM381" s="283"/>
      <c r="AN381" s="283"/>
      <c r="AO381" s="283"/>
      <c r="AP381" s="283"/>
      <c r="AQ381" s="283"/>
    </row>
    <row r="382" spans="1:43" s="263" customFormat="1" ht="9" customHeight="1" x14ac:dyDescent="0.25">
      <c r="A382" s="550" t="s">
        <v>29</v>
      </c>
      <c r="B382" s="629">
        <f t="shared" si="41"/>
        <v>591</v>
      </c>
      <c r="C382" s="629"/>
      <c r="D382" s="631">
        <f t="shared" si="42"/>
        <v>585</v>
      </c>
      <c r="E382" s="632">
        <v>124</v>
      </c>
      <c r="F382" s="629"/>
      <c r="G382" s="629">
        <f t="shared" si="43"/>
        <v>457</v>
      </c>
      <c r="H382" s="632">
        <v>88</v>
      </c>
      <c r="I382" s="632">
        <v>67</v>
      </c>
      <c r="J382" s="629">
        <v>302</v>
      </c>
      <c r="K382" s="632">
        <v>1</v>
      </c>
      <c r="L382" s="632">
        <v>0</v>
      </c>
      <c r="M382" s="632">
        <v>3</v>
      </c>
      <c r="N382" s="632">
        <v>6</v>
      </c>
      <c r="AE382" s="283"/>
      <c r="AF382" s="283"/>
      <c r="AG382" s="283"/>
      <c r="AH382" s="283"/>
      <c r="AI382" s="283"/>
      <c r="AJ382" s="283"/>
      <c r="AK382" s="283"/>
      <c r="AL382" s="283"/>
      <c r="AM382" s="283"/>
      <c r="AN382" s="283"/>
      <c r="AO382" s="283"/>
      <c r="AP382" s="283"/>
      <c r="AQ382" s="283"/>
    </row>
    <row r="383" spans="1:43" s="263" customFormat="1" ht="9" customHeight="1" x14ac:dyDescent="0.25">
      <c r="A383" s="603" t="s">
        <v>30</v>
      </c>
      <c r="B383" s="630">
        <f t="shared" si="41"/>
        <v>2962</v>
      </c>
      <c r="C383" s="630"/>
      <c r="D383" s="633">
        <f t="shared" si="42"/>
        <v>2924</v>
      </c>
      <c r="E383" s="634">
        <v>263</v>
      </c>
      <c r="F383" s="630"/>
      <c r="G383" s="630">
        <f t="shared" si="43"/>
        <v>2613</v>
      </c>
      <c r="H383" s="634">
        <v>401</v>
      </c>
      <c r="I383" s="634">
        <v>300</v>
      </c>
      <c r="J383" s="630">
        <v>1912</v>
      </c>
      <c r="K383" s="634">
        <v>1</v>
      </c>
      <c r="L383" s="634">
        <v>24</v>
      </c>
      <c r="M383" s="634">
        <v>23</v>
      </c>
      <c r="N383" s="634">
        <v>38</v>
      </c>
      <c r="AE383" s="283"/>
      <c r="AF383" s="283"/>
      <c r="AG383" s="283"/>
      <c r="AH383" s="283"/>
      <c r="AI383" s="283"/>
      <c r="AJ383" s="283"/>
      <c r="AK383" s="283"/>
      <c r="AL383" s="283"/>
      <c r="AM383" s="283"/>
      <c r="AN383" s="283"/>
      <c r="AO383" s="283"/>
      <c r="AP383" s="283"/>
      <c r="AQ383" s="283"/>
    </row>
    <row r="384" spans="1:43" s="263" customFormat="1" ht="9" customHeight="1" x14ac:dyDescent="0.25">
      <c r="A384" s="550" t="s">
        <v>63</v>
      </c>
      <c r="B384" s="629">
        <f t="shared" si="41"/>
        <v>3700</v>
      </c>
      <c r="C384" s="629"/>
      <c r="D384" s="631">
        <f t="shared" si="42"/>
        <v>3658</v>
      </c>
      <c r="E384" s="632">
        <v>465</v>
      </c>
      <c r="F384" s="629"/>
      <c r="G384" s="629">
        <f t="shared" si="43"/>
        <v>3004</v>
      </c>
      <c r="H384" s="632">
        <v>540</v>
      </c>
      <c r="I384" s="632">
        <v>316</v>
      </c>
      <c r="J384" s="629">
        <v>2148</v>
      </c>
      <c r="K384" s="632">
        <v>12</v>
      </c>
      <c r="L384" s="632">
        <v>88</v>
      </c>
      <c r="M384" s="632">
        <v>89</v>
      </c>
      <c r="N384" s="632">
        <v>42</v>
      </c>
      <c r="AE384" s="283"/>
      <c r="AF384" s="283"/>
      <c r="AG384" s="283"/>
      <c r="AH384" s="283"/>
      <c r="AI384" s="283"/>
      <c r="AJ384" s="283"/>
      <c r="AK384" s="283"/>
      <c r="AL384" s="283"/>
      <c r="AM384" s="283"/>
      <c r="AN384" s="283"/>
      <c r="AO384" s="283"/>
      <c r="AP384" s="283"/>
      <c r="AQ384" s="283"/>
    </row>
    <row r="385" spans="1:43" s="263" customFormat="1" ht="9" customHeight="1" x14ac:dyDescent="0.25">
      <c r="A385" s="550" t="s">
        <v>31</v>
      </c>
      <c r="B385" s="629">
        <f t="shared" si="41"/>
        <v>129</v>
      </c>
      <c r="C385" s="629"/>
      <c r="D385" s="631">
        <f t="shared" si="42"/>
        <v>129</v>
      </c>
      <c r="E385" s="632">
        <v>36</v>
      </c>
      <c r="F385" s="629"/>
      <c r="G385" s="629">
        <f t="shared" si="43"/>
        <v>85</v>
      </c>
      <c r="H385" s="632">
        <v>13</v>
      </c>
      <c r="I385" s="632">
        <v>10</v>
      </c>
      <c r="J385" s="629">
        <v>62</v>
      </c>
      <c r="K385" s="632">
        <v>2</v>
      </c>
      <c r="L385" s="632">
        <v>3</v>
      </c>
      <c r="M385" s="632">
        <v>3</v>
      </c>
      <c r="N385" s="632">
        <v>0</v>
      </c>
      <c r="AE385" s="283"/>
      <c r="AF385" s="283"/>
      <c r="AG385" s="283"/>
      <c r="AH385" s="283"/>
      <c r="AI385" s="283"/>
      <c r="AJ385" s="283"/>
      <c r="AK385" s="283"/>
      <c r="AL385" s="283"/>
      <c r="AM385" s="283"/>
      <c r="AN385" s="283"/>
      <c r="AO385" s="283"/>
      <c r="AP385" s="283"/>
      <c r="AQ385" s="283"/>
    </row>
    <row r="386" spans="1:43" s="263" customFormat="1" ht="9" customHeight="1" x14ac:dyDescent="0.25">
      <c r="A386" s="550" t="s">
        <v>32</v>
      </c>
      <c r="B386" s="629">
        <f t="shared" si="41"/>
        <v>3199</v>
      </c>
      <c r="C386" s="629"/>
      <c r="D386" s="631">
        <f t="shared" si="42"/>
        <v>3183</v>
      </c>
      <c r="E386" s="632">
        <v>532</v>
      </c>
      <c r="F386" s="629"/>
      <c r="G386" s="629">
        <f t="shared" si="43"/>
        <v>2559</v>
      </c>
      <c r="H386" s="632">
        <v>398</v>
      </c>
      <c r="I386" s="632">
        <v>387</v>
      </c>
      <c r="J386" s="629">
        <v>1774</v>
      </c>
      <c r="K386" s="632">
        <v>8</v>
      </c>
      <c r="L386" s="632">
        <v>3</v>
      </c>
      <c r="M386" s="632">
        <v>81</v>
      </c>
      <c r="N386" s="632">
        <v>16</v>
      </c>
      <c r="AE386" s="283"/>
      <c r="AF386" s="283"/>
      <c r="AG386" s="283"/>
      <c r="AH386" s="283"/>
      <c r="AI386" s="283"/>
      <c r="AJ386" s="283"/>
      <c r="AK386" s="283"/>
      <c r="AL386" s="283"/>
      <c r="AM386" s="283"/>
      <c r="AN386" s="283"/>
      <c r="AO386" s="283"/>
      <c r="AP386" s="283"/>
      <c r="AQ386" s="283"/>
    </row>
    <row r="387" spans="1:43" s="263" customFormat="1" ht="9" customHeight="1" x14ac:dyDescent="0.25">
      <c r="A387" s="603" t="s">
        <v>33</v>
      </c>
      <c r="B387" s="630">
        <f t="shared" si="41"/>
        <v>765</v>
      </c>
      <c r="C387" s="630"/>
      <c r="D387" s="633">
        <f t="shared" si="42"/>
        <v>756</v>
      </c>
      <c r="E387" s="634">
        <v>119</v>
      </c>
      <c r="F387" s="630"/>
      <c r="G387" s="630">
        <f t="shared" si="43"/>
        <v>607</v>
      </c>
      <c r="H387" s="634">
        <v>114</v>
      </c>
      <c r="I387" s="634">
        <v>76</v>
      </c>
      <c r="J387" s="630">
        <v>417</v>
      </c>
      <c r="K387" s="634">
        <v>1</v>
      </c>
      <c r="L387" s="634">
        <v>0</v>
      </c>
      <c r="M387" s="634">
        <v>29</v>
      </c>
      <c r="N387" s="634">
        <v>9</v>
      </c>
      <c r="AE387" s="283"/>
      <c r="AF387" s="283"/>
      <c r="AG387" s="283"/>
      <c r="AH387" s="283"/>
      <c r="AI387" s="283"/>
      <c r="AJ387" s="283"/>
      <c r="AK387" s="283"/>
      <c r="AL387" s="283"/>
      <c r="AM387" s="283"/>
      <c r="AN387" s="283"/>
      <c r="AO387" s="283"/>
      <c r="AP387" s="283"/>
      <c r="AQ387" s="283"/>
    </row>
    <row r="388" spans="1:43" s="263" customFormat="1" ht="9" customHeight="1" x14ac:dyDescent="0.25">
      <c r="A388" s="550" t="s">
        <v>34</v>
      </c>
      <c r="B388" s="629">
        <f t="shared" si="41"/>
        <v>754</v>
      </c>
      <c r="C388" s="629"/>
      <c r="D388" s="631">
        <f t="shared" si="42"/>
        <v>750</v>
      </c>
      <c r="E388" s="632">
        <v>136</v>
      </c>
      <c r="F388" s="629"/>
      <c r="G388" s="629">
        <f t="shared" si="43"/>
        <v>590</v>
      </c>
      <c r="H388" s="632">
        <v>81</v>
      </c>
      <c r="I388" s="632">
        <v>79</v>
      </c>
      <c r="J388" s="629">
        <v>430</v>
      </c>
      <c r="K388" s="632">
        <v>2</v>
      </c>
      <c r="L388" s="632">
        <v>0</v>
      </c>
      <c r="M388" s="632">
        <v>22</v>
      </c>
      <c r="N388" s="632">
        <v>4</v>
      </c>
      <c r="AE388" s="283"/>
      <c r="AF388" s="283"/>
      <c r="AG388" s="283"/>
      <c r="AH388" s="283"/>
      <c r="AI388" s="283"/>
      <c r="AJ388" s="283"/>
      <c r="AK388" s="283"/>
      <c r="AL388" s="283"/>
      <c r="AM388" s="283"/>
      <c r="AN388" s="283"/>
      <c r="AO388" s="283"/>
      <c r="AP388" s="283"/>
      <c r="AQ388" s="283"/>
    </row>
    <row r="389" spans="1:43" s="263" customFormat="1" ht="9" customHeight="1" x14ac:dyDescent="0.25">
      <c r="A389" s="550" t="s">
        <v>35</v>
      </c>
      <c r="B389" s="629">
        <f t="shared" si="41"/>
        <v>6356</v>
      </c>
      <c r="C389" s="629"/>
      <c r="D389" s="631">
        <f t="shared" si="42"/>
        <v>6332</v>
      </c>
      <c r="E389" s="632">
        <v>558</v>
      </c>
      <c r="F389" s="629"/>
      <c r="G389" s="629">
        <f t="shared" si="43"/>
        <v>5724</v>
      </c>
      <c r="H389" s="632">
        <v>895</v>
      </c>
      <c r="I389" s="632">
        <v>661</v>
      </c>
      <c r="J389" s="629">
        <v>4168</v>
      </c>
      <c r="K389" s="632">
        <v>3</v>
      </c>
      <c r="L389" s="632">
        <v>22</v>
      </c>
      <c r="M389" s="632">
        <v>25</v>
      </c>
      <c r="N389" s="632">
        <v>24</v>
      </c>
      <c r="AE389" s="283"/>
      <c r="AF389" s="283"/>
      <c r="AG389" s="283"/>
      <c r="AH389" s="283"/>
      <c r="AI389" s="283"/>
      <c r="AJ389" s="283"/>
      <c r="AK389" s="283"/>
      <c r="AL389" s="283"/>
      <c r="AM389" s="283"/>
      <c r="AN389" s="283"/>
      <c r="AO389" s="283"/>
      <c r="AP389" s="283"/>
      <c r="AQ389" s="283"/>
    </row>
    <row r="390" spans="1:43" s="263" customFormat="1" ht="9" customHeight="1" x14ac:dyDescent="0.25">
      <c r="A390" s="550" t="s">
        <v>36</v>
      </c>
      <c r="B390" s="629">
        <f t="shared" si="41"/>
        <v>6708</v>
      </c>
      <c r="C390" s="629"/>
      <c r="D390" s="631">
        <f t="shared" si="42"/>
        <v>6682</v>
      </c>
      <c r="E390" s="632">
        <v>644</v>
      </c>
      <c r="F390" s="629"/>
      <c r="G390" s="629">
        <f t="shared" si="43"/>
        <v>5902</v>
      </c>
      <c r="H390" s="632">
        <v>972</v>
      </c>
      <c r="I390" s="632">
        <v>728</v>
      </c>
      <c r="J390" s="629">
        <v>4202</v>
      </c>
      <c r="K390" s="632">
        <v>10</v>
      </c>
      <c r="L390" s="632">
        <v>11</v>
      </c>
      <c r="M390" s="632">
        <v>115</v>
      </c>
      <c r="N390" s="632">
        <v>26</v>
      </c>
      <c r="AE390" s="283"/>
      <c r="AF390" s="283"/>
      <c r="AG390" s="283"/>
      <c r="AH390" s="283"/>
      <c r="AI390" s="283"/>
      <c r="AJ390" s="283"/>
      <c r="AK390" s="283"/>
      <c r="AL390" s="283"/>
      <c r="AM390" s="283"/>
      <c r="AN390" s="283"/>
      <c r="AO390" s="283"/>
      <c r="AP390" s="283"/>
      <c r="AQ390" s="283"/>
    </row>
    <row r="391" spans="1:43" s="263" customFormat="1" ht="9" customHeight="1" x14ac:dyDescent="0.25">
      <c r="A391" s="603" t="s">
        <v>37</v>
      </c>
      <c r="B391" s="630">
        <f t="shared" si="41"/>
        <v>1842</v>
      </c>
      <c r="C391" s="630"/>
      <c r="D391" s="633">
        <f t="shared" si="42"/>
        <v>1822</v>
      </c>
      <c r="E391" s="634">
        <v>419</v>
      </c>
      <c r="F391" s="630"/>
      <c r="G391" s="630">
        <f t="shared" si="43"/>
        <v>1338</v>
      </c>
      <c r="H391" s="634">
        <v>239</v>
      </c>
      <c r="I391" s="634">
        <v>192</v>
      </c>
      <c r="J391" s="630">
        <v>907</v>
      </c>
      <c r="K391" s="634">
        <v>13</v>
      </c>
      <c r="L391" s="634">
        <v>30</v>
      </c>
      <c r="M391" s="634">
        <v>22</v>
      </c>
      <c r="N391" s="634">
        <v>20</v>
      </c>
      <c r="AE391" s="283"/>
      <c r="AF391" s="283"/>
      <c r="AG391" s="283"/>
      <c r="AH391" s="283"/>
      <c r="AI391" s="283"/>
      <c r="AJ391" s="283"/>
      <c r="AK391" s="283"/>
      <c r="AL391" s="283"/>
      <c r="AM391" s="283"/>
      <c r="AN391" s="283"/>
      <c r="AO391" s="283"/>
      <c r="AP391" s="283"/>
      <c r="AQ391" s="283"/>
    </row>
    <row r="392" spans="1:43" s="263" customFormat="1" ht="9" customHeight="1" x14ac:dyDescent="0.25">
      <c r="A392" s="550" t="s">
        <v>38</v>
      </c>
      <c r="B392" s="629">
        <f t="shared" si="41"/>
        <v>455</v>
      </c>
      <c r="C392" s="629"/>
      <c r="D392" s="631">
        <f t="shared" si="42"/>
        <v>441</v>
      </c>
      <c r="E392" s="632">
        <v>80</v>
      </c>
      <c r="F392" s="629"/>
      <c r="G392" s="629">
        <f t="shared" si="43"/>
        <v>355</v>
      </c>
      <c r="H392" s="632">
        <v>58</v>
      </c>
      <c r="I392" s="632">
        <v>51</v>
      </c>
      <c r="J392" s="629">
        <v>246</v>
      </c>
      <c r="K392" s="632">
        <v>3</v>
      </c>
      <c r="L392" s="632">
        <v>0</v>
      </c>
      <c r="M392" s="632">
        <v>3</v>
      </c>
      <c r="N392" s="632">
        <v>14</v>
      </c>
      <c r="AE392" s="283"/>
      <c r="AF392" s="283"/>
      <c r="AG392" s="283"/>
      <c r="AH392" s="283"/>
      <c r="AI392" s="283"/>
      <c r="AJ392" s="283"/>
      <c r="AK392" s="283"/>
      <c r="AL392" s="283"/>
      <c r="AM392" s="283"/>
      <c r="AN392" s="283"/>
      <c r="AO392" s="283"/>
      <c r="AP392" s="283"/>
      <c r="AQ392" s="283"/>
    </row>
    <row r="393" spans="1:43" s="263" customFormat="1" ht="9" customHeight="1" x14ac:dyDescent="0.25">
      <c r="A393" s="550" t="s">
        <v>39</v>
      </c>
      <c r="B393" s="629">
        <f t="shared" si="41"/>
        <v>209</v>
      </c>
      <c r="C393" s="629"/>
      <c r="D393" s="631">
        <f t="shared" si="42"/>
        <v>205</v>
      </c>
      <c r="E393" s="632">
        <v>38</v>
      </c>
      <c r="F393" s="629"/>
      <c r="G393" s="629">
        <f t="shared" si="43"/>
        <v>166</v>
      </c>
      <c r="H393" s="632">
        <v>27</v>
      </c>
      <c r="I393" s="632">
        <v>17</v>
      </c>
      <c r="J393" s="629">
        <v>122</v>
      </c>
      <c r="K393" s="632">
        <v>1</v>
      </c>
      <c r="L393" s="632">
        <v>0</v>
      </c>
      <c r="M393" s="632">
        <v>0</v>
      </c>
      <c r="N393" s="632">
        <v>4</v>
      </c>
      <c r="AE393" s="283"/>
      <c r="AF393" s="283"/>
      <c r="AG393" s="283"/>
      <c r="AH393" s="283"/>
      <c r="AI393" s="283"/>
      <c r="AJ393" s="283"/>
      <c r="AK393" s="283"/>
      <c r="AL393" s="283"/>
      <c r="AM393" s="283"/>
      <c r="AN393" s="283"/>
      <c r="AO393" s="283"/>
      <c r="AP393" s="283"/>
      <c r="AQ393" s="283"/>
    </row>
    <row r="394" spans="1:43" s="263" customFormat="1" ht="9" customHeight="1" x14ac:dyDescent="0.25">
      <c r="A394" s="550" t="s">
        <v>40</v>
      </c>
      <c r="B394" s="629">
        <f t="shared" si="41"/>
        <v>13350</v>
      </c>
      <c r="C394" s="629"/>
      <c r="D394" s="631">
        <f t="shared" si="42"/>
        <v>13315</v>
      </c>
      <c r="E394" s="632">
        <v>140</v>
      </c>
      <c r="F394" s="629"/>
      <c r="G394" s="629">
        <f t="shared" si="43"/>
        <v>13002</v>
      </c>
      <c r="H394" s="632">
        <v>2422</v>
      </c>
      <c r="I394" s="632">
        <v>1883</v>
      </c>
      <c r="J394" s="629">
        <v>8697</v>
      </c>
      <c r="K394" s="632">
        <v>12</v>
      </c>
      <c r="L394" s="632">
        <v>119</v>
      </c>
      <c r="M394" s="632">
        <v>42</v>
      </c>
      <c r="N394" s="632">
        <v>35</v>
      </c>
      <c r="AE394" s="283"/>
      <c r="AF394" s="283"/>
      <c r="AG394" s="283"/>
      <c r="AH394" s="283"/>
      <c r="AI394" s="283"/>
      <c r="AJ394" s="283"/>
      <c r="AK394" s="283"/>
      <c r="AL394" s="283"/>
      <c r="AM394" s="283"/>
      <c r="AN394" s="283"/>
      <c r="AO394" s="283"/>
      <c r="AP394" s="283"/>
      <c r="AQ394" s="283"/>
    </row>
    <row r="395" spans="1:43" s="263" customFormat="1" ht="9" customHeight="1" x14ac:dyDescent="0.25">
      <c r="A395" s="603" t="s">
        <v>41</v>
      </c>
      <c r="B395" s="630">
        <f t="shared" si="41"/>
        <v>1023</v>
      </c>
      <c r="C395" s="630"/>
      <c r="D395" s="633">
        <f t="shared" si="42"/>
        <v>1009</v>
      </c>
      <c r="E395" s="634">
        <v>238</v>
      </c>
      <c r="F395" s="630"/>
      <c r="G395" s="630">
        <f t="shared" si="43"/>
        <v>754</v>
      </c>
      <c r="H395" s="634">
        <v>118</v>
      </c>
      <c r="I395" s="634">
        <v>102</v>
      </c>
      <c r="J395" s="630">
        <v>534</v>
      </c>
      <c r="K395" s="634">
        <v>0</v>
      </c>
      <c r="L395" s="634">
        <v>0</v>
      </c>
      <c r="M395" s="634">
        <v>17</v>
      </c>
      <c r="N395" s="634">
        <v>14</v>
      </c>
      <c r="AE395" s="283"/>
      <c r="AF395" s="283"/>
      <c r="AG395" s="283"/>
      <c r="AH395" s="283"/>
      <c r="AI395" s="283"/>
      <c r="AJ395" s="283"/>
      <c r="AK395" s="283"/>
      <c r="AL395" s="283"/>
      <c r="AM395" s="283"/>
      <c r="AN395" s="283"/>
      <c r="AO395" s="283"/>
      <c r="AP395" s="283"/>
      <c r="AQ395" s="283"/>
    </row>
    <row r="396" spans="1:43" s="263" customFormat="1" ht="9" customHeight="1" x14ac:dyDescent="0.25">
      <c r="A396" s="550" t="s">
        <v>42</v>
      </c>
      <c r="B396" s="629">
        <f t="shared" si="41"/>
        <v>2091</v>
      </c>
      <c r="C396" s="629"/>
      <c r="D396" s="631">
        <f t="shared" si="42"/>
        <v>2077</v>
      </c>
      <c r="E396" s="632">
        <v>294</v>
      </c>
      <c r="F396" s="629"/>
      <c r="G396" s="629">
        <f t="shared" si="43"/>
        <v>1722</v>
      </c>
      <c r="H396" s="632">
        <v>234</v>
      </c>
      <c r="I396" s="632">
        <v>248</v>
      </c>
      <c r="J396" s="629">
        <v>1240</v>
      </c>
      <c r="K396" s="632">
        <v>19</v>
      </c>
      <c r="L396" s="632">
        <v>11</v>
      </c>
      <c r="M396" s="632">
        <v>31</v>
      </c>
      <c r="N396" s="632">
        <v>14</v>
      </c>
      <c r="AE396" s="283"/>
      <c r="AF396" s="283"/>
      <c r="AG396" s="283"/>
      <c r="AH396" s="283"/>
      <c r="AI396" s="283"/>
      <c r="AJ396" s="283"/>
      <c r="AK396" s="283"/>
      <c r="AL396" s="283"/>
      <c r="AM396" s="283"/>
      <c r="AN396" s="283"/>
      <c r="AO396" s="283"/>
      <c r="AP396" s="283"/>
      <c r="AQ396" s="283"/>
    </row>
    <row r="397" spans="1:43" s="263" customFormat="1" ht="9" customHeight="1" x14ac:dyDescent="0.25">
      <c r="A397" s="550" t="s">
        <v>43</v>
      </c>
      <c r="B397" s="629">
        <f t="shared" si="41"/>
        <v>1022</v>
      </c>
      <c r="C397" s="629"/>
      <c r="D397" s="631">
        <f t="shared" si="42"/>
        <v>1019</v>
      </c>
      <c r="E397" s="632">
        <v>189</v>
      </c>
      <c r="F397" s="629"/>
      <c r="G397" s="629">
        <f t="shared" si="43"/>
        <v>805</v>
      </c>
      <c r="H397" s="632">
        <v>143</v>
      </c>
      <c r="I397" s="632">
        <v>105</v>
      </c>
      <c r="J397" s="629">
        <v>557</v>
      </c>
      <c r="K397" s="632">
        <v>0</v>
      </c>
      <c r="L397" s="632">
        <v>0</v>
      </c>
      <c r="M397" s="632">
        <v>25</v>
      </c>
      <c r="N397" s="632">
        <v>3</v>
      </c>
      <c r="AE397" s="283"/>
      <c r="AF397" s="283"/>
      <c r="AG397" s="283"/>
      <c r="AH397" s="283"/>
      <c r="AI397" s="283"/>
      <c r="AJ397" s="283"/>
      <c r="AK397" s="283"/>
      <c r="AL397" s="283"/>
      <c r="AM397" s="283"/>
      <c r="AN397" s="283"/>
      <c r="AO397" s="283"/>
      <c r="AP397" s="283"/>
      <c r="AQ397" s="283"/>
    </row>
    <row r="398" spans="1:43" s="263" customFormat="1" ht="9" customHeight="1" x14ac:dyDescent="0.25">
      <c r="A398" s="550" t="s">
        <v>44</v>
      </c>
      <c r="B398" s="629">
        <f t="shared" si="41"/>
        <v>480</v>
      </c>
      <c r="C398" s="629"/>
      <c r="D398" s="631">
        <f t="shared" si="42"/>
        <v>476</v>
      </c>
      <c r="E398" s="632">
        <v>86</v>
      </c>
      <c r="F398" s="629"/>
      <c r="G398" s="629">
        <f t="shared" si="43"/>
        <v>376</v>
      </c>
      <c r="H398" s="632">
        <v>75</v>
      </c>
      <c r="I398" s="632">
        <v>59</v>
      </c>
      <c r="J398" s="629">
        <v>242</v>
      </c>
      <c r="K398" s="632">
        <v>0</v>
      </c>
      <c r="L398" s="632">
        <v>1</v>
      </c>
      <c r="M398" s="632">
        <v>13</v>
      </c>
      <c r="N398" s="550">
        <v>4</v>
      </c>
      <c r="AE398" s="283"/>
      <c r="AF398" s="283"/>
      <c r="AG398" s="283"/>
      <c r="AH398" s="283"/>
      <c r="AI398" s="283"/>
      <c r="AJ398" s="283"/>
      <c r="AK398" s="283"/>
      <c r="AL398" s="283"/>
      <c r="AM398" s="283"/>
      <c r="AN398" s="283"/>
      <c r="AO398" s="283"/>
      <c r="AP398" s="283"/>
      <c r="AQ398" s="283"/>
    </row>
    <row r="399" spans="1:43" s="263" customFormat="1" ht="9" customHeight="1" x14ac:dyDescent="0.25">
      <c r="A399" s="603" t="s">
        <v>45</v>
      </c>
      <c r="B399" s="630">
        <f t="shared" si="41"/>
        <v>1140</v>
      </c>
      <c r="C399" s="630"/>
      <c r="D399" s="633">
        <f t="shared" si="42"/>
        <v>1122</v>
      </c>
      <c r="E399" s="634">
        <v>67</v>
      </c>
      <c r="F399" s="630"/>
      <c r="G399" s="630">
        <f t="shared" si="43"/>
        <v>1046</v>
      </c>
      <c r="H399" s="634">
        <v>157</v>
      </c>
      <c r="I399" s="634">
        <v>108</v>
      </c>
      <c r="J399" s="630">
        <v>781</v>
      </c>
      <c r="K399" s="634">
        <v>1</v>
      </c>
      <c r="L399" s="634">
        <v>1</v>
      </c>
      <c r="M399" s="634">
        <v>7</v>
      </c>
      <c r="N399" s="634">
        <v>18</v>
      </c>
      <c r="AE399" s="283"/>
      <c r="AF399" s="283"/>
      <c r="AG399" s="283"/>
      <c r="AH399" s="283"/>
      <c r="AI399" s="283"/>
      <c r="AJ399" s="283"/>
      <c r="AK399" s="283"/>
      <c r="AL399" s="283"/>
      <c r="AM399" s="283"/>
      <c r="AN399" s="283"/>
      <c r="AO399" s="283"/>
      <c r="AP399" s="283"/>
      <c r="AQ399" s="283"/>
    </row>
    <row r="400" spans="1:43" s="263" customFormat="1" ht="9" customHeight="1" x14ac:dyDescent="0.25">
      <c r="A400" s="550" t="s">
        <v>46</v>
      </c>
      <c r="B400" s="629">
        <f t="shared" si="41"/>
        <v>1028</v>
      </c>
      <c r="C400" s="629"/>
      <c r="D400" s="631">
        <f t="shared" si="42"/>
        <v>1028</v>
      </c>
      <c r="E400" s="632">
        <v>104</v>
      </c>
      <c r="F400" s="629"/>
      <c r="G400" s="629">
        <f t="shared" si="43"/>
        <v>914</v>
      </c>
      <c r="H400" s="632">
        <v>176</v>
      </c>
      <c r="I400" s="632">
        <v>138</v>
      </c>
      <c r="J400" s="629">
        <v>600</v>
      </c>
      <c r="K400" s="632">
        <v>0</v>
      </c>
      <c r="L400" s="632">
        <v>0</v>
      </c>
      <c r="M400" s="632">
        <v>10</v>
      </c>
      <c r="N400" s="632">
        <v>0</v>
      </c>
      <c r="AE400" s="283"/>
      <c r="AF400" s="283"/>
      <c r="AG400" s="283"/>
      <c r="AH400" s="283"/>
      <c r="AI400" s="283"/>
      <c r="AJ400" s="283"/>
      <c r="AK400" s="283"/>
      <c r="AL400" s="283"/>
      <c r="AM400" s="283"/>
      <c r="AN400" s="283"/>
      <c r="AO400" s="283"/>
      <c r="AP400" s="283"/>
      <c r="AQ400" s="283"/>
    </row>
    <row r="401" spans="1:43" s="263" customFormat="1" ht="9" customHeight="1" x14ac:dyDescent="0.25">
      <c r="A401" s="550" t="s">
        <v>47</v>
      </c>
      <c r="B401" s="629">
        <f t="shared" si="41"/>
        <v>2426</v>
      </c>
      <c r="C401" s="629"/>
      <c r="D401" s="631">
        <f t="shared" si="42"/>
        <v>2416</v>
      </c>
      <c r="E401" s="632">
        <v>175</v>
      </c>
      <c r="F401" s="629"/>
      <c r="G401" s="629">
        <f t="shared" si="43"/>
        <v>2219</v>
      </c>
      <c r="H401" s="632">
        <v>404</v>
      </c>
      <c r="I401" s="632">
        <v>268</v>
      </c>
      <c r="J401" s="629">
        <v>1547</v>
      </c>
      <c r="K401" s="632">
        <v>0</v>
      </c>
      <c r="L401" s="632">
        <v>0</v>
      </c>
      <c r="M401" s="632">
        <v>22</v>
      </c>
      <c r="N401" s="632">
        <v>10</v>
      </c>
      <c r="AE401" s="283"/>
      <c r="AF401" s="283"/>
      <c r="AG401" s="283"/>
      <c r="AH401" s="283"/>
      <c r="AI401" s="283"/>
      <c r="AJ401" s="283"/>
      <c r="AK401" s="283"/>
      <c r="AL401" s="283"/>
      <c r="AM401" s="283"/>
      <c r="AN401" s="283"/>
      <c r="AO401" s="283"/>
      <c r="AP401" s="283"/>
      <c r="AQ401" s="283"/>
    </row>
    <row r="402" spans="1:43" s="263" customFormat="1" ht="9" customHeight="1" x14ac:dyDescent="0.25">
      <c r="A402" s="550" t="s">
        <v>48</v>
      </c>
      <c r="B402" s="629">
        <f t="shared" si="41"/>
        <v>579</v>
      </c>
      <c r="C402" s="629"/>
      <c r="D402" s="631">
        <f t="shared" si="42"/>
        <v>566</v>
      </c>
      <c r="E402" s="632">
        <v>84</v>
      </c>
      <c r="F402" s="629"/>
      <c r="G402" s="629">
        <f t="shared" si="43"/>
        <v>470</v>
      </c>
      <c r="H402" s="632">
        <v>67</v>
      </c>
      <c r="I402" s="632">
        <v>69</v>
      </c>
      <c r="J402" s="629">
        <v>334</v>
      </c>
      <c r="K402" s="632">
        <v>2</v>
      </c>
      <c r="L402" s="632">
        <v>1</v>
      </c>
      <c r="M402" s="632">
        <v>9</v>
      </c>
      <c r="N402" s="632">
        <v>13</v>
      </c>
      <c r="AE402" s="283"/>
      <c r="AF402" s="283"/>
      <c r="AG402" s="283"/>
      <c r="AH402" s="283"/>
      <c r="AI402" s="283"/>
      <c r="AJ402" s="283"/>
      <c r="AK402" s="283"/>
      <c r="AL402" s="283"/>
      <c r="AM402" s="283"/>
      <c r="AN402" s="283"/>
      <c r="AO402" s="283"/>
      <c r="AP402" s="283"/>
      <c r="AQ402" s="283"/>
    </row>
    <row r="403" spans="1:43" s="263" customFormat="1" ht="9" customHeight="1" x14ac:dyDescent="0.25">
      <c r="A403" s="603" t="s">
        <v>49</v>
      </c>
      <c r="B403" s="630">
        <f t="shared" si="41"/>
        <v>1351</v>
      </c>
      <c r="C403" s="630"/>
      <c r="D403" s="633">
        <f t="shared" si="42"/>
        <v>1344</v>
      </c>
      <c r="E403" s="634">
        <v>176</v>
      </c>
      <c r="F403" s="630"/>
      <c r="G403" s="630">
        <f t="shared" si="43"/>
        <v>1148</v>
      </c>
      <c r="H403" s="634">
        <v>208</v>
      </c>
      <c r="I403" s="634">
        <v>150</v>
      </c>
      <c r="J403" s="630">
        <v>790</v>
      </c>
      <c r="K403" s="634">
        <v>1</v>
      </c>
      <c r="L403" s="634">
        <v>0</v>
      </c>
      <c r="M403" s="634">
        <v>19</v>
      </c>
      <c r="N403" s="634">
        <v>7</v>
      </c>
      <c r="AE403" s="283"/>
      <c r="AF403" s="283"/>
      <c r="AG403" s="283"/>
      <c r="AH403" s="283"/>
      <c r="AI403" s="283"/>
      <c r="AJ403" s="283"/>
      <c r="AK403" s="283"/>
      <c r="AL403" s="283"/>
      <c r="AM403" s="283"/>
      <c r="AN403" s="283"/>
      <c r="AO403" s="283"/>
      <c r="AP403" s="283"/>
      <c r="AQ403" s="283"/>
    </row>
    <row r="404" spans="1:43" s="263" customFormat="1" ht="9" customHeight="1" x14ac:dyDescent="0.25">
      <c r="A404" s="550" t="s">
        <v>50</v>
      </c>
      <c r="B404" s="629">
        <f t="shared" si="41"/>
        <v>424</v>
      </c>
      <c r="C404" s="629"/>
      <c r="D404" s="631">
        <f t="shared" si="42"/>
        <v>424</v>
      </c>
      <c r="E404" s="632">
        <v>62</v>
      </c>
      <c r="F404" s="629"/>
      <c r="G404" s="629">
        <f t="shared" si="43"/>
        <v>350</v>
      </c>
      <c r="H404" s="632">
        <v>46</v>
      </c>
      <c r="I404" s="632">
        <v>43</v>
      </c>
      <c r="J404" s="629">
        <v>261</v>
      </c>
      <c r="K404" s="632">
        <v>0</v>
      </c>
      <c r="L404" s="632">
        <v>1</v>
      </c>
      <c r="M404" s="632">
        <v>11</v>
      </c>
      <c r="N404" s="632">
        <v>0</v>
      </c>
      <c r="AE404" s="283"/>
      <c r="AF404" s="283"/>
      <c r="AG404" s="283"/>
      <c r="AH404" s="283"/>
      <c r="AI404" s="283"/>
      <c r="AJ404" s="283"/>
      <c r="AK404" s="283"/>
      <c r="AL404" s="283"/>
      <c r="AM404" s="283"/>
      <c r="AN404" s="283"/>
      <c r="AO404" s="283"/>
      <c r="AP404" s="283"/>
      <c r="AQ404" s="283"/>
    </row>
    <row r="405" spans="1:43" s="263" customFormat="1" ht="9" customHeight="1" x14ac:dyDescent="0.25">
      <c r="A405" s="550" t="s">
        <v>51</v>
      </c>
      <c r="B405" s="629">
        <f t="shared" si="41"/>
        <v>1313</v>
      </c>
      <c r="C405" s="629"/>
      <c r="D405" s="631">
        <f t="shared" si="42"/>
        <v>1297</v>
      </c>
      <c r="E405" s="632">
        <v>187</v>
      </c>
      <c r="F405" s="629"/>
      <c r="G405" s="629">
        <f t="shared" si="43"/>
        <v>1092</v>
      </c>
      <c r="H405" s="632">
        <v>178</v>
      </c>
      <c r="I405" s="632">
        <v>158</v>
      </c>
      <c r="J405" s="629">
        <v>756</v>
      </c>
      <c r="K405" s="632">
        <v>0</v>
      </c>
      <c r="L405" s="632">
        <v>0</v>
      </c>
      <c r="M405" s="632">
        <v>18</v>
      </c>
      <c r="N405" s="632">
        <v>16</v>
      </c>
      <c r="AE405" s="283"/>
      <c r="AF405" s="283"/>
      <c r="AG405" s="283"/>
      <c r="AH405" s="283"/>
      <c r="AI405" s="283"/>
      <c r="AJ405" s="283"/>
      <c r="AK405" s="283"/>
      <c r="AL405" s="283"/>
      <c r="AM405" s="283"/>
      <c r="AN405" s="283"/>
      <c r="AO405" s="283"/>
      <c r="AP405" s="283"/>
      <c r="AQ405" s="283"/>
    </row>
    <row r="406" spans="1:43" s="263" customFormat="1" ht="9" customHeight="1" x14ac:dyDescent="0.25">
      <c r="A406" s="550" t="s">
        <v>52</v>
      </c>
      <c r="B406" s="629">
        <f t="shared" si="41"/>
        <v>821</v>
      </c>
      <c r="C406" s="629"/>
      <c r="D406" s="631">
        <f t="shared" si="42"/>
        <v>818</v>
      </c>
      <c r="E406" s="632">
        <v>64</v>
      </c>
      <c r="F406" s="629"/>
      <c r="G406" s="629">
        <f t="shared" si="43"/>
        <v>731</v>
      </c>
      <c r="H406" s="632">
        <v>100</v>
      </c>
      <c r="I406" s="632">
        <v>90</v>
      </c>
      <c r="J406" s="629">
        <v>541</v>
      </c>
      <c r="K406" s="632">
        <v>6</v>
      </c>
      <c r="L406" s="632">
        <v>1</v>
      </c>
      <c r="M406" s="632">
        <v>16</v>
      </c>
      <c r="N406" s="632">
        <v>3</v>
      </c>
      <c r="AE406" s="283"/>
      <c r="AF406" s="283"/>
      <c r="AG406" s="283"/>
      <c r="AH406" s="283"/>
      <c r="AI406" s="283"/>
      <c r="AJ406" s="283"/>
      <c r="AK406" s="283"/>
      <c r="AL406" s="283"/>
      <c r="AM406" s="283"/>
      <c r="AN406" s="283"/>
      <c r="AO406" s="283"/>
      <c r="AP406" s="283"/>
      <c r="AQ406" s="283"/>
    </row>
    <row r="407" spans="1:43" s="263" customFormat="1" ht="9" customHeight="1" x14ac:dyDescent="0.25">
      <c r="A407" s="603" t="s">
        <v>53</v>
      </c>
      <c r="B407" s="630">
        <f t="shared" si="41"/>
        <v>574</v>
      </c>
      <c r="C407" s="630"/>
      <c r="D407" s="633">
        <f t="shared" si="42"/>
        <v>573</v>
      </c>
      <c r="E407" s="634">
        <v>95</v>
      </c>
      <c r="F407" s="630"/>
      <c r="G407" s="630">
        <f t="shared" si="43"/>
        <v>473</v>
      </c>
      <c r="H407" s="634">
        <v>66</v>
      </c>
      <c r="I407" s="634">
        <v>48</v>
      </c>
      <c r="J407" s="630">
        <v>359</v>
      </c>
      <c r="K407" s="634">
        <v>1</v>
      </c>
      <c r="L407" s="634">
        <v>0</v>
      </c>
      <c r="M407" s="634">
        <v>4</v>
      </c>
      <c r="N407" s="634">
        <v>1</v>
      </c>
      <c r="AE407" s="283"/>
      <c r="AF407" s="283"/>
      <c r="AG407" s="283"/>
      <c r="AH407" s="283"/>
      <c r="AI407" s="283"/>
      <c r="AJ407" s="283"/>
      <c r="AK407" s="283"/>
      <c r="AL407" s="283"/>
      <c r="AM407" s="283"/>
      <c r="AN407" s="283"/>
      <c r="AO407" s="283"/>
      <c r="AP407" s="283"/>
      <c r="AQ407" s="283"/>
    </row>
    <row r="408" spans="1:43" ht="8.25" customHeight="1" x14ac:dyDescent="0.25">
      <c r="B408" s="259"/>
      <c r="C408" s="259"/>
      <c r="D408" s="259"/>
      <c r="E408" s="259"/>
      <c r="F408" s="259"/>
      <c r="G408" s="259"/>
      <c r="H408" s="259"/>
      <c r="I408" s="259"/>
      <c r="J408" s="259"/>
      <c r="K408" s="259"/>
      <c r="L408" s="259"/>
      <c r="AE408" s="283"/>
      <c r="AF408" s="283"/>
      <c r="AG408" s="283"/>
      <c r="AH408" s="283"/>
      <c r="AI408" s="283"/>
      <c r="AJ408" s="283"/>
      <c r="AK408" s="283"/>
      <c r="AL408" s="283"/>
      <c r="AM408" s="283"/>
      <c r="AN408" s="283"/>
      <c r="AO408" s="283"/>
      <c r="AP408" s="283"/>
      <c r="AQ408" s="283"/>
    </row>
    <row r="409" spans="1:43" ht="9" customHeight="1" x14ac:dyDescent="0.25">
      <c r="A409" s="601">
        <v>2012</v>
      </c>
      <c r="B409" s="262"/>
      <c r="C409" s="262"/>
      <c r="D409" s="262"/>
      <c r="E409" s="262"/>
      <c r="F409" s="262"/>
      <c r="G409" s="262"/>
      <c r="H409" s="262"/>
      <c r="I409" s="262"/>
      <c r="J409" s="262"/>
      <c r="K409" s="262"/>
      <c r="L409" s="262"/>
      <c r="M409" s="262"/>
      <c r="N409" s="262"/>
      <c r="AE409" s="283"/>
      <c r="AF409" s="283"/>
      <c r="AG409" s="283"/>
      <c r="AH409" s="283"/>
      <c r="AI409" s="283"/>
      <c r="AJ409" s="283"/>
      <c r="AK409" s="283"/>
      <c r="AL409" s="283"/>
      <c r="AM409" s="283"/>
      <c r="AN409" s="283"/>
      <c r="AO409" s="283"/>
      <c r="AP409" s="283"/>
      <c r="AQ409" s="283"/>
    </row>
    <row r="410" spans="1:43" s="263" customFormat="1" ht="9" customHeight="1" x14ac:dyDescent="0.25">
      <c r="A410" s="265" t="s">
        <v>21</v>
      </c>
      <c r="B410" s="262">
        <f>SUM(B412:B443)</f>
        <v>62335</v>
      </c>
      <c r="C410" s="262"/>
      <c r="D410" s="262">
        <f>SUM(D412:D443)</f>
        <v>61868</v>
      </c>
      <c r="E410" s="262">
        <f>SUM(E412:E443)</f>
        <v>6310</v>
      </c>
      <c r="F410" s="262"/>
      <c r="G410" s="262">
        <f t="shared" ref="G410:M410" si="44">SUM(G412:G443)</f>
        <v>54159</v>
      </c>
      <c r="H410" s="262">
        <f t="shared" si="44"/>
        <v>8990</v>
      </c>
      <c r="I410" s="262">
        <f t="shared" si="44"/>
        <v>7048</v>
      </c>
      <c r="J410" s="262">
        <f t="shared" si="44"/>
        <v>38121</v>
      </c>
      <c r="K410" s="262">
        <f t="shared" si="44"/>
        <v>169</v>
      </c>
      <c r="L410" s="262">
        <f t="shared" si="44"/>
        <v>455</v>
      </c>
      <c r="M410" s="262">
        <f t="shared" si="44"/>
        <v>775</v>
      </c>
      <c r="N410" s="262">
        <f>SUM(N412:N443)</f>
        <v>467</v>
      </c>
      <c r="AE410" s="283"/>
      <c r="AF410" s="283"/>
      <c r="AG410" s="283"/>
      <c r="AH410" s="283"/>
      <c r="AI410" s="283"/>
      <c r="AJ410" s="283"/>
      <c r="AK410" s="283"/>
      <c r="AL410" s="283"/>
      <c r="AM410" s="283"/>
      <c r="AN410" s="283"/>
      <c r="AO410" s="283"/>
      <c r="AP410" s="283"/>
      <c r="AQ410" s="283"/>
    </row>
    <row r="411" spans="1:43" s="263" customFormat="1" ht="2.1" customHeight="1" x14ac:dyDescent="0.25">
      <c r="A411" s="265"/>
      <c r="B411" s="262"/>
      <c r="C411" s="262"/>
      <c r="D411" s="262"/>
      <c r="E411" s="262"/>
      <c r="F411" s="262"/>
      <c r="G411" s="262"/>
      <c r="H411" s="262"/>
      <c r="I411" s="262"/>
      <c r="J411" s="262"/>
      <c r="K411" s="262"/>
      <c r="L411" s="262"/>
      <c r="M411" s="262"/>
      <c r="N411" s="262"/>
      <c r="AE411" s="283"/>
      <c r="AF411" s="283"/>
      <c r="AG411" s="283"/>
      <c r="AH411" s="283"/>
      <c r="AI411" s="283"/>
      <c r="AJ411" s="283"/>
      <c r="AK411" s="283"/>
      <c r="AL411" s="283"/>
      <c r="AM411" s="283"/>
      <c r="AN411" s="283"/>
      <c r="AO411" s="283"/>
      <c r="AP411" s="283"/>
      <c r="AQ411" s="283"/>
    </row>
    <row r="412" spans="1:43" s="263" customFormat="1" ht="9" customHeight="1" x14ac:dyDescent="0.25">
      <c r="A412" s="550" t="s">
        <v>23</v>
      </c>
      <c r="B412" s="629">
        <f>SUM(D412+N412)</f>
        <v>310</v>
      </c>
      <c r="C412" s="629"/>
      <c r="D412" s="631">
        <f>SUM(E412+G412+K412+L412+M412)</f>
        <v>305</v>
      </c>
      <c r="E412" s="632">
        <v>31</v>
      </c>
      <c r="F412" s="629"/>
      <c r="G412" s="629">
        <f>SUM(H412:J412)</f>
        <v>271</v>
      </c>
      <c r="H412" s="632">
        <v>32</v>
      </c>
      <c r="I412" s="632">
        <v>18</v>
      </c>
      <c r="J412" s="629">
        <v>221</v>
      </c>
      <c r="K412" s="632">
        <v>1</v>
      </c>
      <c r="L412" s="632">
        <v>0</v>
      </c>
      <c r="M412" s="632">
        <v>2</v>
      </c>
      <c r="N412" s="632">
        <v>5</v>
      </c>
      <c r="AE412" s="283"/>
      <c r="AF412" s="283"/>
      <c r="AG412" s="283"/>
      <c r="AH412" s="283"/>
      <c r="AI412" s="283"/>
      <c r="AJ412" s="283"/>
      <c r="AK412" s="283"/>
      <c r="AL412" s="283"/>
      <c r="AM412" s="283"/>
      <c r="AN412" s="283"/>
      <c r="AO412" s="283"/>
      <c r="AP412" s="283"/>
      <c r="AQ412" s="283"/>
    </row>
    <row r="413" spans="1:43" s="263" customFormat="1" ht="9" customHeight="1" x14ac:dyDescent="0.25">
      <c r="A413" s="550" t="s">
        <v>24</v>
      </c>
      <c r="B413" s="629">
        <f>SUM(D413+N413)</f>
        <v>1820</v>
      </c>
      <c r="C413" s="629"/>
      <c r="D413" s="631">
        <f>SUM(E413+G413+K413+L413+M413)</f>
        <v>1801</v>
      </c>
      <c r="E413" s="629">
        <v>314</v>
      </c>
      <c r="F413" s="629"/>
      <c r="G413" s="629">
        <f>SUM(H413:J413)</f>
        <v>1446</v>
      </c>
      <c r="H413" s="629">
        <v>205</v>
      </c>
      <c r="I413" s="629">
        <v>167</v>
      </c>
      <c r="J413" s="629">
        <v>1074</v>
      </c>
      <c r="K413" s="629">
        <v>2</v>
      </c>
      <c r="L413" s="629">
        <v>3</v>
      </c>
      <c r="M413" s="629">
        <v>36</v>
      </c>
      <c r="N413" s="629">
        <v>19</v>
      </c>
      <c r="AE413" s="283"/>
      <c r="AF413" s="283"/>
      <c r="AG413" s="283"/>
      <c r="AH413" s="283"/>
      <c r="AI413" s="283"/>
      <c r="AJ413" s="283"/>
      <c r="AK413" s="283"/>
      <c r="AL413" s="283"/>
      <c r="AM413" s="283"/>
      <c r="AN413" s="283"/>
      <c r="AO413" s="283"/>
      <c r="AP413" s="283"/>
      <c r="AQ413" s="283"/>
    </row>
    <row r="414" spans="1:43" s="263" customFormat="1" ht="9" customHeight="1" x14ac:dyDescent="0.25">
      <c r="A414" s="550" t="s">
        <v>25</v>
      </c>
      <c r="B414" s="629">
        <f>SUM(D414+N414)</f>
        <v>271</v>
      </c>
      <c r="C414" s="629"/>
      <c r="D414" s="631">
        <f>SUM(E414+G414+K414+L414+M414)</f>
        <v>268</v>
      </c>
      <c r="E414" s="629">
        <v>46</v>
      </c>
      <c r="F414" s="629"/>
      <c r="G414" s="629">
        <f>SUM(H414:J414)</f>
        <v>210</v>
      </c>
      <c r="H414" s="629">
        <v>32</v>
      </c>
      <c r="I414" s="629">
        <v>27</v>
      </c>
      <c r="J414" s="629">
        <v>151</v>
      </c>
      <c r="K414" s="629">
        <v>0</v>
      </c>
      <c r="L414" s="629">
        <v>5</v>
      </c>
      <c r="M414" s="629">
        <v>7</v>
      </c>
      <c r="N414" s="629">
        <v>3</v>
      </c>
      <c r="AE414" s="283"/>
      <c r="AF414" s="283"/>
      <c r="AG414" s="283"/>
      <c r="AH414" s="283"/>
      <c r="AI414" s="283"/>
      <c r="AJ414" s="283"/>
      <c r="AK414" s="283"/>
      <c r="AL414" s="283"/>
      <c r="AM414" s="283"/>
      <c r="AN414" s="283"/>
      <c r="AO414" s="283"/>
      <c r="AP414" s="283"/>
      <c r="AQ414" s="283"/>
    </row>
    <row r="415" spans="1:43" s="263" customFormat="1" ht="9" customHeight="1" x14ac:dyDescent="0.25">
      <c r="A415" s="603" t="s">
        <v>26</v>
      </c>
      <c r="B415" s="630">
        <f>SUM(D415+N415)</f>
        <v>276</v>
      </c>
      <c r="C415" s="630"/>
      <c r="D415" s="633">
        <f>SUM(E415+G415+K415+L415+M415)</f>
        <v>274</v>
      </c>
      <c r="E415" s="634">
        <v>20</v>
      </c>
      <c r="F415" s="630"/>
      <c r="G415" s="630">
        <f>SUM(H415:J415)</f>
        <v>245</v>
      </c>
      <c r="H415" s="634">
        <v>58</v>
      </c>
      <c r="I415" s="634">
        <v>42</v>
      </c>
      <c r="J415" s="630">
        <v>145</v>
      </c>
      <c r="K415" s="634">
        <v>1</v>
      </c>
      <c r="L415" s="634">
        <v>0</v>
      </c>
      <c r="M415" s="634">
        <v>8</v>
      </c>
      <c r="N415" s="634">
        <v>2</v>
      </c>
      <c r="AE415" s="283"/>
      <c r="AF415" s="283"/>
      <c r="AG415" s="283"/>
      <c r="AH415" s="283"/>
      <c r="AI415" s="283"/>
      <c r="AJ415" s="283"/>
      <c r="AK415" s="283"/>
      <c r="AL415" s="283"/>
      <c r="AM415" s="283"/>
      <c r="AN415" s="283"/>
      <c r="AO415" s="283"/>
      <c r="AP415" s="283"/>
      <c r="AQ415" s="283"/>
    </row>
    <row r="416" spans="1:43" s="263" customFormat="1" ht="9" customHeight="1" x14ac:dyDescent="0.25">
      <c r="A416" s="550" t="s">
        <v>27</v>
      </c>
      <c r="B416" s="629">
        <f t="shared" ref="B416:B443" si="45">SUM(D416+N416)</f>
        <v>1017</v>
      </c>
      <c r="C416" s="629"/>
      <c r="D416" s="631">
        <f t="shared" ref="D416:D443" si="46">SUM(E416+G416+K416+L416+M416)</f>
        <v>1012</v>
      </c>
      <c r="E416" s="632">
        <v>55</v>
      </c>
      <c r="F416" s="629"/>
      <c r="G416" s="629">
        <f t="shared" ref="G416:G443" si="47">SUM(H416:J416)</f>
        <v>939</v>
      </c>
      <c r="H416" s="632">
        <v>150</v>
      </c>
      <c r="I416" s="632">
        <v>111</v>
      </c>
      <c r="J416" s="629">
        <v>678</v>
      </c>
      <c r="K416" s="632">
        <v>2</v>
      </c>
      <c r="L416" s="632">
        <v>0</v>
      </c>
      <c r="M416" s="632">
        <v>16</v>
      </c>
      <c r="N416" s="632">
        <v>5</v>
      </c>
      <c r="AE416" s="283"/>
      <c r="AF416" s="283"/>
      <c r="AG416" s="283"/>
      <c r="AH416" s="283"/>
      <c r="AI416" s="283"/>
      <c r="AJ416" s="283"/>
      <c r="AK416" s="283"/>
      <c r="AL416" s="283"/>
      <c r="AM416" s="283"/>
      <c r="AN416" s="283"/>
      <c r="AO416" s="283"/>
      <c r="AP416" s="283"/>
      <c r="AQ416" s="283"/>
    </row>
    <row r="417" spans="1:43" s="263" customFormat="1" ht="9" customHeight="1" x14ac:dyDescent="0.25">
      <c r="A417" s="550" t="s">
        <v>28</v>
      </c>
      <c r="B417" s="629">
        <f t="shared" si="45"/>
        <v>236</v>
      </c>
      <c r="C417" s="629"/>
      <c r="D417" s="631">
        <f t="shared" si="46"/>
        <v>236</v>
      </c>
      <c r="E417" s="632">
        <v>28</v>
      </c>
      <c r="F417" s="629"/>
      <c r="G417" s="629">
        <f t="shared" si="47"/>
        <v>204</v>
      </c>
      <c r="H417" s="632">
        <v>24</v>
      </c>
      <c r="I417" s="632">
        <v>21</v>
      </c>
      <c r="J417" s="629">
        <v>159</v>
      </c>
      <c r="K417" s="632">
        <v>1</v>
      </c>
      <c r="L417" s="632">
        <v>0</v>
      </c>
      <c r="M417" s="632">
        <v>3</v>
      </c>
      <c r="N417" s="632">
        <v>0</v>
      </c>
      <c r="AE417" s="283"/>
      <c r="AF417" s="283"/>
      <c r="AG417" s="283"/>
      <c r="AH417" s="283"/>
      <c r="AI417" s="283"/>
      <c r="AJ417" s="283"/>
      <c r="AK417" s="283"/>
      <c r="AL417" s="283"/>
      <c r="AM417" s="283"/>
      <c r="AN417" s="283"/>
      <c r="AO417" s="283"/>
      <c r="AP417" s="283"/>
      <c r="AQ417" s="283"/>
    </row>
    <row r="418" spans="1:43" s="263" customFormat="1" ht="9" customHeight="1" x14ac:dyDescent="0.25">
      <c r="A418" s="550" t="s">
        <v>29</v>
      </c>
      <c r="B418" s="629">
        <f t="shared" si="45"/>
        <v>592</v>
      </c>
      <c r="C418" s="629"/>
      <c r="D418" s="631">
        <f t="shared" si="46"/>
        <v>587</v>
      </c>
      <c r="E418" s="632">
        <v>131</v>
      </c>
      <c r="F418" s="629"/>
      <c r="G418" s="629">
        <f t="shared" si="47"/>
        <v>450</v>
      </c>
      <c r="H418" s="632">
        <v>93</v>
      </c>
      <c r="I418" s="632">
        <v>66</v>
      </c>
      <c r="J418" s="629">
        <v>291</v>
      </c>
      <c r="K418" s="632">
        <v>1</v>
      </c>
      <c r="L418" s="632">
        <v>0</v>
      </c>
      <c r="M418" s="632">
        <v>5</v>
      </c>
      <c r="N418" s="632">
        <v>5</v>
      </c>
      <c r="AE418" s="283"/>
      <c r="AF418" s="283"/>
      <c r="AG418" s="283"/>
      <c r="AH418" s="283"/>
      <c r="AI418" s="283"/>
      <c r="AJ418" s="283"/>
      <c r="AK418" s="283"/>
      <c r="AL418" s="283"/>
      <c r="AM418" s="283"/>
      <c r="AN418" s="283"/>
      <c r="AO418" s="283"/>
      <c r="AP418" s="283"/>
      <c r="AQ418" s="283"/>
    </row>
    <row r="419" spans="1:43" s="263" customFormat="1" ht="9" customHeight="1" x14ac:dyDescent="0.25">
      <c r="A419" s="603" t="s">
        <v>30</v>
      </c>
      <c r="B419" s="630">
        <f t="shared" si="45"/>
        <v>2924</v>
      </c>
      <c r="C419" s="630"/>
      <c r="D419" s="633">
        <f t="shared" si="46"/>
        <v>2901</v>
      </c>
      <c r="E419" s="634">
        <v>233</v>
      </c>
      <c r="F419" s="630"/>
      <c r="G419" s="630">
        <f t="shared" si="47"/>
        <v>2598</v>
      </c>
      <c r="H419" s="634">
        <v>393</v>
      </c>
      <c r="I419" s="634">
        <v>287</v>
      </c>
      <c r="J419" s="630">
        <v>1918</v>
      </c>
      <c r="K419" s="634">
        <v>26</v>
      </c>
      <c r="L419" s="634">
        <v>24</v>
      </c>
      <c r="M419" s="634">
        <v>20</v>
      </c>
      <c r="N419" s="634">
        <v>23</v>
      </c>
      <c r="AE419" s="283"/>
      <c r="AF419" s="283"/>
      <c r="AG419" s="283"/>
      <c r="AH419" s="283"/>
      <c r="AI419" s="283"/>
      <c r="AJ419" s="283"/>
      <c r="AK419" s="283"/>
      <c r="AL419" s="283"/>
      <c r="AM419" s="283"/>
      <c r="AN419" s="283"/>
      <c r="AO419" s="283"/>
      <c r="AP419" s="283"/>
      <c r="AQ419" s="283"/>
    </row>
    <row r="420" spans="1:43" s="263" customFormat="1" ht="9" customHeight="1" x14ac:dyDescent="0.25">
      <c r="A420" s="550" t="s">
        <v>63</v>
      </c>
      <c r="B420" s="629">
        <f t="shared" si="45"/>
        <v>3505</v>
      </c>
      <c r="C420" s="629"/>
      <c r="D420" s="631">
        <f t="shared" si="46"/>
        <v>3451</v>
      </c>
      <c r="E420" s="632">
        <v>439</v>
      </c>
      <c r="F420" s="629"/>
      <c r="G420" s="629">
        <f t="shared" si="47"/>
        <v>2812</v>
      </c>
      <c r="H420" s="632">
        <v>448</v>
      </c>
      <c r="I420" s="632">
        <v>321</v>
      </c>
      <c r="J420" s="629">
        <v>2043</v>
      </c>
      <c r="K420" s="632">
        <v>16</v>
      </c>
      <c r="L420" s="632">
        <v>93</v>
      </c>
      <c r="M420" s="632">
        <v>91</v>
      </c>
      <c r="N420" s="632">
        <v>54</v>
      </c>
      <c r="AE420" s="283"/>
      <c r="AF420" s="283"/>
      <c r="AG420" s="283"/>
      <c r="AH420" s="283"/>
      <c r="AI420" s="283"/>
      <c r="AJ420" s="283"/>
      <c r="AK420" s="283"/>
      <c r="AL420" s="283"/>
      <c r="AM420" s="283"/>
      <c r="AN420" s="283"/>
      <c r="AO420" s="283"/>
      <c r="AP420" s="283"/>
      <c r="AQ420" s="283"/>
    </row>
    <row r="421" spans="1:43" s="263" customFormat="1" ht="9" customHeight="1" x14ac:dyDescent="0.25">
      <c r="A421" s="550" t="s">
        <v>31</v>
      </c>
      <c r="B421" s="629">
        <f t="shared" si="45"/>
        <v>266</v>
      </c>
      <c r="C421" s="629"/>
      <c r="D421" s="631">
        <f t="shared" si="46"/>
        <v>266</v>
      </c>
      <c r="E421" s="632">
        <v>117</v>
      </c>
      <c r="F421" s="629"/>
      <c r="G421" s="629">
        <f t="shared" si="47"/>
        <v>140</v>
      </c>
      <c r="H421" s="632">
        <v>18</v>
      </c>
      <c r="I421" s="632">
        <v>23</v>
      </c>
      <c r="J421" s="629">
        <v>99</v>
      </c>
      <c r="K421" s="632">
        <v>0</v>
      </c>
      <c r="L421" s="632">
        <v>6</v>
      </c>
      <c r="M421" s="632">
        <v>3</v>
      </c>
      <c r="N421" s="632">
        <v>0</v>
      </c>
      <c r="AE421" s="283"/>
      <c r="AF421" s="283"/>
      <c r="AG421" s="283"/>
      <c r="AH421" s="283"/>
      <c r="AI421" s="283"/>
      <c r="AJ421" s="283"/>
      <c r="AK421" s="283"/>
      <c r="AL421" s="283"/>
      <c r="AM421" s="283"/>
      <c r="AN421" s="283"/>
      <c r="AO421" s="283"/>
      <c r="AP421" s="283"/>
      <c r="AQ421" s="283"/>
    </row>
    <row r="422" spans="1:43" s="263" customFormat="1" ht="9" customHeight="1" x14ac:dyDescent="0.25">
      <c r="A422" s="550" t="s">
        <v>32</v>
      </c>
      <c r="B422" s="629">
        <f t="shared" si="45"/>
        <v>3288</v>
      </c>
      <c r="C422" s="629"/>
      <c r="D422" s="631">
        <f t="shared" si="46"/>
        <v>3250</v>
      </c>
      <c r="E422" s="632">
        <v>508</v>
      </c>
      <c r="F422" s="629"/>
      <c r="G422" s="629">
        <f t="shared" si="47"/>
        <v>2617</v>
      </c>
      <c r="H422" s="632">
        <v>415</v>
      </c>
      <c r="I422" s="632">
        <v>370</v>
      </c>
      <c r="J422" s="629">
        <v>1832</v>
      </c>
      <c r="K422" s="632">
        <v>21</v>
      </c>
      <c r="L422" s="632">
        <v>28</v>
      </c>
      <c r="M422" s="632">
        <v>76</v>
      </c>
      <c r="N422" s="632">
        <v>38</v>
      </c>
      <c r="AE422" s="283"/>
      <c r="AF422" s="283"/>
      <c r="AG422" s="283"/>
      <c r="AH422" s="283"/>
      <c r="AI422" s="283"/>
      <c r="AJ422" s="283"/>
      <c r="AK422" s="283"/>
      <c r="AL422" s="283"/>
      <c r="AM422" s="283"/>
      <c r="AN422" s="283"/>
      <c r="AO422" s="283"/>
      <c r="AP422" s="283"/>
      <c r="AQ422" s="283"/>
    </row>
    <row r="423" spans="1:43" s="263" customFormat="1" ht="9" customHeight="1" x14ac:dyDescent="0.25">
      <c r="A423" s="603" t="s">
        <v>33</v>
      </c>
      <c r="B423" s="630">
        <f t="shared" si="45"/>
        <v>834</v>
      </c>
      <c r="C423" s="630"/>
      <c r="D423" s="633">
        <f t="shared" si="46"/>
        <v>832</v>
      </c>
      <c r="E423" s="634">
        <v>160</v>
      </c>
      <c r="F423" s="630"/>
      <c r="G423" s="630">
        <f t="shared" si="47"/>
        <v>640</v>
      </c>
      <c r="H423" s="634">
        <v>110</v>
      </c>
      <c r="I423" s="634">
        <v>82</v>
      </c>
      <c r="J423" s="630">
        <v>448</v>
      </c>
      <c r="K423" s="634">
        <v>0</v>
      </c>
      <c r="L423" s="634">
        <v>0</v>
      </c>
      <c r="M423" s="634">
        <v>32</v>
      </c>
      <c r="N423" s="634">
        <v>2</v>
      </c>
      <c r="AE423" s="283"/>
      <c r="AF423" s="283"/>
      <c r="AG423" s="283"/>
      <c r="AH423" s="283"/>
      <c r="AI423" s="283"/>
      <c r="AJ423" s="283"/>
      <c r="AK423" s="283"/>
      <c r="AL423" s="283"/>
      <c r="AM423" s="283"/>
      <c r="AN423" s="283"/>
      <c r="AO423" s="283"/>
      <c r="AP423" s="283"/>
      <c r="AQ423" s="283"/>
    </row>
    <row r="424" spans="1:43" s="263" customFormat="1" ht="9" customHeight="1" x14ac:dyDescent="0.25">
      <c r="A424" s="550" t="s">
        <v>34</v>
      </c>
      <c r="B424" s="629">
        <f t="shared" si="45"/>
        <v>867</v>
      </c>
      <c r="C424" s="629"/>
      <c r="D424" s="631">
        <f t="shared" si="46"/>
        <v>857</v>
      </c>
      <c r="E424" s="632">
        <v>153</v>
      </c>
      <c r="F424" s="629"/>
      <c r="G424" s="629">
        <f t="shared" si="47"/>
        <v>674</v>
      </c>
      <c r="H424" s="632">
        <v>123</v>
      </c>
      <c r="I424" s="632">
        <v>96</v>
      </c>
      <c r="J424" s="629">
        <v>455</v>
      </c>
      <c r="K424" s="632">
        <v>3</v>
      </c>
      <c r="L424" s="632">
        <v>0</v>
      </c>
      <c r="M424" s="632">
        <v>27</v>
      </c>
      <c r="N424" s="632">
        <v>10</v>
      </c>
      <c r="AE424" s="283"/>
      <c r="AF424" s="283"/>
      <c r="AG424" s="283"/>
      <c r="AH424" s="283"/>
      <c r="AI424" s="283"/>
      <c r="AJ424" s="283"/>
      <c r="AK424" s="283"/>
      <c r="AL424" s="283"/>
      <c r="AM424" s="283"/>
      <c r="AN424" s="283"/>
      <c r="AO424" s="283"/>
      <c r="AP424" s="283"/>
      <c r="AQ424" s="283"/>
    </row>
    <row r="425" spans="1:43" s="263" customFormat="1" ht="9" customHeight="1" x14ac:dyDescent="0.25">
      <c r="A425" s="550" t="s">
        <v>35</v>
      </c>
      <c r="B425" s="629">
        <f t="shared" si="45"/>
        <v>6732</v>
      </c>
      <c r="C425" s="629"/>
      <c r="D425" s="631">
        <f t="shared" si="46"/>
        <v>6696</v>
      </c>
      <c r="E425" s="632">
        <v>537</v>
      </c>
      <c r="F425" s="629"/>
      <c r="G425" s="629">
        <f t="shared" si="47"/>
        <v>6114</v>
      </c>
      <c r="H425" s="632">
        <v>962</v>
      </c>
      <c r="I425" s="632">
        <v>607</v>
      </c>
      <c r="J425" s="629">
        <v>4545</v>
      </c>
      <c r="K425" s="632">
        <v>2</v>
      </c>
      <c r="L425" s="632">
        <v>21</v>
      </c>
      <c r="M425" s="632">
        <v>22</v>
      </c>
      <c r="N425" s="632">
        <v>36</v>
      </c>
      <c r="AE425" s="283"/>
      <c r="AF425" s="283"/>
      <c r="AG425" s="283"/>
      <c r="AH425" s="283"/>
      <c r="AI425" s="283"/>
      <c r="AJ425" s="283"/>
      <c r="AK425" s="283"/>
      <c r="AL425" s="283"/>
      <c r="AM425" s="283"/>
      <c r="AN425" s="283"/>
      <c r="AO425" s="283"/>
      <c r="AP425" s="283"/>
      <c r="AQ425" s="283"/>
    </row>
    <row r="426" spans="1:43" s="263" customFormat="1" ht="9" customHeight="1" x14ac:dyDescent="0.25">
      <c r="A426" s="550" t="s">
        <v>36</v>
      </c>
      <c r="B426" s="629">
        <f t="shared" si="45"/>
        <v>6152</v>
      </c>
      <c r="C426" s="629"/>
      <c r="D426" s="631">
        <f t="shared" si="46"/>
        <v>6109</v>
      </c>
      <c r="E426" s="632">
        <v>695</v>
      </c>
      <c r="F426" s="629"/>
      <c r="G426" s="629">
        <f t="shared" si="47"/>
        <v>5273</v>
      </c>
      <c r="H426" s="632">
        <v>831</v>
      </c>
      <c r="I426" s="632">
        <v>679</v>
      </c>
      <c r="J426" s="629">
        <v>3763</v>
      </c>
      <c r="K426" s="632">
        <v>22</v>
      </c>
      <c r="L426" s="632">
        <v>9</v>
      </c>
      <c r="M426" s="632">
        <v>110</v>
      </c>
      <c r="N426" s="632">
        <v>43</v>
      </c>
      <c r="AE426" s="283"/>
      <c r="AF426" s="283"/>
      <c r="AG426" s="283"/>
      <c r="AH426" s="283"/>
      <c r="AI426" s="283"/>
      <c r="AJ426" s="283"/>
      <c r="AK426" s="283"/>
      <c r="AL426" s="283"/>
      <c r="AM426" s="283"/>
      <c r="AN426" s="283"/>
      <c r="AO426" s="283"/>
      <c r="AP426" s="283"/>
      <c r="AQ426" s="283"/>
    </row>
    <row r="427" spans="1:43" s="263" customFormat="1" ht="9" customHeight="1" x14ac:dyDescent="0.25">
      <c r="A427" s="603" t="s">
        <v>37</v>
      </c>
      <c r="B427" s="630">
        <f t="shared" si="45"/>
        <v>2194</v>
      </c>
      <c r="C427" s="630"/>
      <c r="D427" s="633">
        <f t="shared" si="46"/>
        <v>2187</v>
      </c>
      <c r="E427" s="634">
        <v>511</v>
      </c>
      <c r="F427" s="630"/>
      <c r="G427" s="630">
        <f t="shared" si="47"/>
        <v>1604</v>
      </c>
      <c r="H427" s="634">
        <v>268</v>
      </c>
      <c r="I427" s="634">
        <v>222</v>
      </c>
      <c r="J427" s="630">
        <v>1114</v>
      </c>
      <c r="K427" s="634">
        <v>18</v>
      </c>
      <c r="L427" s="634">
        <v>40</v>
      </c>
      <c r="M427" s="634">
        <v>14</v>
      </c>
      <c r="N427" s="634">
        <v>7</v>
      </c>
      <c r="AE427" s="283"/>
      <c r="AF427" s="283"/>
      <c r="AG427" s="283"/>
      <c r="AH427" s="283"/>
      <c r="AI427" s="283"/>
      <c r="AJ427" s="283"/>
      <c r="AK427" s="283"/>
      <c r="AL427" s="283"/>
      <c r="AM427" s="283"/>
      <c r="AN427" s="283"/>
      <c r="AO427" s="283"/>
      <c r="AP427" s="283"/>
      <c r="AQ427" s="283"/>
    </row>
    <row r="428" spans="1:43" s="263" customFormat="1" ht="9" customHeight="1" x14ac:dyDescent="0.25">
      <c r="A428" s="550" t="s">
        <v>38</v>
      </c>
      <c r="B428" s="629">
        <f t="shared" si="45"/>
        <v>448</v>
      </c>
      <c r="C428" s="629"/>
      <c r="D428" s="631">
        <f t="shared" si="46"/>
        <v>435</v>
      </c>
      <c r="E428" s="632">
        <v>80</v>
      </c>
      <c r="F428" s="629"/>
      <c r="G428" s="629">
        <f t="shared" si="47"/>
        <v>350</v>
      </c>
      <c r="H428" s="632">
        <v>56</v>
      </c>
      <c r="I428" s="632">
        <v>52</v>
      </c>
      <c r="J428" s="629">
        <v>242</v>
      </c>
      <c r="K428" s="632">
        <v>2</v>
      </c>
      <c r="L428" s="632">
        <v>0</v>
      </c>
      <c r="M428" s="632">
        <v>3</v>
      </c>
      <c r="N428" s="632">
        <v>13</v>
      </c>
      <c r="AE428" s="283"/>
      <c r="AF428" s="283"/>
      <c r="AG428" s="283"/>
      <c r="AH428" s="283"/>
      <c r="AI428" s="283"/>
      <c r="AJ428" s="283"/>
      <c r="AK428" s="283"/>
      <c r="AL428" s="283"/>
      <c r="AM428" s="283"/>
      <c r="AN428" s="283"/>
      <c r="AO428" s="283"/>
      <c r="AP428" s="283"/>
      <c r="AQ428" s="283"/>
    </row>
    <row r="429" spans="1:43" s="263" customFormat="1" ht="9" customHeight="1" x14ac:dyDescent="0.25">
      <c r="A429" s="550" t="s">
        <v>39</v>
      </c>
      <c r="B429" s="629">
        <f t="shared" si="45"/>
        <v>393</v>
      </c>
      <c r="C429" s="629"/>
      <c r="D429" s="631">
        <f t="shared" si="46"/>
        <v>390</v>
      </c>
      <c r="E429" s="632">
        <v>259</v>
      </c>
      <c r="F429" s="629"/>
      <c r="G429" s="629">
        <f t="shared" si="47"/>
        <v>131</v>
      </c>
      <c r="H429" s="632">
        <v>23</v>
      </c>
      <c r="I429" s="632">
        <v>15</v>
      </c>
      <c r="J429" s="629">
        <v>93</v>
      </c>
      <c r="K429" s="632">
        <v>0</v>
      </c>
      <c r="L429" s="632">
        <v>0</v>
      </c>
      <c r="M429" s="632">
        <v>0</v>
      </c>
      <c r="N429" s="632">
        <v>3</v>
      </c>
      <c r="AE429" s="283"/>
      <c r="AF429" s="283"/>
      <c r="AG429" s="283"/>
      <c r="AH429" s="283"/>
      <c r="AI429" s="283"/>
      <c r="AJ429" s="283"/>
      <c r="AK429" s="283"/>
      <c r="AL429" s="283"/>
      <c r="AM429" s="283"/>
      <c r="AN429" s="283"/>
      <c r="AO429" s="283"/>
      <c r="AP429" s="283"/>
      <c r="AQ429" s="283"/>
    </row>
    <row r="430" spans="1:43" s="263" customFormat="1" ht="9" customHeight="1" x14ac:dyDescent="0.25">
      <c r="A430" s="550" t="s">
        <v>40</v>
      </c>
      <c r="B430" s="629">
        <f t="shared" si="45"/>
        <v>15760</v>
      </c>
      <c r="C430" s="629"/>
      <c r="D430" s="631">
        <f t="shared" si="46"/>
        <v>15680</v>
      </c>
      <c r="E430" s="632">
        <v>149</v>
      </c>
      <c r="F430" s="629"/>
      <c r="G430" s="629">
        <f t="shared" si="47"/>
        <v>15209</v>
      </c>
      <c r="H430" s="632">
        <v>2797</v>
      </c>
      <c r="I430" s="632">
        <v>2236</v>
      </c>
      <c r="J430" s="629">
        <v>10176</v>
      </c>
      <c r="K430" s="632">
        <v>23</v>
      </c>
      <c r="L430" s="632">
        <v>211</v>
      </c>
      <c r="M430" s="632">
        <v>88</v>
      </c>
      <c r="N430" s="632">
        <v>80</v>
      </c>
      <c r="AE430" s="283"/>
      <c r="AF430" s="283"/>
      <c r="AG430" s="283"/>
      <c r="AH430" s="283"/>
      <c r="AI430" s="283"/>
      <c r="AJ430" s="283"/>
      <c r="AK430" s="283"/>
      <c r="AL430" s="283"/>
      <c r="AM430" s="283"/>
      <c r="AN430" s="283"/>
      <c r="AO430" s="283"/>
      <c r="AP430" s="283"/>
      <c r="AQ430" s="283"/>
    </row>
    <row r="431" spans="1:43" s="263" customFormat="1" ht="9" customHeight="1" x14ac:dyDescent="0.25">
      <c r="A431" s="603" t="s">
        <v>41</v>
      </c>
      <c r="B431" s="630">
        <f t="shared" si="45"/>
        <v>1034</v>
      </c>
      <c r="C431" s="630"/>
      <c r="D431" s="633">
        <f t="shared" si="46"/>
        <v>1026</v>
      </c>
      <c r="E431" s="634">
        <v>228</v>
      </c>
      <c r="F431" s="630"/>
      <c r="G431" s="630">
        <f t="shared" si="47"/>
        <v>778</v>
      </c>
      <c r="H431" s="634">
        <v>116</v>
      </c>
      <c r="I431" s="634">
        <v>105</v>
      </c>
      <c r="J431" s="630">
        <v>557</v>
      </c>
      <c r="K431" s="634">
        <v>0</v>
      </c>
      <c r="L431" s="634">
        <v>0</v>
      </c>
      <c r="M431" s="634">
        <v>20</v>
      </c>
      <c r="N431" s="634">
        <v>8</v>
      </c>
      <c r="AE431" s="283"/>
      <c r="AF431" s="283"/>
      <c r="AG431" s="283"/>
      <c r="AH431" s="283"/>
      <c r="AI431" s="283"/>
      <c r="AJ431" s="283"/>
      <c r="AK431" s="283"/>
      <c r="AL431" s="283"/>
      <c r="AM431" s="283"/>
      <c r="AN431" s="283"/>
      <c r="AO431" s="283"/>
      <c r="AP431" s="283"/>
      <c r="AQ431" s="283"/>
    </row>
    <row r="432" spans="1:43" s="263" customFormat="1" ht="9" customHeight="1" x14ac:dyDescent="0.25">
      <c r="A432" s="550" t="s">
        <v>42</v>
      </c>
      <c r="B432" s="629">
        <f t="shared" si="45"/>
        <v>2140</v>
      </c>
      <c r="C432" s="629"/>
      <c r="D432" s="631">
        <f t="shared" si="46"/>
        <v>2091</v>
      </c>
      <c r="E432" s="632">
        <v>264</v>
      </c>
      <c r="F432" s="629"/>
      <c r="G432" s="629">
        <f t="shared" si="47"/>
        <v>1765</v>
      </c>
      <c r="H432" s="632">
        <v>226</v>
      </c>
      <c r="I432" s="632">
        <v>246</v>
      </c>
      <c r="J432" s="629">
        <v>1293</v>
      </c>
      <c r="K432" s="632">
        <v>22</v>
      </c>
      <c r="L432" s="632">
        <v>10</v>
      </c>
      <c r="M432" s="632">
        <v>30</v>
      </c>
      <c r="N432" s="632">
        <v>49</v>
      </c>
      <c r="AE432" s="283"/>
      <c r="AF432" s="283"/>
      <c r="AG432" s="283"/>
      <c r="AH432" s="283"/>
      <c r="AI432" s="283"/>
      <c r="AJ432" s="283"/>
      <c r="AK432" s="283"/>
      <c r="AL432" s="283"/>
      <c r="AM432" s="283"/>
      <c r="AN432" s="283"/>
      <c r="AO432" s="283"/>
      <c r="AP432" s="283"/>
      <c r="AQ432" s="283"/>
    </row>
    <row r="433" spans="1:43" s="263" customFormat="1" ht="9" customHeight="1" x14ac:dyDescent="0.25">
      <c r="A433" s="550" t="s">
        <v>43</v>
      </c>
      <c r="B433" s="629">
        <f t="shared" si="45"/>
        <v>1090</v>
      </c>
      <c r="C433" s="629"/>
      <c r="D433" s="631">
        <f t="shared" si="46"/>
        <v>1087</v>
      </c>
      <c r="E433" s="632">
        <v>201</v>
      </c>
      <c r="F433" s="629"/>
      <c r="G433" s="629">
        <f t="shared" si="47"/>
        <v>854</v>
      </c>
      <c r="H433" s="632">
        <v>154</v>
      </c>
      <c r="I433" s="632">
        <v>108</v>
      </c>
      <c r="J433" s="629">
        <v>592</v>
      </c>
      <c r="K433" s="632">
        <v>0</v>
      </c>
      <c r="L433" s="632">
        <v>0</v>
      </c>
      <c r="M433" s="632">
        <v>32</v>
      </c>
      <c r="N433" s="632">
        <v>3</v>
      </c>
      <c r="AE433" s="283"/>
      <c r="AF433" s="283"/>
      <c r="AG433" s="283"/>
      <c r="AH433" s="283"/>
      <c r="AI433" s="283"/>
      <c r="AJ433" s="283"/>
      <c r="AK433" s="283"/>
      <c r="AL433" s="283"/>
      <c r="AM433" s="283"/>
      <c r="AN433" s="283"/>
      <c r="AO433" s="283"/>
      <c r="AP433" s="283"/>
      <c r="AQ433" s="283"/>
    </row>
    <row r="434" spans="1:43" s="263" customFormat="1" ht="9" customHeight="1" x14ac:dyDescent="0.25">
      <c r="A434" s="550" t="s">
        <v>44</v>
      </c>
      <c r="B434" s="629">
        <f t="shared" si="45"/>
        <v>448</v>
      </c>
      <c r="C434" s="629"/>
      <c r="D434" s="631">
        <f t="shared" si="46"/>
        <v>443</v>
      </c>
      <c r="E434" s="632">
        <v>81</v>
      </c>
      <c r="F434" s="629"/>
      <c r="G434" s="629">
        <f t="shared" si="47"/>
        <v>349</v>
      </c>
      <c r="H434" s="632">
        <v>72</v>
      </c>
      <c r="I434" s="632">
        <v>54</v>
      </c>
      <c r="J434" s="629">
        <v>223</v>
      </c>
      <c r="K434" s="632">
        <v>0</v>
      </c>
      <c r="L434" s="632">
        <v>0</v>
      </c>
      <c r="M434" s="632">
        <v>13</v>
      </c>
      <c r="N434" s="550">
        <v>5</v>
      </c>
      <c r="AE434" s="283"/>
      <c r="AF434" s="283"/>
      <c r="AG434" s="283"/>
      <c r="AH434" s="283"/>
      <c r="AI434" s="283"/>
      <c r="AJ434" s="283"/>
      <c r="AK434" s="283"/>
      <c r="AL434" s="283"/>
      <c r="AM434" s="283"/>
      <c r="AN434" s="283"/>
      <c r="AO434" s="283"/>
      <c r="AP434" s="283"/>
      <c r="AQ434" s="283"/>
    </row>
    <row r="435" spans="1:43" s="263" customFormat="1" ht="9" customHeight="1" x14ac:dyDescent="0.25">
      <c r="A435" s="603" t="s">
        <v>45</v>
      </c>
      <c r="B435" s="630">
        <f t="shared" si="45"/>
        <v>1261</v>
      </c>
      <c r="C435" s="630"/>
      <c r="D435" s="633">
        <f t="shared" si="46"/>
        <v>1241</v>
      </c>
      <c r="E435" s="634">
        <v>76</v>
      </c>
      <c r="F435" s="630"/>
      <c r="G435" s="630">
        <f t="shared" si="47"/>
        <v>1156</v>
      </c>
      <c r="H435" s="634">
        <v>188</v>
      </c>
      <c r="I435" s="634">
        <v>134</v>
      </c>
      <c r="J435" s="630">
        <v>834</v>
      </c>
      <c r="K435" s="634">
        <v>1</v>
      </c>
      <c r="L435" s="634">
        <v>1</v>
      </c>
      <c r="M435" s="634">
        <v>7</v>
      </c>
      <c r="N435" s="634">
        <v>20</v>
      </c>
      <c r="AE435" s="283"/>
      <c r="AF435" s="283"/>
      <c r="AG435" s="283"/>
      <c r="AH435" s="283"/>
      <c r="AI435" s="283"/>
      <c r="AJ435" s="283"/>
      <c r="AK435" s="283"/>
      <c r="AL435" s="283"/>
      <c r="AM435" s="283"/>
      <c r="AN435" s="283"/>
      <c r="AO435" s="283"/>
      <c r="AP435" s="283"/>
      <c r="AQ435" s="283"/>
    </row>
    <row r="436" spans="1:43" s="263" customFormat="1" ht="9" customHeight="1" x14ac:dyDescent="0.25">
      <c r="A436" s="550" t="s">
        <v>46</v>
      </c>
      <c r="B436" s="629">
        <f t="shared" si="45"/>
        <v>992</v>
      </c>
      <c r="C436" s="629"/>
      <c r="D436" s="631">
        <f t="shared" si="46"/>
        <v>991</v>
      </c>
      <c r="E436" s="632">
        <v>118</v>
      </c>
      <c r="F436" s="629"/>
      <c r="G436" s="629">
        <f t="shared" si="47"/>
        <v>862</v>
      </c>
      <c r="H436" s="632">
        <v>139</v>
      </c>
      <c r="I436" s="632">
        <v>129</v>
      </c>
      <c r="J436" s="629">
        <v>594</v>
      </c>
      <c r="K436" s="632">
        <v>0</v>
      </c>
      <c r="L436" s="632">
        <v>2</v>
      </c>
      <c r="M436" s="632">
        <v>9</v>
      </c>
      <c r="N436" s="632">
        <v>1</v>
      </c>
      <c r="AE436" s="283"/>
      <c r="AF436" s="283"/>
      <c r="AG436" s="283"/>
      <c r="AH436" s="283"/>
      <c r="AI436" s="283"/>
      <c r="AJ436" s="283"/>
      <c r="AK436" s="283"/>
      <c r="AL436" s="283"/>
      <c r="AM436" s="283"/>
      <c r="AN436" s="283"/>
      <c r="AO436" s="283"/>
      <c r="AP436" s="283"/>
      <c r="AQ436" s="283"/>
    </row>
    <row r="437" spans="1:43" s="263" customFormat="1" ht="9" customHeight="1" x14ac:dyDescent="0.25">
      <c r="A437" s="550" t="s">
        <v>47</v>
      </c>
      <c r="B437" s="629">
        <f t="shared" si="45"/>
        <v>2491</v>
      </c>
      <c r="C437" s="629"/>
      <c r="D437" s="631">
        <f t="shared" si="46"/>
        <v>2481</v>
      </c>
      <c r="E437" s="632">
        <v>185</v>
      </c>
      <c r="F437" s="629"/>
      <c r="G437" s="629">
        <f t="shared" si="47"/>
        <v>2271</v>
      </c>
      <c r="H437" s="632">
        <v>409</v>
      </c>
      <c r="I437" s="632">
        <v>281</v>
      </c>
      <c r="J437" s="629">
        <v>1581</v>
      </c>
      <c r="K437" s="632">
        <v>0</v>
      </c>
      <c r="L437" s="632">
        <v>0</v>
      </c>
      <c r="M437" s="632">
        <v>25</v>
      </c>
      <c r="N437" s="632">
        <v>10</v>
      </c>
      <c r="AE437" s="283"/>
      <c r="AF437" s="283"/>
      <c r="AG437" s="283"/>
      <c r="AH437" s="283"/>
      <c r="AI437" s="283"/>
      <c r="AJ437" s="283"/>
      <c r="AK437" s="283"/>
      <c r="AL437" s="283"/>
      <c r="AM437" s="283"/>
      <c r="AN437" s="283"/>
      <c r="AO437" s="283"/>
      <c r="AP437" s="283"/>
      <c r="AQ437" s="283"/>
    </row>
    <row r="438" spans="1:43" s="263" customFormat="1" ht="9" customHeight="1" x14ac:dyDescent="0.25">
      <c r="A438" s="550" t="s">
        <v>48</v>
      </c>
      <c r="B438" s="629">
        <f t="shared" si="45"/>
        <v>541</v>
      </c>
      <c r="C438" s="629"/>
      <c r="D438" s="631">
        <f t="shared" si="46"/>
        <v>537</v>
      </c>
      <c r="E438" s="632">
        <v>74</v>
      </c>
      <c r="F438" s="629"/>
      <c r="G438" s="629">
        <f t="shared" si="47"/>
        <v>454</v>
      </c>
      <c r="H438" s="632">
        <v>68</v>
      </c>
      <c r="I438" s="632">
        <v>65</v>
      </c>
      <c r="J438" s="629">
        <v>321</v>
      </c>
      <c r="K438" s="632">
        <v>0</v>
      </c>
      <c r="L438" s="632">
        <v>1</v>
      </c>
      <c r="M438" s="632">
        <v>8</v>
      </c>
      <c r="N438" s="632">
        <v>4</v>
      </c>
      <c r="AE438" s="283"/>
      <c r="AF438" s="283"/>
      <c r="AG438" s="283"/>
      <c r="AH438" s="283"/>
      <c r="AI438" s="283"/>
      <c r="AJ438" s="283"/>
      <c r="AK438" s="283"/>
      <c r="AL438" s="283"/>
      <c r="AM438" s="283"/>
      <c r="AN438" s="283"/>
      <c r="AO438" s="283"/>
      <c r="AP438" s="283"/>
      <c r="AQ438" s="283"/>
    </row>
    <row r="439" spans="1:43" s="263" customFormat="1" ht="9" customHeight="1" x14ac:dyDescent="0.25">
      <c r="A439" s="603" t="s">
        <v>49</v>
      </c>
      <c r="B439" s="630">
        <f t="shared" si="45"/>
        <v>1422</v>
      </c>
      <c r="C439" s="630"/>
      <c r="D439" s="633">
        <f t="shared" si="46"/>
        <v>1418</v>
      </c>
      <c r="E439" s="634">
        <v>214</v>
      </c>
      <c r="F439" s="630"/>
      <c r="G439" s="630">
        <f t="shared" si="47"/>
        <v>1182</v>
      </c>
      <c r="H439" s="634">
        <v>206</v>
      </c>
      <c r="I439" s="634">
        <v>159</v>
      </c>
      <c r="J439" s="630">
        <v>817</v>
      </c>
      <c r="K439" s="634">
        <v>0</v>
      </c>
      <c r="L439" s="634">
        <v>0</v>
      </c>
      <c r="M439" s="634">
        <v>22</v>
      </c>
      <c r="N439" s="634">
        <v>4</v>
      </c>
      <c r="AE439" s="283"/>
      <c r="AF439" s="283"/>
      <c r="AG439" s="283"/>
      <c r="AH439" s="283"/>
      <c r="AI439" s="283"/>
      <c r="AJ439" s="283"/>
      <c r="AK439" s="283"/>
      <c r="AL439" s="283"/>
      <c r="AM439" s="283"/>
      <c r="AN439" s="283"/>
      <c r="AO439" s="283"/>
      <c r="AP439" s="283"/>
      <c r="AQ439" s="283"/>
    </row>
    <row r="440" spans="1:43" s="263" customFormat="1" ht="9" customHeight="1" x14ac:dyDescent="0.25">
      <c r="A440" s="550" t="s">
        <v>50</v>
      </c>
      <c r="B440" s="629">
        <f t="shared" si="45"/>
        <v>388</v>
      </c>
      <c r="C440" s="629"/>
      <c r="D440" s="631">
        <f t="shared" si="46"/>
        <v>387</v>
      </c>
      <c r="E440" s="632">
        <v>56</v>
      </c>
      <c r="F440" s="629"/>
      <c r="G440" s="629">
        <f t="shared" si="47"/>
        <v>323</v>
      </c>
      <c r="H440" s="632">
        <v>44</v>
      </c>
      <c r="I440" s="632">
        <v>39</v>
      </c>
      <c r="J440" s="629">
        <v>240</v>
      </c>
      <c r="K440" s="632">
        <v>1</v>
      </c>
      <c r="L440" s="632">
        <v>0</v>
      </c>
      <c r="M440" s="632">
        <v>7</v>
      </c>
      <c r="N440" s="632">
        <v>1</v>
      </c>
      <c r="AE440" s="283"/>
      <c r="AF440" s="283"/>
      <c r="AG440" s="283"/>
      <c r="AH440" s="283"/>
      <c r="AI440" s="283"/>
      <c r="AJ440" s="283"/>
      <c r="AK440" s="283"/>
      <c r="AL440" s="283"/>
      <c r="AM440" s="283"/>
      <c r="AN440" s="283"/>
      <c r="AO440" s="283"/>
      <c r="AP440" s="283"/>
      <c r="AQ440" s="283"/>
    </row>
    <row r="441" spans="1:43" s="263" customFormat="1" ht="9" customHeight="1" x14ac:dyDescent="0.25">
      <c r="A441" s="550" t="s">
        <v>51</v>
      </c>
      <c r="B441" s="629">
        <f t="shared" si="45"/>
        <v>1274</v>
      </c>
      <c r="C441" s="629"/>
      <c r="D441" s="631">
        <f t="shared" si="46"/>
        <v>1263</v>
      </c>
      <c r="E441" s="632">
        <v>209</v>
      </c>
      <c r="F441" s="629"/>
      <c r="G441" s="629">
        <f t="shared" si="47"/>
        <v>1033</v>
      </c>
      <c r="H441" s="632">
        <v>167</v>
      </c>
      <c r="I441" s="632">
        <v>146</v>
      </c>
      <c r="J441" s="629">
        <v>720</v>
      </c>
      <c r="K441" s="632">
        <v>1</v>
      </c>
      <c r="L441" s="632">
        <v>1</v>
      </c>
      <c r="M441" s="632">
        <v>19</v>
      </c>
      <c r="N441" s="632">
        <v>11</v>
      </c>
      <c r="AE441" s="283"/>
      <c r="AF441" s="283"/>
      <c r="AG441" s="283"/>
      <c r="AH441" s="283"/>
      <c r="AI441" s="283"/>
      <c r="AJ441" s="283"/>
      <c r="AK441" s="283"/>
      <c r="AL441" s="283"/>
      <c r="AM441" s="283"/>
      <c r="AN441" s="283"/>
      <c r="AO441" s="283"/>
      <c r="AP441" s="283"/>
      <c r="AQ441" s="283"/>
    </row>
    <row r="442" spans="1:43" s="263" customFormat="1" ht="9" customHeight="1" x14ac:dyDescent="0.25">
      <c r="A442" s="550" t="s">
        <v>52</v>
      </c>
      <c r="B442" s="629">
        <f t="shared" si="45"/>
        <v>840</v>
      </c>
      <c r="C442" s="629"/>
      <c r="D442" s="631">
        <f t="shared" si="46"/>
        <v>838</v>
      </c>
      <c r="E442" s="632">
        <v>61</v>
      </c>
      <c r="F442" s="629"/>
      <c r="G442" s="629">
        <f t="shared" si="47"/>
        <v>758</v>
      </c>
      <c r="H442" s="632">
        <v>103</v>
      </c>
      <c r="I442" s="632">
        <v>96</v>
      </c>
      <c r="J442" s="629">
        <v>559</v>
      </c>
      <c r="K442" s="632">
        <v>3</v>
      </c>
      <c r="L442" s="632">
        <v>0</v>
      </c>
      <c r="M442" s="632">
        <v>16</v>
      </c>
      <c r="N442" s="632">
        <v>2</v>
      </c>
      <c r="AE442" s="283"/>
      <c r="AF442" s="283"/>
      <c r="AG442" s="283"/>
      <c r="AH442" s="283"/>
      <c r="AI442" s="283"/>
      <c r="AJ442" s="283"/>
      <c r="AK442" s="283"/>
      <c r="AL442" s="283"/>
      <c r="AM442" s="283"/>
      <c r="AN442" s="283"/>
      <c r="AO442" s="283"/>
      <c r="AP442" s="283"/>
      <c r="AQ442" s="283"/>
    </row>
    <row r="443" spans="1:43" s="263" customFormat="1" ht="9" customHeight="1" x14ac:dyDescent="0.25">
      <c r="A443" s="603" t="s">
        <v>53</v>
      </c>
      <c r="B443" s="630">
        <f t="shared" si="45"/>
        <v>529</v>
      </c>
      <c r="C443" s="630"/>
      <c r="D443" s="633">
        <f t="shared" si="46"/>
        <v>528</v>
      </c>
      <c r="E443" s="634">
        <v>77</v>
      </c>
      <c r="F443" s="630"/>
      <c r="G443" s="630">
        <f t="shared" si="47"/>
        <v>447</v>
      </c>
      <c r="H443" s="634">
        <v>60</v>
      </c>
      <c r="I443" s="634">
        <v>44</v>
      </c>
      <c r="J443" s="630">
        <v>343</v>
      </c>
      <c r="K443" s="634">
        <v>0</v>
      </c>
      <c r="L443" s="634">
        <v>0</v>
      </c>
      <c r="M443" s="634">
        <v>4</v>
      </c>
      <c r="N443" s="634">
        <v>1</v>
      </c>
      <c r="AE443" s="283"/>
      <c r="AF443" s="283"/>
      <c r="AG443" s="283"/>
      <c r="AH443" s="283"/>
      <c r="AI443" s="283"/>
      <c r="AJ443" s="283"/>
      <c r="AK443" s="283"/>
      <c r="AL443" s="283"/>
      <c r="AM443" s="283"/>
      <c r="AN443" s="283"/>
      <c r="AO443" s="283"/>
      <c r="AP443" s="283"/>
      <c r="AQ443" s="283"/>
    </row>
    <row r="444" spans="1:43" ht="8.25" customHeight="1" x14ac:dyDescent="0.25">
      <c r="B444" s="259"/>
      <c r="C444" s="259"/>
      <c r="D444" s="259"/>
      <c r="E444" s="259"/>
      <c r="F444" s="259"/>
      <c r="G444" s="259"/>
      <c r="H444" s="259"/>
      <c r="I444" s="259"/>
      <c r="J444" s="259"/>
      <c r="K444" s="259"/>
      <c r="L444" s="259"/>
      <c r="AE444" s="283"/>
      <c r="AF444" s="283"/>
      <c r="AG444" s="283"/>
      <c r="AH444" s="283"/>
      <c r="AI444" s="283"/>
      <c r="AJ444" s="283"/>
      <c r="AK444" s="283"/>
      <c r="AL444" s="283"/>
      <c r="AM444" s="283"/>
      <c r="AN444" s="283"/>
      <c r="AO444" s="283"/>
      <c r="AP444" s="283"/>
      <c r="AQ444" s="283"/>
    </row>
    <row r="445" spans="1:43" ht="9" customHeight="1" x14ac:dyDescent="0.25">
      <c r="A445" s="601">
        <v>2013</v>
      </c>
      <c r="B445" s="262"/>
      <c r="C445" s="262"/>
      <c r="D445" s="262"/>
      <c r="E445" s="262"/>
      <c r="F445" s="262"/>
      <c r="G445" s="262"/>
      <c r="H445" s="262"/>
      <c r="I445" s="262"/>
      <c r="J445" s="262"/>
      <c r="K445" s="262"/>
      <c r="L445" s="262"/>
      <c r="M445" s="262"/>
      <c r="N445" s="262"/>
      <c r="AE445" s="283"/>
      <c r="AF445" s="283"/>
      <c r="AG445" s="283"/>
      <c r="AH445" s="283"/>
      <c r="AI445" s="283"/>
      <c r="AJ445" s="283"/>
      <c r="AK445" s="283"/>
      <c r="AL445" s="283"/>
      <c r="AM445" s="283"/>
      <c r="AN445" s="283"/>
      <c r="AO445" s="283"/>
      <c r="AP445" s="283"/>
      <c r="AQ445" s="283"/>
    </row>
    <row r="446" spans="1:43" s="263" customFormat="1" ht="9" customHeight="1" x14ac:dyDescent="0.25">
      <c r="A446" s="265" t="s">
        <v>21</v>
      </c>
      <c r="B446" s="262">
        <f>SUM(B448:B479)</f>
        <v>62809</v>
      </c>
      <c r="C446" s="262"/>
      <c r="D446" s="262">
        <f>SUM(D448:D479)</f>
        <v>62376</v>
      </c>
      <c r="E446" s="262">
        <f>SUM(E448:E479)</f>
        <v>5885</v>
      </c>
      <c r="F446" s="262"/>
      <c r="G446" s="262">
        <f t="shared" ref="G446:M446" si="48">SUM(G448:G479)</f>
        <v>55087</v>
      </c>
      <c r="H446" s="262">
        <f t="shared" si="48"/>
        <v>9090</v>
      </c>
      <c r="I446" s="262">
        <f t="shared" si="48"/>
        <v>7315</v>
      </c>
      <c r="J446" s="262">
        <f t="shared" si="48"/>
        <v>38682</v>
      </c>
      <c r="K446" s="262">
        <f t="shared" si="48"/>
        <v>124</v>
      </c>
      <c r="L446" s="262">
        <f t="shared" si="48"/>
        <v>496</v>
      </c>
      <c r="M446" s="262">
        <f t="shared" si="48"/>
        <v>784</v>
      </c>
      <c r="N446" s="262">
        <f>SUM(N448:N479)</f>
        <v>433</v>
      </c>
      <c r="AE446" s="283"/>
      <c r="AF446" s="283"/>
      <c r="AG446" s="283"/>
      <c r="AH446" s="283"/>
      <c r="AI446" s="283"/>
      <c r="AJ446" s="283"/>
      <c r="AK446" s="283"/>
      <c r="AL446" s="283"/>
      <c r="AM446" s="283"/>
      <c r="AN446" s="283"/>
      <c r="AO446" s="283"/>
      <c r="AP446" s="283"/>
      <c r="AQ446" s="283"/>
    </row>
    <row r="447" spans="1:43" s="263" customFormat="1" ht="2.1" customHeight="1" x14ac:dyDescent="0.25">
      <c r="A447" s="265"/>
      <c r="B447" s="262"/>
      <c r="C447" s="262"/>
      <c r="D447" s="262"/>
      <c r="E447" s="262"/>
      <c r="F447" s="262"/>
      <c r="G447" s="262"/>
      <c r="H447" s="262"/>
      <c r="I447" s="262"/>
      <c r="J447" s="262"/>
      <c r="K447" s="262"/>
      <c r="L447" s="262"/>
      <c r="M447" s="262"/>
      <c r="N447" s="262"/>
      <c r="AE447" s="283"/>
      <c r="AF447" s="283"/>
      <c r="AG447" s="283"/>
      <c r="AH447" s="283"/>
      <c r="AI447" s="283"/>
      <c r="AJ447" s="283"/>
      <c r="AK447" s="283"/>
      <c r="AL447" s="283"/>
      <c r="AM447" s="283"/>
      <c r="AN447" s="283"/>
      <c r="AO447" s="283"/>
      <c r="AP447" s="283"/>
      <c r="AQ447" s="283"/>
    </row>
    <row r="448" spans="1:43" s="263" customFormat="1" ht="9" customHeight="1" x14ac:dyDescent="0.25">
      <c r="A448" s="550" t="s">
        <v>23</v>
      </c>
      <c r="B448" s="629">
        <f>SUM(D448+N448)</f>
        <v>500</v>
      </c>
      <c r="C448" s="629"/>
      <c r="D448" s="631">
        <f>SUM(E448+G448+K448+L448+M448)</f>
        <v>494</v>
      </c>
      <c r="E448" s="632">
        <v>40</v>
      </c>
      <c r="F448" s="629"/>
      <c r="G448" s="629">
        <f>SUM(H448:J448)</f>
        <v>452</v>
      </c>
      <c r="H448" s="632">
        <v>55</v>
      </c>
      <c r="I448" s="632">
        <v>40</v>
      </c>
      <c r="J448" s="629">
        <v>357</v>
      </c>
      <c r="K448" s="632">
        <v>1</v>
      </c>
      <c r="L448" s="632">
        <v>0</v>
      </c>
      <c r="M448" s="632">
        <v>1</v>
      </c>
      <c r="N448" s="632">
        <v>6</v>
      </c>
      <c r="R448" s="283"/>
      <c r="AE448" s="283"/>
      <c r="AF448" s="283"/>
      <c r="AG448" s="283"/>
      <c r="AH448" s="283"/>
      <c r="AI448" s="283"/>
      <c r="AJ448" s="283"/>
      <c r="AK448" s="283"/>
      <c r="AL448" s="283"/>
      <c r="AM448" s="283"/>
      <c r="AN448" s="283"/>
      <c r="AO448" s="283"/>
      <c r="AP448" s="283"/>
      <c r="AQ448" s="283"/>
    </row>
    <row r="449" spans="1:43" s="263" customFormat="1" ht="9" customHeight="1" x14ac:dyDescent="0.25">
      <c r="A449" s="550" t="s">
        <v>24</v>
      </c>
      <c r="B449" s="629">
        <f>SUM(D449+N449)</f>
        <v>2387</v>
      </c>
      <c r="C449" s="629"/>
      <c r="D449" s="631">
        <f>SUM(E449+G449+K449+L449+M449)</f>
        <v>2353</v>
      </c>
      <c r="E449" s="629">
        <v>379</v>
      </c>
      <c r="F449" s="629"/>
      <c r="G449" s="629">
        <f>SUM(H449:J449)</f>
        <v>1915</v>
      </c>
      <c r="H449" s="629">
        <v>279</v>
      </c>
      <c r="I449" s="629">
        <v>223</v>
      </c>
      <c r="J449" s="629">
        <v>1413</v>
      </c>
      <c r="K449" s="629">
        <v>3</v>
      </c>
      <c r="L449" s="629">
        <v>2</v>
      </c>
      <c r="M449" s="629">
        <v>54</v>
      </c>
      <c r="N449" s="629">
        <v>34</v>
      </c>
      <c r="R449" s="283"/>
      <c r="AE449" s="283"/>
      <c r="AF449" s="283"/>
      <c r="AG449" s="283"/>
      <c r="AH449" s="283"/>
      <c r="AI449" s="283"/>
      <c r="AJ449" s="283"/>
      <c r="AK449" s="283"/>
      <c r="AL449" s="283"/>
      <c r="AM449" s="283"/>
      <c r="AN449" s="283"/>
      <c r="AO449" s="283"/>
      <c r="AP449" s="283"/>
      <c r="AQ449" s="283"/>
    </row>
    <row r="450" spans="1:43" s="263" customFormat="1" ht="9" customHeight="1" x14ac:dyDescent="0.25">
      <c r="A450" s="550" t="s">
        <v>25</v>
      </c>
      <c r="B450" s="629">
        <f>SUM(D450+N450)</f>
        <v>228</v>
      </c>
      <c r="C450" s="629"/>
      <c r="D450" s="631">
        <f>SUM(E450+G450+K450+L450+M450)</f>
        <v>227</v>
      </c>
      <c r="E450" s="629">
        <v>39</v>
      </c>
      <c r="F450" s="629"/>
      <c r="G450" s="629">
        <f>SUM(H450:J450)</f>
        <v>176</v>
      </c>
      <c r="H450" s="629">
        <v>24</v>
      </c>
      <c r="I450" s="629">
        <v>22</v>
      </c>
      <c r="J450" s="629">
        <v>130</v>
      </c>
      <c r="K450" s="629">
        <v>0</v>
      </c>
      <c r="L450" s="629">
        <v>5</v>
      </c>
      <c r="M450" s="629">
        <v>7</v>
      </c>
      <c r="N450" s="629">
        <v>1</v>
      </c>
      <c r="R450" s="283"/>
      <c r="AE450" s="283"/>
      <c r="AF450" s="283"/>
      <c r="AG450" s="283"/>
      <c r="AH450" s="283"/>
      <c r="AI450" s="283"/>
      <c r="AJ450" s="283"/>
      <c r="AK450" s="283"/>
      <c r="AL450" s="283"/>
      <c r="AM450" s="283"/>
      <c r="AN450" s="283"/>
      <c r="AO450" s="283"/>
      <c r="AP450" s="283"/>
      <c r="AQ450" s="283"/>
    </row>
    <row r="451" spans="1:43" s="263" customFormat="1" ht="9" customHeight="1" x14ac:dyDescent="0.25">
      <c r="A451" s="603" t="s">
        <v>26</v>
      </c>
      <c r="B451" s="630">
        <f>SUM(D451+N451)</f>
        <v>247</v>
      </c>
      <c r="C451" s="630"/>
      <c r="D451" s="633">
        <f>SUM(E451+G451+K451+L451+M451)</f>
        <v>244</v>
      </c>
      <c r="E451" s="634">
        <v>13</v>
      </c>
      <c r="F451" s="630"/>
      <c r="G451" s="630">
        <f>SUM(H451:J451)</f>
        <v>225</v>
      </c>
      <c r="H451" s="634">
        <v>51</v>
      </c>
      <c r="I451" s="634">
        <v>36</v>
      </c>
      <c r="J451" s="630">
        <v>138</v>
      </c>
      <c r="K451" s="634">
        <v>0</v>
      </c>
      <c r="L451" s="634">
        <v>0</v>
      </c>
      <c r="M451" s="634">
        <v>6</v>
      </c>
      <c r="N451" s="634">
        <v>3</v>
      </c>
      <c r="R451" s="283"/>
      <c r="AE451" s="283"/>
      <c r="AF451" s="283"/>
      <c r="AG451" s="283"/>
      <c r="AH451" s="283"/>
      <c r="AI451" s="283"/>
      <c r="AJ451" s="283"/>
      <c r="AK451" s="283"/>
      <c r="AL451" s="283"/>
      <c r="AM451" s="283"/>
      <c r="AN451" s="283"/>
      <c r="AO451" s="283"/>
      <c r="AP451" s="283"/>
      <c r="AQ451" s="283"/>
    </row>
    <row r="452" spans="1:43" s="263" customFormat="1" ht="9" customHeight="1" x14ac:dyDescent="0.25">
      <c r="A452" s="550" t="s">
        <v>27</v>
      </c>
      <c r="B452" s="629">
        <f t="shared" ref="B452:B479" si="49">SUM(D452+N452)</f>
        <v>959</v>
      </c>
      <c r="C452" s="629"/>
      <c r="D452" s="631">
        <f t="shared" ref="D452:D479" si="50">SUM(E452+G452+K452+L452+M452)</f>
        <v>953</v>
      </c>
      <c r="E452" s="632">
        <v>62</v>
      </c>
      <c r="F452" s="629"/>
      <c r="G452" s="629">
        <f t="shared" ref="G452:G479" si="51">SUM(H452:J452)</f>
        <v>872</v>
      </c>
      <c r="H452" s="632">
        <v>134</v>
      </c>
      <c r="I452" s="632">
        <v>104</v>
      </c>
      <c r="J452" s="629">
        <v>634</v>
      </c>
      <c r="K452" s="632">
        <v>2</v>
      </c>
      <c r="L452" s="632">
        <v>0</v>
      </c>
      <c r="M452" s="632">
        <v>17</v>
      </c>
      <c r="N452" s="632">
        <v>6</v>
      </c>
      <c r="R452" s="283"/>
      <c r="AE452" s="283"/>
      <c r="AF452" s="283"/>
      <c r="AG452" s="283"/>
      <c r="AH452" s="283"/>
      <c r="AI452" s="283"/>
      <c r="AJ452" s="283"/>
      <c r="AK452" s="283"/>
      <c r="AL452" s="283"/>
      <c r="AM452" s="283"/>
      <c r="AN452" s="283"/>
      <c r="AO452" s="283"/>
      <c r="AP452" s="283"/>
      <c r="AQ452" s="283"/>
    </row>
    <row r="453" spans="1:43" s="263" customFormat="1" ht="9" customHeight="1" x14ac:dyDescent="0.25">
      <c r="A453" s="550" t="s">
        <v>28</v>
      </c>
      <c r="B453" s="629">
        <f t="shared" si="49"/>
        <v>336</v>
      </c>
      <c r="C453" s="629"/>
      <c r="D453" s="631">
        <f t="shared" si="50"/>
        <v>336</v>
      </c>
      <c r="E453" s="632">
        <v>31</v>
      </c>
      <c r="F453" s="629"/>
      <c r="G453" s="629">
        <f t="shared" si="51"/>
        <v>299</v>
      </c>
      <c r="H453" s="632">
        <v>31</v>
      </c>
      <c r="I453" s="632">
        <v>29</v>
      </c>
      <c r="J453" s="629">
        <v>239</v>
      </c>
      <c r="K453" s="632">
        <v>2</v>
      </c>
      <c r="L453" s="632">
        <v>1</v>
      </c>
      <c r="M453" s="632">
        <v>3</v>
      </c>
      <c r="N453" s="632">
        <v>0</v>
      </c>
      <c r="R453" s="283"/>
      <c r="AE453" s="283"/>
      <c r="AF453" s="283"/>
      <c r="AG453" s="283"/>
      <c r="AH453" s="283"/>
      <c r="AI453" s="283"/>
      <c r="AJ453" s="283"/>
      <c r="AK453" s="283"/>
      <c r="AL453" s="283"/>
      <c r="AM453" s="283"/>
      <c r="AN453" s="283"/>
      <c r="AO453" s="283"/>
      <c r="AP453" s="283"/>
      <c r="AQ453" s="283"/>
    </row>
    <row r="454" spans="1:43" s="263" customFormat="1" ht="9" customHeight="1" x14ac:dyDescent="0.25">
      <c r="A454" s="550" t="s">
        <v>29</v>
      </c>
      <c r="B454" s="629">
        <f t="shared" si="49"/>
        <v>602</v>
      </c>
      <c r="C454" s="629"/>
      <c r="D454" s="631">
        <f t="shared" si="50"/>
        <v>598</v>
      </c>
      <c r="E454" s="632">
        <v>106</v>
      </c>
      <c r="F454" s="629"/>
      <c r="G454" s="629">
        <f t="shared" si="51"/>
        <v>488</v>
      </c>
      <c r="H454" s="632">
        <v>94</v>
      </c>
      <c r="I454" s="632">
        <v>73</v>
      </c>
      <c r="J454" s="629">
        <v>321</v>
      </c>
      <c r="K454" s="632">
        <v>0</v>
      </c>
      <c r="L454" s="632">
        <v>0</v>
      </c>
      <c r="M454" s="632">
        <v>4</v>
      </c>
      <c r="N454" s="632">
        <v>4</v>
      </c>
      <c r="R454" s="283"/>
      <c r="AE454" s="283"/>
      <c r="AF454" s="283"/>
      <c r="AG454" s="283"/>
      <c r="AH454" s="283"/>
      <c r="AI454" s="283"/>
      <c r="AJ454" s="283"/>
      <c r="AK454" s="283"/>
      <c r="AL454" s="283"/>
      <c r="AM454" s="283"/>
      <c r="AN454" s="283"/>
      <c r="AO454" s="283"/>
      <c r="AP454" s="283"/>
      <c r="AQ454" s="283"/>
    </row>
    <row r="455" spans="1:43" s="263" customFormat="1" ht="9" customHeight="1" x14ac:dyDescent="0.25">
      <c r="A455" s="603" t="s">
        <v>30</v>
      </c>
      <c r="B455" s="630">
        <f t="shared" si="49"/>
        <v>2973</v>
      </c>
      <c r="C455" s="630"/>
      <c r="D455" s="633">
        <f t="shared" si="50"/>
        <v>2948</v>
      </c>
      <c r="E455" s="634">
        <v>232</v>
      </c>
      <c r="F455" s="630"/>
      <c r="G455" s="630">
        <f t="shared" si="51"/>
        <v>2641</v>
      </c>
      <c r="H455" s="634">
        <v>406</v>
      </c>
      <c r="I455" s="634">
        <v>301</v>
      </c>
      <c r="J455" s="630">
        <v>1934</v>
      </c>
      <c r="K455" s="634">
        <v>27</v>
      </c>
      <c r="L455" s="634">
        <v>26</v>
      </c>
      <c r="M455" s="634">
        <v>22</v>
      </c>
      <c r="N455" s="634">
        <v>25</v>
      </c>
      <c r="R455" s="283"/>
      <c r="AE455" s="283"/>
      <c r="AF455" s="283"/>
      <c r="AG455" s="283"/>
      <c r="AH455" s="283"/>
      <c r="AI455" s="283"/>
      <c r="AJ455" s="283"/>
      <c r="AK455" s="283"/>
      <c r="AL455" s="283"/>
      <c r="AM455" s="283"/>
      <c r="AN455" s="283"/>
      <c r="AO455" s="283"/>
      <c r="AP455" s="283"/>
      <c r="AQ455" s="283"/>
    </row>
    <row r="456" spans="1:43" s="263" customFormat="1" ht="9" customHeight="1" x14ac:dyDescent="0.25">
      <c r="A456" s="550" t="s">
        <v>63</v>
      </c>
      <c r="B456" s="629">
        <f t="shared" si="49"/>
        <v>4267</v>
      </c>
      <c r="C456" s="629"/>
      <c r="D456" s="631">
        <f t="shared" si="50"/>
        <v>4201</v>
      </c>
      <c r="E456" s="632">
        <v>441</v>
      </c>
      <c r="F456" s="629"/>
      <c r="G456" s="629">
        <f t="shared" si="51"/>
        <v>3500</v>
      </c>
      <c r="H456" s="632">
        <v>553</v>
      </c>
      <c r="I456" s="632">
        <v>530</v>
      </c>
      <c r="J456" s="629">
        <v>2417</v>
      </c>
      <c r="K456" s="632">
        <v>15</v>
      </c>
      <c r="L456" s="632">
        <v>155</v>
      </c>
      <c r="M456" s="632">
        <v>90</v>
      </c>
      <c r="N456" s="632">
        <v>66</v>
      </c>
      <c r="R456" s="283"/>
      <c r="AE456" s="283"/>
      <c r="AF456" s="283"/>
      <c r="AG456" s="283"/>
      <c r="AH456" s="283"/>
      <c r="AI456" s="283"/>
      <c r="AJ456" s="283"/>
      <c r="AK456" s="283"/>
      <c r="AL456" s="283"/>
      <c r="AM456" s="283"/>
      <c r="AN456" s="283"/>
      <c r="AO456" s="283"/>
      <c r="AP456" s="283"/>
      <c r="AQ456" s="283"/>
    </row>
    <row r="457" spans="1:43" s="263" customFormat="1" ht="9" customHeight="1" x14ac:dyDescent="0.25">
      <c r="A457" s="550" t="s">
        <v>31</v>
      </c>
      <c r="B457" s="629">
        <f t="shared" si="49"/>
        <v>264</v>
      </c>
      <c r="C457" s="629"/>
      <c r="D457" s="631">
        <f t="shared" si="50"/>
        <v>263</v>
      </c>
      <c r="E457" s="632">
        <v>39</v>
      </c>
      <c r="F457" s="629"/>
      <c r="G457" s="629">
        <f t="shared" si="51"/>
        <v>213</v>
      </c>
      <c r="H457" s="632">
        <v>15</v>
      </c>
      <c r="I457" s="632">
        <v>26</v>
      </c>
      <c r="J457" s="629">
        <v>172</v>
      </c>
      <c r="K457" s="632">
        <v>0</v>
      </c>
      <c r="L457" s="632">
        <v>9</v>
      </c>
      <c r="M457" s="632">
        <v>2</v>
      </c>
      <c r="N457" s="632">
        <v>1</v>
      </c>
      <c r="R457" s="283"/>
      <c r="AE457" s="283"/>
      <c r="AF457" s="283"/>
      <c r="AG457" s="283"/>
      <c r="AH457" s="283"/>
      <c r="AI457" s="283"/>
      <c r="AJ457" s="283"/>
      <c r="AK457" s="283"/>
      <c r="AL457" s="283"/>
      <c r="AM457" s="283"/>
      <c r="AN457" s="283"/>
      <c r="AO457" s="283"/>
      <c r="AP457" s="283"/>
      <c r="AQ457" s="283"/>
    </row>
    <row r="458" spans="1:43" s="263" customFormat="1" ht="9" customHeight="1" x14ac:dyDescent="0.25">
      <c r="A458" s="550" t="s">
        <v>32</v>
      </c>
      <c r="B458" s="629">
        <f t="shared" si="49"/>
        <v>3234</v>
      </c>
      <c r="C458" s="629"/>
      <c r="D458" s="631">
        <f t="shared" si="50"/>
        <v>3207</v>
      </c>
      <c r="E458" s="632">
        <v>463</v>
      </c>
      <c r="F458" s="629"/>
      <c r="G458" s="629">
        <f t="shared" si="51"/>
        <v>2645</v>
      </c>
      <c r="H458" s="632">
        <v>409</v>
      </c>
      <c r="I458" s="632">
        <v>370</v>
      </c>
      <c r="J458" s="629">
        <v>1866</v>
      </c>
      <c r="K458" s="632">
        <v>13</v>
      </c>
      <c r="L458" s="632">
        <v>6</v>
      </c>
      <c r="M458" s="632">
        <v>80</v>
      </c>
      <c r="N458" s="632">
        <v>27</v>
      </c>
      <c r="R458" s="283"/>
      <c r="AE458" s="283"/>
      <c r="AF458" s="283"/>
      <c r="AG458" s="283"/>
      <c r="AH458" s="283"/>
      <c r="AI458" s="283"/>
      <c r="AJ458" s="283"/>
      <c r="AK458" s="283"/>
      <c r="AL458" s="283"/>
      <c r="AM458" s="283"/>
      <c r="AN458" s="283"/>
      <c r="AO458" s="283"/>
      <c r="AP458" s="283"/>
      <c r="AQ458" s="283"/>
    </row>
    <row r="459" spans="1:43" s="263" customFormat="1" ht="9" customHeight="1" x14ac:dyDescent="0.25">
      <c r="A459" s="603" t="s">
        <v>33</v>
      </c>
      <c r="B459" s="630">
        <f t="shared" si="49"/>
        <v>778</v>
      </c>
      <c r="C459" s="630"/>
      <c r="D459" s="633">
        <f t="shared" si="50"/>
        <v>771</v>
      </c>
      <c r="E459" s="634">
        <v>139</v>
      </c>
      <c r="F459" s="630"/>
      <c r="G459" s="630">
        <f t="shared" si="51"/>
        <v>612</v>
      </c>
      <c r="H459" s="634">
        <v>121</v>
      </c>
      <c r="I459" s="634">
        <v>72</v>
      </c>
      <c r="J459" s="630">
        <v>419</v>
      </c>
      <c r="K459" s="634">
        <v>0</v>
      </c>
      <c r="L459" s="634">
        <v>0</v>
      </c>
      <c r="M459" s="634">
        <v>20</v>
      </c>
      <c r="N459" s="634">
        <v>7</v>
      </c>
      <c r="R459" s="283"/>
      <c r="AE459" s="283"/>
      <c r="AF459" s="283"/>
      <c r="AG459" s="283"/>
      <c r="AH459" s="283"/>
      <c r="AI459" s="283"/>
      <c r="AJ459" s="283"/>
      <c r="AK459" s="283"/>
      <c r="AL459" s="283"/>
      <c r="AM459" s="283"/>
      <c r="AN459" s="283"/>
      <c r="AO459" s="283"/>
      <c r="AP459" s="283"/>
      <c r="AQ459" s="283"/>
    </row>
    <row r="460" spans="1:43" s="263" customFormat="1" ht="9" customHeight="1" x14ac:dyDescent="0.25">
      <c r="A460" s="550" t="s">
        <v>34</v>
      </c>
      <c r="B460" s="629">
        <f t="shared" si="49"/>
        <v>464</v>
      </c>
      <c r="C460" s="629"/>
      <c r="D460" s="631">
        <f t="shared" si="50"/>
        <v>460</v>
      </c>
      <c r="E460" s="632">
        <v>57</v>
      </c>
      <c r="F460" s="629"/>
      <c r="G460" s="629">
        <f t="shared" si="51"/>
        <v>399</v>
      </c>
      <c r="H460" s="632">
        <v>79</v>
      </c>
      <c r="I460" s="632">
        <v>54</v>
      </c>
      <c r="J460" s="629">
        <v>266</v>
      </c>
      <c r="K460" s="632">
        <v>1</v>
      </c>
      <c r="L460" s="632">
        <v>0</v>
      </c>
      <c r="M460" s="632">
        <v>3</v>
      </c>
      <c r="N460" s="632">
        <v>4</v>
      </c>
      <c r="R460" s="283"/>
      <c r="AE460" s="283"/>
      <c r="AF460" s="283"/>
      <c r="AG460" s="283"/>
      <c r="AH460" s="283"/>
      <c r="AI460" s="283"/>
      <c r="AJ460" s="283"/>
      <c r="AK460" s="283"/>
      <c r="AL460" s="283"/>
      <c r="AM460" s="283"/>
      <c r="AN460" s="283"/>
      <c r="AO460" s="283"/>
      <c r="AP460" s="283"/>
      <c r="AQ460" s="283"/>
    </row>
    <row r="461" spans="1:43" s="263" customFormat="1" ht="9" customHeight="1" x14ac:dyDescent="0.25">
      <c r="A461" s="550" t="s">
        <v>35</v>
      </c>
      <c r="B461" s="629">
        <f t="shared" si="49"/>
        <v>6625</v>
      </c>
      <c r="C461" s="629"/>
      <c r="D461" s="631">
        <f t="shared" si="50"/>
        <v>6609</v>
      </c>
      <c r="E461" s="632">
        <v>576</v>
      </c>
      <c r="F461" s="629"/>
      <c r="G461" s="629">
        <f t="shared" si="51"/>
        <v>5985</v>
      </c>
      <c r="H461" s="632">
        <v>914</v>
      </c>
      <c r="I461" s="632">
        <v>624</v>
      </c>
      <c r="J461" s="629">
        <v>4447</v>
      </c>
      <c r="K461" s="632">
        <v>2</v>
      </c>
      <c r="L461" s="632">
        <v>23</v>
      </c>
      <c r="M461" s="632">
        <v>23</v>
      </c>
      <c r="N461" s="632">
        <v>16</v>
      </c>
      <c r="R461" s="283"/>
      <c r="AE461" s="283"/>
      <c r="AF461" s="283"/>
      <c r="AG461" s="283"/>
      <c r="AH461" s="283"/>
      <c r="AI461" s="283"/>
      <c r="AJ461" s="283"/>
      <c r="AK461" s="283"/>
      <c r="AL461" s="283"/>
      <c r="AM461" s="283"/>
      <c r="AN461" s="283"/>
      <c r="AO461" s="283"/>
      <c r="AP461" s="283"/>
      <c r="AQ461" s="283"/>
    </row>
    <row r="462" spans="1:43" s="263" customFormat="1" ht="9" customHeight="1" x14ac:dyDescent="0.25">
      <c r="A462" s="550" t="s">
        <v>36</v>
      </c>
      <c r="B462" s="629">
        <f t="shared" si="49"/>
        <v>5950</v>
      </c>
      <c r="C462" s="629"/>
      <c r="D462" s="631">
        <f t="shared" si="50"/>
        <v>5934</v>
      </c>
      <c r="E462" s="632">
        <v>639</v>
      </c>
      <c r="F462" s="629"/>
      <c r="G462" s="629">
        <f t="shared" si="51"/>
        <v>5153</v>
      </c>
      <c r="H462" s="632">
        <v>791</v>
      </c>
      <c r="I462" s="632">
        <v>665</v>
      </c>
      <c r="J462" s="629">
        <v>3697</v>
      </c>
      <c r="K462" s="632">
        <v>12</v>
      </c>
      <c r="L462" s="632">
        <v>14</v>
      </c>
      <c r="M462" s="632">
        <v>116</v>
      </c>
      <c r="N462" s="632">
        <v>16</v>
      </c>
      <c r="R462" s="283"/>
      <c r="AE462" s="283"/>
      <c r="AF462" s="283"/>
      <c r="AG462" s="283"/>
      <c r="AH462" s="283"/>
      <c r="AI462" s="283"/>
      <c r="AJ462" s="283"/>
      <c r="AK462" s="283"/>
      <c r="AL462" s="283"/>
      <c r="AM462" s="283"/>
      <c r="AN462" s="283"/>
      <c r="AO462" s="283"/>
      <c r="AP462" s="283"/>
      <c r="AQ462" s="283"/>
    </row>
    <row r="463" spans="1:43" s="263" customFormat="1" ht="9" customHeight="1" x14ac:dyDescent="0.25">
      <c r="A463" s="603" t="s">
        <v>37</v>
      </c>
      <c r="B463" s="630">
        <f t="shared" si="49"/>
        <v>2057</v>
      </c>
      <c r="C463" s="630"/>
      <c r="D463" s="633">
        <f t="shared" si="50"/>
        <v>2042</v>
      </c>
      <c r="E463" s="634">
        <v>462</v>
      </c>
      <c r="F463" s="630"/>
      <c r="G463" s="630">
        <f t="shared" si="51"/>
        <v>1533</v>
      </c>
      <c r="H463" s="634">
        <v>256</v>
      </c>
      <c r="I463" s="634">
        <v>215</v>
      </c>
      <c r="J463" s="630">
        <v>1062</v>
      </c>
      <c r="K463" s="634">
        <v>9</v>
      </c>
      <c r="L463" s="634">
        <v>28</v>
      </c>
      <c r="M463" s="634">
        <v>10</v>
      </c>
      <c r="N463" s="634">
        <v>15</v>
      </c>
      <c r="R463" s="283"/>
      <c r="AE463" s="283"/>
      <c r="AF463" s="283"/>
      <c r="AG463" s="283"/>
      <c r="AH463" s="283"/>
      <c r="AI463" s="283"/>
      <c r="AJ463" s="283"/>
      <c r="AK463" s="283"/>
      <c r="AL463" s="283"/>
      <c r="AM463" s="283"/>
      <c r="AN463" s="283"/>
      <c r="AO463" s="283"/>
      <c r="AP463" s="283"/>
      <c r="AQ463" s="283"/>
    </row>
    <row r="464" spans="1:43" s="263" customFormat="1" ht="9" customHeight="1" x14ac:dyDescent="0.25">
      <c r="A464" s="550" t="s">
        <v>38</v>
      </c>
      <c r="B464" s="629">
        <f t="shared" si="49"/>
        <v>516</v>
      </c>
      <c r="C464" s="629"/>
      <c r="D464" s="631">
        <f t="shared" si="50"/>
        <v>503</v>
      </c>
      <c r="E464" s="632">
        <v>79</v>
      </c>
      <c r="F464" s="629"/>
      <c r="G464" s="629">
        <f t="shared" si="51"/>
        <v>419</v>
      </c>
      <c r="H464" s="632">
        <v>61</v>
      </c>
      <c r="I464" s="632">
        <v>51</v>
      </c>
      <c r="J464" s="629">
        <v>307</v>
      </c>
      <c r="K464" s="632">
        <v>1</v>
      </c>
      <c r="L464" s="632">
        <v>0</v>
      </c>
      <c r="M464" s="632">
        <v>4</v>
      </c>
      <c r="N464" s="632">
        <v>13</v>
      </c>
      <c r="R464" s="283"/>
      <c r="AE464" s="283"/>
      <c r="AF464" s="283"/>
      <c r="AG464" s="283"/>
      <c r="AH464" s="283"/>
      <c r="AI464" s="283"/>
      <c r="AJ464" s="283"/>
      <c r="AK464" s="283"/>
      <c r="AL464" s="283"/>
      <c r="AM464" s="283"/>
      <c r="AN464" s="283"/>
      <c r="AO464" s="283"/>
      <c r="AP464" s="283"/>
      <c r="AQ464" s="283"/>
    </row>
    <row r="465" spans="1:43" s="263" customFormat="1" ht="9" customHeight="1" x14ac:dyDescent="0.25">
      <c r="A465" s="550" t="s">
        <v>39</v>
      </c>
      <c r="B465" s="629">
        <f t="shared" si="49"/>
        <v>162</v>
      </c>
      <c r="C465" s="629"/>
      <c r="D465" s="631">
        <f t="shared" si="50"/>
        <v>160</v>
      </c>
      <c r="E465" s="632">
        <v>23</v>
      </c>
      <c r="F465" s="629"/>
      <c r="G465" s="629">
        <f t="shared" si="51"/>
        <v>136</v>
      </c>
      <c r="H465" s="632">
        <v>25</v>
      </c>
      <c r="I465" s="632">
        <v>20</v>
      </c>
      <c r="J465" s="629">
        <v>91</v>
      </c>
      <c r="K465" s="632">
        <v>1</v>
      </c>
      <c r="L465" s="632">
        <v>0</v>
      </c>
      <c r="M465" s="632">
        <v>0</v>
      </c>
      <c r="N465" s="632">
        <v>2</v>
      </c>
      <c r="R465" s="283"/>
      <c r="AE465" s="283"/>
      <c r="AF465" s="283"/>
      <c r="AG465" s="283"/>
      <c r="AH465" s="283"/>
      <c r="AI465" s="283"/>
      <c r="AJ465" s="283"/>
      <c r="AK465" s="283"/>
      <c r="AL465" s="283"/>
      <c r="AM465" s="283"/>
      <c r="AN465" s="283"/>
      <c r="AO465" s="283"/>
      <c r="AP465" s="283"/>
      <c r="AQ465" s="283"/>
    </row>
    <row r="466" spans="1:43" s="263" customFormat="1" ht="9" customHeight="1" x14ac:dyDescent="0.25">
      <c r="A466" s="550" t="s">
        <v>40</v>
      </c>
      <c r="B466" s="629">
        <f t="shared" si="49"/>
        <v>15885</v>
      </c>
      <c r="C466" s="629"/>
      <c r="D466" s="631">
        <f t="shared" si="50"/>
        <v>15806</v>
      </c>
      <c r="E466" s="632">
        <v>165</v>
      </c>
      <c r="F466" s="629"/>
      <c r="G466" s="629">
        <f t="shared" si="51"/>
        <v>15336</v>
      </c>
      <c r="H466" s="632">
        <v>2837</v>
      </c>
      <c r="I466" s="632">
        <v>2258</v>
      </c>
      <c r="J466" s="629">
        <v>10241</v>
      </c>
      <c r="K466" s="632">
        <v>15</v>
      </c>
      <c r="L466" s="632">
        <v>209</v>
      </c>
      <c r="M466" s="632">
        <v>81</v>
      </c>
      <c r="N466" s="632">
        <v>79</v>
      </c>
      <c r="R466" s="283"/>
      <c r="AE466" s="283"/>
      <c r="AF466" s="283"/>
      <c r="AG466" s="283"/>
      <c r="AH466" s="283"/>
      <c r="AI466" s="283"/>
      <c r="AJ466" s="283"/>
      <c r="AK466" s="283"/>
      <c r="AL466" s="283"/>
      <c r="AM466" s="283"/>
      <c r="AN466" s="283"/>
      <c r="AO466" s="283"/>
      <c r="AP466" s="283"/>
      <c r="AQ466" s="283"/>
    </row>
    <row r="467" spans="1:43" s="263" customFormat="1" ht="9" customHeight="1" x14ac:dyDescent="0.25">
      <c r="A467" s="603" t="s">
        <v>41</v>
      </c>
      <c r="B467" s="630">
        <f t="shared" si="49"/>
        <v>1038</v>
      </c>
      <c r="C467" s="630"/>
      <c r="D467" s="633">
        <f t="shared" si="50"/>
        <v>1032</v>
      </c>
      <c r="E467" s="634">
        <v>238</v>
      </c>
      <c r="F467" s="630"/>
      <c r="G467" s="630">
        <f t="shared" si="51"/>
        <v>774</v>
      </c>
      <c r="H467" s="634">
        <v>123</v>
      </c>
      <c r="I467" s="634">
        <v>104</v>
      </c>
      <c r="J467" s="630">
        <v>547</v>
      </c>
      <c r="K467" s="634">
        <v>1</v>
      </c>
      <c r="L467" s="634">
        <v>0</v>
      </c>
      <c r="M467" s="634">
        <v>19</v>
      </c>
      <c r="N467" s="634">
        <v>6</v>
      </c>
      <c r="R467" s="283"/>
      <c r="AE467" s="283"/>
      <c r="AF467" s="283"/>
      <c r="AG467" s="283"/>
      <c r="AH467" s="283"/>
      <c r="AI467" s="283"/>
      <c r="AJ467" s="283"/>
      <c r="AK467" s="283"/>
      <c r="AL467" s="283"/>
      <c r="AM467" s="283"/>
      <c r="AN467" s="283"/>
      <c r="AO467" s="283"/>
      <c r="AP467" s="283"/>
      <c r="AQ467" s="283"/>
    </row>
    <row r="468" spans="1:43" s="263" customFormat="1" ht="9" customHeight="1" x14ac:dyDescent="0.25">
      <c r="A468" s="550" t="s">
        <v>42</v>
      </c>
      <c r="B468" s="629">
        <f t="shared" si="49"/>
        <v>2121</v>
      </c>
      <c r="C468" s="629"/>
      <c r="D468" s="631">
        <f t="shared" si="50"/>
        <v>2098</v>
      </c>
      <c r="E468" s="632">
        <v>282</v>
      </c>
      <c r="F468" s="629"/>
      <c r="G468" s="629">
        <f t="shared" si="51"/>
        <v>1764</v>
      </c>
      <c r="H468" s="632">
        <v>241</v>
      </c>
      <c r="I468" s="632">
        <v>249</v>
      </c>
      <c r="J468" s="629">
        <v>1274</v>
      </c>
      <c r="K468" s="632">
        <v>1</v>
      </c>
      <c r="L468" s="632">
        <v>12</v>
      </c>
      <c r="M468" s="632">
        <v>39</v>
      </c>
      <c r="N468" s="632">
        <v>23</v>
      </c>
      <c r="R468" s="283"/>
      <c r="AE468" s="283"/>
      <c r="AF468" s="283"/>
      <c r="AG468" s="283"/>
      <c r="AH468" s="283"/>
      <c r="AI468" s="283"/>
      <c r="AJ468" s="283"/>
      <c r="AK468" s="283"/>
      <c r="AL468" s="283"/>
      <c r="AM468" s="283"/>
      <c r="AN468" s="283"/>
      <c r="AO468" s="283"/>
      <c r="AP468" s="283"/>
      <c r="AQ468" s="283"/>
    </row>
    <row r="469" spans="1:43" s="263" customFormat="1" ht="9" customHeight="1" x14ac:dyDescent="0.25">
      <c r="A469" s="550" t="s">
        <v>43</v>
      </c>
      <c r="B469" s="629">
        <f t="shared" si="49"/>
        <v>1142</v>
      </c>
      <c r="C469" s="629"/>
      <c r="D469" s="631">
        <f t="shared" si="50"/>
        <v>1127</v>
      </c>
      <c r="E469" s="632">
        <v>175</v>
      </c>
      <c r="F469" s="629"/>
      <c r="G469" s="629">
        <f t="shared" si="51"/>
        <v>916</v>
      </c>
      <c r="H469" s="632">
        <v>135</v>
      </c>
      <c r="I469" s="632">
        <v>134</v>
      </c>
      <c r="J469" s="629">
        <v>647</v>
      </c>
      <c r="K469" s="632">
        <v>1</v>
      </c>
      <c r="L469" s="632">
        <v>0</v>
      </c>
      <c r="M469" s="632">
        <v>35</v>
      </c>
      <c r="N469" s="632">
        <v>15</v>
      </c>
      <c r="R469" s="283"/>
      <c r="AE469" s="283"/>
      <c r="AF469" s="283"/>
      <c r="AG469" s="283"/>
      <c r="AH469" s="283"/>
      <c r="AI469" s="283"/>
      <c r="AJ469" s="283"/>
      <c r="AK469" s="283"/>
      <c r="AL469" s="283"/>
      <c r="AM469" s="283"/>
      <c r="AN469" s="283"/>
      <c r="AO469" s="283"/>
      <c r="AP469" s="283"/>
      <c r="AQ469" s="283"/>
    </row>
    <row r="470" spans="1:43" s="263" customFormat="1" ht="9" customHeight="1" x14ac:dyDescent="0.25">
      <c r="A470" s="550" t="s">
        <v>44</v>
      </c>
      <c r="B470" s="629">
        <f t="shared" si="49"/>
        <v>489</v>
      </c>
      <c r="C470" s="629"/>
      <c r="D470" s="631">
        <f t="shared" si="50"/>
        <v>487</v>
      </c>
      <c r="E470" s="632">
        <v>86</v>
      </c>
      <c r="F470" s="629"/>
      <c r="G470" s="629">
        <f t="shared" si="51"/>
        <v>381</v>
      </c>
      <c r="H470" s="632">
        <v>76</v>
      </c>
      <c r="I470" s="632">
        <v>59</v>
      </c>
      <c r="J470" s="629">
        <v>246</v>
      </c>
      <c r="K470" s="632">
        <v>3</v>
      </c>
      <c r="L470" s="632">
        <v>0</v>
      </c>
      <c r="M470" s="632">
        <v>17</v>
      </c>
      <c r="N470" s="550">
        <v>2</v>
      </c>
      <c r="R470" s="283"/>
      <c r="AE470" s="283"/>
      <c r="AF470" s="283"/>
      <c r="AG470" s="283"/>
      <c r="AH470" s="283"/>
      <c r="AI470" s="283"/>
      <c r="AJ470" s="283"/>
      <c r="AK470" s="283"/>
      <c r="AL470" s="283"/>
      <c r="AM470" s="283"/>
      <c r="AN470" s="283"/>
      <c r="AO470" s="283"/>
      <c r="AP470" s="283"/>
      <c r="AQ470" s="283"/>
    </row>
    <row r="471" spans="1:43" s="263" customFormat="1" ht="9" customHeight="1" x14ac:dyDescent="0.25">
      <c r="A471" s="603" t="s">
        <v>45</v>
      </c>
      <c r="B471" s="630">
        <f t="shared" si="49"/>
        <v>1259</v>
      </c>
      <c r="C471" s="630"/>
      <c r="D471" s="633">
        <f t="shared" si="50"/>
        <v>1238</v>
      </c>
      <c r="E471" s="634">
        <v>88</v>
      </c>
      <c r="F471" s="630"/>
      <c r="G471" s="630">
        <f t="shared" si="51"/>
        <v>1131</v>
      </c>
      <c r="H471" s="634">
        <v>181</v>
      </c>
      <c r="I471" s="634">
        <v>134</v>
      </c>
      <c r="J471" s="630">
        <v>816</v>
      </c>
      <c r="K471" s="634">
        <v>6</v>
      </c>
      <c r="L471" s="634">
        <v>2</v>
      </c>
      <c r="M471" s="634">
        <v>11</v>
      </c>
      <c r="N471" s="634">
        <v>21</v>
      </c>
      <c r="R471" s="283"/>
      <c r="AE471" s="283"/>
      <c r="AF471" s="283"/>
      <c r="AG471" s="283"/>
      <c r="AH471" s="283"/>
      <c r="AI471" s="283"/>
      <c r="AJ471" s="283"/>
      <c r="AK471" s="283"/>
      <c r="AL471" s="283"/>
      <c r="AM471" s="283"/>
      <c r="AN471" s="283"/>
      <c r="AO471" s="283"/>
      <c r="AP471" s="283"/>
      <c r="AQ471" s="283"/>
    </row>
    <row r="472" spans="1:43" s="263" customFormat="1" ht="9" customHeight="1" x14ac:dyDescent="0.25">
      <c r="A472" s="550" t="s">
        <v>46</v>
      </c>
      <c r="B472" s="629">
        <f t="shared" si="49"/>
        <v>1047</v>
      </c>
      <c r="C472" s="629"/>
      <c r="D472" s="631">
        <f t="shared" si="50"/>
        <v>1046</v>
      </c>
      <c r="E472" s="632">
        <v>121</v>
      </c>
      <c r="F472" s="629"/>
      <c r="G472" s="629">
        <f t="shared" si="51"/>
        <v>915</v>
      </c>
      <c r="H472" s="632">
        <v>154</v>
      </c>
      <c r="I472" s="632">
        <v>134</v>
      </c>
      <c r="J472" s="629">
        <v>627</v>
      </c>
      <c r="K472" s="632">
        <v>0</v>
      </c>
      <c r="L472" s="632">
        <v>2</v>
      </c>
      <c r="M472" s="632">
        <v>8</v>
      </c>
      <c r="N472" s="632">
        <v>1</v>
      </c>
      <c r="R472" s="283"/>
      <c r="AE472" s="283"/>
      <c r="AF472" s="283"/>
      <c r="AG472" s="283"/>
      <c r="AH472" s="283"/>
      <c r="AI472" s="283"/>
      <c r="AJ472" s="283"/>
      <c r="AK472" s="283"/>
      <c r="AL472" s="283"/>
      <c r="AM472" s="283"/>
      <c r="AN472" s="283"/>
      <c r="AO472" s="283"/>
      <c r="AP472" s="283"/>
      <c r="AQ472" s="283"/>
    </row>
    <row r="473" spans="1:43" s="263" customFormat="1" ht="9" customHeight="1" x14ac:dyDescent="0.25">
      <c r="A473" s="550" t="s">
        <v>47</v>
      </c>
      <c r="B473" s="629">
        <f t="shared" si="49"/>
        <v>2203</v>
      </c>
      <c r="C473" s="629"/>
      <c r="D473" s="631">
        <f t="shared" si="50"/>
        <v>2193</v>
      </c>
      <c r="E473" s="632">
        <v>183</v>
      </c>
      <c r="F473" s="629"/>
      <c r="G473" s="629">
        <f t="shared" si="51"/>
        <v>1986</v>
      </c>
      <c r="H473" s="632">
        <v>392</v>
      </c>
      <c r="I473" s="632">
        <v>228</v>
      </c>
      <c r="J473" s="629">
        <v>1366</v>
      </c>
      <c r="K473" s="632">
        <v>0</v>
      </c>
      <c r="L473" s="632">
        <v>0</v>
      </c>
      <c r="M473" s="632">
        <v>24</v>
      </c>
      <c r="N473" s="632">
        <v>10</v>
      </c>
      <c r="R473" s="283"/>
      <c r="AE473" s="283"/>
      <c r="AF473" s="283"/>
      <c r="AG473" s="283"/>
      <c r="AH473" s="283"/>
      <c r="AI473" s="283"/>
      <c r="AJ473" s="283"/>
      <c r="AK473" s="283"/>
      <c r="AL473" s="283"/>
      <c r="AM473" s="283"/>
      <c r="AN473" s="283"/>
      <c r="AO473" s="283"/>
      <c r="AP473" s="283"/>
      <c r="AQ473" s="283"/>
    </row>
    <row r="474" spans="1:43" s="263" customFormat="1" ht="9" customHeight="1" x14ac:dyDescent="0.25">
      <c r="A474" s="550" t="s">
        <v>48</v>
      </c>
      <c r="B474" s="629">
        <f t="shared" si="49"/>
        <v>549</v>
      </c>
      <c r="C474" s="629"/>
      <c r="D474" s="631">
        <f t="shared" si="50"/>
        <v>547</v>
      </c>
      <c r="E474" s="632">
        <v>86</v>
      </c>
      <c r="F474" s="629"/>
      <c r="G474" s="629">
        <f t="shared" si="51"/>
        <v>450</v>
      </c>
      <c r="H474" s="632">
        <v>72</v>
      </c>
      <c r="I474" s="632">
        <v>61</v>
      </c>
      <c r="J474" s="629">
        <v>317</v>
      </c>
      <c r="K474" s="632">
        <v>1</v>
      </c>
      <c r="L474" s="632">
        <v>1</v>
      </c>
      <c r="M474" s="632">
        <v>9</v>
      </c>
      <c r="N474" s="632">
        <v>2</v>
      </c>
      <c r="R474" s="283"/>
      <c r="AE474" s="283"/>
      <c r="AF474" s="283"/>
      <c r="AG474" s="283"/>
      <c r="AH474" s="283"/>
      <c r="AI474" s="283"/>
      <c r="AJ474" s="283"/>
      <c r="AK474" s="283"/>
      <c r="AL474" s="283"/>
      <c r="AM474" s="283"/>
      <c r="AN474" s="283"/>
      <c r="AO474" s="283"/>
      <c r="AP474" s="283"/>
      <c r="AQ474" s="283"/>
    </row>
    <row r="475" spans="1:43" s="263" customFormat="1" ht="9" customHeight="1" x14ac:dyDescent="0.25">
      <c r="A475" s="603" t="s">
        <v>49</v>
      </c>
      <c r="B475" s="630">
        <f t="shared" si="49"/>
        <v>1488</v>
      </c>
      <c r="C475" s="630"/>
      <c r="D475" s="633">
        <f t="shared" si="50"/>
        <v>1483</v>
      </c>
      <c r="E475" s="634">
        <v>251</v>
      </c>
      <c r="F475" s="630"/>
      <c r="G475" s="630">
        <f t="shared" si="51"/>
        <v>1208</v>
      </c>
      <c r="H475" s="634">
        <v>203</v>
      </c>
      <c r="I475" s="634">
        <v>160</v>
      </c>
      <c r="J475" s="630">
        <v>845</v>
      </c>
      <c r="K475" s="634">
        <v>0</v>
      </c>
      <c r="L475" s="634">
        <v>0</v>
      </c>
      <c r="M475" s="634">
        <v>24</v>
      </c>
      <c r="N475" s="634">
        <v>5</v>
      </c>
      <c r="R475" s="283"/>
      <c r="AE475" s="283"/>
      <c r="AF475" s="283"/>
      <c r="AG475" s="283"/>
      <c r="AH475" s="283"/>
      <c r="AI475" s="283"/>
      <c r="AJ475" s="283"/>
      <c r="AK475" s="283"/>
      <c r="AL475" s="283"/>
      <c r="AM475" s="283"/>
      <c r="AN475" s="283"/>
      <c r="AO475" s="283"/>
      <c r="AP475" s="283"/>
      <c r="AQ475" s="283"/>
    </row>
    <row r="476" spans="1:43" s="263" customFormat="1" ht="9" customHeight="1" x14ac:dyDescent="0.25">
      <c r="A476" s="550" t="s">
        <v>50</v>
      </c>
      <c r="B476" s="629">
        <f t="shared" si="49"/>
        <v>401</v>
      </c>
      <c r="C476" s="629"/>
      <c r="D476" s="631">
        <f t="shared" si="50"/>
        <v>400</v>
      </c>
      <c r="E476" s="632">
        <v>56</v>
      </c>
      <c r="F476" s="629"/>
      <c r="G476" s="629">
        <f t="shared" si="51"/>
        <v>335</v>
      </c>
      <c r="H476" s="632">
        <v>43</v>
      </c>
      <c r="I476" s="632">
        <v>41</v>
      </c>
      <c r="J476" s="629">
        <v>251</v>
      </c>
      <c r="K476" s="632">
        <v>2</v>
      </c>
      <c r="L476" s="632">
        <v>0</v>
      </c>
      <c r="M476" s="632">
        <v>7</v>
      </c>
      <c r="N476" s="632">
        <v>1</v>
      </c>
      <c r="R476" s="283"/>
      <c r="AE476" s="283"/>
      <c r="AF476" s="283"/>
      <c r="AG476" s="283"/>
      <c r="AH476" s="283"/>
      <c r="AI476" s="283"/>
      <c r="AJ476" s="283"/>
      <c r="AK476" s="283"/>
      <c r="AL476" s="283"/>
      <c r="AM476" s="283"/>
      <c r="AN476" s="283"/>
      <c r="AO476" s="283"/>
      <c r="AP476" s="283"/>
      <c r="AQ476" s="283"/>
    </row>
    <row r="477" spans="1:43" s="263" customFormat="1" ht="9" customHeight="1" x14ac:dyDescent="0.25">
      <c r="A477" s="550" t="s">
        <v>51</v>
      </c>
      <c r="B477" s="629">
        <f t="shared" si="49"/>
        <v>1314</v>
      </c>
      <c r="C477" s="629"/>
      <c r="D477" s="631">
        <f t="shared" si="50"/>
        <v>1295</v>
      </c>
      <c r="E477" s="632">
        <v>203</v>
      </c>
      <c r="F477" s="629"/>
      <c r="G477" s="629">
        <f t="shared" si="51"/>
        <v>1064</v>
      </c>
      <c r="H477" s="632">
        <v>176</v>
      </c>
      <c r="I477" s="632">
        <v>150</v>
      </c>
      <c r="J477" s="629">
        <v>738</v>
      </c>
      <c r="K477" s="632">
        <v>2</v>
      </c>
      <c r="L477" s="632">
        <v>1</v>
      </c>
      <c r="M477" s="632">
        <v>25</v>
      </c>
      <c r="N477" s="632">
        <v>19</v>
      </c>
      <c r="R477" s="283"/>
      <c r="AE477" s="283"/>
      <c r="AF477" s="283"/>
      <c r="AG477" s="283"/>
      <c r="AH477" s="283"/>
      <c r="AI477" s="283"/>
      <c r="AJ477" s="283"/>
      <c r="AK477" s="283"/>
      <c r="AL477" s="283"/>
      <c r="AM477" s="283"/>
      <c r="AN477" s="283"/>
      <c r="AO477" s="283"/>
      <c r="AP477" s="283"/>
      <c r="AQ477" s="283"/>
    </row>
    <row r="478" spans="1:43" s="263" customFormat="1" ht="9" customHeight="1" x14ac:dyDescent="0.25">
      <c r="A478" s="550" t="s">
        <v>52</v>
      </c>
      <c r="B478" s="629">
        <f t="shared" si="49"/>
        <v>832</v>
      </c>
      <c r="C478" s="629"/>
      <c r="D478" s="631">
        <f t="shared" si="50"/>
        <v>830</v>
      </c>
      <c r="E478" s="632">
        <v>54</v>
      </c>
      <c r="F478" s="629"/>
      <c r="G478" s="629">
        <f t="shared" si="51"/>
        <v>755</v>
      </c>
      <c r="H478" s="632">
        <v>103</v>
      </c>
      <c r="I478" s="632">
        <v>106</v>
      </c>
      <c r="J478" s="629">
        <v>546</v>
      </c>
      <c r="K478" s="632">
        <v>3</v>
      </c>
      <c r="L478" s="632">
        <v>0</v>
      </c>
      <c r="M478" s="632">
        <v>18</v>
      </c>
      <c r="N478" s="632">
        <v>2</v>
      </c>
      <c r="R478" s="283"/>
      <c r="AE478" s="283"/>
      <c r="AF478" s="283"/>
      <c r="AG478" s="283"/>
      <c r="AH478" s="283"/>
      <c r="AI478" s="283"/>
      <c r="AJ478" s="283"/>
      <c r="AK478" s="283"/>
      <c r="AL478" s="283"/>
      <c r="AM478" s="283"/>
      <c r="AN478" s="283"/>
      <c r="AO478" s="283"/>
      <c r="AP478" s="283"/>
      <c r="AQ478" s="283"/>
    </row>
    <row r="479" spans="1:43" s="263" customFormat="1" ht="9" customHeight="1" x14ac:dyDescent="0.25">
      <c r="A479" s="603" t="s">
        <v>53</v>
      </c>
      <c r="B479" s="630">
        <f t="shared" si="49"/>
        <v>492</v>
      </c>
      <c r="C479" s="630"/>
      <c r="D479" s="633">
        <f t="shared" si="50"/>
        <v>491</v>
      </c>
      <c r="E479" s="634">
        <v>77</v>
      </c>
      <c r="F479" s="630"/>
      <c r="G479" s="630">
        <f t="shared" si="51"/>
        <v>409</v>
      </c>
      <c r="H479" s="634">
        <v>56</v>
      </c>
      <c r="I479" s="634">
        <v>42</v>
      </c>
      <c r="J479" s="630">
        <v>311</v>
      </c>
      <c r="K479" s="634">
        <v>0</v>
      </c>
      <c r="L479" s="634">
        <v>0</v>
      </c>
      <c r="M479" s="634">
        <v>5</v>
      </c>
      <c r="N479" s="634">
        <v>1</v>
      </c>
      <c r="R479" s="283"/>
      <c r="AE479" s="283"/>
      <c r="AF479" s="283"/>
      <c r="AG479" s="283"/>
      <c r="AH479" s="283"/>
      <c r="AI479" s="283"/>
      <c r="AJ479" s="283"/>
      <c r="AK479" s="283"/>
      <c r="AL479" s="283"/>
      <c r="AM479" s="283"/>
      <c r="AN479" s="283"/>
      <c r="AO479" s="283"/>
      <c r="AP479" s="283"/>
      <c r="AQ479" s="283"/>
    </row>
    <row r="480" spans="1:43" ht="8.25" customHeight="1" x14ac:dyDescent="0.25">
      <c r="B480" s="259"/>
      <c r="C480" s="259"/>
      <c r="D480" s="259"/>
      <c r="E480" s="259"/>
      <c r="F480" s="259"/>
      <c r="G480" s="259"/>
      <c r="H480" s="259"/>
      <c r="I480" s="259"/>
      <c r="J480" s="259"/>
      <c r="K480" s="259"/>
      <c r="L480" s="259"/>
      <c r="AE480" s="283"/>
      <c r="AF480" s="283"/>
      <c r="AG480" s="283"/>
      <c r="AH480" s="283"/>
      <c r="AI480" s="283"/>
      <c r="AJ480" s="283"/>
      <c r="AK480" s="283"/>
      <c r="AL480" s="283"/>
      <c r="AM480" s="283"/>
      <c r="AN480" s="283"/>
      <c r="AO480" s="283"/>
      <c r="AP480" s="283"/>
      <c r="AQ480" s="283"/>
    </row>
    <row r="481" spans="1:43" ht="9" customHeight="1" x14ac:dyDescent="0.25">
      <c r="A481" s="601">
        <v>2014</v>
      </c>
      <c r="B481" s="262"/>
      <c r="C481" s="262"/>
      <c r="D481" s="262"/>
      <c r="E481" s="262"/>
      <c r="F481" s="262"/>
      <c r="G481" s="262"/>
      <c r="H481" s="262"/>
      <c r="I481" s="262"/>
      <c r="J481" s="262"/>
      <c r="K481" s="262"/>
      <c r="L481" s="262"/>
      <c r="M481" s="262"/>
      <c r="N481" s="262"/>
      <c r="AE481" s="283"/>
      <c r="AF481" s="283"/>
      <c r="AG481" s="283"/>
      <c r="AH481" s="283"/>
      <c r="AI481" s="283"/>
      <c r="AJ481" s="283"/>
      <c r="AK481" s="283"/>
      <c r="AL481" s="283"/>
      <c r="AM481" s="283"/>
      <c r="AN481" s="283"/>
      <c r="AO481" s="283"/>
      <c r="AP481" s="283"/>
      <c r="AQ481" s="283"/>
    </row>
    <row r="482" spans="1:43" s="263" customFormat="1" ht="9" customHeight="1" x14ac:dyDescent="0.25">
      <c r="A482" s="265" t="s">
        <v>21</v>
      </c>
      <c r="B482" s="262">
        <f>SUM(B484:B515)</f>
        <v>65144</v>
      </c>
      <c r="C482" s="262"/>
      <c r="D482" s="262">
        <f>SUM(D484:D515)</f>
        <v>64650</v>
      </c>
      <c r="E482" s="262">
        <f>SUM(E484:E515)</f>
        <v>5810</v>
      </c>
      <c r="F482" s="262"/>
      <c r="G482" s="262">
        <f t="shared" ref="G482:M482" si="52">SUM(G484:G515)</f>
        <v>57380</v>
      </c>
      <c r="H482" s="262">
        <f t="shared" si="52"/>
        <v>9392</v>
      </c>
      <c r="I482" s="262">
        <f t="shared" si="52"/>
        <v>7279</v>
      </c>
      <c r="J482" s="262">
        <f t="shared" si="52"/>
        <v>40709</v>
      </c>
      <c r="K482" s="262">
        <f t="shared" si="52"/>
        <v>143</v>
      </c>
      <c r="L482" s="262">
        <f t="shared" si="52"/>
        <v>559</v>
      </c>
      <c r="M482" s="262">
        <f t="shared" si="52"/>
        <v>758</v>
      </c>
      <c r="N482" s="262">
        <f>SUM(N484:N515)</f>
        <v>494</v>
      </c>
      <c r="AE482" s="283"/>
      <c r="AF482" s="283"/>
      <c r="AG482" s="283"/>
      <c r="AH482" s="283"/>
      <c r="AI482" s="283"/>
      <c r="AJ482" s="283"/>
      <c r="AK482" s="283"/>
      <c r="AL482" s="283"/>
      <c r="AM482" s="283"/>
      <c r="AN482" s="283"/>
      <c r="AO482" s="283"/>
      <c r="AP482" s="283"/>
      <c r="AQ482" s="283"/>
    </row>
    <row r="483" spans="1:43" s="263" customFormat="1" ht="2.1" customHeight="1" x14ac:dyDescent="0.25">
      <c r="A483" s="265"/>
      <c r="B483" s="262"/>
      <c r="C483" s="262"/>
      <c r="D483" s="262"/>
      <c r="E483" s="262"/>
      <c r="F483" s="262"/>
      <c r="G483" s="262"/>
      <c r="H483" s="262"/>
      <c r="I483" s="262"/>
      <c r="J483" s="262"/>
      <c r="K483" s="262"/>
      <c r="L483" s="262"/>
      <c r="M483" s="262"/>
      <c r="N483" s="262"/>
      <c r="AE483" s="283"/>
      <c r="AF483" s="283"/>
      <c r="AG483" s="283"/>
      <c r="AH483" s="283"/>
      <c r="AI483" s="283"/>
      <c r="AJ483" s="283"/>
      <c r="AK483" s="283"/>
      <c r="AL483" s="283"/>
      <c r="AM483" s="283"/>
      <c r="AN483" s="283"/>
      <c r="AO483" s="283"/>
      <c r="AP483" s="283"/>
      <c r="AQ483" s="283"/>
    </row>
    <row r="484" spans="1:43" s="263" customFormat="1" ht="9" customHeight="1" x14ac:dyDescent="0.25">
      <c r="A484" s="550" t="s">
        <v>23</v>
      </c>
      <c r="B484" s="629">
        <f>SUM(D484+N484)</f>
        <v>333</v>
      </c>
      <c r="C484" s="629"/>
      <c r="D484" s="631">
        <f>SUM(E484+G484+K484+L484+M484)</f>
        <v>326</v>
      </c>
      <c r="E484" s="632">
        <v>51</v>
      </c>
      <c r="F484" s="629"/>
      <c r="G484" s="629">
        <f>SUM(H484:J484)</f>
        <v>274</v>
      </c>
      <c r="H484" s="632">
        <v>40</v>
      </c>
      <c r="I484" s="632">
        <v>28</v>
      </c>
      <c r="J484" s="629">
        <v>206</v>
      </c>
      <c r="K484" s="632">
        <v>1</v>
      </c>
      <c r="L484" s="632">
        <v>0</v>
      </c>
      <c r="M484" s="632">
        <v>0</v>
      </c>
      <c r="N484" s="632">
        <v>7</v>
      </c>
      <c r="R484" s="283"/>
      <c r="AE484" s="283"/>
      <c r="AF484" s="283"/>
      <c r="AG484" s="283"/>
      <c r="AH484" s="283"/>
      <c r="AI484" s="283"/>
      <c r="AJ484" s="283"/>
      <c r="AK484" s="283"/>
      <c r="AL484" s="283"/>
      <c r="AM484" s="283"/>
      <c r="AN484" s="283"/>
      <c r="AO484" s="283"/>
      <c r="AP484" s="283"/>
      <c r="AQ484" s="283"/>
    </row>
    <row r="485" spans="1:43" s="263" customFormat="1" ht="9" customHeight="1" x14ac:dyDescent="0.25">
      <c r="A485" s="550" t="s">
        <v>24</v>
      </c>
      <c r="B485" s="629">
        <f>SUM(D485+N485)</f>
        <v>2183</v>
      </c>
      <c r="C485" s="629"/>
      <c r="D485" s="631">
        <f>SUM(E485+G485+K485+L485+M485)</f>
        <v>2163</v>
      </c>
      <c r="E485" s="629">
        <v>398</v>
      </c>
      <c r="F485" s="629"/>
      <c r="G485" s="629">
        <f>SUM(H485:J485)</f>
        <v>1718</v>
      </c>
      <c r="H485" s="629">
        <v>268</v>
      </c>
      <c r="I485" s="629">
        <v>223</v>
      </c>
      <c r="J485" s="629">
        <v>1227</v>
      </c>
      <c r="K485" s="629">
        <v>4</v>
      </c>
      <c r="L485" s="629">
        <v>3</v>
      </c>
      <c r="M485" s="629">
        <v>40</v>
      </c>
      <c r="N485" s="629">
        <v>20</v>
      </c>
      <c r="R485" s="283"/>
      <c r="AE485" s="283"/>
      <c r="AF485" s="283"/>
      <c r="AG485" s="283"/>
      <c r="AH485" s="283"/>
      <c r="AI485" s="283"/>
      <c r="AJ485" s="283"/>
      <c r="AK485" s="283"/>
      <c r="AL485" s="283"/>
      <c r="AM485" s="283"/>
      <c r="AN485" s="283"/>
      <c r="AO485" s="283"/>
      <c r="AP485" s="283"/>
      <c r="AQ485" s="283"/>
    </row>
    <row r="486" spans="1:43" s="263" customFormat="1" ht="9" customHeight="1" x14ac:dyDescent="0.25">
      <c r="A486" s="550" t="s">
        <v>25</v>
      </c>
      <c r="B486" s="629">
        <f>SUM(D486+N486)</f>
        <v>215</v>
      </c>
      <c r="C486" s="629"/>
      <c r="D486" s="631">
        <f>SUM(E486+G486+K486+L486+M486)</f>
        <v>215</v>
      </c>
      <c r="E486" s="629">
        <v>52</v>
      </c>
      <c r="F486" s="629"/>
      <c r="G486" s="629">
        <f>SUM(H486:J486)</f>
        <v>155</v>
      </c>
      <c r="H486" s="629">
        <v>21</v>
      </c>
      <c r="I486" s="629">
        <v>17</v>
      </c>
      <c r="J486" s="629">
        <v>117</v>
      </c>
      <c r="K486" s="629">
        <v>0</v>
      </c>
      <c r="L486" s="629">
        <v>5</v>
      </c>
      <c r="M486" s="629">
        <v>3</v>
      </c>
      <c r="N486" s="629">
        <v>0</v>
      </c>
      <c r="R486" s="283"/>
      <c r="AE486" s="283"/>
      <c r="AF486" s="283"/>
      <c r="AG486" s="283"/>
      <c r="AH486" s="283"/>
      <c r="AI486" s="283"/>
      <c r="AJ486" s="283"/>
      <c r="AK486" s="283"/>
      <c r="AL486" s="283"/>
      <c r="AM486" s="283"/>
      <c r="AN486" s="283"/>
      <c r="AO486" s="283"/>
      <c r="AP486" s="283"/>
      <c r="AQ486" s="283"/>
    </row>
    <row r="487" spans="1:43" s="263" customFormat="1" ht="9" customHeight="1" x14ac:dyDescent="0.25">
      <c r="A487" s="603" t="s">
        <v>26</v>
      </c>
      <c r="B487" s="630">
        <f>SUM(D487+N487)</f>
        <v>182</v>
      </c>
      <c r="C487" s="630"/>
      <c r="D487" s="633">
        <f>SUM(E487+G487+K487+L487+M487)</f>
        <v>180</v>
      </c>
      <c r="E487" s="634">
        <v>7</v>
      </c>
      <c r="F487" s="630"/>
      <c r="G487" s="630">
        <f>SUM(H487:J487)</f>
        <v>169</v>
      </c>
      <c r="H487" s="634">
        <v>33</v>
      </c>
      <c r="I487" s="634">
        <v>27</v>
      </c>
      <c r="J487" s="630">
        <v>109</v>
      </c>
      <c r="K487" s="634">
        <v>0</v>
      </c>
      <c r="L487" s="634">
        <v>0</v>
      </c>
      <c r="M487" s="634">
        <v>4</v>
      </c>
      <c r="N487" s="634">
        <v>2</v>
      </c>
      <c r="R487" s="283"/>
      <c r="AE487" s="283"/>
      <c r="AF487" s="283"/>
      <c r="AG487" s="283"/>
      <c r="AH487" s="283"/>
      <c r="AI487" s="283"/>
      <c r="AJ487" s="283"/>
      <c r="AK487" s="283"/>
      <c r="AL487" s="283"/>
      <c r="AM487" s="283"/>
      <c r="AN487" s="283"/>
      <c r="AO487" s="283"/>
      <c r="AP487" s="283"/>
      <c r="AQ487" s="283"/>
    </row>
    <row r="488" spans="1:43" s="263" customFormat="1" ht="9" customHeight="1" x14ac:dyDescent="0.25">
      <c r="A488" s="550" t="s">
        <v>27</v>
      </c>
      <c r="B488" s="629">
        <f t="shared" ref="B488:B515" si="53">SUM(D488+N488)</f>
        <v>947</v>
      </c>
      <c r="C488" s="629"/>
      <c r="D488" s="631">
        <f t="shared" ref="D488:D515" si="54">SUM(E488+G488+K488+L488+M488)</f>
        <v>942</v>
      </c>
      <c r="E488" s="632">
        <v>61</v>
      </c>
      <c r="F488" s="629"/>
      <c r="G488" s="629">
        <f t="shared" ref="G488:G515" si="55">SUM(H488:J488)</f>
        <v>865</v>
      </c>
      <c r="H488" s="632">
        <v>131</v>
      </c>
      <c r="I488" s="632">
        <v>95</v>
      </c>
      <c r="J488" s="629">
        <v>639</v>
      </c>
      <c r="K488" s="632">
        <v>2</v>
      </c>
      <c r="L488" s="632">
        <v>0</v>
      </c>
      <c r="M488" s="632">
        <v>14</v>
      </c>
      <c r="N488" s="632">
        <v>5</v>
      </c>
      <c r="R488" s="283"/>
      <c r="AE488" s="283"/>
      <c r="AF488" s="283"/>
      <c r="AG488" s="283"/>
      <c r="AH488" s="283"/>
      <c r="AI488" s="283"/>
      <c r="AJ488" s="283"/>
      <c r="AK488" s="283"/>
      <c r="AL488" s="283"/>
      <c r="AM488" s="283"/>
      <c r="AN488" s="283"/>
      <c r="AO488" s="283"/>
      <c r="AP488" s="283"/>
      <c r="AQ488" s="283"/>
    </row>
    <row r="489" spans="1:43" s="263" customFormat="1" ht="9" customHeight="1" x14ac:dyDescent="0.25">
      <c r="A489" s="550" t="s">
        <v>28</v>
      </c>
      <c r="B489" s="629">
        <f t="shared" si="53"/>
        <v>330</v>
      </c>
      <c r="C489" s="629"/>
      <c r="D489" s="631">
        <f t="shared" si="54"/>
        <v>330</v>
      </c>
      <c r="E489" s="632">
        <v>28</v>
      </c>
      <c r="F489" s="629"/>
      <c r="G489" s="629">
        <f t="shared" si="55"/>
        <v>298</v>
      </c>
      <c r="H489" s="632">
        <v>31</v>
      </c>
      <c r="I489" s="632">
        <v>28</v>
      </c>
      <c r="J489" s="629">
        <v>239</v>
      </c>
      <c r="K489" s="632">
        <v>1</v>
      </c>
      <c r="L489" s="632">
        <v>0</v>
      </c>
      <c r="M489" s="632">
        <v>3</v>
      </c>
      <c r="N489" s="632">
        <v>0</v>
      </c>
      <c r="R489" s="283"/>
      <c r="AE489" s="283"/>
      <c r="AF489" s="283"/>
      <c r="AG489" s="283"/>
      <c r="AH489" s="283"/>
      <c r="AI489" s="283"/>
      <c r="AJ489" s="283"/>
      <c r="AK489" s="283"/>
      <c r="AL489" s="283"/>
      <c r="AM489" s="283"/>
      <c r="AN489" s="283"/>
      <c r="AO489" s="283"/>
      <c r="AP489" s="283"/>
      <c r="AQ489" s="283"/>
    </row>
    <row r="490" spans="1:43" s="263" customFormat="1" ht="9" customHeight="1" x14ac:dyDescent="0.25">
      <c r="A490" s="550" t="s">
        <v>29</v>
      </c>
      <c r="B490" s="629">
        <f t="shared" si="53"/>
        <v>577</v>
      </c>
      <c r="C490" s="629"/>
      <c r="D490" s="631">
        <f t="shared" si="54"/>
        <v>567</v>
      </c>
      <c r="E490" s="632">
        <v>111</v>
      </c>
      <c r="F490" s="629"/>
      <c r="G490" s="629">
        <f t="shared" si="55"/>
        <v>448</v>
      </c>
      <c r="H490" s="632">
        <v>91</v>
      </c>
      <c r="I490" s="632">
        <v>67</v>
      </c>
      <c r="J490" s="629">
        <v>290</v>
      </c>
      <c r="K490" s="632">
        <v>0</v>
      </c>
      <c r="L490" s="632">
        <v>0</v>
      </c>
      <c r="M490" s="632">
        <v>8</v>
      </c>
      <c r="N490" s="632">
        <v>10</v>
      </c>
      <c r="R490" s="283"/>
      <c r="AE490" s="283"/>
      <c r="AF490" s="283"/>
      <c r="AG490" s="283"/>
      <c r="AH490" s="283"/>
      <c r="AI490" s="283"/>
      <c r="AJ490" s="283"/>
      <c r="AK490" s="283"/>
      <c r="AL490" s="283"/>
      <c r="AM490" s="283"/>
      <c r="AN490" s="283"/>
      <c r="AO490" s="283"/>
      <c r="AP490" s="283"/>
      <c r="AQ490" s="283"/>
    </row>
    <row r="491" spans="1:43" s="263" customFormat="1" ht="9" customHeight="1" x14ac:dyDescent="0.25">
      <c r="A491" s="603" t="s">
        <v>30</v>
      </c>
      <c r="B491" s="630">
        <f t="shared" si="53"/>
        <v>2480</v>
      </c>
      <c r="C491" s="630"/>
      <c r="D491" s="633">
        <f t="shared" si="54"/>
        <v>2453</v>
      </c>
      <c r="E491" s="634">
        <v>235</v>
      </c>
      <c r="F491" s="630"/>
      <c r="G491" s="630">
        <f t="shared" si="55"/>
        <v>2174</v>
      </c>
      <c r="H491" s="634">
        <v>341</v>
      </c>
      <c r="I491" s="634">
        <v>230</v>
      </c>
      <c r="J491" s="630">
        <v>1603</v>
      </c>
      <c r="K491" s="634">
        <v>15</v>
      </c>
      <c r="L491" s="634">
        <v>4</v>
      </c>
      <c r="M491" s="634">
        <v>25</v>
      </c>
      <c r="N491" s="634">
        <v>27</v>
      </c>
      <c r="R491" s="283"/>
      <c r="AE491" s="283"/>
      <c r="AF491" s="283"/>
      <c r="AG491" s="283"/>
      <c r="AH491" s="283"/>
      <c r="AI491" s="283"/>
      <c r="AJ491" s="283"/>
      <c r="AK491" s="283"/>
      <c r="AL491" s="283"/>
      <c r="AM491" s="283"/>
      <c r="AN491" s="283"/>
      <c r="AO491" s="283"/>
      <c r="AP491" s="283"/>
      <c r="AQ491" s="283"/>
    </row>
    <row r="492" spans="1:43" s="263" customFormat="1" ht="9" customHeight="1" x14ac:dyDescent="0.25">
      <c r="A492" s="550" t="s">
        <v>63</v>
      </c>
      <c r="B492" s="629">
        <f t="shared" si="53"/>
        <v>4340</v>
      </c>
      <c r="C492" s="629"/>
      <c r="D492" s="631">
        <f t="shared" si="54"/>
        <v>4240</v>
      </c>
      <c r="E492" s="632">
        <v>501</v>
      </c>
      <c r="F492" s="629"/>
      <c r="G492" s="629">
        <f t="shared" si="55"/>
        <v>3398</v>
      </c>
      <c r="H492" s="632">
        <v>611</v>
      </c>
      <c r="I492" s="632">
        <v>358</v>
      </c>
      <c r="J492" s="629">
        <v>2429</v>
      </c>
      <c r="K492" s="632">
        <v>38</v>
      </c>
      <c r="L492" s="632">
        <v>217</v>
      </c>
      <c r="M492" s="632">
        <v>86</v>
      </c>
      <c r="N492" s="632">
        <v>100</v>
      </c>
      <c r="R492" s="283"/>
      <c r="AE492" s="283"/>
      <c r="AF492" s="283"/>
      <c r="AG492" s="283"/>
      <c r="AH492" s="283"/>
      <c r="AI492" s="283"/>
      <c r="AJ492" s="283"/>
      <c r="AK492" s="283"/>
      <c r="AL492" s="283"/>
      <c r="AM492" s="283"/>
      <c r="AN492" s="283"/>
      <c r="AO492" s="283"/>
      <c r="AP492" s="283"/>
      <c r="AQ492" s="283"/>
    </row>
    <row r="493" spans="1:43" s="263" customFormat="1" ht="9" customHeight="1" x14ac:dyDescent="0.25">
      <c r="A493" s="550" t="s">
        <v>31</v>
      </c>
      <c r="B493" s="629">
        <f t="shared" si="53"/>
        <v>345</v>
      </c>
      <c r="C493" s="629"/>
      <c r="D493" s="631">
        <f t="shared" si="54"/>
        <v>345</v>
      </c>
      <c r="E493" s="632">
        <v>31</v>
      </c>
      <c r="F493" s="629"/>
      <c r="G493" s="629">
        <f t="shared" si="55"/>
        <v>298</v>
      </c>
      <c r="H493" s="632">
        <v>28</v>
      </c>
      <c r="I493" s="632">
        <v>38</v>
      </c>
      <c r="J493" s="629">
        <v>232</v>
      </c>
      <c r="K493" s="632">
        <v>4</v>
      </c>
      <c r="L493" s="632">
        <v>9</v>
      </c>
      <c r="M493" s="632">
        <v>3</v>
      </c>
      <c r="N493" s="632">
        <v>0</v>
      </c>
      <c r="R493" s="283"/>
      <c r="AE493" s="283"/>
      <c r="AF493" s="283"/>
      <c r="AG493" s="283"/>
      <c r="AH493" s="283"/>
      <c r="AI493" s="283"/>
      <c r="AJ493" s="283"/>
      <c r="AK493" s="283"/>
      <c r="AL493" s="283"/>
      <c r="AM493" s="283"/>
      <c r="AN493" s="283"/>
      <c r="AO493" s="283"/>
      <c r="AP493" s="283"/>
      <c r="AQ493" s="283"/>
    </row>
    <row r="494" spans="1:43" s="263" customFormat="1" ht="9" customHeight="1" x14ac:dyDescent="0.25">
      <c r="A494" s="550" t="s">
        <v>32</v>
      </c>
      <c r="B494" s="629">
        <f t="shared" si="53"/>
        <v>3167</v>
      </c>
      <c r="C494" s="629"/>
      <c r="D494" s="631">
        <f t="shared" si="54"/>
        <v>3128</v>
      </c>
      <c r="E494" s="632">
        <v>450</v>
      </c>
      <c r="F494" s="629"/>
      <c r="G494" s="629">
        <f t="shared" si="55"/>
        <v>2580</v>
      </c>
      <c r="H494" s="632">
        <v>397</v>
      </c>
      <c r="I494" s="632">
        <v>357</v>
      </c>
      <c r="J494" s="629">
        <v>1826</v>
      </c>
      <c r="K494" s="632">
        <v>19</v>
      </c>
      <c r="L494" s="632">
        <v>5</v>
      </c>
      <c r="M494" s="632">
        <v>74</v>
      </c>
      <c r="N494" s="632">
        <v>39</v>
      </c>
      <c r="R494" s="283"/>
      <c r="AE494" s="283"/>
      <c r="AF494" s="283"/>
      <c r="AG494" s="283"/>
      <c r="AH494" s="283"/>
      <c r="AI494" s="283"/>
      <c r="AJ494" s="283"/>
      <c r="AK494" s="283"/>
      <c r="AL494" s="283"/>
      <c r="AM494" s="283"/>
      <c r="AN494" s="283"/>
      <c r="AO494" s="283"/>
      <c r="AP494" s="283"/>
      <c r="AQ494" s="283"/>
    </row>
    <row r="495" spans="1:43" s="263" customFormat="1" ht="9" customHeight="1" x14ac:dyDescent="0.25">
      <c r="A495" s="603" t="s">
        <v>33</v>
      </c>
      <c r="B495" s="630">
        <f t="shared" si="53"/>
        <v>916</v>
      </c>
      <c r="C495" s="630"/>
      <c r="D495" s="633">
        <f t="shared" si="54"/>
        <v>909</v>
      </c>
      <c r="E495" s="634">
        <v>154</v>
      </c>
      <c r="F495" s="630"/>
      <c r="G495" s="630">
        <f t="shared" si="55"/>
        <v>736</v>
      </c>
      <c r="H495" s="634">
        <v>116</v>
      </c>
      <c r="I495" s="634">
        <v>89</v>
      </c>
      <c r="J495" s="630">
        <v>531</v>
      </c>
      <c r="K495" s="634">
        <v>1</v>
      </c>
      <c r="L495" s="634">
        <v>0</v>
      </c>
      <c r="M495" s="634">
        <v>18</v>
      </c>
      <c r="N495" s="634">
        <v>7</v>
      </c>
      <c r="R495" s="283"/>
      <c r="AE495" s="283"/>
      <c r="AF495" s="283"/>
      <c r="AG495" s="283"/>
      <c r="AH495" s="283"/>
      <c r="AI495" s="283"/>
      <c r="AJ495" s="283"/>
      <c r="AK495" s="283"/>
      <c r="AL495" s="283"/>
      <c r="AM495" s="283"/>
      <c r="AN495" s="283"/>
      <c r="AO495" s="283"/>
      <c r="AP495" s="283"/>
      <c r="AQ495" s="283"/>
    </row>
    <row r="496" spans="1:43" s="263" customFormat="1" ht="9" customHeight="1" x14ac:dyDescent="0.25">
      <c r="A496" s="550" t="s">
        <v>34</v>
      </c>
      <c r="B496" s="629">
        <f t="shared" si="53"/>
        <v>596</v>
      </c>
      <c r="C496" s="629"/>
      <c r="D496" s="631">
        <f t="shared" si="54"/>
        <v>591</v>
      </c>
      <c r="E496" s="632">
        <v>57</v>
      </c>
      <c r="F496" s="629"/>
      <c r="G496" s="629">
        <f t="shared" si="55"/>
        <v>512</v>
      </c>
      <c r="H496" s="632">
        <v>70</v>
      </c>
      <c r="I496" s="632">
        <v>66</v>
      </c>
      <c r="J496" s="629">
        <v>376</v>
      </c>
      <c r="K496" s="632">
        <v>1</v>
      </c>
      <c r="L496" s="632">
        <v>0</v>
      </c>
      <c r="M496" s="632">
        <v>21</v>
      </c>
      <c r="N496" s="632">
        <v>5</v>
      </c>
      <c r="R496" s="283"/>
      <c r="AE496" s="283"/>
      <c r="AF496" s="283"/>
      <c r="AG496" s="283"/>
      <c r="AH496" s="283"/>
      <c r="AI496" s="283"/>
      <c r="AJ496" s="283"/>
      <c r="AK496" s="283"/>
      <c r="AL496" s="283"/>
      <c r="AM496" s="283"/>
      <c r="AN496" s="283"/>
      <c r="AO496" s="283"/>
      <c r="AP496" s="283"/>
      <c r="AQ496" s="283"/>
    </row>
    <row r="497" spans="1:43" s="263" customFormat="1" ht="9" customHeight="1" x14ac:dyDescent="0.25">
      <c r="A497" s="550" t="s">
        <v>35</v>
      </c>
      <c r="B497" s="629">
        <f t="shared" si="53"/>
        <v>8243</v>
      </c>
      <c r="C497" s="629"/>
      <c r="D497" s="631">
        <f t="shared" si="54"/>
        <v>8208</v>
      </c>
      <c r="E497" s="632">
        <v>585</v>
      </c>
      <c r="F497" s="629"/>
      <c r="G497" s="629">
        <f t="shared" si="55"/>
        <v>7552</v>
      </c>
      <c r="H497" s="632">
        <v>1178</v>
      </c>
      <c r="I497" s="632">
        <v>765</v>
      </c>
      <c r="J497" s="629">
        <v>5609</v>
      </c>
      <c r="K497" s="632">
        <v>4</v>
      </c>
      <c r="L497" s="632">
        <v>33</v>
      </c>
      <c r="M497" s="632">
        <v>34</v>
      </c>
      <c r="N497" s="632">
        <v>35</v>
      </c>
      <c r="R497" s="283"/>
      <c r="AE497" s="283"/>
      <c r="AF497" s="283"/>
      <c r="AG497" s="283"/>
      <c r="AH497" s="283"/>
      <c r="AI497" s="283"/>
      <c r="AJ497" s="283"/>
      <c r="AK497" s="283"/>
      <c r="AL497" s="283"/>
      <c r="AM497" s="283"/>
      <c r="AN497" s="283"/>
      <c r="AO497" s="283"/>
      <c r="AP497" s="283"/>
      <c r="AQ497" s="283"/>
    </row>
    <row r="498" spans="1:43" s="263" customFormat="1" ht="9" customHeight="1" x14ac:dyDescent="0.25">
      <c r="A498" s="550" t="s">
        <v>36</v>
      </c>
      <c r="B498" s="629">
        <f t="shared" si="53"/>
        <v>6332</v>
      </c>
      <c r="C498" s="629"/>
      <c r="D498" s="631">
        <f t="shared" si="54"/>
        <v>6307</v>
      </c>
      <c r="E498" s="632">
        <v>651</v>
      </c>
      <c r="F498" s="629"/>
      <c r="G498" s="629">
        <f t="shared" si="55"/>
        <v>5529</v>
      </c>
      <c r="H498" s="632">
        <v>872</v>
      </c>
      <c r="I498" s="632">
        <v>679</v>
      </c>
      <c r="J498" s="629">
        <v>3978</v>
      </c>
      <c r="K498" s="632">
        <v>9</v>
      </c>
      <c r="L498" s="632">
        <v>16</v>
      </c>
      <c r="M498" s="632">
        <v>102</v>
      </c>
      <c r="N498" s="632">
        <v>25</v>
      </c>
      <c r="R498" s="283"/>
      <c r="AE498" s="283"/>
      <c r="AF498" s="283"/>
      <c r="AG498" s="283"/>
      <c r="AH498" s="283"/>
      <c r="AI498" s="283"/>
      <c r="AJ498" s="283"/>
      <c r="AK498" s="283"/>
      <c r="AL498" s="283"/>
      <c r="AM498" s="283"/>
      <c r="AN498" s="283"/>
      <c r="AO498" s="283"/>
      <c r="AP498" s="283"/>
      <c r="AQ498" s="283"/>
    </row>
    <row r="499" spans="1:43" s="263" customFormat="1" ht="9" customHeight="1" x14ac:dyDescent="0.25">
      <c r="A499" s="603" t="s">
        <v>37</v>
      </c>
      <c r="B499" s="630">
        <f t="shared" si="53"/>
        <v>1930</v>
      </c>
      <c r="C499" s="630"/>
      <c r="D499" s="633">
        <f t="shared" si="54"/>
        <v>1918</v>
      </c>
      <c r="E499" s="634">
        <v>420</v>
      </c>
      <c r="F499" s="630"/>
      <c r="G499" s="630">
        <f t="shared" si="55"/>
        <v>1446</v>
      </c>
      <c r="H499" s="634">
        <v>241</v>
      </c>
      <c r="I499" s="634">
        <v>207</v>
      </c>
      <c r="J499" s="630">
        <v>998</v>
      </c>
      <c r="K499" s="634">
        <v>9</v>
      </c>
      <c r="L499" s="634">
        <v>28</v>
      </c>
      <c r="M499" s="634">
        <v>15</v>
      </c>
      <c r="N499" s="634">
        <v>12</v>
      </c>
      <c r="R499" s="283"/>
      <c r="AE499" s="283"/>
      <c r="AF499" s="283"/>
      <c r="AG499" s="283"/>
      <c r="AH499" s="283"/>
      <c r="AI499" s="283"/>
      <c r="AJ499" s="283"/>
      <c r="AK499" s="283"/>
      <c r="AL499" s="283"/>
      <c r="AM499" s="283"/>
      <c r="AN499" s="283"/>
      <c r="AO499" s="283"/>
      <c r="AP499" s="283"/>
      <c r="AQ499" s="283"/>
    </row>
    <row r="500" spans="1:43" s="263" customFormat="1" ht="9" customHeight="1" x14ac:dyDescent="0.25">
      <c r="A500" s="550" t="s">
        <v>38</v>
      </c>
      <c r="B500" s="629">
        <f t="shared" si="53"/>
        <v>525</v>
      </c>
      <c r="C500" s="629"/>
      <c r="D500" s="631">
        <f t="shared" si="54"/>
        <v>512</v>
      </c>
      <c r="E500" s="632">
        <v>60</v>
      </c>
      <c r="F500" s="629"/>
      <c r="G500" s="629">
        <f t="shared" si="55"/>
        <v>448</v>
      </c>
      <c r="H500" s="632">
        <v>64</v>
      </c>
      <c r="I500" s="632">
        <v>53</v>
      </c>
      <c r="J500" s="629">
        <v>331</v>
      </c>
      <c r="K500" s="632">
        <v>1</v>
      </c>
      <c r="L500" s="632">
        <v>0</v>
      </c>
      <c r="M500" s="632">
        <v>3</v>
      </c>
      <c r="N500" s="632">
        <v>13</v>
      </c>
      <c r="R500" s="283"/>
      <c r="AE500" s="283"/>
      <c r="AF500" s="283"/>
      <c r="AG500" s="283"/>
      <c r="AH500" s="283"/>
      <c r="AI500" s="283"/>
      <c r="AJ500" s="283"/>
      <c r="AK500" s="283"/>
      <c r="AL500" s="283"/>
      <c r="AM500" s="283"/>
      <c r="AN500" s="283"/>
      <c r="AO500" s="283"/>
      <c r="AP500" s="283"/>
      <c r="AQ500" s="283"/>
    </row>
    <row r="501" spans="1:43" s="263" customFormat="1" ht="9" customHeight="1" x14ac:dyDescent="0.25">
      <c r="A501" s="550" t="s">
        <v>39</v>
      </c>
      <c r="B501" s="629">
        <f t="shared" si="53"/>
        <v>159</v>
      </c>
      <c r="C501" s="629"/>
      <c r="D501" s="631">
        <f t="shared" si="54"/>
        <v>158</v>
      </c>
      <c r="E501" s="632">
        <v>35</v>
      </c>
      <c r="F501" s="629"/>
      <c r="G501" s="629">
        <f t="shared" si="55"/>
        <v>122</v>
      </c>
      <c r="H501" s="632">
        <v>21</v>
      </c>
      <c r="I501" s="632">
        <v>17</v>
      </c>
      <c r="J501" s="629">
        <v>84</v>
      </c>
      <c r="K501" s="632">
        <v>0</v>
      </c>
      <c r="L501" s="632">
        <v>1</v>
      </c>
      <c r="M501" s="632">
        <v>0</v>
      </c>
      <c r="N501" s="632">
        <v>1</v>
      </c>
      <c r="R501" s="283"/>
      <c r="AE501" s="283"/>
      <c r="AF501" s="283"/>
      <c r="AG501" s="283"/>
      <c r="AH501" s="283"/>
      <c r="AI501" s="283"/>
      <c r="AJ501" s="283"/>
      <c r="AK501" s="283"/>
      <c r="AL501" s="283"/>
      <c r="AM501" s="283"/>
      <c r="AN501" s="283"/>
      <c r="AO501" s="283"/>
      <c r="AP501" s="283"/>
      <c r="AQ501" s="283"/>
    </row>
    <row r="502" spans="1:43" s="263" customFormat="1" ht="9" customHeight="1" x14ac:dyDescent="0.25">
      <c r="A502" s="550" t="s">
        <v>40</v>
      </c>
      <c r="B502" s="629">
        <f t="shared" si="53"/>
        <v>16824</v>
      </c>
      <c r="C502" s="629"/>
      <c r="D502" s="631">
        <f t="shared" si="54"/>
        <v>16749</v>
      </c>
      <c r="E502" s="632">
        <v>154</v>
      </c>
      <c r="F502" s="629"/>
      <c r="G502" s="629">
        <f t="shared" si="55"/>
        <v>16266</v>
      </c>
      <c r="H502" s="632">
        <v>2872</v>
      </c>
      <c r="I502" s="632">
        <v>2302</v>
      </c>
      <c r="J502" s="629">
        <v>11092</v>
      </c>
      <c r="K502" s="632">
        <v>20</v>
      </c>
      <c r="L502" s="632">
        <v>215</v>
      </c>
      <c r="M502" s="632">
        <v>94</v>
      </c>
      <c r="N502" s="632">
        <v>75</v>
      </c>
      <c r="R502" s="283"/>
      <c r="AE502" s="283"/>
      <c r="AF502" s="283"/>
      <c r="AG502" s="283"/>
      <c r="AH502" s="283"/>
      <c r="AI502" s="283"/>
      <c r="AJ502" s="283"/>
      <c r="AK502" s="283"/>
      <c r="AL502" s="283"/>
      <c r="AM502" s="283"/>
      <c r="AN502" s="283"/>
      <c r="AO502" s="283"/>
      <c r="AP502" s="283"/>
      <c r="AQ502" s="283"/>
    </row>
    <row r="503" spans="1:43" s="263" customFormat="1" ht="9" customHeight="1" x14ac:dyDescent="0.25">
      <c r="A503" s="603" t="s">
        <v>41</v>
      </c>
      <c r="B503" s="630">
        <f t="shared" si="53"/>
        <v>1079</v>
      </c>
      <c r="C503" s="630"/>
      <c r="D503" s="633">
        <f t="shared" si="54"/>
        <v>1075</v>
      </c>
      <c r="E503" s="634">
        <v>214</v>
      </c>
      <c r="F503" s="630"/>
      <c r="G503" s="630">
        <f t="shared" si="55"/>
        <v>844</v>
      </c>
      <c r="H503" s="634">
        <v>136</v>
      </c>
      <c r="I503" s="634">
        <v>121</v>
      </c>
      <c r="J503" s="630">
        <v>587</v>
      </c>
      <c r="K503" s="634">
        <v>2</v>
      </c>
      <c r="L503" s="634">
        <v>0</v>
      </c>
      <c r="M503" s="634">
        <v>15</v>
      </c>
      <c r="N503" s="634">
        <v>4</v>
      </c>
      <c r="R503" s="283"/>
      <c r="AE503" s="283"/>
      <c r="AF503" s="283"/>
      <c r="AG503" s="283"/>
      <c r="AH503" s="283"/>
      <c r="AI503" s="283"/>
      <c r="AJ503" s="283"/>
      <c r="AK503" s="283"/>
      <c r="AL503" s="283"/>
      <c r="AM503" s="283"/>
      <c r="AN503" s="283"/>
      <c r="AO503" s="283"/>
      <c r="AP503" s="283"/>
      <c r="AQ503" s="283"/>
    </row>
    <row r="504" spans="1:43" s="263" customFormat="1" ht="9" customHeight="1" x14ac:dyDescent="0.25">
      <c r="A504" s="550" t="s">
        <v>42</v>
      </c>
      <c r="B504" s="629">
        <f t="shared" si="53"/>
        <v>2233</v>
      </c>
      <c r="C504" s="629"/>
      <c r="D504" s="631">
        <f t="shared" si="54"/>
        <v>2214</v>
      </c>
      <c r="E504" s="632">
        <v>265</v>
      </c>
      <c r="F504" s="629"/>
      <c r="G504" s="629">
        <f t="shared" si="55"/>
        <v>1904</v>
      </c>
      <c r="H504" s="632">
        <v>241</v>
      </c>
      <c r="I504" s="632">
        <v>262</v>
      </c>
      <c r="J504" s="629">
        <v>1401</v>
      </c>
      <c r="K504" s="632">
        <v>1</v>
      </c>
      <c r="L504" s="632">
        <v>13</v>
      </c>
      <c r="M504" s="632">
        <v>31</v>
      </c>
      <c r="N504" s="632">
        <v>19</v>
      </c>
      <c r="R504" s="283"/>
      <c r="AE504" s="283"/>
      <c r="AF504" s="283"/>
      <c r="AG504" s="283"/>
      <c r="AH504" s="283"/>
      <c r="AI504" s="283"/>
      <c r="AJ504" s="283"/>
      <c r="AK504" s="283"/>
      <c r="AL504" s="283"/>
      <c r="AM504" s="283"/>
      <c r="AN504" s="283"/>
      <c r="AO504" s="283"/>
      <c r="AP504" s="283"/>
      <c r="AQ504" s="283"/>
    </row>
    <row r="505" spans="1:43" s="263" customFormat="1" ht="9" customHeight="1" x14ac:dyDescent="0.25">
      <c r="A505" s="550" t="s">
        <v>43</v>
      </c>
      <c r="B505" s="629">
        <f t="shared" si="53"/>
        <v>1293</v>
      </c>
      <c r="C505" s="629"/>
      <c r="D505" s="631">
        <f t="shared" si="54"/>
        <v>1273</v>
      </c>
      <c r="E505" s="632">
        <v>186</v>
      </c>
      <c r="F505" s="629"/>
      <c r="G505" s="629">
        <f t="shared" si="55"/>
        <v>1048</v>
      </c>
      <c r="H505" s="632">
        <v>149</v>
      </c>
      <c r="I505" s="632">
        <v>148</v>
      </c>
      <c r="J505" s="629">
        <v>751</v>
      </c>
      <c r="K505" s="632">
        <v>1</v>
      </c>
      <c r="L505" s="632">
        <v>3</v>
      </c>
      <c r="M505" s="632">
        <v>35</v>
      </c>
      <c r="N505" s="632">
        <v>20</v>
      </c>
      <c r="R505" s="283"/>
      <c r="AE505" s="283"/>
      <c r="AF505" s="283"/>
      <c r="AG505" s="283"/>
      <c r="AH505" s="283"/>
      <c r="AI505" s="283"/>
      <c r="AJ505" s="283"/>
      <c r="AK505" s="283"/>
      <c r="AL505" s="283"/>
      <c r="AM505" s="283"/>
      <c r="AN505" s="283"/>
      <c r="AO505" s="283"/>
      <c r="AP505" s="283"/>
      <c r="AQ505" s="283"/>
    </row>
    <row r="506" spans="1:43" s="263" customFormat="1" ht="9" customHeight="1" x14ac:dyDescent="0.25">
      <c r="A506" s="550" t="s">
        <v>44</v>
      </c>
      <c r="B506" s="629">
        <f t="shared" si="53"/>
        <v>517</v>
      </c>
      <c r="C506" s="629"/>
      <c r="D506" s="631">
        <f t="shared" si="54"/>
        <v>510</v>
      </c>
      <c r="E506" s="632">
        <v>84</v>
      </c>
      <c r="F506" s="629"/>
      <c r="G506" s="629">
        <f t="shared" si="55"/>
        <v>410</v>
      </c>
      <c r="H506" s="632">
        <v>78</v>
      </c>
      <c r="I506" s="632">
        <v>64</v>
      </c>
      <c r="J506" s="629">
        <v>268</v>
      </c>
      <c r="K506" s="632">
        <v>0</v>
      </c>
      <c r="L506" s="632">
        <v>1</v>
      </c>
      <c r="M506" s="632">
        <v>15</v>
      </c>
      <c r="N506" s="550">
        <v>7</v>
      </c>
      <c r="R506" s="283"/>
      <c r="AE506" s="283"/>
      <c r="AF506" s="283"/>
      <c r="AG506" s="283"/>
      <c r="AH506" s="283"/>
      <c r="AI506" s="283"/>
      <c r="AJ506" s="283"/>
      <c r="AK506" s="283"/>
      <c r="AL506" s="283"/>
      <c r="AM506" s="283"/>
      <c r="AN506" s="283"/>
      <c r="AO506" s="283"/>
      <c r="AP506" s="283"/>
      <c r="AQ506" s="283"/>
    </row>
    <row r="507" spans="1:43" s="263" customFormat="1" ht="9" customHeight="1" x14ac:dyDescent="0.25">
      <c r="A507" s="603" t="s">
        <v>45</v>
      </c>
      <c r="B507" s="630">
        <f t="shared" si="53"/>
        <v>1211</v>
      </c>
      <c r="C507" s="630"/>
      <c r="D507" s="633">
        <f t="shared" si="54"/>
        <v>1191</v>
      </c>
      <c r="E507" s="634">
        <v>75</v>
      </c>
      <c r="F507" s="630"/>
      <c r="G507" s="630">
        <f t="shared" si="55"/>
        <v>1102</v>
      </c>
      <c r="H507" s="634">
        <v>168</v>
      </c>
      <c r="I507" s="634">
        <v>127</v>
      </c>
      <c r="J507" s="630">
        <v>807</v>
      </c>
      <c r="K507" s="634">
        <v>3</v>
      </c>
      <c r="L507" s="634">
        <v>3</v>
      </c>
      <c r="M507" s="634">
        <v>8</v>
      </c>
      <c r="N507" s="634">
        <v>20</v>
      </c>
      <c r="R507" s="283"/>
      <c r="AE507" s="283"/>
      <c r="AF507" s="283"/>
      <c r="AG507" s="283"/>
      <c r="AH507" s="283"/>
      <c r="AI507" s="283"/>
      <c r="AJ507" s="283"/>
      <c r="AK507" s="283"/>
      <c r="AL507" s="283"/>
      <c r="AM507" s="283"/>
      <c r="AN507" s="283"/>
      <c r="AO507" s="283"/>
      <c r="AP507" s="283"/>
      <c r="AQ507" s="283"/>
    </row>
    <row r="508" spans="1:43" s="263" customFormat="1" ht="9" customHeight="1" x14ac:dyDescent="0.25">
      <c r="A508" s="550" t="s">
        <v>46</v>
      </c>
      <c r="B508" s="629">
        <f t="shared" si="53"/>
        <v>1073</v>
      </c>
      <c r="C508" s="629"/>
      <c r="D508" s="631">
        <f t="shared" si="54"/>
        <v>1072</v>
      </c>
      <c r="E508" s="632">
        <v>108</v>
      </c>
      <c r="F508" s="629"/>
      <c r="G508" s="629">
        <f t="shared" si="55"/>
        <v>954</v>
      </c>
      <c r="H508" s="632">
        <v>166</v>
      </c>
      <c r="I508" s="632">
        <v>140</v>
      </c>
      <c r="J508" s="629">
        <v>648</v>
      </c>
      <c r="K508" s="632">
        <v>0</v>
      </c>
      <c r="L508" s="632">
        <v>2</v>
      </c>
      <c r="M508" s="632">
        <v>8</v>
      </c>
      <c r="N508" s="632">
        <v>1</v>
      </c>
      <c r="R508" s="283"/>
      <c r="AE508" s="283"/>
      <c r="AF508" s="283"/>
      <c r="AG508" s="283"/>
      <c r="AH508" s="283"/>
      <c r="AI508" s="283"/>
      <c r="AJ508" s="283"/>
      <c r="AK508" s="283"/>
      <c r="AL508" s="283"/>
      <c r="AM508" s="283"/>
      <c r="AN508" s="283"/>
      <c r="AO508" s="283"/>
      <c r="AP508" s="283"/>
      <c r="AQ508" s="283"/>
    </row>
    <row r="509" spans="1:43" s="263" customFormat="1" ht="9" customHeight="1" x14ac:dyDescent="0.25">
      <c r="A509" s="550" t="s">
        <v>47</v>
      </c>
      <c r="B509" s="629">
        <f t="shared" si="53"/>
        <v>2158</v>
      </c>
      <c r="C509" s="629"/>
      <c r="D509" s="631">
        <f t="shared" si="54"/>
        <v>2148</v>
      </c>
      <c r="E509" s="632">
        <v>182</v>
      </c>
      <c r="F509" s="629"/>
      <c r="G509" s="629">
        <f t="shared" si="55"/>
        <v>1945</v>
      </c>
      <c r="H509" s="632">
        <v>384</v>
      </c>
      <c r="I509" s="632">
        <v>221</v>
      </c>
      <c r="J509" s="629">
        <v>1340</v>
      </c>
      <c r="K509" s="632">
        <v>0</v>
      </c>
      <c r="L509" s="632">
        <v>0</v>
      </c>
      <c r="M509" s="632">
        <v>21</v>
      </c>
      <c r="N509" s="632">
        <v>10</v>
      </c>
      <c r="R509" s="283"/>
      <c r="AE509" s="283"/>
      <c r="AF509" s="283"/>
      <c r="AG509" s="283"/>
      <c r="AH509" s="283"/>
      <c r="AI509" s="283"/>
      <c r="AJ509" s="283"/>
      <c r="AK509" s="283"/>
      <c r="AL509" s="283"/>
      <c r="AM509" s="283"/>
      <c r="AN509" s="283"/>
      <c r="AO509" s="283"/>
      <c r="AP509" s="283"/>
      <c r="AQ509" s="283"/>
    </row>
    <row r="510" spans="1:43" s="263" customFormat="1" ht="9" customHeight="1" x14ac:dyDescent="0.25">
      <c r="A510" s="550" t="s">
        <v>48</v>
      </c>
      <c r="B510" s="629">
        <f t="shared" si="53"/>
        <v>530</v>
      </c>
      <c r="C510" s="629"/>
      <c r="D510" s="631">
        <f t="shared" si="54"/>
        <v>524</v>
      </c>
      <c r="E510" s="632">
        <v>89</v>
      </c>
      <c r="F510" s="629"/>
      <c r="G510" s="629">
        <f t="shared" si="55"/>
        <v>431</v>
      </c>
      <c r="H510" s="632">
        <v>61</v>
      </c>
      <c r="I510" s="632">
        <v>66</v>
      </c>
      <c r="J510" s="629">
        <v>304</v>
      </c>
      <c r="K510" s="632">
        <v>0</v>
      </c>
      <c r="L510" s="632">
        <v>0</v>
      </c>
      <c r="M510" s="632">
        <v>4</v>
      </c>
      <c r="N510" s="632">
        <v>6</v>
      </c>
      <c r="R510" s="283"/>
      <c r="AE510" s="283"/>
      <c r="AF510" s="283"/>
      <c r="AG510" s="283"/>
      <c r="AH510" s="283"/>
      <c r="AI510" s="283"/>
      <c r="AJ510" s="283"/>
      <c r="AK510" s="283"/>
      <c r="AL510" s="283"/>
      <c r="AM510" s="283"/>
      <c r="AN510" s="283"/>
      <c r="AO510" s="283"/>
      <c r="AP510" s="283"/>
      <c r="AQ510" s="283"/>
    </row>
    <row r="511" spans="1:43" s="263" customFormat="1" ht="9" customHeight="1" x14ac:dyDescent="0.25">
      <c r="A511" s="603" t="s">
        <v>49</v>
      </c>
      <c r="B511" s="630">
        <f t="shared" si="53"/>
        <v>1421</v>
      </c>
      <c r="C511" s="630"/>
      <c r="D511" s="633">
        <f t="shared" si="54"/>
        <v>1415</v>
      </c>
      <c r="E511" s="634">
        <v>192</v>
      </c>
      <c r="F511" s="630"/>
      <c r="G511" s="630">
        <f t="shared" si="55"/>
        <v>1199</v>
      </c>
      <c r="H511" s="634">
        <v>205</v>
      </c>
      <c r="I511" s="634">
        <v>154</v>
      </c>
      <c r="J511" s="630">
        <v>840</v>
      </c>
      <c r="K511" s="634">
        <v>0</v>
      </c>
      <c r="L511" s="634">
        <v>0</v>
      </c>
      <c r="M511" s="634">
        <v>24</v>
      </c>
      <c r="N511" s="634">
        <v>6</v>
      </c>
      <c r="R511" s="283"/>
      <c r="AE511" s="283"/>
      <c r="AF511" s="283"/>
      <c r="AG511" s="283"/>
      <c r="AH511" s="283"/>
      <c r="AI511" s="283"/>
      <c r="AJ511" s="283"/>
      <c r="AK511" s="283"/>
      <c r="AL511" s="283"/>
      <c r="AM511" s="283"/>
      <c r="AN511" s="283"/>
      <c r="AO511" s="283"/>
      <c r="AP511" s="283"/>
      <c r="AQ511" s="283"/>
    </row>
    <row r="512" spans="1:43" s="263" customFormat="1" ht="9" customHeight="1" x14ac:dyDescent="0.25">
      <c r="A512" s="550" t="s">
        <v>50</v>
      </c>
      <c r="B512" s="629">
        <f t="shared" si="53"/>
        <v>387</v>
      </c>
      <c r="C512" s="629"/>
      <c r="D512" s="631">
        <f t="shared" si="54"/>
        <v>385</v>
      </c>
      <c r="E512" s="632">
        <v>48</v>
      </c>
      <c r="F512" s="629"/>
      <c r="G512" s="629">
        <f t="shared" si="55"/>
        <v>331</v>
      </c>
      <c r="H512" s="632">
        <v>40</v>
      </c>
      <c r="I512" s="632">
        <v>39</v>
      </c>
      <c r="J512" s="629">
        <v>252</v>
      </c>
      <c r="K512" s="632">
        <v>0</v>
      </c>
      <c r="L512" s="632">
        <v>0</v>
      </c>
      <c r="M512" s="632">
        <v>6</v>
      </c>
      <c r="N512" s="632">
        <v>2</v>
      </c>
      <c r="R512" s="283"/>
      <c r="AE512" s="283"/>
      <c r="AF512" s="283"/>
      <c r="AG512" s="283"/>
      <c r="AH512" s="283"/>
      <c r="AI512" s="283"/>
      <c r="AJ512" s="283"/>
      <c r="AK512" s="283"/>
      <c r="AL512" s="283"/>
      <c r="AM512" s="283"/>
      <c r="AN512" s="283"/>
      <c r="AO512" s="283"/>
      <c r="AP512" s="283"/>
      <c r="AQ512" s="283"/>
    </row>
    <row r="513" spans="1:43" s="263" customFormat="1" ht="9" customHeight="1" x14ac:dyDescent="0.25">
      <c r="A513" s="550" t="s">
        <v>51</v>
      </c>
      <c r="B513" s="629">
        <f t="shared" si="53"/>
        <v>1283</v>
      </c>
      <c r="C513" s="629"/>
      <c r="D513" s="631">
        <f t="shared" si="54"/>
        <v>1270</v>
      </c>
      <c r="E513" s="632">
        <v>196</v>
      </c>
      <c r="F513" s="629"/>
      <c r="G513" s="629">
        <f t="shared" si="55"/>
        <v>1046</v>
      </c>
      <c r="H513" s="632">
        <v>181</v>
      </c>
      <c r="I513" s="632">
        <v>144</v>
      </c>
      <c r="J513" s="629">
        <v>721</v>
      </c>
      <c r="K513" s="632">
        <v>3</v>
      </c>
      <c r="L513" s="632">
        <v>1</v>
      </c>
      <c r="M513" s="632">
        <v>24</v>
      </c>
      <c r="N513" s="632">
        <v>13</v>
      </c>
      <c r="R513" s="283"/>
      <c r="AE513" s="283"/>
      <c r="AF513" s="283"/>
      <c r="AG513" s="283"/>
      <c r="AH513" s="283"/>
      <c r="AI513" s="283"/>
      <c r="AJ513" s="283"/>
      <c r="AK513" s="283"/>
      <c r="AL513" s="283"/>
      <c r="AM513" s="283"/>
      <c r="AN513" s="283"/>
      <c r="AO513" s="283"/>
      <c r="AP513" s="283"/>
      <c r="AQ513" s="283"/>
    </row>
    <row r="514" spans="1:43" s="263" customFormat="1" ht="9" customHeight="1" x14ac:dyDescent="0.25">
      <c r="A514" s="550" t="s">
        <v>52</v>
      </c>
      <c r="B514" s="629">
        <f t="shared" si="53"/>
        <v>831</v>
      </c>
      <c r="C514" s="629"/>
      <c r="D514" s="631">
        <f t="shared" si="54"/>
        <v>829</v>
      </c>
      <c r="E514" s="632">
        <v>53</v>
      </c>
      <c r="F514" s="629"/>
      <c r="G514" s="629">
        <f t="shared" si="55"/>
        <v>757</v>
      </c>
      <c r="H514" s="632">
        <v>99</v>
      </c>
      <c r="I514" s="632">
        <v>106</v>
      </c>
      <c r="J514" s="629">
        <v>552</v>
      </c>
      <c r="K514" s="632">
        <v>4</v>
      </c>
      <c r="L514" s="632">
        <v>0</v>
      </c>
      <c r="M514" s="632">
        <v>15</v>
      </c>
      <c r="N514" s="632">
        <v>2</v>
      </c>
      <c r="R514" s="283"/>
      <c r="AE514" s="283"/>
      <c r="AF514" s="283"/>
      <c r="AG514" s="283"/>
      <c r="AH514" s="283"/>
      <c r="AI514" s="283"/>
      <c r="AJ514" s="283"/>
      <c r="AK514" s="283"/>
      <c r="AL514" s="283"/>
      <c r="AM514" s="283"/>
      <c r="AN514" s="283"/>
      <c r="AO514" s="283"/>
      <c r="AP514" s="283"/>
      <c r="AQ514" s="283"/>
    </row>
    <row r="515" spans="1:43" s="263" customFormat="1" ht="9" customHeight="1" x14ac:dyDescent="0.25">
      <c r="A515" s="603" t="s">
        <v>53</v>
      </c>
      <c r="B515" s="630">
        <f t="shared" si="53"/>
        <v>504</v>
      </c>
      <c r="C515" s="630"/>
      <c r="D515" s="633">
        <f t="shared" si="54"/>
        <v>503</v>
      </c>
      <c r="E515" s="634">
        <v>77</v>
      </c>
      <c r="F515" s="630"/>
      <c r="G515" s="630">
        <f t="shared" si="55"/>
        <v>421</v>
      </c>
      <c r="H515" s="634">
        <v>58</v>
      </c>
      <c r="I515" s="634">
        <v>41</v>
      </c>
      <c r="J515" s="630">
        <v>322</v>
      </c>
      <c r="K515" s="634">
        <v>0</v>
      </c>
      <c r="L515" s="634">
        <v>0</v>
      </c>
      <c r="M515" s="634">
        <v>5</v>
      </c>
      <c r="N515" s="634">
        <v>1</v>
      </c>
      <c r="R515" s="283"/>
      <c r="AE515" s="283"/>
      <c r="AF515" s="283"/>
      <c r="AG515" s="283"/>
      <c r="AH515" s="283"/>
      <c r="AI515" s="283"/>
      <c r="AJ515" s="283"/>
      <c r="AK515" s="283"/>
      <c r="AL515" s="283"/>
      <c r="AM515" s="283"/>
      <c r="AN515" s="283"/>
      <c r="AO515" s="283"/>
      <c r="AP515" s="283"/>
      <c r="AQ515" s="283"/>
    </row>
    <row r="516" spans="1:43" ht="8.25" customHeight="1" x14ac:dyDescent="0.25">
      <c r="B516" s="259"/>
      <c r="C516" s="259"/>
      <c r="D516" s="259"/>
      <c r="E516" s="259"/>
      <c r="F516" s="259"/>
      <c r="G516" s="259"/>
      <c r="H516" s="259"/>
      <c r="I516" s="259"/>
      <c r="J516" s="259"/>
      <c r="K516" s="259"/>
      <c r="L516" s="259"/>
    </row>
    <row r="517" spans="1:43" ht="9" customHeight="1" x14ac:dyDescent="0.25">
      <c r="A517" s="601">
        <v>2015</v>
      </c>
      <c r="B517" s="262"/>
      <c r="C517" s="262"/>
      <c r="D517" s="262"/>
      <c r="E517" s="262"/>
      <c r="F517" s="262"/>
      <c r="G517" s="262"/>
      <c r="H517" s="262"/>
      <c r="I517" s="262"/>
      <c r="J517" s="262"/>
      <c r="K517" s="262"/>
      <c r="L517" s="262"/>
      <c r="M517" s="262"/>
      <c r="N517" s="262"/>
      <c r="Q517" s="606"/>
    </row>
    <row r="518" spans="1:43" s="263" customFormat="1" ht="9" customHeight="1" x14ac:dyDescent="0.25">
      <c r="A518" s="265" t="s">
        <v>21</v>
      </c>
      <c r="B518" s="262">
        <f>SUM(B520:B551)</f>
        <v>62723</v>
      </c>
      <c r="C518" s="262"/>
      <c r="D518" s="262">
        <f>SUM(D520:D551)</f>
        <v>62272</v>
      </c>
      <c r="E518" s="262">
        <f>SUM(E520:E551)</f>
        <v>6101</v>
      </c>
      <c r="F518" s="262"/>
      <c r="G518" s="262">
        <f t="shared" ref="G518:M518" si="56">SUM(G520:G551)</f>
        <v>54686</v>
      </c>
      <c r="H518" s="262">
        <f t="shared" si="56"/>
        <v>8432</v>
      </c>
      <c r="I518" s="262">
        <f t="shared" si="56"/>
        <v>6574</v>
      </c>
      <c r="J518" s="262">
        <f>SUM(J520:J551)</f>
        <v>39680</v>
      </c>
      <c r="K518" s="262">
        <f t="shared" si="56"/>
        <v>141</v>
      </c>
      <c r="L518" s="262">
        <f t="shared" si="56"/>
        <v>618</v>
      </c>
      <c r="M518" s="262">
        <f t="shared" si="56"/>
        <v>726</v>
      </c>
      <c r="N518" s="262">
        <f>SUM(N520:N551)</f>
        <v>451</v>
      </c>
      <c r="V518" s="282"/>
    </row>
    <row r="519" spans="1:43" s="263" customFormat="1" ht="2.1" customHeight="1" x14ac:dyDescent="0.25">
      <c r="A519" s="265"/>
      <c r="B519" s="262"/>
      <c r="C519" s="262"/>
      <c r="D519" s="262"/>
      <c r="E519" s="262"/>
      <c r="F519" s="262"/>
      <c r="G519" s="262"/>
      <c r="H519" s="262"/>
      <c r="I519" s="262"/>
      <c r="J519" s="262"/>
      <c r="K519" s="262"/>
      <c r="L519" s="262"/>
      <c r="M519" s="262"/>
      <c r="N519" s="262"/>
      <c r="V519" s="283"/>
    </row>
    <row r="520" spans="1:43" s="263" customFormat="1" ht="9" customHeight="1" x14ac:dyDescent="0.25">
      <c r="A520" s="550" t="s">
        <v>23</v>
      </c>
      <c r="B520" s="629">
        <f>SUM(D520+N520)</f>
        <v>361</v>
      </c>
      <c r="C520" s="629"/>
      <c r="D520" s="631">
        <f>SUM(E520+G520+K520+L520+M520)</f>
        <v>355</v>
      </c>
      <c r="E520" s="632">
        <v>35</v>
      </c>
      <c r="F520" s="629"/>
      <c r="G520" s="629">
        <f>SUM(H520:J520)</f>
        <v>319</v>
      </c>
      <c r="H520" s="632">
        <v>38</v>
      </c>
      <c r="I520" s="632">
        <v>32</v>
      </c>
      <c r="J520" s="629">
        <v>249</v>
      </c>
      <c r="K520" s="632">
        <v>1</v>
      </c>
      <c r="L520" s="632">
        <v>0</v>
      </c>
      <c r="M520" s="632">
        <v>0</v>
      </c>
      <c r="N520" s="632">
        <v>6</v>
      </c>
      <c r="R520" s="283"/>
      <c r="V520" s="283"/>
    </row>
    <row r="521" spans="1:43" s="263" customFormat="1" ht="9" customHeight="1" x14ac:dyDescent="0.25">
      <c r="A521" s="550" t="s">
        <v>24</v>
      </c>
      <c r="B521" s="629">
        <f>SUM(D521+N521)</f>
        <v>2233</v>
      </c>
      <c r="C521" s="629"/>
      <c r="D521" s="631">
        <f>SUM(E521+G521+K521+L521+M521)</f>
        <v>2206</v>
      </c>
      <c r="E521" s="629">
        <v>430</v>
      </c>
      <c r="F521" s="629"/>
      <c r="G521" s="629">
        <f>SUM(H521:J521)</f>
        <v>1721</v>
      </c>
      <c r="H521" s="629">
        <v>263</v>
      </c>
      <c r="I521" s="629">
        <v>220</v>
      </c>
      <c r="J521" s="629">
        <v>1238</v>
      </c>
      <c r="K521" s="629">
        <v>8</v>
      </c>
      <c r="L521" s="629">
        <v>1</v>
      </c>
      <c r="M521" s="629">
        <v>46</v>
      </c>
      <c r="N521" s="629">
        <v>27</v>
      </c>
      <c r="R521" s="283"/>
      <c r="V521" s="283"/>
    </row>
    <row r="522" spans="1:43" s="263" customFormat="1" ht="9" customHeight="1" x14ac:dyDescent="0.25">
      <c r="A522" s="550" t="s">
        <v>25</v>
      </c>
      <c r="B522" s="629">
        <f>SUM(D522+N522)</f>
        <v>250</v>
      </c>
      <c r="C522" s="629"/>
      <c r="D522" s="631">
        <f>SUM(E522+G522+K522+L522+M522)</f>
        <v>249</v>
      </c>
      <c r="E522" s="629">
        <v>38</v>
      </c>
      <c r="F522" s="629"/>
      <c r="G522" s="629">
        <f>SUM(H522:J522)</f>
        <v>203</v>
      </c>
      <c r="H522" s="629">
        <v>30</v>
      </c>
      <c r="I522" s="629">
        <v>30</v>
      </c>
      <c r="J522" s="629">
        <v>143</v>
      </c>
      <c r="K522" s="629">
        <v>0</v>
      </c>
      <c r="L522" s="629">
        <v>5</v>
      </c>
      <c r="M522" s="629">
        <v>3</v>
      </c>
      <c r="N522" s="629">
        <v>1</v>
      </c>
      <c r="R522" s="283"/>
      <c r="V522" s="283"/>
    </row>
    <row r="523" spans="1:43" s="263" customFormat="1" ht="9" customHeight="1" x14ac:dyDescent="0.25">
      <c r="A523" s="603" t="s">
        <v>26</v>
      </c>
      <c r="B523" s="630">
        <f>SUM(D523+N523)</f>
        <v>209</v>
      </c>
      <c r="C523" s="630"/>
      <c r="D523" s="633">
        <f>SUM(E523+G523+K523+L523+M523)</f>
        <v>207</v>
      </c>
      <c r="E523" s="634">
        <v>10</v>
      </c>
      <c r="F523" s="630"/>
      <c r="G523" s="630">
        <f>SUM(H523:J523)</f>
        <v>192</v>
      </c>
      <c r="H523" s="634">
        <v>37</v>
      </c>
      <c r="I523" s="634">
        <v>33</v>
      </c>
      <c r="J523" s="630">
        <v>122</v>
      </c>
      <c r="K523" s="634">
        <v>0</v>
      </c>
      <c r="L523" s="634">
        <v>0</v>
      </c>
      <c r="M523" s="634">
        <v>5</v>
      </c>
      <c r="N523" s="634">
        <v>2</v>
      </c>
      <c r="R523" s="283"/>
      <c r="V523" s="283"/>
    </row>
    <row r="524" spans="1:43" s="263" customFormat="1" ht="9" customHeight="1" x14ac:dyDescent="0.25">
      <c r="A524" s="550" t="s">
        <v>27</v>
      </c>
      <c r="B524" s="629">
        <f t="shared" ref="B524:B551" si="57">SUM(D524+N524)</f>
        <v>1128</v>
      </c>
      <c r="C524" s="629"/>
      <c r="D524" s="631">
        <f t="shared" ref="D524:D551" si="58">SUM(E524+G524+K524+L524+M524)</f>
        <v>1116</v>
      </c>
      <c r="E524" s="632">
        <v>78</v>
      </c>
      <c r="F524" s="629"/>
      <c r="G524" s="629">
        <f t="shared" ref="G524:G551" si="59">SUM(H524:J524)</f>
        <v>1011</v>
      </c>
      <c r="H524" s="632">
        <v>153</v>
      </c>
      <c r="I524" s="632">
        <v>119</v>
      </c>
      <c r="J524" s="629">
        <v>739</v>
      </c>
      <c r="K524" s="632">
        <v>3</v>
      </c>
      <c r="L524" s="632">
        <v>7</v>
      </c>
      <c r="M524" s="632">
        <v>17</v>
      </c>
      <c r="N524" s="632">
        <v>12</v>
      </c>
      <c r="R524" s="283"/>
      <c r="V524" s="283"/>
    </row>
    <row r="525" spans="1:43" s="263" customFormat="1" ht="9" customHeight="1" x14ac:dyDescent="0.25">
      <c r="A525" s="550" t="s">
        <v>28</v>
      </c>
      <c r="B525" s="629">
        <f t="shared" si="57"/>
        <v>299</v>
      </c>
      <c r="C525" s="629"/>
      <c r="D525" s="631">
        <f t="shared" si="58"/>
        <v>299</v>
      </c>
      <c r="E525" s="632">
        <v>26</v>
      </c>
      <c r="F525" s="629"/>
      <c r="G525" s="629">
        <f t="shared" si="59"/>
        <v>269</v>
      </c>
      <c r="H525" s="632">
        <v>28</v>
      </c>
      <c r="I525" s="632">
        <v>24</v>
      </c>
      <c r="J525" s="629">
        <v>217</v>
      </c>
      <c r="K525" s="632">
        <v>1</v>
      </c>
      <c r="L525" s="632">
        <v>0</v>
      </c>
      <c r="M525" s="632">
        <v>3</v>
      </c>
      <c r="N525" s="632">
        <v>0</v>
      </c>
      <c r="R525" s="283"/>
      <c r="V525" s="283"/>
    </row>
    <row r="526" spans="1:43" s="263" customFormat="1" ht="9" customHeight="1" x14ac:dyDescent="0.25">
      <c r="A526" s="550" t="s">
        <v>29</v>
      </c>
      <c r="B526" s="629">
        <f t="shared" si="57"/>
        <v>554</v>
      </c>
      <c r="C526" s="629"/>
      <c r="D526" s="631">
        <f t="shared" si="58"/>
        <v>549</v>
      </c>
      <c r="E526" s="632">
        <v>114</v>
      </c>
      <c r="F526" s="629"/>
      <c r="G526" s="629">
        <f t="shared" si="59"/>
        <v>428</v>
      </c>
      <c r="H526" s="632">
        <v>84</v>
      </c>
      <c r="I526" s="632">
        <v>63</v>
      </c>
      <c r="J526" s="629">
        <v>281</v>
      </c>
      <c r="K526" s="632">
        <v>1</v>
      </c>
      <c r="L526" s="632">
        <v>0</v>
      </c>
      <c r="M526" s="632">
        <v>6</v>
      </c>
      <c r="N526" s="632">
        <v>5</v>
      </c>
      <c r="R526" s="283"/>
      <c r="V526" s="283"/>
    </row>
    <row r="527" spans="1:43" s="263" customFormat="1" ht="9" customHeight="1" x14ac:dyDescent="0.25">
      <c r="A527" s="603" t="s">
        <v>30</v>
      </c>
      <c r="B527" s="630">
        <f t="shared" si="57"/>
        <v>2339</v>
      </c>
      <c r="C527" s="630"/>
      <c r="D527" s="633">
        <f t="shared" si="58"/>
        <v>2314</v>
      </c>
      <c r="E527" s="634">
        <v>195</v>
      </c>
      <c r="F527" s="630"/>
      <c r="G527" s="630">
        <f t="shared" si="59"/>
        <v>2033</v>
      </c>
      <c r="H527" s="634">
        <v>307</v>
      </c>
      <c r="I527" s="634">
        <v>226</v>
      </c>
      <c r="J527" s="630">
        <v>1500</v>
      </c>
      <c r="K527" s="634">
        <v>29</v>
      </c>
      <c r="L527" s="634">
        <v>39</v>
      </c>
      <c r="M527" s="634">
        <v>18</v>
      </c>
      <c r="N527" s="634">
        <v>25</v>
      </c>
      <c r="R527" s="283"/>
      <c r="V527" s="283"/>
    </row>
    <row r="528" spans="1:43" s="263" customFormat="1" ht="9" customHeight="1" x14ac:dyDescent="0.25">
      <c r="A528" s="550" t="s">
        <v>63</v>
      </c>
      <c r="B528" s="629">
        <f t="shared" si="57"/>
        <v>4338</v>
      </c>
      <c r="C528" s="629"/>
      <c r="D528" s="631">
        <f t="shared" si="58"/>
        <v>4258</v>
      </c>
      <c r="E528" s="632">
        <v>500</v>
      </c>
      <c r="F528" s="629"/>
      <c r="G528" s="629">
        <f t="shared" si="59"/>
        <v>3400</v>
      </c>
      <c r="H528" s="632">
        <v>488</v>
      </c>
      <c r="I528" s="632">
        <v>342</v>
      </c>
      <c r="J528" s="629">
        <v>2570</v>
      </c>
      <c r="K528" s="632">
        <v>14</v>
      </c>
      <c r="L528" s="632">
        <v>260</v>
      </c>
      <c r="M528" s="632">
        <v>84</v>
      </c>
      <c r="N528" s="632">
        <v>80</v>
      </c>
      <c r="R528" s="283"/>
      <c r="V528" s="283"/>
    </row>
    <row r="529" spans="1:22" s="263" customFormat="1" ht="9" customHeight="1" x14ac:dyDescent="0.25">
      <c r="A529" s="550" t="s">
        <v>31</v>
      </c>
      <c r="B529" s="629">
        <f t="shared" si="57"/>
        <v>354</v>
      </c>
      <c r="C529" s="629"/>
      <c r="D529" s="631">
        <f t="shared" si="58"/>
        <v>354</v>
      </c>
      <c r="E529" s="632">
        <v>41</v>
      </c>
      <c r="F529" s="629"/>
      <c r="G529" s="629">
        <f t="shared" si="59"/>
        <v>291</v>
      </c>
      <c r="H529" s="632">
        <v>28</v>
      </c>
      <c r="I529" s="632">
        <v>38</v>
      </c>
      <c r="J529" s="629">
        <v>225</v>
      </c>
      <c r="K529" s="632">
        <v>3</v>
      </c>
      <c r="L529" s="632">
        <v>15</v>
      </c>
      <c r="M529" s="632">
        <v>4</v>
      </c>
      <c r="N529" s="632">
        <v>0</v>
      </c>
      <c r="R529" s="283"/>
      <c r="V529" s="283"/>
    </row>
    <row r="530" spans="1:22" s="263" customFormat="1" ht="9" customHeight="1" x14ac:dyDescent="0.25">
      <c r="A530" s="550" t="s">
        <v>32</v>
      </c>
      <c r="B530" s="629">
        <f t="shared" si="57"/>
        <v>3128</v>
      </c>
      <c r="C530" s="629"/>
      <c r="D530" s="631">
        <f t="shared" si="58"/>
        <v>3121</v>
      </c>
      <c r="E530" s="632">
        <v>457</v>
      </c>
      <c r="F530" s="629"/>
      <c r="G530" s="629">
        <f t="shared" si="59"/>
        <v>2591</v>
      </c>
      <c r="H530" s="632">
        <v>396</v>
      </c>
      <c r="I530" s="632">
        <v>360</v>
      </c>
      <c r="J530" s="629">
        <v>1835</v>
      </c>
      <c r="K530" s="632">
        <v>1</v>
      </c>
      <c r="L530" s="632">
        <v>7</v>
      </c>
      <c r="M530" s="632">
        <v>65</v>
      </c>
      <c r="N530" s="632">
        <v>7</v>
      </c>
      <c r="R530" s="283"/>
      <c r="V530" s="283"/>
    </row>
    <row r="531" spans="1:22" s="263" customFormat="1" ht="9" customHeight="1" x14ac:dyDescent="0.25">
      <c r="A531" s="603" t="s">
        <v>33</v>
      </c>
      <c r="B531" s="630">
        <f t="shared" si="57"/>
        <v>822</v>
      </c>
      <c r="C531" s="630"/>
      <c r="D531" s="633">
        <f t="shared" si="58"/>
        <v>818</v>
      </c>
      <c r="E531" s="634">
        <v>137</v>
      </c>
      <c r="F531" s="630"/>
      <c r="G531" s="630">
        <f t="shared" si="59"/>
        <v>666</v>
      </c>
      <c r="H531" s="634">
        <v>112</v>
      </c>
      <c r="I531" s="634">
        <v>97</v>
      </c>
      <c r="J531" s="630">
        <v>457</v>
      </c>
      <c r="K531" s="634">
        <v>0</v>
      </c>
      <c r="L531" s="634">
        <v>0</v>
      </c>
      <c r="M531" s="634">
        <v>15</v>
      </c>
      <c r="N531" s="634">
        <v>4</v>
      </c>
      <c r="R531" s="283"/>
      <c r="V531" s="283"/>
    </row>
    <row r="532" spans="1:22" s="263" customFormat="1" ht="9" customHeight="1" x14ac:dyDescent="0.25">
      <c r="A532" s="550" t="s">
        <v>34</v>
      </c>
      <c r="B532" s="629">
        <f t="shared" si="57"/>
        <v>473</v>
      </c>
      <c r="C532" s="629"/>
      <c r="D532" s="631">
        <f t="shared" si="58"/>
        <v>472</v>
      </c>
      <c r="E532" s="632">
        <v>53</v>
      </c>
      <c r="F532" s="629"/>
      <c r="G532" s="629">
        <f t="shared" si="59"/>
        <v>398</v>
      </c>
      <c r="H532" s="632">
        <v>59</v>
      </c>
      <c r="I532" s="632">
        <v>61</v>
      </c>
      <c r="J532" s="629">
        <v>278</v>
      </c>
      <c r="K532" s="632">
        <v>3</v>
      </c>
      <c r="L532" s="632">
        <v>0</v>
      </c>
      <c r="M532" s="632">
        <v>18</v>
      </c>
      <c r="N532" s="632">
        <v>1</v>
      </c>
      <c r="R532" s="283"/>
      <c r="V532" s="283"/>
    </row>
    <row r="533" spans="1:22" s="263" customFormat="1" ht="9" customHeight="1" x14ac:dyDescent="0.25">
      <c r="A533" s="550" t="s">
        <v>35</v>
      </c>
      <c r="B533" s="629">
        <f t="shared" si="57"/>
        <v>8594</v>
      </c>
      <c r="C533" s="629"/>
      <c r="D533" s="631">
        <f t="shared" si="58"/>
        <v>8546</v>
      </c>
      <c r="E533" s="632">
        <v>594</v>
      </c>
      <c r="F533" s="629"/>
      <c r="G533" s="629">
        <f t="shared" si="59"/>
        <v>7893</v>
      </c>
      <c r="H533" s="632">
        <v>1194</v>
      </c>
      <c r="I533" s="632">
        <v>793</v>
      </c>
      <c r="J533" s="629">
        <v>5906</v>
      </c>
      <c r="K533" s="632">
        <v>2</v>
      </c>
      <c r="L533" s="632">
        <v>27</v>
      </c>
      <c r="M533" s="632">
        <v>30</v>
      </c>
      <c r="N533" s="632">
        <v>48</v>
      </c>
      <c r="R533" s="283"/>
      <c r="V533" s="283"/>
    </row>
    <row r="534" spans="1:22" s="263" customFormat="1" ht="9" customHeight="1" x14ac:dyDescent="0.25">
      <c r="A534" s="550" t="s">
        <v>36</v>
      </c>
      <c r="B534" s="629">
        <f t="shared" si="57"/>
        <v>6107</v>
      </c>
      <c r="C534" s="629"/>
      <c r="D534" s="631">
        <f t="shared" si="58"/>
        <v>6077</v>
      </c>
      <c r="E534" s="632">
        <v>657</v>
      </c>
      <c r="F534" s="629"/>
      <c r="G534" s="629">
        <f t="shared" si="59"/>
        <v>5276</v>
      </c>
      <c r="H534" s="632">
        <v>790</v>
      </c>
      <c r="I534" s="632">
        <v>635</v>
      </c>
      <c r="J534" s="629">
        <v>3851</v>
      </c>
      <c r="K534" s="632">
        <v>10</v>
      </c>
      <c r="L534" s="632">
        <v>12</v>
      </c>
      <c r="M534" s="632">
        <v>122</v>
      </c>
      <c r="N534" s="632">
        <v>30</v>
      </c>
      <c r="R534" s="283"/>
      <c r="V534" s="283"/>
    </row>
    <row r="535" spans="1:22" s="263" customFormat="1" ht="9" customHeight="1" x14ac:dyDescent="0.25">
      <c r="A535" s="603" t="s">
        <v>37</v>
      </c>
      <c r="B535" s="630">
        <f t="shared" si="57"/>
        <v>1849</v>
      </c>
      <c r="C535" s="630"/>
      <c r="D535" s="633">
        <f t="shared" si="58"/>
        <v>1841</v>
      </c>
      <c r="E535" s="634">
        <v>401</v>
      </c>
      <c r="F535" s="630"/>
      <c r="G535" s="630">
        <f t="shared" si="59"/>
        <v>1382</v>
      </c>
      <c r="H535" s="634">
        <v>237</v>
      </c>
      <c r="I535" s="634">
        <v>191</v>
      </c>
      <c r="J535" s="630">
        <v>954</v>
      </c>
      <c r="K535" s="634">
        <v>9</v>
      </c>
      <c r="L535" s="634">
        <v>39</v>
      </c>
      <c r="M535" s="634">
        <v>10</v>
      </c>
      <c r="N535" s="634">
        <v>8</v>
      </c>
      <c r="R535" s="283"/>
      <c r="V535" s="283"/>
    </row>
    <row r="536" spans="1:22" s="263" customFormat="1" ht="9" customHeight="1" x14ac:dyDescent="0.25">
      <c r="A536" s="550" t="s">
        <v>38</v>
      </c>
      <c r="B536" s="629">
        <f t="shared" si="57"/>
        <v>544</v>
      </c>
      <c r="C536" s="629"/>
      <c r="D536" s="631">
        <f t="shared" si="58"/>
        <v>533</v>
      </c>
      <c r="E536" s="632">
        <v>74</v>
      </c>
      <c r="F536" s="629"/>
      <c r="G536" s="629">
        <f t="shared" si="59"/>
        <v>457</v>
      </c>
      <c r="H536" s="632">
        <v>64</v>
      </c>
      <c r="I536" s="632">
        <v>54</v>
      </c>
      <c r="J536" s="629">
        <v>339</v>
      </c>
      <c r="K536" s="632">
        <v>0</v>
      </c>
      <c r="L536" s="632">
        <v>0</v>
      </c>
      <c r="M536" s="632">
        <v>2</v>
      </c>
      <c r="N536" s="632">
        <v>11</v>
      </c>
      <c r="R536" s="283"/>
      <c r="V536" s="283"/>
    </row>
    <row r="537" spans="1:22" s="263" customFormat="1" ht="9" customHeight="1" x14ac:dyDescent="0.25">
      <c r="A537" s="550" t="s">
        <v>39</v>
      </c>
      <c r="B537" s="629">
        <f t="shared" si="57"/>
        <v>366</v>
      </c>
      <c r="C537" s="629"/>
      <c r="D537" s="631">
        <f t="shared" si="58"/>
        <v>362</v>
      </c>
      <c r="E537" s="632">
        <v>252</v>
      </c>
      <c r="F537" s="629"/>
      <c r="G537" s="629">
        <f t="shared" si="59"/>
        <v>110</v>
      </c>
      <c r="H537" s="632">
        <v>21</v>
      </c>
      <c r="I537" s="632">
        <v>16</v>
      </c>
      <c r="J537" s="629">
        <v>73</v>
      </c>
      <c r="K537" s="632">
        <v>0</v>
      </c>
      <c r="L537" s="632">
        <v>0</v>
      </c>
      <c r="M537" s="632">
        <v>0</v>
      </c>
      <c r="N537" s="632">
        <v>4</v>
      </c>
      <c r="R537" s="283"/>
      <c r="V537" s="283"/>
    </row>
    <row r="538" spans="1:22" s="263" customFormat="1" ht="9" customHeight="1" x14ac:dyDescent="0.25">
      <c r="A538" s="550" t="s">
        <v>40</v>
      </c>
      <c r="B538" s="629">
        <f t="shared" si="57"/>
        <v>14474</v>
      </c>
      <c r="C538" s="629"/>
      <c r="D538" s="631">
        <f t="shared" si="58"/>
        <v>14422</v>
      </c>
      <c r="E538" s="632">
        <v>177</v>
      </c>
      <c r="F538" s="629"/>
      <c r="G538" s="629">
        <f t="shared" si="59"/>
        <v>13976</v>
      </c>
      <c r="H538" s="632">
        <v>2206</v>
      </c>
      <c r="I538" s="632">
        <v>1659</v>
      </c>
      <c r="J538" s="629">
        <v>10111</v>
      </c>
      <c r="K538" s="632">
        <v>19</v>
      </c>
      <c r="L538" s="632">
        <v>182</v>
      </c>
      <c r="M538" s="632">
        <v>68</v>
      </c>
      <c r="N538" s="632">
        <v>52</v>
      </c>
      <c r="R538" s="283"/>
      <c r="V538" s="283"/>
    </row>
    <row r="539" spans="1:22" s="263" customFormat="1" ht="9" customHeight="1" x14ac:dyDescent="0.25">
      <c r="A539" s="603" t="s">
        <v>41</v>
      </c>
      <c r="B539" s="630">
        <f t="shared" si="57"/>
        <v>1111</v>
      </c>
      <c r="C539" s="630"/>
      <c r="D539" s="633">
        <f t="shared" si="58"/>
        <v>1102</v>
      </c>
      <c r="E539" s="634">
        <v>214</v>
      </c>
      <c r="F539" s="630"/>
      <c r="G539" s="630">
        <f t="shared" si="59"/>
        <v>863</v>
      </c>
      <c r="H539" s="634">
        <v>128</v>
      </c>
      <c r="I539" s="634">
        <v>120</v>
      </c>
      <c r="J539" s="630">
        <v>615</v>
      </c>
      <c r="K539" s="634">
        <v>1</v>
      </c>
      <c r="L539" s="634">
        <v>0</v>
      </c>
      <c r="M539" s="634">
        <v>24</v>
      </c>
      <c r="N539" s="634">
        <v>9</v>
      </c>
      <c r="R539" s="283"/>
      <c r="V539" s="283"/>
    </row>
    <row r="540" spans="1:22" s="263" customFormat="1" ht="9" customHeight="1" x14ac:dyDescent="0.25">
      <c r="A540" s="550" t="s">
        <v>42</v>
      </c>
      <c r="B540" s="629">
        <f t="shared" si="57"/>
        <v>2246</v>
      </c>
      <c r="C540" s="629"/>
      <c r="D540" s="631">
        <f t="shared" si="58"/>
        <v>2215</v>
      </c>
      <c r="E540" s="632">
        <v>281</v>
      </c>
      <c r="F540" s="629"/>
      <c r="G540" s="629">
        <f t="shared" si="59"/>
        <v>1876</v>
      </c>
      <c r="H540" s="632">
        <v>252</v>
      </c>
      <c r="I540" s="632">
        <v>258</v>
      </c>
      <c r="J540" s="629">
        <v>1366</v>
      </c>
      <c r="K540" s="632">
        <v>19</v>
      </c>
      <c r="L540" s="632">
        <v>13</v>
      </c>
      <c r="M540" s="632">
        <v>26</v>
      </c>
      <c r="N540" s="632">
        <v>31</v>
      </c>
      <c r="R540" s="283"/>
      <c r="V540" s="283"/>
    </row>
    <row r="541" spans="1:22" s="263" customFormat="1" ht="9" customHeight="1" x14ac:dyDescent="0.25">
      <c r="A541" s="550" t="s">
        <v>43</v>
      </c>
      <c r="B541" s="629">
        <f t="shared" si="57"/>
        <v>1302</v>
      </c>
      <c r="C541" s="629"/>
      <c r="D541" s="631">
        <f t="shared" si="58"/>
        <v>1287</v>
      </c>
      <c r="E541" s="632">
        <v>174</v>
      </c>
      <c r="F541" s="629"/>
      <c r="G541" s="629">
        <f t="shared" si="59"/>
        <v>1081</v>
      </c>
      <c r="H541" s="632">
        <v>149</v>
      </c>
      <c r="I541" s="632">
        <v>155</v>
      </c>
      <c r="J541" s="629">
        <v>777</v>
      </c>
      <c r="K541" s="632">
        <v>1</v>
      </c>
      <c r="L541" s="632">
        <v>0</v>
      </c>
      <c r="M541" s="632">
        <v>31</v>
      </c>
      <c r="N541" s="632">
        <v>15</v>
      </c>
      <c r="R541" s="283"/>
      <c r="V541" s="283"/>
    </row>
    <row r="542" spans="1:22" s="263" customFormat="1" ht="9" customHeight="1" x14ac:dyDescent="0.25">
      <c r="A542" s="550" t="s">
        <v>44</v>
      </c>
      <c r="B542" s="629">
        <f t="shared" si="57"/>
        <v>501</v>
      </c>
      <c r="C542" s="629"/>
      <c r="D542" s="631">
        <f t="shared" si="58"/>
        <v>493</v>
      </c>
      <c r="E542" s="632">
        <v>79</v>
      </c>
      <c r="F542" s="629"/>
      <c r="G542" s="629">
        <f t="shared" si="59"/>
        <v>395</v>
      </c>
      <c r="H542" s="632">
        <v>71</v>
      </c>
      <c r="I542" s="632">
        <v>60</v>
      </c>
      <c r="J542" s="629">
        <v>264</v>
      </c>
      <c r="K542" s="632">
        <v>4</v>
      </c>
      <c r="L542" s="632">
        <v>1</v>
      </c>
      <c r="M542" s="632">
        <v>14</v>
      </c>
      <c r="N542" s="550">
        <v>8</v>
      </c>
      <c r="R542" s="283"/>
      <c r="V542" s="283"/>
    </row>
    <row r="543" spans="1:22" s="263" customFormat="1" ht="9" customHeight="1" x14ac:dyDescent="0.25">
      <c r="A543" s="603" t="s">
        <v>45</v>
      </c>
      <c r="B543" s="630">
        <f t="shared" si="57"/>
        <v>1199</v>
      </c>
      <c r="C543" s="630"/>
      <c r="D543" s="633">
        <f t="shared" si="58"/>
        <v>1179</v>
      </c>
      <c r="E543" s="634">
        <v>78</v>
      </c>
      <c r="F543" s="630"/>
      <c r="G543" s="630">
        <f t="shared" si="59"/>
        <v>1088</v>
      </c>
      <c r="H543" s="634">
        <v>158</v>
      </c>
      <c r="I543" s="634">
        <v>124</v>
      </c>
      <c r="J543" s="630">
        <v>806</v>
      </c>
      <c r="K543" s="634">
        <v>2</v>
      </c>
      <c r="L543" s="634">
        <v>2</v>
      </c>
      <c r="M543" s="634">
        <v>9</v>
      </c>
      <c r="N543" s="634">
        <v>20</v>
      </c>
      <c r="R543" s="283"/>
      <c r="V543" s="283"/>
    </row>
    <row r="544" spans="1:22" s="263" customFormat="1" ht="9" customHeight="1" x14ac:dyDescent="0.25">
      <c r="A544" s="550" t="s">
        <v>46</v>
      </c>
      <c r="B544" s="629">
        <f t="shared" si="57"/>
        <v>1141</v>
      </c>
      <c r="C544" s="629"/>
      <c r="D544" s="631">
        <f t="shared" si="58"/>
        <v>1141</v>
      </c>
      <c r="E544" s="632">
        <v>120</v>
      </c>
      <c r="F544" s="629"/>
      <c r="G544" s="629">
        <f t="shared" si="59"/>
        <v>1011</v>
      </c>
      <c r="H544" s="632">
        <v>185</v>
      </c>
      <c r="I544" s="632">
        <v>145</v>
      </c>
      <c r="J544" s="629">
        <v>681</v>
      </c>
      <c r="K544" s="632">
        <v>0</v>
      </c>
      <c r="L544" s="632">
        <v>2</v>
      </c>
      <c r="M544" s="632">
        <v>8</v>
      </c>
      <c r="N544" s="632">
        <v>0</v>
      </c>
      <c r="R544" s="283"/>
      <c r="V544" s="283"/>
    </row>
    <row r="545" spans="1:22" s="263" customFormat="1" ht="9" customHeight="1" x14ac:dyDescent="0.25">
      <c r="A545" s="550" t="s">
        <v>47</v>
      </c>
      <c r="B545" s="629">
        <f t="shared" si="57"/>
        <v>1830</v>
      </c>
      <c r="C545" s="629"/>
      <c r="D545" s="631">
        <f t="shared" si="58"/>
        <v>1820</v>
      </c>
      <c r="E545" s="632">
        <v>172</v>
      </c>
      <c r="F545" s="629"/>
      <c r="G545" s="629">
        <f t="shared" si="59"/>
        <v>1629</v>
      </c>
      <c r="H545" s="632">
        <v>326</v>
      </c>
      <c r="I545" s="632">
        <v>179</v>
      </c>
      <c r="J545" s="629">
        <v>1124</v>
      </c>
      <c r="K545" s="632">
        <v>0</v>
      </c>
      <c r="L545" s="632">
        <v>0</v>
      </c>
      <c r="M545" s="632">
        <v>19</v>
      </c>
      <c r="N545" s="632">
        <v>10</v>
      </c>
      <c r="R545" s="283"/>
      <c r="V545" s="283"/>
    </row>
    <row r="546" spans="1:22" s="263" customFormat="1" ht="9" customHeight="1" x14ac:dyDescent="0.25">
      <c r="A546" s="550" t="s">
        <v>48</v>
      </c>
      <c r="B546" s="629">
        <f t="shared" si="57"/>
        <v>589</v>
      </c>
      <c r="C546" s="629"/>
      <c r="D546" s="631">
        <f t="shared" si="58"/>
        <v>587</v>
      </c>
      <c r="E546" s="632">
        <v>111</v>
      </c>
      <c r="F546" s="629"/>
      <c r="G546" s="629">
        <f t="shared" si="59"/>
        <v>470</v>
      </c>
      <c r="H546" s="632">
        <v>74</v>
      </c>
      <c r="I546" s="632">
        <v>62</v>
      </c>
      <c r="J546" s="629">
        <v>334</v>
      </c>
      <c r="K546" s="632">
        <v>0</v>
      </c>
      <c r="L546" s="632">
        <v>0</v>
      </c>
      <c r="M546" s="632">
        <v>6</v>
      </c>
      <c r="N546" s="632">
        <v>2</v>
      </c>
      <c r="R546" s="283"/>
      <c r="V546" s="283"/>
    </row>
    <row r="547" spans="1:22" s="263" customFormat="1" ht="9" customHeight="1" x14ac:dyDescent="0.25">
      <c r="A547" s="603" t="s">
        <v>49</v>
      </c>
      <c r="B547" s="630">
        <f t="shared" si="57"/>
        <v>1328</v>
      </c>
      <c r="C547" s="630"/>
      <c r="D547" s="633">
        <f t="shared" si="58"/>
        <v>1312</v>
      </c>
      <c r="E547" s="634">
        <v>206</v>
      </c>
      <c r="F547" s="630"/>
      <c r="G547" s="630">
        <f t="shared" si="59"/>
        <v>1083</v>
      </c>
      <c r="H547" s="634">
        <v>179</v>
      </c>
      <c r="I547" s="634">
        <v>152</v>
      </c>
      <c r="J547" s="630">
        <v>752</v>
      </c>
      <c r="K547" s="634">
        <v>0</v>
      </c>
      <c r="L547" s="634">
        <v>0</v>
      </c>
      <c r="M547" s="634">
        <v>23</v>
      </c>
      <c r="N547" s="634">
        <v>16</v>
      </c>
      <c r="R547" s="283"/>
      <c r="V547" s="283"/>
    </row>
    <row r="548" spans="1:22" s="263" customFormat="1" ht="9" customHeight="1" x14ac:dyDescent="0.25">
      <c r="A548" s="550" t="s">
        <v>50</v>
      </c>
      <c r="B548" s="629">
        <f t="shared" si="57"/>
        <v>403</v>
      </c>
      <c r="C548" s="629"/>
      <c r="D548" s="631">
        <f t="shared" si="58"/>
        <v>403</v>
      </c>
      <c r="E548" s="632">
        <v>58</v>
      </c>
      <c r="F548" s="629"/>
      <c r="G548" s="629">
        <f t="shared" si="59"/>
        <v>337</v>
      </c>
      <c r="H548" s="632">
        <v>40</v>
      </c>
      <c r="I548" s="632">
        <v>39</v>
      </c>
      <c r="J548" s="629">
        <v>258</v>
      </c>
      <c r="K548" s="632">
        <v>0</v>
      </c>
      <c r="L548" s="632">
        <v>0</v>
      </c>
      <c r="M548" s="632">
        <v>8</v>
      </c>
      <c r="N548" s="632">
        <v>0</v>
      </c>
      <c r="R548" s="283"/>
      <c r="V548" s="283"/>
    </row>
    <row r="549" spans="1:22" s="263" customFormat="1" ht="9" customHeight="1" x14ac:dyDescent="0.25">
      <c r="A549" s="550" t="s">
        <v>51</v>
      </c>
      <c r="B549" s="629">
        <f t="shared" si="57"/>
        <v>1384</v>
      </c>
      <c r="C549" s="629"/>
      <c r="D549" s="631">
        <f t="shared" si="58"/>
        <v>1370</v>
      </c>
      <c r="E549" s="632">
        <v>208</v>
      </c>
      <c r="F549" s="629"/>
      <c r="G549" s="629">
        <f t="shared" si="59"/>
        <v>1126</v>
      </c>
      <c r="H549" s="632">
        <v>187</v>
      </c>
      <c r="I549" s="632">
        <v>156</v>
      </c>
      <c r="J549" s="629">
        <v>783</v>
      </c>
      <c r="K549" s="632">
        <v>10</v>
      </c>
      <c r="L549" s="632">
        <v>6</v>
      </c>
      <c r="M549" s="632">
        <v>20</v>
      </c>
      <c r="N549" s="632">
        <v>14</v>
      </c>
      <c r="R549" s="283"/>
      <c r="V549" s="283"/>
    </row>
    <row r="550" spans="1:22" s="263" customFormat="1" ht="9" customHeight="1" x14ac:dyDescent="0.25">
      <c r="A550" s="550" t="s">
        <v>52</v>
      </c>
      <c r="B550" s="629">
        <f t="shared" si="57"/>
        <v>742</v>
      </c>
      <c r="C550" s="629"/>
      <c r="D550" s="631">
        <f t="shared" si="58"/>
        <v>740</v>
      </c>
      <c r="E550" s="632">
        <v>50</v>
      </c>
      <c r="F550" s="629"/>
      <c r="G550" s="629">
        <f t="shared" si="59"/>
        <v>674</v>
      </c>
      <c r="H550" s="632">
        <v>87</v>
      </c>
      <c r="I550" s="632">
        <v>87</v>
      </c>
      <c r="J550" s="629">
        <v>500</v>
      </c>
      <c r="K550" s="632">
        <v>0</v>
      </c>
      <c r="L550" s="632">
        <v>0</v>
      </c>
      <c r="M550" s="632">
        <v>16</v>
      </c>
      <c r="N550" s="632">
        <v>2</v>
      </c>
      <c r="R550" s="283"/>
      <c r="V550" s="283"/>
    </row>
    <row r="551" spans="1:22" s="263" customFormat="1" ht="9" customHeight="1" x14ac:dyDescent="0.25">
      <c r="A551" s="603" t="s">
        <v>53</v>
      </c>
      <c r="B551" s="630">
        <f t="shared" si="57"/>
        <v>525</v>
      </c>
      <c r="C551" s="630"/>
      <c r="D551" s="633">
        <f t="shared" si="58"/>
        <v>524</v>
      </c>
      <c r="E551" s="634">
        <v>81</v>
      </c>
      <c r="F551" s="630"/>
      <c r="G551" s="630">
        <f t="shared" si="59"/>
        <v>437</v>
      </c>
      <c r="H551" s="634">
        <v>61</v>
      </c>
      <c r="I551" s="634">
        <v>44</v>
      </c>
      <c r="J551" s="630">
        <v>332</v>
      </c>
      <c r="K551" s="634">
        <v>0</v>
      </c>
      <c r="L551" s="634">
        <v>0</v>
      </c>
      <c r="M551" s="634">
        <v>6</v>
      </c>
      <c r="N551" s="634">
        <v>1</v>
      </c>
      <c r="R551" s="283"/>
      <c r="V551" s="283"/>
    </row>
    <row r="552" spans="1:22" ht="8.25" customHeight="1" x14ac:dyDescent="0.25">
      <c r="B552" s="259"/>
      <c r="C552" s="259"/>
      <c r="D552" s="259"/>
      <c r="E552" s="259"/>
      <c r="F552" s="259"/>
      <c r="G552" s="259"/>
      <c r="H552" s="259"/>
      <c r="I552" s="259"/>
      <c r="J552" s="259"/>
      <c r="K552" s="259"/>
      <c r="L552" s="259"/>
    </row>
    <row r="553" spans="1:22" ht="9" customHeight="1" x14ac:dyDescent="0.25">
      <c r="A553" s="601">
        <v>2016</v>
      </c>
      <c r="B553" s="262"/>
      <c r="C553" s="262"/>
      <c r="D553" s="262"/>
      <c r="E553" s="262"/>
      <c r="F553" s="262"/>
      <c r="G553" s="262"/>
      <c r="H553" s="262"/>
      <c r="I553" s="262"/>
      <c r="J553" s="262"/>
      <c r="K553" s="262"/>
      <c r="L553" s="262"/>
      <c r="M553" s="262"/>
      <c r="N553" s="262"/>
      <c r="Q553" s="606"/>
    </row>
    <row r="554" spans="1:22" s="263" customFormat="1" ht="9" customHeight="1" x14ac:dyDescent="0.25">
      <c r="A554" s="265" t="s">
        <v>21</v>
      </c>
      <c r="B554" s="262">
        <f>SUM(B556:B587)</f>
        <v>65036</v>
      </c>
      <c r="C554" s="262"/>
      <c r="D554" s="262">
        <f>SUM(D556:D587)</f>
        <v>64493</v>
      </c>
      <c r="E554" s="262">
        <f>SUM(E556:E587)</f>
        <v>6088</v>
      </c>
      <c r="F554" s="262"/>
      <c r="G554" s="262">
        <f t="shared" ref="G554:I554" si="60">SUM(G556:G587)</f>
        <v>56247</v>
      </c>
      <c r="H554" s="262">
        <f t="shared" si="60"/>
        <v>8791</v>
      </c>
      <c r="I554" s="262">
        <f t="shared" si="60"/>
        <v>6692</v>
      </c>
      <c r="J554" s="262">
        <f>SUM(J556:J587)</f>
        <v>40764</v>
      </c>
      <c r="K554" s="262">
        <f t="shared" ref="K554:M554" si="61">SUM(K556:K587)</f>
        <v>324</v>
      </c>
      <c r="L554" s="262">
        <f t="shared" si="61"/>
        <v>1008</v>
      </c>
      <c r="M554" s="262">
        <f t="shared" si="61"/>
        <v>826</v>
      </c>
      <c r="N554" s="262">
        <f>SUM(N556:N587)</f>
        <v>543</v>
      </c>
      <c r="V554" s="282"/>
    </row>
    <row r="555" spans="1:22" s="263" customFormat="1" ht="2.1" customHeight="1" x14ac:dyDescent="0.25">
      <c r="A555" s="265"/>
      <c r="B555" s="262"/>
      <c r="C555" s="262"/>
      <c r="D555" s="262"/>
      <c r="E555" s="262"/>
      <c r="F555" s="262"/>
      <c r="G555" s="262"/>
      <c r="H555" s="262"/>
      <c r="I555" s="262"/>
      <c r="J555" s="262"/>
      <c r="K555" s="262"/>
      <c r="L555" s="262"/>
      <c r="M555" s="262"/>
      <c r="N555" s="262"/>
      <c r="V555" s="283"/>
    </row>
    <row r="556" spans="1:22" s="263" customFormat="1" ht="9" customHeight="1" x14ac:dyDescent="0.25">
      <c r="A556" s="550" t="s">
        <v>23</v>
      </c>
      <c r="B556" s="629">
        <f>SUM(D556+N556)</f>
        <v>255</v>
      </c>
      <c r="C556" s="629"/>
      <c r="D556" s="631">
        <f>SUM(E556+G556+K556+L556+M556)</f>
        <v>249</v>
      </c>
      <c r="E556" s="632">
        <v>34</v>
      </c>
      <c r="F556" s="629"/>
      <c r="G556" s="629">
        <f>SUM(H556:J556)</f>
        <v>214</v>
      </c>
      <c r="H556" s="632">
        <v>29</v>
      </c>
      <c r="I556" s="632">
        <v>22</v>
      </c>
      <c r="J556" s="629">
        <v>163</v>
      </c>
      <c r="K556" s="632">
        <v>1</v>
      </c>
      <c r="L556" s="632">
        <v>0</v>
      </c>
      <c r="M556" s="632">
        <v>0</v>
      </c>
      <c r="N556" s="632">
        <v>6</v>
      </c>
      <c r="R556" s="283"/>
      <c r="V556" s="283"/>
    </row>
    <row r="557" spans="1:22" s="263" customFormat="1" ht="9" customHeight="1" x14ac:dyDescent="0.25">
      <c r="A557" s="550" t="s">
        <v>24</v>
      </c>
      <c r="B557" s="629">
        <f>SUM(D557+N557)</f>
        <v>2595</v>
      </c>
      <c r="C557" s="629"/>
      <c r="D557" s="631">
        <f>SUM(E557+G557+K557+L557+M557)</f>
        <v>2569</v>
      </c>
      <c r="E557" s="629">
        <v>450</v>
      </c>
      <c r="F557" s="629"/>
      <c r="G557" s="629">
        <f>SUM(H557:J557)</f>
        <v>2033</v>
      </c>
      <c r="H557" s="629">
        <v>303</v>
      </c>
      <c r="I557" s="629">
        <v>249</v>
      </c>
      <c r="J557" s="629">
        <v>1481</v>
      </c>
      <c r="K557" s="629">
        <v>5</v>
      </c>
      <c r="L557" s="629">
        <v>8</v>
      </c>
      <c r="M557" s="629">
        <v>73</v>
      </c>
      <c r="N557" s="629">
        <v>26</v>
      </c>
      <c r="R557" s="283"/>
      <c r="V557" s="283"/>
    </row>
    <row r="558" spans="1:22" s="263" customFormat="1" ht="9" customHeight="1" x14ac:dyDescent="0.25">
      <c r="A558" s="550" t="s">
        <v>25</v>
      </c>
      <c r="B558" s="629">
        <f>SUM(D558+N558)</f>
        <v>250</v>
      </c>
      <c r="C558" s="629"/>
      <c r="D558" s="631">
        <f>SUM(E558+G558+K558+L558+M558)</f>
        <v>250</v>
      </c>
      <c r="E558" s="629">
        <v>41</v>
      </c>
      <c r="F558" s="629"/>
      <c r="G558" s="629">
        <f>SUM(H558:J558)</f>
        <v>204</v>
      </c>
      <c r="H558" s="629">
        <v>28</v>
      </c>
      <c r="I558" s="629">
        <v>29</v>
      </c>
      <c r="J558" s="629">
        <v>147</v>
      </c>
      <c r="K558" s="629">
        <v>0</v>
      </c>
      <c r="L558" s="629">
        <v>0</v>
      </c>
      <c r="M558" s="629">
        <v>5</v>
      </c>
      <c r="N558" s="629">
        <v>0</v>
      </c>
      <c r="R558" s="283"/>
      <c r="V558" s="283"/>
    </row>
    <row r="559" spans="1:22" s="263" customFormat="1" ht="9" customHeight="1" x14ac:dyDescent="0.25">
      <c r="A559" s="603" t="s">
        <v>26</v>
      </c>
      <c r="B559" s="630">
        <f>SUM(D559+N559)</f>
        <v>217</v>
      </c>
      <c r="C559" s="630"/>
      <c r="D559" s="633">
        <f>SUM(E559+G559+K559+L559+M559)</f>
        <v>215</v>
      </c>
      <c r="E559" s="634">
        <v>14</v>
      </c>
      <c r="F559" s="630"/>
      <c r="G559" s="630">
        <f>SUM(H559:J559)</f>
        <v>196</v>
      </c>
      <c r="H559" s="634">
        <v>41</v>
      </c>
      <c r="I559" s="634">
        <v>33</v>
      </c>
      <c r="J559" s="630">
        <v>122</v>
      </c>
      <c r="K559" s="634">
        <v>0</v>
      </c>
      <c r="L559" s="634">
        <v>0</v>
      </c>
      <c r="M559" s="634">
        <v>5</v>
      </c>
      <c r="N559" s="634">
        <v>2</v>
      </c>
      <c r="R559" s="283"/>
      <c r="V559" s="283"/>
    </row>
    <row r="560" spans="1:22" s="263" customFormat="1" ht="9" customHeight="1" x14ac:dyDescent="0.25">
      <c r="A560" s="550" t="s">
        <v>27</v>
      </c>
      <c r="B560" s="629">
        <f t="shared" ref="B560:B587" si="62">SUM(D560+N560)</f>
        <v>1209</v>
      </c>
      <c r="C560" s="629"/>
      <c r="D560" s="631">
        <f t="shared" ref="D560:D587" si="63">SUM(E560+G560+K560+L560+M560)</f>
        <v>1198</v>
      </c>
      <c r="E560" s="632">
        <v>89</v>
      </c>
      <c r="F560" s="629"/>
      <c r="G560" s="629">
        <f t="shared" ref="G560:G587" si="64">SUM(H560:J560)</f>
        <v>1085</v>
      </c>
      <c r="H560" s="632">
        <v>179</v>
      </c>
      <c r="I560" s="632">
        <v>125</v>
      </c>
      <c r="J560" s="629">
        <v>781</v>
      </c>
      <c r="K560" s="632">
        <v>2</v>
      </c>
      <c r="L560" s="632">
        <v>5</v>
      </c>
      <c r="M560" s="632">
        <v>17</v>
      </c>
      <c r="N560" s="632">
        <v>11</v>
      </c>
      <c r="R560" s="283"/>
      <c r="V560" s="283"/>
    </row>
    <row r="561" spans="1:22" s="263" customFormat="1" ht="9" customHeight="1" x14ac:dyDescent="0.25">
      <c r="A561" s="550" t="s">
        <v>28</v>
      </c>
      <c r="B561" s="629">
        <f t="shared" si="62"/>
        <v>332</v>
      </c>
      <c r="C561" s="629"/>
      <c r="D561" s="631">
        <f t="shared" si="63"/>
        <v>332</v>
      </c>
      <c r="E561" s="632">
        <v>28</v>
      </c>
      <c r="F561" s="629"/>
      <c r="G561" s="629">
        <f t="shared" si="64"/>
        <v>300</v>
      </c>
      <c r="H561" s="632">
        <v>31</v>
      </c>
      <c r="I561" s="632">
        <v>28</v>
      </c>
      <c r="J561" s="629">
        <v>241</v>
      </c>
      <c r="K561" s="632">
        <v>1</v>
      </c>
      <c r="L561" s="632">
        <v>0</v>
      </c>
      <c r="M561" s="632">
        <v>3</v>
      </c>
      <c r="N561" s="632">
        <v>0</v>
      </c>
      <c r="R561" s="283"/>
      <c r="V561" s="283"/>
    </row>
    <row r="562" spans="1:22" s="263" customFormat="1" ht="9" customHeight="1" x14ac:dyDescent="0.25">
      <c r="A562" s="550" t="s">
        <v>29</v>
      </c>
      <c r="B562" s="629">
        <f t="shared" si="62"/>
        <v>674</v>
      </c>
      <c r="C562" s="629"/>
      <c r="D562" s="631">
        <f t="shared" si="63"/>
        <v>657</v>
      </c>
      <c r="E562" s="632">
        <v>129</v>
      </c>
      <c r="F562" s="629"/>
      <c r="G562" s="629">
        <f t="shared" si="64"/>
        <v>524</v>
      </c>
      <c r="H562" s="632">
        <v>99</v>
      </c>
      <c r="I562" s="632">
        <v>81</v>
      </c>
      <c r="J562" s="629">
        <v>344</v>
      </c>
      <c r="K562" s="632">
        <v>0</v>
      </c>
      <c r="L562" s="632">
        <v>0</v>
      </c>
      <c r="M562" s="632">
        <v>4</v>
      </c>
      <c r="N562" s="632">
        <v>17</v>
      </c>
      <c r="R562" s="283"/>
      <c r="V562" s="283"/>
    </row>
    <row r="563" spans="1:22" s="263" customFormat="1" ht="9" customHeight="1" x14ac:dyDescent="0.25">
      <c r="A563" s="603" t="s">
        <v>30</v>
      </c>
      <c r="B563" s="630">
        <f t="shared" si="62"/>
        <v>2770</v>
      </c>
      <c r="C563" s="630"/>
      <c r="D563" s="633">
        <f t="shared" si="63"/>
        <v>2688</v>
      </c>
      <c r="E563" s="634">
        <v>184</v>
      </c>
      <c r="F563" s="630"/>
      <c r="G563" s="630">
        <f t="shared" si="64"/>
        <v>2362</v>
      </c>
      <c r="H563" s="634">
        <v>354</v>
      </c>
      <c r="I563" s="634">
        <v>232</v>
      </c>
      <c r="J563" s="630">
        <v>1776</v>
      </c>
      <c r="K563" s="634">
        <v>52</v>
      </c>
      <c r="L563" s="634">
        <v>50</v>
      </c>
      <c r="M563" s="634">
        <v>40</v>
      </c>
      <c r="N563" s="634">
        <v>82</v>
      </c>
      <c r="R563" s="283"/>
      <c r="V563" s="283"/>
    </row>
    <row r="564" spans="1:22" s="263" customFormat="1" ht="9" customHeight="1" x14ac:dyDescent="0.25">
      <c r="A564" s="550" t="s">
        <v>63</v>
      </c>
      <c r="B564" s="629">
        <f t="shared" si="62"/>
        <v>4225</v>
      </c>
      <c r="C564" s="629"/>
      <c r="D564" s="631">
        <f t="shared" si="63"/>
        <v>4152</v>
      </c>
      <c r="E564" s="632">
        <v>469</v>
      </c>
      <c r="F564" s="629"/>
      <c r="G564" s="629">
        <f t="shared" si="64"/>
        <v>3383</v>
      </c>
      <c r="H564" s="632">
        <v>472</v>
      </c>
      <c r="I564" s="632">
        <v>333</v>
      </c>
      <c r="J564" s="629">
        <v>2578</v>
      </c>
      <c r="K564" s="632">
        <v>14</v>
      </c>
      <c r="L564" s="632">
        <v>213</v>
      </c>
      <c r="M564" s="632">
        <v>73</v>
      </c>
      <c r="N564" s="632">
        <v>73</v>
      </c>
      <c r="R564" s="283"/>
      <c r="V564" s="283"/>
    </row>
    <row r="565" spans="1:22" s="263" customFormat="1" ht="9" customHeight="1" x14ac:dyDescent="0.25">
      <c r="A565" s="550" t="s">
        <v>31</v>
      </c>
      <c r="B565" s="629">
        <f t="shared" si="62"/>
        <v>358</v>
      </c>
      <c r="C565" s="629"/>
      <c r="D565" s="631">
        <f t="shared" si="63"/>
        <v>358</v>
      </c>
      <c r="E565" s="632">
        <v>24</v>
      </c>
      <c r="F565" s="629"/>
      <c r="G565" s="629">
        <f t="shared" si="64"/>
        <v>329</v>
      </c>
      <c r="H565" s="632">
        <v>35</v>
      </c>
      <c r="I565" s="632">
        <v>45</v>
      </c>
      <c r="J565" s="629">
        <v>249</v>
      </c>
      <c r="K565" s="632">
        <v>2</v>
      </c>
      <c r="L565" s="632">
        <v>0</v>
      </c>
      <c r="M565" s="632">
        <v>3</v>
      </c>
      <c r="N565" s="632">
        <v>0</v>
      </c>
      <c r="R565" s="283"/>
      <c r="V565" s="283"/>
    </row>
    <row r="566" spans="1:22" s="263" customFormat="1" ht="9" customHeight="1" x14ac:dyDescent="0.25">
      <c r="A566" s="550" t="s">
        <v>32</v>
      </c>
      <c r="B566" s="629">
        <f t="shared" si="62"/>
        <v>2954</v>
      </c>
      <c r="C566" s="629"/>
      <c r="D566" s="631">
        <f t="shared" si="63"/>
        <v>2938</v>
      </c>
      <c r="E566" s="632">
        <v>416</v>
      </c>
      <c r="F566" s="629"/>
      <c r="G566" s="629">
        <f t="shared" si="64"/>
        <v>2440</v>
      </c>
      <c r="H566" s="632">
        <v>349</v>
      </c>
      <c r="I566" s="632">
        <v>337</v>
      </c>
      <c r="J566" s="629">
        <v>1754</v>
      </c>
      <c r="K566" s="632">
        <v>8</v>
      </c>
      <c r="L566" s="632">
        <v>12</v>
      </c>
      <c r="M566" s="632">
        <v>62</v>
      </c>
      <c r="N566" s="632">
        <v>16</v>
      </c>
      <c r="R566" s="283"/>
      <c r="V566" s="283"/>
    </row>
    <row r="567" spans="1:22" s="263" customFormat="1" ht="9" customHeight="1" x14ac:dyDescent="0.25">
      <c r="A567" s="603" t="s">
        <v>33</v>
      </c>
      <c r="B567" s="630">
        <f t="shared" si="62"/>
        <v>899</v>
      </c>
      <c r="C567" s="630"/>
      <c r="D567" s="633">
        <f t="shared" si="63"/>
        <v>894</v>
      </c>
      <c r="E567" s="634">
        <v>132</v>
      </c>
      <c r="F567" s="630"/>
      <c r="G567" s="630">
        <f t="shared" si="64"/>
        <v>736</v>
      </c>
      <c r="H567" s="634">
        <v>131</v>
      </c>
      <c r="I567" s="634">
        <v>106</v>
      </c>
      <c r="J567" s="630">
        <v>499</v>
      </c>
      <c r="K567" s="634">
        <v>2</v>
      </c>
      <c r="L567" s="634">
        <v>2</v>
      </c>
      <c r="M567" s="634">
        <v>22</v>
      </c>
      <c r="N567" s="634">
        <v>5</v>
      </c>
      <c r="R567" s="283"/>
      <c r="V567" s="283"/>
    </row>
    <row r="568" spans="1:22" s="263" customFormat="1" ht="9" customHeight="1" x14ac:dyDescent="0.25">
      <c r="A568" s="550" t="s">
        <v>34</v>
      </c>
      <c r="B568" s="629">
        <f t="shared" si="62"/>
        <v>1138</v>
      </c>
      <c r="C568" s="629"/>
      <c r="D568" s="631">
        <f t="shared" si="63"/>
        <v>1134</v>
      </c>
      <c r="E568" s="632">
        <v>209</v>
      </c>
      <c r="F568" s="629"/>
      <c r="G568" s="629">
        <f t="shared" si="64"/>
        <v>887</v>
      </c>
      <c r="H568" s="632">
        <v>141</v>
      </c>
      <c r="I568" s="632">
        <v>127</v>
      </c>
      <c r="J568" s="629">
        <v>619</v>
      </c>
      <c r="K568" s="632">
        <v>2</v>
      </c>
      <c r="L568" s="632">
        <v>1</v>
      </c>
      <c r="M568" s="632">
        <v>35</v>
      </c>
      <c r="N568" s="632">
        <v>4</v>
      </c>
      <c r="R568" s="283"/>
      <c r="V568" s="283"/>
    </row>
    <row r="569" spans="1:22" s="263" customFormat="1" ht="9" customHeight="1" x14ac:dyDescent="0.25">
      <c r="A569" s="550" t="s">
        <v>35</v>
      </c>
      <c r="B569" s="629">
        <f t="shared" si="62"/>
        <v>8190</v>
      </c>
      <c r="C569" s="629"/>
      <c r="D569" s="631">
        <f t="shared" si="63"/>
        <v>8138</v>
      </c>
      <c r="E569" s="632">
        <v>545</v>
      </c>
      <c r="F569" s="629"/>
      <c r="G569" s="629">
        <f t="shared" si="64"/>
        <v>7525</v>
      </c>
      <c r="H569" s="632">
        <v>1116</v>
      </c>
      <c r="I569" s="632">
        <v>593</v>
      </c>
      <c r="J569" s="629">
        <v>5816</v>
      </c>
      <c r="K569" s="632">
        <v>6</v>
      </c>
      <c r="L569" s="632">
        <v>35</v>
      </c>
      <c r="M569" s="632">
        <v>27</v>
      </c>
      <c r="N569" s="632">
        <v>52</v>
      </c>
      <c r="R569" s="283"/>
      <c r="V569" s="283"/>
    </row>
    <row r="570" spans="1:22" s="263" customFormat="1" ht="9" customHeight="1" x14ac:dyDescent="0.25">
      <c r="A570" s="550" t="s">
        <v>36</v>
      </c>
      <c r="B570" s="629">
        <f t="shared" si="62"/>
        <v>6143</v>
      </c>
      <c r="C570" s="629"/>
      <c r="D570" s="631">
        <f t="shared" si="63"/>
        <v>6091</v>
      </c>
      <c r="E570" s="632">
        <v>756</v>
      </c>
      <c r="F570" s="629"/>
      <c r="G570" s="629">
        <f t="shared" si="64"/>
        <v>5170</v>
      </c>
      <c r="H570" s="632">
        <v>756</v>
      </c>
      <c r="I570" s="632">
        <v>618</v>
      </c>
      <c r="J570" s="629">
        <v>3796</v>
      </c>
      <c r="K570" s="632">
        <v>17</v>
      </c>
      <c r="L570" s="632">
        <v>10</v>
      </c>
      <c r="M570" s="632">
        <v>138</v>
      </c>
      <c r="N570" s="632">
        <v>52</v>
      </c>
      <c r="R570" s="283"/>
      <c r="V570" s="283"/>
    </row>
    <row r="571" spans="1:22" s="263" customFormat="1" ht="9" customHeight="1" x14ac:dyDescent="0.25">
      <c r="A571" s="603" t="s">
        <v>37</v>
      </c>
      <c r="B571" s="630">
        <f t="shared" si="62"/>
        <v>1893</v>
      </c>
      <c r="C571" s="630"/>
      <c r="D571" s="633">
        <f t="shared" si="63"/>
        <v>1891</v>
      </c>
      <c r="E571" s="634">
        <v>412</v>
      </c>
      <c r="F571" s="630"/>
      <c r="G571" s="630">
        <f t="shared" si="64"/>
        <v>1427</v>
      </c>
      <c r="H571" s="634">
        <v>238</v>
      </c>
      <c r="I571" s="634">
        <v>197</v>
      </c>
      <c r="J571" s="630">
        <v>992</v>
      </c>
      <c r="K571" s="634">
        <v>8</v>
      </c>
      <c r="L571" s="634">
        <v>35</v>
      </c>
      <c r="M571" s="634">
        <v>9</v>
      </c>
      <c r="N571" s="634">
        <v>2</v>
      </c>
      <c r="R571" s="283"/>
      <c r="V571" s="283"/>
    </row>
    <row r="572" spans="1:22" s="263" customFormat="1" ht="9" customHeight="1" x14ac:dyDescent="0.25">
      <c r="A572" s="550" t="s">
        <v>38</v>
      </c>
      <c r="B572" s="629">
        <f t="shared" si="62"/>
        <v>534</v>
      </c>
      <c r="C572" s="629"/>
      <c r="D572" s="631">
        <f t="shared" si="63"/>
        <v>523</v>
      </c>
      <c r="E572" s="632">
        <v>80</v>
      </c>
      <c r="F572" s="629"/>
      <c r="G572" s="629">
        <f t="shared" si="64"/>
        <v>442</v>
      </c>
      <c r="H572" s="632">
        <v>63</v>
      </c>
      <c r="I572" s="632">
        <v>48</v>
      </c>
      <c r="J572" s="629">
        <v>331</v>
      </c>
      <c r="K572" s="632">
        <v>0</v>
      </c>
      <c r="L572" s="632">
        <v>0</v>
      </c>
      <c r="M572" s="632">
        <v>1</v>
      </c>
      <c r="N572" s="632">
        <v>11</v>
      </c>
      <c r="R572" s="283"/>
      <c r="V572" s="283"/>
    </row>
    <row r="573" spans="1:22" s="263" customFormat="1" ht="9" customHeight="1" x14ac:dyDescent="0.25">
      <c r="A573" s="550" t="s">
        <v>39</v>
      </c>
      <c r="B573" s="629">
        <f t="shared" si="62"/>
        <v>80</v>
      </c>
      <c r="C573" s="629"/>
      <c r="D573" s="631">
        <f t="shared" si="63"/>
        <v>79</v>
      </c>
      <c r="E573" s="632">
        <v>16</v>
      </c>
      <c r="F573" s="629"/>
      <c r="G573" s="629">
        <f t="shared" si="64"/>
        <v>63</v>
      </c>
      <c r="H573" s="632">
        <v>14</v>
      </c>
      <c r="I573" s="632">
        <v>8</v>
      </c>
      <c r="J573" s="629">
        <v>41</v>
      </c>
      <c r="K573" s="632">
        <v>0</v>
      </c>
      <c r="L573" s="632">
        <v>0</v>
      </c>
      <c r="M573" s="632">
        <v>0</v>
      </c>
      <c r="N573" s="632">
        <v>1</v>
      </c>
      <c r="R573" s="283"/>
      <c r="V573" s="283"/>
    </row>
    <row r="574" spans="1:22" s="263" customFormat="1" ht="9" customHeight="1" x14ac:dyDescent="0.25">
      <c r="A574" s="550" t="s">
        <v>40</v>
      </c>
      <c r="B574" s="629">
        <f t="shared" si="62"/>
        <v>16224</v>
      </c>
      <c r="C574" s="629"/>
      <c r="D574" s="631">
        <f t="shared" si="63"/>
        <v>16142</v>
      </c>
      <c r="E574" s="632">
        <v>237</v>
      </c>
      <c r="F574" s="629"/>
      <c r="G574" s="629">
        <f t="shared" si="64"/>
        <v>15017</v>
      </c>
      <c r="H574" s="632">
        <v>2533</v>
      </c>
      <c r="I574" s="632">
        <v>1962</v>
      </c>
      <c r="J574" s="629">
        <v>10522</v>
      </c>
      <c r="K574" s="632">
        <v>183</v>
      </c>
      <c r="L574" s="632">
        <v>612</v>
      </c>
      <c r="M574" s="632">
        <v>93</v>
      </c>
      <c r="N574" s="632">
        <v>82</v>
      </c>
      <c r="R574" s="283"/>
      <c r="V574" s="283"/>
    </row>
    <row r="575" spans="1:22" s="263" customFormat="1" ht="9" customHeight="1" x14ac:dyDescent="0.25">
      <c r="A575" s="603" t="s">
        <v>41</v>
      </c>
      <c r="B575" s="630">
        <f t="shared" si="62"/>
        <v>1061</v>
      </c>
      <c r="C575" s="630"/>
      <c r="D575" s="633">
        <f t="shared" si="63"/>
        <v>1057</v>
      </c>
      <c r="E575" s="634">
        <v>214</v>
      </c>
      <c r="F575" s="630"/>
      <c r="G575" s="630">
        <f t="shared" si="64"/>
        <v>821</v>
      </c>
      <c r="H575" s="634">
        <v>121</v>
      </c>
      <c r="I575" s="634">
        <v>111</v>
      </c>
      <c r="J575" s="630">
        <v>589</v>
      </c>
      <c r="K575" s="634">
        <v>2</v>
      </c>
      <c r="L575" s="634">
        <v>0</v>
      </c>
      <c r="M575" s="634">
        <v>20</v>
      </c>
      <c r="N575" s="634">
        <v>4</v>
      </c>
      <c r="R575" s="283"/>
      <c r="V575" s="283"/>
    </row>
    <row r="576" spans="1:22" s="263" customFormat="1" ht="9" customHeight="1" x14ac:dyDescent="0.25">
      <c r="A576" s="550" t="s">
        <v>42</v>
      </c>
      <c r="B576" s="629">
        <f t="shared" si="62"/>
        <v>2267</v>
      </c>
      <c r="C576" s="629"/>
      <c r="D576" s="631">
        <f t="shared" si="63"/>
        <v>2246</v>
      </c>
      <c r="E576" s="632">
        <v>286</v>
      </c>
      <c r="F576" s="629"/>
      <c r="G576" s="629">
        <f t="shared" si="64"/>
        <v>1916</v>
      </c>
      <c r="H576" s="632">
        <v>239</v>
      </c>
      <c r="I576" s="632">
        <v>248</v>
      </c>
      <c r="J576" s="629">
        <v>1429</v>
      </c>
      <c r="K576" s="632">
        <v>2</v>
      </c>
      <c r="L576" s="632">
        <v>16</v>
      </c>
      <c r="M576" s="632">
        <v>26</v>
      </c>
      <c r="N576" s="632">
        <v>21</v>
      </c>
      <c r="R576" s="283"/>
      <c r="V576" s="283"/>
    </row>
    <row r="577" spans="1:22" s="263" customFormat="1" ht="9" customHeight="1" x14ac:dyDescent="0.25">
      <c r="A577" s="550" t="s">
        <v>43</v>
      </c>
      <c r="B577" s="629">
        <f t="shared" si="62"/>
        <v>1370</v>
      </c>
      <c r="C577" s="629"/>
      <c r="D577" s="631">
        <f t="shared" si="63"/>
        <v>1360</v>
      </c>
      <c r="E577" s="632">
        <v>179</v>
      </c>
      <c r="F577" s="629"/>
      <c r="G577" s="629">
        <f t="shared" si="64"/>
        <v>1135</v>
      </c>
      <c r="H577" s="632">
        <v>169</v>
      </c>
      <c r="I577" s="632">
        <v>154</v>
      </c>
      <c r="J577" s="629">
        <v>812</v>
      </c>
      <c r="K577" s="632">
        <v>0</v>
      </c>
      <c r="L577" s="632">
        <v>0</v>
      </c>
      <c r="M577" s="632">
        <v>46</v>
      </c>
      <c r="N577" s="632">
        <v>10</v>
      </c>
      <c r="R577" s="283"/>
      <c r="V577" s="283"/>
    </row>
    <row r="578" spans="1:22" s="263" customFormat="1" ht="9" customHeight="1" x14ac:dyDescent="0.25">
      <c r="A578" s="550" t="s">
        <v>44</v>
      </c>
      <c r="B578" s="629">
        <f t="shared" si="62"/>
        <v>392</v>
      </c>
      <c r="C578" s="629"/>
      <c r="D578" s="631">
        <f t="shared" si="63"/>
        <v>384</v>
      </c>
      <c r="E578" s="632">
        <v>65</v>
      </c>
      <c r="F578" s="629"/>
      <c r="G578" s="629">
        <f t="shared" si="64"/>
        <v>301</v>
      </c>
      <c r="H578" s="632">
        <v>54</v>
      </c>
      <c r="I578" s="632">
        <v>49</v>
      </c>
      <c r="J578" s="629">
        <v>198</v>
      </c>
      <c r="K578" s="632">
        <v>2</v>
      </c>
      <c r="L578" s="632">
        <v>0</v>
      </c>
      <c r="M578" s="632">
        <v>16</v>
      </c>
      <c r="N578" s="550">
        <v>8</v>
      </c>
      <c r="R578" s="283"/>
      <c r="V578" s="283"/>
    </row>
    <row r="579" spans="1:22" s="263" customFormat="1" ht="9" customHeight="1" x14ac:dyDescent="0.25">
      <c r="A579" s="603" t="s">
        <v>45</v>
      </c>
      <c r="B579" s="630">
        <f t="shared" si="62"/>
        <v>1206</v>
      </c>
      <c r="C579" s="630"/>
      <c r="D579" s="633">
        <f t="shared" si="63"/>
        <v>1178</v>
      </c>
      <c r="E579" s="634">
        <v>83</v>
      </c>
      <c r="F579" s="630"/>
      <c r="G579" s="630">
        <f t="shared" si="64"/>
        <v>1084</v>
      </c>
      <c r="H579" s="634">
        <v>180</v>
      </c>
      <c r="I579" s="634">
        <v>125</v>
      </c>
      <c r="J579" s="630">
        <v>779</v>
      </c>
      <c r="K579" s="634">
        <v>0</v>
      </c>
      <c r="L579" s="634">
        <v>2</v>
      </c>
      <c r="M579" s="634">
        <v>9</v>
      </c>
      <c r="N579" s="634">
        <v>28</v>
      </c>
      <c r="R579" s="283"/>
      <c r="V579" s="283"/>
    </row>
    <row r="580" spans="1:22" s="263" customFormat="1" ht="9" customHeight="1" x14ac:dyDescent="0.25">
      <c r="A580" s="550" t="s">
        <v>46</v>
      </c>
      <c r="B580" s="629">
        <f t="shared" si="62"/>
        <v>1280</v>
      </c>
      <c r="C580" s="629"/>
      <c r="D580" s="631">
        <f t="shared" si="63"/>
        <v>1279</v>
      </c>
      <c r="E580" s="632">
        <v>127</v>
      </c>
      <c r="F580" s="629"/>
      <c r="G580" s="629">
        <f t="shared" si="64"/>
        <v>1137</v>
      </c>
      <c r="H580" s="632">
        <v>209</v>
      </c>
      <c r="I580" s="632">
        <v>153</v>
      </c>
      <c r="J580" s="629">
        <v>775</v>
      </c>
      <c r="K580" s="632">
        <v>6</v>
      </c>
      <c r="L580" s="632">
        <v>0</v>
      </c>
      <c r="M580" s="632">
        <v>9</v>
      </c>
      <c r="N580" s="632">
        <v>1</v>
      </c>
      <c r="R580" s="283"/>
      <c r="V580" s="283"/>
    </row>
    <row r="581" spans="1:22" s="263" customFormat="1" ht="9" customHeight="1" x14ac:dyDescent="0.25">
      <c r="A581" s="550" t="s">
        <v>47</v>
      </c>
      <c r="B581" s="629">
        <f t="shared" si="62"/>
        <v>1738</v>
      </c>
      <c r="C581" s="629"/>
      <c r="D581" s="631">
        <f t="shared" si="63"/>
        <v>1729</v>
      </c>
      <c r="E581" s="632">
        <v>161</v>
      </c>
      <c r="F581" s="629"/>
      <c r="G581" s="629">
        <f t="shared" si="64"/>
        <v>1549</v>
      </c>
      <c r="H581" s="632">
        <v>309</v>
      </c>
      <c r="I581" s="632">
        <v>167</v>
      </c>
      <c r="J581" s="629">
        <v>1073</v>
      </c>
      <c r="K581" s="632">
        <v>0</v>
      </c>
      <c r="L581" s="632">
        <v>0</v>
      </c>
      <c r="M581" s="632">
        <v>19</v>
      </c>
      <c r="N581" s="632">
        <v>9</v>
      </c>
      <c r="R581" s="283"/>
      <c r="V581" s="283"/>
    </row>
    <row r="582" spans="1:22" s="263" customFormat="1" ht="9" customHeight="1" x14ac:dyDescent="0.25">
      <c r="A582" s="550" t="s">
        <v>48</v>
      </c>
      <c r="B582" s="629">
        <f t="shared" si="62"/>
        <v>462</v>
      </c>
      <c r="C582" s="629"/>
      <c r="D582" s="631">
        <f t="shared" si="63"/>
        <v>461</v>
      </c>
      <c r="E582" s="632">
        <v>82</v>
      </c>
      <c r="F582" s="629"/>
      <c r="G582" s="629">
        <f t="shared" si="64"/>
        <v>373</v>
      </c>
      <c r="H582" s="632">
        <v>56</v>
      </c>
      <c r="I582" s="632">
        <v>52</v>
      </c>
      <c r="J582" s="629">
        <v>265</v>
      </c>
      <c r="K582" s="632">
        <v>0</v>
      </c>
      <c r="L582" s="632">
        <v>0</v>
      </c>
      <c r="M582" s="632">
        <v>6</v>
      </c>
      <c r="N582" s="632">
        <v>1</v>
      </c>
      <c r="R582" s="283"/>
      <c r="V582" s="283"/>
    </row>
    <row r="583" spans="1:22" s="263" customFormat="1" ht="9" customHeight="1" x14ac:dyDescent="0.25">
      <c r="A583" s="603" t="s">
        <v>49</v>
      </c>
      <c r="B583" s="630">
        <f t="shared" si="62"/>
        <v>1298</v>
      </c>
      <c r="C583" s="630"/>
      <c r="D583" s="633">
        <f t="shared" si="63"/>
        <v>1291</v>
      </c>
      <c r="E583" s="634">
        <v>237</v>
      </c>
      <c r="F583" s="630"/>
      <c r="G583" s="630">
        <f t="shared" si="64"/>
        <v>1032</v>
      </c>
      <c r="H583" s="634">
        <v>170</v>
      </c>
      <c r="I583" s="634">
        <v>143</v>
      </c>
      <c r="J583" s="630">
        <v>719</v>
      </c>
      <c r="K583" s="634">
        <v>3</v>
      </c>
      <c r="L583" s="634">
        <v>0</v>
      </c>
      <c r="M583" s="634">
        <v>19</v>
      </c>
      <c r="N583" s="634">
        <v>7</v>
      </c>
      <c r="R583" s="283"/>
      <c r="V583" s="283"/>
    </row>
    <row r="584" spans="1:22" s="263" customFormat="1" ht="9" customHeight="1" x14ac:dyDescent="0.25">
      <c r="A584" s="550" t="s">
        <v>50</v>
      </c>
      <c r="B584" s="629">
        <f t="shared" si="62"/>
        <v>371</v>
      </c>
      <c r="C584" s="629"/>
      <c r="D584" s="631">
        <f t="shared" si="63"/>
        <v>371</v>
      </c>
      <c r="E584" s="632">
        <v>58</v>
      </c>
      <c r="F584" s="629"/>
      <c r="G584" s="629">
        <f t="shared" si="64"/>
        <v>308</v>
      </c>
      <c r="H584" s="632">
        <v>37</v>
      </c>
      <c r="I584" s="632">
        <v>34</v>
      </c>
      <c r="J584" s="629">
        <v>237</v>
      </c>
      <c r="K584" s="632">
        <v>0</v>
      </c>
      <c r="L584" s="632">
        <v>0</v>
      </c>
      <c r="M584" s="632">
        <v>5</v>
      </c>
      <c r="N584" s="632">
        <v>0</v>
      </c>
      <c r="R584" s="283"/>
      <c r="V584" s="283"/>
    </row>
    <row r="585" spans="1:22" s="263" customFormat="1" ht="9" customHeight="1" x14ac:dyDescent="0.25">
      <c r="A585" s="550" t="s">
        <v>51</v>
      </c>
      <c r="B585" s="629">
        <f t="shared" si="62"/>
        <v>1293</v>
      </c>
      <c r="C585" s="629"/>
      <c r="D585" s="631">
        <f t="shared" si="63"/>
        <v>1284</v>
      </c>
      <c r="E585" s="632">
        <v>189</v>
      </c>
      <c r="F585" s="629"/>
      <c r="G585" s="629">
        <f t="shared" si="64"/>
        <v>1064</v>
      </c>
      <c r="H585" s="632">
        <v>178</v>
      </c>
      <c r="I585" s="632">
        <v>138</v>
      </c>
      <c r="J585" s="629">
        <v>748</v>
      </c>
      <c r="K585" s="632">
        <v>6</v>
      </c>
      <c r="L585" s="632">
        <v>6</v>
      </c>
      <c r="M585" s="632">
        <v>19</v>
      </c>
      <c r="N585" s="632">
        <v>9</v>
      </c>
      <c r="R585" s="283"/>
      <c r="V585" s="283"/>
    </row>
    <row r="586" spans="1:22" s="263" customFormat="1" ht="9" customHeight="1" x14ac:dyDescent="0.25">
      <c r="A586" s="550" t="s">
        <v>52</v>
      </c>
      <c r="B586" s="629">
        <f t="shared" si="62"/>
        <v>741</v>
      </c>
      <c r="C586" s="629"/>
      <c r="D586" s="631">
        <f t="shared" si="63"/>
        <v>739</v>
      </c>
      <c r="E586" s="632">
        <v>56</v>
      </c>
      <c r="F586" s="629"/>
      <c r="G586" s="629">
        <f t="shared" si="64"/>
        <v>666</v>
      </c>
      <c r="H586" s="632">
        <v>81</v>
      </c>
      <c r="I586" s="632">
        <v>89</v>
      </c>
      <c r="J586" s="629">
        <v>496</v>
      </c>
      <c r="K586" s="632">
        <v>0</v>
      </c>
      <c r="L586" s="632">
        <v>1</v>
      </c>
      <c r="M586" s="632">
        <v>16</v>
      </c>
      <c r="N586" s="632">
        <v>2</v>
      </c>
      <c r="R586" s="283"/>
      <c r="V586" s="283"/>
    </row>
    <row r="587" spans="1:22" s="263" customFormat="1" ht="9" customHeight="1" x14ac:dyDescent="0.25">
      <c r="A587" s="603" t="s">
        <v>53</v>
      </c>
      <c r="B587" s="630">
        <f t="shared" si="62"/>
        <v>617</v>
      </c>
      <c r="C587" s="630"/>
      <c r="D587" s="633">
        <f t="shared" si="63"/>
        <v>616</v>
      </c>
      <c r="E587" s="634">
        <v>86</v>
      </c>
      <c r="F587" s="630"/>
      <c r="G587" s="630">
        <f t="shared" si="64"/>
        <v>524</v>
      </c>
      <c r="H587" s="634">
        <v>76</v>
      </c>
      <c r="I587" s="634">
        <v>56</v>
      </c>
      <c r="J587" s="630">
        <v>392</v>
      </c>
      <c r="K587" s="634">
        <v>0</v>
      </c>
      <c r="L587" s="634">
        <v>0</v>
      </c>
      <c r="M587" s="634">
        <v>6</v>
      </c>
      <c r="N587" s="634">
        <v>1</v>
      </c>
      <c r="R587" s="283"/>
      <c r="V587" s="283"/>
    </row>
    <row r="588" spans="1:22" ht="8.25" customHeight="1" x14ac:dyDescent="0.25">
      <c r="B588" s="259"/>
      <c r="C588" s="259"/>
      <c r="D588" s="259"/>
      <c r="E588" s="259"/>
      <c r="F588" s="259"/>
      <c r="G588" s="259"/>
      <c r="H588" s="259"/>
      <c r="I588" s="259"/>
      <c r="J588" s="259"/>
      <c r="K588" s="259"/>
      <c r="L588" s="259"/>
    </row>
    <row r="589" spans="1:22" ht="9" customHeight="1" x14ac:dyDescent="0.25">
      <c r="A589" s="601">
        <v>2017</v>
      </c>
      <c r="B589" s="262"/>
      <c r="C589" s="262"/>
      <c r="D589" s="262"/>
      <c r="E589" s="262"/>
      <c r="F589" s="262"/>
      <c r="G589" s="262"/>
      <c r="H589" s="262"/>
      <c r="I589" s="262"/>
      <c r="J589" s="262"/>
      <c r="K589" s="262"/>
      <c r="L589" s="262"/>
      <c r="M589" s="262"/>
      <c r="N589" s="262"/>
      <c r="Q589" s="606"/>
    </row>
    <row r="590" spans="1:22" s="263" customFormat="1" ht="9" customHeight="1" x14ac:dyDescent="0.25">
      <c r="A590" s="265" t="s">
        <v>21</v>
      </c>
      <c r="B590" s="262">
        <f>SUM(B592:B623)</f>
        <v>72034</v>
      </c>
      <c r="C590" s="262"/>
      <c r="D590" s="262">
        <f>SUM(D592:D623)</f>
        <v>71587</v>
      </c>
      <c r="E590" s="262">
        <f>SUM(E592:E623)</f>
        <v>6251</v>
      </c>
      <c r="F590" s="262"/>
      <c r="G590" s="262">
        <f t="shared" ref="G590:I590" si="65">SUM(G592:G623)</f>
        <v>63494</v>
      </c>
      <c r="H590" s="262">
        <f t="shared" si="65"/>
        <v>9825</v>
      </c>
      <c r="I590" s="262">
        <f t="shared" si="65"/>
        <v>7489</v>
      </c>
      <c r="J590" s="262">
        <f>SUM(J592:J623)</f>
        <v>46180</v>
      </c>
      <c r="K590" s="262">
        <f t="shared" ref="K590:M590" si="66">SUM(K592:K623)</f>
        <v>249</v>
      </c>
      <c r="L590" s="262">
        <f t="shared" si="66"/>
        <v>781</v>
      </c>
      <c r="M590" s="262">
        <f t="shared" si="66"/>
        <v>812</v>
      </c>
      <c r="N590" s="262">
        <f>SUM(N592:N623)</f>
        <v>447</v>
      </c>
      <c r="Q590" s="262"/>
      <c r="R590" s="283"/>
      <c r="V590" s="282"/>
    </row>
    <row r="591" spans="1:22" s="263" customFormat="1" ht="2.1" customHeight="1" x14ac:dyDescent="0.25">
      <c r="A591" s="265"/>
      <c r="B591" s="262"/>
      <c r="C591" s="262"/>
      <c r="D591" s="262"/>
      <c r="E591" s="262"/>
      <c r="F591" s="262"/>
      <c r="G591" s="262"/>
      <c r="H591" s="262"/>
      <c r="I591" s="262"/>
      <c r="J591" s="262"/>
      <c r="K591" s="262"/>
      <c r="L591" s="262"/>
      <c r="M591" s="262"/>
      <c r="N591" s="262"/>
      <c r="R591" s="283"/>
      <c r="V591" s="283"/>
    </row>
    <row r="592" spans="1:22" s="263" customFormat="1" ht="9" customHeight="1" x14ac:dyDescent="0.25">
      <c r="A592" s="550" t="s">
        <v>23</v>
      </c>
      <c r="B592" s="629">
        <f>SUM(D592+N592)</f>
        <v>248</v>
      </c>
      <c r="C592" s="629"/>
      <c r="D592" s="631">
        <f>SUM(E592+G592+K592+L592+M592)</f>
        <v>242</v>
      </c>
      <c r="E592" s="632">
        <v>31</v>
      </c>
      <c r="F592" s="629"/>
      <c r="G592" s="629">
        <f>SUM(H592:J592)</f>
        <v>210</v>
      </c>
      <c r="H592" s="632">
        <v>27</v>
      </c>
      <c r="I592" s="632">
        <v>20</v>
      </c>
      <c r="J592" s="629">
        <v>163</v>
      </c>
      <c r="K592" s="632">
        <v>1</v>
      </c>
      <c r="L592" s="632">
        <v>0</v>
      </c>
      <c r="M592" s="632">
        <v>0</v>
      </c>
      <c r="N592" s="632">
        <v>6</v>
      </c>
      <c r="R592" s="283"/>
      <c r="V592" s="283"/>
    </row>
    <row r="593" spans="1:22" s="263" customFormat="1" ht="9" customHeight="1" x14ac:dyDescent="0.25">
      <c r="A593" s="550" t="s">
        <v>24</v>
      </c>
      <c r="B593" s="629">
        <f>SUM(D593+N593)</f>
        <v>3050</v>
      </c>
      <c r="C593" s="629"/>
      <c r="D593" s="631">
        <f>SUM(E593+G593+K593+L593+M593)</f>
        <v>3030</v>
      </c>
      <c r="E593" s="629">
        <v>471</v>
      </c>
      <c r="F593" s="629"/>
      <c r="G593" s="629">
        <f>SUM(H593:J593)</f>
        <v>2482</v>
      </c>
      <c r="H593" s="629">
        <v>361</v>
      </c>
      <c r="I593" s="629">
        <v>279</v>
      </c>
      <c r="J593" s="629">
        <v>1842</v>
      </c>
      <c r="K593" s="629">
        <v>8</v>
      </c>
      <c r="L593" s="629">
        <v>0</v>
      </c>
      <c r="M593" s="629">
        <v>69</v>
      </c>
      <c r="N593" s="629">
        <v>20</v>
      </c>
      <c r="R593" s="283"/>
      <c r="V593" s="283"/>
    </row>
    <row r="594" spans="1:22" s="263" customFormat="1" ht="9" customHeight="1" x14ac:dyDescent="0.25">
      <c r="A594" s="550" t="s">
        <v>25</v>
      </c>
      <c r="B594" s="629">
        <f>SUM(D594+N594)</f>
        <v>256</v>
      </c>
      <c r="C594" s="629"/>
      <c r="D594" s="631">
        <f>SUM(E594+G594+K594+L594+M594)</f>
        <v>256</v>
      </c>
      <c r="E594" s="629">
        <v>42</v>
      </c>
      <c r="F594" s="629"/>
      <c r="G594" s="629">
        <f>SUM(H594:J594)</f>
        <v>209</v>
      </c>
      <c r="H594" s="629">
        <v>30</v>
      </c>
      <c r="I594" s="629">
        <v>32</v>
      </c>
      <c r="J594" s="629">
        <v>147</v>
      </c>
      <c r="K594" s="629">
        <v>0</v>
      </c>
      <c r="L594" s="629">
        <v>0</v>
      </c>
      <c r="M594" s="629">
        <v>5</v>
      </c>
      <c r="N594" s="629">
        <v>0</v>
      </c>
      <c r="R594" s="283"/>
      <c r="V594" s="283"/>
    </row>
    <row r="595" spans="1:22" s="263" customFormat="1" ht="9" customHeight="1" x14ac:dyDescent="0.25">
      <c r="A595" s="603" t="s">
        <v>26</v>
      </c>
      <c r="B595" s="630">
        <f>SUM(D595+N595)</f>
        <v>140</v>
      </c>
      <c r="C595" s="630"/>
      <c r="D595" s="633">
        <f>SUM(E595+G595+K595+L595+M595)</f>
        <v>138</v>
      </c>
      <c r="E595" s="634">
        <v>8</v>
      </c>
      <c r="F595" s="630"/>
      <c r="G595" s="630">
        <f>SUM(H595:J595)</f>
        <v>127</v>
      </c>
      <c r="H595" s="634">
        <v>22</v>
      </c>
      <c r="I595" s="634">
        <v>21</v>
      </c>
      <c r="J595" s="630">
        <v>84</v>
      </c>
      <c r="K595" s="634">
        <v>0</v>
      </c>
      <c r="L595" s="634">
        <v>0</v>
      </c>
      <c r="M595" s="634">
        <v>3</v>
      </c>
      <c r="N595" s="634">
        <v>2</v>
      </c>
      <c r="R595" s="283"/>
      <c r="V595" s="283"/>
    </row>
    <row r="596" spans="1:22" s="263" customFormat="1" ht="9" customHeight="1" x14ac:dyDescent="0.25">
      <c r="A596" s="550" t="s">
        <v>27</v>
      </c>
      <c r="B596" s="629">
        <f t="shared" ref="B596:B623" si="67">SUM(D596+N596)</f>
        <v>1218</v>
      </c>
      <c r="C596" s="629"/>
      <c r="D596" s="631">
        <f t="shared" ref="D596:D623" si="68">SUM(E596+G596+K596+L596+M596)</f>
        <v>1211</v>
      </c>
      <c r="E596" s="632">
        <v>85</v>
      </c>
      <c r="F596" s="629"/>
      <c r="G596" s="629">
        <f t="shared" ref="G596:G623" si="69">SUM(H596:J596)</f>
        <v>1101</v>
      </c>
      <c r="H596" s="632">
        <v>173</v>
      </c>
      <c r="I596" s="632">
        <v>128</v>
      </c>
      <c r="J596" s="629">
        <v>800</v>
      </c>
      <c r="K596" s="632">
        <v>2</v>
      </c>
      <c r="L596" s="632">
        <v>5</v>
      </c>
      <c r="M596" s="632">
        <v>18</v>
      </c>
      <c r="N596" s="632">
        <v>7</v>
      </c>
      <c r="R596" s="283"/>
      <c r="V596" s="283"/>
    </row>
    <row r="597" spans="1:22" s="263" customFormat="1" ht="9" customHeight="1" x14ac:dyDescent="0.25">
      <c r="A597" s="550" t="s">
        <v>28</v>
      </c>
      <c r="B597" s="629">
        <f t="shared" si="67"/>
        <v>330</v>
      </c>
      <c r="C597" s="629"/>
      <c r="D597" s="631">
        <f t="shared" si="68"/>
        <v>330</v>
      </c>
      <c r="E597" s="632">
        <v>28</v>
      </c>
      <c r="F597" s="629"/>
      <c r="G597" s="629">
        <f t="shared" si="69"/>
        <v>298</v>
      </c>
      <c r="H597" s="632">
        <v>31</v>
      </c>
      <c r="I597" s="632">
        <v>28</v>
      </c>
      <c r="J597" s="629">
        <v>239</v>
      </c>
      <c r="K597" s="632">
        <v>1</v>
      </c>
      <c r="L597" s="632">
        <v>0</v>
      </c>
      <c r="M597" s="632">
        <v>3</v>
      </c>
      <c r="N597" s="632">
        <v>0</v>
      </c>
      <c r="R597" s="283"/>
      <c r="V597" s="283"/>
    </row>
    <row r="598" spans="1:22" s="263" customFormat="1" ht="9" customHeight="1" x14ac:dyDescent="0.25">
      <c r="A598" s="550" t="s">
        <v>29</v>
      </c>
      <c r="B598" s="629">
        <f t="shared" si="67"/>
        <v>703</v>
      </c>
      <c r="C598" s="629"/>
      <c r="D598" s="631">
        <f t="shared" si="68"/>
        <v>690</v>
      </c>
      <c r="E598" s="632">
        <v>172</v>
      </c>
      <c r="F598" s="629"/>
      <c r="G598" s="629">
        <f t="shared" si="69"/>
        <v>511</v>
      </c>
      <c r="H598" s="632">
        <v>86</v>
      </c>
      <c r="I598" s="632">
        <v>68</v>
      </c>
      <c r="J598" s="629">
        <v>357</v>
      </c>
      <c r="K598" s="632">
        <v>1</v>
      </c>
      <c r="L598" s="632">
        <v>0</v>
      </c>
      <c r="M598" s="632">
        <v>6</v>
      </c>
      <c r="N598" s="632">
        <v>13</v>
      </c>
      <c r="R598" s="283"/>
      <c r="V598" s="283"/>
    </row>
    <row r="599" spans="1:22" s="263" customFormat="1" ht="9" customHeight="1" x14ac:dyDescent="0.25">
      <c r="A599" s="603" t="s">
        <v>30</v>
      </c>
      <c r="B599" s="630">
        <f t="shared" si="67"/>
        <v>3290</v>
      </c>
      <c r="C599" s="630"/>
      <c r="D599" s="633">
        <f t="shared" si="68"/>
        <v>3262</v>
      </c>
      <c r="E599" s="634">
        <v>196</v>
      </c>
      <c r="F599" s="630"/>
      <c r="G599" s="630">
        <f t="shared" si="69"/>
        <v>2928</v>
      </c>
      <c r="H599" s="634">
        <v>450</v>
      </c>
      <c r="I599" s="634">
        <v>295</v>
      </c>
      <c r="J599" s="630">
        <v>2183</v>
      </c>
      <c r="K599" s="634">
        <v>67</v>
      </c>
      <c r="L599" s="634">
        <v>50</v>
      </c>
      <c r="M599" s="634">
        <v>21</v>
      </c>
      <c r="N599" s="634">
        <v>28</v>
      </c>
      <c r="R599" s="283"/>
      <c r="V599" s="283"/>
    </row>
    <row r="600" spans="1:22" s="263" customFormat="1" ht="9" customHeight="1" x14ac:dyDescent="0.25">
      <c r="A600" s="550" t="s">
        <v>63</v>
      </c>
      <c r="B600" s="629">
        <f t="shared" si="67"/>
        <v>4286</v>
      </c>
      <c r="C600" s="629"/>
      <c r="D600" s="631">
        <f t="shared" si="68"/>
        <v>4219</v>
      </c>
      <c r="E600" s="632">
        <v>483</v>
      </c>
      <c r="F600" s="629"/>
      <c r="G600" s="629">
        <f t="shared" si="69"/>
        <v>3448</v>
      </c>
      <c r="H600" s="632">
        <v>478</v>
      </c>
      <c r="I600" s="632">
        <v>340</v>
      </c>
      <c r="J600" s="629">
        <v>2630</v>
      </c>
      <c r="K600" s="632">
        <v>55</v>
      </c>
      <c r="L600" s="632">
        <v>152</v>
      </c>
      <c r="M600" s="632">
        <v>81</v>
      </c>
      <c r="N600" s="632">
        <v>67</v>
      </c>
      <c r="R600" s="283"/>
      <c r="V600" s="283"/>
    </row>
    <row r="601" spans="1:22" s="263" customFormat="1" ht="9" customHeight="1" x14ac:dyDescent="0.25">
      <c r="A601" s="550" t="s">
        <v>31</v>
      </c>
      <c r="B601" s="629">
        <f t="shared" si="67"/>
        <v>370</v>
      </c>
      <c r="C601" s="629"/>
      <c r="D601" s="631">
        <f t="shared" si="68"/>
        <v>369</v>
      </c>
      <c r="E601" s="632">
        <v>56</v>
      </c>
      <c r="F601" s="629"/>
      <c r="G601" s="629">
        <f t="shared" si="69"/>
        <v>304</v>
      </c>
      <c r="H601" s="632">
        <v>45</v>
      </c>
      <c r="I601" s="632">
        <v>40</v>
      </c>
      <c r="J601" s="629">
        <v>219</v>
      </c>
      <c r="K601" s="632">
        <v>0</v>
      </c>
      <c r="L601" s="632">
        <v>5</v>
      </c>
      <c r="M601" s="632">
        <v>4</v>
      </c>
      <c r="N601" s="632">
        <v>1</v>
      </c>
      <c r="R601" s="283"/>
      <c r="V601" s="283"/>
    </row>
    <row r="602" spans="1:22" s="263" customFormat="1" ht="9" customHeight="1" x14ac:dyDescent="0.25">
      <c r="A602" s="550" t="s">
        <v>32</v>
      </c>
      <c r="B602" s="629">
        <f t="shared" si="67"/>
        <v>2711</v>
      </c>
      <c r="C602" s="629"/>
      <c r="D602" s="631">
        <f t="shared" si="68"/>
        <v>2696</v>
      </c>
      <c r="E602" s="632">
        <v>456</v>
      </c>
      <c r="F602" s="629"/>
      <c r="G602" s="629">
        <f t="shared" si="69"/>
        <v>2147</v>
      </c>
      <c r="H602" s="632">
        <v>336</v>
      </c>
      <c r="I602" s="632">
        <v>307</v>
      </c>
      <c r="J602" s="629">
        <v>1504</v>
      </c>
      <c r="K602" s="632">
        <v>36</v>
      </c>
      <c r="L602" s="632">
        <v>7</v>
      </c>
      <c r="M602" s="632">
        <v>50</v>
      </c>
      <c r="N602" s="632">
        <v>15</v>
      </c>
      <c r="R602" s="283"/>
      <c r="V602" s="283"/>
    </row>
    <row r="603" spans="1:22" s="263" customFormat="1" ht="9" customHeight="1" x14ac:dyDescent="0.25">
      <c r="A603" s="603" t="s">
        <v>33</v>
      </c>
      <c r="B603" s="630">
        <f t="shared" si="67"/>
        <v>1029</v>
      </c>
      <c r="C603" s="630"/>
      <c r="D603" s="633">
        <f t="shared" si="68"/>
        <v>982</v>
      </c>
      <c r="E603" s="634">
        <v>127</v>
      </c>
      <c r="F603" s="630"/>
      <c r="G603" s="630">
        <f t="shared" si="69"/>
        <v>817</v>
      </c>
      <c r="H603" s="634">
        <v>132</v>
      </c>
      <c r="I603" s="634">
        <v>102</v>
      </c>
      <c r="J603" s="630">
        <v>583</v>
      </c>
      <c r="K603" s="634">
        <v>2</v>
      </c>
      <c r="L603" s="634">
        <v>1</v>
      </c>
      <c r="M603" s="634">
        <v>35</v>
      </c>
      <c r="N603" s="634">
        <v>47</v>
      </c>
      <c r="R603" s="283"/>
      <c r="V603" s="283"/>
    </row>
    <row r="604" spans="1:22" s="263" customFormat="1" ht="9" customHeight="1" x14ac:dyDescent="0.25">
      <c r="A604" s="550" t="s">
        <v>34</v>
      </c>
      <c r="B604" s="629">
        <f t="shared" si="67"/>
        <v>1183</v>
      </c>
      <c r="C604" s="629"/>
      <c r="D604" s="631">
        <f t="shared" si="68"/>
        <v>1178</v>
      </c>
      <c r="E604" s="632">
        <v>182</v>
      </c>
      <c r="F604" s="629"/>
      <c r="G604" s="629">
        <f t="shared" si="69"/>
        <v>951</v>
      </c>
      <c r="H604" s="632">
        <v>155</v>
      </c>
      <c r="I604" s="632">
        <v>130</v>
      </c>
      <c r="J604" s="629">
        <v>666</v>
      </c>
      <c r="K604" s="632">
        <v>1</v>
      </c>
      <c r="L604" s="632">
        <v>0</v>
      </c>
      <c r="M604" s="632">
        <v>44</v>
      </c>
      <c r="N604" s="632">
        <v>5</v>
      </c>
      <c r="R604" s="283"/>
      <c r="V604" s="283"/>
    </row>
    <row r="605" spans="1:22" s="263" customFormat="1" ht="9" customHeight="1" x14ac:dyDescent="0.25">
      <c r="A605" s="550" t="s">
        <v>35</v>
      </c>
      <c r="B605" s="629">
        <f t="shared" si="67"/>
        <v>8040</v>
      </c>
      <c r="C605" s="629"/>
      <c r="D605" s="631">
        <f t="shared" si="68"/>
        <v>8002</v>
      </c>
      <c r="E605" s="632">
        <v>542</v>
      </c>
      <c r="F605" s="629"/>
      <c r="G605" s="629">
        <f t="shared" si="69"/>
        <v>7374</v>
      </c>
      <c r="H605" s="632">
        <v>1138</v>
      </c>
      <c r="I605" s="632">
        <v>581</v>
      </c>
      <c r="J605" s="629">
        <v>5655</v>
      </c>
      <c r="K605" s="632">
        <v>7</v>
      </c>
      <c r="L605" s="632">
        <v>54</v>
      </c>
      <c r="M605" s="632">
        <v>25</v>
      </c>
      <c r="N605" s="632">
        <v>38</v>
      </c>
      <c r="R605" s="283"/>
      <c r="V605" s="283"/>
    </row>
    <row r="606" spans="1:22" s="263" customFormat="1" ht="9" customHeight="1" x14ac:dyDescent="0.25">
      <c r="A606" s="550" t="s">
        <v>36</v>
      </c>
      <c r="B606" s="629">
        <f t="shared" si="67"/>
        <v>5861</v>
      </c>
      <c r="C606" s="629"/>
      <c r="D606" s="631">
        <f t="shared" si="68"/>
        <v>5807</v>
      </c>
      <c r="E606" s="632">
        <v>819</v>
      </c>
      <c r="F606" s="629"/>
      <c r="G606" s="629">
        <f t="shared" si="69"/>
        <v>4816</v>
      </c>
      <c r="H606" s="632">
        <v>680</v>
      </c>
      <c r="I606" s="632">
        <v>594</v>
      </c>
      <c r="J606" s="629">
        <v>3542</v>
      </c>
      <c r="K606" s="632">
        <v>13</v>
      </c>
      <c r="L606" s="632">
        <v>16</v>
      </c>
      <c r="M606" s="632">
        <v>143</v>
      </c>
      <c r="N606" s="632">
        <v>54</v>
      </c>
      <c r="R606" s="283"/>
      <c r="V606" s="283"/>
    </row>
    <row r="607" spans="1:22" s="263" customFormat="1" ht="9" customHeight="1" x14ac:dyDescent="0.25">
      <c r="A607" s="603" t="s">
        <v>37</v>
      </c>
      <c r="B607" s="630">
        <f t="shared" si="67"/>
        <v>1893</v>
      </c>
      <c r="C607" s="630"/>
      <c r="D607" s="633">
        <f t="shared" si="68"/>
        <v>1891</v>
      </c>
      <c r="E607" s="634">
        <v>413</v>
      </c>
      <c r="F607" s="630"/>
      <c r="G607" s="630">
        <f t="shared" si="69"/>
        <v>1425</v>
      </c>
      <c r="H607" s="634">
        <v>243</v>
      </c>
      <c r="I607" s="634">
        <v>196</v>
      </c>
      <c r="J607" s="630">
        <v>986</v>
      </c>
      <c r="K607" s="634">
        <v>8</v>
      </c>
      <c r="L607" s="634">
        <v>37</v>
      </c>
      <c r="M607" s="634">
        <v>8</v>
      </c>
      <c r="N607" s="634">
        <v>2</v>
      </c>
      <c r="R607" s="283"/>
      <c r="V607" s="283"/>
    </row>
    <row r="608" spans="1:22" s="263" customFormat="1" ht="9" customHeight="1" x14ac:dyDescent="0.25">
      <c r="A608" s="550" t="s">
        <v>38</v>
      </c>
      <c r="B608" s="629">
        <f t="shared" si="67"/>
        <v>589</v>
      </c>
      <c r="C608" s="629"/>
      <c r="D608" s="631">
        <f t="shared" si="68"/>
        <v>578</v>
      </c>
      <c r="E608" s="632">
        <v>78</v>
      </c>
      <c r="F608" s="629"/>
      <c r="G608" s="629">
        <f t="shared" si="69"/>
        <v>498</v>
      </c>
      <c r="H608" s="632">
        <v>68</v>
      </c>
      <c r="I608" s="632">
        <v>54</v>
      </c>
      <c r="J608" s="629">
        <v>376</v>
      </c>
      <c r="K608" s="632">
        <v>0</v>
      </c>
      <c r="L608" s="632">
        <v>0</v>
      </c>
      <c r="M608" s="632">
        <v>2</v>
      </c>
      <c r="N608" s="632">
        <v>11</v>
      </c>
      <c r="R608" s="283"/>
      <c r="V608" s="283"/>
    </row>
    <row r="609" spans="1:22" s="263" customFormat="1" ht="9" customHeight="1" x14ac:dyDescent="0.25">
      <c r="A609" s="550" t="s">
        <v>39</v>
      </c>
      <c r="B609" s="629">
        <f t="shared" si="67"/>
        <v>79</v>
      </c>
      <c r="C609" s="629"/>
      <c r="D609" s="631">
        <f t="shared" si="68"/>
        <v>78</v>
      </c>
      <c r="E609" s="632">
        <v>13</v>
      </c>
      <c r="F609" s="629"/>
      <c r="G609" s="629">
        <f t="shared" si="69"/>
        <v>65</v>
      </c>
      <c r="H609" s="632">
        <v>12</v>
      </c>
      <c r="I609" s="632">
        <v>9</v>
      </c>
      <c r="J609" s="629">
        <v>44</v>
      </c>
      <c r="K609" s="632">
        <v>0</v>
      </c>
      <c r="L609" s="632">
        <v>0</v>
      </c>
      <c r="M609" s="632">
        <v>0</v>
      </c>
      <c r="N609" s="632">
        <v>1</v>
      </c>
      <c r="R609" s="283"/>
      <c r="V609" s="283"/>
    </row>
    <row r="610" spans="1:22" s="263" customFormat="1" ht="9" customHeight="1" x14ac:dyDescent="0.25">
      <c r="A610" s="550" t="s">
        <v>40</v>
      </c>
      <c r="B610" s="629">
        <f t="shared" si="67"/>
        <v>21023</v>
      </c>
      <c r="C610" s="629"/>
      <c r="D610" s="631">
        <f t="shared" si="68"/>
        <v>20978</v>
      </c>
      <c r="E610" s="632">
        <v>244</v>
      </c>
      <c r="F610" s="629"/>
      <c r="G610" s="629">
        <f t="shared" si="69"/>
        <v>20223</v>
      </c>
      <c r="H610" s="632">
        <v>3215</v>
      </c>
      <c r="I610" s="632">
        <v>2471</v>
      </c>
      <c r="J610" s="629">
        <v>14537</v>
      </c>
      <c r="K610" s="632">
        <v>17</v>
      </c>
      <c r="L610" s="632">
        <v>422</v>
      </c>
      <c r="M610" s="632">
        <v>72</v>
      </c>
      <c r="N610" s="632">
        <v>45</v>
      </c>
      <c r="R610" s="283"/>
      <c r="V610" s="283"/>
    </row>
    <row r="611" spans="1:22" s="263" customFormat="1" ht="9" customHeight="1" x14ac:dyDescent="0.25">
      <c r="A611" s="603" t="s">
        <v>41</v>
      </c>
      <c r="B611" s="630">
        <f t="shared" si="67"/>
        <v>1026</v>
      </c>
      <c r="C611" s="630"/>
      <c r="D611" s="633">
        <f t="shared" si="68"/>
        <v>1010</v>
      </c>
      <c r="E611" s="634">
        <v>194</v>
      </c>
      <c r="F611" s="630"/>
      <c r="G611" s="630">
        <f t="shared" si="69"/>
        <v>802</v>
      </c>
      <c r="H611" s="634">
        <v>120</v>
      </c>
      <c r="I611" s="634">
        <v>117</v>
      </c>
      <c r="J611" s="630">
        <v>565</v>
      </c>
      <c r="K611" s="634">
        <v>0</v>
      </c>
      <c r="L611" s="634">
        <v>0</v>
      </c>
      <c r="M611" s="634">
        <v>14</v>
      </c>
      <c r="N611" s="634">
        <v>16</v>
      </c>
      <c r="R611" s="283"/>
      <c r="V611" s="283"/>
    </row>
    <row r="612" spans="1:22" s="263" customFormat="1" ht="9" customHeight="1" x14ac:dyDescent="0.25">
      <c r="A612" s="550" t="s">
        <v>42</v>
      </c>
      <c r="B612" s="629">
        <f t="shared" si="67"/>
        <v>2331</v>
      </c>
      <c r="C612" s="629"/>
      <c r="D612" s="631">
        <f t="shared" si="68"/>
        <v>2313</v>
      </c>
      <c r="E612" s="632">
        <v>306</v>
      </c>
      <c r="F612" s="629"/>
      <c r="G612" s="629">
        <f t="shared" si="69"/>
        <v>1961</v>
      </c>
      <c r="H612" s="632">
        <v>249</v>
      </c>
      <c r="I612" s="632">
        <v>264</v>
      </c>
      <c r="J612" s="629">
        <v>1448</v>
      </c>
      <c r="K612" s="632">
        <v>6</v>
      </c>
      <c r="L612" s="632">
        <v>11</v>
      </c>
      <c r="M612" s="632">
        <v>29</v>
      </c>
      <c r="N612" s="632">
        <v>18</v>
      </c>
      <c r="R612" s="283"/>
      <c r="V612" s="283"/>
    </row>
    <row r="613" spans="1:22" s="263" customFormat="1" ht="9" customHeight="1" x14ac:dyDescent="0.25">
      <c r="A613" s="550" t="s">
        <v>43</v>
      </c>
      <c r="B613" s="629">
        <f t="shared" si="67"/>
        <v>1484</v>
      </c>
      <c r="C613" s="629"/>
      <c r="D613" s="631">
        <f t="shared" si="68"/>
        <v>1474</v>
      </c>
      <c r="E613" s="632">
        <v>170</v>
      </c>
      <c r="F613" s="629"/>
      <c r="G613" s="629">
        <f t="shared" si="69"/>
        <v>1255</v>
      </c>
      <c r="H613" s="632">
        <v>167</v>
      </c>
      <c r="I613" s="632">
        <v>166</v>
      </c>
      <c r="J613" s="629">
        <v>922</v>
      </c>
      <c r="K613" s="632">
        <v>0</v>
      </c>
      <c r="L613" s="632">
        <v>0</v>
      </c>
      <c r="M613" s="632">
        <v>49</v>
      </c>
      <c r="N613" s="632">
        <v>10</v>
      </c>
      <c r="R613" s="283"/>
      <c r="V613" s="283"/>
    </row>
    <row r="614" spans="1:22" s="263" customFormat="1" ht="9" customHeight="1" x14ac:dyDescent="0.25">
      <c r="A614" s="550" t="s">
        <v>44</v>
      </c>
      <c r="B614" s="629">
        <f t="shared" si="67"/>
        <v>408</v>
      </c>
      <c r="C614" s="629"/>
      <c r="D614" s="631">
        <f t="shared" si="68"/>
        <v>397</v>
      </c>
      <c r="E614" s="632">
        <v>59</v>
      </c>
      <c r="F614" s="629"/>
      <c r="G614" s="629">
        <f t="shared" si="69"/>
        <v>318</v>
      </c>
      <c r="H614" s="632">
        <v>50</v>
      </c>
      <c r="I614" s="632">
        <v>51</v>
      </c>
      <c r="J614" s="629">
        <v>217</v>
      </c>
      <c r="K614" s="632">
        <v>1</v>
      </c>
      <c r="L614" s="632">
        <v>2</v>
      </c>
      <c r="M614" s="632">
        <v>17</v>
      </c>
      <c r="N614" s="550">
        <v>11</v>
      </c>
      <c r="R614" s="283"/>
      <c r="V614" s="283"/>
    </row>
    <row r="615" spans="1:22" s="263" customFormat="1" ht="9" customHeight="1" x14ac:dyDescent="0.25">
      <c r="A615" s="603" t="s">
        <v>45</v>
      </c>
      <c r="B615" s="630">
        <f t="shared" si="67"/>
        <v>2422</v>
      </c>
      <c r="C615" s="630"/>
      <c r="D615" s="633">
        <f t="shared" si="68"/>
        <v>2418</v>
      </c>
      <c r="E615" s="634">
        <v>84</v>
      </c>
      <c r="F615" s="630"/>
      <c r="G615" s="630">
        <f t="shared" si="69"/>
        <v>2312</v>
      </c>
      <c r="H615" s="634">
        <v>357</v>
      </c>
      <c r="I615" s="634">
        <v>333</v>
      </c>
      <c r="J615" s="630">
        <v>1622</v>
      </c>
      <c r="K615" s="634">
        <v>9</v>
      </c>
      <c r="L615" s="634">
        <v>8</v>
      </c>
      <c r="M615" s="634">
        <v>5</v>
      </c>
      <c r="N615" s="634">
        <v>4</v>
      </c>
      <c r="R615" s="283"/>
      <c r="V615" s="283"/>
    </row>
    <row r="616" spans="1:22" s="263" customFormat="1" ht="9" customHeight="1" x14ac:dyDescent="0.25">
      <c r="A616" s="550" t="s">
        <v>46</v>
      </c>
      <c r="B616" s="629">
        <f t="shared" si="67"/>
        <v>1471</v>
      </c>
      <c r="C616" s="629"/>
      <c r="D616" s="631">
        <f t="shared" si="68"/>
        <v>1471</v>
      </c>
      <c r="E616" s="632">
        <v>146</v>
      </c>
      <c r="F616" s="629"/>
      <c r="G616" s="629">
        <f t="shared" si="69"/>
        <v>1307</v>
      </c>
      <c r="H616" s="632">
        <v>284</v>
      </c>
      <c r="I616" s="632">
        <v>189</v>
      </c>
      <c r="J616" s="629">
        <v>834</v>
      </c>
      <c r="K616" s="632">
        <v>0</v>
      </c>
      <c r="L616" s="632">
        <v>0</v>
      </c>
      <c r="M616" s="632">
        <v>18</v>
      </c>
      <c r="N616" s="632">
        <v>0</v>
      </c>
      <c r="R616" s="283"/>
      <c r="V616" s="283"/>
    </row>
    <row r="617" spans="1:22" s="263" customFormat="1" ht="9" customHeight="1" x14ac:dyDescent="0.25">
      <c r="A617" s="550" t="s">
        <v>47</v>
      </c>
      <c r="B617" s="629">
        <f t="shared" si="67"/>
        <v>1638</v>
      </c>
      <c r="C617" s="629"/>
      <c r="D617" s="631">
        <f t="shared" si="68"/>
        <v>1630</v>
      </c>
      <c r="E617" s="632">
        <v>128</v>
      </c>
      <c r="F617" s="629"/>
      <c r="G617" s="629">
        <f t="shared" si="69"/>
        <v>1483</v>
      </c>
      <c r="H617" s="632">
        <v>302</v>
      </c>
      <c r="I617" s="632">
        <v>158</v>
      </c>
      <c r="J617" s="629">
        <v>1023</v>
      </c>
      <c r="K617" s="632">
        <v>0</v>
      </c>
      <c r="L617" s="632">
        <v>0</v>
      </c>
      <c r="M617" s="632">
        <v>19</v>
      </c>
      <c r="N617" s="632">
        <v>8</v>
      </c>
      <c r="R617" s="283"/>
      <c r="V617" s="283"/>
    </row>
    <row r="618" spans="1:22" s="263" customFormat="1" ht="9" customHeight="1" x14ac:dyDescent="0.25">
      <c r="A618" s="550" t="s">
        <v>48</v>
      </c>
      <c r="B618" s="629">
        <f t="shared" si="67"/>
        <v>520</v>
      </c>
      <c r="C618" s="629"/>
      <c r="D618" s="631">
        <f t="shared" si="68"/>
        <v>519</v>
      </c>
      <c r="E618" s="632">
        <v>95</v>
      </c>
      <c r="F618" s="629"/>
      <c r="G618" s="629">
        <f t="shared" si="69"/>
        <v>421</v>
      </c>
      <c r="H618" s="632">
        <v>66</v>
      </c>
      <c r="I618" s="632">
        <v>59</v>
      </c>
      <c r="J618" s="629">
        <v>296</v>
      </c>
      <c r="K618" s="632">
        <v>0</v>
      </c>
      <c r="L618" s="632">
        <v>0</v>
      </c>
      <c r="M618" s="632">
        <v>3</v>
      </c>
      <c r="N618" s="632">
        <v>1</v>
      </c>
      <c r="R618" s="283"/>
      <c r="V618" s="283"/>
    </row>
    <row r="619" spans="1:22" s="263" customFormat="1" ht="9" customHeight="1" x14ac:dyDescent="0.25">
      <c r="A619" s="603" t="s">
        <v>49</v>
      </c>
      <c r="B619" s="630">
        <f t="shared" si="67"/>
        <v>1449</v>
      </c>
      <c r="C619" s="630"/>
      <c r="D619" s="633">
        <f t="shared" si="68"/>
        <v>1445</v>
      </c>
      <c r="E619" s="634">
        <v>247</v>
      </c>
      <c r="F619" s="630"/>
      <c r="G619" s="630">
        <f t="shared" si="69"/>
        <v>1172</v>
      </c>
      <c r="H619" s="634">
        <v>181</v>
      </c>
      <c r="I619" s="634">
        <v>144</v>
      </c>
      <c r="J619" s="630">
        <v>847</v>
      </c>
      <c r="K619" s="634">
        <v>2</v>
      </c>
      <c r="L619" s="634">
        <v>0</v>
      </c>
      <c r="M619" s="634">
        <v>24</v>
      </c>
      <c r="N619" s="634">
        <v>4</v>
      </c>
      <c r="R619" s="283"/>
      <c r="V619" s="283"/>
    </row>
    <row r="620" spans="1:22" s="263" customFormat="1" ht="9" customHeight="1" x14ac:dyDescent="0.25">
      <c r="A620" s="550" t="s">
        <v>50</v>
      </c>
      <c r="B620" s="629">
        <f t="shared" si="67"/>
        <v>366</v>
      </c>
      <c r="C620" s="629"/>
      <c r="D620" s="631">
        <f t="shared" si="68"/>
        <v>365</v>
      </c>
      <c r="E620" s="632">
        <v>52</v>
      </c>
      <c r="F620" s="629"/>
      <c r="G620" s="629">
        <f t="shared" si="69"/>
        <v>308</v>
      </c>
      <c r="H620" s="632">
        <v>37</v>
      </c>
      <c r="I620" s="632">
        <v>33</v>
      </c>
      <c r="J620" s="629">
        <v>238</v>
      </c>
      <c r="K620" s="632">
        <v>1</v>
      </c>
      <c r="L620" s="632">
        <v>0</v>
      </c>
      <c r="M620" s="632">
        <v>4</v>
      </c>
      <c r="N620" s="632">
        <v>1</v>
      </c>
      <c r="R620" s="283"/>
      <c r="V620" s="283"/>
    </row>
    <row r="621" spans="1:22" s="263" customFormat="1" ht="9" customHeight="1" x14ac:dyDescent="0.25">
      <c r="A621" s="550" t="s">
        <v>51</v>
      </c>
      <c r="B621" s="629">
        <f t="shared" si="67"/>
        <v>1286</v>
      </c>
      <c r="C621" s="629"/>
      <c r="D621" s="631">
        <f t="shared" si="68"/>
        <v>1277</v>
      </c>
      <c r="E621" s="632">
        <v>192</v>
      </c>
      <c r="F621" s="629"/>
      <c r="G621" s="629">
        <f t="shared" si="69"/>
        <v>1047</v>
      </c>
      <c r="H621" s="632">
        <v>183</v>
      </c>
      <c r="I621" s="632">
        <v>142</v>
      </c>
      <c r="J621" s="629">
        <v>722</v>
      </c>
      <c r="K621" s="632">
        <v>11</v>
      </c>
      <c r="L621" s="632">
        <v>11</v>
      </c>
      <c r="M621" s="632">
        <v>16</v>
      </c>
      <c r="N621" s="632">
        <v>9</v>
      </c>
      <c r="R621" s="283"/>
      <c r="V621" s="283"/>
    </row>
    <row r="622" spans="1:22" s="263" customFormat="1" ht="9" customHeight="1" x14ac:dyDescent="0.25">
      <c r="A622" s="550" t="s">
        <v>52</v>
      </c>
      <c r="B622" s="629">
        <f t="shared" si="67"/>
        <v>718</v>
      </c>
      <c r="C622" s="629"/>
      <c r="D622" s="631">
        <f t="shared" si="68"/>
        <v>716</v>
      </c>
      <c r="E622" s="632">
        <v>47</v>
      </c>
      <c r="F622" s="629"/>
      <c r="G622" s="629">
        <f t="shared" si="69"/>
        <v>651</v>
      </c>
      <c r="H622" s="632">
        <v>72</v>
      </c>
      <c r="I622" s="632">
        <v>83</v>
      </c>
      <c r="J622" s="629">
        <v>496</v>
      </c>
      <c r="K622" s="632">
        <v>0</v>
      </c>
      <c r="L622" s="632">
        <v>0</v>
      </c>
      <c r="M622" s="632">
        <v>18</v>
      </c>
      <c r="N622" s="632">
        <v>2</v>
      </c>
      <c r="R622" s="283"/>
      <c r="V622" s="283"/>
    </row>
    <row r="623" spans="1:22" s="263" customFormat="1" ht="9" customHeight="1" x14ac:dyDescent="0.25">
      <c r="A623" s="603" t="s">
        <v>53</v>
      </c>
      <c r="B623" s="630">
        <f t="shared" si="67"/>
        <v>616</v>
      </c>
      <c r="C623" s="630"/>
      <c r="D623" s="633">
        <f t="shared" si="68"/>
        <v>615</v>
      </c>
      <c r="E623" s="634">
        <v>85</v>
      </c>
      <c r="F623" s="630"/>
      <c r="G623" s="630">
        <f t="shared" si="69"/>
        <v>523</v>
      </c>
      <c r="H623" s="634">
        <v>75</v>
      </c>
      <c r="I623" s="634">
        <v>55</v>
      </c>
      <c r="J623" s="630">
        <v>393</v>
      </c>
      <c r="K623" s="634">
        <v>0</v>
      </c>
      <c r="L623" s="634">
        <v>0</v>
      </c>
      <c r="M623" s="634">
        <v>7</v>
      </c>
      <c r="N623" s="634">
        <v>1</v>
      </c>
      <c r="R623" s="283"/>
      <c r="V623" s="283"/>
    </row>
    <row r="624" spans="1:22" ht="8.25" customHeight="1" x14ac:dyDescent="0.25">
      <c r="B624" s="259"/>
      <c r="C624" s="259"/>
      <c r="D624" s="259"/>
      <c r="E624" s="259"/>
      <c r="F624" s="259"/>
      <c r="G624" s="259"/>
      <c r="H624" s="259"/>
      <c r="I624" s="259"/>
      <c r="J624" s="259"/>
      <c r="K624" s="259"/>
      <c r="L624" s="259"/>
    </row>
    <row r="625" spans="1:22" ht="9" customHeight="1" x14ac:dyDescent="0.25">
      <c r="A625" s="601">
        <v>2018</v>
      </c>
      <c r="B625" s="262"/>
      <c r="C625" s="262"/>
      <c r="D625" s="262"/>
      <c r="E625" s="262"/>
      <c r="F625" s="262"/>
      <c r="G625" s="262"/>
      <c r="H625" s="262"/>
      <c r="I625" s="262"/>
      <c r="J625" s="262"/>
      <c r="K625" s="262"/>
      <c r="L625" s="262"/>
      <c r="M625" s="262"/>
      <c r="N625" s="262"/>
      <c r="Q625" s="606"/>
    </row>
    <row r="626" spans="1:22" s="263" customFormat="1" ht="9" customHeight="1" x14ac:dyDescent="0.25">
      <c r="A626" s="265" t="s">
        <v>21</v>
      </c>
      <c r="B626" s="262">
        <f>SUM(B628:B659)</f>
        <v>75510</v>
      </c>
      <c r="C626" s="262"/>
      <c r="D626" s="262">
        <f>SUM(D628:D659)</f>
        <v>75033</v>
      </c>
      <c r="E626" s="262">
        <f>SUM(E628:E659)</f>
        <v>6386</v>
      </c>
      <c r="F626" s="262"/>
      <c r="G626" s="262">
        <f t="shared" ref="G626:I626" si="70">SUM(G628:G659)</f>
        <v>66979</v>
      </c>
      <c r="H626" s="262">
        <f t="shared" si="70"/>
        <v>11303</v>
      </c>
      <c r="I626" s="262">
        <f t="shared" si="70"/>
        <v>8073</v>
      </c>
      <c r="J626" s="262">
        <f>SUM(J628:J659)</f>
        <v>47603</v>
      </c>
      <c r="K626" s="262">
        <f t="shared" ref="K626:M626" si="71">SUM(K628:K659)</f>
        <v>260</v>
      </c>
      <c r="L626" s="262">
        <f t="shared" si="71"/>
        <v>588</v>
      </c>
      <c r="M626" s="262">
        <f t="shared" si="71"/>
        <v>820</v>
      </c>
      <c r="N626" s="262">
        <f>SUM(N628:N659)</f>
        <v>477</v>
      </c>
      <c r="Q626" s="262"/>
      <c r="R626" s="283"/>
      <c r="V626" s="282"/>
    </row>
    <row r="627" spans="1:22" s="263" customFormat="1" ht="2.1" customHeight="1" x14ac:dyDescent="0.25">
      <c r="A627" s="265"/>
      <c r="B627" s="262"/>
      <c r="C627" s="262"/>
      <c r="D627" s="262"/>
      <c r="E627" s="262"/>
      <c r="F627" s="262"/>
      <c r="G627" s="262"/>
      <c r="H627" s="262"/>
      <c r="I627" s="262"/>
      <c r="J627" s="262"/>
      <c r="K627" s="262"/>
      <c r="L627" s="262"/>
      <c r="M627" s="262"/>
      <c r="N627" s="262"/>
      <c r="R627" s="283"/>
      <c r="V627" s="283"/>
    </row>
    <row r="628" spans="1:22" s="263" customFormat="1" ht="9" customHeight="1" x14ac:dyDescent="0.25">
      <c r="A628" s="550" t="s">
        <v>23</v>
      </c>
      <c r="B628" s="629">
        <f>SUM(D628+N628)</f>
        <v>267</v>
      </c>
      <c r="C628" s="629"/>
      <c r="D628" s="631">
        <f>SUM(E628+G628+K628+L628+M628)</f>
        <v>262</v>
      </c>
      <c r="E628" s="632">
        <v>30</v>
      </c>
      <c r="F628" s="629"/>
      <c r="G628" s="629">
        <f>SUM(H628:J628)</f>
        <v>231</v>
      </c>
      <c r="H628" s="632">
        <v>28</v>
      </c>
      <c r="I628" s="632">
        <v>21</v>
      </c>
      <c r="J628" s="629">
        <v>182</v>
      </c>
      <c r="K628" s="632">
        <v>1</v>
      </c>
      <c r="L628" s="632">
        <v>0</v>
      </c>
      <c r="M628" s="632">
        <v>0</v>
      </c>
      <c r="N628" s="632">
        <v>5</v>
      </c>
      <c r="R628" s="283"/>
      <c r="V628" s="283"/>
    </row>
    <row r="629" spans="1:22" s="263" customFormat="1" ht="9" customHeight="1" x14ac:dyDescent="0.25">
      <c r="A629" s="550" t="s">
        <v>24</v>
      </c>
      <c r="B629" s="629">
        <f>SUM(D629+N629)</f>
        <v>2988</v>
      </c>
      <c r="C629" s="629"/>
      <c r="D629" s="631">
        <f>SUM(E629+G629+K629+L629+M629)</f>
        <v>2969</v>
      </c>
      <c r="E629" s="629">
        <v>456</v>
      </c>
      <c r="F629" s="629"/>
      <c r="G629" s="629">
        <f>SUM(H629:J629)</f>
        <v>2425</v>
      </c>
      <c r="H629" s="629">
        <v>337</v>
      </c>
      <c r="I629" s="629">
        <v>250</v>
      </c>
      <c r="J629" s="629">
        <v>1838</v>
      </c>
      <c r="K629" s="629">
        <v>8</v>
      </c>
      <c r="L629" s="629">
        <v>3</v>
      </c>
      <c r="M629" s="629">
        <v>77</v>
      </c>
      <c r="N629" s="629">
        <v>19</v>
      </c>
      <c r="R629" s="283"/>
      <c r="V629" s="283"/>
    </row>
    <row r="630" spans="1:22" s="263" customFormat="1" ht="9" customHeight="1" x14ac:dyDescent="0.25">
      <c r="A630" s="550" t="s">
        <v>25</v>
      </c>
      <c r="B630" s="629">
        <f>SUM(D630+N630)</f>
        <v>369</v>
      </c>
      <c r="C630" s="629"/>
      <c r="D630" s="631">
        <f>SUM(E630+G630+K630+L630+M630)</f>
        <v>369</v>
      </c>
      <c r="E630" s="629">
        <v>53</v>
      </c>
      <c r="F630" s="629"/>
      <c r="G630" s="629">
        <f>SUM(H630:J630)</f>
        <v>311</v>
      </c>
      <c r="H630" s="629">
        <v>37</v>
      </c>
      <c r="I630" s="629">
        <v>37</v>
      </c>
      <c r="J630" s="629">
        <v>237</v>
      </c>
      <c r="K630" s="629">
        <v>0</v>
      </c>
      <c r="L630" s="629">
        <v>0</v>
      </c>
      <c r="M630" s="629">
        <v>5</v>
      </c>
      <c r="N630" s="629">
        <v>0</v>
      </c>
      <c r="R630" s="283"/>
      <c r="V630" s="283"/>
    </row>
    <row r="631" spans="1:22" s="263" customFormat="1" ht="9" customHeight="1" x14ac:dyDescent="0.25">
      <c r="A631" s="603" t="s">
        <v>26</v>
      </c>
      <c r="B631" s="630">
        <f>SUM(D631+N631)</f>
        <v>136</v>
      </c>
      <c r="C631" s="630"/>
      <c r="D631" s="633">
        <f>SUM(E631+G631+K631+L631+M631)</f>
        <v>134</v>
      </c>
      <c r="E631" s="634">
        <v>8</v>
      </c>
      <c r="F631" s="630"/>
      <c r="G631" s="630">
        <f>SUM(H631:J631)</f>
        <v>123</v>
      </c>
      <c r="H631" s="634">
        <v>22</v>
      </c>
      <c r="I631" s="634">
        <v>21</v>
      </c>
      <c r="J631" s="630">
        <v>80</v>
      </c>
      <c r="K631" s="634">
        <v>0</v>
      </c>
      <c r="L631" s="634">
        <v>0</v>
      </c>
      <c r="M631" s="634">
        <v>3</v>
      </c>
      <c r="N631" s="634">
        <v>2</v>
      </c>
      <c r="R631" s="283"/>
      <c r="V631" s="283"/>
    </row>
    <row r="632" spans="1:22" s="263" customFormat="1" ht="9" customHeight="1" x14ac:dyDescent="0.25">
      <c r="A632" s="550" t="s">
        <v>27</v>
      </c>
      <c r="B632" s="629">
        <f t="shared" ref="B632:B659" si="72">SUM(D632+N632)</f>
        <v>1266</v>
      </c>
      <c r="C632" s="629"/>
      <c r="D632" s="631">
        <f t="shared" ref="D632:D659" si="73">SUM(E632+G632+K632+L632+M632)</f>
        <v>1251</v>
      </c>
      <c r="E632" s="632">
        <v>97</v>
      </c>
      <c r="F632" s="629"/>
      <c r="G632" s="629">
        <f t="shared" ref="G632:G659" si="74">SUM(H632:J632)</f>
        <v>1132</v>
      </c>
      <c r="H632" s="632">
        <v>189</v>
      </c>
      <c r="I632" s="632">
        <v>135</v>
      </c>
      <c r="J632" s="629">
        <v>808</v>
      </c>
      <c r="K632" s="632">
        <v>2</v>
      </c>
      <c r="L632" s="632">
        <v>5</v>
      </c>
      <c r="M632" s="632">
        <v>15</v>
      </c>
      <c r="N632" s="632">
        <v>15</v>
      </c>
      <c r="R632" s="283"/>
      <c r="V632" s="283"/>
    </row>
    <row r="633" spans="1:22" s="263" customFormat="1" ht="9" customHeight="1" x14ac:dyDescent="0.25">
      <c r="A633" s="550" t="s">
        <v>28</v>
      </c>
      <c r="B633" s="629">
        <f t="shared" si="72"/>
        <v>330</v>
      </c>
      <c r="C633" s="629"/>
      <c r="D633" s="631">
        <f t="shared" si="73"/>
        <v>330</v>
      </c>
      <c r="E633" s="632">
        <v>28</v>
      </c>
      <c r="F633" s="629"/>
      <c r="G633" s="629">
        <f t="shared" si="74"/>
        <v>298</v>
      </c>
      <c r="H633" s="632">
        <v>31</v>
      </c>
      <c r="I633" s="632">
        <v>28</v>
      </c>
      <c r="J633" s="629">
        <v>239</v>
      </c>
      <c r="K633" s="632">
        <v>1</v>
      </c>
      <c r="L633" s="632">
        <v>0</v>
      </c>
      <c r="M633" s="632">
        <v>3</v>
      </c>
      <c r="N633" s="632">
        <v>0</v>
      </c>
      <c r="R633" s="283"/>
      <c r="V633" s="283"/>
    </row>
    <row r="634" spans="1:22" s="263" customFormat="1" ht="9" customHeight="1" x14ac:dyDescent="0.25">
      <c r="A634" s="550" t="s">
        <v>29</v>
      </c>
      <c r="B634" s="629">
        <f t="shared" si="72"/>
        <v>673</v>
      </c>
      <c r="C634" s="629"/>
      <c r="D634" s="631">
        <f t="shared" si="73"/>
        <v>667</v>
      </c>
      <c r="E634" s="632">
        <v>172</v>
      </c>
      <c r="F634" s="629"/>
      <c r="G634" s="629">
        <f t="shared" si="74"/>
        <v>489</v>
      </c>
      <c r="H634" s="632">
        <v>80</v>
      </c>
      <c r="I634" s="632">
        <v>71</v>
      </c>
      <c r="J634" s="629">
        <v>338</v>
      </c>
      <c r="K634" s="632">
        <v>0</v>
      </c>
      <c r="L634" s="632">
        <v>0</v>
      </c>
      <c r="M634" s="632">
        <v>6</v>
      </c>
      <c r="N634" s="632">
        <v>6</v>
      </c>
      <c r="R634" s="283"/>
      <c r="V634" s="283"/>
    </row>
    <row r="635" spans="1:22" s="263" customFormat="1" ht="9" customHeight="1" x14ac:dyDescent="0.25">
      <c r="A635" s="603" t="s">
        <v>30</v>
      </c>
      <c r="B635" s="630">
        <f t="shared" si="72"/>
        <v>3368</v>
      </c>
      <c r="C635" s="630"/>
      <c r="D635" s="633">
        <f t="shared" si="73"/>
        <v>3336</v>
      </c>
      <c r="E635" s="634">
        <v>221</v>
      </c>
      <c r="F635" s="630"/>
      <c r="G635" s="630">
        <f t="shared" si="74"/>
        <v>2979</v>
      </c>
      <c r="H635" s="634">
        <v>444</v>
      </c>
      <c r="I635" s="634">
        <v>305</v>
      </c>
      <c r="J635" s="630">
        <v>2230</v>
      </c>
      <c r="K635" s="634">
        <v>59</v>
      </c>
      <c r="L635" s="634">
        <v>56</v>
      </c>
      <c r="M635" s="634">
        <v>21</v>
      </c>
      <c r="N635" s="634">
        <v>32</v>
      </c>
      <c r="R635" s="283"/>
      <c r="V635" s="283"/>
    </row>
    <row r="636" spans="1:22" s="263" customFormat="1" ht="9" customHeight="1" x14ac:dyDescent="0.25">
      <c r="A636" s="550" t="s">
        <v>63</v>
      </c>
      <c r="B636" s="629">
        <f t="shared" si="72"/>
        <v>4464</v>
      </c>
      <c r="C636" s="629"/>
      <c r="D636" s="631">
        <f t="shared" si="73"/>
        <v>4383</v>
      </c>
      <c r="E636" s="632">
        <v>476</v>
      </c>
      <c r="F636" s="629"/>
      <c r="G636" s="629">
        <f t="shared" si="74"/>
        <v>3630</v>
      </c>
      <c r="H636" s="632">
        <v>582</v>
      </c>
      <c r="I636" s="632">
        <v>359</v>
      </c>
      <c r="J636" s="629">
        <v>2689</v>
      </c>
      <c r="K636" s="632">
        <v>41</v>
      </c>
      <c r="L636" s="632">
        <v>173</v>
      </c>
      <c r="M636" s="632">
        <v>63</v>
      </c>
      <c r="N636" s="632">
        <v>81</v>
      </c>
      <c r="R636" s="283"/>
      <c r="V636" s="283"/>
    </row>
    <row r="637" spans="1:22" s="263" customFormat="1" ht="9" customHeight="1" x14ac:dyDescent="0.25">
      <c r="A637" s="550" t="s">
        <v>31</v>
      </c>
      <c r="B637" s="629">
        <f t="shared" si="72"/>
        <v>386</v>
      </c>
      <c r="C637" s="629"/>
      <c r="D637" s="631">
        <f t="shared" si="73"/>
        <v>380</v>
      </c>
      <c r="E637" s="632">
        <v>46</v>
      </c>
      <c r="F637" s="629"/>
      <c r="G637" s="629">
        <f t="shared" si="74"/>
        <v>323</v>
      </c>
      <c r="H637" s="632">
        <v>52</v>
      </c>
      <c r="I637" s="632">
        <v>44</v>
      </c>
      <c r="J637" s="629">
        <v>227</v>
      </c>
      <c r="K637" s="632">
        <v>2</v>
      </c>
      <c r="L637" s="632">
        <v>7</v>
      </c>
      <c r="M637" s="632">
        <v>2</v>
      </c>
      <c r="N637" s="632">
        <v>6</v>
      </c>
      <c r="R637" s="283"/>
      <c r="V637" s="283"/>
    </row>
    <row r="638" spans="1:22" s="263" customFormat="1" ht="9" customHeight="1" x14ac:dyDescent="0.25">
      <c r="A638" s="550" t="s">
        <v>32</v>
      </c>
      <c r="B638" s="629">
        <f t="shared" si="72"/>
        <v>2810</v>
      </c>
      <c r="C638" s="629"/>
      <c r="D638" s="631">
        <f t="shared" si="73"/>
        <v>2796</v>
      </c>
      <c r="E638" s="632">
        <v>488</v>
      </c>
      <c r="F638" s="629"/>
      <c r="G638" s="629">
        <f t="shared" si="74"/>
        <v>2216</v>
      </c>
      <c r="H638" s="632">
        <v>331</v>
      </c>
      <c r="I638" s="632">
        <v>315</v>
      </c>
      <c r="J638" s="629">
        <v>1570</v>
      </c>
      <c r="K638" s="632">
        <v>13</v>
      </c>
      <c r="L638" s="632">
        <v>3</v>
      </c>
      <c r="M638" s="632">
        <v>76</v>
      </c>
      <c r="N638" s="632">
        <v>14</v>
      </c>
      <c r="R638" s="283"/>
      <c r="V638" s="283"/>
    </row>
    <row r="639" spans="1:22" s="263" customFormat="1" ht="9" customHeight="1" x14ac:dyDescent="0.25">
      <c r="A639" s="603" t="s">
        <v>33</v>
      </c>
      <c r="B639" s="630">
        <f t="shared" si="72"/>
        <v>1043</v>
      </c>
      <c r="C639" s="630"/>
      <c r="D639" s="633">
        <f t="shared" si="73"/>
        <v>993</v>
      </c>
      <c r="E639" s="634">
        <v>140</v>
      </c>
      <c r="F639" s="630"/>
      <c r="G639" s="630">
        <f t="shared" si="74"/>
        <v>805</v>
      </c>
      <c r="H639" s="634">
        <v>138</v>
      </c>
      <c r="I639" s="634">
        <v>115</v>
      </c>
      <c r="J639" s="630">
        <v>552</v>
      </c>
      <c r="K639" s="634">
        <v>2</v>
      </c>
      <c r="L639" s="634">
        <v>0</v>
      </c>
      <c r="M639" s="634">
        <v>46</v>
      </c>
      <c r="N639" s="634">
        <v>50</v>
      </c>
      <c r="R639" s="283"/>
      <c r="V639" s="283"/>
    </row>
    <row r="640" spans="1:22" s="263" customFormat="1" ht="9" customHeight="1" x14ac:dyDescent="0.25">
      <c r="A640" s="550" t="s">
        <v>34</v>
      </c>
      <c r="B640" s="629">
        <f t="shared" si="72"/>
        <v>1236</v>
      </c>
      <c r="C640" s="629"/>
      <c r="D640" s="631">
        <f t="shared" si="73"/>
        <v>1230</v>
      </c>
      <c r="E640" s="632">
        <v>199</v>
      </c>
      <c r="F640" s="629"/>
      <c r="G640" s="629">
        <f t="shared" si="74"/>
        <v>985</v>
      </c>
      <c r="H640" s="632">
        <v>151</v>
      </c>
      <c r="I640" s="632">
        <v>135</v>
      </c>
      <c r="J640" s="629">
        <v>699</v>
      </c>
      <c r="K640" s="632">
        <v>10</v>
      </c>
      <c r="L640" s="632">
        <v>6</v>
      </c>
      <c r="M640" s="632">
        <v>30</v>
      </c>
      <c r="N640" s="632">
        <v>6</v>
      </c>
      <c r="R640" s="283"/>
      <c r="V640" s="283"/>
    </row>
    <row r="641" spans="1:22" s="263" customFormat="1" ht="9" customHeight="1" x14ac:dyDescent="0.25">
      <c r="A641" s="550" t="s">
        <v>35</v>
      </c>
      <c r="B641" s="629">
        <f t="shared" si="72"/>
        <v>8728</v>
      </c>
      <c r="C641" s="629"/>
      <c r="D641" s="631">
        <f t="shared" si="73"/>
        <v>8700</v>
      </c>
      <c r="E641" s="632">
        <v>524</v>
      </c>
      <c r="F641" s="629"/>
      <c r="G641" s="629">
        <f t="shared" si="74"/>
        <v>8064</v>
      </c>
      <c r="H641" s="632">
        <v>1482</v>
      </c>
      <c r="I641" s="632">
        <v>681</v>
      </c>
      <c r="J641" s="629">
        <v>5901</v>
      </c>
      <c r="K641" s="632">
        <v>27</v>
      </c>
      <c r="L641" s="632">
        <v>56</v>
      </c>
      <c r="M641" s="632">
        <v>29</v>
      </c>
      <c r="N641" s="632">
        <v>28</v>
      </c>
      <c r="R641" s="283"/>
      <c r="V641" s="283"/>
    </row>
    <row r="642" spans="1:22" s="263" customFormat="1" ht="9" customHeight="1" x14ac:dyDescent="0.25">
      <c r="A642" s="550" t="s">
        <v>36</v>
      </c>
      <c r="B642" s="629">
        <f t="shared" si="72"/>
        <v>5935</v>
      </c>
      <c r="C642" s="629"/>
      <c r="D642" s="631">
        <f t="shared" si="73"/>
        <v>5865</v>
      </c>
      <c r="E642" s="632">
        <v>882</v>
      </c>
      <c r="F642" s="629"/>
      <c r="G642" s="629">
        <f t="shared" si="74"/>
        <v>4826</v>
      </c>
      <c r="H642" s="632">
        <v>713</v>
      </c>
      <c r="I642" s="632">
        <v>595</v>
      </c>
      <c r="J642" s="629">
        <v>3518</v>
      </c>
      <c r="K642" s="632">
        <v>10</v>
      </c>
      <c r="L642" s="632">
        <v>8</v>
      </c>
      <c r="M642" s="632">
        <v>139</v>
      </c>
      <c r="N642" s="632">
        <v>70</v>
      </c>
      <c r="R642" s="283"/>
      <c r="V642" s="283"/>
    </row>
    <row r="643" spans="1:22" s="263" customFormat="1" ht="9" customHeight="1" x14ac:dyDescent="0.25">
      <c r="A643" s="603" t="s">
        <v>37</v>
      </c>
      <c r="B643" s="630">
        <f t="shared" si="72"/>
        <v>1886</v>
      </c>
      <c r="C643" s="630"/>
      <c r="D643" s="633">
        <f t="shared" si="73"/>
        <v>1884</v>
      </c>
      <c r="E643" s="634">
        <v>405</v>
      </c>
      <c r="F643" s="630"/>
      <c r="G643" s="630">
        <f t="shared" si="74"/>
        <v>1418</v>
      </c>
      <c r="H643" s="634">
        <v>238</v>
      </c>
      <c r="I643" s="634">
        <v>194</v>
      </c>
      <c r="J643" s="630">
        <v>986</v>
      </c>
      <c r="K643" s="634">
        <v>13</v>
      </c>
      <c r="L643" s="634">
        <v>40</v>
      </c>
      <c r="M643" s="634">
        <v>8</v>
      </c>
      <c r="N643" s="634">
        <v>2</v>
      </c>
      <c r="R643" s="283"/>
      <c r="V643" s="283"/>
    </row>
    <row r="644" spans="1:22" s="263" customFormat="1" ht="9" customHeight="1" x14ac:dyDescent="0.25">
      <c r="A644" s="550" t="s">
        <v>38</v>
      </c>
      <c r="B644" s="629">
        <f t="shared" si="72"/>
        <v>530</v>
      </c>
      <c r="C644" s="629"/>
      <c r="D644" s="631">
        <f t="shared" si="73"/>
        <v>529</v>
      </c>
      <c r="E644" s="632">
        <v>81</v>
      </c>
      <c r="F644" s="629"/>
      <c r="G644" s="629">
        <f t="shared" si="74"/>
        <v>447</v>
      </c>
      <c r="H644" s="632">
        <v>64</v>
      </c>
      <c r="I644" s="632">
        <v>45</v>
      </c>
      <c r="J644" s="629">
        <v>338</v>
      </c>
      <c r="K644" s="632">
        <v>0</v>
      </c>
      <c r="L644" s="632">
        <v>0</v>
      </c>
      <c r="M644" s="632">
        <v>1</v>
      </c>
      <c r="N644" s="632">
        <v>1</v>
      </c>
      <c r="R644" s="283"/>
      <c r="V644" s="283"/>
    </row>
    <row r="645" spans="1:22" s="263" customFormat="1" ht="9" customHeight="1" x14ac:dyDescent="0.25">
      <c r="A645" s="550" t="s">
        <v>39</v>
      </c>
      <c r="B645" s="629">
        <f t="shared" si="72"/>
        <v>81</v>
      </c>
      <c r="C645" s="629"/>
      <c r="D645" s="631">
        <f t="shared" si="73"/>
        <v>79</v>
      </c>
      <c r="E645" s="632">
        <v>12</v>
      </c>
      <c r="F645" s="629"/>
      <c r="G645" s="629">
        <f t="shared" si="74"/>
        <v>67</v>
      </c>
      <c r="H645" s="632">
        <v>12</v>
      </c>
      <c r="I645" s="632">
        <v>9</v>
      </c>
      <c r="J645" s="629">
        <v>46</v>
      </c>
      <c r="K645" s="632">
        <v>0</v>
      </c>
      <c r="L645" s="632">
        <v>0</v>
      </c>
      <c r="M645" s="632">
        <v>0</v>
      </c>
      <c r="N645" s="632">
        <v>2</v>
      </c>
      <c r="R645" s="283"/>
      <c r="V645" s="283"/>
    </row>
    <row r="646" spans="1:22" s="263" customFormat="1" ht="9" customHeight="1" x14ac:dyDescent="0.25">
      <c r="A646" s="550" t="s">
        <v>40</v>
      </c>
      <c r="B646" s="629">
        <f t="shared" si="72"/>
        <v>21937</v>
      </c>
      <c r="C646" s="629"/>
      <c r="D646" s="631">
        <f t="shared" si="73"/>
        <v>21885</v>
      </c>
      <c r="E646" s="632">
        <v>252</v>
      </c>
      <c r="F646" s="629"/>
      <c r="G646" s="629">
        <f t="shared" si="74"/>
        <v>21309</v>
      </c>
      <c r="H646" s="632">
        <v>3909</v>
      </c>
      <c r="I646" s="632">
        <v>2761</v>
      </c>
      <c r="J646" s="629">
        <v>14639</v>
      </c>
      <c r="K646" s="632">
        <v>49</v>
      </c>
      <c r="L646" s="632">
        <v>207</v>
      </c>
      <c r="M646" s="632">
        <v>68</v>
      </c>
      <c r="N646" s="632">
        <v>52</v>
      </c>
      <c r="R646" s="283"/>
      <c r="V646" s="283"/>
    </row>
    <row r="647" spans="1:22" s="263" customFormat="1" ht="9" customHeight="1" x14ac:dyDescent="0.25">
      <c r="A647" s="603" t="s">
        <v>41</v>
      </c>
      <c r="B647" s="630">
        <f t="shared" si="72"/>
        <v>1141</v>
      </c>
      <c r="C647" s="630"/>
      <c r="D647" s="633">
        <f t="shared" si="73"/>
        <v>1133</v>
      </c>
      <c r="E647" s="634">
        <v>218</v>
      </c>
      <c r="F647" s="630"/>
      <c r="G647" s="630">
        <f t="shared" si="74"/>
        <v>901</v>
      </c>
      <c r="H647" s="634">
        <v>128</v>
      </c>
      <c r="I647" s="634">
        <v>118</v>
      </c>
      <c r="J647" s="630">
        <v>655</v>
      </c>
      <c r="K647" s="634">
        <v>0</v>
      </c>
      <c r="L647" s="634">
        <v>0</v>
      </c>
      <c r="M647" s="634">
        <v>14</v>
      </c>
      <c r="N647" s="634">
        <v>8</v>
      </c>
      <c r="R647" s="283"/>
      <c r="V647" s="283"/>
    </row>
    <row r="648" spans="1:22" s="263" customFormat="1" ht="9" customHeight="1" x14ac:dyDescent="0.25">
      <c r="A648" s="550" t="s">
        <v>42</v>
      </c>
      <c r="B648" s="629">
        <f t="shared" si="72"/>
        <v>2234</v>
      </c>
      <c r="C648" s="629"/>
      <c r="D648" s="631">
        <f t="shared" si="73"/>
        <v>2220</v>
      </c>
      <c r="E648" s="632">
        <v>322</v>
      </c>
      <c r="F648" s="629"/>
      <c r="G648" s="629">
        <f t="shared" si="74"/>
        <v>1864</v>
      </c>
      <c r="H648" s="632">
        <v>227</v>
      </c>
      <c r="I648" s="632">
        <v>241</v>
      </c>
      <c r="J648" s="629">
        <v>1396</v>
      </c>
      <c r="K648" s="632">
        <v>2</v>
      </c>
      <c r="L648" s="632">
        <v>7</v>
      </c>
      <c r="M648" s="632">
        <v>25</v>
      </c>
      <c r="N648" s="632">
        <v>14</v>
      </c>
      <c r="R648" s="283"/>
      <c r="V648" s="283"/>
    </row>
    <row r="649" spans="1:22" s="263" customFormat="1" ht="9" customHeight="1" x14ac:dyDescent="0.25">
      <c r="A649" s="550" t="s">
        <v>43</v>
      </c>
      <c r="B649" s="629">
        <f t="shared" si="72"/>
        <v>1487</v>
      </c>
      <c r="C649" s="629"/>
      <c r="D649" s="631">
        <f t="shared" si="73"/>
        <v>1477</v>
      </c>
      <c r="E649" s="632">
        <v>159</v>
      </c>
      <c r="F649" s="629"/>
      <c r="G649" s="629">
        <f t="shared" si="74"/>
        <v>1264</v>
      </c>
      <c r="H649" s="632">
        <v>156</v>
      </c>
      <c r="I649" s="632">
        <v>167</v>
      </c>
      <c r="J649" s="629">
        <v>941</v>
      </c>
      <c r="K649" s="632">
        <v>1</v>
      </c>
      <c r="L649" s="632">
        <v>0</v>
      </c>
      <c r="M649" s="632">
        <v>53</v>
      </c>
      <c r="N649" s="632">
        <v>10</v>
      </c>
      <c r="R649" s="283"/>
      <c r="V649" s="283"/>
    </row>
    <row r="650" spans="1:22" s="263" customFormat="1" ht="9" customHeight="1" x14ac:dyDescent="0.25">
      <c r="A650" s="550" t="s">
        <v>44</v>
      </c>
      <c r="B650" s="629">
        <f t="shared" si="72"/>
        <v>396</v>
      </c>
      <c r="C650" s="629"/>
      <c r="D650" s="631">
        <f t="shared" si="73"/>
        <v>387</v>
      </c>
      <c r="E650" s="632">
        <v>57</v>
      </c>
      <c r="F650" s="629"/>
      <c r="G650" s="629">
        <f t="shared" si="74"/>
        <v>310</v>
      </c>
      <c r="H650" s="632">
        <v>57</v>
      </c>
      <c r="I650" s="632">
        <v>54</v>
      </c>
      <c r="J650" s="629">
        <v>199</v>
      </c>
      <c r="K650" s="632">
        <v>5</v>
      </c>
      <c r="L650" s="632">
        <v>0</v>
      </c>
      <c r="M650" s="632">
        <v>15</v>
      </c>
      <c r="N650" s="550">
        <v>9</v>
      </c>
      <c r="R650" s="283"/>
      <c r="V650" s="283"/>
    </row>
    <row r="651" spans="1:22" s="263" customFormat="1" ht="9" customHeight="1" x14ac:dyDescent="0.25">
      <c r="A651" s="603" t="s">
        <v>45</v>
      </c>
      <c r="B651" s="630">
        <f t="shared" si="72"/>
        <v>3653</v>
      </c>
      <c r="C651" s="630"/>
      <c r="D651" s="633">
        <f t="shared" si="73"/>
        <v>3642</v>
      </c>
      <c r="E651" s="634">
        <v>64</v>
      </c>
      <c r="F651" s="630"/>
      <c r="G651" s="630">
        <f t="shared" si="74"/>
        <v>3557</v>
      </c>
      <c r="H651" s="634">
        <v>679</v>
      </c>
      <c r="I651" s="634">
        <v>520</v>
      </c>
      <c r="J651" s="630">
        <v>2358</v>
      </c>
      <c r="K651" s="634">
        <v>0</v>
      </c>
      <c r="L651" s="634">
        <v>6</v>
      </c>
      <c r="M651" s="634">
        <v>15</v>
      </c>
      <c r="N651" s="634">
        <v>11</v>
      </c>
      <c r="R651" s="283"/>
      <c r="V651" s="283"/>
    </row>
    <row r="652" spans="1:22" s="263" customFormat="1" ht="9" customHeight="1" x14ac:dyDescent="0.25">
      <c r="A652" s="550" t="s">
        <v>46</v>
      </c>
      <c r="B652" s="629">
        <f t="shared" si="72"/>
        <v>1376</v>
      </c>
      <c r="C652" s="629"/>
      <c r="D652" s="631">
        <f t="shared" si="73"/>
        <v>1374</v>
      </c>
      <c r="E652" s="632">
        <v>131</v>
      </c>
      <c r="F652" s="629"/>
      <c r="G652" s="629">
        <f t="shared" si="74"/>
        <v>1224</v>
      </c>
      <c r="H652" s="632">
        <v>253</v>
      </c>
      <c r="I652" s="632">
        <v>150</v>
      </c>
      <c r="J652" s="629">
        <v>821</v>
      </c>
      <c r="K652" s="632">
        <v>0</v>
      </c>
      <c r="L652" s="632">
        <v>0</v>
      </c>
      <c r="M652" s="632">
        <v>19</v>
      </c>
      <c r="N652" s="632">
        <v>2</v>
      </c>
      <c r="R652" s="283"/>
      <c r="V652" s="283"/>
    </row>
    <row r="653" spans="1:22" s="263" customFormat="1" ht="9" customHeight="1" x14ac:dyDescent="0.25">
      <c r="A653" s="550" t="s">
        <v>47</v>
      </c>
      <c r="B653" s="629">
        <f t="shared" si="72"/>
        <v>1660</v>
      </c>
      <c r="C653" s="629"/>
      <c r="D653" s="631">
        <f t="shared" si="73"/>
        <v>1652</v>
      </c>
      <c r="E653" s="632">
        <v>124</v>
      </c>
      <c r="F653" s="629"/>
      <c r="G653" s="629">
        <f t="shared" si="74"/>
        <v>1509</v>
      </c>
      <c r="H653" s="632">
        <v>307</v>
      </c>
      <c r="I653" s="632">
        <v>159</v>
      </c>
      <c r="J653" s="629">
        <v>1043</v>
      </c>
      <c r="K653" s="632">
        <v>0</v>
      </c>
      <c r="L653" s="632">
        <v>0</v>
      </c>
      <c r="M653" s="632">
        <v>19</v>
      </c>
      <c r="N653" s="632">
        <v>8</v>
      </c>
      <c r="R653" s="283"/>
      <c r="V653" s="283"/>
    </row>
    <row r="654" spans="1:22" s="263" customFormat="1" ht="9" customHeight="1" x14ac:dyDescent="0.25">
      <c r="A654" s="550" t="s">
        <v>48</v>
      </c>
      <c r="B654" s="629">
        <f t="shared" si="72"/>
        <v>510</v>
      </c>
      <c r="C654" s="629"/>
      <c r="D654" s="631">
        <f t="shared" si="73"/>
        <v>506</v>
      </c>
      <c r="E654" s="632">
        <v>104</v>
      </c>
      <c r="F654" s="629"/>
      <c r="G654" s="629">
        <f t="shared" si="74"/>
        <v>397</v>
      </c>
      <c r="H654" s="632">
        <v>57</v>
      </c>
      <c r="I654" s="632">
        <v>64</v>
      </c>
      <c r="J654" s="629">
        <v>276</v>
      </c>
      <c r="K654" s="632">
        <v>0</v>
      </c>
      <c r="L654" s="632">
        <v>0</v>
      </c>
      <c r="M654" s="632">
        <v>5</v>
      </c>
      <c r="N654" s="632">
        <v>4</v>
      </c>
      <c r="R654" s="283"/>
      <c r="V654" s="283"/>
    </row>
    <row r="655" spans="1:22" s="263" customFormat="1" ht="9" customHeight="1" x14ac:dyDescent="0.25">
      <c r="A655" s="603" t="s">
        <v>49</v>
      </c>
      <c r="B655" s="630">
        <f t="shared" si="72"/>
        <v>1546</v>
      </c>
      <c r="C655" s="630"/>
      <c r="D655" s="633">
        <f t="shared" si="73"/>
        <v>1537</v>
      </c>
      <c r="E655" s="634">
        <v>247</v>
      </c>
      <c r="F655" s="630"/>
      <c r="G655" s="630">
        <f t="shared" si="74"/>
        <v>1268</v>
      </c>
      <c r="H655" s="634">
        <v>195</v>
      </c>
      <c r="I655" s="634">
        <v>141</v>
      </c>
      <c r="J655" s="630">
        <v>932</v>
      </c>
      <c r="K655" s="634">
        <v>3</v>
      </c>
      <c r="L655" s="634">
        <v>0</v>
      </c>
      <c r="M655" s="634">
        <v>19</v>
      </c>
      <c r="N655" s="634">
        <v>9</v>
      </c>
      <c r="R655" s="283"/>
      <c r="V655" s="283"/>
    </row>
    <row r="656" spans="1:22" s="263" customFormat="1" ht="9" customHeight="1" x14ac:dyDescent="0.25">
      <c r="A656" s="550" t="s">
        <v>50</v>
      </c>
      <c r="B656" s="629">
        <f t="shared" si="72"/>
        <v>338</v>
      </c>
      <c r="C656" s="629"/>
      <c r="D656" s="631">
        <f t="shared" si="73"/>
        <v>338</v>
      </c>
      <c r="E656" s="632">
        <v>47</v>
      </c>
      <c r="F656" s="629"/>
      <c r="G656" s="629">
        <f t="shared" si="74"/>
        <v>287</v>
      </c>
      <c r="H656" s="632">
        <v>35</v>
      </c>
      <c r="I656" s="632">
        <v>32</v>
      </c>
      <c r="J656" s="629">
        <v>220</v>
      </c>
      <c r="K656" s="632">
        <v>0</v>
      </c>
      <c r="L656" s="632">
        <v>0</v>
      </c>
      <c r="M656" s="632">
        <v>4</v>
      </c>
      <c r="N656" s="632">
        <v>0</v>
      </c>
      <c r="R656" s="283"/>
      <c r="V656" s="283"/>
    </row>
    <row r="657" spans="1:22" s="263" customFormat="1" ht="9" customHeight="1" x14ac:dyDescent="0.25">
      <c r="A657" s="550" t="s">
        <v>51</v>
      </c>
      <c r="B657" s="629">
        <f t="shared" si="72"/>
        <v>1298</v>
      </c>
      <c r="C657" s="629"/>
      <c r="D657" s="631">
        <f t="shared" si="73"/>
        <v>1290</v>
      </c>
      <c r="E657" s="632">
        <v>194</v>
      </c>
      <c r="F657" s="629"/>
      <c r="G657" s="629">
        <f t="shared" si="74"/>
        <v>1058</v>
      </c>
      <c r="H657" s="632">
        <v>184</v>
      </c>
      <c r="I657" s="632">
        <v>146</v>
      </c>
      <c r="J657" s="629">
        <v>728</v>
      </c>
      <c r="K657" s="632">
        <v>11</v>
      </c>
      <c r="L657" s="632">
        <v>11</v>
      </c>
      <c r="M657" s="632">
        <v>16</v>
      </c>
      <c r="N657" s="632">
        <v>8</v>
      </c>
      <c r="R657" s="283"/>
      <c r="V657" s="283"/>
    </row>
    <row r="658" spans="1:22" s="263" customFormat="1" ht="9" customHeight="1" x14ac:dyDescent="0.25">
      <c r="A658" s="550" t="s">
        <v>52</v>
      </c>
      <c r="B658" s="629">
        <f t="shared" si="72"/>
        <v>726</v>
      </c>
      <c r="C658" s="629"/>
      <c r="D658" s="631">
        <f t="shared" si="73"/>
        <v>724</v>
      </c>
      <c r="E658" s="632">
        <v>41</v>
      </c>
      <c r="F658" s="629"/>
      <c r="G658" s="629">
        <f t="shared" si="74"/>
        <v>666</v>
      </c>
      <c r="H658" s="632">
        <v>86</v>
      </c>
      <c r="I658" s="632">
        <v>87</v>
      </c>
      <c r="J658" s="629">
        <v>493</v>
      </c>
      <c r="K658" s="632">
        <v>0</v>
      </c>
      <c r="L658" s="632">
        <v>0</v>
      </c>
      <c r="M658" s="632">
        <v>17</v>
      </c>
      <c r="N658" s="632">
        <v>2</v>
      </c>
      <c r="R658" s="283"/>
      <c r="V658" s="283"/>
    </row>
    <row r="659" spans="1:22" s="263" customFormat="1" ht="9" customHeight="1" x14ac:dyDescent="0.25">
      <c r="A659" s="603" t="s">
        <v>53</v>
      </c>
      <c r="B659" s="630">
        <f t="shared" si="72"/>
        <v>712</v>
      </c>
      <c r="C659" s="630"/>
      <c r="D659" s="633">
        <f t="shared" si="73"/>
        <v>711</v>
      </c>
      <c r="E659" s="634">
        <v>108</v>
      </c>
      <c r="F659" s="630"/>
      <c r="G659" s="630">
        <f t="shared" si="74"/>
        <v>596</v>
      </c>
      <c r="H659" s="634">
        <v>99</v>
      </c>
      <c r="I659" s="634">
        <v>73</v>
      </c>
      <c r="J659" s="630">
        <v>424</v>
      </c>
      <c r="K659" s="634">
        <v>0</v>
      </c>
      <c r="L659" s="634">
        <v>0</v>
      </c>
      <c r="M659" s="634">
        <v>7</v>
      </c>
      <c r="N659" s="634">
        <v>1</v>
      </c>
      <c r="R659" s="283"/>
      <c r="V659" s="283"/>
    </row>
    <row r="660" spans="1:22" ht="3" customHeight="1" x14ac:dyDescent="0.25">
      <c r="A660" s="257"/>
      <c r="B660" s="257"/>
      <c r="C660" s="257"/>
      <c r="D660" s="257"/>
      <c r="E660" s="257"/>
      <c r="F660" s="257"/>
      <c r="G660" s="257"/>
      <c r="H660" s="257"/>
      <c r="I660" s="257"/>
      <c r="J660" s="257"/>
      <c r="K660" s="257"/>
      <c r="L660" s="257"/>
      <c r="M660" s="257"/>
      <c r="N660" s="257"/>
    </row>
    <row r="661" spans="1:22" ht="3" customHeight="1" x14ac:dyDescent="0.25">
      <c r="A661" s="307"/>
    </row>
    <row r="662" spans="1:22" ht="9" customHeight="1" x14ac:dyDescent="0.15">
      <c r="A662" s="311" t="s">
        <v>475</v>
      </c>
    </row>
    <row r="663" spans="1:22" s="260" customFormat="1" ht="9.6" customHeight="1" x14ac:dyDescent="0.15">
      <c r="A663" s="308" t="s">
        <v>476</v>
      </c>
    </row>
    <row r="664" spans="1:22" s="260" customFormat="1" ht="9" customHeight="1" x14ac:dyDescent="0.25">
      <c r="A664" s="607" t="s">
        <v>445</v>
      </c>
      <c r="B664" s="608"/>
    </row>
    <row r="665" spans="1:22" ht="11.25" hidden="1" customHeight="1" x14ac:dyDescent="0.25">
      <c r="A665" s="307"/>
      <c r="O665" s="258" t="s">
        <v>74</v>
      </c>
    </row>
    <row r="666" spans="1:22" ht="11.25" hidden="1" customHeight="1" x14ac:dyDescent="0.25"/>
  </sheetData>
  <sheetProtection sheet="1" objects="1" scenarios="1"/>
  <mergeCells count="9">
    <mergeCell ref="M1:N1"/>
    <mergeCell ref="A6:A10"/>
    <mergeCell ref="N6:N9"/>
    <mergeCell ref="E7:E9"/>
    <mergeCell ref="K7:K9"/>
    <mergeCell ref="L7:L9"/>
    <mergeCell ref="M7:M9"/>
    <mergeCell ref="H9:H10"/>
    <mergeCell ref="I9:I10"/>
  </mergeCells>
  <hyperlinks>
    <hyperlink ref="M1" location="Índice!A1" display="Índice!A1"/>
    <hyperlink ref="M1:N1" location="Índice!A1" tooltip="Ir a Índice" display="Índice!A1"/>
  </hyperlinks>
  <printOptions horizontalCentered="1" verticalCentered="1"/>
  <pageMargins left="0.39370078740157483" right="0.39370078740157483" top="0.39370078740157483" bottom="0.39370078740157483" header="0.39370078740157483" footer="0.39370078740157483"/>
  <pageSetup orientation="portrait" r:id="rId1"/>
  <headerFooter>
    <oddHeader>&amp;L&amp;"Arial,Normal"&amp;10&amp;K000080INEGI. Anuario estadístico y geográfico por entidad federativa 2019.</oddHeader>
  </headerFooter>
  <rowBreaks count="8" manualBreakCount="8">
    <brk id="84" max="13" man="1"/>
    <brk id="156" max="13" man="1"/>
    <brk id="228" max="13" man="1"/>
    <brk id="300" max="13" man="1"/>
    <brk id="372" max="13" man="1"/>
    <brk id="444" max="13" man="1"/>
    <brk id="516" max="13" man="1"/>
    <brk id="588" max="13" man="1"/>
  </rowBreak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910"/>
  <sheetViews>
    <sheetView showGridLines="0" showRowColHeaders="0" zoomScale="130" zoomScaleNormal="130" workbookViewId="0">
      <pane xSplit="1" ySplit="13" topLeftCell="B14" activePane="bottomRight" state="frozen"/>
      <selection activeCell="B5" sqref="B5"/>
      <selection pane="topRight" activeCell="B5" sqref="B5"/>
      <selection pane="bottomLeft" activeCell="B5" sqref="B5"/>
      <selection pane="bottomRight"/>
    </sheetView>
  </sheetViews>
  <sheetFormatPr baseColWidth="10" defaultColWidth="0" defaultRowHeight="11.25" customHeight="1" zeroHeight="1" x14ac:dyDescent="0.25"/>
  <cols>
    <col min="1" max="1" width="17.7109375" style="258" customWidth="1"/>
    <col min="2" max="2" width="6.42578125" style="258" customWidth="1"/>
    <col min="3" max="3" width="8.5703125" style="258" customWidth="1"/>
    <col min="4" max="4" width="2" style="258" customWidth="1"/>
    <col min="5" max="5" width="6" style="258" customWidth="1"/>
    <col min="6" max="6" width="2" style="258" customWidth="1"/>
    <col min="7" max="7" width="6.7109375" style="258" customWidth="1"/>
    <col min="8" max="8" width="8.28515625" style="258" customWidth="1"/>
    <col min="9" max="9" width="7.7109375" style="258" customWidth="1"/>
    <col min="10" max="10" width="10.7109375" style="258" customWidth="1"/>
    <col min="11" max="12" width="8.7109375" style="258" customWidth="1"/>
    <col min="13" max="13" width="6.28515625" style="258" hidden="1" customWidth="1"/>
    <col min="14" max="14" width="5.5703125" style="258" hidden="1" customWidth="1"/>
    <col min="15" max="15" width="7.140625" style="258" hidden="1" customWidth="1"/>
    <col min="16" max="16" width="5.42578125" style="258" hidden="1" customWidth="1"/>
    <col min="17" max="21" width="7" style="258" hidden="1" customWidth="1"/>
    <col min="22" max="37" width="3.7109375" style="258" hidden="1" customWidth="1"/>
    <col min="38" max="16384" width="11.5703125" style="258" hidden="1"/>
  </cols>
  <sheetData>
    <row r="1" spans="1:13" s="256" customFormat="1" ht="12" customHeight="1" x14ac:dyDescent="0.2">
      <c r="A1" s="254" t="s">
        <v>479</v>
      </c>
      <c r="B1" s="255"/>
      <c r="C1" s="255"/>
      <c r="D1" s="255"/>
      <c r="E1" s="255"/>
      <c r="F1" s="255"/>
      <c r="G1" s="255"/>
      <c r="H1" s="255"/>
      <c r="I1" s="255"/>
      <c r="J1" s="255"/>
      <c r="K1" s="255"/>
      <c r="L1" s="761" t="s">
        <v>480</v>
      </c>
    </row>
    <row r="2" spans="1:13" s="256" customFormat="1" ht="12" customHeight="1" x14ac:dyDescent="0.25">
      <c r="A2" s="56" t="s">
        <v>423</v>
      </c>
      <c r="B2" s="255"/>
      <c r="C2" s="255"/>
      <c r="D2" s="255"/>
      <c r="E2" s="255"/>
      <c r="F2" s="255"/>
      <c r="G2" s="255"/>
      <c r="H2" s="255"/>
      <c r="I2" s="255"/>
      <c r="J2" s="255"/>
      <c r="K2" s="255"/>
      <c r="L2" s="255"/>
    </row>
    <row r="3" spans="1:13" ht="3" customHeight="1" x14ac:dyDescent="0.25">
      <c r="A3" s="257"/>
      <c r="B3" s="257"/>
      <c r="C3" s="257"/>
      <c r="D3" s="257"/>
      <c r="E3" s="257"/>
      <c r="F3" s="257"/>
      <c r="G3" s="257"/>
      <c r="H3" s="257"/>
      <c r="I3" s="257"/>
      <c r="J3" s="257"/>
      <c r="K3" s="257"/>
      <c r="L3" s="257"/>
    </row>
    <row r="4" spans="1:13" ht="3" customHeight="1" x14ac:dyDescent="0.25">
      <c r="A4" s="259"/>
      <c r="B4" s="259"/>
      <c r="C4" s="259"/>
      <c r="D4" s="259"/>
      <c r="E4" s="259"/>
      <c r="F4" s="259"/>
      <c r="G4" s="259"/>
      <c r="H4" s="259"/>
      <c r="I4" s="259"/>
      <c r="J4" s="259"/>
      <c r="K4" s="259"/>
      <c r="L4" s="259"/>
    </row>
    <row r="5" spans="1:13" s="260" customFormat="1" ht="8.25" customHeight="1" x14ac:dyDescent="0.15">
      <c r="A5" s="837" t="s">
        <v>4</v>
      </c>
      <c r="B5" s="756" t="s">
        <v>13</v>
      </c>
      <c r="C5" s="810" t="s">
        <v>481</v>
      </c>
      <c r="D5" s="635"/>
      <c r="E5" s="840" t="s">
        <v>482</v>
      </c>
      <c r="F5" s="840"/>
      <c r="G5" s="840"/>
      <c r="H5" s="840"/>
      <c r="I5" s="840"/>
      <c r="J5" s="840"/>
      <c r="K5" s="840"/>
      <c r="L5" s="840"/>
    </row>
    <row r="6" spans="1:13" s="260" customFormat="1" ht="9.9499999999999993" customHeight="1" x14ac:dyDescent="0.15">
      <c r="A6" s="838"/>
      <c r="C6" s="811"/>
      <c r="D6" s="756"/>
      <c r="E6" s="756" t="s">
        <v>13</v>
      </c>
      <c r="F6" s="756"/>
      <c r="G6" s="275" t="s">
        <v>483</v>
      </c>
      <c r="H6" s="275"/>
      <c r="I6" s="275"/>
      <c r="J6" s="839" t="s">
        <v>484</v>
      </c>
      <c r="K6" s="839" t="s">
        <v>485</v>
      </c>
      <c r="L6" s="839" t="s">
        <v>486</v>
      </c>
    </row>
    <row r="7" spans="1:13" s="260" customFormat="1" ht="9.6" customHeight="1" x14ac:dyDescent="0.15">
      <c r="A7" s="838"/>
      <c r="B7" s="756"/>
      <c r="D7" s="756"/>
      <c r="E7" s="756"/>
      <c r="F7" s="756"/>
      <c r="G7" s="756" t="s">
        <v>13</v>
      </c>
      <c r="H7" s="818" t="s">
        <v>487</v>
      </c>
      <c r="I7" s="756" t="s">
        <v>488</v>
      </c>
      <c r="J7" s="816"/>
      <c r="K7" s="816"/>
      <c r="L7" s="816"/>
    </row>
    <row r="8" spans="1:13" s="260" customFormat="1" ht="9.6" customHeight="1" x14ac:dyDescent="0.15">
      <c r="A8" s="838"/>
      <c r="B8" s="756"/>
      <c r="C8" s="756"/>
      <c r="D8" s="756"/>
      <c r="E8" s="756"/>
      <c r="F8" s="756"/>
      <c r="G8" s="320"/>
      <c r="H8" s="810"/>
      <c r="I8" s="320"/>
      <c r="J8" s="816"/>
      <c r="K8" s="816"/>
      <c r="L8" s="280"/>
    </row>
    <row r="9" spans="1:13" s="260" customFormat="1" ht="8.25" customHeight="1" x14ac:dyDescent="0.15">
      <c r="A9" s="838"/>
      <c r="B9" s="756"/>
      <c r="C9" s="756"/>
      <c r="D9" s="756"/>
      <c r="E9" s="756"/>
      <c r="F9" s="756"/>
      <c r="G9" s="756"/>
      <c r="H9" s="756"/>
      <c r="I9" s="756"/>
      <c r="J9" s="816"/>
      <c r="K9" s="281"/>
      <c r="L9" s="758"/>
    </row>
    <row r="10" spans="1:13" s="260" customFormat="1" ht="8.25" customHeight="1" x14ac:dyDescent="0.15">
      <c r="A10" s="838"/>
      <c r="B10" s="756"/>
      <c r="C10" s="756"/>
      <c r="D10" s="756"/>
      <c r="E10" s="756"/>
      <c r="F10" s="756"/>
      <c r="G10" s="756"/>
      <c r="H10" s="756"/>
      <c r="I10" s="756"/>
      <c r="J10" s="816"/>
      <c r="K10" s="758"/>
      <c r="L10" s="758"/>
    </row>
    <row r="11" spans="1:13" s="260" customFormat="1" ht="8.25" customHeight="1" x14ac:dyDescent="0.15">
      <c r="A11" s="838"/>
      <c r="B11" s="756"/>
      <c r="C11" s="756"/>
      <c r="D11" s="756"/>
      <c r="E11" s="756"/>
      <c r="F11" s="756"/>
      <c r="G11" s="756"/>
      <c r="H11" s="756"/>
      <c r="I11" s="756"/>
      <c r="J11" s="816"/>
      <c r="K11" s="758"/>
      <c r="L11" s="758"/>
    </row>
    <row r="12" spans="1:13" s="260" customFormat="1" ht="8.25" customHeight="1" x14ac:dyDescent="0.15">
      <c r="A12" s="838"/>
      <c r="B12" s="756"/>
      <c r="C12" s="756"/>
      <c r="D12" s="756"/>
      <c r="E12" s="756"/>
      <c r="F12" s="756"/>
      <c r="G12" s="756"/>
      <c r="H12" s="756"/>
      <c r="I12" s="756"/>
      <c r="J12" s="816"/>
      <c r="K12" s="758"/>
      <c r="L12" s="758"/>
    </row>
    <row r="13" spans="1:13" ht="3" customHeight="1" x14ac:dyDescent="0.2">
      <c r="A13" s="257"/>
      <c r="B13" s="321"/>
      <c r="C13" s="321"/>
      <c r="D13" s="321"/>
      <c r="E13" s="321"/>
      <c r="F13" s="321"/>
      <c r="G13" s="321"/>
      <c r="H13" s="321"/>
      <c r="I13" s="321"/>
      <c r="J13" s="321"/>
      <c r="K13" s="321"/>
      <c r="L13" s="321"/>
    </row>
    <row r="14" spans="1:13" ht="3" customHeight="1" x14ac:dyDescent="0.25">
      <c r="A14" s="259"/>
      <c r="B14" s="259"/>
      <c r="C14" s="259"/>
      <c r="D14" s="259"/>
      <c r="E14" s="259"/>
      <c r="F14" s="259"/>
      <c r="G14" s="259"/>
      <c r="H14" s="259"/>
      <c r="I14" s="259"/>
      <c r="J14" s="259"/>
      <c r="K14" s="259"/>
      <c r="L14" s="259"/>
    </row>
    <row r="15" spans="1:13" s="263" customFormat="1" ht="9" customHeight="1" x14ac:dyDescent="0.25">
      <c r="A15" s="261">
        <v>1995</v>
      </c>
      <c r="B15" s="262"/>
      <c r="C15" s="262"/>
      <c r="D15" s="262"/>
      <c r="E15" s="262"/>
      <c r="F15" s="262"/>
      <c r="G15" s="262"/>
      <c r="H15" s="262"/>
      <c r="I15" s="262"/>
      <c r="J15" s="262"/>
      <c r="K15" s="262"/>
      <c r="L15" s="262"/>
    </row>
    <row r="16" spans="1:13" s="265" customFormat="1" ht="9" customHeight="1" x14ac:dyDescent="0.25">
      <c r="A16" s="265" t="s">
        <v>21</v>
      </c>
      <c r="B16" s="325">
        <f>SUM(B18:B49)</f>
        <v>65224</v>
      </c>
      <c r="C16" s="325">
        <f>SUM(C18:C49)</f>
        <v>22379</v>
      </c>
      <c r="D16" s="325"/>
      <c r="E16" s="325">
        <f>SUM(E18:E49)</f>
        <v>42845</v>
      </c>
      <c r="F16" s="325"/>
      <c r="G16" s="325">
        <f t="shared" ref="G16:L16" si="0">SUM(G18:G49)</f>
        <v>22599</v>
      </c>
      <c r="H16" s="325">
        <f t="shared" si="0"/>
        <v>20762</v>
      </c>
      <c r="I16" s="325">
        <f t="shared" si="0"/>
        <v>1837</v>
      </c>
      <c r="J16" s="325">
        <f t="shared" si="0"/>
        <v>3029</v>
      </c>
      <c r="K16" s="325">
        <f t="shared" si="0"/>
        <v>8626</v>
      </c>
      <c r="L16" s="325">
        <f t="shared" si="0"/>
        <v>8591</v>
      </c>
      <c r="M16" s="325"/>
    </row>
    <row r="17" spans="1:13" s="265" customFormat="1" ht="3" customHeight="1" x14ac:dyDescent="0.25">
      <c r="B17" s="325"/>
      <c r="C17" s="325"/>
      <c r="D17" s="325"/>
      <c r="E17" s="325"/>
      <c r="F17" s="325"/>
      <c r="G17" s="325"/>
      <c r="H17" s="325"/>
      <c r="I17" s="325"/>
      <c r="J17" s="325"/>
      <c r="K17" s="325"/>
      <c r="L17" s="325"/>
      <c r="M17" s="325"/>
    </row>
    <row r="18" spans="1:13" s="263" customFormat="1" ht="9" customHeight="1" x14ac:dyDescent="0.25">
      <c r="A18" s="263" t="s">
        <v>23</v>
      </c>
      <c r="B18" s="326">
        <f>SUM(C18+E18)</f>
        <v>562</v>
      </c>
      <c r="C18" s="326">
        <v>150</v>
      </c>
      <c r="D18" s="326"/>
      <c r="E18" s="327">
        <f t="shared" ref="E18:E83" si="1">SUM(G18+J18+K18+L18)</f>
        <v>412</v>
      </c>
      <c r="F18" s="326"/>
      <c r="G18" s="326">
        <f>SUM(H18:I18)</f>
        <v>231</v>
      </c>
      <c r="H18" s="326">
        <v>217</v>
      </c>
      <c r="I18" s="266">
        <v>14</v>
      </c>
      <c r="J18" s="326">
        <v>9</v>
      </c>
      <c r="K18" s="326">
        <v>91</v>
      </c>
      <c r="L18" s="326">
        <v>81</v>
      </c>
      <c r="M18" s="327"/>
    </row>
    <row r="19" spans="1:13" s="263" customFormat="1" ht="9" customHeight="1" x14ac:dyDescent="0.25">
      <c r="A19" s="263" t="s">
        <v>24</v>
      </c>
      <c r="B19" s="326">
        <f t="shared" ref="B19:B49" si="2">SUM(C19+E19)</f>
        <v>1679</v>
      </c>
      <c r="C19" s="326">
        <v>672</v>
      </c>
      <c r="D19" s="326"/>
      <c r="E19" s="327">
        <f t="shared" si="1"/>
        <v>1007</v>
      </c>
      <c r="F19" s="326"/>
      <c r="G19" s="326">
        <f t="shared" ref="G19:G49" si="3">SUM(H19:I19)</f>
        <v>545</v>
      </c>
      <c r="H19" s="326">
        <v>508</v>
      </c>
      <c r="I19" s="266">
        <v>37</v>
      </c>
      <c r="J19" s="326">
        <v>59</v>
      </c>
      <c r="K19" s="326">
        <v>179</v>
      </c>
      <c r="L19" s="326">
        <v>224</v>
      </c>
      <c r="M19" s="327"/>
    </row>
    <row r="20" spans="1:13" s="263" customFormat="1" ht="9" customHeight="1" x14ac:dyDescent="0.25">
      <c r="A20" s="263" t="s">
        <v>25</v>
      </c>
      <c r="B20" s="326">
        <f t="shared" si="2"/>
        <v>119</v>
      </c>
      <c r="C20" s="326">
        <v>61</v>
      </c>
      <c r="D20" s="326"/>
      <c r="E20" s="327">
        <f t="shared" si="1"/>
        <v>58</v>
      </c>
      <c r="F20" s="326"/>
      <c r="G20" s="326">
        <f t="shared" si="3"/>
        <v>29</v>
      </c>
      <c r="H20" s="326">
        <v>29</v>
      </c>
      <c r="I20" s="266">
        <v>0</v>
      </c>
      <c r="J20" s="326">
        <v>3</v>
      </c>
      <c r="K20" s="326">
        <v>9</v>
      </c>
      <c r="L20" s="326">
        <v>17</v>
      </c>
      <c r="M20" s="327"/>
    </row>
    <row r="21" spans="1:13" s="263" customFormat="1" ht="9" customHeight="1" x14ac:dyDescent="0.25">
      <c r="A21" s="267" t="s">
        <v>26</v>
      </c>
      <c r="B21" s="328">
        <f t="shared" si="2"/>
        <v>145</v>
      </c>
      <c r="C21" s="328">
        <v>49</v>
      </c>
      <c r="D21" s="328"/>
      <c r="E21" s="636">
        <f t="shared" si="1"/>
        <v>96</v>
      </c>
      <c r="F21" s="328"/>
      <c r="G21" s="328">
        <f t="shared" si="3"/>
        <v>47</v>
      </c>
      <c r="H21" s="328">
        <v>45</v>
      </c>
      <c r="I21" s="268">
        <v>2</v>
      </c>
      <c r="J21" s="328">
        <v>8</v>
      </c>
      <c r="K21" s="328">
        <v>17</v>
      </c>
      <c r="L21" s="328">
        <v>24</v>
      </c>
      <c r="M21" s="596"/>
    </row>
    <row r="22" spans="1:13" s="263" customFormat="1" ht="9" customHeight="1" x14ac:dyDescent="0.25">
      <c r="A22" s="263" t="s">
        <v>27</v>
      </c>
      <c r="B22" s="326">
        <f t="shared" si="2"/>
        <v>1132</v>
      </c>
      <c r="C22" s="326">
        <v>163</v>
      </c>
      <c r="D22" s="326"/>
      <c r="E22" s="327">
        <f t="shared" si="1"/>
        <v>969</v>
      </c>
      <c r="F22" s="326"/>
      <c r="G22" s="326">
        <f t="shared" si="3"/>
        <v>542</v>
      </c>
      <c r="H22" s="326">
        <v>501</v>
      </c>
      <c r="I22" s="266">
        <v>41</v>
      </c>
      <c r="J22" s="326">
        <v>41</v>
      </c>
      <c r="K22" s="326">
        <v>189</v>
      </c>
      <c r="L22" s="326">
        <v>197</v>
      </c>
      <c r="M22" s="327"/>
    </row>
    <row r="23" spans="1:13" s="263" customFormat="1" ht="9" customHeight="1" x14ac:dyDescent="0.25">
      <c r="A23" s="263" t="s">
        <v>28</v>
      </c>
      <c r="B23" s="326">
        <f t="shared" si="2"/>
        <v>196</v>
      </c>
      <c r="C23" s="326">
        <v>102</v>
      </c>
      <c r="D23" s="326"/>
      <c r="E23" s="327">
        <f t="shared" si="1"/>
        <v>94</v>
      </c>
      <c r="F23" s="326"/>
      <c r="G23" s="326">
        <f t="shared" si="3"/>
        <v>49</v>
      </c>
      <c r="H23" s="326">
        <v>47</v>
      </c>
      <c r="I23" s="266">
        <v>2</v>
      </c>
      <c r="J23" s="326">
        <v>8</v>
      </c>
      <c r="K23" s="326">
        <v>15</v>
      </c>
      <c r="L23" s="326">
        <v>22</v>
      </c>
      <c r="M23" s="327"/>
    </row>
    <row r="24" spans="1:13" s="263" customFormat="1" ht="9" customHeight="1" x14ac:dyDescent="0.25">
      <c r="A24" s="263" t="s">
        <v>29</v>
      </c>
      <c r="B24" s="326">
        <f t="shared" si="2"/>
        <v>857</v>
      </c>
      <c r="C24" s="326">
        <v>353</v>
      </c>
      <c r="D24" s="326"/>
      <c r="E24" s="327">
        <f t="shared" si="1"/>
        <v>504</v>
      </c>
      <c r="F24" s="326"/>
      <c r="G24" s="326">
        <f t="shared" si="3"/>
        <v>290</v>
      </c>
      <c r="H24" s="326">
        <v>281</v>
      </c>
      <c r="I24" s="266">
        <v>9</v>
      </c>
      <c r="J24" s="326">
        <v>25</v>
      </c>
      <c r="K24" s="326">
        <v>65</v>
      </c>
      <c r="L24" s="326">
        <v>124</v>
      </c>
      <c r="M24" s="327"/>
    </row>
    <row r="25" spans="1:13" s="263" customFormat="1" ht="9" customHeight="1" x14ac:dyDescent="0.25">
      <c r="A25" s="267" t="s">
        <v>30</v>
      </c>
      <c r="B25" s="328">
        <f t="shared" si="2"/>
        <v>2513</v>
      </c>
      <c r="C25" s="328">
        <v>439</v>
      </c>
      <c r="D25" s="328"/>
      <c r="E25" s="636">
        <f t="shared" si="1"/>
        <v>2074</v>
      </c>
      <c r="F25" s="328"/>
      <c r="G25" s="328">
        <f t="shared" si="3"/>
        <v>1053</v>
      </c>
      <c r="H25" s="328">
        <v>956</v>
      </c>
      <c r="I25" s="268">
        <v>97</v>
      </c>
      <c r="J25" s="328">
        <v>152</v>
      </c>
      <c r="K25" s="328">
        <v>474</v>
      </c>
      <c r="L25" s="328">
        <v>395</v>
      </c>
      <c r="M25" s="327"/>
    </row>
    <row r="26" spans="1:13" s="263" customFormat="1" ht="9" customHeight="1" x14ac:dyDescent="0.25">
      <c r="A26" s="263" t="s">
        <v>63</v>
      </c>
      <c r="B26" s="326">
        <f t="shared" si="2"/>
        <v>17948</v>
      </c>
      <c r="C26" s="326">
        <v>4969</v>
      </c>
      <c r="D26" s="326"/>
      <c r="E26" s="327">
        <f t="shared" si="1"/>
        <v>12979</v>
      </c>
      <c r="F26" s="326"/>
      <c r="G26" s="326">
        <f t="shared" si="3"/>
        <v>6144</v>
      </c>
      <c r="H26" s="326">
        <v>5597</v>
      </c>
      <c r="I26" s="266">
        <v>547</v>
      </c>
      <c r="J26" s="326">
        <v>1242</v>
      </c>
      <c r="K26" s="326">
        <v>3420</v>
      </c>
      <c r="L26" s="326">
        <v>2173</v>
      </c>
      <c r="M26" s="327"/>
    </row>
    <row r="27" spans="1:13" s="263" customFormat="1" ht="9" customHeight="1" x14ac:dyDescent="0.25">
      <c r="A27" s="263" t="s">
        <v>31</v>
      </c>
      <c r="B27" s="326">
        <f t="shared" si="2"/>
        <v>467</v>
      </c>
      <c r="C27" s="326">
        <v>155</v>
      </c>
      <c r="D27" s="326"/>
      <c r="E27" s="327">
        <f t="shared" si="1"/>
        <v>312</v>
      </c>
      <c r="F27" s="326"/>
      <c r="G27" s="326">
        <f t="shared" si="3"/>
        <v>186</v>
      </c>
      <c r="H27" s="326">
        <v>178</v>
      </c>
      <c r="I27" s="266">
        <v>8</v>
      </c>
      <c r="J27" s="326">
        <v>10</v>
      </c>
      <c r="K27" s="326">
        <v>39</v>
      </c>
      <c r="L27" s="326">
        <v>77</v>
      </c>
      <c r="M27" s="327"/>
    </row>
    <row r="28" spans="1:13" s="263" customFormat="1" ht="9" customHeight="1" x14ac:dyDescent="0.25">
      <c r="A28" s="263" t="s">
        <v>32</v>
      </c>
      <c r="B28" s="326">
        <f t="shared" si="2"/>
        <v>3978</v>
      </c>
      <c r="C28" s="326">
        <v>1518</v>
      </c>
      <c r="D28" s="326"/>
      <c r="E28" s="327">
        <f t="shared" si="1"/>
        <v>2460</v>
      </c>
      <c r="F28" s="326"/>
      <c r="G28" s="326">
        <f t="shared" si="3"/>
        <v>1452</v>
      </c>
      <c r="H28" s="326">
        <v>1240</v>
      </c>
      <c r="I28" s="266">
        <v>212</v>
      </c>
      <c r="J28" s="326">
        <v>154</v>
      </c>
      <c r="K28" s="326">
        <v>390</v>
      </c>
      <c r="L28" s="326">
        <v>464</v>
      </c>
      <c r="M28" s="327"/>
    </row>
    <row r="29" spans="1:13" s="263" customFormat="1" ht="9" customHeight="1" x14ac:dyDescent="0.25">
      <c r="A29" s="267" t="s">
        <v>33</v>
      </c>
      <c r="B29" s="328">
        <f t="shared" si="2"/>
        <v>1082</v>
      </c>
      <c r="C29" s="328">
        <v>440</v>
      </c>
      <c r="D29" s="328"/>
      <c r="E29" s="636">
        <f t="shared" si="1"/>
        <v>642</v>
      </c>
      <c r="F29" s="328"/>
      <c r="G29" s="328">
        <f t="shared" si="3"/>
        <v>375</v>
      </c>
      <c r="H29" s="328">
        <v>351</v>
      </c>
      <c r="I29" s="268">
        <v>24</v>
      </c>
      <c r="J29" s="328">
        <v>46</v>
      </c>
      <c r="K29" s="328">
        <v>94</v>
      </c>
      <c r="L29" s="328">
        <v>127</v>
      </c>
      <c r="M29" s="327"/>
    </row>
    <row r="30" spans="1:13" s="263" customFormat="1" ht="9" customHeight="1" x14ac:dyDescent="0.25">
      <c r="A30" s="263" t="s">
        <v>34</v>
      </c>
      <c r="B30" s="326">
        <f t="shared" si="2"/>
        <v>1073</v>
      </c>
      <c r="C30" s="326">
        <v>492</v>
      </c>
      <c r="D30" s="326"/>
      <c r="E30" s="327">
        <f t="shared" si="1"/>
        <v>581</v>
      </c>
      <c r="F30" s="326"/>
      <c r="G30" s="326">
        <f t="shared" si="3"/>
        <v>322</v>
      </c>
      <c r="H30" s="326">
        <v>306</v>
      </c>
      <c r="I30" s="266">
        <v>16</v>
      </c>
      <c r="J30" s="326">
        <v>25</v>
      </c>
      <c r="K30" s="326">
        <v>72</v>
      </c>
      <c r="L30" s="326">
        <v>162</v>
      </c>
      <c r="M30" s="327"/>
    </row>
    <row r="31" spans="1:13" s="263" customFormat="1" ht="9" customHeight="1" x14ac:dyDescent="0.25">
      <c r="A31" s="263" t="s">
        <v>35</v>
      </c>
      <c r="B31" s="326">
        <f t="shared" si="2"/>
        <v>5181</v>
      </c>
      <c r="C31" s="326">
        <v>2019</v>
      </c>
      <c r="D31" s="326"/>
      <c r="E31" s="327">
        <f t="shared" si="1"/>
        <v>3162</v>
      </c>
      <c r="F31" s="326"/>
      <c r="G31" s="326">
        <f t="shared" si="3"/>
        <v>1681</v>
      </c>
      <c r="H31" s="326">
        <v>1571</v>
      </c>
      <c r="I31" s="266">
        <v>110</v>
      </c>
      <c r="J31" s="326">
        <v>211</v>
      </c>
      <c r="K31" s="326">
        <v>554</v>
      </c>
      <c r="L31" s="326">
        <v>716</v>
      </c>
      <c r="M31" s="327"/>
    </row>
    <row r="32" spans="1:13" s="263" customFormat="1" ht="9" customHeight="1" x14ac:dyDescent="0.25">
      <c r="A32" s="263" t="s">
        <v>36</v>
      </c>
      <c r="B32" s="326">
        <f t="shared" si="2"/>
        <v>6269</v>
      </c>
      <c r="C32" s="326">
        <v>3443</v>
      </c>
      <c r="D32" s="326"/>
      <c r="E32" s="327">
        <f t="shared" si="1"/>
        <v>2826</v>
      </c>
      <c r="F32" s="326"/>
      <c r="G32" s="326">
        <f t="shared" si="3"/>
        <v>1650</v>
      </c>
      <c r="H32" s="326">
        <v>1525</v>
      </c>
      <c r="I32" s="266">
        <v>125</v>
      </c>
      <c r="J32" s="326">
        <v>196</v>
      </c>
      <c r="K32" s="326">
        <v>431</v>
      </c>
      <c r="L32" s="326">
        <v>549</v>
      </c>
      <c r="M32" s="327"/>
    </row>
    <row r="33" spans="1:13" s="263" customFormat="1" ht="9" customHeight="1" x14ac:dyDescent="0.25">
      <c r="A33" s="267" t="s">
        <v>37</v>
      </c>
      <c r="B33" s="328">
        <f t="shared" si="2"/>
        <v>1536</v>
      </c>
      <c r="C33" s="328">
        <v>658</v>
      </c>
      <c r="D33" s="328"/>
      <c r="E33" s="636">
        <f t="shared" si="1"/>
        <v>878</v>
      </c>
      <c r="F33" s="328"/>
      <c r="G33" s="328">
        <f t="shared" si="3"/>
        <v>505</v>
      </c>
      <c r="H33" s="328">
        <v>485</v>
      </c>
      <c r="I33" s="268">
        <v>20</v>
      </c>
      <c r="J33" s="328">
        <v>31</v>
      </c>
      <c r="K33" s="328">
        <v>134</v>
      </c>
      <c r="L33" s="328">
        <v>208</v>
      </c>
      <c r="M33" s="327"/>
    </row>
    <row r="34" spans="1:13" s="263" customFormat="1" ht="9" customHeight="1" x14ac:dyDescent="0.25">
      <c r="A34" s="263" t="s">
        <v>38</v>
      </c>
      <c r="B34" s="326">
        <f t="shared" si="2"/>
        <v>939</v>
      </c>
      <c r="C34" s="326">
        <v>326</v>
      </c>
      <c r="D34" s="326"/>
      <c r="E34" s="327">
        <f t="shared" si="1"/>
        <v>613</v>
      </c>
      <c r="F34" s="326"/>
      <c r="G34" s="326">
        <f t="shared" si="3"/>
        <v>321</v>
      </c>
      <c r="H34" s="326">
        <v>299</v>
      </c>
      <c r="I34" s="266">
        <v>22</v>
      </c>
      <c r="J34" s="326">
        <v>19</v>
      </c>
      <c r="K34" s="326">
        <v>168</v>
      </c>
      <c r="L34" s="326">
        <v>105</v>
      </c>
      <c r="M34" s="327"/>
    </row>
    <row r="35" spans="1:13" s="263" customFormat="1" ht="9" customHeight="1" x14ac:dyDescent="0.25">
      <c r="A35" s="263" t="s">
        <v>39</v>
      </c>
      <c r="B35" s="326">
        <f t="shared" si="2"/>
        <v>372</v>
      </c>
      <c r="C35" s="326">
        <v>201</v>
      </c>
      <c r="D35" s="326"/>
      <c r="E35" s="327">
        <f t="shared" si="1"/>
        <v>171</v>
      </c>
      <c r="F35" s="326"/>
      <c r="G35" s="326">
        <f t="shared" si="3"/>
        <v>91</v>
      </c>
      <c r="H35" s="326">
        <v>85</v>
      </c>
      <c r="I35" s="266">
        <v>6</v>
      </c>
      <c r="J35" s="326">
        <v>7</v>
      </c>
      <c r="K35" s="326">
        <v>24</v>
      </c>
      <c r="L35" s="326">
        <v>49</v>
      </c>
      <c r="M35" s="327"/>
    </row>
    <row r="36" spans="1:13" s="263" customFormat="1" ht="9" customHeight="1" x14ac:dyDescent="0.25">
      <c r="A36" s="263" t="s">
        <v>40</v>
      </c>
      <c r="B36" s="326">
        <f t="shared" si="2"/>
        <v>4228</v>
      </c>
      <c r="C36" s="326">
        <v>747</v>
      </c>
      <c r="D36" s="326"/>
      <c r="E36" s="327">
        <f t="shared" si="1"/>
        <v>3481</v>
      </c>
      <c r="F36" s="326"/>
      <c r="G36" s="326">
        <f t="shared" si="3"/>
        <v>1859</v>
      </c>
      <c r="H36" s="326">
        <v>1616</v>
      </c>
      <c r="I36" s="266">
        <v>243</v>
      </c>
      <c r="J36" s="326">
        <v>256</v>
      </c>
      <c r="K36" s="326">
        <v>708</v>
      </c>
      <c r="L36" s="326">
        <v>658</v>
      </c>
      <c r="M36" s="327"/>
    </row>
    <row r="37" spans="1:13" s="263" customFormat="1" ht="9" customHeight="1" x14ac:dyDescent="0.25">
      <c r="A37" s="267" t="s">
        <v>41</v>
      </c>
      <c r="B37" s="328">
        <f>SUM(C37+E37)</f>
        <v>565</v>
      </c>
      <c r="C37" s="328">
        <v>250</v>
      </c>
      <c r="D37" s="328"/>
      <c r="E37" s="636">
        <f t="shared" si="1"/>
        <v>315</v>
      </c>
      <c r="F37" s="328"/>
      <c r="G37" s="328">
        <f t="shared" si="3"/>
        <v>194</v>
      </c>
      <c r="H37" s="328">
        <v>173</v>
      </c>
      <c r="I37" s="268">
        <v>21</v>
      </c>
      <c r="J37" s="328">
        <v>19</v>
      </c>
      <c r="K37" s="328">
        <v>38</v>
      </c>
      <c r="L37" s="328">
        <v>64</v>
      </c>
      <c r="M37" s="327"/>
    </row>
    <row r="38" spans="1:13" s="263" customFormat="1" ht="9" customHeight="1" x14ac:dyDescent="0.25">
      <c r="A38" s="263" t="s">
        <v>42</v>
      </c>
      <c r="B38" s="326">
        <f t="shared" si="2"/>
        <v>2970</v>
      </c>
      <c r="C38" s="326">
        <v>935</v>
      </c>
      <c r="D38" s="326"/>
      <c r="E38" s="327">
        <f t="shared" si="1"/>
        <v>2035</v>
      </c>
      <c r="F38" s="326"/>
      <c r="G38" s="326">
        <f t="shared" si="3"/>
        <v>1145</v>
      </c>
      <c r="H38" s="326">
        <v>1078</v>
      </c>
      <c r="I38" s="266">
        <v>67</v>
      </c>
      <c r="J38" s="326">
        <v>104</v>
      </c>
      <c r="K38" s="326">
        <v>293</v>
      </c>
      <c r="L38" s="326">
        <v>493</v>
      </c>
      <c r="M38" s="327"/>
    </row>
    <row r="39" spans="1:13" s="263" customFormat="1" ht="9" customHeight="1" x14ac:dyDescent="0.25">
      <c r="A39" s="263" t="s">
        <v>43</v>
      </c>
      <c r="B39" s="326">
        <f t="shared" si="2"/>
        <v>498</v>
      </c>
      <c r="C39" s="326">
        <v>177</v>
      </c>
      <c r="D39" s="326"/>
      <c r="E39" s="327">
        <f t="shared" si="1"/>
        <v>321</v>
      </c>
      <c r="F39" s="326"/>
      <c r="G39" s="326">
        <f t="shared" si="3"/>
        <v>195</v>
      </c>
      <c r="H39" s="326">
        <v>184</v>
      </c>
      <c r="I39" s="266">
        <v>11</v>
      </c>
      <c r="J39" s="326">
        <v>7</v>
      </c>
      <c r="K39" s="326">
        <v>49</v>
      </c>
      <c r="L39" s="326">
        <v>70</v>
      </c>
      <c r="M39" s="327"/>
    </row>
    <row r="40" spans="1:13" s="263" customFormat="1" ht="9" customHeight="1" x14ac:dyDescent="0.25">
      <c r="A40" s="263" t="s">
        <v>44</v>
      </c>
      <c r="B40" s="326">
        <f t="shared" si="2"/>
        <v>614</v>
      </c>
      <c r="C40" s="326">
        <v>315</v>
      </c>
      <c r="D40" s="326"/>
      <c r="E40" s="327">
        <f t="shared" si="1"/>
        <v>299</v>
      </c>
      <c r="F40" s="326"/>
      <c r="G40" s="326">
        <f t="shared" si="3"/>
        <v>154</v>
      </c>
      <c r="H40" s="326">
        <v>140</v>
      </c>
      <c r="I40" s="266">
        <v>14</v>
      </c>
      <c r="J40" s="326">
        <v>34</v>
      </c>
      <c r="K40" s="326">
        <v>63</v>
      </c>
      <c r="L40" s="326">
        <v>48</v>
      </c>
      <c r="M40" s="327"/>
    </row>
    <row r="41" spans="1:13" s="263" customFormat="1" ht="9" customHeight="1" x14ac:dyDescent="0.25">
      <c r="A41" s="267" t="s">
        <v>45</v>
      </c>
      <c r="B41" s="328">
        <f t="shared" si="2"/>
        <v>1404</v>
      </c>
      <c r="C41" s="328">
        <v>397</v>
      </c>
      <c r="D41" s="328"/>
      <c r="E41" s="636">
        <f t="shared" si="1"/>
        <v>1007</v>
      </c>
      <c r="F41" s="328"/>
      <c r="G41" s="328">
        <f t="shared" si="3"/>
        <v>484</v>
      </c>
      <c r="H41" s="328">
        <v>468</v>
      </c>
      <c r="I41" s="268">
        <v>16</v>
      </c>
      <c r="J41" s="328">
        <v>52</v>
      </c>
      <c r="K41" s="328">
        <v>257</v>
      </c>
      <c r="L41" s="328">
        <v>214</v>
      </c>
      <c r="M41" s="327"/>
    </row>
    <row r="42" spans="1:13" s="263" customFormat="1" ht="9" customHeight="1" x14ac:dyDescent="0.25">
      <c r="A42" s="263" t="s">
        <v>46</v>
      </c>
      <c r="B42" s="326">
        <f t="shared" si="2"/>
        <v>1117</v>
      </c>
      <c r="C42" s="326">
        <v>418</v>
      </c>
      <c r="D42" s="326"/>
      <c r="E42" s="327">
        <f t="shared" si="1"/>
        <v>699</v>
      </c>
      <c r="F42" s="326"/>
      <c r="G42" s="326">
        <f t="shared" si="3"/>
        <v>391</v>
      </c>
      <c r="H42" s="326">
        <v>375</v>
      </c>
      <c r="I42" s="266">
        <v>16</v>
      </c>
      <c r="J42" s="326">
        <v>35</v>
      </c>
      <c r="K42" s="326">
        <v>120</v>
      </c>
      <c r="L42" s="326">
        <v>153</v>
      </c>
      <c r="M42" s="327"/>
    </row>
    <row r="43" spans="1:13" s="263" customFormat="1" ht="9" customHeight="1" x14ac:dyDescent="0.25">
      <c r="A43" s="263" t="s">
        <v>47</v>
      </c>
      <c r="B43" s="326">
        <f t="shared" si="2"/>
        <v>1038</v>
      </c>
      <c r="C43" s="326">
        <v>371</v>
      </c>
      <c r="D43" s="326"/>
      <c r="E43" s="327">
        <f t="shared" si="1"/>
        <v>667</v>
      </c>
      <c r="F43" s="326"/>
      <c r="G43" s="326">
        <f t="shared" si="3"/>
        <v>373</v>
      </c>
      <c r="H43" s="326">
        <v>357</v>
      </c>
      <c r="I43" s="266">
        <v>16</v>
      </c>
      <c r="J43" s="326">
        <v>27</v>
      </c>
      <c r="K43" s="326">
        <v>117</v>
      </c>
      <c r="L43" s="326">
        <v>150</v>
      </c>
      <c r="M43" s="327"/>
    </row>
    <row r="44" spans="1:13" s="263" customFormat="1" ht="9" customHeight="1" x14ac:dyDescent="0.25">
      <c r="A44" s="263" t="s">
        <v>48</v>
      </c>
      <c r="B44" s="326">
        <f t="shared" si="2"/>
        <v>660</v>
      </c>
      <c r="C44" s="326">
        <v>277</v>
      </c>
      <c r="D44" s="326"/>
      <c r="E44" s="327">
        <f t="shared" si="1"/>
        <v>383</v>
      </c>
      <c r="F44" s="326"/>
      <c r="G44" s="326">
        <f t="shared" si="3"/>
        <v>228</v>
      </c>
      <c r="H44" s="326">
        <v>212</v>
      </c>
      <c r="I44" s="266">
        <v>16</v>
      </c>
      <c r="J44" s="326">
        <v>23</v>
      </c>
      <c r="K44" s="326">
        <v>50</v>
      </c>
      <c r="L44" s="326">
        <v>82</v>
      </c>
      <c r="M44" s="327"/>
    </row>
    <row r="45" spans="1:13" s="263" customFormat="1" ht="9" customHeight="1" x14ac:dyDescent="0.25">
      <c r="A45" s="267" t="s">
        <v>49</v>
      </c>
      <c r="B45" s="328">
        <f t="shared" si="2"/>
        <v>1728</v>
      </c>
      <c r="C45" s="328">
        <v>578</v>
      </c>
      <c r="D45" s="328"/>
      <c r="E45" s="636">
        <f t="shared" si="1"/>
        <v>1150</v>
      </c>
      <c r="F45" s="328"/>
      <c r="G45" s="328">
        <f t="shared" si="3"/>
        <v>639</v>
      </c>
      <c r="H45" s="328">
        <v>607</v>
      </c>
      <c r="I45" s="268">
        <v>32</v>
      </c>
      <c r="J45" s="328">
        <v>59</v>
      </c>
      <c r="K45" s="328">
        <v>186</v>
      </c>
      <c r="L45" s="328">
        <v>266</v>
      </c>
      <c r="M45" s="327"/>
    </row>
    <row r="46" spans="1:13" s="263" customFormat="1" ht="9" customHeight="1" x14ac:dyDescent="0.25">
      <c r="A46" s="263" t="s">
        <v>50</v>
      </c>
      <c r="B46" s="326">
        <f t="shared" si="2"/>
        <v>353</v>
      </c>
      <c r="C46" s="326">
        <v>168</v>
      </c>
      <c r="D46" s="326"/>
      <c r="E46" s="327">
        <f t="shared" si="1"/>
        <v>185</v>
      </c>
      <c r="F46" s="326"/>
      <c r="G46" s="326">
        <f t="shared" si="3"/>
        <v>113</v>
      </c>
      <c r="H46" s="326">
        <v>104</v>
      </c>
      <c r="I46" s="266">
        <v>9</v>
      </c>
      <c r="J46" s="326">
        <v>5</v>
      </c>
      <c r="K46" s="326">
        <v>20</v>
      </c>
      <c r="L46" s="326">
        <v>47</v>
      </c>
      <c r="M46" s="327"/>
    </row>
    <row r="47" spans="1:13" s="263" customFormat="1" ht="9" customHeight="1" x14ac:dyDescent="0.25">
      <c r="A47" s="263" t="s">
        <v>51</v>
      </c>
      <c r="B47" s="326">
        <f t="shared" si="2"/>
        <v>1940</v>
      </c>
      <c r="C47" s="326">
        <v>628</v>
      </c>
      <c r="D47" s="326"/>
      <c r="E47" s="327">
        <f t="shared" si="1"/>
        <v>1312</v>
      </c>
      <c r="F47" s="326"/>
      <c r="G47" s="326">
        <f t="shared" si="3"/>
        <v>724</v>
      </c>
      <c r="H47" s="326">
        <v>679</v>
      </c>
      <c r="I47" s="266">
        <v>45</v>
      </c>
      <c r="J47" s="326">
        <v>89</v>
      </c>
      <c r="K47" s="326">
        <v>176</v>
      </c>
      <c r="L47" s="326">
        <v>323</v>
      </c>
      <c r="M47" s="327"/>
    </row>
    <row r="48" spans="1:13" s="263" customFormat="1" ht="9" customHeight="1" x14ac:dyDescent="0.25">
      <c r="A48" s="263" t="s">
        <v>52</v>
      </c>
      <c r="B48" s="326">
        <f t="shared" si="2"/>
        <v>1514</v>
      </c>
      <c r="C48" s="326">
        <v>603</v>
      </c>
      <c r="D48" s="326"/>
      <c r="E48" s="327">
        <f t="shared" si="1"/>
        <v>911</v>
      </c>
      <c r="F48" s="326"/>
      <c r="G48" s="326">
        <f t="shared" si="3"/>
        <v>454</v>
      </c>
      <c r="H48" s="326">
        <v>419</v>
      </c>
      <c r="I48" s="266">
        <v>35</v>
      </c>
      <c r="J48" s="326">
        <v>66</v>
      </c>
      <c r="K48" s="326">
        <v>147</v>
      </c>
      <c r="L48" s="326">
        <v>244</v>
      </c>
      <c r="M48" s="327"/>
    </row>
    <row r="49" spans="1:13" s="263" customFormat="1" ht="9" customHeight="1" x14ac:dyDescent="0.25">
      <c r="A49" s="267" t="s">
        <v>53</v>
      </c>
      <c r="B49" s="328">
        <f t="shared" si="2"/>
        <v>547</v>
      </c>
      <c r="C49" s="328">
        <v>305</v>
      </c>
      <c r="D49" s="328"/>
      <c r="E49" s="636">
        <f t="shared" si="1"/>
        <v>242</v>
      </c>
      <c r="F49" s="328"/>
      <c r="G49" s="328">
        <f t="shared" si="3"/>
        <v>133</v>
      </c>
      <c r="H49" s="328">
        <v>129</v>
      </c>
      <c r="I49" s="268">
        <v>4</v>
      </c>
      <c r="J49" s="328">
        <v>7</v>
      </c>
      <c r="K49" s="328">
        <v>37</v>
      </c>
      <c r="L49" s="328">
        <v>65</v>
      </c>
      <c r="M49" s="327"/>
    </row>
    <row r="50" spans="1:13" s="263" customFormat="1" ht="9" customHeight="1" x14ac:dyDescent="0.25">
      <c r="A50" s="286"/>
      <c r="B50" s="329"/>
      <c r="C50" s="329"/>
      <c r="D50" s="329"/>
      <c r="E50" s="330"/>
      <c r="F50" s="329"/>
      <c r="G50" s="329"/>
      <c r="H50" s="329"/>
      <c r="I50" s="289"/>
      <c r="J50" s="329"/>
      <c r="K50" s="329"/>
      <c r="L50" s="329"/>
      <c r="M50" s="327"/>
    </row>
    <row r="51" spans="1:13" s="263" customFormat="1" ht="9" customHeight="1" x14ac:dyDescent="0.25">
      <c r="A51" s="637">
        <v>1996</v>
      </c>
      <c r="B51" s="271"/>
      <c r="C51" s="271"/>
      <c r="D51" s="271"/>
      <c r="E51" s="330"/>
      <c r="F51" s="271"/>
      <c r="G51" s="271"/>
      <c r="H51" s="271"/>
      <c r="I51" s="271"/>
      <c r="J51" s="271"/>
      <c r="K51" s="271"/>
      <c r="L51" s="271"/>
    </row>
    <row r="52" spans="1:13" s="263" customFormat="1" ht="9" customHeight="1" x14ac:dyDescent="0.25">
      <c r="A52" s="265" t="s">
        <v>21</v>
      </c>
      <c r="B52" s="325">
        <f>SUM(B54:B85)</f>
        <v>66592</v>
      </c>
      <c r="C52" s="325">
        <f>SUM(C54:C85)</f>
        <v>21716</v>
      </c>
      <c r="D52" s="325"/>
      <c r="E52" s="325">
        <f>SUM(E54:E85)</f>
        <v>44876</v>
      </c>
      <c r="F52" s="325"/>
      <c r="G52" s="325">
        <f t="shared" ref="G52:L52" si="4">SUM(G54:G85)</f>
        <v>23776</v>
      </c>
      <c r="H52" s="325">
        <f t="shared" si="4"/>
        <v>21377</v>
      </c>
      <c r="I52" s="325">
        <f t="shared" si="4"/>
        <v>2399</v>
      </c>
      <c r="J52" s="325">
        <f t="shared" si="4"/>
        <v>2836</v>
      </c>
      <c r="K52" s="325">
        <f t="shared" si="4"/>
        <v>8394</v>
      </c>
      <c r="L52" s="325">
        <f t="shared" si="4"/>
        <v>9870</v>
      </c>
    </row>
    <row r="53" spans="1:13" s="263" customFormat="1" ht="3.95" customHeight="1" x14ac:dyDescent="0.25">
      <c r="A53" s="265"/>
      <c r="B53" s="325"/>
      <c r="C53" s="325"/>
      <c r="D53" s="325"/>
      <c r="E53" s="327"/>
      <c r="F53" s="325"/>
      <c r="G53" s="325"/>
      <c r="H53" s="325"/>
      <c r="I53" s="325"/>
      <c r="J53" s="325"/>
      <c r="K53" s="325"/>
      <c r="L53" s="325"/>
    </row>
    <row r="54" spans="1:13" s="263" customFormat="1" ht="9" customHeight="1" x14ac:dyDescent="0.25">
      <c r="A54" s="263" t="s">
        <v>23</v>
      </c>
      <c r="B54" s="326">
        <f>SUM(C54+E54)</f>
        <v>653</v>
      </c>
      <c r="C54" s="326">
        <v>230</v>
      </c>
      <c r="D54" s="326"/>
      <c r="E54" s="327">
        <f>SUM(G54+J54+K54+L54)</f>
        <v>423</v>
      </c>
      <c r="F54" s="326"/>
      <c r="G54" s="326">
        <f>SUM(H54:I54)</f>
        <v>253</v>
      </c>
      <c r="H54" s="326">
        <v>245</v>
      </c>
      <c r="I54" s="266">
        <v>8</v>
      </c>
      <c r="J54" s="326">
        <v>43</v>
      </c>
      <c r="K54" s="326">
        <v>74</v>
      </c>
      <c r="L54" s="326">
        <v>53</v>
      </c>
    </row>
    <row r="55" spans="1:13" s="263" customFormat="1" ht="9" customHeight="1" x14ac:dyDescent="0.25">
      <c r="A55" s="263" t="s">
        <v>24</v>
      </c>
      <c r="B55" s="326">
        <f t="shared" ref="B55:B85" si="5">SUM(C55+E55)</f>
        <v>1616</v>
      </c>
      <c r="C55" s="326">
        <v>669</v>
      </c>
      <c r="D55" s="326"/>
      <c r="E55" s="327">
        <f t="shared" si="1"/>
        <v>947</v>
      </c>
      <c r="F55" s="326"/>
      <c r="G55" s="326">
        <f t="shared" ref="G55:G85" si="6">SUM(H55:I55)</f>
        <v>511</v>
      </c>
      <c r="H55" s="326">
        <v>489</v>
      </c>
      <c r="I55" s="266">
        <v>22</v>
      </c>
      <c r="J55" s="326">
        <v>44</v>
      </c>
      <c r="K55" s="326">
        <v>188</v>
      </c>
      <c r="L55" s="326">
        <v>204</v>
      </c>
    </row>
    <row r="56" spans="1:13" s="263" customFormat="1" ht="9" customHeight="1" x14ac:dyDescent="0.25">
      <c r="A56" s="263" t="s">
        <v>25</v>
      </c>
      <c r="B56" s="326">
        <f t="shared" si="5"/>
        <v>113</v>
      </c>
      <c r="C56" s="326">
        <v>60</v>
      </c>
      <c r="D56" s="326"/>
      <c r="E56" s="327">
        <f t="shared" si="1"/>
        <v>53</v>
      </c>
      <c r="F56" s="326"/>
      <c r="G56" s="326">
        <f t="shared" si="6"/>
        <v>28</v>
      </c>
      <c r="H56" s="326">
        <v>28</v>
      </c>
      <c r="I56" s="266">
        <v>0</v>
      </c>
      <c r="J56" s="326">
        <v>1</v>
      </c>
      <c r="K56" s="326">
        <v>11</v>
      </c>
      <c r="L56" s="326">
        <v>13</v>
      </c>
    </row>
    <row r="57" spans="1:13" s="263" customFormat="1" ht="9" customHeight="1" x14ac:dyDescent="0.25">
      <c r="A57" s="267" t="s">
        <v>26</v>
      </c>
      <c r="B57" s="328">
        <f t="shared" si="5"/>
        <v>172</v>
      </c>
      <c r="C57" s="328">
        <v>64</v>
      </c>
      <c r="D57" s="328"/>
      <c r="E57" s="636">
        <f t="shared" si="1"/>
        <v>108</v>
      </c>
      <c r="F57" s="328"/>
      <c r="G57" s="328">
        <f t="shared" si="6"/>
        <v>54</v>
      </c>
      <c r="H57" s="328">
        <v>53</v>
      </c>
      <c r="I57" s="268">
        <v>1</v>
      </c>
      <c r="J57" s="328">
        <v>10</v>
      </c>
      <c r="K57" s="328">
        <v>27</v>
      </c>
      <c r="L57" s="328">
        <v>17</v>
      </c>
    </row>
    <row r="58" spans="1:13" s="263" customFormat="1" ht="9" customHeight="1" x14ac:dyDescent="0.25">
      <c r="A58" s="263" t="s">
        <v>27</v>
      </c>
      <c r="B58" s="326">
        <f t="shared" si="5"/>
        <v>1500</v>
      </c>
      <c r="C58" s="326">
        <v>146</v>
      </c>
      <c r="D58" s="326"/>
      <c r="E58" s="327">
        <f t="shared" si="1"/>
        <v>1354</v>
      </c>
      <c r="F58" s="326"/>
      <c r="G58" s="326">
        <f t="shared" si="6"/>
        <v>565</v>
      </c>
      <c r="H58" s="326">
        <v>525</v>
      </c>
      <c r="I58" s="266">
        <v>40</v>
      </c>
      <c r="J58" s="326">
        <v>33</v>
      </c>
      <c r="K58" s="326">
        <v>323</v>
      </c>
      <c r="L58" s="326">
        <v>433</v>
      </c>
    </row>
    <row r="59" spans="1:13" s="263" customFormat="1" ht="9" customHeight="1" x14ac:dyDescent="0.25">
      <c r="A59" s="263" t="s">
        <v>28</v>
      </c>
      <c r="B59" s="326">
        <f t="shared" si="5"/>
        <v>293</v>
      </c>
      <c r="C59" s="326">
        <v>144</v>
      </c>
      <c r="D59" s="326"/>
      <c r="E59" s="327">
        <f t="shared" si="1"/>
        <v>149</v>
      </c>
      <c r="F59" s="326"/>
      <c r="G59" s="326">
        <f t="shared" si="6"/>
        <v>72</v>
      </c>
      <c r="H59" s="326">
        <v>71</v>
      </c>
      <c r="I59" s="266">
        <v>1</v>
      </c>
      <c r="J59" s="326">
        <v>9</v>
      </c>
      <c r="K59" s="326">
        <v>19</v>
      </c>
      <c r="L59" s="326">
        <v>49</v>
      </c>
    </row>
    <row r="60" spans="1:13" s="263" customFormat="1" ht="9" customHeight="1" x14ac:dyDescent="0.25">
      <c r="A60" s="263" t="s">
        <v>29</v>
      </c>
      <c r="B60" s="326">
        <f t="shared" si="5"/>
        <v>958</v>
      </c>
      <c r="C60" s="326">
        <v>376</v>
      </c>
      <c r="D60" s="326"/>
      <c r="E60" s="327">
        <f t="shared" si="1"/>
        <v>582</v>
      </c>
      <c r="F60" s="326"/>
      <c r="G60" s="326">
        <f t="shared" si="6"/>
        <v>312</v>
      </c>
      <c r="H60" s="326">
        <v>298</v>
      </c>
      <c r="I60" s="266">
        <v>14</v>
      </c>
      <c r="J60" s="326">
        <v>32</v>
      </c>
      <c r="K60" s="326">
        <v>66</v>
      </c>
      <c r="L60" s="326">
        <v>172</v>
      </c>
    </row>
    <row r="61" spans="1:13" s="263" customFormat="1" ht="9" customHeight="1" x14ac:dyDescent="0.25">
      <c r="A61" s="267" t="s">
        <v>30</v>
      </c>
      <c r="B61" s="328">
        <f t="shared" si="5"/>
        <v>2288</v>
      </c>
      <c r="C61" s="328">
        <v>352</v>
      </c>
      <c r="D61" s="328"/>
      <c r="E61" s="636">
        <f t="shared" si="1"/>
        <v>1936</v>
      </c>
      <c r="F61" s="328"/>
      <c r="G61" s="328">
        <f t="shared" si="6"/>
        <v>1028</v>
      </c>
      <c r="H61" s="328">
        <v>991</v>
      </c>
      <c r="I61" s="268">
        <v>37</v>
      </c>
      <c r="J61" s="328">
        <v>132</v>
      </c>
      <c r="K61" s="328">
        <v>390</v>
      </c>
      <c r="L61" s="328">
        <v>386</v>
      </c>
    </row>
    <row r="62" spans="1:13" s="263" customFormat="1" ht="9" customHeight="1" x14ac:dyDescent="0.25">
      <c r="A62" s="263" t="s">
        <v>63</v>
      </c>
      <c r="B62" s="326">
        <f t="shared" si="5"/>
        <v>18178</v>
      </c>
      <c r="C62" s="326">
        <v>5457</v>
      </c>
      <c r="D62" s="326"/>
      <c r="E62" s="327">
        <f t="shared" si="1"/>
        <v>12721</v>
      </c>
      <c r="F62" s="326"/>
      <c r="G62" s="326">
        <f t="shared" si="6"/>
        <v>6654</v>
      </c>
      <c r="H62" s="326">
        <v>5264</v>
      </c>
      <c r="I62" s="266">
        <v>1390</v>
      </c>
      <c r="J62" s="326">
        <v>968</v>
      </c>
      <c r="K62" s="326">
        <v>2687</v>
      </c>
      <c r="L62" s="326">
        <v>2412</v>
      </c>
    </row>
    <row r="63" spans="1:13" s="263" customFormat="1" ht="9" customHeight="1" x14ac:dyDescent="0.25">
      <c r="A63" s="263" t="s">
        <v>31</v>
      </c>
      <c r="B63" s="326">
        <f t="shared" si="5"/>
        <v>463</v>
      </c>
      <c r="C63" s="326">
        <v>120</v>
      </c>
      <c r="D63" s="326"/>
      <c r="E63" s="327">
        <f t="shared" si="1"/>
        <v>343</v>
      </c>
      <c r="F63" s="326"/>
      <c r="G63" s="326">
        <f t="shared" si="6"/>
        <v>199</v>
      </c>
      <c r="H63" s="326">
        <v>195</v>
      </c>
      <c r="I63" s="266">
        <v>4</v>
      </c>
      <c r="J63" s="263">
        <v>11</v>
      </c>
      <c r="K63" s="326">
        <v>41</v>
      </c>
      <c r="L63" s="326">
        <v>92</v>
      </c>
    </row>
    <row r="64" spans="1:13" s="263" customFormat="1" ht="9" customHeight="1" x14ac:dyDescent="0.25">
      <c r="A64" s="263" t="s">
        <v>32</v>
      </c>
      <c r="B64" s="326">
        <f t="shared" si="5"/>
        <v>3370</v>
      </c>
      <c r="C64" s="326">
        <v>950</v>
      </c>
      <c r="D64" s="326"/>
      <c r="E64" s="327">
        <f t="shared" si="1"/>
        <v>2420</v>
      </c>
      <c r="F64" s="326"/>
      <c r="G64" s="326">
        <f t="shared" si="6"/>
        <v>1356</v>
      </c>
      <c r="H64" s="326">
        <v>1236</v>
      </c>
      <c r="I64" s="266">
        <v>120</v>
      </c>
      <c r="J64" s="326">
        <v>157</v>
      </c>
      <c r="K64" s="326">
        <v>437</v>
      </c>
      <c r="L64" s="326">
        <v>470</v>
      </c>
    </row>
    <row r="65" spans="1:12" s="263" customFormat="1" ht="9" customHeight="1" x14ac:dyDescent="0.25">
      <c r="A65" s="267" t="s">
        <v>33</v>
      </c>
      <c r="B65" s="328">
        <f t="shared" si="5"/>
        <v>1054</v>
      </c>
      <c r="C65" s="328">
        <v>380</v>
      </c>
      <c r="D65" s="328"/>
      <c r="E65" s="636">
        <f t="shared" si="1"/>
        <v>674</v>
      </c>
      <c r="F65" s="328"/>
      <c r="G65" s="328">
        <f t="shared" si="6"/>
        <v>409</v>
      </c>
      <c r="H65" s="328">
        <v>384</v>
      </c>
      <c r="I65" s="268">
        <v>25</v>
      </c>
      <c r="J65" s="328">
        <v>49</v>
      </c>
      <c r="K65" s="328">
        <v>97</v>
      </c>
      <c r="L65" s="328">
        <v>119</v>
      </c>
    </row>
    <row r="66" spans="1:12" s="263" customFormat="1" ht="9" customHeight="1" x14ac:dyDescent="0.25">
      <c r="A66" s="263" t="s">
        <v>34</v>
      </c>
      <c r="B66" s="326">
        <f t="shared" si="5"/>
        <v>1087</v>
      </c>
      <c r="C66" s="326">
        <v>484</v>
      </c>
      <c r="D66" s="326"/>
      <c r="E66" s="327">
        <f t="shared" si="1"/>
        <v>603</v>
      </c>
      <c r="F66" s="326"/>
      <c r="G66" s="326">
        <f t="shared" si="6"/>
        <v>339</v>
      </c>
      <c r="H66" s="326">
        <v>323</v>
      </c>
      <c r="I66" s="266">
        <v>16</v>
      </c>
      <c r="J66" s="326">
        <v>32</v>
      </c>
      <c r="K66" s="326">
        <v>83</v>
      </c>
      <c r="L66" s="326">
        <v>149</v>
      </c>
    </row>
    <row r="67" spans="1:12" s="263" customFormat="1" ht="9" customHeight="1" x14ac:dyDescent="0.25">
      <c r="A67" s="263" t="s">
        <v>35</v>
      </c>
      <c r="B67" s="326">
        <f t="shared" si="5"/>
        <v>6006</v>
      </c>
      <c r="C67" s="326">
        <v>2310</v>
      </c>
      <c r="D67" s="326"/>
      <c r="E67" s="327">
        <f t="shared" si="1"/>
        <v>3696</v>
      </c>
      <c r="F67" s="326"/>
      <c r="G67" s="326">
        <f t="shared" si="6"/>
        <v>1854</v>
      </c>
      <c r="H67" s="326">
        <v>1761</v>
      </c>
      <c r="I67" s="266">
        <v>93</v>
      </c>
      <c r="J67" s="326">
        <v>156</v>
      </c>
      <c r="K67" s="326">
        <v>686</v>
      </c>
      <c r="L67" s="326">
        <v>1000</v>
      </c>
    </row>
    <row r="68" spans="1:12" s="263" customFormat="1" ht="9" customHeight="1" x14ac:dyDescent="0.25">
      <c r="A68" s="263" t="s">
        <v>36</v>
      </c>
      <c r="B68" s="326">
        <f t="shared" si="5"/>
        <v>6051</v>
      </c>
      <c r="C68" s="326">
        <v>2733</v>
      </c>
      <c r="D68" s="326"/>
      <c r="E68" s="327">
        <f t="shared" si="1"/>
        <v>3318</v>
      </c>
      <c r="F68" s="326"/>
      <c r="G68" s="326">
        <f t="shared" si="6"/>
        <v>1916</v>
      </c>
      <c r="H68" s="326">
        <v>1807</v>
      </c>
      <c r="I68" s="266">
        <v>109</v>
      </c>
      <c r="J68" s="326">
        <v>280</v>
      </c>
      <c r="K68" s="326">
        <v>503</v>
      </c>
      <c r="L68" s="326">
        <v>619</v>
      </c>
    </row>
    <row r="69" spans="1:12" s="263" customFormat="1" ht="9" customHeight="1" x14ac:dyDescent="0.25">
      <c r="A69" s="267" t="s">
        <v>37</v>
      </c>
      <c r="B69" s="328">
        <f t="shared" si="5"/>
        <v>1341</v>
      </c>
      <c r="C69" s="328">
        <v>331</v>
      </c>
      <c r="D69" s="328"/>
      <c r="E69" s="636">
        <f t="shared" si="1"/>
        <v>1010</v>
      </c>
      <c r="F69" s="328"/>
      <c r="G69" s="328">
        <f t="shared" si="6"/>
        <v>550</v>
      </c>
      <c r="H69" s="328">
        <v>511</v>
      </c>
      <c r="I69" s="268">
        <v>39</v>
      </c>
      <c r="J69" s="328">
        <v>59</v>
      </c>
      <c r="K69" s="328">
        <v>155</v>
      </c>
      <c r="L69" s="328">
        <v>246</v>
      </c>
    </row>
    <row r="70" spans="1:12" s="263" customFormat="1" ht="9" customHeight="1" x14ac:dyDescent="0.25">
      <c r="A70" s="263" t="s">
        <v>38</v>
      </c>
      <c r="B70" s="326">
        <f t="shared" si="5"/>
        <v>1026</v>
      </c>
      <c r="C70" s="326">
        <v>480</v>
      </c>
      <c r="D70" s="326"/>
      <c r="E70" s="327">
        <f t="shared" si="1"/>
        <v>546</v>
      </c>
      <c r="F70" s="326"/>
      <c r="G70" s="326">
        <f t="shared" si="6"/>
        <v>311</v>
      </c>
      <c r="H70" s="326">
        <v>295</v>
      </c>
      <c r="I70" s="266">
        <v>16</v>
      </c>
      <c r="J70" s="326">
        <v>35</v>
      </c>
      <c r="K70" s="326">
        <v>85</v>
      </c>
      <c r="L70" s="326">
        <v>115</v>
      </c>
    </row>
    <row r="71" spans="1:12" s="263" customFormat="1" ht="9" customHeight="1" x14ac:dyDescent="0.25">
      <c r="A71" s="263" t="s">
        <v>39</v>
      </c>
      <c r="B71" s="326">
        <f t="shared" si="5"/>
        <v>371</v>
      </c>
      <c r="C71" s="326">
        <v>205</v>
      </c>
      <c r="D71" s="326"/>
      <c r="E71" s="327">
        <f t="shared" si="1"/>
        <v>166</v>
      </c>
      <c r="F71" s="326"/>
      <c r="G71" s="326">
        <f t="shared" si="6"/>
        <v>80</v>
      </c>
      <c r="H71" s="326">
        <v>79</v>
      </c>
      <c r="I71" s="266">
        <v>1</v>
      </c>
      <c r="J71" s="326">
        <v>9</v>
      </c>
      <c r="K71" s="326">
        <v>26</v>
      </c>
      <c r="L71" s="326">
        <v>51</v>
      </c>
    </row>
    <row r="72" spans="1:12" s="263" customFormat="1" ht="9" customHeight="1" x14ac:dyDescent="0.25">
      <c r="A72" s="263" t="s">
        <v>40</v>
      </c>
      <c r="B72" s="326">
        <f t="shared" si="5"/>
        <v>4295</v>
      </c>
      <c r="C72" s="326">
        <v>686</v>
      </c>
      <c r="D72" s="326"/>
      <c r="E72" s="327">
        <f t="shared" si="1"/>
        <v>3609</v>
      </c>
      <c r="F72" s="326"/>
      <c r="G72" s="326">
        <f t="shared" si="6"/>
        <v>1726</v>
      </c>
      <c r="H72" s="326">
        <v>1599</v>
      </c>
      <c r="I72" s="266">
        <v>127</v>
      </c>
      <c r="J72" s="326">
        <v>222</v>
      </c>
      <c r="K72" s="326">
        <v>834</v>
      </c>
      <c r="L72" s="326">
        <v>827</v>
      </c>
    </row>
    <row r="73" spans="1:12" s="263" customFormat="1" ht="9" customHeight="1" x14ac:dyDescent="0.25">
      <c r="A73" s="267" t="s">
        <v>41</v>
      </c>
      <c r="B73" s="328">
        <f t="shared" si="5"/>
        <v>606</v>
      </c>
      <c r="C73" s="328">
        <v>290</v>
      </c>
      <c r="D73" s="328"/>
      <c r="E73" s="636">
        <f t="shared" si="1"/>
        <v>316</v>
      </c>
      <c r="F73" s="328"/>
      <c r="G73" s="328">
        <f t="shared" si="6"/>
        <v>174</v>
      </c>
      <c r="H73" s="328">
        <v>161</v>
      </c>
      <c r="I73" s="268">
        <v>13</v>
      </c>
      <c r="J73" s="328">
        <v>30</v>
      </c>
      <c r="K73" s="328">
        <v>53</v>
      </c>
      <c r="L73" s="328">
        <v>59</v>
      </c>
    </row>
    <row r="74" spans="1:12" s="263" customFormat="1" ht="9" customHeight="1" x14ac:dyDescent="0.25">
      <c r="A74" s="263" t="s">
        <v>42</v>
      </c>
      <c r="B74" s="326">
        <f t="shared" si="5"/>
        <v>2981</v>
      </c>
      <c r="C74" s="326">
        <v>932</v>
      </c>
      <c r="D74" s="326"/>
      <c r="E74" s="327">
        <f t="shared" si="1"/>
        <v>2049</v>
      </c>
      <c r="F74" s="326"/>
      <c r="G74" s="326">
        <f t="shared" si="6"/>
        <v>1171</v>
      </c>
      <c r="H74" s="326">
        <v>1116</v>
      </c>
      <c r="I74" s="266">
        <v>55</v>
      </c>
      <c r="J74" s="326">
        <v>95</v>
      </c>
      <c r="K74" s="326">
        <v>288</v>
      </c>
      <c r="L74" s="326">
        <v>495</v>
      </c>
    </row>
    <row r="75" spans="1:12" s="263" customFormat="1" ht="9" customHeight="1" x14ac:dyDescent="0.25">
      <c r="A75" s="263" t="s">
        <v>43</v>
      </c>
      <c r="B75" s="326">
        <f t="shared" si="5"/>
        <v>449</v>
      </c>
      <c r="C75" s="326">
        <v>110</v>
      </c>
      <c r="D75" s="326"/>
      <c r="E75" s="327">
        <f t="shared" si="1"/>
        <v>339</v>
      </c>
      <c r="F75" s="326"/>
      <c r="G75" s="326">
        <f t="shared" si="6"/>
        <v>183</v>
      </c>
      <c r="H75" s="326">
        <v>175</v>
      </c>
      <c r="I75" s="266">
        <v>8</v>
      </c>
      <c r="J75" s="326">
        <v>7</v>
      </c>
      <c r="K75" s="326">
        <v>65</v>
      </c>
      <c r="L75" s="326">
        <v>84</v>
      </c>
    </row>
    <row r="76" spans="1:12" s="263" customFormat="1" ht="9" customHeight="1" x14ac:dyDescent="0.25">
      <c r="A76" s="263" t="s">
        <v>44</v>
      </c>
      <c r="B76" s="326">
        <f t="shared" si="5"/>
        <v>722</v>
      </c>
      <c r="C76" s="326">
        <v>359</v>
      </c>
      <c r="D76" s="326"/>
      <c r="E76" s="327">
        <f t="shared" si="1"/>
        <v>363</v>
      </c>
      <c r="F76" s="326"/>
      <c r="G76" s="326">
        <f t="shared" si="6"/>
        <v>173</v>
      </c>
      <c r="H76" s="326">
        <v>162</v>
      </c>
      <c r="I76" s="266">
        <v>11</v>
      </c>
      <c r="J76" s="326">
        <v>44</v>
      </c>
      <c r="K76" s="326">
        <v>75</v>
      </c>
      <c r="L76" s="326">
        <v>71</v>
      </c>
    </row>
    <row r="77" spans="1:12" s="263" customFormat="1" ht="9" customHeight="1" x14ac:dyDescent="0.25">
      <c r="A77" s="267" t="s">
        <v>45</v>
      </c>
      <c r="B77" s="328">
        <f t="shared" si="5"/>
        <v>1467</v>
      </c>
      <c r="C77" s="328">
        <v>336</v>
      </c>
      <c r="D77" s="328"/>
      <c r="E77" s="636">
        <f t="shared" si="1"/>
        <v>1131</v>
      </c>
      <c r="F77" s="328"/>
      <c r="G77" s="328">
        <f t="shared" si="6"/>
        <v>578</v>
      </c>
      <c r="H77" s="328">
        <v>550</v>
      </c>
      <c r="I77" s="268">
        <v>28</v>
      </c>
      <c r="J77" s="328">
        <v>61</v>
      </c>
      <c r="K77" s="328">
        <v>207</v>
      </c>
      <c r="L77" s="328">
        <v>285</v>
      </c>
    </row>
    <row r="78" spans="1:12" s="263" customFormat="1" ht="9" customHeight="1" x14ac:dyDescent="0.25">
      <c r="A78" s="263" t="s">
        <v>46</v>
      </c>
      <c r="B78" s="326">
        <f t="shared" si="5"/>
        <v>1484</v>
      </c>
      <c r="C78" s="326">
        <v>629</v>
      </c>
      <c r="D78" s="326"/>
      <c r="E78" s="327">
        <f t="shared" si="1"/>
        <v>855</v>
      </c>
      <c r="F78" s="326"/>
      <c r="G78" s="326">
        <f t="shared" si="6"/>
        <v>458</v>
      </c>
      <c r="H78" s="326">
        <v>426</v>
      </c>
      <c r="I78" s="266">
        <v>32</v>
      </c>
      <c r="J78" s="326">
        <v>53</v>
      </c>
      <c r="K78" s="326">
        <v>146</v>
      </c>
      <c r="L78" s="326">
        <v>198</v>
      </c>
    </row>
    <row r="79" spans="1:12" s="263" customFormat="1" ht="9" customHeight="1" x14ac:dyDescent="0.25">
      <c r="A79" s="263" t="s">
        <v>47</v>
      </c>
      <c r="B79" s="326">
        <f t="shared" si="5"/>
        <v>1919</v>
      </c>
      <c r="C79" s="326">
        <v>869</v>
      </c>
      <c r="D79" s="326"/>
      <c r="E79" s="327">
        <f t="shared" si="1"/>
        <v>1050</v>
      </c>
      <c r="F79" s="326"/>
      <c r="G79" s="326">
        <f t="shared" si="6"/>
        <v>553</v>
      </c>
      <c r="H79" s="326">
        <v>530</v>
      </c>
      <c r="I79" s="266">
        <v>23</v>
      </c>
      <c r="J79" s="326">
        <v>39</v>
      </c>
      <c r="K79" s="326">
        <v>232</v>
      </c>
      <c r="L79" s="326">
        <v>226</v>
      </c>
    </row>
    <row r="80" spans="1:12" s="263" customFormat="1" ht="9" customHeight="1" x14ac:dyDescent="0.25">
      <c r="A80" s="263" t="s">
        <v>48</v>
      </c>
      <c r="B80" s="326">
        <f t="shared" si="5"/>
        <v>613</v>
      </c>
      <c r="C80" s="326">
        <v>281</v>
      </c>
      <c r="D80" s="326"/>
      <c r="E80" s="327">
        <f t="shared" si="1"/>
        <v>332</v>
      </c>
      <c r="F80" s="326"/>
      <c r="G80" s="326">
        <f t="shared" si="6"/>
        <v>226</v>
      </c>
      <c r="H80" s="326">
        <v>220</v>
      </c>
      <c r="I80" s="266">
        <v>6</v>
      </c>
      <c r="J80" s="326">
        <v>20</v>
      </c>
      <c r="K80" s="326">
        <v>39</v>
      </c>
      <c r="L80" s="326">
        <v>47</v>
      </c>
    </row>
    <row r="81" spans="1:12" s="263" customFormat="1" ht="9" customHeight="1" x14ac:dyDescent="0.25">
      <c r="A81" s="267" t="s">
        <v>49</v>
      </c>
      <c r="B81" s="328">
        <f t="shared" si="5"/>
        <v>1419</v>
      </c>
      <c r="C81" s="328">
        <v>233</v>
      </c>
      <c r="D81" s="328"/>
      <c r="E81" s="636">
        <f t="shared" si="1"/>
        <v>1186</v>
      </c>
      <c r="F81" s="328"/>
      <c r="G81" s="328">
        <f t="shared" si="6"/>
        <v>612</v>
      </c>
      <c r="H81" s="328">
        <v>598</v>
      </c>
      <c r="I81" s="268">
        <v>14</v>
      </c>
      <c r="J81" s="328">
        <v>36</v>
      </c>
      <c r="K81" s="328">
        <v>188</v>
      </c>
      <c r="L81" s="328">
        <v>350</v>
      </c>
    </row>
    <row r="82" spans="1:12" s="263" customFormat="1" ht="9" customHeight="1" x14ac:dyDescent="0.25">
      <c r="A82" s="263" t="s">
        <v>50</v>
      </c>
      <c r="B82" s="326">
        <f t="shared" si="5"/>
        <v>371</v>
      </c>
      <c r="C82" s="326">
        <v>117</v>
      </c>
      <c r="D82" s="326"/>
      <c r="E82" s="327">
        <f t="shared" si="1"/>
        <v>254</v>
      </c>
      <c r="F82" s="326"/>
      <c r="G82" s="326">
        <f t="shared" si="6"/>
        <v>155</v>
      </c>
      <c r="H82" s="326">
        <v>141</v>
      </c>
      <c r="I82" s="266">
        <v>14</v>
      </c>
      <c r="J82" s="326">
        <v>3</v>
      </c>
      <c r="K82" s="326">
        <v>33</v>
      </c>
      <c r="L82" s="326">
        <v>63</v>
      </c>
    </row>
    <row r="83" spans="1:12" s="263" customFormat="1" ht="9" customHeight="1" x14ac:dyDescent="0.25">
      <c r="A83" s="263" t="s">
        <v>51</v>
      </c>
      <c r="B83" s="326">
        <f t="shared" si="5"/>
        <v>1796</v>
      </c>
      <c r="C83" s="326">
        <v>619</v>
      </c>
      <c r="D83" s="326"/>
      <c r="E83" s="327">
        <f t="shared" si="1"/>
        <v>1177</v>
      </c>
      <c r="F83" s="326"/>
      <c r="G83" s="326">
        <f t="shared" si="6"/>
        <v>668</v>
      </c>
      <c r="H83" s="326">
        <v>609</v>
      </c>
      <c r="I83" s="266">
        <v>59</v>
      </c>
      <c r="J83" s="326">
        <v>86</v>
      </c>
      <c r="K83" s="326">
        <v>161</v>
      </c>
      <c r="L83" s="326">
        <v>262</v>
      </c>
    </row>
    <row r="84" spans="1:12" s="263" customFormat="1" ht="9" customHeight="1" x14ac:dyDescent="0.25">
      <c r="A84" s="263" t="s">
        <v>52</v>
      </c>
      <c r="B84" s="326">
        <f t="shared" si="5"/>
        <v>1362</v>
      </c>
      <c r="C84" s="326">
        <v>466</v>
      </c>
      <c r="D84" s="326"/>
      <c r="E84" s="327">
        <f t="shared" ref="E84:E150" si="7">SUM(G84+J84+K84+L84)</f>
        <v>896</v>
      </c>
      <c r="F84" s="326"/>
      <c r="G84" s="326">
        <f t="shared" si="6"/>
        <v>460</v>
      </c>
      <c r="H84" s="326">
        <v>411</v>
      </c>
      <c r="I84" s="266">
        <v>49</v>
      </c>
      <c r="J84" s="326">
        <v>73</v>
      </c>
      <c r="K84" s="326">
        <v>139</v>
      </c>
      <c r="L84" s="326">
        <v>224</v>
      </c>
    </row>
    <row r="85" spans="1:12" s="263" customFormat="1" ht="9" customHeight="1" x14ac:dyDescent="0.25">
      <c r="A85" s="267" t="s">
        <v>53</v>
      </c>
      <c r="B85" s="328">
        <f t="shared" si="5"/>
        <v>568</v>
      </c>
      <c r="C85" s="328">
        <v>298</v>
      </c>
      <c r="D85" s="328"/>
      <c r="E85" s="636">
        <f>SUM(G85+J85+K85+L85)</f>
        <v>270</v>
      </c>
      <c r="F85" s="328"/>
      <c r="G85" s="328">
        <f t="shared" si="6"/>
        <v>148</v>
      </c>
      <c r="H85" s="328">
        <v>124</v>
      </c>
      <c r="I85" s="268">
        <v>24</v>
      </c>
      <c r="J85" s="328">
        <v>7</v>
      </c>
      <c r="K85" s="328">
        <v>36</v>
      </c>
      <c r="L85" s="328">
        <v>79</v>
      </c>
    </row>
    <row r="86" spans="1:12" s="263" customFormat="1" ht="9" customHeight="1" x14ac:dyDescent="0.25">
      <c r="B86" s="326"/>
      <c r="C86" s="326"/>
      <c r="D86" s="326"/>
      <c r="E86" s="327"/>
      <c r="F86" s="326"/>
      <c r="G86" s="326"/>
      <c r="H86" s="326"/>
      <c r="I86" s="326"/>
      <c r="J86" s="326"/>
      <c r="K86" s="326"/>
      <c r="L86" s="326"/>
    </row>
    <row r="87" spans="1:12" s="263" customFormat="1" ht="9" customHeight="1" x14ac:dyDescent="0.25">
      <c r="A87" s="261">
        <v>1997</v>
      </c>
      <c r="B87" s="262"/>
      <c r="C87" s="262"/>
      <c r="D87" s="262"/>
      <c r="E87" s="327"/>
      <c r="F87" s="262"/>
      <c r="G87" s="262"/>
      <c r="H87" s="262"/>
      <c r="I87" s="262"/>
      <c r="J87" s="262"/>
      <c r="K87" s="262"/>
      <c r="L87" s="262"/>
    </row>
    <row r="88" spans="1:12" s="263" customFormat="1" ht="9" customHeight="1" x14ac:dyDescent="0.25">
      <c r="A88" s="265" t="s">
        <v>21</v>
      </c>
      <c r="B88" s="325">
        <f>SUM(B90:B121)</f>
        <v>66888</v>
      </c>
      <c r="C88" s="325">
        <f>SUM(C90:C121)</f>
        <v>18587</v>
      </c>
      <c r="D88" s="325"/>
      <c r="E88" s="325">
        <f t="shared" ref="E88:K88" si="8">SUM(E90:E121)</f>
        <v>48301</v>
      </c>
      <c r="F88" s="325"/>
      <c r="G88" s="325">
        <f t="shared" si="8"/>
        <v>25762</v>
      </c>
      <c r="H88" s="325">
        <f t="shared" si="8"/>
        <v>22902</v>
      </c>
      <c r="I88" s="325">
        <f t="shared" si="8"/>
        <v>2860</v>
      </c>
      <c r="J88" s="325">
        <f t="shared" si="8"/>
        <v>3058</v>
      </c>
      <c r="K88" s="325">
        <f t="shared" si="8"/>
        <v>8946</v>
      </c>
      <c r="L88" s="325">
        <f>SUM(L90:L121)</f>
        <v>10535</v>
      </c>
    </row>
    <row r="89" spans="1:12" s="263" customFormat="1" ht="3.95" customHeight="1" x14ac:dyDescent="0.25">
      <c r="A89" s="265"/>
      <c r="B89" s="325"/>
      <c r="C89" s="325"/>
      <c r="D89" s="325"/>
      <c r="E89" s="325"/>
      <c r="F89" s="325"/>
      <c r="G89" s="325"/>
      <c r="H89" s="325"/>
      <c r="I89" s="325"/>
      <c r="J89" s="325"/>
      <c r="K89" s="325"/>
      <c r="L89" s="325"/>
    </row>
    <row r="90" spans="1:12" s="263" customFormat="1" ht="9" customHeight="1" x14ac:dyDescent="0.25">
      <c r="A90" s="263" t="s">
        <v>23</v>
      </c>
      <c r="B90" s="326">
        <f t="shared" ref="B90:B121" si="9">SUM(C90+E90)</f>
        <v>774</v>
      </c>
      <c r="C90" s="326">
        <v>246</v>
      </c>
      <c r="D90" s="326"/>
      <c r="E90" s="327">
        <f t="shared" si="7"/>
        <v>528</v>
      </c>
      <c r="F90" s="326"/>
      <c r="G90" s="326">
        <f t="shared" ref="G90:G121" si="10">SUM(H90:I90)</f>
        <v>288</v>
      </c>
      <c r="H90" s="326">
        <v>279</v>
      </c>
      <c r="I90" s="266">
        <v>9</v>
      </c>
      <c r="J90" s="326">
        <v>33</v>
      </c>
      <c r="K90" s="326">
        <v>98</v>
      </c>
      <c r="L90" s="326">
        <v>109</v>
      </c>
    </row>
    <row r="91" spans="1:12" s="263" customFormat="1" ht="9" customHeight="1" x14ac:dyDescent="0.25">
      <c r="A91" s="263" t="s">
        <v>24</v>
      </c>
      <c r="B91" s="326">
        <f t="shared" si="9"/>
        <v>1278</v>
      </c>
      <c r="C91" s="326">
        <v>296</v>
      </c>
      <c r="D91" s="326"/>
      <c r="E91" s="327">
        <f t="shared" si="7"/>
        <v>982</v>
      </c>
      <c r="F91" s="326"/>
      <c r="G91" s="326">
        <f t="shared" si="10"/>
        <v>526</v>
      </c>
      <c r="H91" s="326">
        <v>497</v>
      </c>
      <c r="I91" s="266">
        <v>29</v>
      </c>
      <c r="J91" s="326">
        <v>32</v>
      </c>
      <c r="K91" s="326">
        <v>190</v>
      </c>
      <c r="L91" s="326">
        <v>234</v>
      </c>
    </row>
    <row r="92" spans="1:12" s="263" customFormat="1" ht="9" customHeight="1" x14ac:dyDescent="0.25">
      <c r="A92" s="263" t="s">
        <v>25</v>
      </c>
      <c r="B92" s="326">
        <f t="shared" si="9"/>
        <v>125</v>
      </c>
      <c r="C92" s="326">
        <v>52</v>
      </c>
      <c r="D92" s="326"/>
      <c r="E92" s="327">
        <f t="shared" si="7"/>
        <v>73</v>
      </c>
      <c r="F92" s="326"/>
      <c r="G92" s="326">
        <f t="shared" si="10"/>
        <v>44</v>
      </c>
      <c r="H92" s="326">
        <v>32</v>
      </c>
      <c r="I92" s="266">
        <v>12</v>
      </c>
      <c r="J92" s="326">
        <v>2</v>
      </c>
      <c r="K92" s="326">
        <v>8</v>
      </c>
      <c r="L92" s="326">
        <v>19</v>
      </c>
    </row>
    <row r="93" spans="1:12" s="263" customFormat="1" ht="9" customHeight="1" x14ac:dyDescent="0.25">
      <c r="A93" s="267" t="s">
        <v>26</v>
      </c>
      <c r="B93" s="328">
        <f t="shared" si="9"/>
        <v>208</v>
      </c>
      <c r="C93" s="328">
        <v>73</v>
      </c>
      <c r="D93" s="328"/>
      <c r="E93" s="636">
        <f t="shared" si="7"/>
        <v>135</v>
      </c>
      <c r="F93" s="328"/>
      <c r="G93" s="328">
        <f t="shared" si="10"/>
        <v>56</v>
      </c>
      <c r="H93" s="328">
        <v>56</v>
      </c>
      <c r="I93" s="268">
        <v>0</v>
      </c>
      <c r="J93" s="328">
        <v>24</v>
      </c>
      <c r="K93" s="328">
        <v>22</v>
      </c>
      <c r="L93" s="328">
        <v>33</v>
      </c>
    </row>
    <row r="94" spans="1:12" s="263" customFormat="1" ht="9" customHeight="1" x14ac:dyDescent="0.25">
      <c r="A94" s="263" t="s">
        <v>27</v>
      </c>
      <c r="B94" s="326">
        <f t="shared" si="9"/>
        <v>1897</v>
      </c>
      <c r="C94" s="326">
        <v>520</v>
      </c>
      <c r="D94" s="326"/>
      <c r="E94" s="327">
        <f t="shared" si="7"/>
        <v>1377</v>
      </c>
      <c r="F94" s="326"/>
      <c r="G94" s="326">
        <f t="shared" si="10"/>
        <v>575</v>
      </c>
      <c r="H94" s="326">
        <v>537</v>
      </c>
      <c r="I94" s="266">
        <v>38</v>
      </c>
      <c r="J94" s="326">
        <v>48</v>
      </c>
      <c r="K94" s="326">
        <v>345</v>
      </c>
      <c r="L94" s="326">
        <v>409</v>
      </c>
    </row>
    <row r="95" spans="1:12" s="263" customFormat="1" ht="9" customHeight="1" x14ac:dyDescent="0.25">
      <c r="A95" s="263" t="s">
        <v>28</v>
      </c>
      <c r="B95" s="326">
        <f t="shared" si="9"/>
        <v>400</v>
      </c>
      <c r="C95" s="326">
        <v>195</v>
      </c>
      <c r="D95" s="326"/>
      <c r="E95" s="327">
        <f t="shared" si="7"/>
        <v>205</v>
      </c>
      <c r="F95" s="326"/>
      <c r="G95" s="326">
        <f t="shared" si="10"/>
        <v>102</v>
      </c>
      <c r="H95" s="326">
        <v>102</v>
      </c>
      <c r="I95" s="266">
        <v>0</v>
      </c>
      <c r="J95" s="326">
        <v>15</v>
      </c>
      <c r="K95" s="326">
        <v>32</v>
      </c>
      <c r="L95" s="326">
        <v>56</v>
      </c>
    </row>
    <row r="96" spans="1:12" s="263" customFormat="1" ht="9" customHeight="1" x14ac:dyDescent="0.25">
      <c r="A96" s="263" t="s">
        <v>29</v>
      </c>
      <c r="B96" s="326">
        <f t="shared" si="9"/>
        <v>1092</v>
      </c>
      <c r="C96" s="326">
        <v>393</v>
      </c>
      <c r="D96" s="326"/>
      <c r="E96" s="327">
        <f t="shared" si="7"/>
        <v>699</v>
      </c>
      <c r="F96" s="326"/>
      <c r="G96" s="326">
        <f t="shared" si="10"/>
        <v>433</v>
      </c>
      <c r="H96" s="326">
        <v>409</v>
      </c>
      <c r="I96" s="266">
        <v>24</v>
      </c>
      <c r="J96" s="326">
        <v>48</v>
      </c>
      <c r="K96" s="326">
        <v>71</v>
      </c>
      <c r="L96" s="326">
        <v>147</v>
      </c>
    </row>
    <row r="97" spans="1:12" s="263" customFormat="1" ht="9" customHeight="1" x14ac:dyDescent="0.25">
      <c r="A97" s="267" t="s">
        <v>30</v>
      </c>
      <c r="B97" s="328">
        <f t="shared" si="9"/>
        <v>2337</v>
      </c>
      <c r="C97" s="328">
        <v>203</v>
      </c>
      <c r="D97" s="328"/>
      <c r="E97" s="636">
        <f t="shared" si="7"/>
        <v>2134</v>
      </c>
      <c r="F97" s="328"/>
      <c r="G97" s="328">
        <f t="shared" si="10"/>
        <v>1075</v>
      </c>
      <c r="H97" s="328">
        <v>1035</v>
      </c>
      <c r="I97" s="268">
        <v>40</v>
      </c>
      <c r="J97" s="328">
        <v>97</v>
      </c>
      <c r="K97" s="328">
        <v>433</v>
      </c>
      <c r="L97" s="328">
        <v>529</v>
      </c>
    </row>
    <row r="98" spans="1:12" s="263" customFormat="1" ht="9" customHeight="1" x14ac:dyDescent="0.25">
      <c r="A98" s="263" t="s">
        <v>63</v>
      </c>
      <c r="B98" s="326">
        <f t="shared" si="9"/>
        <v>18692</v>
      </c>
      <c r="C98" s="326">
        <v>4902</v>
      </c>
      <c r="D98" s="326"/>
      <c r="E98" s="327">
        <f t="shared" si="7"/>
        <v>13790</v>
      </c>
      <c r="F98" s="326"/>
      <c r="G98" s="326">
        <f t="shared" si="10"/>
        <v>7154</v>
      </c>
      <c r="H98" s="326">
        <v>5456</v>
      </c>
      <c r="I98" s="266">
        <v>1698</v>
      </c>
      <c r="J98" s="326">
        <v>1101</v>
      </c>
      <c r="K98" s="326">
        <v>2939</v>
      </c>
      <c r="L98" s="326">
        <v>2596</v>
      </c>
    </row>
    <row r="99" spans="1:12" s="263" customFormat="1" ht="9" customHeight="1" x14ac:dyDescent="0.25">
      <c r="A99" s="263" t="s">
        <v>31</v>
      </c>
      <c r="B99" s="326">
        <f t="shared" si="9"/>
        <v>376</v>
      </c>
      <c r="C99" s="326">
        <v>72</v>
      </c>
      <c r="D99" s="326"/>
      <c r="E99" s="327">
        <f t="shared" si="7"/>
        <v>304</v>
      </c>
      <c r="F99" s="326"/>
      <c r="G99" s="326">
        <f t="shared" si="10"/>
        <v>173</v>
      </c>
      <c r="H99" s="326">
        <v>169</v>
      </c>
      <c r="I99" s="266">
        <v>4</v>
      </c>
      <c r="J99" s="263">
        <v>10</v>
      </c>
      <c r="K99" s="326">
        <v>41</v>
      </c>
      <c r="L99" s="326">
        <v>80</v>
      </c>
    </row>
    <row r="100" spans="1:12" s="263" customFormat="1" ht="9" customHeight="1" x14ac:dyDescent="0.25">
      <c r="A100" s="263" t="s">
        <v>32</v>
      </c>
      <c r="B100" s="326">
        <f t="shared" si="9"/>
        <v>3193</v>
      </c>
      <c r="C100" s="326">
        <v>564</v>
      </c>
      <c r="D100" s="326"/>
      <c r="E100" s="327">
        <f t="shared" si="7"/>
        <v>2629</v>
      </c>
      <c r="F100" s="326"/>
      <c r="G100" s="326">
        <f t="shared" si="10"/>
        <v>1547</v>
      </c>
      <c r="H100" s="326">
        <v>1305</v>
      </c>
      <c r="I100" s="266">
        <v>242</v>
      </c>
      <c r="J100" s="326">
        <v>159</v>
      </c>
      <c r="K100" s="326">
        <v>389</v>
      </c>
      <c r="L100" s="326">
        <v>534</v>
      </c>
    </row>
    <row r="101" spans="1:12" s="263" customFormat="1" ht="9" customHeight="1" x14ac:dyDescent="0.25">
      <c r="A101" s="267" t="s">
        <v>33</v>
      </c>
      <c r="B101" s="328">
        <f t="shared" si="9"/>
        <v>1028</v>
      </c>
      <c r="C101" s="328">
        <v>314</v>
      </c>
      <c r="D101" s="328"/>
      <c r="E101" s="636">
        <f t="shared" si="7"/>
        <v>714</v>
      </c>
      <c r="F101" s="328"/>
      <c r="G101" s="328">
        <f t="shared" si="10"/>
        <v>427</v>
      </c>
      <c r="H101" s="328">
        <v>402</v>
      </c>
      <c r="I101" s="268">
        <v>25</v>
      </c>
      <c r="J101" s="328">
        <v>51</v>
      </c>
      <c r="K101" s="328">
        <v>100</v>
      </c>
      <c r="L101" s="328">
        <v>136</v>
      </c>
    </row>
    <row r="102" spans="1:12" s="263" customFormat="1" ht="9" customHeight="1" x14ac:dyDescent="0.25">
      <c r="A102" s="263" t="s">
        <v>34</v>
      </c>
      <c r="B102" s="326">
        <f t="shared" si="9"/>
        <v>1107</v>
      </c>
      <c r="C102" s="326">
        <v>515</v>
      </c>
      <c r="D102" s="326"/>
      <c r="E102" s="327">
        <f t="shared" si="7"/>
        <v>592</v>
      </c>
      <c r="F102" s="326"/>
      <c r="G102" s="326">
        <f t="shared" si="10"/>
        <v>356</v>
      </c>
      <c r="H102" s="326">
        <v>330</v>
      </c>
      <c r="I102" s="266">
        <v>26</v>
      </c>
      <c r="J102" s="326">
        <v>35</v>
      </c>
      <c r="K102" s="326">
        <v>82</v>
      </c>
      <c r="L102" s="326">
        <v>119</v>
      </c>
    </row>
    <row r="103" spans="1:12" s="263" customFormat="1" ht="9" customHeight="1" x14ac:dyDescent="0.25">
      <c r="A103" s="263" t="s">
        <v>35</v>
      </c>
      <c r="B103" s="326">
        <f t="shared" si="9"/>
        <v>4124</v>
      </c>
      <c r="C103" s="326">
        <v>626</v>
      </c>
      <c r="D103" s="326"/>
      <c r="E103" s="327">
        <f t="shared" si="7"/>
        <v>3498</v>
      </c>
      <c r="F103" s="326"/>
      <c r="G103" s="326">
        <f t="shared" si="10"/>
        <v>1819</v>
      </c>
      <c r="H103" s="326">
        <v>1711</v>
      </c>
      <c r="I103" s="266">
        <v>108</v>
      </c>
      <c r="J103" s="326">
        <v>190</v>
      </c>
      <c r="K103" s="326">
        <v>580</v>
      </c>
      <c r="L103" s="326">
        <v>909</v>
      </c>
    </row>
    <row r="104" spans="1:12" s="263" customFormat="1" ht="9" customHeight="1" x14ac:dyDescent="0.25">
      <c r="A104" s="263" t="s">
        <v>36</v>
      </c>
      <c r="B104" s="326">
        <f t="shared" si="9"/>
        <v>5835</v>
      </c>
      <c r="C104" s="326">
        <v>2339</v>
      </c>
      <c r="D104" s="326"/>
      <c r="E104" s="327">
        <f t="shared" si="7"/>
        <v>3496</v>
      </c>
      <c r="F104" s="326"/>
      <c r="G104" s="326">
        <f t="shared" si="10"/>
        <v>1995</v>
      </c>
      <c r="H104" s="326">
        <v>1901</v>
      </c>
      <c r="I104" s="266">
        <v>94</v>
      </c>
      <c r="J104" s="326">
        <v>276</v>
      </c>
      <c r="K104" s="326">
        <v>563</v>
      </c>
      <c r="L104" s="326">
        <v>662</v>
      </c>
    </row>
    <row r="105" spans="1:12" s="263" customFormat="1" ht="9" customHeight="1" x14ac:dyDescent="0.25">
      <c r="A105" s="267" t="s">
        <v>37</v>
      </c>
      <c r="B105" s="328">
        <f t="shared" si="9"/>
        <v>1337</v>
      </c>
      <c r="C105" s="328">
        <v>293</v>
      </c>
      <c r="D105" s="328"/>
      <c r="E105" s="636">
        <f t="shared" si="7"/>
        <v>1044</v>
      </c>
      <c r="F105" s="328"/>
      <c r="G105" s="328">
        <f t="shared" si="10"/>
        <v>555</v>
      </c>
      <c r="H105" s="328">
        <v>537</v>
      </c>
      <c r="I105" s="268">
        <v>18</v>
      </c>
      <c r="J105" s="328">
        <v>40</v>
      </c>
      <c r="K105" s="328">
        <v>159</v>
      </c>
      <c r="L105" s="328">
        <v>290</v>
      </c>
    </row>
    <row r="106" spans="1:12" s="263" customFormat="1" ht="9" customHeight="1" x14ac:dyDescent="0.25">
      <c r="A106" s="263" t="s">
        <v>38</v>
      </c>
      <c r="B106" s="326">
        <f t="shared" si="9"/>
        <v>1194</v>
      </c>
      <c r="C106" s="326">
        <v>500</v>
      </c>
      <c r="D106" s="326"/>
      <c r="E106" s="327">
        <f t="shared" si="7"/>
        <v>694</v>
      </c>
      <c r="F106" s="326"/>
      <c r="G106" s="326">
        <f t="shared" si="10"/>
        <v>393</v>
      </c>
      <c r="H106" s="326">
        <v>379</v>
      </c>
      <c r="I106" s="266">
        <v>14</v>
      </c>
      <c r="J106" s="326">
        <v>26</v>
      </c>
      <c r="K106" s="326">
        <v>121</v>
      </c>
      <c r="L106" s="326">
        <v>154</v>
      </c>
    </row>
    <row r="107" spans="1:12" s="263" customFormat="1" ht="9" customHeight="1" x14ac:dyDescent="0.25">
      <c r="A107" s="263" t="s">
        <v>39</v>
      </c>
      <c r="B107" s="326">
        <f t="shared" si="9"/>
        <v>204</v>
      </c>
      <c r="C107" s="326">
        <v>43</v>
      </c>
      <c r="D107" s="326"/>
      <c r="E107" s="327">
        <f t="shared" si="7"/>
        <v>161</v>
      </c>
      <c r="F107" s="326"/>
      <c r="G107" s="326">
        <f t="shared" si="10"/>
        <v>88</v>
      </c>
      <c r="H107" s="326">
        <v>87</v>
      </c>
      <c r="I107" s="266">
        <v>1</v>
      </c>
      <c r="J107" s="326">
        <v>11</v>
      </c>
      <c r="K107" s="326">
        <v>32</v>
      </c>
      <c r="L107" s="326">
        <v>30</v>
      </c>
    </row>
    <row r="108" spans="1:12" s="263" customFormat="1" ht="9" customHeight="1" x14ac:dyDescent="0.25">
      <c r="A108" s="263" t="s">
        <v>40</v>
      </c>
      <c r="B108" s="326">
        <f t="shared" si="9"/>
        <v>4870</v>
      </c>
      <c r="C108" s="326">
        <v>776</v>
      </c>
      <c r="D108" s="326"/>
      <c r="E108" s="327">
        <f t="shared" si="7"/>
        <v>4094</v>
      </c>
      <c r="F108" s="326"/>
      <c r="G108" s="326">
        <f t="shared" si="10"/>
        <v>2022</v>
      </c>
      <c r="H108" s="326">
        <v>1922</v>
      </c>
      <c r="I108" s="266">
        <v>100</v>
      </c>
      <c r="J108" s="326">
        <v>239</v>
      </c>
      <c r="K108" s="326">
        <v>919</v>
      </c>
      <c r="L108" s="326">
        <v>914</v>
      </c>
    </row>
    <row r="109" spans="1:12" s="263" customFormat="1" ht="9" customHeight="1" x14ac:dyDescent="0.25">
      <c r="A109" s="267" t="s">
        <v>41</v>
      </c>
      <c r="B109" s="328">
        <f t="shared" si="9"/>
        <v>841</v>
      </c>
      <c r="C109" s="328">
        <v>382</v>
      </c>
      <c r="D109" s="328"/>
      <c r="E109" s="636">
        <f t="shared" si="7"/>
        <v>459</v>
      </c>
      <c r="F109" s="328"/>
      <c r="G109" s="328">
        <f t="shared" si="10"/>
        <v>257</v>
      </c>
      <c r="H109" s="328">
        <v>236</v>
      </c>
      <c r="I109" s="268">
        <v>21</v>
      </c>
      <c r="J109" s="328">
        <v>42</v>
      </c>
      <c r="K109" s="328">
        <v>64</v>
      </c>
      <c r="L109" s="328">
        <v>96</v>
      </c>
    </row>
    <row r="110" spans="1:12" s="263" customFormat="1" ht="9" customHeight="1" x14ac:dyDescent="0.25">
      <c r="A110" s="263" t="s">
        <v>42</v>
      </c>
      <c r="B110" s="326">
        <f t="shared" si="9"/>
        <v>2742</v>
      </c>
      <c r="C110" s="326">
        <v>790</v>
      </c>
      <c r="D110" s="326"/>
      <c r="E110" s="327">
        <f t="shared" si="7"/>
        <v>1952</v>
      </c>
      <c r="F110" s="326"/>
      <c r="G110" s="326">
        <f t="shared" si="10"/>
        <v>1101</v>
      </c>
      <c r="H110" s="326">
        <v>1042</v>
      </c>
      <c r="I110" s="266">
        <v>59</v>
      </c>
      <c r="J110" s="326">
        <v>115</v>
      </c>
      <c r="K110" s="326">
        <v>278</v>
      </c>
      <c r="L110" s="326">
        <v>458</v>
      </c>
    </row>
    <row r="111" spans="1:12" s="263" customFormat="1" ht="9" customHeight="1" x14ac:dyDescent="0.25">
      <c r="A111" s="263" t="s">
        <v>43</v>
      </c>
      <c r="B111" s="326">
        <f t="shared" si="9"/>
        <v>569</v>
      </c>
      <c r="C111" s="326">
        <v>83</v>
      </c>
      <c r="D111" s="326"/>
      <c r="E111" s="327">
        <f t="shared" si="7"/>
        <v>486</v>
      </c>
      <c r="F111" s="326"/>
      <c r="G111" s="326">
        <f t="shared" si="10"/>
        <v>262</v>
      </c>
      <c r="H111" s="326">
        <v>258</v>
      </c>
      <c r="I111" s="266">
        <v>4</v>
      </c>
      <c r="J111" s="326">
        <v>10</v>
      </c>
      <c r="K111" s="326">
        <v>94</v>
      </c>
      <c r="L111" s="326">
        <v>120</v>
      </c>
    </row>
    <row r="112" spans="1:12" s="263" customFormat="1" ht="9" customHeight="1" x14ac:dyDescent="0.25">
      <c r="A112" s="263" t="s">
        <v>44</v>
      </c>
      <c r="B112" s="326">
        <f t="shared" si="9"/>
        <v>579</v>
      </c>
      <c r="C112" s="326">
        <v>179</v>
      </c>
      <c r="D112" s="326"/>
      <c r="E112" s="327">
        <f t="shared" si="7"/>
        <v>400</v>
      </c>
      <c r="F112" s="326"/>
      <c r="G112" s="326">
        <f t="shared" si="10"/>
        <v>188</v>
      </c>
      <c r="H112" s="326">
        <v>185</v>
      </c>
      <c r="I112" s="266">
        <v>3</v>
      </c>
      <c r="J112" s="326">
        <v>29</v>
      </c>
      <c r="K112" s="326">
        <v>107</v>
      </c>
      <c r="L112" s="326">
        <v>76</v>
      </c>
    </row>
    <row r="113" spans="1:12" s="263" customFormat="1" ht="9" customHeight="1" x14ac:dyDescent="0.25">
      <c r="A113" s="267" t="s">
        <v>45</v>
      </c>
      <c r="B113" s="328">
        <f t="shared" si="9"/>
        <v>1378</v>
      </c>
      <c r="C113" s="328">
        <v>231</v>
      </c>
      <c r="D113" s="328"/>
      <c r="E113" s="636">
        <f t="shared" si="7"/>
        <v>1147</v>
      </c>
      <c r="F113" s="328"/>
      <c r="G113" s="328">
        <f t="shared" si="10"/>
        <v>603</v>
      </c>
      <c r="H113" s="328">
        <v>576</v>
      </c>
      <c r="I113" s="268">
        <v>27</v>
      </c>
      <c r="J113" s="328">
        <v>56</v>
      </c>
      <c r="K113" s="328">
        <v>210</v>
      </c>
      <c r="L113" s="328">
        <v>278</v>
      </c>
    </row>
    <row r="114" spans="1:12" s="263" customFormat="1" ht="9" customHeight="1" x14ac:dyDescent="0.25">
      <c r="A114" s="263" t="s">
        <v>46</v>
      </c>
      <c r="B114" s="326">
        <f t="shared" si="9"/>
        <v>1302</v>
      </c>
      <c r="C114" s="326">
        <v>397</v>
      </c>
      <c r="D114" s="326"/>
      <c r="E114" s="327">
        <f t="shared" si="7"/>
        <v>905</v>
      </c>
      <c r="F114" s="326"/>
      <c r="G114" s="326">
        <f t="shared" si="10"/>
        <v>476</v>
      </c>
      <c r="H114" s="326">
        <v>448</v>
      </c>
      <c r="I114" s="266">
        <v>28</v>
      </c>
      <c r="J114" s="326">
        <v>53</v>
      </c>
      <c r="K114" s="326">
        <v>155</v>
      </c>
      <c r="L114" s="326">
        <v>221</v>
      </c>
    </row>
    <row r="115" spans="1:12" s="263" customFormat="1" ht="9" customHeight="1" x14ac:dyDescent="0.25">
      <c r="A115" s="263" t="s">
        <v>47</v>
      </c>
      <c r="B115" s="326">
        <f t="shared" si="9"/>
        <v>1962</v>
      </c>
      <c r="C115" s="326">
        <v>808</v>
      </c>
      <c r="D115" s="326"/>
      <c r="E115" s="327">
        <f t="shared" si="7"/>
        <v>1154</v>
      </c>
      <c r="F115" s="326"/>
      <c r="G115" s="326">
        <f t="shared" si="10"/>
        <v>650</v>
      </c>
      <c r="H115" s="326">
        <v>623</v>
      </c>
      <c r="I115" s="266">
        <v>27</v>
      </c>
      <c r="J115" s="326">
        <v>44</v>
      </c>
      <c r="K115" s="326">
        <v>203</v>
      </c>
      <c r="L115" s="326">
        <v>257</v>
      </c>
    </row>
    <row r="116" spans="1:12" s="263" customFormat="1" ht="9" customHeight="1" x14ac:dyDescent="0.25">
      <c r="A116" s="263" t="s">
        <v>48</v>
      </c>
      <c r="B116" s="326">
        <f t="shared" si="9"/>
        <v>749</v>
      </c>
      <c r="C116" s="326">
        <v>324</v>
      </c>
      <c r="D116" s="326"/>
      <c r="E116" s="327">
        <f t="shared" si="7"/>
        <v>425</v>
      </c>
      <c r="F116" s="326"/>
      <c r="G116" s="326">
        <f t="shared" si="10"/>
        <v>276</v>
      </c>
      <c r="H116" s="326">
        <v>246</v>
      </c>
      <c r="I116" s="266">
        <v>30</v>
      </c>
      <c r="J116" s="326">
        <v>23</v>
      </c>
      <c r="K116" s="326">
        <v>66</v>
      </c>
      <c r="L116" s="326">
        <v>60</v>
      </c>
    </row>
    <row r="117" spans="1:12" s="263" customFormat="1" ht="9" customHeight="1" x14ac:dyDescent="0.25">
      <c r="A117" s="267" t="s">
        <v>49</v>
      </c>
      <c r="B117" s="328">
        <f t="shared" si="9"/>
        <v>2288</v>
      </c>
      <c r="C117" s="328">
        <v>859</v>
      </c>
      <c r="D117" s="328"/>
      <c r="E117" s="636">
        <f t="shared" si="7"/>
        <v>1429</v>
      </c>
      <c r="F117" s="328"/>
      <c r="G117" s="328">
        <f t="shared" si="10"/>
        <v>784</v>
      </c>
      <c r="H117" s="328">
        <v>746</v>
      </c>
      <c r="I117" s="268">
        <v>38</v>
      </c>
      <c r="J117" s="328">
        <v>72</v>
      </c>
      <c r="K117" s="328">
        <v>234</v>
      </c>
      <c r="L117" s="328">
        <v>339</v>
      </c>
    </row>
    <row r="118" spans="1:12" s="263" customFormat="1" ht="9" customHeight="1" x14ac:dyDescent="0.25">
      <c r="A118" s="263" t="s">
        <v>50</v>
      </c>
      <c r="B118" s="326">
        <f t="shared" si="9"/>
        <v>315</v>
      </c>
      <c r="C118" s="326">
        <v>77</v>
      </c>
      <c r="D118" s="326"/>
      <c r="E118" s="327">
        <f t="shared" si="7"/>
        <v>238</v>
      </c>
      <c r="F118" s="326"/>
      <c r="G118" s="326">
        <f t="shared" si="10"/>
        <v>139</v>
      </c>
      <c r="H118" s="326">
        <v>136</v>
      </c>
      <c r="I118" s="266">
        <v>3</v>
      </c>
      <c r="J118" s="326">
        <v>9</v>
      </c>
      <c r="K118" s="326">
        <v>34</v>
      </c>
      <c r="L118" s="326">
        <v>56</v>
      </c>
    </row>
    <row r="119" spans="1:12" s="263" customFormat="1" ht="9" customHeight="1" x14ac:dyDescent="0.25">
      <c r="A119" s="263" t="s">
        <v>51</v>
      </c>
      <c r="B119" s="326">
        <f t="shared" si="9"/>
        <v>2049</v>
      </c>
      <c r="C119" s="326">
        <v>725</v>
      </c>
      <c r="D119" s="326"/>
      <c r="E119" s="327">
        <f t="shared" si="7"/>
        <v>1324</v>
      </c>
      <c r="F119" s="326"/>
      <c r="G119" s="326">
        <f t="shared" si="10"/>
        <v>754</v>
      </c>
      <c r="H119" s="326">
        <v>698</v>
      </c>
      <c r="I119" s="266">
        <v>56</v>
      </c>
      <c r="J119" s="326">
        <v>87</v>
      </c>
      <c r="K119" s="326">
        <v>184</v>
      </c>
      <c r="L119" s="326">
        <v>299</v>
      </c>
    </row>
    <row r="120" spans="1:12" s="263" customFormat="1" ht="9" customHeight="1" x14ac:dyDescent="0.25">
      <c r="A120" s="263" t="s">
        <v>52</v>
      </c>
      <c r="B120" s="326">
        <f t="shared" si="9"/>
        <v>1253</v>
      </c>
      <c r="C120" s="326">
        <v>393</v>
      </c>
      <c r="D120" s="326"/>
      <c r="E120" s="327">
        <f t="shared" si="7"/>
        <v>860</v>
      </c>
      <c r="F120" s="326"/>
      <c r="G120" s="326">
        <f t="shared" si="10"/>
        <v>435</v>
      </c>
      <c r="H120" s="326">
        <v>374</v>
      </c>
      <c r="I120" s="266">
        <v>61</v>
      </c>
      <c r="J120" s="326">
        <v>63</v>
      </c>
      <c r="K120" s="326">
        <v>138</v>
      </c>
      <c r="L120" s="326">
        <v>224</v>
      </c>
    </row>
    <row r="121" spans="1:12" s="263" customFormat="1" ht="9" customHeight="1" x14ac:dyDescent="0.25">
      <c r="A121" s="267" t="s">
        <v>53</v>
      </c>
      <c r="B121" s="328">
        <f t="shared" si="9"/>
        <v>790</v>
      </c>
      <c r="C121" s="328">
        <v>417</v>
      </c>
      <c r="D121" s="328"/>
      <c r="E121" s="636">
        <f t="shared" si="7"/>
        <v>373</v>
      </c>
      <c r="F121" s="328"/>
      <c r="G121" s="328">
        <f t="shared" si="10"/>
        <v>209</v>
      </c>
      <c r="H121" s="328">
        <v>188</v>
      </c>
      <c r="I121" s="268">
        <v>21</v>
      </c>
      <c r="J121" s="328">
        <v>18</v>
      </c>
      <c r="K121" s="328">
        <v>55</v>
      </c>
      <c r="L121" s="328">
        <v>91</v>
      </c>
    </row>
    <row r="122" spans="1:12" s="263" customFormat="1" ht="9" customHeight="1" x14ac:dyDescent="0.25">
      <c r="B122" s="326"/>
      <c r="C122" s="326"/>
      <c r="D122" s="326"/>
      <c r="E122" s="327"/>
      <c r="F122" s="326"/>
      <c r="G122" s="326"/>
      <c r="H122" s="326"/>
      <c r="I122" s="266"/>
      <c r="J122" s="326"/>
      <c r="K122" s="326"/>
      <c r="L122" s="326"/>
    </row>
    <row r="123" spans="1:12" s="263" customFormat="1" ht="9" customHeight="1" x14ac:dyDescent="0.25">
      <c r="A123" s="261">
        <v>1998</v>
      </c>
      <c r="B123" s="262"/>
      <c r="C123" s="262"/>
      <c r="D123" s="262"/>
      <c r="E123" s="327"/>
      <c r="F123" s="262"/>
      <c r="G123" s="262"/>
      <c r="H123" s="262"/>
      <c r="I123" s="262"/>
      <c r="J123" s="262"/>
      <c r="K123" s="262"/>
      <c r="L123" s="262"/>
    </row>
    <row r="124" spans="1:12" s="263" customFormat="1" ht="9" customHeight="1" x14ac:dyDescent="0.25">
      <c r="A124" s="265" t="s">
        <v>21</v>
      </c>
      <c r="B124" s="325">
        <f>SUM(B126:B157)</f>
        <v>68382</v>
      </c>
      <c r="C124" s="325">
        <f>SUM(C126:C157)</f>
        <v>17604</v>
      </c>
      <c r="D124" s="325"/>
      <c r="E124" s="325">
        <f t="shared" ref="E124:K124" si="11">SUM(E126:E157)</f>
        <v>50778</v>
      </c>
      <c r="F124" s="325"/>
      <c r="G124" s="325">
        <f t="shared" si="11"/>
        <v>27096</v>
      </c>
      <c r="H124" s="325">
        <f t="shared" si="11"/>
        <v>24578</v>
      </c>
      <c r="I124" s="325">
        <f t="shared" si="11"/>
        <v>2518</v>
      </c>
      <c r="J124" s="325">
        <f t="shared" si="11"/>
        <v>2961</v>
      </c>
      <c r="K124" s="325">
        <f t="shared" si="11"/>
        <v>10009</v>
      </c>
      <c r="L124" s="325">
        <f>SUM(L126:L157)</f>
        <v>10712</v>
      </c>
    </row>
    <row r="125" spans="1:12" s="263" customFormat="1" ht="3.95" customHeight="1" x14ac:dyDescent="0.25">
      <c r="A125" s="265"/>
      <c r="B125" s="325"/>
      <c r="C125" s="325"/>
      <c r="D125" s="325"/>
      <c r="E125" s="327"/>
      <c r="F125" s="325"/>
      <c r="G125" s="325"/>
      <c r="H125" s="325"/>
      <c r="I125" s="325"/>
      <c r="J125" s="325"/>
      <c r="K125" s="325"/>
      <c r="L125" s="325"/>
    </row>
    <row r="126" spans="1:12" s="263" customFormat="1" ht="9" customHeight="1" x14ac:dyDescent="0.25">
      <c r="A126" s="263" t="s">
        <v>23</v>
      </c>
      <c r="B126" s="326">
        <f>SUM(C126+E126)</f>
        <v>835</v>
      </c>
      <c r="C126" s="326">
        <v>219</v>
      </c>
      <c r="D126" s="326"/>
      <c r="E126" s="327">
        <f t="shared" si="7"/>
        <v>616</v>
      </c>
      <c r="F126" s="326"/>
      <c r="G126" s="326">
        <f t="shared" ref="G126:G157" si="12">SUM(H126:I126)</f>
        <v>342</v>
      </c>
      <c r="H126" s="326">
        <v>333</v>
      </c>
      <c r="I126" s="266">
        <v>9</v>
      </c>
      <c r="J126" s="326">
        <v>35</v>
      </c>
      <c r="K126" s="326">
        <v>103</v>
      </c>
      <c r="L126" s="326">
        <v>136</v>
      </c>
    </row>
    <row r="127" spans="1:12" s="263" customFormat="1" ht="9" customHeight="1" x14ac:dyDescent="0.25">
      <c r="A127" s="263" t="s">
        <v>24</v>
      </c>
      <c r="B127" s="326">
        <f t="shared" ref="B127:B157" si="13">SUM(C127+E127)</f>
        <v>1190</v>
      </c>
      <c r="C127" s="326">
        <v>385</v>
      </c>
      <c r="D127" s="326"/>
      <c r="E127" s="327">
        <f t="shared" si="7"/>
        <v>805</v>
      </c>
      <c r="F127" s="326"/>
      <c r="G127" s="326">
        <f t="shared" si="12"/>
        <v>452</v>
      </c>
      <c r="H127" s="326">
        <v>446</v>
      </c>
      <c r="I127" s="266">
        <v>6</v>
      </c>
      <c r="J127" s="326">
        <v>31</v>
      </c>
      <c r="K127" s="326">
        <v>166</v>
      </c>
      <c r="L127" s="326">
        <v>156</v>
      </c>
    </row>
    <row r="128" spans="1:12" s="263" customFormat="1" ht="9" customHeight="1" x14ac:dyDescent="0.25">
      <c r="A128" s="263" t="s">
        <v>25</v>
      </c>
      <c r="B128" s="326">
        <f t="shared" si="13"/>
        <v>193</v>
      </c>
      <c r="C128" s="326">
        <v>95</v>
      </c>
      <c r="D128" s="326"/>
      <c r="E128" s="327">
        <f t="shared" si="7"/>
        <v>98</v>
      </c>
      <c r="F128" s="326"/>
      <c r="G128" s="326">
        <f t="shared" si="12"/>
        <v>61</v>
      </c>
      <c r="H128" s="326">
        <v>49</v>
      </c>
      <c r="I128" s="266">
        <v>12</v>
      </c>
      <c r="J128" s="326">
        <v>4</v>
      </c>
      <c r="K128" s="326">
        <v>20</v>
      </c>
      <c r="L128" s="326">
        <v>13</v>
      </c>
    </row>
    <row r="129" spans="1:12" s="263" customFormat="1" ht="9" customHeight="1" x14ac:dyDescent="0.25">
      <c r="A129" s="267" t="s">
        <v>26</v>
      </c>
      <c r="B129" s="328">
        <f t="shared" si="13"/>
        <v>179</v>
      </c>
      <c r="C129" s="328">
        <v>50</v>
      </c>
      <c r="D129" s="328"/>
      <c r="E129" s="636">
        <f t="shared" si="7"/>
        <v>129</v>
      </c>
      <c r="F129" s="328"/>
      <c r="G129" s="328">
        <f t="shared" si="12"/>
        <v>55</v>
      </c>
      <c r="H129" s="328">
        <v>53</v>
      </c>
      <c r="I129" s="268">
        <v>2</v>
      </c>
      <c r="J129" s="328">
        <v>10</v>
      </c>
      <c r="K129" s="328">
        <v>34</v>
      </c>
      <c r="L129" s="328">
        <v>30</v>
      </c>
    </row>
    <row r="130" spans="1:12" s="263" customFormat="1" ht="9" customHeight="1" x14ac:dyDescent="0.25">
      <c r="A130" s="263" t="s">
        <v>27</v>
      </c>
      <c r="B130" s="326">
        <f t="shared" si="13"/>
        <v>1921</v>
      </c>
      <c r="C130" s="326">
        <v>392</v>
      </c>
      <c r="D130" s="326"/>
      <c r="E130" s="327">
        <f>SUM(G130+J130+K130+L130)</f>
        <v>1529</v>
      </c>
      <c r="F130" s="326"/>
      <c r="G130" s="326">
        <f t="shared" si="12"/>
        <v>688</v>
      </c>
      <c r="H130" s="326">
        <v>645</v>
      </c>
      <c r="I130" s="266">
        <v>43</v>
      </c>
      <c r="J130" s="326">
        <v>102</v>
      </c>
      <c r="K130" s="326">
        <v>392</v>
      </c>
      <c r="L130" s="326">
        <v>347</v>
      </c>
    </row>
    <row r="131" spans="1:12" s="263" customFormat="1" ht="9" customHeight="1" x14ac:dyDescent="0.25">
      <c r="A131" s="263" t="s">
        <v>28</v>
      </c>
      <c r="B131" s="326">
        <f t="shared" si="13"/>
        <v>395</v>
      </c>
      <c r="C131" s="326">
        <v>191</v>
      </c>
      <c r="D131" s="326"/>
      <c r="E131" s="327">
        <f t="shared" si="7"/>
        <v>204</v>
      </c>
      <c r="F131" s="326"/>
      <c r="G131" s="326">
        <f t="shared" si="12"/>
        <v>101</v>
      </c>
      <c r="H131" s="326">
        <v>101</v>
      </c>
      <c r="I131" s="266">
        <v>0</v>
      </c>
      <c r="J131" s="326">
        <v>15</v>
      </c>
      <c r="K131" s="326">
        <v>33</v>
      </c>
      <c r="L131" s="326">
        <v>55</v>
      </c>
    </row>
    <row r="132" spans="1:12" s="263" customFormat="1" ht="9" customHeight="1" x14ac:dyDescent="0.25">
      <c r="A132" s="263" t="s">
        <v>29</v>
      </c>
      <c r="B132" s="326">
        <f t="shared" si="13"/>
        <v>962</v>
      </c>
      <c r="C132" s="326">
        <v>309</v>
      </c>
      <c r="D132" s="326"/>
      <c r="E132" s="327">
        <f t="shared" si="7"/>
        <v>653</v>
      </c>
      <c r="F132" s="326"/>
      <c r="G132" s="326">
        <f t="shared" si="12"/>
        <v>363</v>
      </c>
      <c r="H132" s="326">
        <v>339</v>
      </c>
      <c r="I132" s="266">
        <v>24</v>
      </c>
      <c r="J132" s="326">
        <v>47</v>
      </c>
      <c r="K132" s="326">
        <v>71</v>
      </c>
      <c r="L132" s="326">
        <v>172</v>
      </c>
    </row>
    <row r="133" spans="1:12" s="263" customFormat="1" ht="9" customHeight="1" x14ac:dyDescent="0.25">
      <c r="A133" s="267" t="s">
        <v>30</v>
      </c>
      <c r="B133" s="328">
        <f t="shared" si="13"/>
        <v>2802</v>
      </c>
      <c r="C133" s="328">
        <v>221</v>
      </c>
      <c r="D133" s="328"/>
      <c r="E133" s="636">
        <f t="shared" si="7"/>
        <v>2581</v>
      </c>
      <c r="F133" s="328"/>
      <c r="G133" s="328">
        <f t="shared" si="12"/>
        <v>1270</v>
      </c>
      <c r="H133" s="328">
        <v>1219</v>
      </c>
      <c r="I133" s="268">
        <v>51</v>
      </c>
      <c r="J133" s="328">
        <v>115</v>
      </c>
      <c r="K133" s="328">
        <v>574</v>
      </c>
      <c r="L133" s="328">
        <v>622</v>
      </c>
    </row>
    <row r="134" spans="1:12" s="263" customFormat="1" ht="9" customHeight="1" x14ac:dyDescent="0.25">
      <c r="A134" s="263" t="s">
        <v>63</v>
      </c>
      <c r="B134" s="326">
        <f t="shared" si="13"/>
        <v>20554</v>
      </c>
      <c r="C134" s="326">
        <v>6200</v>
      </c>
      <c r="D134" s="326"/>
      <c r="E134" s="327">
        <f t="shared" si="7"/>
        <v>14354</v>
      </c>
      <c r="F134" s="326"/>
      <c r="G134" s="326">
        <f t="shared" si="12"/>
        <v>7392</v>
      </c>
      <c r="H134" s="326">
        <v>5891</v>
      </c>
      <c r="I134" s="266">
        <v>1501</v>
      </c>
      <c r="J134" s="326">
        <v>1079</v>
      </c>
      <c r="K134" s="326">
        <v>3203</v>
      </c>
      <c r="L134" s="326">
        <v>2680</v>
      </c>
    </row>
    <row r="135" spans="1:12" s="263" customFormat="1" ht="9" customHeight="1" x14ac:dyDescent="0.25">
      <c r="A135" s="263" t="s">
        <v>31</v>
      </c>
      <c r="B135" s="326">
        <f t="shared" si="13"/>
        <v>471</v>
      </c>
      <c r="C135" s="326">
        <v>74</v>
      </c>
      <c r="D135" s="326"/>
      <c r="E135" s="327">
        <f t="shared" si="7"/>
        <v>397</v>
      </c>
      <c r="F135" s="326"/>
      <c r="G135" s="326">
        <f t="shared" si="12"/>
        <v>236</v>
      </c>
      <c r="H135" s="326">
        <v>229</v>
      </c>
      <c r="I135" s="266">
        <v>7</v>
      </c>
      <c r="J135" s="263">
        <v>14</v>
      </c>
      <c r="K135" s="326">
        <v>61</v>
      </c>
      <c r="L135" s="326">
        <v>86</v>
      </c>
    </row>
    <row r="136" spans="1:12" s="263" customFormat="1" ht="9" customHeight="1" x14ac:dyDescent="0.25">
      <c r="A136" s="263" t="s">
        <v>32</v>
      </c>
      <c r="B136" s="326">
        <f t="shared" si="13"/>
        <v>3290</v>
      </c>
      <c r="C136" s="326">
        <v>366</v>
      </c>
      <c r="D136" s="326"/>
      <c r="E136" s="327">
        <f t="shared" si="7"/>
        <v>2924</v>
      </c>
      <c r="F136" s="326"/>
      <c r="G136" s="326">
        <f t="shared" si="12"/>
        <v>1597</v>
      </c>
      <c r="H136" s="326">
        <v>1477</v>
      </c>
      <c r="I136" s="266">
        <v>120</v>
      </c>
      <c r="J136" s="326">
        <v>195</v>
      </c>
      <c r="K136" s="326">
        <v>483</v>
      </c>
      <c r="L136" s="326">
        <v>649</v>
      </c>
    </row>
    <row r="137" spans="1:12" s="263" customFormat="1" ht="9" customHeight="1" x14ac:dyDescent="0.25">
      <c r="A137" s="267" t="s">
        <v>33</v>
      </c>
      <c r="B137" s="328">
        <f t="shared" si="13"/>
        <v>997</v>
      </c>
      <c r="C137" s="328">
        <v>267</v>
      </c>
      <c r="D137" s="328"/>
      <c r="E137" s="636">
        <f t="shared" si="7"/>
        <v>730</v>
      </c>
      <c r="F137" s="328"/>
      <c r="G137" s="328">
        <f t="shared" si="12"/>
        <v>416</v>
      </c>
      <c r="H137" s="328">
        <v>383</v>
      </c>
      <c r="I137" s="268">
        <v>33</v>
      </c>
      <c r="J137" s="328">
        <v>50</v>
      </c>
      <c r="K137" s="328">
        <v>115</v>
      </c>
      <c r="L137" s="328">
        <v>149</v>
      </c>
    </row>
    <row r="138" spans="1:12" s="263" customFormat="1" ht="9" customHeight="1" x14ac:dyDescent="0.25">
      <c r="A138" s="263" t="s">
        <v>34</v>
      </c>
      <c r="B138" s="326">
        <f t="shared" si="13"/>
        <v>1105</v>
      </c>
      <c r="C138" s="326">
        <v>497</v>
      </c>
      <c r="D138" s="326"/>
      <c r="E138" s="327">
        <f t="shared" si="7"/>
        <v>608</v>
      </c>
      <c r="F138" s="326"/>
      <c r="G138" s="326">
        <f t="shared" si="12"/>
        <v>367</v>
      </c>
      <c r="H138" s="326">
        <v>348</v>
      </c>
      <c r="I138" s="266">
        <v>19</v>
      </c>
      <c r="J138" s="326">
        <v>29</v>
      </c>
      <c r="K138" s="326">
        <v>82</v>
      </c>
      <c r="L138" s="326">
        <v>130</v>
      </c>
    </row>
    <row r="139" spans="1:12" s="263" customFormat="1" ht="9" customHeight="1" x14ac:dyDescent="0.25">
      <c r="A139" s="263" t="s">
        <v>35</v>
      </c>
      <c r="B139" s="326">
        <f t="shared" si="13"/>
        <v>5212</v>
      </c>
      <c r="C139" s="326">
        <v>1003</v>
      </c>
      <c r="D139" s="326"/>
      <c r="E139" s="327">
        <f t="shared" si="7"/>
        <v>4209</v>
      </c>
      <c r="F139" s="326"/>
      <c r="G139" s="326">
        <f t="shared" si="12"/>
        <v>2142</v>
      </c>
      <c r="H139" s="326">
        <v>2024</v>
      </c>
      <c r="I139" s="266">
        <v>118</v>
      </c>
      <c r="J139" s="326">
        <v>193</v>
      </c>
      <c r="K139" s="326">
        <v>869</v>
      </c>
      <c r="L139" s="326">
        <v>1005</v>
      </c>
    </row>
    <row r="140" spans="1:12" s="263" customFormat="1" ht="9" customHeight="1" x14ac:dyDescent="0.25">
      <c r="A140" s="263" t="s">
        <v>36</v>
      </c>
      <c r="B140" s="326">
        <f t="shared" si="13"/>
        <v>4256</v>
      </c>
      <c r="C140" s="326">
        <v>1041</v>
      </c>
      <c r="D140" s="326"/>
      <c r="E140" s="327">
        <f t="shared" si="7"/>
        <v>3215</v>
      </c>
      <c r="F140" s="326"/>
      <c r="G140" s="326">
        <f t="shared" si="12"/>
        <v>2018</v>
      </c>
      <c r="H140" s="326">
        <v>1954</v>
      </c>
      <c r="I140" s="266">
        <v>64</v>
      </c>
      <c r="J140" s="326">
        <v>156</v>
      </c>
      <c r="K140" s="326">
        <v>497</v>
      </c>
      <c r="L140" s="326">
        <v>544</v>
      </c>
    </row>
    <row r="141" spans="1:12" s="263" customFormat="1" ht="9" customHeight="1" x14ac:dyDescent="0.25">
      <c r="A141" s="267" t="s">
        <v>37</v>
      </c>
      <c r="B141" s="328">
        <f t="shared" si="13"/>
        <v>1512</v>
      </c>
      <c r="C141" s="328">
        <v>313</v>
      </c>
      <c r="D141" s="328"/>
      <c r="E141" s="636">
        <f t="shared" si="7"/>
        <v>1199</v>
      </c>
      <c r="F141" s="328"/>
      <c r="G141" s="328">
        <f t="shared" si="12"/>
        <v>663</v>
      </c>
      <c r="H141" s="328">
        <v>638</v>
      </c>
      <c r="I141" s="268">
        <v>25</v>
      </c>
      <c r="J141" s="328">
        <v>54</v>
      </c>
      <c r="K141" s="328">
        <v>197</v>
      </c>
      <c r="L141" s="328">
        <v>285</v>
      </c>
    </row>
    <row r="142" spans="1:12" s="263" customFormat="1" ht="9" customHeight="1" x14ac:dyDescent="0.25">
      <c r="A142" s="263" t="s">
        <v>38</v>
      </c>
      <c r="B142" s="326">
        <f t="shared" si="13"/>
        <v>934</v>
      </c>
      <c r="C142" s="326">
        <v>201</v>
      </c>
      <c r="D142" s="326"/>
      <c r="E142" s="327">
        <f t="shared" si="7"/>
        <v>733</v>
      </c>
      <c r="F142" s="326"/>
      <c r="G142" s="326">
        <f t="shared" si="12"/>
        <v>360</v>
      </c>
      <c r="H142" s="326">
        <v>341</v>
      </c>
      <c r="I142" s="266">
        <v>19</v>
      </c>
      <c r="J142" s="326">
        <v>32</v>
      </c>
      <c r="K142" s="326">
        <v>185</v>
      </c>
      <c r="L142" s="326">
        <v>156</v>
      </c>
    </row>
    <row r="143" spans="1:12" s="263" customFormat="1" ht="9" customHeight="1" x14ac:dyDescent="0.25">
      <c r="A143" s="263" t="s">
        <v>39</v>
      </c>
      <c r="B143" s="326">
        <f t="shared" si="13"/>
        <v>332</v>
      </c>
      <c r="C143" s="326">
        <v>194</v>
      </c>
      <c r="D143" s="326"/>
      <c r="E143" s="327">
        <f t="shared" si="7"/>
        <v>138</v>
      </c>
      <c r="F143" s="326"/>
      <c r="G143" s="326">
        <f t="shared" si="12"/>
        <v>80</v>
      </c>
      <c r="H143" s="326">
        <v>80</v>
      </c>
      <c r="I143" s="266">
        <v>0</v>
      </c>
      <c r="J143" s="326">
        <v>8</v>
      </c>
      <c r="K143" s="326">
        <v>31</v>
      </c>
      <c r="L143" s="326">
        <v>19</v>
      </c>
    </row>
    <row r="144" spans="1:12" s="263" customFormat="1" ht="9" customHeight="1" x14ac:dyDescent="0.25">
      <c r="A144" s="263" t="s">
        <v>40</v>
      </c>
      <c r="B144" s="326">
        <f t="shared" si="13"/>
        <v>4615</v>
      </c>
      <c r="C144" s="326">
        <v>402</v>
      </c>
      <c r="D144" s="326"/>
      <c r="E144" s="327">
        <f t="shared" si="7"/>
        <v>4213</v>
      </c>
      <c r="F144" s="326"/>
      <c r="G144" s="326">
        <f t="shared" si="12"/>
        <v>2160</v>
      </c>
      <c r="H144" s="326">
        <v>2027</v>
      </c>
      <c r="I144" s="266">
        <v>133</v>
      </c>
      <c r="J144" s="326">
        <v>207</v>
      </c>
      <c r="K144" s="326">
        <v>1054</v>
      </c>
      <c r="L144" s="326">
        <v>792</v>
      </c>
    </row>
    <row r="145" spans="1:12" s="263" customFormat="1" ht="9" customHeight="1" x14ac:dyDescent="0.25">
      <c r="A145" s="267" t="s">
        <v>41</v>
      </c>
      <c r="B145" s="328">
        <f t="shared" si="13"/>
        <v>749</v>
      </c>
      <c r="C145" s="328">
        <v>315</v>
      </c>
      <c r="D145" s="328"/>
      <c r="E145" s="636">
        <f t="shared" si="7"/>
        <v>434</v>
      </c>
      <c r="F145" s="328"/>
      <c r="G145" s="328">
        <f t="shared" si="12"/>
        <v>253</v>
      </c>
      <c r="H145" s="328">
        <v>236</v>
      </c>
      <c r="I145" s="268">
        <v>17</v>
      </c>
      <c r="J145" s="328">
        <v>30</v>
      </c>
      <c r="K145" s="328">
        <v>59</v>
      </c>
      <c r="L145" s="328">
        <v>92</v>
      </c>
    </row>
    <row r="146" spans="1:12" s="263" customFormat="1" ht="9" customHeight="1" x14ac:dyDescent="0.25">
      <c r="A146" s="263" t="s">
        <v>42</v>
      </c>
      <c r="B146" s="326">
        <f t="shared" si="13"/>
        <v>2400</v>
      </c>
      <c r="C146" s="326">
        <v>208</v>
      </c>
      <c r="D146" s="326"/>
      <c r="E146" s="327">
        <f t="shared" si="7"/>
        <v>2192</v>
      </c>
      <c r="F146" s="326"/>
      <c r="G146" s="326">
        <f t="shared" si="12"/>
        <v>1228</v>
      </c>
      <c r="H146" s="326">
        <v>1168</v>
      </c>
      <c r="I146" s="266">
        <v>60</v>
      </c>
      <c r="J146" s="326">
        <v>104</v>
      </c>
      <c r="K146" s="326">
        <v>283</v>
      </c>
      <c r="L146" s="326">
        <v>577</v>
      </c>
    </row>
    <row r="147" spans="1:12" s="263" customFormat="1" ht="9" customHeight="1" x14ac:dyDescent="0.25">
      <c r="A147" s="263" t="s">
        <v>43</v>
      </c>
      <c r="B147" s="326">
        <f t="shared" si="13"/>
        <v>662</v>
      </c>
      <c r="C147" s="326">
        <v>162</v>
      </c>
      <c r="D147" s="326"/>
      <c r="E147" s="327">
        <f t="shared" si="7"/>
        <v>500</v>
      </c>
      <c r="F147" s="326"/>
      <c r="G147" s="326">
        <f t="shared" si="12"/>
        <v>269</v>
      </c>
      <c r="H147" s="326">
        <v>262</v>
      </c>
      <c r="I147" s="266">
        <v>7</v>
      </c>
      <c r="J147" s="326">
        <v>23</v>
      </c>
      <c r="K147" s="326">
        <v>86</v>
      </c>
      <c r="L147" s="326">
        <v>122</v>
      </c>
    </row>
    <row r="148" spans="1:12" s="263" customFormat="1" ht="9" customHeight="1" x14ac:dyDescent="0.25">
      <c r="A148" s="263" t="s">
        <v>44</v>
      </c>
      <c r="B148" s="326">
        <f t="shared" si="13"/>
        <v>446</v>
      </c>
      <c r="C148" s="326">
        <v>42</v>
      </c>
      <c r="D148" s="326"/>
      <c r="E148" s="327">
        <f t="shared" si="7"/>
        <v>404</v>
      </c>
      <c r="F148" s="326"/>
      <c r="G148" s="326">
        <f t="shared" si="12"/>
        <v>197</v>
      </c>
      <c r="H148" s="326">
        <v>189</v>
      </c>
      <c r="I148" s="266">
        <v>8</v>
      </c>
      <c r="J148" s="326">
        <v>35</v>
      </c>
      <c r="K148" s="326">
        <v>94</v>
      </c>
      <c r="L148" s="326">
        <v>78</v>
      </c>
    </row>
    <row r="149" spans="1:12" s="263" customFormat="1" ht="9" customHeight="1" x14ac:dyDescent="0.25">
      <c r="A149" s="267" t="s">
        <v>45</v>
      </c>
      <c r="B149" s="328">
        <f t="shared" si="13"/>
        <v>1415</v>
      </c>
      <c r="C149" s="328">
        <v>429</v>
      </c>
      <c r="D149" s="328"/>
      <c r="E149" s="636">
        <f t="shared" si="7"/>
        <v>986</v>
      </c>
      <c r="F149" s="328"/>
      <c r="G149" s="328">
        <f t="shared" si="12"/>
        <v>549</v>
      </c>
      <c r="H149" s="328">
        <v>528</v>
      </c>
      <c r="I149" s="268">
        <v>21</v>
      </c>
      <c r="J149" s="328">
        <v>60</v>
      </c>
      <c r="K149" s="328">
        <v>194</v>
      </c>
      <c r="L149" s="328">
        <v>183</v>
      </c>
    </row>
    <row r="150" spans="1:12" s="263" customFormat="1" ht="9" customHeight="1" x14ac:dyDescent="0.25">
      <c r="A150" s="263" t="s">
        <v>46</v>
      </c>
      <c r="B150" s="326">
        <f t="shared" si="13"/>
        <v>1252</v>
      </c>
      <c r="C150" s="326">
        <v>297</v>
      </c>
      <c r="D150" s="326"/>
      <c r="E150" s="327">
        <f t="shared" si="7"/>
        <v>955</v>
      </c>
      <c r="F150" s="326"/>
      <c r="G150" s="326">
        <f t="shared" si="12"/>
        <v>532</v>
      </c>
      <c r="H150" s="326">
        <v>505</v>
      </c>
      <c r="I150" s="266">
        <v>27</v>
      </c>
      <c r="J150" s="326">
        <v>50</v>
      </c>
      <c r="K150" s="326">
        <v>163</v>
      </c>
      <c r="L150" s="326">
        <v>210</v>
      </c>
    </row>
    <row r="151" spans="1:12" s="263" customFormat="1" ht="9" customHeight="1" x14ac:dyDescent="0.25">
      <c r="A151" s="263" t="s">
        <v>47</v>
      </c>
      <c r="B151" s="326">
        <f t="shared" si="13"/>
        <v>1918</v>
      </c>
      <c r="C151" s="326">
        <v>696</v>
      </c>
      <c r="D151" s="326"/>
      <c r="E151" s="327">
        <f t="shared" ref="E151:E157" si="14">SUM(G151+J151+K151+L151)</f>
        <v>1222</v>
      </c>
      <c r="F151" s="326"/>
      <c r="G151" s="326">
        <f t="shared" si="12"/>
        <v>661</v>
      </c>
      <c r="H151" s="326">
        <v>643</v>
      </c>
      <c r="I151" s="266">
        <v>18</v>
      </c>
      <c r="J151" s="326">
        <v>45</v>
      </c>
      <c r="K151" s="326">
        <v>247</v>
      </c>
      <c r="L151" s="326">
        <v>269</v>
      </c>
    </row>
    <row r="152" spans="1:12" s="263" customFormat="1" ht="9" customHeight="1" x14ac:dyDescent="0.25">
      <c r="A152" s="263" t="s">
        <v>48</v>
      </c>
      <c r="B152" s="326">
        <f t="shared" si="13"/>
        <v>762</v>
      </c>
      <c r="C152" s="326">
        <v>331</v>
      </c>
      <c r="D152" s="326"/>
      <c r="E152" s="327">
        <f t="shared" si="14"/>
        <v>431</v>
      </c>
      <c r="F152" s="326"/>
      <c r="G152" s="326">
        <f t="shared" si="12"/>
        <v>264</v>
      </c>
      <c r="H152" s="326">
        <v>239</v>
      </c>
      <c r="I152" s="266">
        <v>25</v>
      </c>
      <c r="J152" s="326">
        <v>19</v>
      </c>
      <c r="K152" s="326">
        <v>75</v>
      </c>
      <c r="L152" s="326">
        <v>73</v>
      </c>
    </row>
    <row r="153" spans="1:12" s="263" customFormat="1" ht="9" customHeight="1" x14ac:dyDescent="0.25">
      <c r="A153" s="267" t="s">
        <v>49</v>
      </c>
      <c r="B153" s="328">
        <f t="shared" si="13"/>
        <v>2169</v>
      </c>
      <c r="C153" s="328">
        <v>794</v>
      </c>
      <c r="D153" s="328"/>
      <c r="E153" s="636">
        <f t="shared" si="14"/>
        <v>1375</v>
      </c>
      <c r="F153" s="328"/>
      <c r="G153" s="328">
        <f t="shared" si="12"/>
        <v>769</v>
      </c>
      <c r="H153" s="328">
        <v>743</v>
      </c>
      <c r="I153" s="268">
        <v>26</v>
      </c>
      <c r="J153" s="328">
        <v>62</v>
      </c>
      <c r="K153" s="328">
        <v>191</v>
      </c>
      <c r="L153" s="328">
        <v>353</v>
      </c>
    </row>
    <row r="154" spans="1:12" s="263" customFormat="1" ht="9" customHeight="1" x14ac:dyDescent="0.25">
      <c r="A154" s="263" t="s">
        <v>50</v>
      </c>
      <c r="B154" s="326">
        <f t="shared" si="13"/>
        <v>319</v>
      </c>
      <c r="C154" s="326">
        <v>90</v>
      </c>
      <c r="D154" s="326"/>
      <c r="E154" s="327">
        <f t="shared" si="14"/>
        <v>229</v>
      </c>
      <c r="F154" s="326"/>
      <c r="G154" s="326">
        <f t="shared" si="12"/>
        <v>135</v>
      </c>
      <c r="H154" s="326">
        <v>130</v>
      </c>
      <c r="I154" s="266">
        <v>5</v>
      </c>
      <c r="J154" s="326">
        <v>8</v>
      </c>
      <c r="K154" s="326">
        <v>36</v>
      </c>
      <c r="L154" s="326">
        <v>50</v>
      </c>
    </row>
    <row r="155" spans="1:12" s="263" customFormat="1" ht="9" customHeight="1" x14ac:dyDescent="0.25">
      <c r="A155" s="263" t="s">
        <v>51</v>
      </c>
      <c r="B155" s="326">
        <f t="shared" si="13"/>
        <v>2111</v>
      </c>
      <c r="C155" s="326">
        <v>701</v>
      </c>
      <c r="D155" s="326"/>
      <c r="E155" s="327">
        <f t="shared" si="14"/>
        <v>1410</v>
      </c>
      <c r="F155" s="326"/>
      <c r="G155" s="326">
        <f t="shared" si="12"/>
        <v>816</v>
      </c>
      <c r="H155" s="326">
        <v>763</v>
      </c>
      <c r="I155" s="266">
        <v>53</v>
      </c>
      <c r="J155" s="326">
        <v>68</v>
      </c>
      <c r="K155" s="326">
        <v>190</v>
      </c>
      <c r="L155" s="326">
        <v>336</v>
      </c>
    </row>
    <row r="156" spans="1:12" s="263" customFormat="1" ht="9" customHeight="1" x14ac:dyDescent="0.25">
      <c r="A156" s="263" t="s">
        <v>52</v>
      </c>
      <c r="B156" s="326">
        <f t="shared" si="13"/>
        <v>1619</v>
      </c>
      <c r="C156" s="326">
        <v>690</v>
      </c>
      <c r="D156" s="326"/>
      <c r="E156" s="327">
        <f t="shared" si="14"/>
        <v>929</v>
      </c>
      <c r="F156" s="326"/>
      <c r="G156" s="326">
        <f t="shared" si="12"/>
        <v>465</v>
      </c>
      <c r="H156" s="326">
        <v>409</v>
      </c>
      <c r="I156" s="266">
        <v>56</v>
      </c>
      <c r="J156" s="326">
        <v>61</v>
      </c>
      <c r="K156" s="326">
        <v>166</v>
      </c>
      <c r="L156" s="326">
        <v>237</v>
      </c>
    </row>
    <row r="157" spans="1:12" s="263" customFormat="1" ht="9" customHeight="1" x14ac:dyDescent="0.25">
      <c r="A157" s="267" t="s">
        <v>53</v>
      </c>
      <c r="B157" s="328">
        <f t="shared" si="13"/>
        <v>805</v>
      </c>
      <c r="C157" s="328">
        <v>429</v>
      </c>
      <c r="D157" s="328"/>
      <c r="E157" s="636">
        <f t="shared" si="14"/>
        <v>376</v>
      </c>
      <c r="F157" s="328"/>
      <c r="G157" s="328">
        <f t="shared" si="12"/>
        <v>195</v>
      </c>
      <c r="H157" s="328">
        <v>186</v>
      </c>
      <c r="I157" s="268">
        <v>9</v>
      </c>
      <c r="J157" s="328">
        <v>20</v>
      </c>
      <c r="K157" s="328">
        <v>55</v>
      </c>
      <c r="L157" s="328">
        <v>106</v>
      </c>
    </row>
    <row r="158" spans="1:12" s="263" customFormat="1" ht="9" customHeight="1" x14ac:dyDescent="0.25">
      <c r="B158" s="326"/>
      <c r="C158" s="326"/>
      <c r="D158" s="326"/>
      <c r="E158" s="327"/>
      <c r="F158" s="326"/>
      <c r="G158" s="326"/>
      <c r="H158" s="326"/>
      <c r="I158" s="266"/>
      <c r="J158" s="326"/>
      <c r="K158" s="326"/>
      <c r="L158" s="326"/>
    </row>
    <row r="159" spans="1:12" s="263" customFormat="1" ht="9" customHeight="1" x14ac:dyDescent="0.25">
      <c r="A159" s="261">
        <v>1999</v>
      </c>
      <c r="B159" s="262"/>
      <c r="C159" s="262"/>
      <c r="D159" s="262"/>
      <c r="E159" s="327"/>
      <c r="F159" s="262"/>
      <c r="G159" s="262"/>
      <c r="H159" s="262"/>
      <c r="I159" s="262"/>
      <c r="J159" s="262"/>
      <c r="K159" s="262"/>
      <c r="L159" s="262"/>
    </row>
    <row r="160" spans="1:12" s="263" customFormat="1" ht="9" customHeight="1" x14ac:dyDescent="0.25">
      <c r="A160" s="265" t="s">
        <v>21</v>
      </c>
      <c r="B160" s="325">
        <f>SUM(B162:B193)</f>
        <v>70690</v>
      </c>
      <c r="C160" s="325">
        <f>SUM(C162:C193)</f>
        <v>19751</v>
      </c>
      <c r="D160" s="325"/>
      <c r="E160" s="325">
        <f>SUM(E162:E193)</f>
        <v>50939</v>
      </c>
      <c r="F160" s="325"/>
      <c r="G160" s="325">
        <f t="shared" ref="G160:L160" si="15">SUM(G162:G193)</f>
        <v>27037</v>
      </c>
      <c r="H160" s="325">
        <f t="shared" si="15"/>
        <v>25142</v>
      </c>
      <c r="I160" s="325">
        <f t="shared" si="15"/>
        <v>1895</v>
      </c>
      <c r="J160" s="325">
        <f t="shared" si="15"/>
        <v>2947</v>
      </c>
      <c r="K160" s="325">
        <f t="shared" si="15"/>
        <v>10507</v>
      </c>
      <c r="L160" s="325">
        <f t="shared" si="15"/>
        <v>10448</v>
      </c>
    </row>
    <row r="161" spans="1:12" s="263" customFormat="1" ht="3.95" customHeight="1" x14ac:dyDescent="0.25">
      <c r="A161" s="265"/>
      <c r="B161" s="325"/>
      <c r="C161" s="325"/>
      <c r="D161" s="325"/>
      <c r="E161" s="325"/>
      <c r="F161" s="325"/>
      <c r="G161" s="325"/>
      <c r="H161" s="325"/>
      <c r="I161" s="325"/>
      <c r="J161" s="325"/>
      <c r="K161" s="325"/>
      <c r="L161" s="325"/>
    </row>
    <row r="162" spans="1:12" s="263" customFormat="1" ht="9" customHeight="1" x14ac:dyDescent="0.25">
      <c r="A162" s="263" t="s">
        <v>23</v>
      </c>
      <c r="B162" s="326">
        <f>SUM(C162+E162)</f>
        <v>875</v>
      </c>
      <c r="C162" s="600">
        <v>227</v>
      </c>
      <c r="D162" s="326"/>
      <c r="E162" s="327">
        <f>SUM(G162+J162+K162+L162)</f>
        <v>648</v>
      </c>
      <c r="F162" s="326"/>
      <c r="G162" s="326">
        <f>SUM(H162:I162)</f>
        <v>368</v>
      </c>
      <c r="H162" s="600">
        <v>338</v>
      </c>
      <c r="I162" s="600">
        <v>30</v>
      </c>
      <c r="J162" s="326">
        <v>29</v>
      </c>
      <c r="K162" s="326">
        <v>103</v>
      </c>
      <c r="L162" s="326">
        <v>148</v>
      </c>
    </row>
    <row r="163" spans="1:12" s="263" customFormat="1" ht="9" customHeight="1" x14ac:dyDescent="0.25">
      <c r="A163" s="263" t="s">
        <v>24</v>
      </c>
      <c r="B163" s="326">
        <f t="shared" ref="B163:B193" si="16">SUM(C163+E163)</f>
        <v>1940</v>
      </c>
      <c r="C163" s="600">
        <v>508</v>
      </c>
      <c r="D163" s="326"/>
      <c r="E163" s="327">
        <f t="shared" ref="E163:E193" si="17">SUM(G163+J163+K163+L163)</f>
        <v>1432</v>
      </c>
      <c r="F163" s="326"/>
      <c r="G163" s="326">
        <f t="shared" ref="G163:G193" si="18">SUM(H163:I163)</f>
        <v>767</v>
      </c>
      <c r="H163" s="600">
        <v>754</v>
      </c>
      <c r="I163" s="600">
        <v>13</v>
      </c>
      <c r="J163" s="326">
        <v>44</v>
      </c>
      <c r="K163" s="326">
        <v>301</v>
      </c>
      <c r="L163" s="326">
        <v>320</v>
      </c>
    </row>
    <row r="164" spans="1:12" s="263" customFormat="1" ht="9" customHeight="1" x14ac:dyDescent="0.25">
      <c r="A164" s="263" t="s">
        <v>25</v>
      </c>
      <c r="B164" s="326">
        <f t="shared" si="16"/>
        <v>230</v>
      </c>
      <c r="C164" s="600">
        <v>116</v>
      </c>
      <c r="D164" s="326"/>
      <c r="E164" s="327">
        <f t="shared" si="17"/>
        <v>114</v>
      </c>
      <c r="F164" s="326"/>
      <c r="G164" s="326">
        <f t="shared" si="18"/>
        <v>69</v>
      </c>
      <c r="H164" s="600">
        <v>59</v>
      </c>
      <c r="I164" s="600">
        <v>10</v>
      </c>
      <c r="J164" s="326">
        <v>3</v>
      </c>
      <c r="K164" s="326">
        <v>25</v>
      </c>
      <c r="L164" s="326">
        <v>17</v>
      </c>
    </row>
    <row r="165" spans="1:12" s="263" customFormat="1" ht="9" customHeight="1" x14ac:dyDescent="0.25">
      <c r="A165" s="267" t="s">
        <v>26</v>
      </c>
      <c r="B165" s="328">
        <f t="shared" si="16"/>
        <v>212</v>
      </c>
      <c r="C165" s="604">
        <v>77</v>
      </c>
      <c r="D165" s="328"/>
      <c r="E165" s="636">
        <f t="shared" si="17"/>
        <v>135</v>
      </c>
      <c r="F165" s="328"/>
      <c r="G165" s="328">
        <f t="shared" si="18"/>
        <v>59</v>
      </c>
      <c r="H165" s="604">
        <v>57</v>
      </c>
      <c r="I165" s="604">
        <v>2</v>
      </c>
      <c r="J165" s="328">
        <v>9</v>
      </c>
      <c r="K165" s="328">
        <v>23</v>
      </c>
      <c r="L165" s="328">
        <v>44</v>
      </c>
    </row>
    <row r="166" spans="1:12" s="263" customFormat="1" ht="9" customHeight="1" x14ac:dyDescent="0.25">
      <c r="A166" s="263" t="s">
        <v>27</v>
      </c>
      <c r="B166" s="326">
        <f t="shared" si="16"/>
        <v>1400</v>
      </c>
      <c r="C166" s="600">
        <v>220</v>
      </c>
      <c r="D166" s="326"/>
      <c r="E166" s="327">
        <f t="shared" si="17"/>
        <v>1180</v>
      </c>
      <c r="F166" s="326"/>
      <c r="G166" s="326">
        <f t="shared" si="18"/>
        <v>612</v>
      </c>
      <c r="H166" s="600">
        <v>588</v>
      </c>
      <c r="I166" s="600">
        <v>24</v>
      </c>
      <c r="J166" s="326">
        <v>44</v>
      </c>
      <c r="K166" s="326">
        <v>303</v>
      </c>
      <c r="L166" s="326">
        <v>221</v>
      </c>
    </row>
    <row r="167" spans="1:12" s="263" customFormat="1" ht="9" customHeight="1" x14ac:dyDescent="0.25">
      <c r="A167" s="263" t="s">
        <v>28</v>
      </c>
      <c r="B167" s="326">
        <f t="shared" si="16"/>
        <v>333</v>
      </c>
      <c r="C167" s="600">
        <v>154</v>
      </c>
      <c r="D167" s="326"/>
      <c r="E167" s="327">
        <f t="shared" si="17"/>
        <v>179</v>
      </c>
      <c r="F167" s="326"/>
      <c r="G167" s="326">
        <f t="shared" si="18"/>
        <v>86</v>
      </c>
      <c r="H167" s="600">
        <v>85</v>
      </c>
      <c r="I167" s="600">
        <v>1</v>
      </c>
      <c r="J167" s="326">
        <v>15</v>
      </c>
      <c r="K167" s="326">
        <v>27</v>
      </c>
      <c r="L167" s="326">
        <v>51</v>
      </c>
    </row>
    <row r="168" spans="1:12" s="263" customFormat="1" ht="9" customHeight="1" x14ac:dyDescent="0.25">
      <c r="A168" s="263" t="s">
        <v>29</v>
      </c>
      <c r="B168" s="326">
        <f t="shared" si="16"/>
        <v>984</v>
      </c>
      <c r="C168" s="600">
        <v>327</v>
      </c>
      <c r="D168" s="326"/>
      <c r="E168" s="327">
        <f t="shared" si="17"/>
        <v>657</v>
      </c>
      <c r="F168" s="326"/>
      <c r="G168" s="326">
        <f t="shared" si="18"/>
        <v>388</v>
      </c>
      <c r="H168" s="600">
        <v>370</v>
      </c>
      <c r="I168" s="600">
        <v>18</v>
      </c>
      <c r="J168" s="326">
        <v>24</v>
      </c>
      <c r="K168" s="326">
        <v>71</v>
      </c>
      <c r="L168" s="326">
        <v>174</v>
      </c>
    </row>
    <row r="169" spans="1:12" s="263" customFormat="1" ht="9" customHeight="1" x14ac:dyDescent="0.25">
      <c r="A169" s="267" t="s">
        <v>30</v>
      </c>
      <c r="B169" s="328">
        <f t="shared" si="16"/>
        <v>2615</v>
      </c>
      <c r="C169" s="604">
        <v>134</v>
      </c>
      <c r="D169" s="328"/>
      <c r="E169" s="636">
        <f t="shared" si="17"/>
        <v>2481</v>
      </c>
      <c r="F169" s="328"/>
      <c r="G169" s="328">
        <f t="shared" si="18"/>
        <v>1255</v>
      </c>
      <c r="H169" s="604">
        <v>1183</v>
      </c>
      <c r="I169" s="604">
        <v>72</v>
      </c>
      <c r="J169" s="328">
        <v>173</v>
      </c>
      <c r="K169" s="328">
        <v>585</v>
      </c>
      <c r="L169" s="328">
        <v>468</v>
      </c>
    </row>
    <row r="170" spans="1:12" s="263" customFormat="1" ht="9" customHeight="1" x14ac:dyDescent="0.25">
      <c r="A170" s="263" t="s">
        <v>63</v>
      </c>
      <c r="B170" s="326">
        <f t="shared" si="16"/>
        <v>19299</v>
      </c>
      <c r="C170" s="600">
        <v>6481</v>
      </c>
      <c r="D170" s="326"/>
      <c r="E170" s="327">
        <f t="shared" si="17"/>
        <v>12818</v>
      </c>
      <c r="F170" s="326"/>
      <c r="G170" s="326">
        <f t="shared" si="18"/>
        <v>6287</v>
      </c>
      <c r="H170" s="600">
        <v>5521</v>
      </c>
      <c r="I170" s="600">
        <v>766</v>
      </c>
      <c r="J170" s="326">
        <v>727</v>
      </c>
      <c r="K170" s="326">
        <v>3304</v>
      </c>
      <c r="L170" s="326">
        <v>2500</v>
      </c>
    </row>
    <row r="171" spans="1:12" s="263" customFormat="1" ht="9" customHeight="1" x14ac:dyDescent="0.25">
      <c r="A171" s="263" t="s">
        <v>31</v>
      </c>
      <c r="B171" s="326">
        <f t="shared" si="16"/>
        <v>481</v>
      </c>
      <c r="C171" s="600">
        <v>82</v>
      </c>
      <c r="D171" s="326"/>
      <c r="E171" s="327">
        <f t="shared" si="17"/>
        <v>399</v>
      </c>
      <c r="F171" s="326"/>
      <c r="G171" s="326">
        <f t="shared" si="18"/>
        <v>227</v>
      </c>
      <c r="H171" s="600">
        <v>223</v>
      </c>
      <c r="I171" s="600">
        <v>4</v>
      </c>
      <c r="J171" s="263">
        <v>16</v>
      </c>
      <c r="K171" s="326">
        <v>60</v>
      </c>
      <c r="L171" s="326">
        <v>96</v>
      </c>
    </row>
    <row r="172" spans="1:12" s="263" customFormat="1" ht="9" customHeight="1" x14ac:dyDescent="0.25">
      <c r="A172" s="263" t="s">
        <v>32</v>
      </c>
      <c r="B172" s="326">
        <f t="shared" si="16"/>
        <v>3293</v>
      </c>
      <c r="C172" s="600">
        <v>418</v>
      </c>
      <c r="D172" s="326"/>
      <c r="E172" s="327">
        <f t="shared" si="17"/>
        <v>2875</v>
      </c>
      <c r="F172" s="326"/>
      <c r="G172" s="326">
        <f t="shared" si="18"/>
        <v>1542</v>
      </c>
      <c r="H172" s="600">
        <v>1459</v>
      </c>
      <c r="I172" s="600">
        <v>83</v>
      </c>
      <c r="J172" s="326">
        <v>179</v>
      </c>
      <c r="K172" s="326">
        <v>489</v>
      </c>
      <c r="L172" s="326">
        <v>665</v>
      </c>
    </row>
    <row r="173" spans="1:12" s="263" customFormat="1" ht="9" customHeight="1" x14ac:dyDescent="0.25">
      <c r="A173" s="267" t="s">
        <v>33</v>
      </c>
      <c r="B173" s="328">
        <f t="shared" si="16"/>
        <v>1007</v>
      </c>
      <c r="C173" s="604">
        <v>259</v>
      </c>
      <c r="D173" s="328"/>
      <c r="E173" s="636">
        <f t="shared" si="17"/>
        <v>748</v>
      </c>
      <c r="F173" s="328"/>
      <c r="G173" s="328">
        <f t="shared" si="18"/>
        <v>430</v>
      </c>
      <c r="H173" s="604">
        <v>392</v>
      </c>
      <c r="I173" s="604">
        <v>38</v>
      </c>
      <c r="J173" s="328">
        <v>69</v>
      </c>
      <c r="K173" s="328">
        <v>95</v>
      </c>
      <c r="L173" s="328">
        <v>154</v>
      </c>
    </row>
    <row r="174" spans="1:12" s="263" customFormat="1" ht="9" customHeight="1" x14ac:dyDescent="0.25">
      <c r="A174" s="263" t="s">
        <v>34</v>
      </c>
      <c r="B174" s="326">
        <f t="shared" si="16"/>
        <v>1125</v>
      </c>
      <c r="C174" s="600">
        <v>514</v>
      </c>
      <c r="D174" s="326"/>
      <c r="E174" s="327">
        <f t="shared" si="17"/>
        <v>611</v>
      </c>
      <c r="F174" s="326"/>
      <c r="G174" s="326">
        <f t="shared" si="18"/>
        <v>359</v>
      </c>
      <c r="H174" s="600">
        <v>336</v>
      </c>
      <c r="I174" s="600">
        <v>23</v>
      </c>
      <c r="J174" s="326">
        <v>37</v>
      </c>
      <c r="K174" s="326">
        <v>94</v>
      </c>
      <c r="L174" s="326">
        <v>121</v>
      </c>
    </row>
    <row r="175" spans="1:12" s="263" customFormat="1" ht="9" customHeight="1" x14ac:dyDescent="0.25">
      <c r="A175" s="263" t="s">
        <v>35</v>
      </c>
      <c r="B175" s="326">
        <f t="shared" si="16"/>
        <v>5304</v>
      </c>
      <c r="C175" s="600">
        <v>1149</v>
      </c>
      <c r="D175" s="326"/>
      <c r="E175" s="327">
        <f t="shared" si="17"/>
        <v>4155</v>
      </c>
      <c r="F175" s="326"/>
      <c r="G175" s="326">
        <f t="shared" si="18"/>
        <v>2104</v>
      </c>
      <c r="H175" s="600">
        <v>2003</v>
      </c>
      <c r="I175" s="600">
        <v>101</v>
      </c>
      <c r="J175" s="326">
        <v>223</v>
      </c>
      <c r="K175" s="326">
        <v>780</v>
      </c>
      <c r="L175" s="326">
        <v>1048</v>
      </c>
    </row>
    <row r="176" spans="1:12" s="263" customFormat="1" ht="9" customHeight="1" x14ac:dyDescent="0.25">
      <c r="A176" s="263" t="s">
        <v>36</v>
      </c>
      <c r="B176" s="326">
        <f t="shared" si="16"/>
        <v>4576</v>
      </c>
      <c r="C176" s="600">
        <v>1143</v>
      </c>
      <c r="D176" s="326"/>
      <c r="E176" s="327">
        <f t="shared" si="17"/>
        <v>3433</v>
      </c>
      <c r="F176" s="326"/>
      <c r="G176" s="326">
        <f t="shared" si="18"/>
        <v>2127</v>
      </c>
      <c r="H176" s="600">
        <v>2032</v>
      </c>
      <c r="I176" s="600">
        <v>95</v>
      </c>
      <c r="J176" s="326">
        <v>202</v>
      </c>
      <c r="K176" s="326">
        <v>564</v>
      </c>
      <c r="L176" s="326">
        <v>540</v>
      </c>
    </row>
    <row r="177" spans="1:12" s="263" customFormat="1" ht="9" customHeight="1" x14ac:dyDescent="0.25">
      <c r="A177" s="267" t="s">
        <v>37</v>
      </c>
      <c r="B177" s="328">
        <f t="shared" si="16"/>
        <v>1753</v>
      </c>
      <c r="C177" s="604">
        <v>337</v>
      </c>
      <c r="D177" s="328"/>
      <c r="E177" s="636">
        <f t="shared" si="17"/>
        <v>1416</v>
      </c>
      <c r="F177" s="328"/>
      <c r="G177" s="328">
        <f t="shared" si="18"/>
        <v>790</v>
      </c>
      <c r="H177" s="604">
        <v>750</v>
      </c>
      <c r="I177" s="604">
        <v>40</v>
      </c>
      <c r="J177" s="328">
        <v>59</v>
      </c>
      <c r="K177" s="328">
        <v>229</v>
      </c>
      <c r="L177" s="328">
        <v>338</v>
      </c>
    </row>
    <row r="178" spans="1:12" s="263" customFormat="1" ht="9" customHeight="1" x14ac:dyDescent="0.25">
      <c r="A178" s="263" t="s">
        <v>38</v>
      </c>
      <c r="B178" s="326">
        <f t="shared" si="16"/>
        <v>985</v>
      </c>
      <c r="C178" s="600">
        <v>217</v>
      </c>
      <c r="D178" s="326"/>
      <c r="E178" s="327">
        <f t="shared" si="17"/>
        <v>768</v>
      </c>
      <c r="F178" s="326"/>
      <c r="G178" s="326">
        <f t="shared" si="18"/>
        <v>410</v>
      </c>
      <c r="H178" s="600">
        <v>385</v>
      </c>
      <c r="I178" s="600">
        <v>25</v>
      </c>
      <c r="J178" s="326">
        <v>39</v>
      </c>
      <c r="K178" s="326">
        <v>134</v>
      </c>
      <c r="L178" s="326">
        <v>185</v>
      </c>
    </row>
    <row r="179" spans="1:12" s="263" customFormat="1" ht="9" customHeight="1" x14ac:dyDescent="0.25">
      <c r="A179" s="263" t="s">
        <v>39</v>
      </c>
      <c r="B179" s="326">
        <f t="shared" si="16"/>
        <v>335</v>
      </c>
      <c r="C179" s="600">
        <v>152</v>
      </c>
      <c r="D179" s="326"/>
      <c r="E179" s="327">
        <f t="shared" si="17"/>
        <v>183</v>
      </c>
      <c r="F179" s="326"/>
      <c r="G179" s="326">
        <f t="shared" si="18"/>
        <v>99</v>
      </c>
      <c r="H179" s="600">
        <v>93</v>
      </c>
      <c r="I179" s="600">
        <v>6</v>
      </c>
      <c r="J179" s="326">
        <v>24</v>
      </c>
      <c r="K179" s="326">
        <v>32</v>
      </c>
      <c r="L179" s="326">
        <v>28</v>
      </c>
    </row>
    <row r="180" spans="1:12" s="263" customFormat="1" ht="9" customHeight="1" x14ac:dyDescent="0.25">
      <c r="A180" s="263" t="s">
        <v>40</v>
      </c>
      <c r="B180" s="326">
        <f t="shared" si="16"/>
        <v>5175</v>
      </c>
      <c r="C180" s="600">
        <v>822</v>
      </c>
      <c r="D180" s="326"/>
      <c r="E180" s="327">
        <f t="shared" si="17"/>
        <v>4353</v>
      </c>
      <c r="F180" s="326"/>
      <c r="G180" s="326">
        <f t="shared" si="18"/>
        <v>2292</v>
      </c>
      <c r="H180" s="600">
        <v>2108</v>
      </c>
      <c r="I180" s="600">
        <v>184</v>
      </c>
      <c r="J180" s="326">
        <v>358</v>
      </c>
      <c r="K180" s="326">
        <v>999</v>
      </c>
      <c r="L180" s="326">
        <v>704</v>
      </c>
    </row>
    <row r="181" spans="1:12" s="263" customFormat="1" ht="9" customHeight="1" x14ac:dyDescent="0.25">
      <c r="A181" s="267" t="s">
        <v>41</v>
      </c>
      <c r="B181" s="328">
        <f t="shared" si="16"/>
        <v>795</v>
      </c>
      <c r="C181" s="604">
        <v>337</v>
      </c>
      <c r="D181" s="328"/>
      <c r="E181" s="636">
        <f t="shared" si="17"/>
        <v>458</v>
      </c>
      <c r="F181" s="328"/>
      <c r="G181" s="328">
        <f t="shared" si="18"/>
        <v>276</v>
      </c>
      <c r="H181" s="604">
        <v>261</v>
      </c>
      <c r="I181" s="604">
        <v>15</v>
      </c>
      <c r="J181" s="328">
        <v>27</v>
      </c>
      <c r="K181" s="328">
        <v>78</v>
      </c>
      <c r="L181" s="328">
        <v>77</v>
      </c>
    </row>
    <row r="182" spans="1:12" s="263" customFormat="1" ht="9" customHeight="1" x14ac:dyDescent="0.25">
      <c r="A182" s="263" t="s">
        <v>42</v>
      </c>
      <c r="B182" s="326">
        <f t="shared" si="16"/>
        <v>2155</v>
      </c>
      <c r="C182" s="600">
        <v>204</v>
      </c>
      <c r="D182" s="326"/>
      <c r="E182" s="327">
        <f t="shared" si="17"/>
        <v>1951</v>
      </c>
      <c r="F182" s="326"/>
      <c r="G182" s="326">
        <f t="shared" si="18"/>
        <v>1155</v>
      </c>
      <c r="H182" s="600">
        <v>1091</v>
      </c>
      <c r="I182" s="600">
        <v>64</v>
      </c>
      <c r="J182" s="326">
        <v>97</v>
      </c>
      <c r="K182" s="326">
        <v>349</v>
      </c>
      <c r="L182" s="326">
        <v>350</v>
      </c>
    </row>
    <row r="183" spans="1:12" s="263" customFormat="1" ht="9" customHeight="1" x14ac:dyDescent="0.25">
      <c r="A183" s="263" t="s">
        <v>43</v>
      </c>
      <c r="B183" s="326">
        <f t="shared" si="16"/>
        <v>1384</v>
      </c>
      <c r="C183" s="600">
        <v>321</v>
      </c>
      <c r="D183" s="326"/>
      <c r="E183" s="327">
        <f t="shared" si="17"/>
        <v>1063</v>
      </c>
      <c r="F183" s="326"/>
      <c r="G183" s="326">
        <f t="shared" si="18"/>
        <v>529</v>
      </c>
      <c r="H183" s="600">
        <v>520</v>
      </c>
      <c r="I183" s="600">
        <v>9</v>
      </c>
      <c r="J183" s="326">
        <v>39</v>
      </c>
      <c r="K183" s="326">
        <v>330</v>
      </c>
      <c r="L183" s="326">
        <v>165</v>
      </c>
    </row>
    <row r="184" spans="1:12" s="263" customFormat="1" ht="9" customHeight="1" x14ac:dyDescent="0.25">
      <c r="A184" s="263" t="s">
        <v>44</v>
      </c>
      <c r="B184" s="326">
        <f t="shared" si="16"/>
        <v>560</v>
      </c>
      <c r="C184" s="600">
        <v>34</v>
      </c>
      <c r="D184" s="326"/>
      <c r="E184" s="327">
        <f t="shared" si="17"/>
        <v>526</v>
      </c>
      <c r="F184" s="326"/>
      <c r="G184" s="326">
        <f t="shared" si="18"/>
        <v>207</v>
      </c>
      <c r="H184" s="600">
        <v>196</v>
      </c>
      <c r="I184" s="600">
        <v>11</v>
      </c>
      <c r="J184" s="326">
        <v>36</v>
      </c>
      <c r="K184" s="326">
        <v>125</v>
      </c>
      <c r="L184" s="326">
        <v>158</v>
      </c>
    </row>
    <row r="185" spans="1:12" s="263" customFormat="1" ht="9" customHeight="1" x14ac:dyDescent="0.25">
      <c r="A185" s="267" t="s">
        <v>45</v>
      </c>
      <c r="B185" s="328">
        <f t="shared" si="16"/>
        <v>1816</v>
      </c>
      <c r="C185" s="604">
        <v>522</v>
      </c>
      <c r="D185" s="328"/>
      <c r="E185" s="636">
        <f t="shared" si="17"/>
        <v>1294</v>
      </c>
      <c r="F185" s="328"/>
      <c r="G185" s="328">
        <f t="shared" si="18"/>
        <v>618</v>
      </c>
      <c r="H185" s="604">
        <v>602</v>
      </c>
      <c r="I185" s="604">
        <v>16</v>
      </c>
      <c r="J185" s="328">
        <v>96</v>
      </c>
      <c r="K185" s="328">
        <v>250</v>
      </c>
      <c r="L185" s="328">
        <v>330</v>
      </c>
    </row>
    <row r="186" spans="1:12" s="263" customFormat="1" ht="9" customHeight="1" x14ac:dyDescent="0.25">
      <c r="A186" s="263" t="s">
        <v>46</v>
      </c>
      <c r="B186" s="326">
        <f t="shared" si="16"/>
        <v>1476</v>
      </c>
      <c r="C186" s="600">
        <v>437</v>
      </c>
      <c r="D186" s="326"/>
      <c r="E186" s="327">
        <f t="shared" si="17"/>
        <v>1039</v>
      </c>
      <c r="F186" s="326"/>
      <c r="G186" s="326">
        <f t="shared" si="18"/>
        <v>569</v>
      </c>
      <c r="H186" s="600">
        <v>542</v>
      </c>
      <c r="I186" s="600">
        <v>27</v>
      </c>
      <c r="J186" s="326">
        <v>58</v>
      </c>
      <c r="K186" s="326">
        <v>167</v>
      </c>
      <c r="L186" s="326">
        <v>245</v>
      </c>
    </row>
    <row r="187" spans="1:12" s="263" customFormat="1" ht="9" customHeight="1" x14ac:dyDescent="0.25">
      <c r="A187" s="263" t="s">
        <v>47</v>
      </c>
      <c r="B187" s="326">
        <f t="shared" si="16"/>
        <v>2510</v>
      </c>
      <c r="C187" s="600">
        <v>1283</v>
      </c>
      <c r="D187" s="326"/>
      <c r="E187" s="327">
        <f t="shared" si="17"/>
        <v>1227</v>
      </c>
      <c r="F187" s="326"/>
      <c r="G187" s="326">
        <f t="shared" si="18"/>
        <v>657</v>
      </c>
      <c r="H187" s="600">
        <v>640</v>
      </c>
      <c r="I187" s="600">
        <v>17</v>
      </c>
      <c r="J187" s="326">
        <v>50</v>
      </c>
      <c r="K187" s="326">
        <v>251</v>
      </c>
      <c r="L187" s="326">
        <v>269</v>
      </c>
    </row>
    <row r="188" spans="1:12" s="263" customFormat="1" ht="9" customHeight="1" x14ac:dyDescent="0.25">
      <c r="A188" s="263" t="s">
        <v>48</v>
      </c>
      <c r="B188" s="326">
        <f t="shared" si="16"/>
        <v>778</v>
      </c>
      <c r="C188" s="600">
        <v>364</v>
      </c>
      <c r="D188" s="326"/>
      <c r="E188" s="327">
        <f t="shared" si="17"/>
        <v>414</v>
      </c>
      <c r="F188" s="326"/>
      <c r="G188" s="326">
        <f t="shared" si="18"/>
        <v>258</v>
      </c>
      <c r="H188" s="600">
        <v>235</v>
      </c>
      <c r="I188" s="600">
        <v>23</v>
      </c>
      <c r="J188" s="326">
        <v>21</v>
      </c>
      <c r="K188" s="326">
        <v>66</v>
      </c>
      <c r="L188" s="326">
        <v>69</v>
      </c>
    </row>
    <row r="189" spans="1:12" s="263" customFormat="1" ht="9" customHeight="1" x14ac:dyDescent="0.25">
      <c r="A189" s="267" t="s">
        <v>49</v>
      </c>
      <c r="B189" s="328">
        <f t="shared" si="16"/>
        <v>2101</v>
      </c>
      <c r="C189" s="604">
        <v>715</v>
      </c>
      <c r="D189" s="328"/>
      <c r="E189" s="636">
        <f t="shared" si="17"/>
        <v>1386</v>
      </c>
      <c r="F189" s="328"/>
      <c r="G189" s="328">
        <f t="shared" si="18"/>
        <v>768</v>
      </c>
      <c r="H189" s="604">
        <v>729</v>
      </c>
      <c r="I189" s="604">
        <v>39</v>
      </c>
      <c r="J189" s="328">
        <v>65</v>
      </c>
      <c r="K189" s="328">
        <v>225</v>
      </c>
      <c r="L189" s="328">
        <v>328</v>
      </c>
    </row>
    <row r="190" spans="1:12" s="263" customFormat="1" ht="9" customHeight="1" x14ac:dyDescent="0.25">
      <c r="A190" s="263" t="s">
        <v>50</v>
      </c>
      <c r="B190" s="326">
        <f t="shared" si="16"/>
        <v>563</v>
      </c>
      <c r="C190" s="600">
        <v>331</v>
      </c>
      <c r="D190" s="326"/>
      <c r="E190" s="327">
        <f t="shared" si="17"/>
        <v>232</v>
      </c>
      <c r="F190" s="326"/>
      <c r="G190" s="326">
        <f t="shared" si="18"/>
        <v>148</v>
      </c>
      <c r="H190" s="600">
        <v>140</v>
      </c>
      <c r="I190" s="600">
        <v>8</v>
      </c>
      <c r="J190" s="326">
        <v>11</v>
      </c>
      <c r="K190" s="326">
        <v>33</v>
      </c>
      <c r="L190" s="326">
        <v>40</v>
      </c>
    </row>
    <row r="191" spans="1:12" s="263" customFormat="1" ht="9" customHeight="1" x14ac:dyDescent="0.25">
      <c r="A191" s="263" t="s">
        <v>51</v>
      </c>
      <c r="B191" s="326">
        <f t="shared" si="16"/>
        <v>2129</v>
      </c>
      <c r="C191" s="600">
        <v>763</v>
      </c>
      <c r="D191" s="326"/>
      <c r="E191" s="327">
        <f t="shared" si="17"/>
        <v>1366</v>
      </c>
      <c r="F191" s="326"/>
      <c r="G191" s="326">
        <f t="shared" si="18"/>
        <v>823</v>
      </c>
      <c r="H191" s="600">
        <v>764</v>
      </c>
      <c r="I191" s="600">
        <v>59</v>
      </c>
      <c r="J191" s="326">
        <v>97</v>
      </c>
      <c r="K191" s="326">
        <v>176</v>
      </c>
      <c r="L191" s="326">
        <v>270</v>
      </c>
    </row>
    <row r="192" spans="1:12" s="263" customFormat="1" ht="9" customHeight="1" x14ac:dyDescent="0.25">
      <c r="A192" s="263" t="s">
        <v>52</v>
      </c>
      <c r="B192" s="326">
        <f t="shared" si="16"/>
        <v>1659</v>
      </c>
      <c r="C192" s="600">
        <v>688</v>
      </c>
      <c r="D192" s="326"/>
      <c r="E192" s="327">
        <f t="shared" si="17"/>
        <v>971</v>
      </c>
      <c r="F192" s="326"/>
      <c r="G192" s="326">
        <f t="shared" si="18"/>
        <v>513</v>
      </c>
      <c r="H192" s="600">
        <v>471</v>
      </c>
      <c r="I192" s="600">
        <v>42</v>
      </c>
      <c r="J192" s="326">
        <v>43</v>
      </c>
      <c r="K192" s="326">
        <v>180</v>
      </c>
      <c r="L192" s="326">
        <v>235</v>
      </c>
    </row>
    <row r="193" spans="1:13" s="263" customFormat="1" ht="9" customHeight="1" x14ac:dyDescent="0.25">
      <c r="A193" s="267" t="s">
        <v>53</v>
      </c>
      <c r="B193" s="328">
        <f t="shared" si="16"/>
        <v>842</v>
      </c>
      <c r="C193" s="604">
        <v>415</v>
      </c>
      <c r="D193" s="328"/>
      <c r="E193" s="636">
        <f t="shared" si="17"/>
        <v>427</v>
      </c>
      <c r="F193" s="328"/>
      <c r="G193" s="328">
        <f t="shared" si="18"/>
        <v>245</v>
      </c>
      <c r="H193" s="604">
        <v>215</v>
      </c>
      <c r="I193" s="604">
        <v>30</v>
      </c>
      <c r="J193" s="328">
        <v>33</v>
      </c>
      <c r="K193" s="328">
        <v>59</v>
      </c>
      <c r="L193" s="328">
        <v>90</v>
      </c>
    </row>
    <row r="194" spans="1:13" s="263" customFormat="1" ht="8.25" customHeight="1" x14ac:dyDescent="0.25">
      <c r="B194" s="326"/>
      <c r="C194" s="326"/>
      <c r="D194" s="326"/>
      <c r="E194" s="327"/>
      <c r="F194" s="326"/>
      <c r="G194" s="326"/>
      <c r="H194" s="326"/>
      <c r="I194" s="266"/>
      <c r="J194" s="326"/>
      <c r="K194" s="326"/>
      <c r="L194" s="326"/>
      <c r="M194" s="327"/>
    </row>
    <row r="195" spans="1:13" s="263" customFormat="1" ht="8.85" customHeight="1" x14ac:dyDescent="0.25">
      <c r="A195" s="261">
        <v>2000</v>
      </c>
      <c r="B195" s="262"/>
      <c r="C195" s="262"/>
      <c r="D195" s="262"/>
      <c r="E195" s="262"/>
      <c r="F195" s="262"/>
      <c r="G195" s="262"/>
      <c r="H195" s="262"/>
      <c r="I195" s="262"/>
      <c r="J195" s="262"/>
      <c r="K195" s="262"/>
      <c r="L195" s="262"/>
    </row>
    <row r="196" spans="1:13" s="263" customFormat="1" ht="8.85" customHeight="1" x14ac:dyDescent="0.25">
      <c r="A196" s="265" t="s">
        <v>21</v>
      </c>
      <c r="B196" s="325">
        <f>SUM(B198:B229)</f>
        <v>77810</v>
      </c>
      <c r="C196" s="325">
        <f>SUM(C198:C229)</f>
        <v>22088</v>
      </c>
      <c r="D196" s="325"/>
      <c r="E196" s="325">
        <f>SUM(E198:E229)</f>
        <v>55722</v>
      </c>
      <c r="F196" s="325"/>
      <c r="G196" s="325">
        <f t="shared" ref="G196:L196" si="19">SUM(G198:G229)</f>
        <v>29355</v>
      </c>
      <c r="H196" s="325">
        <f t="shared" si="19"/>
        <v>26968</v>
      </c>
      <c r="I196" s="325">
        <f t="shared" si="19"/>
        <v>2387</v>
      </c>
      <c r="J196" s="325">
        <f t="shared" si="19"/>
        <v>3280</v>
      </c>
      <c r="K196" s="325">
        <f t="shared" si="19"/>
        <v>11367</v>
      </c>
      <c r="L196" s="325">
        <f t="shared" si="19"/>
        <v>11720</v>
      </c>
    </row>
    <row r="197" spans="1:13" s="263" customFormat="1" ht="3.95" customHeight="1" x14ac:dyDescent="0.25">
      <c r="A197" s="265"/>
      <c r="B197" s="325"/>
      <c r="C197" s="325"/>
      <c r="D197" s="325"/>
      <c r="E197" s="325"/>
      <c r="F197" s="325"/>
      <c r="G197" s="325"/>
      <c r="H197" s="325"/>
      <c r="I197" s="325"/>
      <c r="J197" s="325"/>
      <c r="K197" s="325"/>
      <c r="L197" s="325"/>
    </row>
    <row r="198" spans="1:13" s="263" customFormat="1" ht="9" customHeight="1" x14ac:dyDescent="0.25">
      <c r="A198" s="263" t="s">
        <v>23</v>
      </c>
      <c r="B198" s="326">
        <f>SUM(C198+E198)</f>
        <v>923</v>
      </c>
      <c r="C198" s="600">
        <v>200</v>
      </c>
      <c r="D198" s="326"/>
      <c r="E198" s="600">
        <f>SUM(G198+J198+K198+L198)</f>
        <v>723</v>
      </c>
      <c r="F198" s="326"/>
      <c r="G198" s="326">
        <f>SUM(H198:I198)</f>
        <v>394</v>
      </c>
      <c r="H198" s="600">
        <v>380</v>
      </c>
      <c r="I198" s="600">
        <v>14</v>
      </c>
      <c r="J198" s="326">
        <v>29</v>
      </c>
      <c r="K198" s="326">
        <v>137</v>
      </c>
      <c r="L198" s="326">
        <v>163</v>
      </c>
    </row>
    <row r="199" spans="1:13" s="263" customFormat="1" ht="9" customHeight="1" x14ac:dyDescent="0.25">
      <c r="A199" s="263" t="s">
        <v>24</v>
      </c>
      <c r="B199" s="326">
        <f t="shared" ref="B199:B229" si="20">SUM(C199+E199)</f>
        <v>1968</v>
      </c>
      <c r="C199" s="600">
        <v>670</v>
      </c>
      <c r="D199" s="326"/>
      <c r="E199" s="600">
        <f t="shared" ref="E199:E229" si="21">SUM(G199+J199+K199+L199)</f>
        <v>1298</v>
      </c>
      <c r="F199" s="326"/>
      <c r="G199" s="326">
        <f t="shared" ref="G199:G229" si="22">SUM(H199:I199)</f>
        <v>761</v>
      </c>
      <c r="H199" s="600">
        <v>740</v>
      </c>
      <c r="I199" s="600">
        <v>21</v>
      </c>
      <c r="J199" s="326">
        <v>43</v>
      </c>
      <c r="K199" s="326">
        <v>267</v>
      </c>
      <c r="L199" s="326">
        <v>227</v>
      </c>
    </row>
    <row r="200" spans="1:13" s="263" customFormat="1" ht="9" customHeight="1" x14ac:dyDescent="0.25">
      <c r="A200" s="263" t="s">
        <v>25</v>
      </c>
      <c r="B200" s="326">
        <f t="shared" si="20"/>
        <v>269</v>
      </c>
      <c r="C200" s="600">
        <v>120</v>
      </c>
      <c r="D200" s="326"/>
      <c r="E200" s="600">
        <f t="shared" si="21"/>
        <v>149</v>
      </c>
      <c r="F200" s="326"/>
      <c r="G200" s="326">
        <f t="shared" si="22"/>
        <v>104</v>
      </c>
      <c r="H200" s="600">
        <v>92</v>
      </c>
      <c r="I200" s="600">
        <v>12</v>
      </c>
      <c r="J200" s="326">
        <v>1</v>
      </c>
      <c r="K200" s="326">
        <v>27</v>
      </c>
      <c r="L200" s="326">
        <v>17</v>
      </c>
    </row>
    <row r="201" spans="1:13" s="263" customFormat="1" ht="9" customHeight="1" x14ac:dyDescent="0.25">
      <c r="A201" s="267" t="s">
        <v>26</v>
      </c>
      <c r="B201" s="328">
        <f t="shared" si="20"/>
        <v>218</v>
      </c>
      <c r="C201" s="604">
        <v>75</v>
      </c>
      <c r="D201" s="328"/>
      <c r="E201" s="604">
        <f t="shared" si="21"/>
        <v>143</v>
      </c>
      <c r="F201" s="328"/>
      <c r="G201" s="328">
        <f t="shared" si="22"/>
        <v>64</v>
      </c>
      <c r="H201" s="604">
        <v>58</v>
      </c>
      <c r="I201" s="604">
        <v>6</v>
      </c>
      <c r="J201" s="328">
        <v>8</v>
      </c>
      <c r="K201" s="328">
        <v>16</v>
      </c>
      <c r="L201" s="328">
        <v>55</v>
      </c>
    </row>
    <row r="202" spans="1:13" s="263" customFormat="1" ht="9" customHeight="1" x14ac:dyDescent="0.25">
      <c r="A202" s="263" t="s">
        <v>27</v>
      </c>
      <c r="B202" s="326">
        <f t="shared" si="20"/>
        <v>1716</v>
      </c>
      <c r="C202" s="600">
        <v>254</v>
      </c>
      <c r="D202" s="326"/>
      <c r="E202" s="600">
        <f t="shared" si="21"/>
        <v>1462</v>
      </c>
      <c r="F202" s="326"/>
      <c r="G202" s="326">
        <f t="shared" si="22"/>
        <v>681</v>
      </c>
      <c r="H202" s="600">
        <v>623</v>
      </c>
      <c r="I202" s="600">
        <v>58</v>
      </c>
      <c r="J202" s="326">
        <v>63</v>
      </c>
      <c r="K202" s="326">
        <v>365</v>
      </c>
      <c r="L202" s="326">
        <v>353</v>
      </c>
    </row>
    <row r="203" spans="1:13" s="263" customFormat="1" ht="9" customHeight="1" x14ac:dyDescent="0.25">
      <c r="A203" s="263" t="s">
        <v>28</v>
      </c>
      <c r="B203" s="326">
        <f t="shared" si="20"/>
        <v>351</v>
      </c>
      <c r="C203" s="600">
        <v>163</v>
      </c>
      <c r="D203" s="326"/>
      <c r="E203" s="600">
        <f t="shared" si="21"/>
        <v>188</v>
      </c>
      <c r="F203" s="326"/>
      <c r="G203" s="326">
        <f t="shared" si="22"/>
        <v>100</v>
      </c>
      <c r="H203" s="600">
        <v>99</v>
      </c>
      <c r="I203" s="600">
        <v>1</v>
      </c>
      <c r="J203" s="326">
        <v>13</v>
      </c>
      <c r="K203" s="326">
        <v>26</v>
      </c>
      <c r="L203" s="326">
        <v>49</v>
      </c>
    </row>
    <row r="204" spans="1:13" s="263" customFormat="1" ht="9" customHeight="1" x14ac:dyDescent="0.25">
      <c r="A204" s="263" t="s">
        <v>29</v>
      </c>
      <c r="B204" s="326">
        <f t="shared" si="20"/>
        <v>945</v>
      </c>
      <c r="C204" s="600">
        <v>300</v>
      </c>
      <c r="D204" s="326"/>
      <c r="E204" s="600">
        <f t="shared" si="21"/>
        <v>645</v>
      </c>
      <c r="F204" s="326"/>
      <c r="G204" s="326">
        <f t="shared" si="22"/>
        <v>398</v>
      </c>
      <c r="H204" s="600">
        <v>378</v>
      </c>
      <c r="I204" s="600">
        <v>20</v>
      </c>
      <c r="J204" s="326">
        <v>19</v>
      </c>
      <c r="K204" s="326">
        <v>62</v>
      </c>
      <c r="L204" s="326">
        <v>166</v>
      </c>
    </row>
    <row r="205" spans="1:13" s="263" customFormat="1" ht="9" customHeight="1" x14ac:dyDescent="0.25">
      <c r="A205" s="267" t="s">
        <v>30</v>
      </c>
      <c r="B205" s="328">
        <f t="shared" si="20"/>
        <v>2686</v>
      </c>
      <c r="C205" s="604">
        <v>104</v>
      </c>
      <c r="D205" s="328"/>
      <c r="E205" s="604">
        <f t="shared" si="21"/>
        <v>2582</v>
      </c>
      <c r="F205" s="328"/>
      <c r="G205" s="328">
        <f t="shared" si="22"/>
        <v>1340</v>
      </c>
      <c r="H205" s="604">
        <v>1181</v>
      </c>
      <c r="I205" s="604">
        <v>159</v>
      </c>
      <c r="J205" s="328">
        <v>220</v>
      </c>
      <c r="K205" s="328">
        <v>495</v>
      </c>
      <c r="L205" s="328">
        <v>527</v>
      </c>
    </row>
    <row r="206" spans="1:13" s="263" customFormat="1" ht="9" customHeight="1" x14ac:dyDescent="0.25">
      <c r="A206" s="263" t="s">
        <v>63</v>
      </c>
      <c r="B206" s="326">
        <f t="shared" si="20"/>
        <v>21357</v>
      </c>
      <c r="C206" s="600">
        <v>7030</v>
      </c>
      <c r="D206" s="326"/>
      <c r="E206" s="600">
        <f t="shared" si="21"/>
        <v>14327</v>
      </c>
      <c r="F206" s="326"/>
      <c r="G206" s="326">
        <f t="shared" si="22"/>
        <v>6829</v>
      </c>
      <c r="H206" s="600">
        <v>6157</v>
      </c>
      <c r="I206" s="600">
        <v>672</v>
      </c>
      <c r="J206" s="326">
        <v>856</v>
      </c>
      <c r="K206" s="326">
        <v>3841</v>
      </c>
      <c r="L206" s="326">
        <v>2801</v>
      </c>
    </row>
    <row r="207" spans="1:13" s="263" customFormat="1" ht="9" customHeight="1" x14ac:dyDescent="0.25">
      <c r="A207" s="263" t="s">
        <v>31</v>
      </c>
      <c r="B207" s="326">
        <f t="shared" si="20"/>
        <v>426</v>
      </c>
      <c r="C207" s="600">
        <v>50</v>
      </c>
      <c r="D207" s="326"/>
      <c r="E207" s="600">
        <f t="shared" si="21"/>
        <v>376</v>
      </c>
      <c r="F207" s="326"/>
      <c r="G207" s="326">
        <f t="shared" si="22"/>
        <v>226</v>
      </c>
      <c r="H207" s="600">
        <v>218</v>
      </c>
      <c r="I207" s="600">
        <v>8</v>
      </c>
      <c r="J207" s="263">
        <v>15</v>
      </c>
      <c r="K207" s="326">
        <v>47</v>
      </c>
      <c r="L207" s="326">
        <v>88</v>
      </c>
    </row>
    <row r="208" spans="1:13" s="263" customFormat="1" ht="9" customHeight="1" x14ac:dyDescent="0.25">
      <c r="A208" s="263" t="s">
        <v>32</v>
      </c>
      <c r="B208" s="326">
        <f t="shared" si="20"/>
        <v>3333</v>
      </c>
      <c r="C208" s="600">
        <v>330</v>
      </c>
      <c r="D208" s="326"/>
      <c r="E208" s="600">
        <f t="shared" si="21"/>
        <v>3003</v>
      </c>
      <c r="F208" s="326"/>
      <c r="G208" s="326">
        <f t="shared" si="22"/>
        <v>1686</v>
      </c>
      <c r="H208" s="600">
        <v>1603</v>
      </c>
      <c r="I208" s="600">
        <v>83</v>
      </c>
      <c r="J208" s="326">
        <v>180</v>
      </c>
      <c r="K208" s="326">
        <v>585</v>
      </c>
      <c r="L208" s="326">
        <v>552</v>
      </c>
    </row>
    <row r="209" spans="1:12" s="263" customFormat="1" ht="9" customHeight="1" x14ac:dyDescent="0.25">
      <c r="A209" s="267" t="s">
        <v>33</v>
      </c>
      <c r="B209" s="328">
        <f t="shared" si="20"/>
        <v>974</v>
      </c>
      <c r="C209" s="604">
        <v>295</v>
      </c>
      <c r="D209" s="328"/>
      <c r="E209" s="604">
        <f t="shared" si="21"/>
        <v>679</v>
      </c>
      <c r="F209" s="328"/>
      <c r="G209" s="328">
        <f t="shared" si="22"/>
        <v>442</v>
      </c>
      <c r="H209" s="604">
        <v>401</v>
      </c>
      <c r="I209" s="604">
        <v>41</v>
      </c>
      <c r="J209" s="328">
        <v>38</v>
      </c>
      <c r="K209" s="328">
        <v>75</v>
      </c>
      <c r="L209" s="328">
        <v>124</v>
      </c>
    </row>
    <row r="210" spans="1:12" s="263" customFormat="1" ht="9" customHeight="1" x14ac:dyDescent="0.25">
      <c r="A210" s="263" t="s">
        <v>34</v>
      </c>
      <c r="B210" s="326">
        <f t="shared" si="20"/>
        <v>1191</v>
      </c>
      <c r="C210" s="600">
        <v>509</v>
      </c>
      <c r="D210" s="326"/>
      <c r="E210" s="600">
        <f t="shared" si="21"/>
        <v>682</v>
      </c>
      <c r="F210" s="326"/>
      <c r="G210" s="326">
        <f t="shared" si="22"/>
        <v>399</v>
      </c>
      <c r="H210" s="600">
        <v>378</v>
      </c>
      <c r="I210" s="600">
        <v>21</v>
      </c>
      <c r="J210" s="326">
        <v>38</v>
      </c>
      <c r="K210" s="326">
        <v>95</v>
      </c>
      <c r="L210" s="326">
        <v>150</v>
      </c>
    </row>
    <row r="211" spans="1:12" s="263" customFormat="1" ht="9" customHeight="1" x14ac:dyDescent="0.25">
      <c r="A211" s="263" t="s">
        <v>35</v>
      </c>
      <c r="B211" s="326">
        <f t="shared" si="20"/>
        <v>5418</v>
      </c>
      <c r="C211" s="600">
        <v>1282</v>
      </c>
      <c r="D211" s="326"/>
      <c r="E211" s="600">
        <f t="shared" si="21"/>
        <v>4136</v>
      </c>
      <c r="F211" s="326"/>
      <c r="G211" s="326">
        <f t="shared" si="22"/>
        <v>2130</v>
      </c>
      <c r="H211" s="600">
        <v>1907</v>
      </c>
      <c r="I211" s="600">
        <v>223</v>
      </c>
      <c r="J211" s="326">
        <v>266</v>
      </c>
      <c r="K211" s="326">
        <v>778</v>
      </c>
      <c r="L211" s="326">
        <v>962</v>
      </c>
    </row>
    <row r="212" spans="1:12" s="263" customFormat="1" ht="9" customHeight="1" x14ac:dyDescent="0.25">
      <c r="A212" s="263" t="s">
        <v>36</v>
      </c>
      <c r="B212" s="326">
        <f t="shared" si="20"/>
        <v>7753</v>
      </c>
      <c r="C212" s="600">
        <v>3881</v>
      </c>
      <c r="D212" s="326"/>
      <c r="E212" s="600">
        <f t="shared" si="21"/>
        <v>3872</v>
      </c>
      <c r="F212" s="326"/>
      <c r="G212" s="326">
        <f t="shared" si="22"/>
        <v>2324</v>
      </c>
      <c r="H212" s="600">
        <v>2230</v>
      </c>
      <c r="I212" s="600">
        <v>94</v>
      </c>
      <c r="J212" s="326">
        <v>237</v>
      </c>
      <c r="K212" s="326">
        <v>666</v>
      </c>
      <c r="L212" s="326">
        <v>645</v>
      </c>
    </row>
    <row r="213" spans="1:12" s="263" customFormat="1" ht="9" customHeight="1" x14ac:dyDescent="0.25">
      <c r="A213" s="267" t="s">
        <v>37</v>
      </c>
      <c r="B213" s="328">
        <f t="shared" si="20"/>
        <v>1740</v>
      </c>
      <c r="C213" s="604">
        <v>275</v>
      </c>
      <c r="D213" s="328"/>
      <c r="E213" s="604">
        <f t="shared" si="21"/>
        <v>1465</v>
      </c>
      <c r="F213" s="328"/>
      <c r="G213" s="328">
        <f t="shared" si="22"/>
        <v>792</v>
      </c>
      <c r="H213" s="604">
        <v>760</v>
      </c>
      <c r="I213" s="604">
        <v>32</v>
      </c>
      <c r="J213" s="328">
        <v>42</v>
      </c>
      <c r="K213" s="328">
        <v>258</v>
      </c>
      <c r="L213" s="328">
        <v>373</v>
      </c>
    </row>
    <row r="214" spans="1:12" s="263" customFormat="1" ht="9" customHeight="1" x14ac:dyDescent="0.25">
      <c r="A214" s="263" t="s">
        <v>38</v>
      </c>
      <c r="B214" s="326">
        <f t="shared" si="20"/>
        <v>1064</v>
      </c>
      <c r="C214" s="600">
        <v>322</v>
      </c>
      <c r="D214" s="326"/>
      <c r="E214" s="600">
        <f t="shared" si="21"/>
        <v>742</v>
      </c>
      <c r="F214" s="326"/>
      <c r="G214" s="326">
        <f t="shared" si="22"/>
        <v>413</v>
      </c>
      <c r="H214" s="600">
        <v>404</v>
      </c>
      <c r="I214" s="600">
        <v>9</v>
      </c>
      <c r="J214" s="326">
        <v>34</v>
      </c>
      <c r="K214" s="326">
        <v>123</v>
      </c>
      <c r="L214" s="326">
        <v>172</v>
      </c>
    </row>
    <row r="215" spans="1:12" s="263" customFormat="1" ht="9" customHeight="1" x14ac:dyDescent="0.25">
      <c r="A215" s="263" t="s">
        <v>39</v>
      </c>
      <c r="B215" s="326">
        <f t="shared" si="20"/>
        <v>339</v>
      </c>
      <c r="C215" s="600">
        <v>159</v>
      </c>
      <c r="D215" s="326"/>
      <c r="E215" s="600">
        <f t="shared" si="21"/>
        <v>180</v>
      </c>
      <c r="F215" s="326"/>
      <c r="G215" s="326">
        <f t="shared" si="22"/>
        <v>109</v>
      </c>
      <c r="H215" s="600">
        <v>83</v>
      </c>
      <c r="I215" s="600">
        <v>26</v>
      </c>
      <c r="J215" s="326">
        <v>32</v>
      </c>
      <c r="K215" s="326">
        <v>25</v>
      </c>
      <c r="L215" s="326">
        <v>14</v>
      </c>
    </row>
    <row r="216" spans="1:12" s="263" customFormat="1" ht="9" customHeight="1" x14ac:dyDescent="0.25">
      <c r="A216" s="263" t="s">
        <v>40</v>
      </c>
      <c r="B216" s="326">
        <f t="shared" si="20"/>
        <v>6616</v>
      </c>
      <c r="C216" s="600">
        <v>929</v>
      </c>
      <c r="D216" s="326"/>
      <c r="E216" s="600">
        <f t="shared" si="21"/>
        <v>5687</v>
      </c>
      <c r="F216" s="326"/>
      <c r="G216" s="326">
        <f t="shared" si="22"/>
        <v>3010</v>
      </c>
      <c r="H216" s="600">
        <v>2552</v>
      </c>
      <c r="I216" s="600">
        <v>458</v>
      </c>
      <c r="J216" s="326">
        <v>411</v>
      </c>
      <c r="K216" s="326">
        <v>1246</v>
      </c>
      <c r="L216" s="326">
        <v>1020</v>
      </c>
    </row>
    <row r="217" spans="1:12" s="263" customFormat="1" ht="9" customHeight="1" x14ac:dyDescent="0.25">
      <c r="A217" s="267" t="s">
        <v>41</v>
      </c>
      <c r="B217" s="328">
        <f t="shared" si="20"/>
        <v>790</v>
      </c>
      <c r="C217" s="604">
        <v>326</v>
      </c>
      <c r="D217" s="328"/>
      <c r="E217" s="604">
        <f t="shared" si="21"/>
        <v>464</v>
      </c>
      <c r="F217" s="328"/>
      <c r="G217" s="328">
        <f t="shared" si="22"/>
        <v>276</v>
      </c>
      <c r="H217" s="604">
        <v>258</v>
      </c>
      <c r="I217" s="604">
        <v>18</v>
      </c>
      <c r="J217" s="328">
        <v>29</v>
      </c>
      <c r="K217" s="328">
        <v>68</v>
      </c>
      <c r="L217" s="328">
        <v>91</v>
      </c>
    </row>
    <row r="218" spans="1:12" s="263" customFormat="1" ht="9" customHeight="1" x14ac:dyDescent="0.25">
      <c r="A218" s="263" t="s">
        <v>42</v>
      </c>
      <c r="B218" s="326">
        <f t="shared" si="20"/>
        <v>2453</v>
      </c>
      <c r="C218" s="600">
        <v>175</v>
      </c>
      <c r="D218" s="326"/>
      <c r="E218" s="600">
        <f t="shared" si="21"/>
        <v>2278</v>
      </c>
      <c r="F218" s="326"/>
      <c r="G218" s="326">
        <f t="shared" si="22"/>
        <v>1289</v>
      </c>
      <c r="H218" s="600">
        <v>1246</v>
      </c>
      <c r="I218" s="600">
        <v>43</v>
      </c>
      <c r="J218" s="326">
        <v>120</v>
      </c>
      <c r="K218" s="326">
        <v>339</v>
      </c>
      <c r="L218" s="326">
        <v>530</v>
      </c>
    </row>
    <row r="219" spans="1:12" s="263" customFormat="1" ht="9" customHeight="1" x14ac:dyDescent="0.25">
      <c r="A219" s="263" t="s">
        <v>43</v>
      </c>
      <c r="B219" s="326">
        <f t="shared" si="20"/>
        <v>1181</v>
      </c>
      <c r="C219" s="600">
        <v>318</v>
      </c>
      <c r="D219" s="326"/>
      <c r="E219" s="600">
        <f t="shared" si="21"/>
        <v>863</v>
      </c>
      <c r="F219" s="326"/>
      <c r="G219" s="326">
        <f t="shared" si="22"/>
        <v>414</v>
      </c>
      <c r="H219" s="600">
        <v>397</v>
      </c>
      <c r="I219" s="600">
        <v>17</v>
      </c>
      <c r="J219" s="326">
        <v>40</v>
      </c>
      <c r="K219" s="326">
        <v>181</v>
      </c>
      <c r="L219" s="326">
        <v>228</v>
      </c>
    </row>
    <row r="220" spans="1:12" s="263" customFormat="1" ht="9" customHeight="1" x14ac:dyDescent="0.25">
      <c r="A220" s="263" t="s">
        <v>44</v>
      </c>
      <c r="B220" s="326">
        <f t="shared" si="20"/>
        <v>493</v>
      </c>
      <c r="C220" s="600">
        <v>38</v>
      </c>
      <c r="D220" s="326"/>
      <c r="E220" s="600">
        <f t="shared" si="21"/>
        <v>455</v>
      </c>
      <c r="F220" s="326"/>
      <c r="G220" s="326">
        <f t="shared" si="22"/>
        <v>208</v>
      </c>
      <c r="H220" s="600">
        <v>187</v>
      </c>
      <c r="I220" s="600">
        <v>21</v>
      </c>
      <c r="J220" s="326">
        <v>46</v>
      </c>
      <c r="K220" s="326">
        <v>88</v>
      </c>
      <c r="L220" s="326">
        <v>113</v>
      </c>
    </row>
    <row r="221" spans="1:12" s="263" customFormat="1" ht="9" customHeight="1" x14ac:dyDescent="0.25">
      <c r="A221" s="267" t="s">
        <v>45</v>
      </c>
      <c r="B221" s="328">
        <f t="shared" si="20"/>
        <v>1531</v>
      </c>
      <c r="C221" s="604">
        <v>56</v>
      </c>
      <c r="D221" s="328"/>
      <c r="E221" s="604">
        <f t="shared" si="21"/>
        <v>1475</v>
      </c>
      <c r="F221" s="328"/>
      <c r="G221" s="328">
        <f t="shared" si="22"/>
        <v>684</v>
      </c>
      <c r="H221" s="604">
        <v>649</v>
      </c>
      <c r="I221" s="604">
        <v>35</v>
      </c>
      <c r="J221" s="328">
        <v>126</v>
      </c>
      <c r="K221" s="328">
        <v>259</v>
      </c>
      <c r="L221" s="328">
        <v>406</v>
      </c>
    </row>
    <row r="222" spans="1:12" s="263" customFormat="1" ht="9" customHeight="1" x14ac:dyDescent="0.25">
      <c r="A222" s="263" t="s">
        <v>46</v>
      </c>
      <c r="B222" s="326">
        <f t="shared" si="20"/>
        <v>1344</v>
      </c>
      <c r="C222" s="600">
        <v>297</v>
      </c>
      <c r="D222" s="326"/>
      <c r="E222" s="600">
        <f t="shared" si="21"/>
        <v>1047</v>
      </c>
      <c r="F222" s="326"/>
      <c r="G222" s="326">
        <f t="shared" si="22"/>
        <v>600</v>
      </c>
      <c r="H222" s="600">
        <v>543</v>
      </c>
      <c r="I222" s="600">
        <v>57</v>
      </c>
      <c r="J222" s="326">
        <v>53</v>
      </c>
      <c r="K222" s="326">
        <v>165</v>
      </c>
      <c r="L222" s="326">
        <v>229</v>
      </c>
    </row>
    <row r="223" spans="1:12" s="263" customFormat="1" ht="9" customHeight="1" x14ac:dyDescent="0.25">
      <c r="A223" s="263" t="s">
        <v>47</v>
      </c>
      <c r="B223" s="326">
        <f t="shared" si="20"/>
        <v>2259</v>
      </c>
      <c r="C223" s="600">
        <v>651</v>
      </c>
      <c r="D223" s="326"/>
      <c r="E223" s="600">
        <f t="shared" si="21"/>
        <v>1608</v>
      </c>
      <c r="F223" s="326"/>
      <c r="G223" s="326">
        <f t="shared" si="22"/>
        <v>853</v>
      </c>
      <c r="H223" s="600">
        <v>825</v>
      </c>
      <c r="I223" s="600">
        <v>28</v>
      </c>
      <c r="J223" s="326">
        <v>53</v>
      </c>
      <c r="K223" s="326">
        <v>270</v>
      </c>
      <c r="L223" s="326">
        <v>432</v>
      </c>
    </row>
    <row r="224" spans="1:12" s="263" customFormat="1" ht="9" customHeight="1" x14ac:dyDescent="0.25">
      <c r="A224" s="263" t="s">
        <v>48</v>
      </c>
      <c r="B224" s="326">
        <f t="shared" si="20"/>
        <v>772</v>
      </c>
      <c r="C224" s="600">
        <v>342</v>
      </c>
      <c r="D224" s="326"/>
      <c r="E224" s="600">
        <f t="shared" si="21"/>
        <v>430</v>
      </c>
      <c r="F224" s="326"/>
      <c r="G224" s="326">
        <f t="shared" si="22"/>
        <v>265</v>
      </c>
      <c r="H224" s="600">
        <v>227</v>
      </c>
      <c r="I224" s="600">
        <v>38</v>
      </c>
      <c r="J224" s="326">
        <v>27</v>
      </c>
      <c r="K224" s="326">
        <v>67</v>
      </c>
      <c r="L224" s="326">
        <v>71</v>
      </c>
    </row>
    <row r="225" spans="1:12" s="263" customFormat="1" ht="9" customHeight="1" x14ac:dyDescent="0.25">
      <c r="A225" s="267" t="s">
        <v>49</v>
      </c>
      <c r="B225" s="328">
        <f t="shared" si="20"/>
        <v>2307</v>
      </c>
      <c r="C225" s="604">
        <v>742</v>
      </c>
      <c r="D225" s="328"/>
      <c r="E225" s="604">
        <f t="shared" si="21"/>
        <v>1565</v>
      </c>
      <c r="F225" s="328"/>
      <c r="G225" s="328">
        <f t="shared" si="22"/>
        <v>840</v>
      </c>
      <c r="H225" s="604">
        <v>757</v>
      </c>
      <c r="I225" s="604">
        <v>83</v>
      </c>
      <c r="J225" s="328">
        <v>69</v>
      </c>
      <c r="K225" s="328">
        <v>268</v>
      </c>
      <c r="L225" s="328">
        <v>388</v>
      </c>
    </row>
    <row r="226" spans="1:12" s="263" customFormat="1" ht="9" customHeight="1" x14ac:dyDescent="0.25">
      <c r="A226" s="263" t="s">
        <v>50</v>
      </c>
      <c r="B226" s="326">
        <f t="shared" si="20"/>
        <v>555</v>
      </c>
      <c r="C226" s="600">
        <v>305</v>
      </c>
      <c r="D226" s="326"/>
      <c r="E226" s="600">
        <f t="shared" si="21"/>
        <v>250</v>
      </c>
      <c r="F226" s="326"/>
      <c r="G226" s="326">
        <f t="shared" si="22"/>
        <v>147</v>
      </c>
      <c r="H226" s="600">
        <v>145</v>
      </c>
      <c r="I226" s="600">
        <v>2</v>
      </c>
      <c r="J226" s="326">
        <v>6</v>
      </c>
      <c r="K226" s="326">
        <v>39</v>
      </c>
      <c r="L226" s="326">
        <v>58</v>
      </c>
    </row>
    <row r="227" spans="1:12" s="263" customFormat="1" ht="9" customHeight="1" x14ac:dyDescent="0.25">
      <c r="A227" s="263" t="s">
        <v>51</v>
      </c>
      <c r="B227" s="326">
        <f t="shared" si="20"/>
        <v>2162</v>
      </c>
      <c r="C227" s="600">
        <v>772</v>
      </c>
      <c r="D227" s="326"/>
      <c r="E227" s="600">
        <f t="shared" si="21"/>
        <v>1390</v>
      </c>
      <c r="F227" s="326"/>
      <c r="G227" s="326">
        <f t="shared" si="22"/>
        <v>773</v>
      </c>
      <c r="H227" s="600">
        <v>744</v>
      </c>
      <c r="I227" s="600">
        <v>29</v>
      </c>
      <c r="J227" s="326">
        <v>92</v>
      </c>
      <c r="K227" s="326">
        <v>237</v>
      </c>
      <c r="L227" s="326">
        <v>288</v>
      </c>
    </row>
    <row r="228" spans="1:12" s="263" customFormat="1" ht="9" customHeight="1" x14ac:dyDescent="0.25">
      <c r="A228" s="263" t="s">
        <v>52</v>
      </c>
      <c r="B228" s="326">
        <f t="shared" si="20"/>
        <v>1817</v>
      </c>
      <c r="C228" s="600">
        <v>718</v>
      </c>
      <c r="D228" s="326"/>
      <c r="E228" s="600">
        <f t="shared" si="21"/>
        <v>1099</v>
      </c>
      <c r="F228" s="326"/>
      <c r="G228" s="326">
        <f t="shared" si="22"/>
        <v>551</v>
      </c>
      <c r="H228" s="600">
        <v>519</v>
      </c>
      <c r="I228" s="600">
        <v>32</v>
      </c>
      <c r="J228" s="326">
        <v>42</v>
      </c>
      <c r="K228" s="326">
        <v>197</v>
      </c>
      <c r="L228" s="326">
        <v>309</v>
      </c>
    </row>
    <row r="229" spans="1:12" s="263" customFormat="1" ht="9" customHeight="1" x14ac:dyDescent="0.25">
      <c r="A229" s="267" t="s">
        <v>53</v>
      </c>
      <c r="B229" s="328">
        <f t="shared" si="20"/>
        <v>859</v>
      </c>
      <c r="C229" s="604">
        <v>400</v>
      </c>
      <c r="D229" s="328"/>
      <c r="E229" s="604">
        <f t="shared" si="21"/>
        <v>459</v>
      </c>
      <c r="F229" s="328"/>
      <c r="G229" s="328">
        <f t="shared" si="22"/>
        <v>253</v>
      </c>
      <c r="H229" s="604">
        <v>227</v>
      </c>
      <c r="I229" s="604">
        <v>26</v>
      </c>
      <c r="J229" s="328">
        <v>32</v>
      </c>
      <c r="K229" s="328">
        <v>55</v>
      </c>
      <c r="L229" s="328">
        <v>119</v>
      </c>
    </row>
    <row r="230" spans="1:12" s="263" customFormat="1" ht="9" customHeight="1" x14ac:dyDescent="0.25">
      <c r="B230" s="262"/>
      <c r="C230" s="262"/>
      <c r="D230" s="262"/>
      <c r="E230" s="262"/>
      <c r="F230" s="262"/>
      <c r="G230" s="262"/>
      <c r="H230" s="262"/>
      <c r="I230" s="262"/>
      <c r="J230" s="262"/>
      <c r="K230" s="262"/>
      <c r="L230" s="262"/>
    </row>
    <row r="231" spans="1:12" s="263" customFormat="1" ht="9" customHeight="1" x14ac:dyDescent="0.25">
      <c r="A231" s="261">
        <v>2001</v>
      </c>
      <c r="B231" s="262"/>
      <c r="C231" s="262"/>
      <c r="D231" s="262"/>
      <c r="E231" s="262"/>
      <c r="F231" s="262"/>
      <c r="G231" s="262"/>
      <c r="H231" s="262"/>
      <c r="I231" s="262"/>
      <c r="J231" s="262"/>
      <c r="K231" s="262"/>
      <c r="L231" s="262"/>
    </row>
    <row r="232" spans="1:12" s="263" customFormat="1" ht="9" customHeight="1" x14ac:dyDescent="0.25">
      <c r="A232" s="265" t="s">
        <v>21</v>
      </c>
      <c r="B232" s="325" t="s">
        <v>22</v>
      </c>
      <c r="C232" s="325" t="s">
        <v>22</v>
      </c>
      <c r="D232" s="325"/>
      <c r="E232" s="325">
        <f>SUM(E234:E265)</f>
        <v>61750</v>
      </c>
      <c r="F232" s="325"/>
      <c r="G232" s="325">
        <f t="shared" ref="G232:L232" si="23">SUM(G234:G265)</f>
        <v>33070</v>
      </c>
      <c r="H232" s="325">
        <f t="shared" si="23"/>
        <v>30343</v>
      </c>
      <c r="I232" s="325">
        <f t="shared" si="23"/>
        <v>2727</v>
      </c>
      <c r="J232" s="325">
        <f t="shared" si="23"/>
        <v>4018</v>
      </c>
      <c r="K232" s="325">
        <f t="shared" si="23"/>
        <v>12140</v>
      </c>
      <c r="L232" s="325">
        <f t="shared" si="23"/>
        <v>12522</v>
      </c>
    </row>
    <row r="233" spans="1:12" s="263" customFormat="1" ht="3" customHeight="1" x14ac:dyDescent="0.25">
      <c r="A233" s="265"/>
      <c r="B233" s="325"/>
      <c r="C233" s="325"/>
      <c r="D233" s="325"/>
      <c r="E233" s="325"/>
      <c r="F233" s="325"/>
      <c r="G233" s="325"/>
      <c r="H233" s="325"/>
      <c r="I233" s="325"/>
      <c r="J233" s="325"/>
      <c r="K233" s="325"/>
      <c r="L233" s="325"/>
    </row>
    <row r="234" spans="1:12" s="263" customFormat="1" ht="9" customHeight="1" x14ac:dyDescent="0.25">
      <c r="A234" s="263" t="s">
        <v>23</v>
      </c>
      <c r="B234" s="598" t="s">
        <v>22</v>
      </c>
      <c r="C234" s="598" t="s">
        <v>22</v>
      </c>
      <c r="D234" s="326"/>
      <c r="E234" s="600">
        <f>SUM(G234+J234+K234+L234)</f>
        <v>645</v>
      </c>
      <c r="F234" s="326"/>
      <c r="G234" s="326">
        <f>SUM(H234:I234)</f>
        <v>286</v>
      </c>
      <c r="H234" s="600">
        <v>263</v>
      </c>
      <c r="I234" s="600">
        <v>23</v>
      </c>
      <c r="J234" s="326">
        <v>34</v>
      </c>
      <c r="K234" s="326">
        <v>138</v>
      </c>
      <c r="L234" s="326">
        <v>187</v>
      </c>
    </row>
    <row r="235" spans="1:12" s="263" customFormat="1" ht="9" customHeight="1" x14ac:dyDescent="0.25">
      <c r="A235" s="263" t="s">
        <v>24</v>
      </c>
      <c r="B235" s="598" t="s">
        <v>22</v>
      </c>
      <c r="C235" s="598" t="s">
        <v>22</v>
      </c>
      <c r="D235" s="326"/>
      <c r="E235" s="598" t="s">
        <v>22</v>
      </c>
      <c r="F235" s="598"/>
      <c r="G235" s="598" t="s">
        <v>22</v>
      </c>
      <c r="H235" s="598" t="s">
        <v>22</v>
      </c>
      <c r="I235" s="598" t="s">
        <v>22</v>
      </c>
      <c r="J235" s="598" t="s">
        <v>22</v>
      </c>
      <c r="K235" s="598" t="s">
        <v>22</v>
      </c>
      <c r="L235" s="598" t="s">
        <v>22</v>
      </c>
    </row>
    <row r="236" spans="1:12" s="263" customFormat="1" ht="9" customHeight="1" x14ac:dyDescent="0.25">
      <c r="A236" s="263" t="s">
        <v>25</v>
      </c>
      <c r="B236" s="598" t="s">
        <v>22</v>
      </c>
      <c r="C236" s="598" t="s">
        <v>22</v>
      </c>
      <c r="D236" s="326"/>
      <c r="E236" s="600">
        <f t="shared" ref="E236:E265" si="24">SUM(G236+J236+K236+L236)</f>
        <v>172</v>
      </c>
      <c r="F236" s="326"/>
      <c r="G236" s="326">
        <f t="shared" ref="G236:G265" si="25">SUM(H236:I236)</f>
        <v>90</v>
      </c>
      <c r="H236" s="600">
        <v>90</v>
      </c>
      <c r="I236" s="600">
        <v>0</v>
      </c>
      <c r="J236" s="326">
        <v>3</v>
      </c>
      <c r="K236" s="326">
        <v>43</v>
      </c>
      <c r="L236" s="326">
        <v>36</v>
      </c>
    </row>
    <row r="237" spans="1:12" s="263" customFormat="1" ht="9" customHeight="1" x14ac:dyDescent="0.25">
      <c r="A237" s="267" t="s">
        <v>26</v>
      </c>
      <c r="B237" s="599" t="s">
        <v>22</v>
      </c>
      <c r="C237" s="599" t="s">
        <v>22</v>
      </c>
      <c r="D237" s="328"/>
      <c r="E237" s="604">
        <f t="shared" si="24"/>
        <v>165</v>
      </c>
      <c r="F237" s="328"/>
      <c r="G237" s="328">
        <f t="shared" si="25"/>
        <v>73</v>
      </c>
      <c r="H237" s="604">
        <v>67</v>
      </c>
      <c r="I237" s="604">
        <v>6</v>
      </c>
      <c r="J237" s="328">
        <v>5</v>
      </c>
      <c r="K237" s="328">
        <v>16</v>
      </c>
      <c r="L237" s="328">
        <v>71</v>
      </c>
    </row>
    <row r="238" spans="1:12" s="263" customFormat="1" ht="9" customHeight="1" x14ac:dyDescent="0.25">
      <c r="A238" s="263" t="s">
        <v>27</v>
      </c>
      <c r="B238" s="598" t="s">
        <v>22</v>
      </c>
      <c r="C238" s="598" t="s">
        <v>22</v>
      </c>
      <c r="D238" s="326"/>
      <c r="E238" s="600">
        <f t="shared" si="24"/>
        <v>1567</v>
      </c>
      <c r="F238" s="326"/>
      <c r="G238" s="326">
        <f t="shared" si="25"/>
        <v>710</v>
      </c>
      <c r="H238" s="600">
        <v>655</v>
      </c>
      <c r="I238" s="600">
        <v>55</v>
      </c>
      <c r="J238" s="326">
        <v>77</v>
      </c>
      <c r="K238" s="326">
        <v>433</v>
      </c>
      <c r="L238" s="326">
        <v>347</v>
      </c>
    </row>
    <row r="239" spans="1:12" s="263" customFormat="1" ht="9" customHeight="1" x14ac:dyDescent="0.25">
      <c r="A239" s="263" t="s">
        <v>28</v>
      </c>
      <c r="B239" s="598" t="s">
        <v>22</v>
      </c>
      <c r="C239" s="598" t="s">
        <v>22</v>
      </c>
      <c r="D239" s="326"/>
      <c r="E239" s="600">
        <f t="shared" si="24"/>
        <v>285</v>
      </c>
      <c r="F239" s="326"/>
      <c r="G239" s="326">
        <f t="shared" si="25"/>
        <v>161</v>
      </c>
      <c r="H239" s="600">
        <v>156</v>
      </c>
      <c r="I239" s="600">
        <v>5</v>
      </c>
      <c r="J239" s="326">
        <v>18</v>
      </c>
      <c r="K239" s="326">
        <v>37</v>
      </c>
      <c r="L239" s="326">
        <v>69</v>
      </c>
    </row>
    <row r="240" spans="1:12" s="263" customFormat="1" ht="9" customHeight="1" x14ac:dyDescent="0.25">
      <c r="A240" s="263" t="s">
        <v>29</v>
      </c>
      <c r="B240" s="598" t="s">
        <v>22</v>
      </c>
      <c r="C240" s="598" t="s">
        <v>22</v>
      </c>
      <c r="D240" s="326"/>
      <c r="E240" s="600">
        <f t="shared" si="24"/>
        <v>776</v>
      </c>
      <c r="F240" s="326"/>
      <c r="G240" s="326">
        <f t="shared" si="25"/>
        <v>457</v>
      </c>
      <c r="H240" s="600">
        <v>445</v>
      </c>
      <c r="I240" s="600">
        <v>12</v>
      </c>
      <c r="J240" s="326">
        <v>15</v>
      </c>
      <c r="K240" s="326">
        <v>95</v>
      </c>
      <c r="L240" s="326">
        <v>209</v>
      </c>
    </row>
    <row r="241" spans="1:12" s="263" customFormat="1" ht="9" customHeight="1" x14ac:dyDescent="0.25">
      <c r="A241" s="267" t="s">
        <v>30</v>
      </c>
      <c r="B241" s="599" t="s">
        <v>22</v>
      </c>
      <c r="C241" s="599" t="s">
        <v>22</v>
      </c>
      <c r="D241" s="328"/>
      <c r="E241" s="604">
        <f t="shared" si="24"/>
        <v>2954</v>
      </c>
      <c r="F241" s="328"/>
      <c r="G241" s="328">
        <f t="shared" si="25"/>
        <v>1479</v>
      </c>
      <c r="H241" s="604">
        <v>1386</v>
      </c>
      <c r="I241" s="604">
        <v>93</v>
      </c>
      <c r="J241" s="328">
        <v>192</v>
      </c>
      <c r="K241" s="328">
        <v>669</v>
      </c>
      <c r="L241" s="328">
        <v>614</v>
      </c>
    </row>
    <row r="242" spans="1:12" s="263" customFormat="1" ht="9" customHeight="1" x14ac:dyDescent="0.25">
      <c r="A242" s="263" t="s">
        <v>63</v>
      </c>
      <c r="B242" s="598" t="s">
        <v>22</v>
      </c>
      <c r="C242" s="598" t="s">
        <v>22</v>
      </c>
      <c r="D242" s="326"/>
      <c r="E242" s="600">
        <f t="shared" si="24"/>
        <v>15425</v>
      </c>
      <c r="F242" s="326"/>
      <c r="G242" s="326">
        <f t="shared" si="25"/>
        <v>7492</v>
      </c>
      <c r="H242" s="600">
        <v>6407</v>
      </c>
      <c r="I242" s="600">
        <v>1085</v>
      </c>
      <c r="J242" s="326">
        <v>1546</v>
      </c>
      <c r="K242" s="326">
        <v>3688</v>
      </c>
      <c r="L242" s="326">
        <v>2699</v>
      </c>
    </row>
    <row r="243" spans="1:12" s="263" customFormat="1" ht="9" customHeight="1" x14ac:dyDescent="0.25">
      <c r="A243" s="263" t="s">
        <v>31</v>
      </c>
      <c r="B243" s="598" t="s">
        <v>22</v>
      </c>
      <c r="C243" s="598" t="s">
        <v>22</v>
      </c>
      <c r="D243" s="326"/>
      <c r="E243" s="600">
        <f t="shared" si="24"/>
        <v>387</v>
      </c>
      <c r="F243" s="326"/>
      <c r="G243" s="326">
        <f t="shared" si="25"/>
        <v>236</v>
      </c>
      <c r="H243" s="600">
        <v>233</v>
      </c>
      <c r="I243" s="600">
        <v>3</v>
      </c>
      <c r="J243" s="263">
        <v>11</v>
      </c>
      <c r="K243" s="326">
        <v>49</v>
      </c>
      <c r="L243" s="326">
        <v>91</v>
      </c>
    </row>
    <row r="244" spans="1:12" s="263" customFormat="1" ht="9" customHeight="1" x14ac:dyDescent="0.25">
      <c r="A244" s="263" t="s">
        <v>32</v>
      </c>
      <c r="B244" s="598" t="s">
        <v>22</v>
      </c>
      <c r="C244" s="598" t="s">
        <v>22</v>
      </c>
      <c r="D244" s="326"/>
      <c r="E244" s="600">
        <f t="shared" si="24"/>
        <v>3301</v>
      </c>
      <c r="F244" s="326"/>
      <c r="G244" s="326">
        <f t="shared" si="25"/>
        <v>1809</v>
      </c>
      <c r="H244" s="600">
        <v>1753</v>
      </c>
      <c r="I244" s="600">
        <v>56</v>
      </c>
      <c r="J244" s="326">
        <v>169</v>
      </c>
      <c r="K244" s="326">
        <v>584</v>
      </c>
      <c r="L244" s="326">
        <v>739</v>
      </c>
    </row>
    <row r="245" spans="1:12" s="263" customFormat="1" ht="9" customHeight="1" x14ac:dyDescent="0.25">
      <c r="A245" s="267" t="s">
        <v>33</v>
      </c>
      <c r="B245" s="599" t="s">
        <v>22</v>
      </c>
      <c r="C245" s="599" t="s">
        <v>22</v>
      </c>
      <c r="D245" s="328"/>
      <c r="E245" s="604">
        <f t="shared" si="24"/>
        <v>924</v>
      </c>
      <c r="F245" s="328"/>
      <c r="G245" s="328">
        <f t="shared" si="25"/>
        <v>560</v>
      </c>
      <c r="H245" s="604">
        <v>507</v>
      </c>
      <c r="I245" s="604">
        <v>53</v>
      </c>
      <c r="J245" s="328">
        <v>51</v>
      </c>
      <c r="K245" s="328">
        <v>111</v>
      </c>
      <c r="L245" s="328">
        <v>202</v>
      </c>
    </row>
    <row r="246" spans="1:12" s="263" customFormat="1" ht="9" customHeight="1" x14ac:dyDescent="0.25">
      <c r="A246" s="263" t="s">
        <v>34</v>
      </c>
      <c r="B246" s="598" t="s">
        <v>22</v>
      </c>
      <c r="C246" s="598" t="s">
        <v>22</v>
      </c>
      <c r="D246" s="326"/>
      <c r="E246" s="600">
        <f t="shared" si="24"/>
        <v>695</v>
      </c>
      <c r="F246" s="326"/>
      <c r="G246" s="326">
        <f t="shared" si="25"/>
        <v>417</v>
      </c>
      <c r="H246" s="600">
        <v>396</v>
      </c>
      <c r="I246" s="600">
        <v>21</v>
      </c>
      <c r="J246" s="326">
        <v>23</v>
      </c>
      <c r="K246" s="326">
        <v>87</v>
      </c>
      <c r="L246" s="326">
        <v>168</v>
      </c>
    </row>
    <row r="247" spans="1:12" s="263" customFormat="1" ht="9" customHeight="1" x14ac:dyDescent="0.25">
      <c r="A247" s="263" t="s">
        <v>35</v>
      </c>
      <c r="B247" s="598" t="s">
        <v>22</v>
      </c>
      <c r="C247" s="598" t="s">
        <v>22</v>
      </c>
      <c r="D247" s="326"/>
      <c r="E247" s="600">
        <f t="shared" si="24"/>
        <v>4520</v>
      </c>
      <c r="F247" s="326"/>
      <c r="G247" s="326">
        <f t="shared" si="25"/>
        <v>2355</v>
      </c>
      <c r="H247" s="600">
        <v>2082</v>
      </c>
      <c r="I247" s="600">
        <v>273</v>
      </c>
      <c r="J247" s="326">
        <v>281</v>
      </c>
      <c r="K247" s="326">
        <v>854</v>
      </c>
      <c r="L247" s="326">
        <v>1030</v>
      </c>
    </row>
    <row r="248" spans="1:12" s="263" customFormat="1" ht="9" customHeight="1" x14ac:dyDescent="0.25">
      <c r="A248" s="263" t="s">
        <v>36</v>
      </c>
      <c r="B248" s="598" t="s">
        <v>22</v>
      </c>
      <c r="C248" s="598" t="s">
        <v>22</v>
      </c>
      <c r="D248" s="326"/>
      <c r="E248" s="600">
        <f t="shared" si="24"/>
        <v>6269</v>
      </c>
      <c r="F248" s="326"/>
      <c r="G248" s="326">
        <f t="shared" si="25"/>
        <v>3684</v>
      </c>
      <c r="H248" s="600">
        <v>3457</v>
      </c>
      <c r="I248" s="600">
        <v>227</v>
      </c>
      <c r="J248" s="326">
        <v>357</v>
      </c>
      <c r="K248" s="326">
        <v>1132</v>
      </c>
      <c r="L248" s="326">
        <v>1096</v>
      </c>
    </row>
    <row r="249" spans="1:12" s="263" customFormat="1" ht="9" customHeight="1" x14ac:dyDescent="0.25">
      <c r="A249" s="267" t="s">
        <v>37</v>
      </c>
      <c r="B249" s="599" t="s">
        <v>22</v>
      </c>
      <c r="C249" s="599" t="s">
        <v>22</v>
      </c>
      <c r="D249" s="328"/>
      <c r="E249" s="604">
        <f t="shared" si="24"/>
        <v>2386</v>
      </c>
      <c r="F249" s="328"/>
      <c r="G249" s="328">
        <f t="shared" si="25"/>
        <v>1395</v>
      </c>
      <c r="H249" s="604">
        <v>1339</v>
      </c>
      <c r="I249" s="604">
        <v>56</v>
      </c>
      <c r="J249" s="328">
        <v>86</v>
      </c>
      <c r="K249" s="328">
        <v>362</v>
      </c>
      <c r="L249" s="328">
        <v>543</v>
      </c>
    </row>
    <row r="250" spans="1:12" s="263" customFormat="1" ht="9" customHeight="1" x14ac:dyDescent="0.25">
      <c r="A250" s="263" t="s">
        <v>38</v>
      </c>
      <c r="B250" s="598" t="s">
        <v>22</v>
      </c>
      <c r="C250" s="598" t="s">
        <v>22</v>
      </c>
      <c r="D250" s="326"/>
      <c r="E250" s="600">
        <f t="shared" si="24"/>
        <v>769</v>
      </c>
      <c r="F250" s="326"/>
      <c r="G250" s="326">
        <f t="shared" si="25"/>
        <v>427</v>
      </c>
      <c r="H250" s="600">
        <v>422</v>
      </c>
      <c r="I250" s="600">
        <v>5</v>
      </c>
      <c r="J250" s="326">
        <v>22</v>
      </c>
      <c r="K250" s="326">
        <v>144</v>
      </c>
      <c r="L250" s="326">
        <v>176</v>
      </c>
    </row>
    <row r="251" spans="1:12" s="263" customFormat="1" ht="9" customHeight="1" x14ac:dyDescent="0.25">
      <c r="A251" s="263" t="s">
        <v>39</v>
      </c>
      <c r="B251" s="598" t="s">
        <v>22</v>
      </c>
      <c r="C251" s="598" t="s">
        <v>22</v>
      </c>
      <c r="D251" s="326"/>
      <c r="E251" s="600">
        <f t="shared" si="24"/>
        <v>230</v>
      </c>
      <c r="F251" s="326"/>
      <c r="G251" s="326">
        <f t="shared" si="25"/>
        <v>131</v>
      </c>
      <c r="H251" s="600">
        <v>124</v>
      </c>
      <c r="I251" s="600">
        <v>7</v>
      </c>
      <c r="J251" s="326">
        <v>26</v>
      </c>
      <c r="K251" s="326">
        <v>37</v>
      </c>
      <c r="L251" s="326">
        <v>36</v>
      </c>
    </row>
    <row r="252" spans="1:12" s="263" customFormat="1" ht="9" customHeight="1" x14ac:dyDescent="0.25">
      <c r="A252" s="263" t="s">
        <v>40</v>
      </c>
      <c r="B252" s="598" t="s">
        <v>22</v>
      </c>
      <c r="C252" s="598" t="s">
        <v>22</v>
      </c>
      <c r="D252" s="326"/>
      <c r="E252" s="600">
        <f t="shared" si="24"/>
        <v>5525</v>
      </c>
      <c r="F252" s="326"/>
      <c r="G252" s="326">
        <f t="shared" si="25"/>
        <v>2835</v>
      </c>
      <c r="H252" s="600">
        <v>2577</v>
      </c>
      <c r="I252" s="600">
        <v>258</v>
      </c>
      <c r="J252" s="326">
        <v>453</v>
      </c>
      <c r="K252" s="326">
        <v>1248</v>
      </c>
      <c r="L252" s="326">
        <v>989</v>
      </c>
    </row>
    <row r="253" spans="1:12" s="263" customFormat="1" ht="9" customHeight="1" x14ac:dyDescent="0.25">
      <c r="A253" s="267" t="s">
        <v>41</v>
      </c>
      <c r="B253" s="599" t="s">
        <v>22</v>
      </c>
      <c r="C253" s="599" t="s">
        <v>22</v>
      </c>
      <c r="D253" s="328"/>
      <c r="E253" s="604">
        <f t="shared" si="24"/>
        <v>751</v>
      </c>
      <c r="F253" s="328"/>
      <c r="G253" s="328">
        <f t="shared" si="25"/>
        <v>488</v>
      </c>
      <c r="H253" s="604">
        <v>445</v>
      </c>
      <c r="I253" s="604">
        <v>43</v>
      </c>
      <c r="J253" s="328">
        <v>34</v>
      </c>
      <c r="K253" s="328">
        <v>91</v>
      </c>
      <c r="L253" s="328">
        <v>138</v>
      </c>
    </row>
    <row r="254" spans="1:12" s="263" customFormat="1" ht="9" customHeight="1" x14ac:dyDescent="0.25">
      <c r="A254" s="263" t="s">
        <v>42</v>
      </c>
      <c r="B254" s="598" t="s">
        <v>22</v>
      </c>
      <c r="C254" s="598" t="s">
        <v>22</v>
      </c>
      <c r="D254" s="326"/>
      <c r="E254" s="600">
        <f t="shared" si="24"/>
        <v>2677</v>
      </c>
      <c r="F254" s="326"/>
      <c r="G254" s="326">
        <f t="shared" si="25"/>
        <v>1585</v>
      </c>
      <c r="H254" s="600">
        <v>1510</v>
      </c>
      <c r="I254" s="600">
        <v>75</v>
      </c>
      <c r="J254" s="326">
        <v>125</v>
      </c>
      <c r="K254" s="326">
        <v>382</v>
      </c>
      <c r="L254" s="326">
        <v>585</v>
      </c>
    </row>
    <row r="255" spans="1:12" s="263" customFormat="1" ht="9" customHeight="1" x14ac:dyDescent="0.25">
      <c r="A255" s="263" t="s">
        <v>43</v>
      </c>
      <c r="B255" s="598" t="s">
        <v>22</v>
      </c>
      <c r="C255" s="598" t="s">
        <v>22</v>
      </c>
      <c r="D255" s="326"/>
      <c r="E255" s="600">
        <f t="shared" si="24"/>
        <v>825</v>
      </c>
      <c r="F255" s="326"/>
      <c r="G255" s="326">
        <f t="shared" si="25"/>
        <v>584</v>
      </c>
      <c r="H255" s="600">
        <v>481</v>
      </c>
      <c r="I255" s="600">
        <v>103</v>
      </c>
      <c r="J255" s="326">
        <v>32</v>
      </c>
      <c r="K255" s="326">
        <v>86</v>
      </c>
      <c r="L255" s="326">
        <v>123</v>
      </c>
    </row>
    <row r="256" spans="1:12" s="263" customFormat="1" ht="9" customHeight="1" x14ac:dyDescent="0.25">
      <c r="A256" s="263" t="s">
        <v>44</v>
      </c>
      <c r="B256" s="598" t="s">
        <v>22</v>
      </c>
      <c r="C256" s="598" t="s">
        <v>22</v>
      </c>
      <c r="D256" s="326"/>
      <c r="E256" s="600">
        <f t="shared" si="24"/>
        <v>584</v>
      </c>
      <c r="F256" s="326"/>
      <c r="G256" s="326">
        <f t="shared" si="25"/>
        <v>245</v>
      </c>
      <c r="H256" s="600">
        <v>236</v>
      </c>
      <c r="I256" s="600">
        <v>9</v>
      </c>
      <c r="J256" s="326">
        <v>38</v>
      </c>
      <c r="K256" s="326">
        <v>127</v>
      </c>
      <c r="L256" s="326">
        <v>174</v>
      </c>
    </row>
    <row r="257" spans="1:12" s="263" customFormat="1" ht="9" customHeight="1" x14ac:dyDescent="0.25">
      <c r="A257" s="267" t="s">
        <v>45</v>
      </c>
      <c r="B257" s="599" t="s">
        <v>22</v>
      </c>
      <c r="C257" s="599" t="s">
        <v>22</v>
      </c>
      <c r="D257" s="328"/>
      <c r="E257" s="604">
        <f t="shared" si="24"/>
        <v>1017</v>
      </c>
      <c r="F257" s="328"/>
      <c r="G257" s="328">
        <f t="shared" si="25"/>
        <v>624</v>
      </c>
      <c r="H257" s="604">
        <v>598</v>
      </c>
      <c r="I257" s="604">
        <v>26</v>
      </c>
      <c r="J257" s="328">
        <v>30</v>
      </c>
      <c r="K257" s="328">
        <v>190</v>
      </c>
      <c r="L257" s="328">
        <v>173</v>
      </c>
    </row>
    <row r="258" spans="1:12" s="263" customFormat="1" ht="9" customHeight="1" x14ac:dyDescent="0.25">
      <c r="A258" s="263" t="s">
        <v>46</v>
      </c>
      <c r="B258" s="598" t="s">
        <v>22</v>
      </c>
      <c r="C258" s="598" t="s">
        <v>22</v>
      </c>
      <c r="D258" s="326"/>
      <c r="E258" s="600">
        <f t="shared" si="24"/>
        <v>1128</v>
      </c>
      <c r="F258" s="326"/>
      <c r="G258" s="326">
        <f t="shared" si="25"/>
        <v>638</v>
      </c>
      <c r="H258" s="600">
        <v>596</v>
      </c>
      <c r="I258" s="600">
        <v>42</v>
      </c>
      <c r="J258" s="326">
        <v>61</v>
      </c>
      <c r="K258" s="326">
        <v>185</v>
      </c>
      <c r="L258" s="326">
        <v>244</v>
      </c>
    </row>
    <row r="259" spans="1:12" s="263" customFormat="1" ht="9" customHeight="1" x14ac:dyDescent="0.25">
      <c r="A259" s="263" t="s">
        <v>47</v>
      </c>
      <c r="B259" s="598" t="s">
        <v>22</v>
      </c>
      <c r="C259" s="598" t="s">
        <v>22</v>
      </c>
      <c r="D259" s="326"/>
      <c r="E259" s="600">
        <f t="shared" si="24"/>
        <v>1288</v>
      </c>
      <c r="F259" s="326"/>
      <c r="G259" s="326">
        <f t="shared" si="25"/>
        <v>697</v>
      </c>
      <c r="H259" s="600">
        <v>682</v>
      </c>
      <c r="I259" s="600">
        <v>15</v>
      </c>
      <c r="J259" s="326">
        <v>48</v>
      </c>
      <c r="K259" s="326">
        <v>280</v>
      </c>
      <c r="L259" s="326">
        <v>263</v>
      </c>
    </row>
    <row r="260" spans="1:12" s="263" customFormat="1" ht="9" customHeight="1" x14ac:dyDescent="0.25">
      <c r="A260" s="263" t="s">
        <v>48</v>
      </c>
      <c r="B260" s="598" t="s">
        <v>22</v>
      </c>
      <c r="C260" s="598" t="s">
        <v>22</v>
      </c>
      <c r="D260" s="326"/>
      <c r="E260" s="600">
        <f t="shared" si="24"/>
        <v>562</v>
      </c>
      <c r="F260" s="326"/>
      <c r="G260" s="326">
        <f t="shared" si="25"/>
        <v>316</v>
      </c>
      <c r="H260" s="600">
        <v>293</v>
      </c>
      <c r="I260" s="600">
        <v>23</v>
      </c>
      <c r="J260" s="326">
        <v>31</v>
      </c>
      <c r="K260" s="326">
        <v>96</v>
      </c>
      <c r="L260" s="326">
        <v>119</v>
      </c>
    </row>
    <row r="261" spans="1:12" s="263" customFormat="1" ht="9" customHeight="1" x14ac:dyDescent="0.25">
      <c r="A261" s="267" t="s">
        <v>49</v>
      </c>
      <c r="B261" s="599" t="s">
        <v>22</v>
      </c>
      <c r="C261" s="599" t="s">
        <v>22</v>
      </c>
      <c r="D261" s="328"/>
      <c r="E261" s="604">
        <f t="shared" si="24"/>
        <v>1849</v>
      </c>
      <c r="F261" s="328"/>
      <c r="G261" s="328">
        <f t="shared" si="25"/>
        <v>1020</v>
      </c>
      <c r="H261" s="604">
        <v>988</v>
      </c>
      <c r="I261" s="604">
        <v>32</v>
      </c>
      <c r="J261" s="328">
        <v>62</v>
      </c>
      <c r="K261" s="328">
        <v>297</v>
      </c>
      <c r="L261" s="328">
        <v>470</v>
      </c>
    </row>
    <row r="262" spans="1:12" s="263" customFormat="1" ht="9" customHeight="1" x14ac:dyDescent="0.25">
      <c r="A262" s="263" t="s">
        <v>50</v>
      </c>
      <c r="B262" s="598" t="s">
        <v>22</v>
      </c>
      <c r="C262" s="598" t="s">
        <v>22</v>
      </c>
      <c r="D262" s="326"/>
      <c r="E262" s="600">
        <f t="shared" si="24"/>
        <v>298</v>
      </c>
      <c r="F262" s="326"/>
      <c r="G262" s="326">
        <f t="shared" si="25"/>
        <v>178</v>
      </c>
      <c r="H262" s="600">
        <v>176</v>
      </c>
      <c r="I262" s="600">
        <v>2</v>
      </c>
      <c r="J262" s="326">
        <v>7</v>
      </c>
      <c r="K262" s="326">
        <v>43</v>
      </c>
      <c r="L262" s="326">
        <v>70</v>
      </c>
    </row>
    <row r="263" spans="1:12" s="263" customFormat="1" ht="9" customHeight="1" x14ac:dyDescent="0.25">
      <c r="A263" s="263" t="s">
        <v>51</v>
      </c>
      <c r="B263" s="598" t="s">
        <v>22</v>
      </c>
      <c r="C263" s="598" t="s">
        <v>22</v>
      </c>
      <c r="D263" s="326"/>
      <c r="E263" s="600">
        <f t="shared" si="24"/>
        <v>2022</v>
      </c>
      <c r="F263" s="326"/>
      <c r="G263" s="326">
        <f t="shared" si="25"/>
        <v>1155</v>
      </c>
      <c r="H263" s="600">
        <v>1073</v>
      </c>
      <c r="I263" s="600">
        <v>82</v>
      </c>
      <c r="J263" s="326">
        <v>97</v>
      </c>
      <c r="K263" s="326">
        <v>339</v>
      </c>
      <c r="L263" s="326">
        <v>431</v>
      </c>
    </row>
    <row r="264" spans="1:12" s="263" customFormat="1" ht="9" customHeight="1" x14ac:dyDescent="0.25">
      <c r="A264" s="263" t="s">
        <v>52</v>
      </c>
      <c r="B264" s="598" t="s">
        <v>22</v>
      </c>
      <c r="C264" s="598" t="s">
        <v>22</v>
      </c>
      <c r="D264" s="326"/>
      <c r="E264" s="600">
        <f t="shared" si="24"/>
        <v>1197</v>
      </c>
      <c r="F264" s="326"/>
      <c r="G264" s="326">
        <f t="shared" si="25"/>
        <v>642</v>
      </c>
      <c r="H264" s="600">
        <v>624</v>
      </c>
      <c r="I264" s="600">
        <v>18</v>
      </c>
      <c r="J264" s="326">
        <v>57</v>
      </c>
      <c r="K264" s="326">
        <v>215</v>
      </c>
      <c r="L264" s="326">
        <v>283</v>
      </c>
    </row>
    <row r="265" spans="1:12" s="263" customFormat="1" ht="9" customHeight="1" x14ac:dyDescent="0.25">
      <c r="A265" s="267" t="s">
        <v>53</v>
      </c>
      <c r="B265" s="599" t="s">
        <v>22</v>
      </c>
      <c r="C265" s="599" t="s">
        <v>22</v>
      </c>
      <c r="D265" s="328"/>
      <c r="E265" s="604">
        <f t="shared" si="24"/>
        <v>557</v>
      </c>
      <c r="F265" s="328"/>
      <c r="G265" s="328">
        <f t="shared" si="25"/>
        <v>301</v>
      </c>
      <c r="H265" s="604">
        <v>282</v>
      </c>
      <c r="I265" s="604">
        <v>19</v>
      </c>
      <c r="J265" s="328">
        <v>27</v>
      </c>
      <c r="K265" s="328">
        <v>82</v>
      </c>
      <c r="L265" s="328">
        <v>147</v>
      </c>
    </row>
    <row r="266" spans="1:12" s="263" customFormat="1" ht="9" customHeight="1" x14ac:dyDescent="0.25">
      <c r="B266" s="598"/>
      <c r="C266" s="598"/>
      <c r="D266" s="326"/>
      <c r="E266" s="600"/>
      <c r="F266" s="326"/>
      <c r="G266" s="326"/>
      <c r="H266" s="600"/>
      <c r="I266" s="600"/>
      <c r="J266" s="326"/>
      <c r="K266" s="326"/>
      <c r="L266" s="326"/>
    </row>
    <row r="267" spans="1:12" s="263" customFormat="1" ht="9" customHeight="1" x14ac:dyDescent="0.25">
      <c r="A267" s="261">
        <v>2002</v>
      </c>
      <c r="B267" s="262"/>
      <c r="C267" s="262"/>
      <c r="D267" s="262"/>
      <c r="E267" s="262"/>
      <c r="F267" s="262"/>
      <c r="G267" s="262"/>
      <c r="H267" s="262"/>
      <c r="I267" s="262"/>
      <c r="J267" s="262"/>
      <c r="K267" s="262"/>
      <c r="L267" s="262"/>
    </row>
    <row r="268" spans="1:12" s="263" customFormat="1" ht="9" customHeight="1" x14ac:dyDescent="0.25">
      <c r="A268" s="265" t="s">
        <v>21</v>
      </c>
      <c r="B268" s="325" t="s">
        <v>22</v>
      </c>
      <c r="C268" s="325" t="s">
        <v>22</v>
      </c>
      <c r="D268" s="325"/>
      <c r="E268" s="325">
        <f>SUM(E270:E301)</f>
        <v>66696</v>
      </c>
      <c r="F268" s="325"/>
      <c r="G268" s="325">
        <f t="shared" ref="G268:L268" si="26">SUM(G270:G301)</f>
        <v>35873</v>
      </c>
      <c r="H268" s="325">
        <f t="shared" si="26"/>
        <v>33206</v>
      </c>
      <c r="I268" s="325">
        <f t="shared" si="26"/>
        <v>2667</v>
      </c>
      <c r="J268" s="325">
        <f t="shared" si="26"/>
        <v>3548</v>
      </c>
      <c r="K268" s="325">
        <f t="shared" si="26"/>
        <v>13599</v>
      </c>
      <c r="L268" s="325">
        <f t="shared" si="26"/>
        <v>13676</v>
      </c>
    </row>
    <row r="269" spans="1:12" s="263" customFormat="1" ht="3.95" customHeight="1" x14ac:dyDescent="0.25">
      <c r="A269" s="265"/>
      <c r="B269" s="325"/>
      <c r="C269" s="325"/>
      <c r="D269" s="325"/>
      <c r="E269" s="325"/>
      <c r="F269" s="325"/>
      <c r="G269" s="325"/>
      <c r="H269" s="325"/>
      <c r="I269" s="325"/>
      <c r="J269" s="325"/>
      <c r="K269" s="325"/>
      <c r="L269" s="325"/>
    </row>
    <row r="270" spans="1:12" s="263" customFormat="1" ht="9" customHeight="1" x14ac:dyDescent="0.25">
      <c r="A270" s="263" t="s">
        <v>23</v>
      </c>
      <c r="B270" s="598" t="s">
        <v>22</v>
      </c>
      <c r="C270" s="598" t="s">
        <v>22</v>
      </c>
      <c r="D270" s="326"/>
      <c r="E270" s="600">
        <f>SUM(G270+J270+K270+L270)</f>
        <v>743</v>
      </c>
      <c r="F270" s="326"/>
      <c r="G270" s="326">
        <f>SUM(H270:I270)</f>
        <v>384</v>
      </c>
      <c r="H270" s="600">
        <v>362</v>
      </c>
      <c r="I270" s="600">
        <v>22</v>
      </c>
      <c r="J270" s="326">
        <v>46</v>
      </c>
      <c r="K270" s="326">
        <v>147</v>
      </c>
      <c r="L270" s="326">
        <v>166</v>
      </c>
    </row>
    <row r="271" spans="1:12" s="263" customFormat="1" ht="9" customHeight="1" x14ac:dyDescent="0.25">
      <c r="A271" s="263" t="s">
        <v>24</v>
      </c>
      <c r="B271" s="598" t="s">
        <v>22</v>
      </c>
      <c r="C271" s="598" t="s">
        <v>22</v>
      </c>
      <c r="D271" s="326"/>
      <c r="E271" s="600">
        <f>SUM(G271+J271+K271+L271)</f>
        <v>2053</v>
      </c>
      <c r="F271" s="598"/>
      <c r="G271" s="326">
        <f>SUM(H271:I271)</f>
        <v>1106</v>
      </c>
      <c r="H271" s="598">
        <v>1073</v>
      </c>
      <c r="I271" s="598">
        <v>33</v>
      </c>
      <c r="J271" s="598">
        <v>68</v>
      </c>
      <c r="K271" s="598">
        <v>418</v>
      </c>
      <c r="L271" s="598">
        <v>461</v>
      </c>
    </row>
    <row r="272" spans="1:12" s="263" customFormat="1" ht="9" customHeight="1" x14ac:dyDescent="0.25">
      <c r="A272" s="263" t="s">
        <v>25</v>
      </c>
      <c r="B272" s="598" t="s">
        <v>22</v>
      </c>
      <c r="C272" s="598" t="s">
        <v>22</v>
      </c>
      <c r="D272" s="326"/>
      <c r="E272" s="600">
        <f t="shared" ref="E272:E301" si="27">SUM(G272+J272+K272+L272)</f>
        <v>195</v>
      </c>
      <c r="F272" s="326"/>
      <c r="G272" s="326">
        <f t="shared" ref="G272:G301" si="28">SUM(H272:I272)</f>
        <v>96</v>
      </c>
      <c r="H272" s="600">
        <v>91</v>
      </c>
      <c r="I272" s="600">
        <v>5</v>
      </c>
      <c r="J272" s="326">
        <v>8</v>
      </c>
      <c r="K272" s="326">
        <v>39</v>
      </c>
      <c r="L272" s="326">
        <v>52</v>
      </c>
    </row>
    <row r="273" spans="1:12" s="263" customFormat="1" ht="9" customHeight="1" x14ac:dyDescent="0.25">
      <c r="A273" s="267" t="s">
        <v>26</v>
      </c>
      <c r="B273" s="599" t="s">
        <v>22</v>
      </c>
      <c r="C273" s="599" t="s">
        <v>22</v>
      </c>
      <c r="D273" s="328"/>
      <c r="E273" s="604">
        <f t="shared" si="27"/>
        <v>169</v>
      </c>
      <c r="F273" s="328"/>
      <c r="G273" s="328">
        <f t="shared" si="28"/>
        <v>70</v>
      </c>
      <c r="H273" s="604">
        <v>70</v>
      </c>
      <c r="I273" s="604">
        <v>0</v>
      </c>
      <c r="J273" s="328">
        <v>7</v>
      </c>
      <c r="K273" s="328">
        <v>19</v>
      </c>
      <c r="L273" s="328">
        <v>73</v>
      </c>
    </row>
    <row r="274" spans="1:12" s="263" customFormat="1" ht="9" customHeight="1" x14ac:dyDescent="0.25">
      <c r="A274" s="263" t="s">
        <v>27</v>
      </c>
      <c r="B274" s="598" t="s">
        <v>22</v>
      </c>
      <c r="C274" s="598" t="s">
        <v>22</v>
      </c>
      <c r="D274" s="326"/>
      <c r="E274" s="600">
        <f t="shared" si="27"/>
        <v>1523</v>
      </c>
      <c r="F274" s="326"/>
      <c r="G274" s="326">
        <f t="shared" si="28"/>
        <v>727</v>
      </c>
      <c r="H274" s="600">
        <v>685</v>
      </c>
      <c r="I274" s="600">
        <v>42</v>
      </c>
      <c r="J274" s="326">
        <v>100</v>
      </c>
      <c r="K274" s="326">
        <v>361</v>
      </c>
      <c r="L274" s="326">
        <v>335</v>
      </c>
    </row>
    <row r="275" spans="1:12" s="263" customFormat="1" ht="9" customHeight="1" x14ac:dyDescent="0.25">
      <c r="A275" s="263" t="s">
        <v>28</v>
      </c>
      <c r="B275" s="598" t="s">
        <v>22</v>
      </c>
      <c r="C275" s="598" t="s">
        <v>22</v>
      </c>
      <c r="D275" s="326"/>
      <c r="E275" s="600">
        <f t="shared" si="27"/>
        <v>278</v>
      </c>
      <c r="F275" s="326"/>
      <c r="G275" s="326">
        <f t="shared" si="28"/>
        <v>140</v>
      </c>
      <c r="H275" s="600">
        <v>136</v>
      </c>
      <c r="I275" s="600">
        <v>4</v>
      </c>
      <c r="J275" s="326">
        <v>19</v>
      </c>
      <c r="K275" s="326">
        <v>36</v>
      </c>
      <c r="L275" s="326">
        <v>83</v>
      </c>
    </row>
    <row r="276" spans="1:12" s="263" customFormat="1" ht="9" customHeight="1" x14ac:dyDescent="0.25">
      <c r="A276" s="263" t="s">
        <v>29</v>
      </c>
      <c r="B276" s="598" t="s">
        <v>22</v>
      </c>
      <c r="C276" s="598" t="s">
        <v>22</v>
      </c>
      <c r="D276" s="326"/>
      <c r="E276" s="600">
        <f t="shared" si="27"/>
        <v>738</v>
      </c>
      <c r="F276" s="326"/>
      <c r="G276" s="326">
        <f t="shared" si="28"/>
        <v>462</v>
      </c>
      <c r="H276" s="600">
        <v>450</v>
      </c>
      <c r="I276" s="600">
        <v>12</v>
      </c>
      <c r="J276" s="326">
        <v>29</v>
      </c>
      <c r="K276" s="326">
        <v>85</v>
      </c>
      <c r="L276" s="326">
        <v>162</v>
      </c>
    </row>
    <row r="277" spans="1:12" s="263" customFormat="1" ht="9" customHeight="1" x14ac:dyDescent="0.25">
      <c r="A277" s="267" t="s">
        <v>30</v>
      </c>
      <c r="B277" s="599" t="s">
        <v>22</v>
      </c>
      <c r="C277" s="599" t="s">
        <v>22</v>
      </c>
      <c r="D277" s="328"/>
      <c r="E277" s="604">
        <f t="shared" si="27"/>
        <v>2819</v>
      </c>
      <c r="F277" s="328"/>
      <c r="G277" s="328">
        <f t="shared" si="28"/>
        <v>1646</v>
      </c>
      <c r="H277" s="604">
        <v>1545</v>
      </c>
      <c r="I277" s="604">
        <v>101</v>
      </c>
      <c r="J277" s="328">
        <v>174</v>
      </c>
      <c r="K277" s="328">
        <v>489</v>
      </c>
      <c r="L277" s="328">
        <v>510</v>
      </c>
    </row>
    <row r="278" spans="1:12" s="263" customFormat="1" ht="9" customHeight="1" x14ac:dyDescent="0.25">
      <c r="A278" s="263" t="s">
        <v>63</v>
      </c>
      <c r="B278" s="598" t="s">
        <v>22</v>
      </c>
      <c r="C278" s="598" t="s">
        <v>22</v>
      </c>
      <c r="D278" s="326"/>
      <c r="E278" s="600">
        <f t="shared" si="27"/>
        <v>14700</v>
      </c>
      <c r="F278" s="326"/>
      <c r="G278" s="326">
        <f t="shared" si="28"/>
        <v>7515</v>
      </c>
      <c r="H278" s="600">
        <v>6458</v>
      </c>
      <c r="I278" s="600">
        <v>1057</v>
      </c>
      <c r="J278" s="326">
        <v>909</v>
      </c>
      <c r="K278" s="326">
        <v>3562</v>
      </c>
      <c r="L278" s="326">
        <v>2714</v>
      </c>
    </row>
    <row r="279" spans="1:12" s="263" customFormat="1" ht="9" customHeight="1" x14ac:dyDescent="0.25">
      <c r="A279" s="263" t="s">
        <v>31</v>
      </c>
      <c r="B279" s="598" t="s">
        <v>22</v>
      </c>
      <c r="C279" s="598" t="s">
        <v>22</v>
      </c>
      <c r="D279" s="326"/>
      <c r="E279" s="600">
        <f t="shared" si="27"/>
        <v>461</v>
      </c>
      <c r="F279" s="326"/>
      <c r="G279" s="326">
        <f t="shared" si="28"/>
        <v>276</v>
      </c>
      <c r="H279" s="600">
        <v>272</v>
      </c>
      <c r="I279" s="600">
        <v>4</v>
      </c>
      <c r="J279" s="263">
        <v>20</v>
      </c>
      <c r="K279" s="326">
        <v>60</v>
      </c>
      <c r="L279" s="326">
        <v>105</v>
      </c>
    </row>
    <row r="280" spans="1:12" s="263" customFormat="1" ht="9" customHeight="1" x14ac:dyDescent="0.25">
      <c r="A280" s="263" t="s">
        <v>32</v>
      </c>
      <c r="B280" s="598" t="s">
        <v>22</v>
      </c>
      <c r="C280" s="598" t="s">
        <v>22</v>
      </c>
      <c r="D280" s="326"/>
      <c r="E280" s="600">
        <f t="shared" si="27"/>
        <v>3735</v>
      </c>
      <c r="F280" s="326"/>
      <c r="G280" s="326">
        <f t="shared" si="28"/>
        <v>1963</v>
      </c>
      <c r="H280" s="600">
        <v>1850</v>
      </c>
      <c r="I280" s="600">
        <v>113</v>
      </c>
      <c r="J280" s="326">
        <v>214</v>
      </c>
      <c r="K280" s="326">
        <v>711</v>
      </c>
      <c r="L280" s="326">
        <v>847</v>
      </c>
    </row>
    <row r="281" spans="1:12" s="263" customFormat="1" ht="9" customHeight="1" x14ac:dyDescent="0.25">
      <c r="A281" s="267" t="s">
        <v>33</v>
      </c>
      <c r="B281" s="599" t="s">
        <v>22</v>
      </c>
      <c r="C281" s="599" t="s">
        <v>22</v>
      </c>
      <c r="D281" s="328"/>
      <c r="E281" s="604">
        <f t="shared" si="27"/>
        <v>921</v>
      </c>
      <c r="F281" s="328"/>
      <c r="G281" s="328">
        <f t="shared" si="28"/>
        <v>559</v>
      </c>
      <c r="H281" s="604">
        <v>507</v>
      </c>
      <c r="I281" s="604">
        <v>52</v>
      </c>
      <c r="J281" s="328">
        <v>56</v>
      </c>
      <c r="K281" s="328">
        <v>105</v>
      </c>
      <c r="L281" s="328">
        <v>201</v>
      </c>
    </row>
    <row r="282" spans="1:12" s="263" customFormat="1" ht="9" customHeight="1" x14ac:dyDescent="0.25">
      <c r="A282" s="263" t="s">
        <v>34</v>
      </c>
      <c r="B282" s="598" t="s">
        <v>22</v>
      </c>
      <c r="C282" s="598" t="s">
        <v>22</v>
      </c>
      <c r="D282" s="326"/>
      <c r="E282" s="600">
        <f t="shared" si="27"/>
        <v>727</v>
      </c>
      <c r="F282" s="326"/>
      <c r="G282" s="326">
        <f t="shared" si="28"/>
        <v>439</v>
      </c>
      <c r="H282" s="600">
        <v>428</v>
      </c>
      <c r="I282" s="600">
        <v>11</v>
      </c>
      <c r="J282" s="326">
        <v>18</v>
      </c>
      <c r="K282" s="326">
        <v>87</v>
      </c>
      <c r="L282" s="326">
        <v>183</v>
      </c>
    </row>
    <row r="283" spans="1:12" s="263" customFormat="1" ht="9" customHeight="1" x14ac:dyDescent="0.25">
      <c r="A283" s="263" t="s">
        <v>35</v>
      </c>
      <c r="B283" s="598" t="s">
        <v>22</v>
      </c>
      <c r="C283" s="598" t="s">
        <v>22</v>
      </c>
      <c r="D283" s="326"/>
      <c r="E283" s="600">
        <f t="shared" si="27"/>
        <v>5329</v>
      </c>
      <c r="F283" s="326"/>
      <c r="G283" s="326">
        <f t="shared" si="28"/>
        <v>2732</v>
      </c>
      <c r="H283" s="600">
        <v>2475</v>
      </c>
      <c r="I283" s="600">
        <v>257</v>
      </c>
      <c r="J283" s="326">
        <v>301</v>
      </c>
      <c r="K283" s="326">
        <v>1121</v>
      </c>
      <c r="L283" s="326">
        <v>1175</v>
      </c>
    </row>
    <row r="284" spans="1:12" s="263" customFormat="1" ht="9" customHeight="1" x14ac:dyDescent="0.25">
      <c r="A284" s="263" t="s">
        <v>36</v>
      </c>
      <c r="B284" s="598" t="s">
        <v>22</v>
      </c>
      <c r="C284" s="598" t="s">
        <v>22</v>
      </c>
      <c r="D284" s="326"/>
      <c r="E284" s="600">
        <f t="shared" si="27"/>
        <v>6433</v>
      </c>
      <c r="F284" s="326"/>
      <c r="G284" s="326">
        <f t="shared" si="28"/>
        <v>3791</v>
      </c>
      <c r="H284" s="600">
        <v>3521</v>
      </c>
      <c r="I284" s="600">
        <v>270</v>
      </c>
      <c r="J284" s="326">
        <v>297</v>
      </c>
      <c r="K284" s="326">
        <v>1272</v>
      </c>
      <c r="L284" s="326">
        <v>1073</v>
      </c>
    </row>
    <row r="285" spans="1:12" s="263" customFormat="1" ht="9" customHeight="1" x14ac:dyDescent="0.25">
      <c r="A285" s="267" t="s">
        <v>37</v>
      </c>
      <c r="B285" s="599" t="s">
        <v>22</v>
      </c>
      <c r="C285" s="599" t="s">
        <v>22</v>
      </c>
      <c r="D285" s="328"/>
      <c r="E285" s="604">
        <f t="shared" si="27"/>
        <v>2765</v>
      </c>
      <c r="F285" s="328"/>
      <c r="G285" s="328">
        <f t="shared" si="28"/>
        <v>1668</v>
      </c>
      <c r="H285" s="604">
        <v>1608</v>
      </c>
      <c r="I285" s="604">
        <v>60</v>
      </c>
      <c r="J285" s="328">
        <v>53</v>
      </c>
      <c r="K285" s="328">
        <v>443</v>
      </c>
      <c r="L285" s="328">
        <v>601</v>
      </c>
    </row>
    <row r="286" spans="1:12" s="263" customFormat="1" ht="9" customHeight="1" x14ac:dyDescent="0.25">
      <c r="A286" s="263" t="s">
        <v>38</v>
      </c>
      <c r="B286" s="598" t="s">
        <v>22</v>
      </c>
      <c r="C286" s="598" t="s">
        <v>22</v>
      </c>
      <c r="D286" s="326"/>
      <c r="E286" s="600">
        <f t="shared" si="27"/>
        <v>780</v>
      </c>
      <c r="F286" s="326"/>
      <c r="G286" s="326">
        <f t="shared" si="28"/>
        <v>407</v>
      </c>
      <c r="H286" s="600">
        <v>401</v>
      </c>
      <c r="I286" s="600">
        <v>6</v>
      </c>
      <c r="J286" s="326">
        <v>23</v>
      </c>
      <c r="K286" s="326">
        <v>150</v>
      </c>
      <c r="L286" s="326">
        <v>200</v>
      </c>
    </row>
    <row r="287" spans="1:12" s="263" customFormat="1" ht="9" customHeight="1" x14ac:dyDescent="0.25">
      <c r="A287" s="263" t="s">
        <v>39</v>
      </c>
      <c r="B287" s="598" t="s">
        <v>22</v>
      </c>
      <c r="C287" s="598" t="s">
        <v>22</v>
      </c>
      <c r="D287" s="326"/>
      <c r="E287" s="600">
        <f t="shared" si="27"/>
        <v>231</v>
      </c>
      <c r="F287" s="326"/>
      <c r="G287" s="326">
        <f t="shared" si="28"/>
        <v>110</v>
      </c>
      <c r="H287" s="600">
        <v>106</v>
      </c>
      <c r="I287" s="600">
        <v>4</v>
      </c>
      <c r="J287" s="326">
        <v>21</v>
      </c>
      <c r="K287" s="326">
        <v>63</v>
      </c>
      <c r="L287" s="326">
        <v>37</v>
      </c>
    </row>
    <row r="288" spans="1:12" s="263" customFormat="1" ht="9" customHeight="1" x14ac:dyDescent="0.25">
      <c r="A288" s="263" t="s">
        <v>40</v>
      </c>
      <c r="B288" s="598" t="s">
        <v>22</v>
      </c>
      <c r="C288" s="598" t="s">
        <v>22</v>
      </c>
      <c r="D288" s="326"/>
      <c r="E288" s="600">
        <f t="shared" si="27"/>
        <v>5743</v>
      </c>
      <c r="F288" s="326"/>
      <c r="G288" s="326">
        <f t="shared" si="28"/>
        <v>2897</v>
      </c>
      <c r="H288" s="600">
        <v>2667</v>
      </c>
      <c r="I288" s="600">
        <v>230</v>
      </c>
      <c r="J288" s="326">
        <v>397</v>
      </c>
      <c r="K288" s="326">
        <v>1353</v>
      </c>
      <c r="L288" s="326">
        <v>1096</v>
      </c>
    </row>
    <row r="289" spans="1:12" s="263" customFormat="1" ht="9" customHeight="1" x14ac:dyDescent="0.25">
      <c r="A289" s="267" t="s">
        <v>41</v>
      </c>
      <c r="B289" s="599" t="s">
        <v>22</v>
      </c>
      <c r="C289" s="599" t="s">
        <v>22</v>
      </c>
      <c r="D289" s="328"/>
      <c r="E289" s="604">
        <f t="shared" si="27"/>
        <v>815</v>
      </c>
      <c r="F289" s="328"/>
      <c r="G289" s="328">
        <f t="shared" si="28"/>
        <v>485</v>
      </c>
      <c r="H289" s="604">
        <v>461</v>
      </c>
      <c r="I289" s="604">
        <v>24</v>
      </c>
      <c r="J289" s="328">
        <v>44</v>
      </c>
      <c r="K289" s="328">
        <v>122</v>
      </c>
      <c r="L289" s="328">
        <v>164</v>
      </c>
    </row>
    <row r="290" spans="1:12" s="263" customFormat="1" ht="9" customHeight="1" x14ac:dyDescent="0.25">
      <c r="A290" s="263" t="s">
        <v>42</v>
      </c>
      <c r="B290" s="598" t="s">
        <v>22</v>
      </c>
      <c r="C290" s="598" t="s">
        <v>22</v>
      </c>
      <c r="D290" s="326"/>
      <c r="E290" s="600">
        <f t="shared" si="27"/>
        <v>3013</v>
      </c>
      <c r="F290" s="326"/>
      <c r="G290" s="326">
        <f t="shared" si="28"/>
        <v>1617</v>
      </c>
      <c r="H290" s="600">
        <v>1544</v>
      </c>
      <c r="I290" s="600">
        <v>73</v>
      </c>
      <c r="J290" s="326">
        <v>89</v>
      </c>
      <c r="K290" s="326">
        <v>514</v>
      </c>
      <c r="L290" s="326">
        <v>793</v>
      </c>
    </row>
    <row r="291" spans="1:12" s="263" customFormat="1" ht="9" customHeight="1" x14ac:dyDescent="0.25">
      <c r="A291" s="263" t="s">
        <v>43</v>
      </c>
      <c r="B291" s="598" t="s">
        <v>22</v>
      </c>
      <c r="C291" s="598" t="s">
        <v>22</v>
      </c>
      <c r="D291" s="326"/>
      <c r="E291" s="600">
        <f t="shared" si="27"/>
        <v>1038</v>
      </c>
      <c r="F291" s="326"/>
      <c r="G291" s="326">
        <f t="shared" si="28"/>
        <v>612</v>
      </c>
      <c r="H291" s="600">
        <v>566</v>
      </c>
      <c r="I291" s="600">
        <v>46</v>
      </c>
      <c r="J291" s="326">
        <v>50</v>
      </c>
      <c r="K291" s="326">
        <v>198</v>
      </c>
      <c r="L291" s="326">
        <v>178</v>
      </c>
    </row>
    <row r="292" spans="1:12" s="263" customFormat="1" ht="9" customHeight="1" x14ac:dyDescent="0.25">
      <c r="A292" s="263" t="s">
        <v>44</v>
      </c>
      <c r="B292" s="598" t="s">
        <v>22</v>
      </c>
      <c r="C292" s="598" t="s">
        <v>22</v>
      </c>
      <c r="D292" s="326"/>
      <c r="E292" s="600">
        <f t="shared" si="27"/>
        <v>563</v>
      </c>
      <c r="F292" s="326"/>
      <c r="G292" s="326">
        <f t="shared" si="28"/>
        <v>260</v>
      </c>
      <c r="H292" s="600">
        <v>248</v>
      </c>
      <c r="I292" s="600">
        <v>12</v>
      </c>
      <c r="J292" s="326">
        <v>62</v>
      </c>
      <c r="K292" s="326">
        <v>138</v>
      </c>
      <c r="L292" s="326">
        <v>103</v>
      </c>
    </row>
    <row r="293" spans="1:12" s="263" customFormat="1" ht="9" customHeight="1" x14ac:dyDescent="0.25">
      <c r="A293" s="267" t="s">
        <v>45</v>
      </c>
      <c r="B293" s="599" t="s">
        <v>22</v>
      </c>
      <c r="C293" s="599" t="s">
        <v>22</v>
      </c>
      <c r="D293" s="328"/>
      <c r="E293" s="604">
        <f t="shared" si="27"/>
        <v>1330</v>
      </c>
      <c r="F293" s="328"/>
      <c r="G293" s="328">
        <f t="shared" si="28"/>
        <v>766</v>
      </c>
      <c r="H293" s="604">
        <v>725</v>
      </c>
      <c r="I293" s="604">
        <v>41</v>
      </c>
      <c r="J293" s="328">
        <v>70</v>
      </c>
      <c r="K293" s="328">
        <v>233</v>
      </c>
      <c r="L293" s="328">
        <v>261</v>
      </c>
    </row>
    <row r="294" spans="1:12" s="263" customFormat="1" ht="9" customHeight="1" x14ac:dyDescent="0.25">
      <c r="A294" s="263" t="s">
        <v>46</v>
      </c>
      <c r="B294" s="598" t="s">
        <v>22</v>
      </c>
      <c r="C294" s="598" t="s">
        <v>22</v>
      </c>
      <c r="D294" s="326"/>
      <c r="E294" s="600">
        <f t="shared" si="27"/>
        <v>1164</v>
      </c>
      <c r="F294" s="326"/>
      <c r="G294" s="326">
        <f t="shared" si="28"/>
        <v>637</v>
      </c>
      <c r="H294" s="600">
        <v>610</v>
      </c>
      <c r="I294" s="600">
        <v>27</v>
      </c>
      <c r="J294" s="326">
        <v>69</v>
      </c>
      <c r="K294" s="326">
        <v>183</v>
      </c>
      <c r="L294" s="326">
        <v>275</v>
      </c>
    </row>
    <row r="295" spans="1:12" s="263" customFormat="1" ht="9" customHeight="1" x14ac:dyDescent="0.25">
      <c r="A295" s="263" t="s">
        <v>47</v>
      </c>
      <c r="B295" s="598" t="s">
        <v>22</v>
      </c>
      <c r="C295" s="598" t="s">
        <v>22</v>
      </c>
      <c r="D295" s="326"/>
      <c r="E295" s="600">
        <f t="shared" si="27"/>
        <v>1544</v>
      </c>
      <c r="F295" s="326"/>
      <c r="G295" s="326">
        <f t="shared" si="28"/>
        <v>733</v>
      </c>
      <c r="H295" s="600">
        <v>725</v>
      </c>
      <c r="I295" s="600">
        <v>8</v>
      </c>
      <c r="J295" s="326">
        <v>27</v>
      </c>
      <c r="K295" s="326">
        <v>556</v>
      </c>
      <c r="L295" s="326">
        <v>228</v>
      </c>
    </row>
    <row r="296" spans="1:12" s="263" customFormat="1" ht="9" customHeight="1" x14ac:dyDescent="0.25">
      <c r="A296" s="263" t="s">
        <v>48</v>
      </c>
      <c r="B296" s="598" t="s">
        <v>22</v>
      </c>
      <c r="C296" s="598" t="s">
        <v>22</v>
      </c>
      <c r="D296" s="326"/>
      <c r="E296" s="600">
        <f t="shared" si="27"/>
        <v>820</v>
      </c>
      <c r="F296" s="326"/>
      <c r="G296" s="326">
        <f t="shared" si="28"/>
        <v>410</v>
      </c>
      <c r="H296" s="600">
        <v>386</v>
      </c>
      <c r="I296" s="600">
        <v>24</v>
      </c>
      <c r="J296" s="326">
        <v>134</v>
      </c>
      <c r="K296" s="326">
        <v>157</v>
      </c>
      <c r="L296" s="326">
        <v>119</v>
      </c>
    </row>
    <row r="297" spans="1:12" s="263" customFormat="1" ht="9" customHeight="1" x14ac:dyDescent="0.25">
      <c r="A297" s="267" t="s">
        <v>49</v>
      </c>
      <c r="B297" s="599" t="s">
        <v>22</v>
      </c>
      <c r="C297" s="599" t="s">
        <v>22</v>
      </c>
      <c r="D297" s="328"/>
      <c r="E297" s="604">
        <f t="shared" si="27"/>
        <v>1956</v>
      </c>
      <c r="F297" s="328"/>
      <c r="G297" s="328">
        <f t="shared" si="28"/>
        <v>1102</v>
      </c>
      <c r="H297" s="604">
        <v>1061</v>
      </c>
      <c r="I297" s="604">
        <v>41</v>
      </c>
      <c r="J297" s="328">
        <v>88</v>
      </c>
      <c r="K297" s="328">
        <v>326</v>
      </c>
      <c r="L297" s="328">
        <v>440</v>
      </c>
    </row>
    <row r="298" spans="1:12" s="263" customFormat="1" ht="9" customHeight="1" x14ac:dyDescent="0.25">
      <c r="A298" s="263" t="s">
        <v>50</v>
      </c>
      <c r="B298" s="598" t="s">
        <v>22</v>
      </c>
      <c r="C298" s="598" t="s">
        <v>22</v>
      </c>
      <c r="D298" s="326"/>
      <c r="E298" s="600">
        <f t="shared" si="27"/>
        <v>305</v>
      </c>
      <c r="F298" s="326"/>
      <c r="G298" s="326">
        <f t="shared" si="28"/>
        <v>178</v>
      </c>
      <c r="H298" s="600">
        <v>178</v>
      </c>
      <c r="I298" s="600">
        <v>0</v>
      </c>
      <c r="J298" s="326">
        <v>12</v>
      </c>
      <c r="K298" s="326">
        <v>39</v>
      </c>
      <c r="L298" s="326">
        <v>76</v>
      </c>
    </row>
    <row r="299" spans="1:12" s="263" customFormat="1" ht="9" customHeight="1" x14ac:dyDescent="0.25">
      <c r="A299" s="263" t="s">
        <v>51</v>
      </c>
      <c r="B299" s="598" t="s">
        <v>22</v>
      </c>
      <c r="C299" s="598" t="s">
        <v>22</v>
      </c>
      <c r="D299" s="326"/>
      <c r="E299" s="600">
        <f t="shared" si="27"/>
        <v>2041</v>
      </c>
      <c r="F299" s="326"/>
      <c r="G299" s="326">
        <f t="shared" si="28"/>
        <v>1155</v>
      </c>
      <c r="H299" s="600">
        <v>1092</v>
      </c>
      <c r="I299" s="600">
        <v>63</v>
      </c>
      <c r="J299" s="326">
        <v>91</v>
      </c>
      <c r="K299" s="326">
        <v>313</v>
      </c>
      <c r="L299" s="326">
        <v>482</v>
      </c>
    </row>
    <row r="300" spans="1:12" s="263" customFormat="1" ht="9" customHeight="1" x14ac:dyDescent="0.25">
      <c r="A300" s="263" t="s">
        <v>52</v>
      </c>
      <c r="B300" s="598" t="s">
        <v>22</v>
      </c>
      <c r="C300" s="598" t="s">
        <v>22</v>
      </c>
      <c r="D300" s="326"/>
      <c r="E300" s="600">
        <f t="shared" si="27"/>
        <v>1194</v>
      </c>
      <c r="F300" s="326"/>
      <c r="G300" s="326">
        <f t="shared" si="28"/>
        <v>633</v>
      </c>
      <c r="H300" s="600">
        <v>625</v>
      </c>
      <c r="I300" s="600">
        <v>8</v>
      </c>
      <c r="J300" s="326">
        <v>29</v>
      </c>
      <c r="K300" s="326">
        <v>208</v>
      </c>
      <c r="L300" s="326">
        <v>324</v>
      </c>
    </row>
    <row r="301" spans="1:12" s="263" customFormat="1" ht="9" customHeight="1" x14ac:dyDescent="0.25">
      <c r="A301" s="267" t="s">
        <v>53</v>
      </c>
      <c r="B301" s="599" t="s">
        <v>22</v>
      </c>
      <c r="C301" s="599" t="s">
        <v>22</v>
      </c>
      <c r="D301" s="328"/>
      <c r="E301" s="604">
        <f t="shared" si="27"/>
        <v>570</v>
      </c>
      <c r="F301" s="328"/>
      <c r="G301" s="328">
        <f t="shared" si="28"/>
        <v>297</v>
      </c>
      <c r="H301" s="604">
        <v>280</v>
      </c>
      <c r="I301" s="604">
        <v>17</v>
      </c>
      <c r="J301" s="328">
        <v>23</v>
      </c>
      <c r="K301" s="328">
        <v>91</v>
      </c>
      <c r="L301" s="328">
        <v>159</v>
      </c>
    </row>
    <row r="302" spans="1:12" s="263" customFormat="1" ht="9" customHeight="1" x14ac:dyDescent="0.25">
      <c r="A302" s="286"/>
      <c r="B302" s="613"/>
      <c r="C302" s="613"/>
      <c r="D302" s="329"/>
      <c r="E302" s="605"/>
      <c r="F302" s="329"/>
      <c r="G302" s="329"/>
      <c r="H302" s="605"/>
      <c r="I302" s="605"/>
      <c r="J302" s="329"/>
      <c r="K302" s="329"/>
      <c r="L302" s="329"/>
    </row>
    <row r="303" spans="1:12" s="263" customFormat="1" ht="9" customHeight="1" x14ac:dyDescent="0.25">
      <c r="A303" s="261">
        <v>2003</v>
      </c>
      <c r="B303" s="262"/>
      <c r="C303" s="262"/>
      <c r="D303" s="262"/>
      <c r="E303" s="262"/>
      <c r="F303" s="262"/>
      <c r="G303" s="262"/>
      <c r="H303" s="262"/>
      <c r="I303" s="262"/>
      <c r="J303" s="262"/>
      <c r="K303" s="262"/>
      <c r="L303" s="262"/>
    </row>
    <row r="304" spans="1:12" s="263" customFormat="1" ht="9" customHeight="1" x14ac:dyDescent="0.25">
      <c r="A304" s="265" t="s">
        <v>21</v>
      </c>
      <c r="B304" s="325" t="s">
        <v>22</v>
      </c>
      <c r="C304" s="325" t="s">
        <v>22</v>
      </c>
      <c r="D304" s="325"/>
      <c r="E304" s="325">
        <f>SUM(E306:E337)</f>
        <v>69490</v>
      </c>
      <c r="F304" s="325"/>
      <c r="G304" s="325">
        <f t="shared" ref="G304:L304" si="29">SUM(G306:G337)</f>
        <v>37493</v>
      </c>
      <c r="H304" s="325">
        <f t="shared" si="29"/>
        <v>34152</v>
      </c>
      <c r="I304" s="325">
        <f t="shared" si="29"/>
        <v>3341</v>
      </c>
      <c r="J304" s="325">
        <f t="shared" si="29"/>
        <v>3612</v>
      </c>
      <c r="K304" s="325">
        <f t="shared" si="29"/>
        <v>14313</v>
      </c>
      <c r="L304" s="325">
        <f t="shared" si="29"/>
        <v>14072</v>
      </c>
    </row>
    <row r="305" spans="1:12" s="263" customFormat="1" ht="3.95" customHeight="1" x14ac:dyDescent="0.25">
      <c r="A305" s="265"/>
      <c r="B305" s="325"/>
      <c r="C305" s="325"/>
      <c r="D305" s="325"/>
      <c r="E305" s="325"/>
      <c r="F305" s="325"/>
      <c r="G305" s="325"/>
      <c r="H305" s="325"/>
      <c r="I305" s="325"/>
      <c r="J305" s="325"/>
      <c r="K305" s="325"/>
      <c r="L305" s="325"/>
    </row>
    <row r="306" spans="1:12" s="263" customFormat="1" ht="9" customHeight="1" x14ac:dyDescent="0.25">
      <c r="A306" s="263" t="s">
        <v>23</v>
      </c>
      <c r="B306" s="598" t="s">
        <v>22</v>
      </c>
      <c r="C306" s="598" t="s">
        <v>22</v>
      </c>
      <c r="D306" s="326"/>
      <c r="E306" s="600">
        <f>SUM(G306+J306+K306+L306)</f>
        <v>688</v>
      </c>
      <c r="F306" s="326"/>
      <c r="G306" s="326">
        <f>SUM(H306:I306)</f>
        <v>284</v>
      </c>
      <c r="H306" s="600">
        <v>262</v>
      </c>
      <c r="I306" s="600">
        <v>22</v>
      </c>
      <c r="J306" s="326">
        <v>50</v>
      </c>
      <c r="K306" s="326">
        <v>139</v>
      </c>
      <c r="L306" s="326">
        <v>215</v>
      </c>
    </row>
    <row r="307" spans="1:12" s="263" customFormat="1" ht="9" customHeight="1" x14ac:dyDescent="0.25">
      <c r="A307" s="263" t="s">
        <v>24</v>
      </c>
      <c r="B307" s="598" t="s">
        <v>22</v>
      </c>
      <c r="C307" s="598" t="s">
        <v>22</v>
      </c>
      <c r="D307" s="326"/>
      <c r="E307" s="600">
        <f>SUM(G307+J307+K307+L307)</f>
        <v>1832</v>
      </c>
      <c r="F307" s="598"/>
      <c r="G307" s="326">
        <f>SUM(H307:I307)</f>
        <v>1020</v>
      </c>
      <c r="H307" s="598">
        <v>993</v>
      </c>
      <c r="I307" s="598">
        <v>27</v>
      </c>
      <c r="J307" s="598">
        <v>39</v>
      </c>
      <c r="K307" s="598">
        <v>352</v>
      </c>
      <c r="L307" s="598">
        <v>421</v>
      </c>
    </row>
    <row r="308" spans="1:12" s="263" customFormat="1" ht="9" customHeight="1" x14ac:dyDescent="0.25">
      <c r="A308" s="263" t="s">
        <v>25</v>
      </c>
      <c r="B308" s="598" t="s">
        <v>22</v>
      </c>
      <c r="C308" s="598" t="s">
        <v>22</v>
      </c>
      <c r="D308" s="326"/>
      <c r="E308" s="600">
        <f t="shared" ref="E308:E337" si="30">SUM(G308+J308+K308+L308)</f>
        <v>203</v>
      </c>
      <c r="F308" s="326"/>
      <c r="G308" s="326">
        <f t="shared" ref="G308:G337" si="31">SUM(H308:I308)</f>
        <v>105</v>
      </c>
      <c r="H308" s="600">
        <v>96</v>
      </c>
      <c r="I308" s="600">
        <v>9</v>
      </c>
      <c r="J308" s="326">
        <v>9</v>
      </c>
      <c r="K308" s="326">
        <v>38</v>
      </c>
      <c r="L308" s="326">
        <v>51</v>
      </c>
    </row>
    <row r="309" spans="1:12" s="263" customFormat="1" ht="9" customHeight="1" x14ac:dyDescent="0.25">
      <c r="A309" s="267" t="s">
        <v>26</v>
      </c>
      <c r="B309" s="599" t="s">
        <v>22</v>
      </c>
      <c r="C309" s="599" t="s">
        <v>22</v>
      </c>
      <c r="D309" s="328"/>
      <c r="E309" s="604">
        <f t="shared" si="30"/>
        <v>137</v>
      </c>
      <c r="F309" s="328"/>
      <c r="G309" s="328">
        <f t="shared" si="31"/>
        <v>83</v>
      </c>
      <c r="H309" s="604">
        <v>83</v>
      </c>
      <c r="I309" s="604">
        <v>0</v>
      </c>
      <c r="J309" s="328">
        <v>6</v>
      </c>
      <c r="K309" s="328">
        <v>27</v>
      </c>
      <c r="L309" s="328">
        <v>21</v>
      </c>
    </row>
    <row r="310" spans="1:12" s="263" customFormat="1" ht="9" customHeight="1" x14ac:dyDescent="0.25">
      <c r="A310" s="263" t="s">
        <v>27</v>
      </c>
      <c r="B310" s="598" t="s">
        <v>22</v>
      </c>
      <c r="C310" s="598" t="s">
        <v>22</v>
      </c>
      <c r="D310" s="326"/>
      <c r="E310" s="600">
        <f t="shared" si="30"/>
        <v>1704</v>
      </c>
      <c r="F310" s="326"/>
      <c r="G310" s="326">
        <f t="shared" si="31"/>
        <v>768</v>
      </c>
      <c r="H310" s="600">
        <v>712</v>
      </c>
      <c r="I310" s="600">
        <v>56</v>
      </c>
      <c r="J310" s="326">
        <v>62</v>
      </c>
      <c r="K310" s="326">
        <v>434</v>
      </c>
      <c r="L310" s="326">
        <v>440</v>
      </c>
    </row>
    <row r="311" spans="1:12" s="263" customFormat="1" ht="9" customHeight="1" x14ac:dyDescent="0.25">
      <c r="A311" s="263" t="s">
        <v>28</v>
      </c>
      <c r="B311" s="598" t="s">
        <v>22</v>
      </c>
      <c r="C311" s="598" t="s">
        <v>22</v>
      </c>
      <c r="D311" s="326"/>
      <c r="E311" s="600">
        <f t="shared" si="30"/>
        <v>252</v>
      </c>
      <c r="F311" s="326"/>
      <c r="G311" s="326">
        <f t="shared" si="31"/>
        <v>129</v>
      </c>
      <c r="H311" s="600">
        <v>124</v>
      </c>
      <c r="I311" s="600">
        <v>5</v>
      </c>
      <c r="J311" s="326">
        <v>20</v>
      </c>
      <c r="K311" s="326">
        <v>35</v>
      </c>
      <c r="L311" s="326">
        <v>68</v>
      </c>
    </row>
    <row r="312" spans="1:12" s="263" customFormat="1" ht="9" customHeight="1" x14ac:dyDescent="0.25">
      <c r="A312" s="263" t="s">
        <v>29</v>
      </c>
      <c r="B312" s="598" t="s">
        <v>22</v>
      </c>
      <c r="C312" s="598" t="s">
        <v>22</v>
      </c>
      <c r="D312" s="326"/>
      <c r="E312" s="600">
        <f t="shared" si="30"/>
        <v>764</v>
      </c>
      <c r="F312" s="326"/>
      <c r="G312" s="326">
        <f t="shared" si="31"/>
        <v>435</v>
      </c>
      <c r="H312" s="600">
        <v>425</v>
      </c>
      <c r="I312" s="600">
        <v>10</v>
      </c>
      <c r="J312" s="326">
        <v>17</v>
      </c>
      <c r="K312" s="326">
        <v>101</v>
      </c>
      <c r="L312" s="326">
        <v>211</v>
      </c>
    </row>
    <row r="313" spans="1:12" s="263" customFormat="1" ht="9" customHeight="1" x14ac:dyDescent="0.25">
      <c r="A313" s="267" t="s">
        <v>30</v>
      </c>
      <c r="B313" s="599" t="s">
        <v>22</v>
      </c>
      <c r="C313" s="599" t="s">
        <v>22</v>
      </c>
      <c r="D313" s="328"/>
      <c r="E313" s="604">
        <f t="shared" si="30"/>
        <v>2922</v>
      </c>
      <c r="F313" s="328"/>
      <c r="G313" s="328">
        <f t="shared" si="31"/>
        <v>1684</v>
      </c>
      <c r="H313" s="604">
        <v>1591</v>
      </c>
      <c r="I313" s="604">
        <v>93</v>
      </c>
      <c r="J313" s="328">
        <v>189</v>
      </c>
      <c r="K313" s="328">
        <v>472</v>
      </c>
      <c r="L313" s="328">
        <v>577</v>
      </c>
    </row>
    <row r="314" spans="1:12" s="263" customFormat="1" ht="9" customHeight="1" x14ac:dyDescent="0.25">
      <c r="A314" s="263" t="s">
        <v>63</v>
      </c>
      <c r="B314" s="598" t="s">
        <v>22</v>
      </c>
      <c r="C314" s="598" t="s">
        <v>22</v>
      </c>
      <c r="D314" s="326"/>
      <c r="E314" s="600">
        <f t="shared" si="30"/>
        <v>15739</v>
      </c>
      <c r="F314" s="326"/>
      <c r="G314" s="326">
        <f t="shared" si="31"/>
        <v>8305</v>
      </c>
      <c r="H314" s="600">
        <v>6951</v>
      </c>
      <c r="I314" s="600">
        <v>1354</v>
      </c>
      <c r="J314" s="326">
        <v>958</v>
      </c>
      <c r="K314" s="326">
        <v>3744</v>
      </c>
      <c r="L314" s="326">
        <v>2732</v>
      </c>
    </row>
    <row r="315" spans="1:12" s="263" customFormat="1" ht="9" customHeight="1" x14ac:dyDescent="0.25">
      <c r="A315" s="263" t="s">
        <v>31</v>
      </c>
      <c r="B315" s="598" t="s">
        <v>22</v>
      </c>
      <c r="C315" s="598" t="s">
        <v>22</v>
      </c>
      <c r="D315" s="326"/>
      <c r="E315" s="600">
        <f t="shared" si="30"/>
        <v>434</v>
      </c>
      <c r="F315" s="326"/>
      <c r="G315" s="326">
        <f t="shared" si="31"/>
        <v>265</v>
      </c>
      <c r="H315" s="600">
        <v>257</v>
      </c>
      <c r="I315" s="600">
        <v>8</v>
      </c>
      <c r="J315" s="263">
        <v>21</v>
      </c>
      <c r="K315" s="326">
        <v>60</v>
      </c>
      <c r="L315" s="326">
        <v>88</v>
      </c>
    </row>
    <row r="316" spans="1:12" s="263" customFormat="1" ht="9" customHeight="1" x14ac:dyDescent="0.25">
      <c r="A316" s="263" t="s">
        <v>32</v>
      </c>
      <c r="B316" s="598" t="s">
        <v>22</v>
      </c>
      <c r="C316" s="598" t="s">
        <v>22</v>
      </c>
      <c r="D316" s="326"/>
      <c r="E316" s="600">
        <f t="shared" si="30"/>
        <v>3735</v>
      </c>
      <c r="F316" s="326"/>
      <c r="G316" s="326">
        <f t="shared" si="31"/>
        <v>1999</v>
      </c>
      <c r="H316" s="600">
        <v>1878</v>
      </c>
      <c r="I316" s="600">
        <v>121</v>
      </c>
      <c r="J316" s="326">
        <v>266</v>
      </c>
      <c r="K316" s="326">
        <v>602</v>
      </c>
      <c r="L316" s="326">
        <v>868</v>
      </c>
    </row>
    <row r="317" spans="1:12" s="263" customFormat="1" ht="9" customHeight="1" x14ac:dyDescent="0.25">
      <c r="A317" s="267" t="s">
        <v>33</v>
      </c>
      <c r="B317" s="599" t="s">
        <v>22</v>
      </c>
      <c r="C317" s="599" t="s">
        <v>22</v>
      </c>
      <c r="D317" s="328"/>
      <c r="E317" s="604">
        <f t="shared" si="30"/>
        <v>868</v>
      </c>
      <c r="F317" s="328"/>
      <c r="G317" s="328">
        <f t="shared" si="31"/>
        <v>509</v>
      </c>
      <c r="H317" s="604">
        <v>477</v>
      </c>
      <c r="I317" s="604">
        <v>32</v>
      </c>
      <c r="J317" s="328">
        <v>40</v>
      </c>
      <c r="K317" s="328">
        <v>118</v>
      </c>
      <c r="L317" s="328">
        <v>201</v>
      </c>
    </row>
    <row r="318" spans="1:12" s="263" customFormat="1" ht="9" customHeight="1" x14ac:dyDescent="0.25">
      <c r="A318" s="263" t="s">
        <v>34</v>
      </c>
      <c r="B318" s="598" t="s">
        <v>22</v>
      </c>
      <c r="C318" s="598" t="s">
        <v>22</v>
      </c>
      <c r="D318" s="326"/>
      <c r="E318" s="600">
        <f t="shared" si="30"/>
        <v>891</v>
      </c>
      <c r="F318" s="326"/>
      <c r="G318" s="326">
        <f t="shared" si="31"/>
        <v>511</v>
      </c>
      <c r="H318" s="600">
        <v>477</v>
      </c>
      <c r="I318" s="600">
        <v>34</v>
      </c>
      <c r="J318" s="326">
        <v>33</v>
      </c>
      <c r="K318" s="326">
        <v>131</v>
      </c>
      <c r="L318" s="326">
        <v>216</v>
      </c>
    </row>
    <row r="319" spans="1:12" s="263" customFormat="1" ht="9" customHeight="1" x14ac:dyDescent="0.25">
      <c r="A319" s="263" t="s">
        <v>35</v>
      </c>
      <c r="B319" s="598" t="s">
        <v>22</v>
      </c>
      <c r="C319" s="598" t="s">
        <v>22</v>
      </c>
      <c r="D319" s="326"/>
      <c r="E319" s="600">
        <f t="shared" si="30"/>
        <v>5484</v>
      </c>
      <c r="F319" s="326"/>
      <c r="G319" s="326">
        <f t="shared" si="31"/>
        <v>2914</v>
      </c>
      <c r="H319" s="600">
        <v>2601</v>
      </c>
      <c r="I319" s="600">
        <v>313</v>
      </c>
      <c r="J319" s="326">
        <v>256</v>
      </c>
      <c r="K319" s="326">
        <v>1073</v>
      </c>
      <c r="L319" s="326">
        <v>1241</v>
      </c>
    </row>
    <row r="320" spans="1:12" s="263" customFormat="1" ht="9" customHeight="1" x14ac:dyDescent="0.25">
      <c r="A320" s="263" t="s">
        <v>36</v>
      </c>
      <c r="B320" s="598" t="s">
        <v>22</v>
      </c>
      <c r="C320" s="598" t="s">
        <v>22</v>
      </c>
      <c r="D320" s="326"/>
      <c r="E320" s="600">
        <f t="shared" si="30"/>
        <v>6743</v>
      </c>
      <c r="F320" s="326"/>
      <c r="G320" s="326">
        <f t="shared" si="31"/>
        <v>4087</v>
      </c>
      <c r="H320" s="600">
        <v>3595</v>
      </c>
      <c r="I320" s="600">
        <v>492</v>
      </c>
      <c r="J320" s="326">
        <v>283</v>
      </c>
      <c r="K320" s="326">
        <v>1346</v>
      </c>
      <c r="L320" s="326">
        <v>1027</v>
      </c>
    </row>
    <row r="321" spans="1:12" s="263" customFormat="1" ht="9" customHeight="1" x14ac:dyDescent="0.25">
      <c r="A321" s="267" t="s">
        <v>37</v>
      </c>
      <c r="B321" s="599" t="s">
        <v>22</v>
      </c>
      <c r="C321" s="599" t="s">
        <v>22</v>
      </c>
      <c r="D321" s="328"/>
      <c r="E321" s="604">
        <f t="shared" si="30"/>
        <v>2846</v>
      </c>
      <c r="F321" s="328"/>
      <c r="G321" s="328">
        <f t="shared" si="31"/>
        <v>1634</v>
      </c>
      <c r="H321" s="604">
        <v>1581</v>
      </c>
      <c r="I321" s="604">
        <v>53</v>
      </c>
      <c r="J321" s="328">
        <v>95</v>
      </c>
      <c r="K321" s="328">
        <v>435</v>
      </c>
      <c r="L321" s="328">
        <v>682</v>
      </c>
    </row>
    <row r="322" spans="1:12" s="263" customFormat="1" ht="9" customHeight="1" x14ac:dyDescent="0.25">
      <c r="A322" s="263" t="s">
        <v>38</v>
      </c>
      <c r="B322" s="598" t="s">
        <v>22</v>
      </c>
      <c r="C322" s="598" t="s">
        <v>22</v>
      </c>
      <c r="D322" s="326"/>
      <c r="E322" s="600">
        <f t="shared" si="30"/>
        <v>958</v>
      </c>
      <c r="F322" s="326"/>
      <c r="G322" s="326">
        <f t="shared" si="31"/>
        <v>512</v>
      </c>
      <c r="H322" s="600">
        <v>490</v>
      </c>
      <c r="I322" s="600">
        <v>22</v>
      </c>
      <c r="J322" s="326">
        <v>44</v>
      </c>
      <c r="K322" s="326">
        <v>216</v>
      </c>
      <c r="L322" s="326">
        <v>186</v>
      </c>
    </row>
    <row r="323" spans="1:12" s="263" customFormat="1" ht="9" customHeight="1" x14ac:dyDescent="0.25">
      <c r="A323" s="263" t="s">
        <v>39</v>
      </c>
      <c r="B323" s="598" t="s">
        <v>22</v>
      </c>
      <c r="C323" s="598" t="s">
        <v>22</v>
      </c>
      <c r="D323" s="326"/>
      <c r="E323" s="600">
        <f t="shared" si="30"/>
        <v>235</v>
      </c>
      <c r="F323" s="326"/>
      <c r="G323" s="326">
        <f t="shared" si="31"/>
        <v>103</v>
      </c>
      <c r="H323" s="600">
        <v>101</v>
      </c>
      <c r="I323" s="600">
        <v>2</v>
      </c>
      <c r="J323" s="326">
        <v>37</v>
      </c>
      <c r="K323" s="326">
        <v>57</v>
      </c>
      <c r="L323" s="326">
        <v>38</v>
      </c>
    </row>
    <row r="324" spans="1:12" s="263" customFormat="1" ht="9" customHeight="1" x14ac:dyDescent="0.25">
      <c r="A324" s="263" t="s">
        <v>40</v>
      </c>
      <c r="B324" s="598" t="s">
        <v>22</v>
      </c>
      <c r="C324" s="598" t="s">
        <v>22</v>
      </c>
      <c r="D324" s="326"/>
      <c r="E324" s="600">
        <f t="shared" si="30"/>
        <v>6223</v>
      </c>
      <c r="F324" s="326"/>
      <c r="G324" s="326">
        <f t="shared" si="31"/>
        <v>3205</v>
      </c>
      <c r="H324" s="600">
        <v>2980</v>
      </c>
      <c r="I324" s="600">
        <v>225</v>
      </c>
      <c r="J324" s="326">
        <v>316</v>
      </c>
      <c r="K324" s="326">
        <v>1650</v>
      </c>
      <c r="L324" s="326">
        <v>1052</v>
      </c>
    </row>
    <row r="325" spans="1:12" s="263" customFormat="1" ht="9" customHeight="1" x14ac:dyDescent="0.25">
      <c r="A325" s="267" t="s">
        <v>41</v>
      </c>
      <c r="B325" s="599" t="s">
        <v>22</v>
      </c>
      <c r="C325" s="599" t="s">
        <v>22</v>
      </c>
      <c r="D325" s="328"/>
      <c r="E325" s="604">
        <f t="shared" si="30"/>
        <v>793</v>
      </c>
      <c r="F325" s="328"/>
      <c r="G325" s="328">
        <f t="shared" si="31"/>
        <v>472</v>
      </c>
      <c r="H325" s="604">
        <v>446</v>
      </c>
      <c r="I325" s="604">
        <v>26</v>
      </c>
      <c r="J325" s="328">
        <v>46</v>
      </c>
      <c r="K325" s="328">
        <v>110</v>
      </c>
      <c r="L325" s="328">
        <v>165</v>
      </c>
    </row>
    <row r="326" spans="1:12" s="263" customFormat="1" ht="9" customHeight="1" x14ac:dyDescent="0.25">
      <c r="A326" s="263" t="s">
        <v>42</v>
      </c>
      <c r="B326" s="598" t="s">
        <v>22</v>
      </c>
      <c r="C326" s="598" t="s">
        <v>22</v>
      </c>
      <c r="D326" s="326"/>
      <c r="E326" s="600">
        <f t="shared" si="30"/>
        <v>2786</v>
      </c>
      <c r="F326" s="326"/>
      <c r="G326" s="326">
        <f t="shared" si="31"/>
        <v>1546</v>
      </c>
      <c r="H326" s="600">
        <v>1464</v>
      </c>
      <c r="I326" s="600">
        <v>82</v>
      </c>
      <c r="J326" s="326">
        <v>118</v>
      </c>
      <c r="K326" s="326">
        <v>449</v>
      </c>
      <c r="L326" s="326">
        <v>673</v>
      </c>
    </row>
    <row r="327" spans="1:12" s="263" customFormat="1" ht="9" customHeight="1" x14ac:dyDescent="0.25">
      <c r="A327" s="263" t="s">
        <v>43</v>
      </c>
      <c r="B327" s="598" t="s">
        <v>22</v>
      </c>
      <c r="C327" s="598" t="s">
        <v>22</v>
      </c>
      <c r="D327" s="326"/>
      <c r="E327" s="600">
        <f t="shared" si="30"/>
        <v>1261</v>
      </c>
      <c r="F327" s="326"/>
      <c r="G327" s="326">
        <f t="shared" si="31"/>
        <v>636</v>
      </c>
      <c r="H327" s="600">
        <v>568</v>
      </c>
      <c r="I327" s="600">
        <v>68</v>
      </c>
      <c r="J327" s="326">
        <v>104</v>
      </c>
      <c r="K327" s="326">
        <v>287</v>
      </c>
      <c r="L327" s="326">
        <v>234</v>
      </c>
    </row>
    <row r="328" spans="1:12" s="263" customFormat="1" ht="9" customHeight="1" x14ac:dyDescent="0.25">
      <c r="A328" s="263" t="s">
        <v>44</v>
      </c>
      <c r="B328" s="598" t="s">
        <v>22</v>
      </c>
      <c r="C328" s="598" t="s">
        <v>22</v>
      </c>
      <c r="D328" s="326"/>
      <c r="E328" s="600">
        <f t="shared" si="30"/>
        <v>621</v>
      </c>
      <c r="F328" s="326"/>
      <c r="G328" s="326">
        <f t="shared" si="31"/>
        <v>262</v>
      </c>
      <c r="H328" s="600">
        <v>247</v>
      </c>
      <c r="I328" s="600">
        <v>15</v>
      </c>
      <c r="J328" s="326">
        <v>36</v>
      </c>
      <c r="K328" s="326">
        <v>166</v>
      </c>
      <c r="L328" s="326">
        <v>157</v>
      </c>
    </row>
    <row r="329" spans="1:12" s="263" customFormat="1" ht="9" customHeight="1" x14ac:dyDescent="0.25">
      <c r="A329" s="267" t="s">
        <v>45</v>
      </c>
      <c r="B329" s="599" t="s">
        <v>22</v>
      </c>
      <c r="C329" s="599" t="s">
        <v>22</v>
      </c>
      <c r="D329" s="328"/>
      <c r="E329" s="604">
        <f t="shared" si="30"/>
        <v>1537</v>
      </c>
      <c r="F329" s="328"/>
      <c r="G329" s="328">
        <f t="shared" si="31"/>
        <v>812</v>
      </c>
      <c r="H329" s="604">
        <v>763</v>
      </c>
      <c r="I329" s="604">
        <v>49</v>
      </c>
      <c r="J329" s="328">
        <v>71</v>
      </c>
      <c r="K329" s="328">
        <v>308</v>
      </c>
      <c r="L329" s="328">
        <v>346</v>
      </c>
    </row>
    <row r="330" spans="1:12" s="263" customFormat="1" ht="9" customHeight="1" x14ac:dyDescent="0.25">
      <c r="A330" s="263" t="s">
        <v>46</v>
      </c>
      <c r="B330" s="598" t="s">
        <v>22</v>
      </c>
      <c r="C330" s="598" t="s">
        <v>22</v>
      </c>
      <c r="D330" s="326"/>
      <c r="E330" s="600">
        <f t="shared" si="30"/>
        <v>1187</v>
      </c>
      <c r="F330" s="326"/>
      <c r="G330" s="326">
        <f t="shared" si="31"/>
        <v>674</v>
      </c>
      <c r="H330" s="600">
        <v>649</v>
      </c>
      <c r="I330" s="600">
        <v>25</v>
      </c>
      <c r="J330" s="326">
        <v>75</v>
      </c>
      <c r="K330" s="326">
        <v>182</v>
      </c>
      <c r="L330" s="326">
        <v>256</v>
      </c>
    </row>
    <row r="331" spans="1:12" s="263" customFormat="1" ht="9" customHeight="1" x14ac:dyDescent="0.25">
      <c r="A331" s="263" t="s">
        <v>47</v>
      </c>
      <c r="B331" s="598" t="s">
        <v>22</v>
      </c>
      <c r="C331" s="598" t="s">
        <v>22</v>
      </c>
      <c r="D331" s="326"/>
      <c r="E331" s="600">
        <f t="shared" si="30"/>
        <v>1605</v>
      </c>
      <c r="F331" s="326"/>
      <c r="G331" s="326">
        <f t="shared" si="31"/>
        <v>727</v>
      </c>
      <c r="H331" s="600">
        <v>717</v>
      </c>
      <c r="I331" s="600">
        <v>10</v>
      </c>
      <c r="J331" s="326">
        <v>76</v>
      </c>
      <c r="K331" s="326">
        <v>562</v>
      </c>
      <c r="L331" s="326">
        <v>240</v>
      </c>
    </row>
    <row r="332" spans="1:12" s="263" customFormat="1" ht="9" customHeight="1" x14ac:dyDescent="0.25">
      <c r="A332" s="263" t="s">
        <v>48</v>
      </c>
      <c r="B332" s="598" t="s">
        <v>22</v>
      </c>
      <c r="C332" s="598" t="s">
        <v>22</v>
      </c>
      <c r="D332" s="326"/>
      <c r="E332" s="600">
        <f t="shared" si="30"/>
        <v>877</v>
      </c>
      <c r="F332" s="326"/>
      <c r="G332" s="326">
        <f t="shared" si="31"/>
        <v>468</v>
      </c>
      <c r="H332" s="600">
        <v>446</v>
      </c>
      <c r="I332" s="600">
        <v>22</v>
      </c>
      <c r="J332" s="326">
        <v>73</v>
      </c>
      <c r="K332" s="326">
        <v>204</v>
      </c>
      <c r="L332" s="326">
        <v>132</v>
      </c>
    </row>
    <row r="333" spans="1:12" s="263" customFormat="1" ht="9" customHeight="1" x14ac:dyDescent="0.25">
      <c r="A333" s="267" t="s">
        <v>49</v>
      </c>
      <c r="B333" s="599" t="s">
        <v>22</v>
      </c>
      <c r="C333" s="599" t="s">
        <v>22</v>
      </c>
      <c r="D333" s="328"/>
      <c r="E333" s="604">
        <f t="shared" si="30"/>
        <v>2128</v>
      </c>
      <c r="F333" s="328"/>
      <c r="G333" s="328">
        <f t="shared" si="31"/>
        <v>1162</v>
      </c>
      <c r="H333" s="604">
        <v>1104</v>
      </c>
      <c r="I333" s="604">
        <v>58</v>
      </c>
      <c r="J333" s="328">
        <v>131</v>
      </c>
      <c r="K333" s="328">
        <v>339</v>
      </c>
      <c r="L333" s="328">
        <v>496</v>
      </c>
    </row>
    <row r="334" spans="1:12" s="263" customFormat="1" ht="9" customHeight="1" x14ac:dyDescent="0.25">
      <c r="A334" s="263" t="s">
        <v>50</v>
      </c>
      <c r="B334" s="598" t="s">
        <v>22</v>
      </c>
      <c r="C334" s="598" t="s">
        <v>22</v>
      </c>
      <c r="D334" s="326"/>
      <c r="E334" s="600">
        <f t="shared" si="30"/>
        <v>310</v>
      </c>
      <c r="F334" s="326"/>
      <c r="G334" s="326">
        <f t="shared" si="31"/>
        <v>181</v>
      </c>
      <c r="H334" s="600">
        <v>176</v>
      </c>
      <c r="I334" s="600">
        <v>5</v>
      </c>
      <c r="J334" s="326">
        <v>16</v>
      </c>
      <c r="K334" s="326">
        <v>47</v>
      </c>
      <c r="L334" s="326">
        <v>66</v>
      </c>
    </row>
    <row r="335" spans="1:12" s="263" customFormat="1" ht="9" customHeight="1" x14ac:dyDescent="0.25">
      <c r="A335" s="263" t="s">
        <v>51</v>
      </c>
      <c r="B335" s="598" t="s">
        <v>22</v>
      </c>
      <c r="C335" s="598" t="s">
        <v>22</v>
      </c>
      <c r="D335" s="326"/>
      <c r="E335" s="600">
        <f t="shared" si="30"/>
        <v>2138</v>
      </c>
      <c r="F335" s="326"/>
      <c r="G335" s="326">
        <f t="shared" si="31"/>
        <v>1198</v>
      </c>
      <c r="H335" s="600">
        <v>1133</v>
      </c>
      <c r="I335" s="600">
        <v>65</v>
      </c>
      <c r="J335" s="326">
        <v>74</v>
      </c>
      <c r="K335" s="326">
        <v>377</v>
      </c>
      <c r="L335" s="326">
        <v>489</v>
      </c>
    </row>
    <row r="336" spans="1:12" s="263" customFormat="1" ht="9" customHeight="1" x14ac:dyDescent="0.25">
      <c r="A336" s="263" t="s">
        <v>52</v>
      </c>
      <c r="B336" s="598" t="s">
        <v>22</v>
      </c>
      <c r="C336" s="598" t="s">
        <v>22</v>
      </c>
      <c r="D336" s="326"/>
      <c r="E336" s="600">
        <f t="shared" si="30"/>
        <v>1064</v>
      </c>
      <c r="F336" s="326"/>
      <c r="G336" s="326">
        <f t="shared" si="31"/>
        <v>543</v>
      </c>
      <c r="H336" s="600">
        <v>520</v>
      </c>
      <c r="I336" s="600">
        <v>23</v>
      </c>
      <c r="J336" s="326">
        <v>27</v>
      </c>
      <c r="K336" s="326">
        <v>163</v>
      </c>
      <c r="L336" s="326">
        <v>331</v>
      </c>
    </row>
    <row r="337" spans="1:28" s="263" customFormat="1" ht="9" customHeight="1" x14ac:dyDescent="0.25">
      <c r="A337" s="267" t="s">
        <v>53</v>
      </c>
      <c r="B337" s="599" t="s">
        <v>22</v>
      </c>
      <c r="C337" s="599" t="s">
        <v>22</v>
      </c>
      <c r="D337" s="328"/>
      <c r="E337" s="604">
        <f t="shared" si="30"/>
        <v>525</v>
      </c>
      <c r="F337" s="328"/>
      <c r="G337" s="328">
        <f t="shared" si="31"/>
        <v>260</v>
      </c>
      <c r="H337" s="604">
        <v>245</v>
      </c>
      <c r="I337" s="604">
        <v>15</v>
      </c>
      <c r="J337" s="328">
        <v>24</v>
      </c>
      <c r="K337" s="328">
        <v>89</v>
      </c>
      <c r="L337" s="328">
        <v>152</v>
      </c>
    </row>
    <row r="338" spans="1:28" s="263" customFormat="1" ht="9" customHeight="1" x14ac:dyDescent="0.25">
      <c r="A338" s="286"/>
      <c r="B338" s="613"/>
      <c r="C338" s="613"/>
      <c r="D338" s="329"/>
      <c r="E338" s="605"/>
      <c r="F338" s="329"/>
      <c r="G338" s="329"/>
      <c r="H338" s="605"/>
      <c r="I338" s="605"/>
      <c r="J338" s="329"/>
      <c r="K338" s="329"/>
      <c r="L338" s="329"/>
    </row>
    <row r="339" spans="1:28" s="263" customFormat="1" ht="9" customHeight="1" x14ac:dyDescent="0.25">
      <c r="A339" s="261">
        <v>2004</v>
      </c>
      <c r="B339" s="262"/>
      <c r="C339" s="262"/>
      <c r="D339" s="262"/>
      <c r="E339" s="262"/>
      <c r="F339" s="262"/>
      <c r="G339" s="262"/>
      <c r="H339" s="262"/>
      <c r="I339" s="262"/>
      <c r="J339" s="262"/>
      <c r="K339" s="262"/>
      <c r="L339" s="262"/>
    </row>
    <row r="340" spans="1:28" s="263" customFormat="1" ht="9" customHeight="1" x14ac:dyDescent="0.25">
      <c r="A340" s="265" t="s">
        <v>21</v>
      </c>
      <c r="B340" s="325" t="s">
        <v>22</v>
      </c>
      <c r="C340" s="325" t="s">
        <v>22</v>
      </c>
      <c r="D340" s="325"/>
      <c r="E340" s="325">
        <f>SUM(E342:E373)</f>
        <v>70456</v>
      </c>
      <c r="F340" s="325"/>
      <c r="G340" s="325">
        <f t="shared" ref="G340:L340" si="32">SUM(G342:G373)</f>
        <v>37885</v>
      </c>
      <c r="H340" s="325">
        <f t="shared" si="32"/>
        <v>34258</v>
      </c>
      <c r="I340" s="325">
        <f t="shared" si="32"/>
        <v>3627</v>
      </c>
      <c r="J340" s="325">
        <f t="shared" si="32"/>
        <v>3494</v>
      </c>
      <c r="K340" s="325">
        <f t="shared" si="32"/>
        <v>14521</v>
      </c>
      <c r="L340" s="325">
        <f t="shared" si="32"/>
        <v>14556</v>
      </c>
      <c r="V340" s="326"/>
      <c r="W340" s="326"/>
      <c r="X340" s="326"/>
      <c r="Y340" s="326"/>
      <c r="Z340" s="326"/>
      <c r="AA340" s="326"/>
      <c r="AB340" s="326"/>
    </row>
    <row r="341" spans="1:28" s="263" customFormat="1" ht="3.95" customHeight="1" x14ac:dyDescent="0.25">
      <c r="A341" s="265"/>
      <c r="B341" s="325"/>
      <c r="C341" s="325"/>
      <c r="D341" s="325"/>
      <c r="E341" s="325"/>
      <c r="F341" s="325"/>
      <c r="G341" s="325"/>
      <c r="H341" s="325"/>
      <c r="I341" s="325"/>
      <c r="J341" s="325"/>
      <c r="K341" s="325"/>
      <c r="L341" s="325"/>
      <c r="V341" s="326"/>
      <c r="W341" s="326"/>
      <c r="X341" s="326"/>
      <c r="Y341" s="326"/>
      <c r="Z341" s="326"/>
      <c r="AA341" s="326"/>
      <c r="AB341" s="326"/>
    </row>
    <row r="342" spans="1:28" s="263" customFormat="1" ht="9" customHeight="1" x14ac:dyDescent="0.25">
      <c r="A342" s="263" t="s">
        <v>23</v>
      </c>
      <c r="B342" s="598" t="s">
        <v>22</v>
      </c>
      <c r="C342" s="598" t="s">
        <v>22</v>
      </c>
      <c r="D342" s="326"/>
      <c r="E342" s="600">
        <f>SUM(G342+J342+K342+L342)</f>
        <v>697</v>
      </c>
      <c r="F342" s="326"/>
      <c r="G342" s="326">
        <f>SUM(H342:I342)</f>
        <v>306</v>
      </c>
      <c r="H342" s="600">
        <v>284</v>
      </c>
      <c r="I342" s="600">
        <v>22</v>
      </c>
      <c r="J342" s="326">
        <v>50</v>
      </c>
      <c r="K342" s="326">
        <v>140</v>
      </c>
      <c r="L342" s="326">
        <v>201</v>
      </c>
      <c r="V342" s="326"/>
      <c r="W342" s="326"/>
      <c r="X342" s="326"/>
      <c r="Y342" s="326"/>
      <c r="Z342" s="326"/>
      <c r="AA342" s="326"/>
      <c r="AB342" s="326"/>
    </row>
    <row r="343" spans="1:28" s="263" customFormat="1" ht="9" customHeight="1" x14ac:dyDescent="0.25">
      <c r="A343" s="263" t="s">
        <v>24</v>
      </c>
      <c r="B343" s="598" t="s">
        <v>22</v>
      </c>
      <c r="C343" s="598" t="s">
        <v>22</v>
      </c>
      <c r="D343" s="326"/>
      <c r="E343" s="600">
        <f>SUM(G343+J343+K343+L343)</f>
        <v>1798</v>
      </c>
      <c r="F343" s="598"/>
      <c r="G343" s="326">
        <f>SUM(H343:I343)</f>
        <v>995</v>
      </c>
      <c r="H343" s="598">
        <v>954</v>
      </c>
      <c r="I343" s="598">
        <v>41</v>
      </c>
      <c r="J343" s="598">
        <v>33</v>
      </c>
      <c r="K343" s="598">
        <v>348</v>
      </c>
      <c r="L343" s="598">
        <v>422</v>
      </c>
      <c r="V343" s="326"/>
      <c r="W343" s="326"/>
      <c r="X343" s="326"/>
      <c r="Y343" s="326"/>
      <c r="Z343" s="326"/>
      <c r="AA343" s="326"/>
      <c r="AB343" s="326"/>
    </row>
    <row r="344" spans="1:28" s="263" customFormat="1" ht="9" customHeight="1" x14ac:dyDescent="0.25">
      <c r="A344" s="263" t="s">
        <v>25</v>
      </c>
      <c r="B344" s="598" t="s">
        <v>22</v>
      </c>
      <c r="C344" s="598" t="s">
        <v>22</v>
      </c>
      <c r="D344" s="326"/>
      <c r="E344" s="600">
        <f t="shared" ref="E344:E373" si="33">SUM(G344+J344+K344+L344)</f>
        <v>213</v>
      </c>
      <c r="F344" s="326"/>
      <c r="G344" s="326">
        <f t="shared" ref="G344:G373" si="34">SUM(H344:I344)</f>
        <v>107</v>
      </c>
      <c r="H344" s="600">
        <v>101</v>
      </c>
      <c r="I344" s="600">
        <v>6</v>
      </c>
      <c r="J344" s="326">
        <v>13</v>
      </c>
      <c r="K344" s="326">
        <v>43</v>
      </c>
      <c r="L344" s="326">
        <v>50</v>
      </c>
      <c r="V344" s="326"/>
      <c r="W344" s="326"/>
      <c r="X344" s="326"/>
      <c r="Y344" s="326"/>
      <c r="Z344" s="326"/>
      <c r="AA344" s="326"/>
      <c r="AB344" s="326"/>
    </row>
    <row r="345" spans="1:28" s="263" customFormat="1" ht="9" customHeight="1" x14ac:dyDescent="0.25">
      <c r="A345" s="267" t="s">
        <v>26</v>
      </c>
      <c r="B345" s="599" t="s">
        <v>22</v>
      </c>
      <c r="C345" s="599" t="s">
        <v>22</v>
      </c>
      <c r="D345" s="328"/>
      <c r="E345" s="604">
        <f t="shared" si="33"/>
        <v>169</v>
      </c>
      <c r="F345" s="328"/>
      <c r="G345" s="328">
        <f t="shared" si="34"/>
        <v>99</v>
      </c>
      <c r="H345" s="604">
        <v>77</v>
      </c>
      <c r="I345" s="604">
        <v>22</v>
      </c>
      <c r="J345" s="328">
        <v>7</v>
      </c>
      <c r="K345" s="328">
        <v>21</v>
      </c>
      <c r="L345" s="328">
        <v>42</v>
      </c>
      <c r="V345" s="326"/>
      <c r="W345" s="326"/>
      <c r="X345" s="326"/>
      <c r="Y345" s="326"/>
      <c r="Z345" s="326"/>
      <c r="AA345" s="326"/>
      <c r="AB345" s="326"/>
    </row>
    <row r="346" spans="1:28" s="263" customFormat="1" ht="9" customHeight="1" x14ac:dyDescent="0.25">
      <c r="A346" s="263" t="s">
        <v>27</v>
      </c>
      <c r="B346" s="598" t="s">
        <v>22</v>
      </c>
      <c r="C346" s="598" t="s">
        <v>22</v>
      </c>
      <c r="D346" s="326"/>
      <c r="E346" s="600">
        <f t="shared" si="33"/>
        <v>1779</v>
      </c>
      <c r="F346" s="326"/>
      <c r="G346" s="326">
        <f t="shared" si="34"/>
        <v>803</v>
      </c>
      <c r="H346" s="600">
        <v>741</v>
      </c>
      <c r="I346" s="600">
        <v>62</v>
      </c>
      <c r="J346" s="326">
        <v>60</v>
      </c>
      <c r="K346" s="326">
        <v>454</v>
      </c>
      <c r="L346" s="326">
        <v>462</v>
      </c>
      <c r="V346" s="326"/>
      <c r="W346" s="326"/>
      <c r="X346" s="326"/>
      <c r="Y346" s="326"/>
      <c r="Z346" s="326"/>
      <c r="AA346" s="326"/>
      <c r="AB346" s="326"/>
    </row>
    <row r="347" spans="1:28" s="263" customFormat="1" ht="9" customHeight="1" x14ac:dyDescent="0.25">
      <c r="A347" s="263" t="s">
        <v>28</v>
      </c>
      <c r="B347" s="598" t="s">
        <v>22</v>
      </c>
      <c r="C347" s="598" t="s">
        <v>22</v>
      </c>
      <c r="D347" s="326"/>
      <c r="E347" s="600">
        <f t="shared" si="33"/>
        <v>306</v>
      </c>
      <c r="F347" s="326"/>
      <c r="G347" s="326">
        <f t="shared" si="34"/>
        <v>143</v>
      </c>
      <c r="H347" s="600">
        <v>138</v>
      </c>
      <c r="I347" s="600">
        <v>5</v>
      </c>
      <c r="J347" s="326">
        <v>29</v>
      </c>
      <c r="K347" s="326">
        <v>35</v>
      </c>
      <c r="L347" s="326">
        <v>99</v>
      </c>
      <c r="V347" s="326"/>
      <c r="W347" s="326"/>
      <c r="X347" s="326"/>
      <c r="Y347" s="326"/>
      <c r="Z347" s="326"/>
      <c r="AA347" s="326"/>
      <c r="AB347" s="326"/>
    </row>
    <row r="348" spans="1:28" s="263" customFormat="1" ht="9" customHeight="1" x14ac:dyDescent="0.25">
      <c r="A348" s="263" t="s">
        <v>29</v>
      </c>
      <c r="B348" s="598" t="s">
        <v>22</v>
      </c>
      <c r="C348" s="598" t="s">
        <v>22</v>
      </c>
      <c r="D348" s="326"/>
      <c r="E348" s="600">
        <f t="shared" si="33"/>
        <v>754</v>
      </c>
      <c r="F348" s="326"/>
      <c r="G348" s="326">
        <f t="shared" si="34"/>
        <v>455</v>
      </c>
      <c r="H348" s="600">
        <v>445</v>
      </c>
      <c r="I348" s="600">
        <v>10</v>
      </c>
      <c r="J348" s="326">
        <v>20</v>
      </c>
      <c r="K348" s="326">
        <v>95</v>
      </c>
      <c r="L348" s="326">
        <v>184</v>
      </c>
      <c r="V348" s="326"/>
      <c r="W348" s="326"/>
      <c r="X348" s="326"/>
      <c r="Y348" s="326"/>
      <c r="Z348" s="326"/>
      <c r="AA348" s="326"/>
      <c r="AB348" s="326"/>
    </row>
    <row r="349" spans="1:28" s="263" customFormat="1" ht="9" customHeight="1" x14ac:dyDescent="0.25">
      <c r="A349" s="267" t="s">
        <v>30</v>
      </c>
      <c r="B349" s="599" t="s">
        <v>22</v>
      </c>
      <c r="C349" s="599" t="s">
        <v>22</v>
      </c>
      <c r="D349" s="328"/>
      <c r="E349" s="604">
        <f t="shared" si="33"/>
        <v>3075</v>
      </c>
      <c r="F349" s="328"/>
      <c r="G349" s="328">
        <f t="shared" si="34"/>
        <v>1730</v>
      </c>
      <c r="H349" s="604">
        <v>1649</v>
      </c>
      <c r="I349" s="604">
        <v>81</v>
      </c>
      <c r="J349" s="328">
        <v>169</v>
      </c>
      <c r="K349" s="328">
        <v>526</v>
      </c>
      <c r="L349" s="328">
        <v>650</v>
      </c>
      <c r="V349" s="326"/>
      <c r="W349" s="326"/>
      <c r="X349" s="326"/>
      <c r="Y349" s="326"/>
      <c r="Z349" s="326"/>
      <c r="AA349" s="326"/>
      <c r="AB349" s="326"/>
    </row>
    <row r="350" spans="1:28" s="263" customFormat="1" ht="9" customHeight="1" x14ac:dyDescent="0.25">
      <c r="A350" s="263" t="s">
        <v>63</v>
      </c>
      <c r="B350" s="598" t="s">
        <v>22</v>
      </c>
      <c r="C350" s="598" t="s">
        <v>22</v>
      </c>
      <c r="D350" s="326"/>
      <c r="E350" s="600">
        <f t="shared" si="33"/>
        <v>15779</v>
      </c>
      <c r="F350" s="326"/>
      <c r="G350" s="326">
        <f t="shared" si="34"/>
        <v>8105</v>
      </c>
      <c r="H350" s="600">
        <v>6696</v>
      </c>
      <c r="I350" s="600">
        <v>1409</v>
      </c>
      <c r="J350" s="326">
        <v>894</v>
      </c>
      <c r="K350" s="326">
        <v>3956</v>
      </c>
      <c r="L350" s="326">
        <v>2824</v>
      </c>
      <c r="V350" s="326"/>
      <c r="W350" s="326"/>
      <c r="X350" s="326"/>
      <c r="Y350" s="326"/>
      <c r="Z350" s="326"/>
      <c r="AA350" s="326"/>
      <c r="AB350" s="326"/>
    </row>
    <row r="351" spans="1:28" s="263" customFormat="1" ht="9" customHeight="1" x14ac:dyDescent="0.25">
      <c r="A351" s="263" t="s">
        <v>31</v>
      </c>
      <c r="B351" s="598" t="s">
        <v>22</v>
      </c>
      <c r="C351" s="598" t="s">
        <v>22</v>
      </c>
      <c r="D351" s="326"/>
      <c r="E351" s="600">
        <f t="shared" si="33"/>
        <v>471</v>
      </c>
      <c r="F351" s="326"/>
      <c r="G351" s="326">
        <f t="shared" si="34"/>
        <v>283</v>
      </c>
      <c r="H351" s="600">
        <v>279</v>
      </c>
      <c r="I351" s="600">
        <v>4</v>
      </c>
      <c r="J351" s="263">
        <v>18</v>
      </c>
      <c r="K351" s="326">
        <v>65</v>
      </c>
      <c r="L351" s="326">
        <v>105</v>
      </c>
      <c r="V351" s="326"/>
      <c r="W351" s="326"/>
      <c r="X351" s="326"/>
      <c r="Y351" s="326"/>
      <c r="Z351" s="326"/>
      <c r="AA351" s="326"/>
      <c r="AB351" s="326"/>
    </row>
    <row r="352" spans="1:28" s="263" customFormat="1" ht="9" customHeight="1" x14ac:dyDescent="0.25">
      <c r="A352" s="263" t="s">
        <v>32</v>
      </c>
      <c r="B352" s="598" t="s">
        <v>22</v>
      </c>
      <c r="C352" s="598" t="s">
        <v>22</v>
      </c>
      <c r="D352" s="326"/>
      <c r="E352" s="600">
        <f t="shared" si="33"/>
        <v>3782</v>
      </c>
      <c r="F352" s="326"/>
      <c r="G352" s="326">
        <f t="shared" si="34"/>
        <v>2032</v>
      </c>
      <c r="H352" s="600">
        <v>1914</v>
      </c>
      <c r="I352" s="600">
        <v>118</v>
      </c>
      <c r="J352" s="326">
        <v>254</v>
      </c>
      <c r="K352" s="326">
        <v>634</v>
      </c>
      <c r="L352" s="326">
        <v>862</v>
      </c>
      <c r="V352" s="326"/>
      <c r="W352" s="326"/>
      <c r="X352" s="326"/>
      <c r="Y352" s="326"/>
      <c r="Z352" s="326"/>
      <c r="AA352" s="326"/>
      <c r="AB352" s="326"/>
    </row>
    <row r="353" spans="1:28" s="263" customFormat="1" ht="9" customHeight="1" x14ac:dyDescent="0.25">
      <c r="A353" s="267" t="s">
        <v>33</v>
      </c>
      <c r="B353" s="599" t="s">
        <v>22</v>
      </c>
      <c r="C353" s="599" t="s">
        <v>22</v>
      </c>
      <c r="D353" s="328"/>
      <c r="E353" s="604">
        <f t="shared" si="33"/>
        <v>916</v>
      </c>
      <c r="F353" s="328"/>
      <c r="G353" s="328">
        <f t="shared" si="34"/>
        <v>550</v>
      </c>
      <c r="H353" s="604">
        <v>509</v>
      </c>
      <c r="I353" s="604">
        <v>41</v>
      </c>
      <c r="J353" s="328">
        <v>78</v>
      </c>
      <c r="K353" s="328">
        <v>114</v>
      </c>
      <c r="L353" s="328">
        <v>174</v>
      </c>
      <c r="V353" s="326"/>
      <c r="W353" s="326"/>
      <c r="X353" s="326"/>
      <c r="Y353" s="326"/>
      <c r="Z353" s="326"/>
      <c r="AA353" s="326"/>
      <c r="AB353" s="326"/>
    </row>
    <row r="354" spans="1:28" s="263" customFormat="1" ht="9" customHeight="1" x14ac:dyDescent="0.25">
      <c r="A354" s="263" t="s">
        <v>34</v>
      </c>
      <c r="B354" s="598" t="s">
        <v>22</v>
      </c>
      <c r="C354" s="598" t="s">
        <v>22</v>
      </c>
      <c r="D354" s="326"/>
      <c r="E354" s="600">
        <f t="shared" si="33"/>
        <v>918</v>
      </c>
      <c r="F354" s="326"/>
      <c r="G354" s="326">
        <f t="shared" si="34"/>
        <v>515</v>
      </c>
      <c r="H354" s="600">
        <v>487</v>
      </c>
      <c r="I354" s="600">
        <v>28</v>
      </c>
      <c r="J354" s="326">
        <v>71</v>
      </c>
      <c r="K354" s="326">
        <v>138</v>
      </c>
      <c r="L354" s="326">
        <v>194</v>
      </c>
      <c r="V354" s="326"/>
      <c r="W354" s="326"/>
      <c r="X354" s="326"/>
      <c r="Y354" s="326"/>
      <c r="Z354" s="326"/>
      <c r="AA354" s="326"/>
      <c r="AB354" s="326"/>
    </row>
    <row r="355" spans="1:28" s="263" customFormat="1" ht="9" customHeight="1" x14ac:dyDescent="0.25">
      <c r="A355" s="263" t="s">
        <v>35</v>
      </c>
      <c r="B355" s="598" t="s">
        <v>22</v>
      </c>
      <c r="C355" s="598" t="s">
        <v>22</v>
      </c>
      <c r="D355" s="326"/>
      <c r="E355" s="600">
        <f t="shared" si="33"/>
        <v>5602</v>
      </c>
      <c r="F355" s="326"/>
      <c r="G355" s="326">
        <f t="shared" si="34"/>
        <v>2950</v>
      </c>
      <c r="H355" s="600">
        <v>2678</v>
      </c>
      <c r="I355" s="600">
        <v>272</v>
      </c>
      <c r="J355" s="326">
        <v>219</v>
      </c>
      <c r="K355" s="326">
        <v>1156</v>
      </c>
      <c r="L355" s="326">
        <v>1277</v>
      </c>
      <c r="V355" s="326"/>
      <c r="W355" s="326"/>
      <c r="X355" s="326"/>
      <c r="Y355" s="326"/>
      <c r="Z355" s="326"/>
      <c r="AA355" s="326"/>
      <c r="AB355" s="326"/>
    </row>
    <row r="356" spans="1:28" s="263" customFormat="1" ht="9" customHeight="1" x14ac:dyDescent="0.25">
      <c r="A356" s="263" t="s">
        <v>36</v>
      </c>
      <c r="B356" s="598" t="s">
        <v>22</v>
      </c>
      <c r="C356" s="598" t="s">
        <v>22</v>
      </c>
      <c r="D356" s="326"/>
      <c r="E356" s="600">
        <f t="shared" si="33"/>
        <v>6575</v>
      </c>
      <c r="F356" s="326"/>
      <c r="G356" s="326">
        <f t="shared" si="34"/>
        <v>3933</v>
      </c>
      <c r="H356" s="600">
        <v>3449</v>
      </c>
      <c r="I356" s="600">
        <v>484</v>
      </c>
      <c r="J356" s="326">
        <v>251</v>
      </c>
      <c r="K356" s="326">
        <v>1374</v>
      </c>
      <c r="L356" s="326">
        <v>1017</v>
      </c>
      <c r="V356" s="326"/>
      <c r="W356" s="326"/>
      <c r="X356" s="326"/>
      <c r="Y356" s="326"/>
      <c r="Z356" s="326"/>
      <c r="AA356" s="326"/>
      <c r="AB356" s="326"/>
    </row>
    <row r="357" spans="1:28" s="263" customFormat="1" ht="9" customHeight="1" x14ac:dyDescent="0.25">
      <c r="A357" s="267" t="s">
        <v>37</v>
      </c>
      <c r="B357" s="599" t="s">
        <v>22</v>
      </c>
      <c r="C357" s="599" t="s">
        <v>22</v>
      </c>
      <c r="D357" s="328"/>
      <c r="E357" s="604">
        <f t="shared" si="33"/>
        <v>2913</v>
      </c>
      <c r="F357" s="328"/>
      <c r="G357" s="328">
        <f t="shared" si="34"/>
        <v>1695</v>
      </c>
      <c r="H357" s="604">
        <v>1658</v>
      </c>
      <c r="I357" s="604">
        <v>37</v>
      </c>
      <c r="J357" s="328">
        <v>79</v>
      </c>
      <c r="K357" s="328">
        <v>458</v>
      </c>
      <c r="L357" s="328">
        <v>681</v>
      </c>
      <c r="V357" s="326"/>
      <c r="W357" s="326"/>
      <c r="X357" s="326"/>
      <c r="Y357" s="326"/>
      <c r="Z357" s="326"/>
      <c r="AA357" s="326"/>
      <c r="AB357" s="326"/>
    </row>
    <row r="358" spans="1:28" s="263" customFormat="1" ht="9" customHeight="1" x14ac:dyDescent="0.25">
      <c r="A358" s="263" t="s">
        <v>38</v>
      </c>
      <c r="B358" s="598" t="s">
        <v>22</v>
      </c>
      <c r="C358" s="598" t="s">
        <v>22</v>
      </c>
      <c r="D358" s="326"/>
      <c r="E358" s="600">
        <f t="shared" si="33"/>
        <v>971</v>
      </c>
      <c r="F358" s="326"/>
      <c r="G358" s="326">
        <f t="shared" si="34"/>
        <v>503</v>
      </c>
      <c r="H358" s="600">
        <v>480</v>
      </c>
      <c r="I358" s="600">
        <v>23</v>
      </c>
      <c r="J358" s="326">
        <v>56</v>
      </c>
      <c r="K358" s="326">
        <v>214</v>
      </c>
      <c r="L358" s="326">
        <v>198</v>
      </c>
      <c r="V358" s="326"/>
      <c r="W358" s="326"/>
      <c r="X358" s="326"/>
      <c r="Y358" s="326"/>
      <c r="Z358" s="326"/>
      <c r="AA358" s="326"/>
      <c r="AB358" s="326"/>
    </row>
    <row r="359" spans="1:28" s="263" customFormat="1" ht="9" customHeight="1" x14ac:dyDescent="0.25">
      <c r="A359" s="263" t="s">
        <v>39</v>
      </c>
      <c r="B359" s="598" t="s">
        <v>22</v>
      </c>
      <c r="C359" s="598" t="s">
        <v>22</v>
      </c>
      <c r="D359" s="326"/>
      <c r="E359" s="600">
        <f t="shared" si="33"/>
        <v>191</v>
      </c>
      <c r="F359" s="326"/>
      <c r="G359" s="326">
        <f t="shared" si="34"/>
        <v>117</v>
      </c>
      <c r="H359" s="600">
        <v>112</v>
      </c>
      <c r="I359" s="600">
        <v>5</v>
      </c>
      <c r="J359" s="326">
        <v>7</v>
      </c>
      <c r="K359" s="326">
        <v>25</v>
      </c>
      <c r="L359" s="326">
        <v>42</v>
      </c>
      <c r="V359" s="326"/>
      <c r="W359" s="326"/>
      <c r="X359" s="326"/>
      <c r="Y359" s="326"/>
      <c r="Z359" s="326"/>
      <c r="AA359" s="326"/>
      <c r="AB359" s="326"/>
    </row>
    <row r="360" spans="1:28" s="263" customFormat="1" ht="9" customHeight="1" x14ac:dyDescent="0.25">
      <c r="A360" s="263" t="s">
        <v>40</v>
      </c>
      <c r="B360" s="598" t="s">
        <v>22</v>
      </c>
      <c r="C360" s="598" t="s">
        <v>22</v>
      </c>
      <c r="D360" s="326"/>
      <c r="E360" s="600">
        <f t="shared" si="33"/>
        <v>6190</v>
      </c>
      <c r="F360" s="326"/>
      <c r="G360" s="326">
        <f t="shared" si="34"/>
        <v>3248</v>
      </c>
      <c r="H360" s="600">
        <v>2817</v>
      </c>
      <c r="I360" s="600">
        <v>431</v>
      </c>
      <c r="J360" s="326">
        <v>334</v>
      </c>
      <c r="K360" s="326">
        <v>1479</v>
      </c>
      <c r="L360" s="326">
        <v>1129</v>
      </c>
      <c r="V360" s="326"/>
      <c r="W360" s="326"/>
      <c r="X360" s="326"/>
      <c r="Y360" s="326"/>
      <c r="Z360" s="326"/>
      <c r="AA360" s="326"/>
      <c r="AB360" s="326"/>
    </row>
    <row r="361" spans="1:28" s="263" customFormat="1" ht="9" customHeight="1" x14ac:dyDescent="0.25">
      <c r="A361" s="267" t="s">
        <v>41</v>
      </c>
      <c r="B361" s="599" t="s">
        <v>22</v>
      </c>
      <c r="C361" s="599" t="s">
        <v>22</v>
      </c>
      <c r="D361" s="328"/>
      <c r="E361" s="604">
        <f t="shared" si="33"/>
        <v>927</v>
      </c>
      <c r="F361" s="328"/>
      <c r="G361" s="328">
        <f t="shared" si="34"/>
        <v>527</v>
      </c>
      <c r="H361" s="604">
        <v>496</v>
      </c>
      <c r="I361" s="604">
        <v>31</v>
      </c>
      <c r="J361" s="328">
        <v>53</v>
      </c>
      <c r="K361" s="328">
        <v>136</v>
      </c>
      <c r="L361" s="328">
        <v>211</v>
      </c>
      <c r="V361" s="326"/>
      <c r="W361" s="326"/>
      <c r="X361" s="326"/>
      <c r="Y361" s="326"/>
      <c r="Z361" s="326"/>
      <c r="AA361" s="326"/>
      <c r="AB361" s="326"/>
    </row>
    <row r="362" spans="1:28" s="263" customFormat="1" ht="9" customHeight="1" x14ac:dyDescent="0.25">
      <c r="A362" s="263" t="s">
        <v>42</v>
      </c>
      <c r="B362" s="598" t="s">
        <v>22</v>
      </c>
      <c r="C362" s="598" t="s">
        <v>22</v>
      </c>
      <c r="D362" s="326"/>
      <c r="E362" s="600">
        <f t="shared" si="33"/>
        <v>3056</v>
      </c>
      <c r="F362" s="326"/>
      <c r="G362" s="326">
        <f t="shared" si="34"/>
        <v>1744</v>
      </c>
      <c r="H362" s="600">
        <v>1634</v>
      </c>
      <c r="I362" s="600">
        <v>110</v>
      </c>
      <c r="J362" s="326">
        <v>100</v>
      </c>
      <c r="K362" s="326">
        <v>533</v>
      </c>
      <c r="L362" s="326">
        <v>679</v>
      </c>
      <c r="V362" s="326"/>
      <c r="W362" s="326"/>
      <c r="X362" s="326"/>
      <c r="Y362" s="326"/>
      <c r="Z362" s="326"/>
      <c r="AA362" s="326"/>
      <c r="AB362" s="326"/>
    </row>
    <row r="363" spans="1:28" s="263" customFormat="1" ht="9" customHeight="1" x14ac:dyDescent="0.25">
      <c r="A363" s="263" t="s">
        <v>43</v>
      </c>
      <c r="B363" s="598" t="s">
        <v>22</v>
      </c>
      <c r="C363" s="598" t="s">
        <v>22</v>
      </c>
      <c r="D363" s="326"/>
      <c r="E363" s="600">
        <f t="shared" si="33"/>
        <v>1301</v>
      </c>
      <c r="F363" s="326"/>
      <c r="G363" s="326">
        <f t="shared" si="34"/>
        <v>670</v>
      </c>
      <c r="H363" s="600">
        <v>609</v>
      </c>
      <c r="I363" s="600">
        <v>61</v>
      </c>
      <c r="J363" s="326">
        <v>67</v>
      </c>
      <c r="K363" s="326">
        <v>280</v>
      </c>
      <c r="L363" s="326">
        <v>284</v>
      </c>
      <c r="V363" s="326"/>
      <c r="W363" s="326"/>
      <c r="X363" s="326"/>
      <c r="Y363" s="326"/>
      <c r="Z363" s="326"/>
      <c r="AA363" s="326"/>
      <c r="AB363" s="326"/>
    </row>
    <row r="364" spans="1:28" s="263" customFormat="1" ht="9" customHeight="1" x14ac:dyDescent="0.25">
      <c r="A364" s="263" t="s">
        <v>44</v>
      </c>
      <c r="B364" s="598" t="s">
        <v>22</v>
      </c>
      <c r="C364" s="598" t="s">
        <v>22</v>
      </c>
      <c r="D364" s="326"/>
      <c r="E364" s="600">
        <f t="shared" si="33"/>
        <v>590</v>
      </c>
      <c r="F364" s="326"/>
      <c r="G364" s="326">
        <f t="shared" si="34"/>
        <v>248</v>
      </c>
      <c r="H364" s="600">
        <v>237</v>
      </c>
      <c r="I364" s="600">
        <v>11</v>
      </c>
      <c r="J364" s="326">
        <v>30</v>
      </c>
      <c r="K364" s="326">
        <v>158</v>
      </c>
      <c r="L364" s="326">
        <v>154</v>
      </c>
      <c r="V364" s="326"/>
      <c r="W364" s="326"/>
      <c r="X364" s="326"/>
      <c r="Y364" s="326"/>
      <c r="Z364" s="326"/>
      <c r="AA364" s="326"/>
      <c r="AB364" s="326"/>
    </row>
    <row r="365" spans="1:28" s="263" customFormat="1" ht="9" customHeight="1" x14ac:dyDescent="0.25">
      <c r="A365" s="267" t="s">
        <v>45</v>
      </c>
      <c r="B365" s="599" t="s">
        <v>22</v>
      </c>
      <c r="C365" s="599" t="s">
        <v>22</v>
      </c>
      <c r="D365" s="328"/>
      <c r="E365" s="604">
        <f t="shared" si="33"/>
        <v>1509</v>
      </c>
      <c r="F365" s="328"/>
      <c r="G365" s="328">
        <f t="shared" si="34"/>
        <v>745</v>
      </c>
      <c r="H365" s="604">
        <v>700</v>
      </c>
      <c r="I365" s="604">
        <v>45</v>
      </c>
      <c r="J365" s="328">
        <v>62</v>
      </c>
      <c r="K365" s="328">
        <v>324</v>
      </c>
      <c r="L365" s="328">
        <v>378</v>
      </c>
      <c r="V365" s="326"/>
      <c r="W365" s="326"/>
      <c r="X365" s="326"/>
      <c r="Y365" s="326"/>
      <c r="Z365" s="326"/>
      <c r="AA365" s="326"/>
      <c r="AB365" s="326"/>
    </row>
    <row r="366" spans="1:28" s="263" customFormat="1" ht="9" customHeight="1" x14ac:dyDescent="0.25">
      <c r="A366" s="263" t="s">
        <v>46</v>
      </c>
      <c r="B366" s="598" t="s">
        <v>22</v>
      </c>
      <c r="C366" s="598" t="s">
        <v>22</v>
      </c>
      <c r="D366" s="326"/>
      <c r="E366" s="600">
        <f t="shared" si="33"/>
        <v>1198</v>
      </c>
      <c r="F366" s="326"/>
      <c r="G366" s="326">
        <f t="shared" si="34"/>
        <v>682</v>
      </c>
      <c r="H366" s="600">
        <v>652</v>
      </c>
      <c r="I366" s="600">
        <v>30</v>
      </c>
      <c r="J366" s="326">
        <v>57</v>
      </c>
      <c r="K366" s="326">
        <v>200</v>
      </c>
      <c r="L366" s="326">
        <v>259</v>
      </c>
      <c r="V366" s="326"/>
      <c r="W366" s="326"/>
      <c r="X366" s="326"/>
      <c r="Y366" s="326"/>
      <c r="Z366" s="326"/>
      <c r="AA366" s="326"/>
      <c r="AB366" s="326"/>
    </row>
    <row r="367" spans="1:28" s="263" customFormat="1" ht="9" customHeight="1" x14ac:dyDescent="0.25">
      <c r="A367" s="263" t="s">
        <v>47</v>
      </c>
      <c r="B367" s="598" t="s">
        <v>22</v>
      </c>
      <c r="C367" s="598" t="s">
        <v>22</v>
      </c>
      <c r="D367" s="326"/>
      <c r="E367" s="600">
        <f t="shared" si="33"/>
        <v>1381</v>
      </c>
      <c r="F367" s="326"/>
      <c r="G367" s="326">
        <f t="shared" si="34"/>
        <v>701</v>
      </c>
      <c r="H367" s="600">
        <v>688</v>
      </c>
      <c r="I367" s="600">
        <v>13</v>
      </c>
      <c r="J367" s="326">
        <v>48</v>
      </c>
      <c r="K367" s="326">
        <v>300</v>
      </c>
      <c r="L367" s="326">
        <v>332</v>
      </c>
      <c r="V367" s="326"/>
      <c r="W367" s="326"/>
      <c r="X367" s="326"/>
      <c r="Y367" s="326"/>
      <c r="Z367" s="326"/>
      <c r="AA367" s="326"/>
      <c r="AB367" s="326"/>
    </row>
    <row r="368" spans="1:28" s="263" customFormat="1" ht="9" customHeight="1" x14ac:dyDescent="0.25">
      <c r="A368" s="263" t="s">
        <v>48</v>
      </c>
      <c r="B368" s="598" t="s">
        <v>22</v>
      </c>
      <c r="C368" s="598" t="s">
        <v>22</v>
      </c>
      <c r="D368" s="326"/>
      <c r="E368" s="600">
        <f t="shared" si="33"/>
        <v>923</v>
      </c>
      <c r="F368" s="326"/>
      <c r="G368" s="326">
        <f t="shared" si="34"/>
        <v>480</v>
      </c>
      <c r="H368" s="600">
        <v>440</v>
      </c>
      <c r="I368" s="600">
        <v>40</v>
      </c>
      <c r="J368" s="326">
        <v>99</v>
      </c>
      <c r="K368" s="326">
        <v>173</v>
      </c>
      <c r="L368" s="326">
        <v>171</v>
      </c>
      <c r="V368" s="326"/>
      <c r="W368" s="326"/>
      <c r="X368" s="326"/>
      <c r="Y368" s="326"/>
      <c r="Z368" s="326"/>
      <c r="AA368" s="326"/>
      <c r="AB368" s="326"/>
    </row>
    <row r="369" spans="1:28" s="263" customFormat="1" ht="9" customHeight="1" x14ac:dyDescent="0.25">
      <c r="A369" s="267" t="s">
        <v>49</v>
      </c>
      <c r="B369" s="599" t="s">
        <v>22</v>
      </c>
      <c r="C369" s="599" t="s">
        <v>22</v>
      </c>
      <c r="D369" s="328"/>
      <c r="E369" s="604">
        <f t="shared" si="33"/>
        <v>2065</v>
      </c>
      <c r="F369" s="328"/>
      <c r="G369" s="328">
        <f t="shared" si="34"/>
        <v>1129</v>
      </c>
      <c r="H369" s="604">
        <v>1079</v>
      </c>
      <c r="I369" s="604">
        <v>50</v>
      </c>
      <c r="J369" s="328">
        <v>144</v>
      </c>
      <c r="K369" s="328">
        <v>352</v>
      </c>
      <c r="L369" s="328">
        <v>440</v>
      </c>
      <c r="V369" s="326"/>
      <c r="W369" s="326"/>
      <c r="X369" s="326"/>
      <c r="Y369" s="326"/>
      <c r="Z369" s="326"/>
      <c r="AA369" s="326"/>
      <c r="AB369" s="326"/>
    </row>
    <row r="370" spans="1:28" s="263" customFormat="1" ht="9" customHeight="1" x14ac:dyDescent="0.25">
      <c r="A370" s="263" t="s">
        <v>50</v>
      </c>
      <c r="B370" s="598" t="s">
        <v>22</v>
      </c>
      <c r="C370" s="598" t="s">
        <v>22</v>
      </c>
      <c r="D370" s="326"/>
      <c r="E370" s="600">
        <f t="shared" si="33"/>
        <v>339</v>
      </c>
      <c r="F370" s="326"/>
      <c r="G370" s="326">
        <f t="shared" si="34"/>
        <v>189</v>
      </c>
      <c r="H370" s="600">
        <v>188</v>
      </c>
      <c r="I370" s="600">
        <v>1</v>
      </c>
      <c r="J370" s="326">
        <v>18</v>
      </c>
      <c r="K370" s="326">
        <v>53</v>
      </c>
      <c r="L370" s="326">
        <v>79</v>
      </c>
      <c r="V370" s="326"/>
      <c r="W370" s="326"/>
      <c r="X370" s="326"/>
      <c r="Y370" s="326"/>
      <c r="Z370" s="326"/>
      <c r="AA370" s="326"/>
      <c r="AB370" s="326"/>
    </row>
    <row r="371" spans="1:28" s="263" customFormat="1" ht="9" customHeight="1" x14ac:dyDescent="0.25">
      <c r="A371" s="263" t="s">
        <v>51</v>
      </c>
      <c r="B371" s="598" t="s">
        <v>22</v>
      </c>
      <c r="C371" s="598" t="s">
        <v>22</v>
      </c>
      <c r="D371" s="326"/>
      <c r="E371" s="600">
        <f t="shared" si="33"/>
        <v>2160</v>
      </c>
      <c r="F371" s="326"/>
      <c r="G371" s="326">
        <f t="shared" si="34"/>
        <v>1180</v>
      </c>
      <c r="H371" s="600">
        <v>1112</v>
      </c>
      <c r="I371" s="600">
        <v>68</v>
      </c>
      <c r="J371" s="326">
        <v>99</v>
      </c>
      <c r="K371" s="326">
        <v>420</v>
      </c>
      <c r="L371" s="326">
        <v>461</v>
      </c>
      <c r="V371" s="326"/>
      <c r="W371" s="326"/>
      <c r="X371" s="326"/>
      <c r="Y371" s="326"/>
      <c r="Z371" s="326"/>
      <c r="AA371" s="326"/>
      <c r="AB371" s="326"/>
    </row>
    <row r="372" spans="1:28" s="263" customFormat="1" ht="9" customHeight="1" x14ac:dyDescent="0.25">
      <c r="A372" s="263" t="s">
        <v>52</v>
      </c>
      <c r="B372" s="598" t="s">
        <v>22</v>
      </c>
      <c r="C372" s="598" t="s">
        <v>22</v>
      </c>
      <c r="D372" s="326"/>
      <c r="E372" s="600">
        <f t="shared" si="33"/>
        <v>1227</v>
      </c>
      <c r="F372" s="326"/>
      <c r="G372" s="326">
        <f t="shared" si="34"/>
        <v>664</v>
      </c>
      <c r="H372" s="600">
        <v>635</v>
      </c>
      <c r="I372" s="600">
        <v>29</v>
      </c>
      <c r="J372" s="326">
        <v>30</v>
      </c>
      <c r="K372" s="326">
        <v>201</v>
      </c>
      <c r="L372" s="326">
        <v>332</v>
      </c>
      <c r="V372" s="326"/>
      <c r="W372" s="326"/>
      <c r="X372" s="326"/>
      <c r="Y372" s="326"/>
      <c r="Z372" s="326"/>
      <c r="AA372" s="326"/>
      <c r="AB372" s="326"/>
    </row>
    <row r="373" spans="1:28" s="263" customFormat="1" ht="9" customHeight="1" x14ac:dyDescent="0.25">
      <c r="A373" s="267" t="s">
        <v>53</v>
      </c>
      <c r="B373" s="599" t="s">
        <v>22</v>
      </c>
      <c r="C373" s="599" t="s">
        <v>22</v>
      </c>
      <c r="D373" s="328"/>
      <c r="E373" s="604">
        <f t="shared" si="33"/>
        <v>681</v>
      </c>
      <c r="F373" s="328"/>
      <c r="G373" s="328">
        <f t="shared" si="34"/>
        <v>357</v>
      </c>
      <c r="H373" s="604">
        <v>320</v>
      </c>
      <c r="I373" s="604">
        <v>37</v>
      </c>
      <c r="J373" s="328">
        <v>45</v>
      </c>
      <c r="K373" s="328">
        <v>116</v>
      </c>
      <c r="L373" s="328">
        <v>163</v>
      </c>
      <c r="V373" s="326"/>
      <c r="W373" s="326"/>
      <c r="X373" s="326"/>
      <c r="Y373" s="326"/>
      <c r="Z373" s="326"/>
      <c r="AA373" s="326"/>
      <c r="AB373" s="326"/>
    </row>
    <row r="374" spans="1:28" s="263" customFormat="1" ht="9" customHeight="1" x14ac:dyDescent="0.25">
      <c r="A374" s="286"/>
      <c r="B374" s="613"/>
      <c r="C374" s="613"/>
      <c r="D374" s="329"/>
      <c r="E374" s="605"/>
      <c r="F374" s="329"/>
      <c r="G374" s="329"/>
      <c r="H374" s="605"/>
      <c r="I374" s="605"/>
      <c r="J374" s="329"/>
      <c r="K374" s="329"/>
      <c r="L374" s="329"/>
      <c r="V374" s="326"/>
      <c r="W374" s="326"/>
      <c r="X374" s="326"/>
      <c r="Y374" s="326"/>
      <c r="Z374" s="326"/>
      <c r="AA374" s="326"/>
      <c r="AB374" s="326"/>
    </row>
    <row r="375" spans="1:28" s="263" customFormat="1" ht="9" customHeight="1" x14ac:dyDescent="0.25">
      <c r="A375" s="261">
        <v>2005</v>
      </c>
      <c r="B375" s="262"/>
      <c r="C375" s="262"/>
      <c r="D375" s="262"/>
      <c r="E375" s="262"/>
      <c r="F375" s="262"/>
      <c r="G375" s="262"/>
      <c r="H375" s="262"/>
      <c r="I375" s="262"/>
      <c r="J375" s="262"/>
      <c r="K375" s="262"/>
      <c r="L375" s="262"/>
      <c r="V375" s="326"/>
      <c r="W375" s="326"/>
      <c r="X375" s="326"/>
      <c r="Y375" s="326"/>
      <c r="Z375" s="326"/>
      <c r="AA375" s="326"/>
      <c r="AB375" s="326"/>
    </row>
    <row r="376" spans="1:28" s="263" customFormat="1" ht="9" customHeight="1" x14ac:dyDescent="0.25">
      <c r="A376" s="265" t="s">
        <v>21</v>
      </c>
      <c r="B376" s="325" t="s">
        <v>22</v>
      </c>
      <c r="C376" s="325" t="s">
        <v>22</v>
      </c>
      <c r="D376" s="325"/>
      <c r="E376" s="325">
        <f>SUM(E378:E409)</f>
        <v>77443</v>
      </c>
      <c r="F376" s="325"/>
      <c r="G376" s="325">
        <f t="shared" ref="G376:L376" si="35">SUM(G378:G409)</f>
        <v>41680</v>
      </c>
      <c r="H376" s="325">
        <f t="shared" si="35"/>
        <v>37697</v>
      </c>
      <c r="I376" s="325">
        <f t="shared" si="35"/>
        <v>3983</v>
      </c>
      <c r="J376" s="325">
        <f t="shared" si="35"/>
        <v>4450</v>
      </c>
      <c r="K376" s="325">
        <f t="shared" si="35"/>
        <v>16179</v>
      </c>
      <c r="L376" s="325">
        <f t="shared" si="35"/>
        <v>15134</v>
      </c>
      <c r="V376" s="326"/>
      <c r="W376" s="326"/>
      <c r="X376" s="326"/>
      <c r="Y376" s="326"/>
      <c r="Z376" s="326"/>
      <c r="AA376" s="326"/>
      <c r="AB376" s="326"/>
    </row>
    <row r="377" spans="1:28" s="263" customFormat="1" ht="3.95" customHeight="1" x14ac:dyDescent="0.25">
      <c r="A377" s="265"/>
      <c r="B377" s="325"/>
      <c r="C377" s="325"/>
      <c r="D377" s="325"/>
      <c r="E377" s="325"/>
      <c r="F377" s="325"/>
      <c r="G377" s="325"/>
      <c r="H377" s="325"/>
      <c r="I377" s="325"/>
      <c r="J377" s="325"/>
      <c r="K377" s="325"/>
      <c r="L377" s="325"/>
      <c r="V377" s="326"/>
      <c r="W377" s="326"/>
      <c r="X377" s="326"/>
      <c r="Y377" s="326"/>
      <c r="Z377" s="326"/>
      <c r="AA377" s="326"/>
      <c r="AB377" s="326"/>
    </row>
    <row r="378" spans="1:28" s="263" customFormat="1" ht="9" customHeight="1" x14ac:dyDescent="0.25">
      <c r="A378" s="550" t="s">
        <v>23</v>
      </c>
      <c r="B378" s="638" t="s">
        <v>22</v>
      </c>
      <c r="C378" s="638" t="s">
        <v>22</v>
      </c>
      <c r="D378" s="639"/>
      <c r="E378" s="632">
        <f>SUM(G378+J378+K378+L378)</f>
        <v>1066</v>
      </c>
      <c r="F378" s="639"/>
      <c r="G378" s="639">
        <f>SUM(H378:I378)</f>
        <v>544</v>
      </c>
      <c r="H378" s="632">
        <v>518</v>
      </c>
      <c r="I378" s="632">
        <v>26</v>
      </c>
      <c r="J378" s="639">
        <v>80</v>
      </c>
      <c r="K378" s="639">
        <v>235</v>
      </c>
      <c r="L378" s="639">
        <v>207</v>
      </c>
      <c r="V378" s="326"/>
      <c r="W378" s="326"/>
      <c r="X378" s="326"/>
      <c r="Y378" s="326"/>
      <c r="Z378" s="326"/>
      <c r="AA378" s="326"/>
      <c r="AB378" s="326"/>
    </row>
    <row r="379" spans="1:28" s="263" customFormat="1" ht="9" customHeight="1" x14ac:dyDescent="0.25">
      <c r="A379" s="550" t="s">
        <v>24</v>
      </c>
      <c r="B379" s="638" t="s">
        <v>22</v>
      </c>
      <c r="C379" s="638" t="s">
        <v>22</v>
      </c>
      <c r="D379" s="639"/>
      <c r="E379" s="632">
        <f>SUM(G379+J379+K379+L379)</f>
        <v>1878</v>
      </c>
      <c r="F379" s="638"/>
      <c r="G379" s="639">
        <f>SUM(H379:I379)</f>
        <v>1001</v>
      </c>
      <c r="H379" s="638">
        <v>981</v>
      </c>
      <c r="I379" s="638">
        <v>20</v>
      </c>
      <c r="J379" s="638">
        <v>30</v>
      </c>
      <c r="K379" s="638">
        <v>406</v>
      </c>
      <c r="L379" s="638">
        <v>441</v>
      </c>
      <c r="V379" s="326"/>
      <c r="W379" s="326"/>
      <c r="X379" s="326"/>
      <c r="Y379" s="326"/>
      <c r="Z379" s="326"/>
      <c r="AA379" s="326"/>
      <c r="AB379" s="326"/>
    </row>
    <row r="380" spans="1:28" s="263" customFormat="1" ht="9" customHeight="1" x14ac:dyDescent="0.25">
      <c r="A380" s="550" t="s">
        <v>25</v>
      </c>
      <c r="B380" s="638" t="s">
        <v>22</v>
      </c>
      <c r="C380" s="638" t="s">
        <v>22</v>
      </c>
      <c r="D380" s="639"/>
      <c r="E380" s="632">
        <f t="shared" ref="E380:E409" si="36">SUM(G380+J380+K380+L380)</f>
        <v>240</v>
      </c>
      <c r="F380" s="639"/>
      <c r="G380" s="639">
        <f t="shared" ref="G380:G409" si="37">SUM(H380:I380)</f>
        <v>103</v>
      </c>
      <c r="H380" s="632">
        <v>100</v>
      </c>
      <c r="I380" s="632">
        <v>3</v>
      </c>
      <c r="J380" s="639">
        <v>38</v>
      </c>
      <c r="K380" s="639">
        <v>47</v>
      </c>
      <c r="L380" s="639">
        <v>52</v>
      </c>
      <c r="V380" s="326"/>
      <c r="W380" s="326"/>
      <c r="X380" s="326"/>
      <c r="Y380" s="326"/>
      <c r="Z380" s="326"/>
      <c r="AA380" s="326"/>
      <c r="AB380" s="326"/>
    </row>
    <row r="381" spans="1:28" s="263" customFormat="1" ht="9" customHeight="1" x14ac:dyDescent="0.25">
      <c r="A381" s="603" t="s">
        <v>26</v>
      </c>
      <c r="B381" s="640" t="s">
        <v>22</v>
      </c>
      <c r="C381" s="640" t="s">
        <v>22</v>
      </c>
      <c r="D381" s="641"/>
      <c r="E381" s="634">
        <f t="shared" si="36"/>
        <v>184</v>
      </c>
      <c r="F381" s="641"/>
      <c r="G381" s="641">
        <f t="shared" si="37"/>
        <v>114</v>
      </c>
      <c r="H381" s="634">
        <v>89</v>
      </c>
      <c r="I381" s="634">
        <v>25</v>
      </c>
      <c r="J381" s="641">
        <v>6</v>
      </c>
      <c r="K381" s="641">
        <v>34</v>
      </c>
      <c r="L381" s="641">
        <v>30</v>
      </c>
      <c r="V381" s="326"/>
      <c r="W381" s="326"/>
      <c r="X381" s="326"/>
      <c r="Y381" s="326"/>
      <c r="Z381" s="326"/>
      <c r="AA381" s="326"/>
      <c r="AB381" s="326"/>
    </row>
    <row r="382" spans="1:28" s="263" customFormat="1" ht="9" customHeight="1" x14ac:dyDescent="0.25">
      <c r="A382" s="550" t="s">
        <v>27</v>
      </c>
      <c r="B382" s="638" t="s">
        <v>22</v>
      </c>
      <c r="C382" s="638" t="s">
        <v>22</v>
      </c>
      <c r="D382" s="639"/>
      <c r="E382" s="632">
        <f t="shared" si="36"/>
        <v>1486</v>
      </c>
      <c r="F382" s="639"/>
      <c r="G382" s="639">
        <f t="shared" si="37"/>
        <v>721</v>
      </c>
      <c r="H382" s="632">
        <v>691</v>
      </c>
      <c r="I382" s="632">
        <v>30</v>
      </c>
      <c r="J382" s="639">
        <v>51</v>
      </c>
      <c r="K382" s="639">
        <v>337</v>
      </c>
      <c r="L382" s="639">
        <v>377</v>
      </c>
      <c r="V382" s="326"/>
      <c r="W382" s="326"/>
      <c r="X382" s="326"/>
      <c r="Y382" s="326"/>
      <c r="Z382" s="326"/>
      <c r="AA382" s="326"/>
      <c r="AB382" s="326"/>
    </row>
    <row r="383" spans="1:28" s="263" customFormat="1" ht="9" customHeight="1" x14ac:dyDescent="0.25">
      <c r="A383" s="550" t="s">
        <v>28</v>
      </c>
      <c r="B383" s="638" t="s">
        <v>22</v>
      </c>
      <c r="C383" s="638" t="s">
        <v>22</v>
      </c>
      <c r="D383" s="639"/>
      <c r="E383" s="632">
        <f t="shared" si="36"/>
        <v>289</v>
      </c>
      <c r="F383" s="639"/>
      <c r="G383" s="639">
        <f t="shared" si="37"/>
        <v>143</v>
      </c>
      <c r="H383" s="632">
        <v>136</v>
      </c>
      <c r="I383" s="632">
        <v>7</v>
      </c>
      <c r="J383" s="639">
        <v>21</v>
      </c>
      <c r="K383" s="639">
        <v>40</v>
      </c>
      <c r="L383" s="639">
        <v>85</v>
      </c>
      <c r="V383" s="326"/>
      <c r="W383" s="326"/>
      <c r="X383" s="326"/>
      <c r="Y383" s="326"/>
      <c r="Z383" s="326"/>
      <c r="AA383" s="326"/>
      <c r="AB383" s="326"/>
    </row>
    <row r="384" spans="1:28" s="263" customFormat="1" ht="9" customHeight="1" x14ac:dyDescent="0.25">
      <c r="A384" s="550" t="s">
        <v>29</v>
      </c>
      <c r="B384" s="638" t="s">
        <v>22</v>
      </c>
      <c r="C384" s="638" t="s">
        <v>22</v>
      </c>
      <c r="D384" s="639"/>
      <c r="E384" s="632">
        <f t="shared" si="36"/>
        <v>907</v>
      </c>
      <c r="F384" s="639"/>
      <c r="G384" s="639">
        <f t="shared" si="37"/>
        <v>529</v>
      </c>
      <c r="H384" s="632">
        <v>517</v>
      </c>
      <c r="I384" s="632">
        <v>12</v>
      </c>
      <c r="J384" s="639">
        <v>44</v>
      </c>
      <c r="K384" s="639">
        <v>121</v>
      </c>
      <c r="L384" s="639">
        <v>213</v>
      </c>
      <c r="V384" s="326"/>
      <c r="W384" s="326"/>
      <c r="X384" s="326"/>
      <c r="Y384" s="326"/>
      <c r="Z384" s="326"/>
      <c r="AA384" s="326"/>
      <c r="AB384" s="326"/>
    </row>
    <row r="385" spans="1:28" s="263" customFormat="1" ht="9" customHeight="1" x14ac:dyDescent="0.25">
      <c r="A385" s="603" t="s">
        <v>30</v>
      </c>
      <c r="B385" s="640" t="s">
        <v>22</v>
      </c>
      <c r="C385" s="640" t="s">
        <v>22</v>
      </c>
      <c r="D385" s="641"/>
      <c r="E385" s="634">
        <f t="shared" si="36"/>
        <v>3226</v>
      </c>
      <c r="F385" s="641"/>
      <c r="G385" s="641">
        <f t="shared" si="37"/>
        <v>1793</v>
      </c>
      <c r="H385" s="634">
        <v>1706</v>
      </c>
      <c r="I385" s="634">
        <v>87</v>
      </c>
      <c r="J385" s="641">
        <v>170</v>
      </c>
      <c r="K385" s="641">
        <v>594</v>
      </c>
      <c r="L385" s="641">
        <v>669</v>
      </c>
      <c r="V385" s="326"/>
      <c r="W385" s="326"/>
      <c r="X385" s="326"/>
      <c r="Y385" s="326"/>
      <c r="Z385" s="326"/>
      <c r="AA385" s="326"/>
      <c r="AB385" s="326"/>
    </row>
    <row r="386" spans="1:28" s="263" customFormat="1" ht="9" customHeight="1" x14ac:dyDescent="0.25">
      <c r="A386" s="550" t="s">
        <v>63</v>
      </c>
      <c r="B386" s="638" t="s">
        <v>22</v>
      </c>
      <c r="C386" s="638" t="s">
        <v>22</v>
      </c>
      <c r="D386" s="639"/>
      <c r="E386" s="632">
        <f t="shared" si="36"/>
        <v>19526</v>
      </c>
      <c r="F386" s="639"/>
      <c r="G386" s="639">
        <f t="shared" si="37"/>
        <v>10250</v>
      </c>
      <c r="H386" s="632">
        <v>8525</v>
      </c>
      <c r="I386" s="632">
        <v>1725</v>
      </c>
      <c r="J386" s="639">
        <v>1595</v>
      </c>
      <c r="K386" s="639">
        <v>4934</v>
      </c>
      <c r="L386" s="639">
        <v>2747</v>
      </c>
      <c r="V386" s="326"/>
      <c r="W386" s="326"/>
      <c r="X386" s="326"/>
      <c r="Y386" s="326"/>
      <c r="Z386" s="326"/>
      <c r="AA386" s="326"/>
      <c r="AB386" s="326"/>
    </row>
    <row r="387" spans="1:28" s="263" customFormat="1" ht="9" customHeight="1" x14ac:dyDescent="0.25">
      <c r="A387" s="550" t="s">
        <v>31</v>
      </c>
      <c r="B387" s="638" t="s">
        <v>22</v>
      </c>
      <c r="C387" s="638" t="s">
        <v>22</v>
      </c>
      <c r="D387" s="639"/>
      <c r="E387" s="632">
        <f t="shared" si="36"/>
        <v>503</v>
      </c>
      <c r="F387" s="639"/>
      <c r="G387" s="639">
        <f t="shared" si="37"/>
        <v>295</v>
      </c>
      <c r="H387" s="632">
        <v>288</v>
      </c>
      <c r="I387" s="632">
        <v>7</v>
      </c>
      <c r="J387" s="550">
        <v>14</v>
      </c>
      <c r="K387" s="550">
        <v>72</v>
      </c>
      <c r="L387" s="639">
        <v>122</v>
      </c>
      <c r="V387" s="326"/>
      <c r="W387" s="326"/>
      <c r="X387" s="326"/>
      <c r="Y387" s="326"/>
      <c r="Z387" s="326"/>
      <c r="AA387" s="326"/>
      <c r="AB387" s="326"/>
    </row>
    <row r="388" spans="1:28" s="263" customFormat="1" ht="9" customHeight="1" x14ac:dyDescent="0.25">
      <c r="A388" s="550" t="s">
        <v>32</v>
      </c>
      <c r="B388" s="638" t="s">
        <v>22</v>
      </c>
      <c r="C388" s="638" t="s">
        <v>22</v>
      </c>
      <c r="D388" s="639"/>
      <c r="E388" s="632">
        <f t="shared" si="36"/>
        <v>3936</v>
      </c>
      <c r="F388" s="639"/>
      <c r="G388" s="639">
        <f t="shared" si="37"/>
        <v>2078</v>
      </c>
      <c r="H388" s="632">
        <v>1954</v>
      </c>
      <c r="I388" s="632">
        <v>124</v>
      </c>
      <c r="J388" s="639">
        <v>247</v>
      </c>
      <c r="K388" s="639">
        <v>735</v>
      </c>
      <c r="L388" s="639">
        <v>876</v>
      </c>
      <c r="V388" s="326"/>
      <c r="W388" s="326"/>
      <c r="X388" s="326"/>
      <c r="Y388" s="326"/>
      <c r="Z388" s="326"/>
      <c r="AA388" s="326"/>
      <c r="AB388" s="326"/>
    </row>
    <row r="389" spans="1:28" s="263" customFormat="1" ht="9" customHeight="1" x14ac:dyDescent="0.25">
      <c r="A389" s="603" t="s">
        <v>33</v>
      </c>
      <c r="B389" s="640" t="s">
        <v>22</v>
      </c>
      <c r="C389" s="640" t="s">
        <v>22</v>
      </c>
      <c r="D389" s="641"/>
      <c r="E389" s="634">
        <f t="shared" si="36"/>
        <v>931</v>
      </c>
      <c r="F389" s="641"/>
      <c r="G389" s="641">
        <f t="shared" si="37"/>
        <v>590</v>
      </c>
      <c r="H389" s="634">
        <v>531</v>
      </c>
      <c r="I389" s="634">
        <v>59</v>
      </c>
      <c r="J389" s="641">
        <v>46</v>
      </c>
      <c r="K389" s="641">
        <v>131</v>
      </c>
      <c r="L389" s="641">
        <v>164</v>
      </c>
      <c r="V389" s="326"/>
      <c r="W389" s="326"/>
      <c r="X389" s="326"/>
      <c r="Y389" s="326"/>
      <c r="Z389" s="326"/>
      <c r="AA389" s="326"/>
      <c r="AB389" s="326"/>
    </row>
    <row r="390" spans="1:28" s="263" customFormat="1" ht="9" customHeight="1" x14ac:dyDescent="0.25">
      <c r="A390" s="550" t="s">
        <v>34</v>
      </c>
      <c r="B390" s="638" t="s">
        <v>22</v>
      </c>
      <c r="C390" s="638" t="s">
        <v>22</v>
      </c>
      <c r="D390" s="639"/>
      <c r="E390" s="632">
        <f t="shared" si="36"/>
        <v>1038</v>
      </c>
      <c r="F390" s="639"/>
      <c r="G390" s="639">
        <f t="shared" si="37"/>
        <v>571</v>
      </c>
      <c r="H390" s="632">
        <v>543</v>
      </c>
      <c r="I390" s="632">
        <v>28</v>
      </c>
      <c r="J390" s="639">
        <v>68</v>
      </c>
      <c r="K390" s="639">
        <v>163</v>
      </c>
      <c r="L390" s="639">
        <v>236</v>
      </c>
      <c r="V390" s="326"/>
      <c r="W390" s="326"/>
      <c r="X390" s="326"/>
      <c r="Y390" s="326"/>
      <c r="Z390" s="326"/>
      <c r="AA390" s="326"/>
      <c r="AB390" s="326"/>
    </row>
    <row r="391" spans="1:28" s="263" customFormat="1" ht="9" customHeight="1" x14ac:dyDescent="0.25">
      <c r="A391" s="550" t="s">
        <v>35</v>
      </c>
      <c r="B391" s="638" t="s">
        <v>22</v>
      </c>
      <c r="C391" s="638" t="s">
        <v>22</v>
      </c>
      <c r="D391" s="639"/>
      <c r="E391" s="632">
        <f t="shared" si="36"/>
        <v>6531</v>
      </c>
      <c r="F391" s="639"/>
      <c r="G391" s="639">
        <f t="shared" si="37"/>
        <v>3363</v>
      </c>
      <c r="H391" s="632">
        <v>3072</v>
      </c>
      <c r="I391" s="632">
        <v>291</v>
      </c>
      <c r="J391" s="639">
        <v>244</v>
      </c>
      <c r="K391" s="639">
        <v>1379</v>
      </c>
      <c r="L391" s="639">
        <v>1545</v>
      </c>
      <c r="V391" s="326"/>
      <c r="W391" s="326"/>
      <c r="X391" s="326"/>
      <c r="Y391" s="326"/>
      <c r="Z391" s="326"/>
      <c r="AA391" s="326"/>
      <c r="AB391" s="326"/>
    </row>
    <row r="392" spans="1:28" s="263" customFormat="1" ht="9" customHeight="1" x14ac:dyDescent="0.25">
      <c r="A392" s="550" t="s">
        <v>36</v>
      </c>
      <c r="B392" s="638" t="s">
        <v>22</v>
      </c>
      <c r="C392" s="638" t="s">
        <v>22</v>
      </c>
      <c r="D392" s="639"/>
      <c r="E392" s="632">
        <f t="shared" si="36"/>
        <v>6630</v>
      </c>
      <c r="F392" s="639"/>
      <c r="G392" s="639">
        <f t="shared" si="37"/>
        <v>3874</v>
      </c>
      <c r="H392" s="632">
        <v>3398</v>
      </c>
      <c r="I392" s="632">
        <v>476</v>
      </c>
      <c r="J392" s="639">
        <v>282</v>
      </c>
      <c r="K392" s="639">
        <v>1334</v>
      </c>
      <c r="L392" s="639">
        <v>1140</v>
      </c>
      <c r="V392" s="326"/>
      <c r="W392" s="326"/>
      <c r="X392" s="326"/>
      <c r="Y392" s="326"/>
      <c r="Z392" s="326"/>
      <c r="AA392" s="326"/>
      <c r="AB392" s="326"/>
    </row>
    <row r="393" spans="1:28" s="263" customFormat="1" ht="9" customHeight="1" x14ac:dyDescent="0.25">
      <c r="A393" s="603" t="s">
        <v>37</v>
      </c>
      <c r="B393" s="640" t="s">
        <v>22</v>
      </c>
      <c r="C393" s="640" t="s">
        <v>22</v>
      </c>
      <c r="D393" s="641"/>
      <c r="E393" s="634">
        <f t="shared" si="36"/>
        <v>3032</v>
      </c>
      <c r="F393" s="641"/>
      <c r="G393" s="641">
        <f t="shared" si="37"/>
        <v>1864</v>
      </c>
      <c r="H393" s="634">
        <v>1796</v>
      </c>
      <c r="I393" s="634">
        <v>68</v>
      </c>
      <c r="J393" s="641">
        <v>116</v>
      </c>
      <c r="K393" s="641">
        <v>440</v>
      </c>
      <c r="L393" s="641">
        <v>612</v>
      </c>
      <c r="V393" s="326"/>
      <c r="W393" s="326"/>
      <c r="X393" s="326"/>
      <c r="Y393" s="326"/>
      <c r="Z393" s="326"/>
      <c r="AA393" s="326"/>
      <c r="AB393" s="326"/>
    </row>
    <row r="394" spans="1:28" s="263" customFormat="1" ht="9" customHeight="1" x14ac:dyDescent="0.25">
      <c r="A394" s="550" t="s">
        <v>38</v>
      </c>
      <c r="B394" s="638" t="s">
        <v>22</v>
      </c>
      <c r="C394" s="638" t="s">
        <v>22</v>
      </c>
      <c r="D394" s="639"/>
      <c r="E394" s="632">
        <f t="shared" si="36"/>
        <v>984</v>
      </c>
      <c r="F394" s="639"/>
      <c r="G394" s="639">
        <f t="shared" si="37"/>
        <v>527</v>
      </c>
      <c r="H394" s="632">
        <v>497</v>
      </c>
      <c r="I394" s="632">
        <v>30</v>
      </c>
      <c r="J394" s="639">
        <v>29</v>
      </c>
      <c r="K394" s="639">
        <v>192</v>
      </c>
      <c r="L394" s="639">
        <v>236</v>
      </c>
      <c r="V394" s="326"/>
      <c r="W394" s="326"/>
      <c r="X394" s="326"/>
      <c r="Y394" s="326"/>
      <c r="Z394" s="326"/>
      <c r="AA394" s="326"/>
      <c r="AB394" s="326"/>
    </row>
    <row r="395" spans="1:28" s="263" customFormat="1" ht="9" customHeight="1" x14ac:dyDescent="0.25">
      <c r="A395" s="550" t="s">
        <v>39</v>
      </c>
      <c r="B395" s="638" t="s">
        <v>22</v>
      </c>
      <c r="C395" s="638" t="s">
        <v>22</v>
      </c>
      <c r="D395" s="639"/>
      <c r="E395" s="632">
        <f t="shared" si="36"/>
        <v>247</v>
      </c>
      <c r="F395" s="639"/>
      <c r="G395" s="639">
        <f t="shared" si="37"/>
        <v>122</v>
      </c>
      <c r="H395" s="632">
        <v>120</v>
      </c>
      <c r="I395" s="632">
        <v>2</v>
      </c>
      <c r="J395" s="639">
        <v>9</v>
      </c>
      <c r="K395" s="639">
        <v>39</v>
      </c>
      <c r="L395" s="639">
        <v>77</v>
      </c>
      <c r="V395" s="326"/>
      <c r="W395" s="326"/>
      <c r="X395" s="326"/>
      <c r="Y395" s="326"/>
      <c r="Z395" s="326"/>
      <c r="AA395" s="326"/>
      <c r="AB395" s="326"/>
    </row>
    <row r="396" spans="1:28" s="263" customFormat="1" ht="9" customHeight="1" x14ac:dyDescent="0.25">
      <c r="A396" s="550" t="s">
        <v>40</v>
      </c>
      <c r="B396" s="638" t="s">
        <v>22</v>
      </c>
      <c r="C396" s="638" t="s">
        <v>22</v>
      </c>
      <c r="D396" s="639"/>
      <c r="E396" s="632">
        <f t="shared" si="36"/>
        <v>6134</v>
      </c>
      <c r="F396" s="639"/>
      <c r="G396" s="639">
        <f t="shared" si="37"/>
        <v>3196</v>
      </c>
      <c r="H396" s="632">
        <v>2772</v>
      </c>
      <c r="I396" s="632">
        <v>424</v>
      </c>
      <c r="J396" s="639">
        <v>307</v>
      </c>
      <c r="K396" s="639">
        <v>1457</v>
      </c>
      <c r="L396" s="639">
        <v>1174</v>
      </c>
      <c r="V396" s="326"/>
      <c r="W396" s="326"/>
      <c r="X396" s="326"/>
      <c r="Y396" s="326"/>
      <c r="Z396" s="326"/>
      <c r="AA396" s="326"/>
      <c r="AB396" s="326"/>
    </row>
    <row r="397" spans="1:28" s="263" customFormat="1" ht="9" customHeight="1" x14ac:dyDescent="0.25">
      <c r="A397" s="603" t="s">
        <v>41</v>
      </c>
      <c r="B397" s="640" t="s">
        <v>22</v>
      </c>
      <c r="C397" s="640" t="s">
        <v>22</v>
      </c>
      <c r="D397" s="641"/>
      <c r="E397" s="634">
        <f t="shared" si="36"/>
        <v>1022</v>
      </c>
      <c r="F397" s="641"/>
      <c r="G397" s="641">
        <f t="shared" si="37"/>
        <v>579</v>
      </c>
      <c r="H397" s="634">
        <v>540</v>
      </c>
      <c r="I397" s="634">
        <v>39</v>
      </c>
      <c r="J397" s="641">
        <v>51</v>
      </c>
      <c r="K397" s="641">
        <v>150</v>
      </c>
      <c r="L397" s="641">
        <v>242</v>
      </c>
      <c r="V397" s="326"/>
      <c r="W397" s="326"/>
      <c r="X397" s="326"/>
      <c r="Y397" s="326"/>
      <c r="Z397" s="326"/>
      <c r="AA397" s="326"/>
      <c r="AB397" s="326"/>
    </row>
    <row r="398" spans="1:28" s="263" customFormat="1" ht="9" customHeight="1" x14ac:dyDescent="0.25">
      <c r="A398" s="550" t="s">
        <v>42</v>
      </c>
      <c r="B398" s="638" t="s">
        <v>22</v>
      </c>
      <c r="C398" s="638" t="s">
        <v>22</v>
      </c>
      <c r="D398" s="639"/>
      <c r="E398" s="632">
        <f t="shared" si="36"/>
        <v>3318</v>
      </c>
      <c r="F398" s="639"/>
      <c r="G398" s="639">
        <f t="shared" si="37"/>
        <v>1897</v>
      </c>
      <c r="H398" s="632">
        <v>1782</v>
      </c>
      <c r="I398" s="632">
        <v>115</v>
      </c>
      <c r="J398" s="639">
        <v>139</v>
      </c>
      <c r="K398" s="639">
        <v>564</v>
      </c>
      <c r="L398" s="639">
        <v>718</v>
      </c>
      <c r="V398" s="326"/>
      <c r="W398" s="326"/>
      <c r="X398" s="326"/>
      <c r="Y398" s="326"/>
      <c r="Z398" s="326"/>
      <c r="AA398" s="326"/>
      <c r="AB398" s="326"/>
    </row>
    <row r="399" spans="1:28" s="263" customFormat="1" ht="9" customHeight="1" x14ac:dyDescent="0.25">
      <c r="A399" s="550" t="s">
        <v>43</v>
      </c>
      <c r="B399" s="638" t="s">
        <v>22</v>
      </c>
      <c r="C399" s="638" t="s">
        <v>22</v>
      </c>
      <c r="D399" s="639"/>
      <c r="E399" s="632">
        <f t="shared" si="36"/>
        <v>1323</v>
      </c>
      <c r="F399" s="639"/>
      <c r="G399" s="639">
        <f t="shared" si="37"/>
        <v>687</v>
      </c>
      <c r="H399" s="632">
        <v>617</v>
      </c>
      <c r="I399" s="632">
        <v>70</v>
      </c>
      <c r="J399" s="639">
        <v>69</v>
      </c>
      <c r="K399" s="639">
        <v>300</v>
      </c>
      <c r="L399" s="639">
        <v>267</v>
      </c>
      <c r="V399" s="326"/>
      <c r="W399" s="326"/>
      <c r="X399" s="326"/>
      <c r="Y399" s="326"/>
      <c r="Z399" s="326"/>
      <c r="AA399" s="326"/>
      <c r="AB399" s="326"/>
    </row>
    <row r="400" spans="1:28" s="263" customFormat="1" ht="9" customHeight="1" x14ac:dyDescent="0.25">
      <c r="A400" s="550" t="s">
        <v>44</v>
      </c>
      <c r="B400" s="638" t="s">
        <v>22</v>
      </c>
      <c r="C400" s="638" t="s">
        <v>22</v>
      </c>
      <c r="D400" s="639"/>
      <c r="E400" s="632">
        <f t="shared" si="36"/>
        <v>835</v>
      </c>
      <c r="F400" s="639"/>
      <c r="G400" s="639">
        <f t="shared" si="37"/>
        <v>305</v>
      </c>
      <c r="H400" s="632">
        <v>269</v>
      </c>
      <c r="I400" s="632">
        <v>36</v>
      </c>
      <c r="J400" s="639">
        <v>42</v>
      </c>
      <c r="K400" s="639">
        <v>252</v>
      </c>
      <c r="L400" s="639">
        <v>236</v>
      </c>
      <c r="V400" s="326"/>
      <c r="W400" s="326"/>
      <c r="X400" s="326"/>
      <c r="Y400" s="326"/>
      <c r="Z400" s="326"/>
      <c r="AA400" s="326"/>
      <c r="AB400" s="326"/>
    </row>
    <row r="401" spans="1:28" s="263" customFormat="1" ht="9" customHeight="1" x14ac:dyDescent="0.25">
      <c r="A401" s="603" t="s">
        <v>45</v>
      </c>
      <c r="B401" s="640" t="s">
        <v>22</v>
      </c>
      <c r="C401" s="640" t="s">
        <v>22</v>
      </c>
      <c r="D401" s="641"/>
      <c r="E401" s="634">
        <f t="shared" si="36"/>
        <v>1833</v>
      </c>
      <c r="F401" s="641"/>
      <c r="G401" s="641">
        <f t="shared" si="37"/>
        <v>901</v>
      </c>
      <c r="H401" s="634">
        <v>863</v>
      </c>
      <c r="I401" s="634">
        <v>38</v>
      </c>
      <c r="J401" s="641">
        <v>199</v>
      </c>
      <c r="K401" s="641">
        <v>342</v>
      </c>
      <c r="L401" s="641">
        <v>391</v>
      </c>
      <c r="V401" s="326"/>
      <c r="W401" s="326"/>
      <c r="X401" s="326"/>
      <c r="Y401" s="326"/>
      <c r="Z401" s="326"/>
      <c r="AA401" s="326"/>
      <c r="AB401" s="326"/>
    </row>
    <row r="402" spans="1:28" s="263" customFormat="1" ht="9" customHeight="1" x14ac:dyDescent="0.25">
      <c r="A402" s="550" t="s">
        <v>46</v>
      </c>
      <c r="B402" s="638" t="s">
        <v>22</v>
      </c>
      <c r="C402" s="638" t="s">
        <v>22</v>
      </c>
      <c r="D402" s="639"/>
      <c r="E402" s="632">
        <f t="shared" si="36"/>
        <v>1207</v>
      </c>
      <c r="F402" s="639"/>
      <c r="G402" s="639">
        <f t="shared" si="37"/>
        <v>700</v>
      </c>
      <c r="H402" s="632">
        <v>652</v>
      </c>
      <c r="I402" s="632">
        <v>48</v>
      </c>
      <c r="J402" s="639">
        <v>48</v>
      </c>
      <c r="K402" s="639">
        <v>196</v>
      </c>
      <c r="L402" s="639">
        <v>263</v>
      </c>
      <c r="V402" s="326"/>
      <c r="W402" s="326"/>
      <c r="X402" s="326"/>
      <c r="Y402" s="326"/>
      <c r="Z402" s="326"/>
      <c r="AA402" s="326"/>
      <c r="AB402" s="326"/>
    </row>
    <row r="403" spans="1:28" s="263" customFormat="1" ht="9" customHeight="1" x14ac:dyDescent="0.25">
      <c r="A403" s="550" t="s">
        <v>47</v>
      </c>
      <c r="B403" s="638" t="s">
        <v>22</v>
      </c>
      <c r="C403" s="638" t="s">
        <v>22</v>
      </c>
      <c r="D403" s="639"/>
      <c r="E403" s="632">
        <f t="shared" si="36"/>
        <v>1578</v>
      </c>
      <c r="F403" s="639"/>
      <c r="G403" s="639">
        <f t="shared" si="37"/>
        <v>854</v>
      </c>
      <c r="H403" s="632">
        <v>830</v>
      </c>
      <c r="I403" s="632">
        <v>24</v>
      </c>
      <c r="J403" s="639">
        <v>69</v>
      </c>
      <c r="K403" s="639">
        <v>319</v>
      </c>
      <c r="L403" s="639">
        <v>336</v>
      </c>
      <c r="V403" s="326"/>
      <c r="W403" s="326"/>
      <c r="X403" s="326"/>
      <c r="Y403" s="326"/>
      <c r="Z403" s="326"/>
      <c r="AA403" s="326"/>
      <c r="AB403" s="326"/>
    </row>
    <row r="404" spans="1:28" s="263" customFormat="1" ht="9" customHeight="1" x14ac:dyDescent="0.25">
      <c r="A404" s="550" t="s">
        <v>48</v>
      </c>
      <c r="B404" s="638" t="s">
        <v>22</v>
      </c>
      <c r="C404" s="638" t="s">
        <v>22</v>
      </c>
      <c r="D404" s="639"/>
      <c r="E404" s="632">
        <f t="shared" si="36"/>
        <v>946</v>
      </c>
      <c r="F404" s="639"/>
      <c r="G404" s="639">
        <f t="shared" si="37"/>
        <v>521</v>
      </c>
      <c r="H404" s="632">
        <v>485</v>
      </c>
      <c r="I404" s="632">
        <v>36</v>
      </c>
      <c r="J404" s="639">
        <v>65</v>
      </c>
      <c r="K404" s="639">
        <v>175</v>
      </c>
      <c r="L404" s="639">
        <v>185</v>
      </c>
      <c r="V404" s="326"/>
      <c r="W404" s="326"/>
      <c r="X404" s="326"/>
      <c r="Y404" s="326"/>
      <c r="Z404" s="326"/>
      <c r="AA404" s="326"/>
      <c r="AB404" s="326"/>
    </row>
    <row r="405" spans="1:28" s="263" customFormat="1" ht="9" customHeight="1" x14ac:dyDescent="0.25">
      <c r="A405" s="603" t="s">
        <v>49</v>
      </c>
      <c r="B405" s="640" t="s">
        <v>22</v>
      </c>
      <c r="C405" s="640" t="s">
        <v>22</v>
      </c>
      <c r="D405" s="641"/>
      <c r="E405" s="634">
        <f t="shared" si="36"/>
        <v>2028</v>
      </c>
      <c r="F405" s="641"/>
      <c r="G405" s="641">
        <f t="shared" si="37"/>
        <v>1087</v>
      </c>
      <c r="H405" s="634">
        <v>1040</v>
      </c>
      <c r="I405" s="634">
        <v>47</v>
      </c>
      <c r="J405" s="641">
        <v>177</v>
      </c>
      <c r="K405" s="641">
        <v>332</v>
      </c>
      <c r="L405" s="641">
        <v>432</v>
      </c>
      <c r="V405" s="326"/>
      <c r="W405" s="326"/>
      <c r="X405" s="326"/>
      <c r="Y405" s="326"/>
      <c r="Z405" s="326"/>
      <c r="AA405" s="326"/>
      <c r="AB405" s="326"/>
    </row>
    <row r="406" spans="1:28" s="263" customFormat="1" ht="9" customHeight="1" x14ac:dyDescent="0.25">
      <c r="A406" s="550" t="s">
        <v>50</v>
      </c>
      <c r="B406" s="638" t="s">
        <v>22</v>
      </c>
      <c r="C406" s="638" t="s">
        <v>22</v>
      </c>
      <c r="D406" s="639"/>
      <c r="E406" s="632">
        <f t="shared" si="36"/>
        <v>370</v>
      </c>
      <c r="F406" s="639"/>
      <c r="G406" s="639">
        <f t="shared" si="37"/>
        <v>215</v>
      </c>
      <c r="H406" s="632">
        <v>214</v>
      </c>
      <c r="I406" s="632">
        <v>1</v>
      </c>
      <c r="J406" s="639">
        <v>6</v>
      </c>
      <c r="K406" s="639">
        <v>61</v>
      </c>
      <c r="L406" s="639">
        <v>88</v>
      </c>
      <c r="V406" s="326"/>
      <c r="W406" s="326"/>
      <c r="X406" s="326"/>
      <c r="Y406" s="326"/>
      <c r="Z406" s="326"/>
      <c r="AA406" s="326"/>
      <c r="AB406" s="326"/>
    </row>
    <row r="407" spans="1:28" s="263" customFormat="1" ht="9" customHeight="1" x14ac:dyDescent="0.25">
      <c r="A407" s="550" t="s">
        <v>51</v>
      </c>
      <c r="B407" s="638" t="s">
        <v>22</v>
      </c>
      <c r="C407" s="638" t="s">
        <v>22</v>
      </c>
      <c r="D407" s="639"/>
      <c r="E407" s="632">
        <f t="shared" si="36"/>
        <v>2253</v>
      </c>
      <c r="F407" s="639"/>
      <c r="G407" s="639">
        <f t="shared" si="37"/>
        <v>1215</v>
      </c>
      <c r="H407" s="632">
        <v>1166</v>
      </c>
      <c r="I407" s="632">
        <v>49</v>
      </c>
      <c r="J407" s="639">
        <v>127</v>
      </c>
      <c r="K407" s="639">
        <v>434</v>
      </c>
      <c r="L407" s="639">
        <v>477</v>
      </c>
      <c r="V407" s="326"/>
      <c r="W407" s="326"/>
      <c r="X407" s="326"/>
      <c r="Y407" s="326"/>
      <c r="Z407" s="326"/>
      <c r="AA407" s="326"/>
      <c r="AB407" s="326"/>
    </row>
    <row r="408" spans="1:28" s="263" customFormat="1" ht="9" customHeight="1" x14ac:dyDescent="0.25">
      <c r="A408" s="550" t="s">
        <v>52</v>
      </c>
      <c r="B408" s="638" t="s">
        <v>22</v>
      </c>
      <c r="C408" s="638" t="s">
        <v>22</v>
      </c>
      <c r="D408" s="639"/>
      <c r="E408" s="632">
        <f t="shared" si="36"/>
        <v>1253</v>
      </c>
      <c r="F408" s="639"/>
      <c r="G408" s="639">
        <f t="shared" si="37"/>
        <v>684</v>
      </c>
      <c r="H408" s="632">
        <v>667</v>
      </c>
      <c r="I408" s="632">
        <v>17</v>
      </c>
      <c r="J408" s="639">
        <v>18</v>
      </c>
      <c r="K408" s="639">
        <v>252</v>
      </c>
      <c r="L408" s="639">
        <v>299</v>
      </c>
      <c r="V408" s="326"/>
      <c r="W408" s="326"/>
      <c r="X408" s="326"/>
      <c r="Y408" s="326"/>
      <c r="Z408" s="326"/>
      <c r="AA408" s="326"/>
      <c r="AB408" s="326"/>
    </row>
    <row r="409" spans="1:28" s="263" customFormat="1" ht="9" customHeight="1" x14ac:dyDescent="0.25">
      <c r="A409" s="267" t="s">
        <v>53</v>
      </c>
      <c r="B409" s="599" t="s">
        <v>22</v>
      </c>
      <c r="C409" s="599" t="s">
        <v>22</v>
      </c>
      <c r="D409" s="328"/>
      <c r="E409" s="604">
        <f t="shared" si="36"/>
        <v>709</v>
      </c>
      <c r="F409" s="328"/>
      <c r="G409" s="328">
        <f t="shared" si="37"/>
        <v>357</v>
      </c>
      <c r="H409" s="604">
        <v>338</v>
      </c>
      <c r="I409" s="604">
        <v>19</v>
      </c>
      <c r="J409" s="328">
        <v>43</v>
      </c>
      <c r="K409" s="328">
        <v>112</v>
      </c>
      <c r="L409" s="328">
        <v>197</v>
      </c>
      <c r="V409" s="326"/>
      <c r="W409" s="326"/>
      <c r="X409" s="326"/>
      <c r="Y409" s="326"/>
      <c r="Z409" s="326"/>
      <c r="AA409" s="326"/>
      <c r="AB409" s="326"/>
    </row>
    <row r="410" spans="1:28" s="263" customFormat="1" ht="9" customHeight="1" x14ac:dyDescent="0.25">
      <c r="A410" s="286"/>
      <c r="B410" s="613"/>
      <c r="C410" s="613"/>
      <c r="D410" s="329"/>
      <c r="E410" s="605"/>
      <c r="F410" s="329"/>
      <c r="G410" s="329"/>
      <c r="H410" s="605"/>
      <c r="I410" s="605"/>
      <c r="J410" s="329"/>
      <c r="K410" s="329"/>
      <c r="L410" s="329"/>
      <c r="V410" s="326"/>
      <c r="W410" s="326"/>
      <c r="X410" s="326"/>
      <c r="Y410" s="326"/>
      <c r="Z410" s="326"/>
      <c r="AA410" s="326"/>
      <c r="AB410" s="326"/>
    </row>
    <row r="411" spans="1:28" s="263" customFormat="1" ht="9" customHeight="1" x14ac:dyDescent="0.25">
      <c r="A411" s="261">
        <v>2006</v>
      </c>
      <c r="B411" s="288"/>
      <c r="C411" s="262"/>
      <c r="D411" s="262"/>
      <c r="E411" s="262"/>
      <c r="F411" s="262"/>
      <c r="G411" s="262"/>
      <c r="H411" s="271"/>
      <c r="I411" s="262"/>
      <c r="J411" s="262"/>
      <c r="K411" s="262"/>
      <c r="L411" s="262"/>
      <c r="V411" s="326"/>
      <c r="W411" s="326"/>
      <c r="X411" s="326"/>
      <c r="Y411" s="326"/>
      <c r="Z411" s="326"/>
      <c r="AA411" s="326"/>
      <c r="AB411" s="326"/>
    </row>
    <row r="412" spans="1:28" s="263" customFormat="1" ht="9" customHeight="1" x14ac:dyDescent="0.25">
      <c r="A412" s="265" t="s">
        <v>21</v>
      </c>
      <c r="B412" s="325" t="s">
        <v>22</v>
      </c>
      <c r="C412" s="325" t="s">
        <v>22</v>
      </c>
      <c r="D412" s="325"/>
      <c r="E412" s="325">
        <f>SUM(E414:E445)</f>
        <v>78507</v>
      </c>
      <c r="F412" s="325"/>
      <c r="G412" s="325">
        <f t="shared" ref="G412:L412" si="38">SUM(G414:G445)</f>
        <v>41146</v>
      </c>
      <c r="H412" s="332">
        <f t="shared" si="38"/>
        <v>37587</v>
      </c>
      <c r="I412" s="325">
        <f t="shared" si="38"/>
        <v>3559</v>
      </c>
      <c r="J412" s="325">
        <f t="shared" si="38"/>
        <v>4574</v>
      </c>
      <c r="K412" s="325">
        <f t="shared" si="38"/>
        <v>16299</v>
      </c>
      <c r="L412" s="325">
        <f t="shared" si="38"/>
        <v>16488</v>
      </c>
      <c r="V412" s="326"/>
      <c r="W412" s="326"/>
      <c r="X412" s="326"/>
      <c r="Y412" s="326"/>
      <c r="Z412" s="326"/>
      <c r="AA412" s="326"/>
      <c r="AB412" s="326"/>
    </row>
    <row r="413" spans="1:28" s="263" customFormat="1" ht="3.95" customHeight="1" x14ac:dyDescent="0.25">
      <c r="A413" s="265"/>
      <c r="B413" s="325"/>
      <c r="C413" s="325"/>
      <c r="D413" s="325"/>
      <c r="E413" s="325"/>
      <c r="F413" s="325"/>
      <c r="G413" s="325"/>
      <c r="H413" s="325"/>
      <c r="I413" s="325"/>
      <c r="J413" s="325"/>
      <c r="K413" s="325"/>
      <c r="L413" s="325"/>
      <c r="V413" s="326"/>
      <c r="W413" s="326"/>
      <c r="X413" s="326"/>
      <c r="Y413" s="326"/>
      <c r="Z413" s="326"/>
      <c r="AA413" s="326"/>
      <c r="AB413" s="326"/>
    </row>
    <row r="414" spans="1:28" s="263" customFormat="1" ht="9" customHeight="1" x14ac:dyDescent="0.25">
      <c r="A414" s="550" t="s">
        <v>23</v>
      </c>
      <c r="B414" s="638" t="s">
        <v>22</v>
      </c>
      <c r="C414" s="638" t="s">
        <v>22</v>
      </c>
      <c r="D414" s="639"/>
      <c r="E414" s="632">
        <f>SUM(G414+J414+K414+L414)</f>
        <v>778</v>
      </c>
      <c r="F414" s="639"/>
      <c r="G414" s="639">
        <f>SUM(H414:I414)</f>
        <v>366</v>
      </c>
      <c r="H414" s="632">
        <v>340</v>
      </c>
      <c r="I414" s="632">
        <v>26</v>
      </c>
      <c r="J414" s="639">
        <v>57</v>
      </c>
      <c r="K414" s="639">
        <v>145</v>
      </c>
      <c r="L414" s="639">
        <v>210</v>
      </c>
      <c r="V414" s="326"/>
      <c r="W414" s="326"/>
      <c r="X414" s="326"/>
      <c r="Y414" s="326"/>
      <c r="Z414" s="326"/>
      <c r="AA414" s="326"/>
      <c r="AB414" s="326"/>
    </row>
    <row r="415" spans="1:28" s="263" customFormat="1" ht="9" customHeight="1" x14ac:dyDescent="0.25">
      <c r="A415" s="550" t="s">
        <v>24</v>
      </c>
      <c r="B415" s="638" t="s">
        <v>22</v>
      </c>
      <c r="C415" s="638" t="s">
        <v>22</v>
      </c>
      <c r="D415" s="639"/>
      <c r="E415" s="632">
        <f>SUM(G415+J415+K415+L415)</f>
        <v>1885</v>
      </c>
      <c r="F415" s="638"/>
      <c r="G415" s="639">
        <f>SUM(H415:I415)</f>
        <v>920</v>
      </c>
      <c r="H415" s="638">
        <v>905</v>
      </c>
      <c r="I415" s="638">
        <v>15</v>
      </c>
      <c r="J415" s="638">
        <v>38</v>
      </c>
      <c r="K415" s="638">
        <v>426</v>
      </c>
      <c r="L415" s="638">
        <v>501</v>
      </c>
      <c r="V415" s="326"/>
      <c r="W415" s="326"/>
      <c r="X415" s="326"/>
      <c r="Y415" s="326"/>
      <c r="Z415" s="326"/>
      <c r="AA415" s="326"/>
      <c r="AB415" s="326"/>
    </row>
    <row r="416" spans="1:28" s="263" customFormat="1" ht="9" customHeight="1" x14ac:dyDescent="0.25">
      <c r="A416" s="550" t="s">
        <v>25</v>
      </c>
      <c r="B416" s="638" t="s">
        <v>22</v>
      </c>
      <c r="C416" s="638" t="s">
        <v>22</v>
      </c>
      <c r="D416" s="639"/>
      <c r="E416" s="632">
        <f t="shared" ref="E416:E445" si="39">SUM(G416+J416+K416+L416)</f>
        <v>258</v>
      </c>
      <c r="F416" s="639"/>
      <c r="G416" s="639">
        <f t="shared" ref="G416:G445" si="40">SUM(H416:I416)</f>
        <v>122</v>
      </c>
      <c r="H416" s="632">
        <v>106</v>
      </c>
      <c r="I416" s="632">
        <v>16</v>
      </c>
      <c r="J416" s="639">
        <v>41</v>
      </c>
      <c r="K416" s="639">
        <v>51</v>
      </c>
      <c r="L416" s="639">
        <v>44</v>
      </c>
      <c r="V416" s="326"/>
      <c r="W416" s="326"/>
      <c r="X416" s="326"/>
      <c r="Y416" s="326"/>
      <c r="Z416" s="326"/>
      <c r="AA416" s="326"/>
      <c r="AB416" s="326"/>
    </row>
    <row r="417" spans="1:28" s="263" customFormat="1" ht="9" customHeight="1" x14ac:dyDescent="0.25">
      <c r="A417" s="603" t="s">
        <v>26</v>
      </c>
      <c r="B417" s="640" t="s">
        <v>22</v>
      </c>
      <c r="C417" s="640" t="s">
        <v>22</v>
      </c>
      <c r="D417" s="641"/>
      <c r="E417" s="634">
        <f t="shared" si="39"/>
        <v>174</v>
      </c>
      <c r="F417" s="641"/>
      <c r="G417" s="641">
        <f t="shared" si="40"/>
        <v>108</v>
      </c>
      <c r="H417" s="634">
        <v>88</v>
      </c>
      <c r="I417" s="634">
        <v>20</v>
      </c>
      <c r="J417" s="641">
        <v>7</v>
      </c>
      <c r="K417" s="641">
        <v>28</v>
      </c>
      <c r="L417" s="641">
        <v>31</v>
      </c>
      <c r="V417" s="326"/>
      <c r="W417" s="326"/>
      <c r="X417" s="326"/>
      <c r="Y417" s="326"/>
      <c r="Z417" s="326"/>
      <c r="AA417" s="326"/>
      <c r="AB417" s="326"/>
    </row>
    <row r="418" spans="1:28" s="263" customFormat="1" ht="9" customHeight="1" x14ac:dyDescent="0.25">
      <c r="A418" s="550" t="s">
        <v>27</v>
      </c>
      <c r="B418" s="638" t="s">
        <v>22</v>
      </c>
      <c r="C418" s="638" t="s">
        <v>22</v>
      </c>
      <c r="D418" s="639"/>
      <c r="E418" s="632">
        <f t="shared" si="39"/>
        <v>1527</v>
      </c>
      <c r="F418" s="639"/>
      <c r="G418" s="639">
        <f t="shared" si="40"/>
        <v>656</v>
      </c>
      <c r="H418" s="632">
        <v>623</v>
      </c>
      <c r="I418" s="632">
        <v>33</v>
      </c>
      <c r="J418" s="639">
        <v>72</v>
      </c>
      <c r="K418" s="639">
        <v>318</v>
      </c>
      <c r="L418" s="639">
        <v>481</v>
      </c>
      <c r="V418" s="326"/>
      <c r="W418" s="326"/>
      <c r="X418" s="326"/>
      <c r="Y418" s="326"/>
      <c r="Z418" s="326"/>
      <c r="AA418" s="326"/>
      <c r="AB418" s="326"/>
    </row>
    <row r="419" spans="1:28" s="263" customFormat="1" ht="9" customHeight="1" x14ac:dyDescent="0.25">
      <c r="A419" s="550" t="s">
        <v>28</v>
      </c>
      <c r="B419" s="638" t="s">
        <v>22</v>
      </c>
      <c r="C419" s="638" t="s">
        <v>22</v>
      </c>
      <c r="D419" s="639"/>
      <c r="E419" s="632">
        <f t="shared" si="39"/>
        <v>298</v>
      </c>
      <c r="F419" s="639"/>
      <c r="G419" s="639">
        <f t="shared" si="40"/>
        <v>143</v>
      </c>
      <c r="H419" s="632">
        <v>135</v>
      </c>
      <c r="I419" s="632">
        <v>8</v>
      </c>
      <c r="J419" s="639">
        <v>18</v>
      </c>
      <c r="K419" s="639">
        <v>45</v>
      </c>
      <c r="L419" s="639">
        <v>92</v>
      </c>
      <c r="V419" s="326"/>
      <c r="W419" s="326"/>
      <c r="X419" s="326"/>
      <c r="Y419" s="326"/>
      <c r="Z419" s="326"/>
      <c r="AA419" s="326"/>
      <c r="AB419" s="326"/>
    </row>
    <row r="420" spans="1:28" s="263" customFormat="1" ht="9" customHeight="1" x14ac:dyDescent="0.25">
      <c r="A420" s="550" t="s">
        <v>29</v>
      </c>
      <c r="B420" s="638" t="s">
        <v>22</v>
      </c>
      <c r="C420" s="638" t="s">
        <v>22</v>
      </c>
      <c r="D420" s="639"/>
      <c r="E420" s="632">
        <f t="shared" si="39"/>
        <v>889</v>
      </c>
      <c r="F420" s="639"/>
      <c r="G420" s="639">
        <f t="shared" si="40"/>
        <v>523</v>
      </c>
      <c r="H420" s="632">
        <v>498</v>
      </c>
      <c r="I420" s="632">
        <v>25</v>
      </c>
      <c r="J420" s="639">
        <v>20</v>
      </c>
      <c r="K420" s="639">
        <v>123</v>
      </c>
      <c r="L420" s="639">
        <v>223</v>
      </c>
      <c r="V420" s="326"/>
      <c r="W420" s="326"/>
      <c r="X420" s="326"/>
      <c r="Y420" s="326"/>
      <c r="Z420" s="326"/>
      <c r="AA420" s="326"/>
      <c r="AB420" s="326"/>
    </row>
    <row r="421" spans="1:28" s="263" customFormat="1" ht="9" customHeight="1" x14ac:dyDescent="0.25">
      <c r="A421" s="603" t="s">
        <v>30</v>
      </c>
      <c r="B421" s="640" t="s">
        <v>22</v>
      </c>
      <c r="C421" s="640" t="s">
        <v>22</v>
      </c>
      <c r="D421" s="641"/>
      <c r="E421" s="634">
        <f t="shared" si="39"/>
        <v>3163</v>
      </c>
      <c r="F421" s="641"/>
      <c r="G421" s="641">
        <f t="shared" si="40"/>
        <v>1793</v>
      </c>
      <c r="H421" s="634">
        <v>1683</v>
      </c>
      <c r="I421" s="634">
        <v>110</v>
      </c>
      <c r="J421" s="641">
        <v>187</v>
      </c>
      <c r="K421" s="641">
        <v>594</v>
      </c>
      <c r="L421" s="641">
        <v>589</v>
      </c>
      <c r="V421" s="326"/>
      <c r="W421" s="326"/>
      <c r="X421" s="326"/>
      <c r="Y421" s="326"/>
      <c r="Z421" s="326"/>
      <c r="AA421" s="326"/>
      <c r="AB421" s="326"/>
    </row>
    <row r="422" spans="1:28" s="263" customFormat="1" ht="9" customHeight="1" x14ac:dyDescent="0.25">
      <c r="A422" s="550" t="s">
        <v>63</v>
      </c>
      <c r="B422" s="638" t="s">
        <v>22</v>
      </c>
      <c r="C422" s="638" t="s">
        <v>22</v>
      </c>
      <c r="D422" s="639"/>
      <c r="E422" s="632">
        <f t="shared" si="39"/>
        <v>19536</v>
      </c>
      <c r="F422" s="639"/>
      <c r="G422" s="639">
        <f t="shared" si="40"/>
        <v>10184</v>
      </c>
      <c r="H422" s="632">
        <v>8521</v>
      </c>
      <c r="I422" s="632">
        <v>1663</v>
      </c>
      <c r="J422" s="639">
        <v>1595</v>
      </c>
      <c r="K422" s="639">
        <v>4837</v>
      </c>
      <c r="L422" s="639">
        <v>2920</v>
      </c>
      <c r="V422" s="326"/>
      <c r="W422" s="326"/>
      <c r="X422" s="326"/>
      <c r="Y422" s="326"/>
      <c r="Z422" s="326"/>
      <c r="AA422" s="326"/>
      <c r="AB422" s="326"/>
    </row>
    <row r="423" spans="1:28" s="263" customFormat="1" ht="9" customHeight="1" x14ac:dyDescent="0.25">
      <c r="A423" s="550" t="s">
        <v>31</v>
      </c>
      <c r="B423" s="638" t="s">
        <v>22</v>
      </c>
      <c r="C423" s="638" t="s">
        <v>22</v>
      </c>
      <c r="D423" s="639"/>
      <c r="E423" s="632">
        <f t="shared" si="39"/>
        <v>490</v>
      </c>
      <c r="F423" s="639"/>
      <c r="G423" s="639">
        <f t="shared" si="40"/>
        <v>294</v>
      </c>
      <c r="H423" s="632">
        <v>287</v>
      </c>
      <c r="I423" s="632">
        <v>7</v>
      </c>
      <c r="J423" s="550">
        <v>12</v>
      </c>
      <c r="K423" s="550">
        <v>68</v>
      </c>
      <c r="L423" s="639">
        <v>116</v>
      </c>
      <c r="V423" s="326"/>
      <c r="W423" s="326"/>
      <c r="X423" s="326"/>
      <c r="Y423" s="326"/>
      <c r="Z423" s="326"/>
      <c r="AA423" s="326"/>
      <c r="AB423" s="326"/>
    </row>
    <row r="424" spans="1:28" s="263" customFormat="1" ht="9" customHeight="1" x14ac:dyDescent="0.25">
      <c r="A424" s="550" t="s">
        <v>32</v>
      </c>
      <c r="B424" s="638" t="s">
        <v>22</v>
      </c>
      <c r="C424" s="638" t="s">
        <v>22</v>
      </c>
      <c r="D424" s="639"/>
      <c r="E424" s="632">
        <f t="shared" si="39"/>
        <v>3955</v>
      </c>
      <c r="F424" s="639"/>
      <c r="G424" s="639">
        <f t="shared" si="40"/>
        <v>2126</v>
      </c>
      <c r="H424" s="632">
        <v>2000</v>
      </c>
      <c r="I424" s="632">
        <v>126</v>
      </c>
      <c r="J424" s="639">
        <v>234</v>
      </c>
      <c r="K424" s="639">
        <v>739</v>
      </c>
      <c r="L424" s="639">
        <v>856</v>
      </c>
      <c r="V424" s="326"/>
      <c r="W424" s="326"/>
      <c r="X424" s="326"/>
      <c r="Y424" s="326"/>
      <c r="Z424" s="326"/>
      <c r="AA424" s="326"/>
      <c r="AB424" s="326"/>
    </row>
    <row r="425" spans="1:28" s="263" customFormat="1" ht="9" customHeight="1" x14ac:dyDescent="0.25">
      <c r="A425" s="603" t="s">
        <v>33</v>
      </c>
      <c r="B425" s="640" t="s">
        <v>22</v>
      </c>
      <c r="C425" s="640" t="s">
        <v>22</v>
      </c>
      <c r="D425" s="641"/>
      <c r="E425" s="634">
        <f t="shared" si="39"/>
        <v>894</v>
      </c>
      <c r="F425" s="641"/>
      <c r="G425" s="641">
        <f t="shared" si="40"/>
        <v>557</v>
      </c>
      <c r="H425" s="634">
        <v>513</v>
      </c>
      <c r="I425" s="634">
        <v>44</v>
      </c>
      <c r="J425" s="641">
        <v>44</v>
      </c>
      <c r="K425" s="641">
        <v>117</v>
      </c>
      <c r="L425" s="641">
        <v>176</v>
      </c>
      <c r="V425" s="326"/>
      <c r="W425" s="326"/>
      <c r="X425" s="326"/>
      <c r="Y425" s="326"/>
      <c r="Z425" s="326"/>
      <c r="AA425" s="326"/>
      <c r="AB425" s="326"/>
    </row>
    <row r="426" spans="1:28" s="263" customFormat="1" ht="9" customHeight="1" x14ac:dyDescent="0.25">
      <c r="A426" s="550" t="s">
        <v>34</v>
      </c>
      <c r="B426" s="638" t="s">
        <v>22</v>
      </c>
      <c r="C426" s="638" t="s">
        <v>22</v>
      </c>
      <c r="D426" s="639"/>
      <c r="E426" s="632">
        <f t="shared" si="39"/>
        <v>1037</v>
      </c>
      <c r="F426" s="639"/>
      <c r="G426" s="639">
        <f t="shared" si="40"/>
        <v>580</v>
      </c>
      <c r="H426" s="632">
        <v>527</v>
      </c>
      <c r="I426" s="632">
        <v>53</v>
      </c>
      <c r="J426" s="639">
        <v>80</v>
      </c>
      <c r="K426" s="639">
        <v>167</v>
      </c>
      <c r="L426" s="639">
        <v>210</v>
      </c>
      <c r="V426" s="326"/>
      <c r="W426" s="326"/>
      <c r="X426" s="326"/>
      <c r="Y426" s="326"/>
      <c r="Z426" s="326"/>
      <c r="AA426" s="326"/>
      <c r="AB426" s="326"/>
    </row>
    <row r="427" spans="1:28" s="263" customFormat="1" ht="9" customHeight="1" x14ac:dyDescent="0.25">
      <c r="A427" s="550" t="s">
        <v>35</v>
      </c>
      <c r="B427" s="638" t="s">
        <v>22</v>
      </c>
      <c r="C427" s="638" t="s">
        <v>22</v>
      </c>
      <c r="D427" s="639"/>
      <c r="E427" s="632">
        <f t="shared" si="39"/>
        <v>6884</v>
      </c>
      <c r="F427" s="639"/>
      <c r="G427" s="639">
        <f t="shared" si="40"/>
        <v>3524</v>
      </c>
      <c r="H427" s="632">
        <v>3222</v>
      </c>
      <c r="I427" s="632">
        <v>302</v>
      </c>
      <c r="J427" s="639">
        <v>276</v>
      </c>
      <c r="K427" s="639">
        <v>1449</v>
      </c>
      <c r="L427" s="639">
        <v>1635</v>
      </c>
      <c r="V427" s="326"/>
      <c r="W427" s="326"/>
      <c r="X427" s="326"/>
      <c r="Y427" s="326"/>
      <c r="Z427" s="326"/>
      <c r="AA427" s="326"/>
      <c r="AB427" s="326"/>
    </row>
    <row r="428" spans="1:28" s="263" customFormat="1" ht="9" customHeight="1" x14ac:dyDescent="0.25">
      <c r="A428" s="550" t="s">
        <v>36</v>
      </c>
      <c r="B428" s="638" t="s">
        <v>22</v>
      </c>
      <c r="C428" s="638" t="s">
        <v>22</v>
      </c>
      <c r="D428" s="639"/>
      <c r="E428" s="632">
        <f t="shared" si="39"/>
        <v>6730</v>
      </c>
      <c r="F428" s="639"/>
      <c r="G428" s="639">
        <f t="shared" si="40"/>
        <v>3740</v>
      </c>
      <c r="H428" s="632">
        <v>3512</v>
      </c>
      <c r="I428" s="632">
        <v>228</v>
      </c>
      <c r="J428" s="639">
        <v>299</v>
      </c>
      <c r="K428" s="639">
        <v>1456</v>
      </c>
      <c r="L428" s="639">
        <v>1235</v>
      </c>
      <c r="V428" s="326"/>
      <c r="W428" s="326"/>
      <c r="X428" s="326"/>
      <c r="Y428" s="326"/>
      <c r="Z428" s="326"/>
      <c r="AA428" s="326"/>
      <c r="AB428" s="326"/>
    </row>
    <row r="429" spans="1:28" s="263" customFormat="1" ht="9" customHeight="1" x14ac:dyDescent="0.25">
      <c r="A429" s="603" t="s">
        <v>37</v>
      </c>
      <c r="B429" s="640" t="s">
        <v>22</v>
      </c>
      <c r="C429" s="640" t="s">
        <v>22</v>
      </c>
      <c r="D429" s="641"/>
      <c r="E429" s="634">
        <f t="shared" si="39"/>
        <v>2979</v>
      </c>
      <c r="F429" s="641"/>
      <c r="G429" s="641">
        <f t="shared" si="40"/>
        <v>1795</v>
      </c>
      <c r="H429" s="634">
        <v>1735</v>
      </c>
      <c r="I429" s="634">
        <v>60</v>
      </c>
      <c r="J429" s="641">
        <v>106</v>
      </c>
      <c r="K429" s="641">
        <v>468</v>
      </c>
      <c r="L429" s="641">
        <v>610</v>
      </c>
      <c r="V429" s="326"/>
      <c r="W429" s="326"/>
      <c r="X429" s="326"/>
      <c r="Y429" s="326"/>
      <c r="Z429" s="326"/>
      <c r="AA429" s="326"/>
      <c r="AB429" s="326"/>
    </row>
    <row r="430" spans="1:28" s="263" customFormat="1" ht="9" customHeight="1" x14ac:dyDescent="0.25">
      <c r="A430" s="550" t="s">
        <v>38</v>
      </c>
      <c r="B430" s="638" t="s">
        <v>22</v>
      </c>
      <c r="C430" s="638" t="s">
        <v>22</v>
      </c>
      <c r="D430" s="639"/>
      <c r="E430" s="632">
        <f t="shared" si="39"/>
        <v>987</v>
      </c>
      <c r="F430" s="639"/>
      <c r="G430" s="639">
        <f t="shared" si="40"/>
        <v>539</v>
      </c>
      <c r="H430" s="632">
        <v>503</v>
      </c>
      <c r="I430" s="632">
        <v>36</v>
      </c>
      <c r="J430" s="639">
        <v>50</v>
      </c>
      <c r="K430" s="639">
        <v>212</v>
      </c>
      <c r="L430" s="639">
        <v>186</v>
      </c>
      <c r="V430" s="326"/>
      <c r="W430" s="326"/>
      <c r="X430" s="326"/>
      <c r="Y430" s="326"/>
      <c r="Z430" s="326"/>
      <c r="AA430" s="326"/>
      <c r="AB430" s="326"/>
    </row>
    <row r="431" spans="1:28" s="263" customFormat="1" ht="9" customHeight="1" x14ac:dyDescent="0.25">
      <c r="A431" s="550" t="s">
        <v>39</v>
      </c>
      <c r="B431" s="638" t="s">
        <v>22</v>
      </c>
      <c r="C431" s="638" t="s">
        <v>22</v>
      </c>
      <c r="D431" s="639"/>
      <c r="E431" s="632">
        <f t="shared" si="39"/>
        <v>269</v>
      </c>
      <c r="F431" s="639"/>
      <c r="G431" s="639">
        <f t="shared" si="40"/>
        <v>117</v>
      </c>
      <c r="H431" s="632">
        <v>109</v>
      </c>
      <c r="I431" s="632">
        <v>8</v>
      </c>
      <c r="J431" s="639">
        <v>7</v>
      </c>
      <c r="K431" s="639">
        <v>51</v>
      </c>
      <c r="L431" s="639">
        <v>94</v>
      </c>
      <c r="V431" s="326"/>
      <c r="W431" s="326"/>
      <c r="X431" s="326"/>
      <c r="Y431" s="326"/>
      <c r="Z431" s="326"/>
      <c r="AA431" s="326"/>
      <c r="AB431" s="326"/>
    </row>
    <row r="432" spans="1:28" s="263" customFormat="1" ht="9" customHeight="1" x14ac:dyDescent="0.25">
      <c r="A432" s="550" t="s">
        <v>40</v>
      </c>
      <c r="B432" s="638" t="s">
        <v>22</v>
      </c>
      <c r="C432" s="638" t="s">
        <v>22</v>
      </c>
      <c r="D432" s="639"/>
      <c r="E432" s="632">
        <f t="shared" si="39"/>
        <v>6969</v>
      </c>
      <c r="F432" s="639"/>
      <c r="G432" s="639">
        <f t="shared" si="40"/>
        <v>3122</v>
      </c>
      <c r="H432" s="632">
        <v>2841</v>
      </c>
      <c r="I432" s="632">
        <v>281</v>
      </c>
      <c r="J432" s="639">
        <v>382</v>
      </c>
      <c r="K432" s="639">
        <v>1233</v>
      </c>
      <c r="L432" s="639">
        <v>2232</v>
      </c>
      <c r="V432" s="326"/>
      <c r="W432" s="326"/>
      <c r="X432" s="326"/>
      <c r="Y432" s="326"/>
      <c r="Z432" s="326"/>
      <c r="AA432" s="326"/>
      <c r="AB432" s="326"/>
    </row>
    <row r="433" spans="1:28" s="263" customFormat="1" ht="9" customHeight="1" x14ac:dyDescent="0.25">
      <c r="A433" s="603" t="s">
        <v>41</v>
      </c>
      <c r="B433" s="640" t="s">
        <v>22</v>
      </c>
      <c r="C433" s="640" t="s">
        <v>22</v>
      </c>
      <c r="D433" s="641"/>
      <c r="E433" s="634">
        <f t="shared" si="39"/>
        <v>957</v>
      </c>
      <c r="F433" s="641"/>
      <c r="G433" s="641">
        <f t="shared" si="40"/>
        <v>534</v>
      </c>
      <c r="H433" s="634">
        <v>509</v>
      </c>
      <c r="I433" s="634">
        <v>25</v>
      </c>
      <c r="J433" s="641">
        <v>32</v>
      </c>
      <c r="K433" s="641">
        <v>162</v>
      </c>
      <c r="L433" s="641">
        <v>229</v>
      </c>
      <c r="V433" s="326"/>
      <c r="W433" s="326"/>
      <c r="X433" s="326"/>
      <c r="Y433" s="326"/>
      <c r="Z433" s="326"/>
      <c r="AA433" s="326"/>
      <c r="AB433" s="326"/>
    </row>
    <row r="434" spans="1:28" s="263" customFormat="1" ht="9" customHeight="1" x14ac:dyDescent="0.25">
      <c r="A434" s="550" t="s">
        <v>42</v>
      </c>
      <c r="B434" s="638" t="s">
        <v>22</v>
      </c>
      <c r="C434" s="638" t="s">
        <v>22</v>
      </c>
      <c r="D434" s="639"/>
      <c r="E434" s="632">
        <f t="shared" si="39"/>
        <v>3204</v>
      </c>
      <c r="F434" s="639"/>
      <c r="G434" s="639">
        <f t="shared" si="40"/>
        <v>1863</v>
      </c>
      <c r="H434" s="632">
        <v>1761</v>
      </c>
      <c r="I434" s="632">
        <v>102</v>
      </c>
      <c r="J434" s="639">
        <v>103</v>
      </c>
      <c r="K434" s="639">
        <v>659</v>
      </c>
      <c r="L434" s="639">
        <v>579</v>
      </c>
      <c r="V434" s="326"/>
      <c r="W434" s="326"/>
      <c r="X434" s="326"/>
      <c r="Y434" s="326"/>
      <c r="Z434" s="326"/>
      <c r="AA434" s="326"/>
      <c r="AB434" s="326"/>
    </row>
    <row r="435" spans="1:28" s="263" customFormat="1" ht="9" customHeight="1" x14ac:dyDescent="0.25">
      <c r="A435" s="550" t="s">
        <v>43</v>
      </c>
      <c r="B435" s="638" t="s">
        <v>22</v>
      </c>
      <c r="C435" s="638" t="s">
        <v>22</v>
      </c>
      <c r="D435" s="639"/>
      <c r="E435" s="632">
        <f t="shared" si="39"/>
        <v>1250</v>
      </c>
      <c r="F435" s="639"/>
      <c r="G435" s="639">
        <f t="shared" si="40"/>
        <v>625</v>
      </c>
      <c r="H435" s="632">
        <v>579</v>
      </c>
      <c r="I435" s="632">
        <v>46</v>
      </c>
      <c r="J435" s="639">
        <v>73</v>
      </c>
      <c r="K435" s="639">
        <v>287</v>
      </c>
      <c r="L435" s="639">
        <v>265</v>
      </c>
      <c r="V435" s="326"/>
      <c r="W435" s="326"/>
      <c r="X435" s="326"/>
      <c r="Y435" s="326"/>
      <c r="Z435" s="326"/>
      <c r="AA435" s="326"/>
      <c r="AB435" s="326"/>
    </row>
    <row r="436" spans="1:28" s="263" customFormat="1" ht="9" customHeight="1" x14ac:dyDescent="0.25">
      <c r="A436" s="550" t="s">
        <v>44</v>
      </c>
      <c r="B436" s="638" t="s">
        <v>22</v>
      </c>
      <c r="C436" s="638" t="s">
        <v>22</v>
      </c>
      <c r="D436" s="639"/>
      <c r="E436" s="632">
        <f t="shared" si="39"/>
        <v>855</v>
      </c>
      <c r="F436" s="639"/>
      <c r="G436" s="639">
        <f t="shared" si="40"/>
        <v>348</v>
      </c>
      <c r="H436" s="632">
        <v>315</v>
      </c>
      <c r="I436" s="632">
        <v>33</v>
      </c>
      <c r="J436" s="639">
        <v>51</v>
      </c>
      <c r="K436" s="639">
        <v>228</v>
      </c>
      <c r="L436" s="639">
        <v>228</v>
      </c>
      <c r="V436" s="326"/>
      <c r="W436" s="326"/>
      <c r="X436" s="326"/>
      <c r="Y436" s="326"/>
      <c r="Z436" s="326"/>
      <c r="AA436" s="326"/>
      <c r="AB436" s="326"/>
    </row>
    <row r="437" spans="1:28" s="263" customFormat="1" ht="9" customHeight="1" x14ac:dyDescent="0.25">
      <c r="A437" s="603" t="s">
        <v>45</v>
      </c>
      <c r="B437" s="640" t="s">
        <v>22</v>
      </c>
      <c r="C437" s="640" t="s">
        <v>22</v>
      </c>
      <c r="D437" s="641"/>
      <c r="E437" s="634">
        <f t="shared" si="39"/>
        <v>1912</v>
      </c>
      <c r="F437" s="641"/>
      <c r="G437" s="641">
        <f t="shared" si="40"/>
        <v>936</v>
      </c>
      <c r="H437" s="634">
        <v>891</v>
      </c>
      <c r="I437" s="634">
        <v>45</v>
      </c>
      <c r="J437" s="641">
        <v>198</v>
      </c>
      <c r="K437" s="641">
        <v>406</v>
      </c>
      <c r="L437" s="641">
        <v>372</v>
      </c>
      <c r="V437" s="326"/>
      <c r="W437" s="326"/>
      <c r="X437" s="326"/>
      <c r="Y437" s="326"/>
      <c r="Z437" s="326"/>
      <c r="AA437" s="326"/>
      <c r="AB437" s="326"/>
    </row>
    <row r="438" spans="1:28" s="263" customFormat="1" ht="9" customHeight="1" x14ac:dyDescent="0.25">
      <c r="A438" s="550" t="s">
        <v>46</v>
      </c>
      <c r="B438" s="638" t="s">
        <v>22</v>
      </c>
      <c r="C438" s="638" t="s">
        <v>22</v>
      </c>
      <c r="D438" s="639"/>
      <c r="E438" s="632">
        <f t="shared" si="39"/>
        <v>1400</v>
      </c>
      <c r="F438" s="639"/>
      <c r="G438" s="639">
        <f t="shared" si="40"/>
        <v>761</v>
      </c>
      <c r="H438" s="632">
        <v>714</v>
      </c>
      <c r="I438" s="632">
        <v>47</v>
      </c>
      <c r="J438" s="639">
        <v>71</v>
      </c>
      <c r="K438" s="639">
        <v>277</v>
      </c>
      <c r="L438" s="639">
        <v>291</v>
      </c>
      <c r="V438" s="326"/>
      <c r="W438" s="326"/>
      <c r="X438" s="326"/>
      <c r="Y438" s="326"/>
      <c r="Z438" s="326"/>
      <c r="AA438" s="326"/>
      <c r="AB438" s="326"/>
    </row>
    <row r="439" spans="1:28" s="263" customFormat="1" ht="9" customHeight="1" x14ac:dyDescent="0.25">
      <c r="A439" s="550" t="s">
        <v>47</v>
      </c>
      <c r="B439" s="638" t="s">
        <v>22</v>
      </c>
      <c r="C439" s="638" t="s">
        <v>22</v>
      </c>
      <c r="D439" s="639"/>
      <c r="E439" s="632">
        <f t="shared" si="39"/>
        <v>1577</v>
      </c>
      <c r="F439" s="639"/>
      <c r="G439" s="639">
        <f t="shared" si="40"/>
        <v>859</v>
      </c>
      <c r="H439" s="632">
        <v>831</v>
      </c>
      <c r="I439" s="632">
        <v>28</v>
      </c>
      <c r="J439" s="639">
        <v>61</v>
      </c>
      <c r="K439" s="639">
        <v>359</v>
      </c>
      <c r="L439" s="639">
        <v>298</v>
      </c>
      <c r="V439" s="326"/>
      <c r="W439" s="326"/>
      <c r="X439" s="326"/>
      <c r="Y439" s="326"/>
      <c r="Z439" s="326"/>
      <c r="AA439" s="326"/>
      <c r="AB439" s="326"/>
    </row>
    <row r="440" spans="1:28" s="263" customFormat="1" ht="9" customHeight="1" x14ac:dyDescent="0.25">
      <c r="A440" s="550" t="s">
        <v>48</v>
      </c>
      <c r="B440" s="638" t="s">
        <v>22</v>
      </c>
      <c r="C440" s="638" t="s">
        <v>22</v>
      </c>
      <c r="D440" s="639"/>
      <c r="E440" s="632">
        <f t="shared" si="39"/>
        <v>884</v>
      </c>
      <c r="F440" s="639"/>
      <c r="G440" s="639">
        <f t="shared" si="40"/>
        <v>473</v>
      </c>
      <c r="H440" s="632">
        <v>436</v>
      </c>
      <c r="I440" s="632">
        <v>37</v>
      </c>
      <c r="J440" s="639">
        <v>61</v>
      </c>
      <c r="K440" s="639">
        <v>165</v>
      </c>
      <c r="L440" s="639">
        <v>185</v>
      </c>
      <c r="V440" s="326"/>
      <c r="W440" s="326"/>
      <c r="X440" s="326"/>
      <c r="Y440" s="326"/>
      <c r="Z440" s="326"/>
      <c r="AA440" s="326"/>
      <c r="AB440" s="326"/>
    </row>
    <row r="441" spans="1:28" s="263" customFormat="1" ht="9" customHeight="1" x14ac:dyDescent="0.25">
      <c r="A441" s="603" t="s">
        <v>49</v>
      </c>
      <c r="B441" s="640" t="s">
        <v>22</v>
      </c>
      <c r="C441" s="640" t="s">
        <v>22</v>
      </c>
      <c r="D441" s="641"/>
      <c r="E441" s="634">
        <f t="shared" si="39"/>
        <v>1923</v>
      </c>
      <c r="F441" s="641"/>
      <c r="G441" s="641">
        <f t="shared" si="40"/>
        <v>997</v>
      </c>
      <c r="H441" s="634">
        <v>950</v>
      </c>
      <c r="I441" s="634">
        <v>47</v>
      </c>
      <c r="J441" s="641">
        <v>187</v>
      </c>
      <c r="K441" s="641">
        <v>333</v>
      </c>
      <c r="L441" s="641">
        <v>406</v>
      </c>
      <c r="V441" s="326"/>
      <c r="W441" s="326"/>
      <c r="X441" s="326"/>
      <c r="Y441" s="326"/>
      <c r="Z441" s="326"/>
      <c r="AA441" s="326"/>
      <c r="AB441" s="326"/>
    </row>
    <row r="442" spans="1:28" s="263" customFormat="1" ht="9" customHeight="1" x14ac:dyDescent="0.25">
      <c r="A442" s="550" t="s">
        <v>50</v>
      </c>
      <c r="B442" s="638" t="s">
        <v>22</v>
      </c>
      <c r="C442" s="638" t="s">
        <v>22</v>
      </c>
      <c r="D442" s="639"/>
      <c r="E442" s="632">
        <f t="shared" si="39"/>
        <v>363</v>
      </c>
      <c r="F442" s="639"/>
      <c r="G442" s="639">
        <f t="shared" si="40"/>
        <v>210</v>
      </c>
      <c r="H442" s="632">
        <v>208</v>
      </c>
      <c r="I442" s="632">
        <v>2</v>
      </c>
      <c r="J442" s="639">
        <v>5</v>
      </c>
      <c r="K442" s="639">
        <v>63</v>
      </c>
      <c r="L442" s="639">
        <v>85</v>
      </c>
      <c r="V442" s="326"/>
      <c r="W442" s="326"/>
      <c r="X442" s="326"/>
      <c r="Y442" s="326"/>
      <c r="Z442" s="326"/>
      <c r="AA442" s="326"/>
      <c r="AB442" s="326"/>
    </row>
    <row r="443" spans="1:28" s="263" customFormat="1" ht="9" customHeight="1" x14ac:dyDescent="0.25">
      <c r="A443" s="550" t="s">
        <v>51</v>
      </c>
      <c r="B443" s="638" t="s">
        <v>22</v>
      </c>
      <c r="C443" s="638" t="s">
        <v>22</v>
      </c>
      <c r="D443" s="639"/>
      <c r="E443" s="632">
        <f t="shared" si="39"/>
        <v>2155</v>
      </c>
      <c r="F443" s="639"/>
      <c r="G443" s="639">
        <f t="shared" si="40"/>
        <v>1156</v>
      </c>
      <c r="H443" s="632">
        <v>1107</v>
      </c>
      <c r="I443" s="632">
        <v>49</v>
      </c>
      <c r="J443" s="639">
        <v>113</v>
      </c>
      <c r="K443" s="639">
        <v>419</v>
      </c>
      <c r="L443" s="639">
        <v>467</v>
      </c>
      <c r="V443" s="326"/>
      <c r="W443" s="326"/>
      <c r="X443" s="326"/>
      <c r="Y443" s="326"/>
      <c r="Z443" s="326"/>
      <c r="AA443" s="326"/>
      <c r="AB443" s="326"/>
    </row>
    <row r="444" spans="1:28" s="263" customFormat="1" ht="9" customHeight="1" x14ac:dyDescent="0.25">
      <c r="A444" s="550" t="s">
        <v>52</v>
      </c>
      <c r="B444" s="638" t="s">
        <v>22</v>
      </c>
      <c r="C444" s="638" t="s">
        <v>22</v>
      </c>
      <c r="D444" s="639"/>
      <c r="E444" s="632">
        <f t="shared" si="39"/>
        <v>1518</v>
      </c>
      <c r="F444" s="639"/>
      <c r="G444" s="639">
        <f t="shared" si="40"/>
        <v>776</v>
      </c>
      <c r="H444" s="632">
        <v>759</v>
      </c>
      <c r="I444" s="632">
        <v>17</v>
      </c>
      <c r="J444" s="639">
        <v>36</v>
      </c>
      <c r="K444" s="639">
        <v>296</v>
      </c>
      <c r="L444" s="639">
        <v>410</v>
      </c>
      <c r="V444" s="326"/>
      <c r="W444" s="326"/>
      <c r="X444" s="326"/>
      <c r="Y444" s="326"/>
      <c r="Z444" s="326"/>
      <c r="AA444" s="326"/>
      <c r="AB444" s="326"/>
    </row>
    <row r="445" spans="1:28" s="263" customFormat="1" ht="9" customHeight="1" x14ac:dyDescent="0.25">
      <c r="A445" s="267" t="s">
        <v>53</v>
      </c>
      <c r="B445" s="599" t="s">
        <v>22</v>
      </c>
      <c r="C445" s="599" t="s">
        <v>22</v>
      </c>
      <c r="D445" s="328"/>
      <c r="E445" s="604">
        <f t="shared" si="39"/>
        <v>807</v>
      </c>
      <c r="F445" s="328"/>
      <c r="G445" s="328">
        <f t="shared" si="40"/>
        <v>399</v>
      </c>
      <c r="H445" s="604">
        <v>379</v>
      </c>
      <c r="I445" s="604">
        <v>20</v>
      </c>
      <c r="J445" s="328">
        <v>58</v>
      </c>
      <c r="K445" s="328">
        <v>118</v>
      </c>
      <c r="L445" s="328">
        <v>232</v>
      </c>
      <c r="V445" s="326"/>
      <c r="W445" s="326"/>
      <c r="X445" s="326"/>
      <c r="Y445" s="326"/>
      <c r="Z445" s="326"/>
      <c r="AA445" s="326"/>
      <c r="AB445" s="326"/>
    </row>
    <row r="446" spans="1:28" s="263" customFormat="1" ht="9" customHeight="1" x14ac:dyDescent="0.25">
      <c r="A446" s="286"/>
      <c r="B446" s="613"/>
      <c r="C446" s="613"/>
      <c r="D446" s="329"/>
      <c r="E446" s="605"/>
      <c r="F446" s="329"/>
      <c r="G446" s="329"/>
      <c r="H446" s="605"/>
      <c r="I446" s="605"/>
      <c r="J446" s="329"/>
      <c r="K446" s="329"/>
      <c r="L446" s="329"/>
      <c r="V446" s="326"/>
      <c r="W446" s="326"/>
      <c r="X446" s="326"/>
      <c r="Y446" s="326"/>
      <c r="Z446" s="326"/>
      <c r="AA446" s="326"/>
      <c r="AB446" s="326"/>
    </row>
    <row r="447" spans="1:28" s="263" customFormat="1" ht="9" customHeight="1" x14ac:dyDescent="0.25">
      <c r="A447" s="261">
        <v>2007</v>
      </c>
      <c r="B447" s="288"/>
      <c r="C447" s="262"/>
      <c r="D447" s="262"/>
      <c r="E447" s="262"/>
      <c r="F447" s="262"/>
      <c r="G447" s="262"/>
      <c r="H447" s="271"/>
      <c r="I447" s="262"/>
      <c r="J447" s="262"/>
      <c r="K447" s="262"/>
      <c r="L447" s="262"/>
      <c r="V447" s="326"/>
      <c r="W447" s="326"/>
      <c r="X447" s="326"/>
      <c r="Y447" s="326"/>
      <c r="Z447" s="326"/>
      <c r="AA447" s="326"/>
      <c r="AB447" s="326"/>
    </row>
    <row r="448" spans="1:28" s="263" customFormat="1" ht="9" customHeight="1" x14ac:dyDescent="0.25">
      <c r="A448" s="265" t="s">
        <v>21</v>
      </c>
      <c r="B448" s="325" t="s">
        <v>22</v>
      </c>
      <c r="C448" s="325" t="s">
        <v>22</v>
      </c>
      <c r="D448" s="325"/>
      <c r="E448" s="325">
        <f>SUM(E450:E481)</f>
        <v>81554</v>
      </c>
      <c r="F448" s="325"/>
      <c r="G448" s="325">
        <f t="shared" ref="G448:L448" si="41">SUM(G450:G481)</f>
        <v>43035</v>
      </c>
      <c r="H448" s="332">
        <f>SUM(H450:H481)</f>
        <v>38843</v>
      </c>
      <c r="I448" s="325">
        <f t="shared" si="41"/>
        <v>4192</v>
      </c>
      <c r="J448" s="325">
        <f t="shared" si="41"/>
        <v>4724</v>
      </c>
      <c r="K448" s="325">
        <f t="shared" si="41"/>
        <v>17721</v>
      </c>
      <c r="L448" s="325">
        <f t="shared" si="41"/>
        <v>16074</v>
      </c>
      <c r="V448" s="326"/>
      <c r="W448" s="326"/>
      <c r="X448" s="326"/>
      <c r="Y448" s="326"/>
      <c r="Z448" s="326"/>
      <c r="AA448" s="326"/>
      <c r="AB448" s="326"/>
    </row>
    <row r="449" spans="1:28" s="263" customFormat="1" ht="3.95" customHeight="1" x14ac:dyDescent="0.25">
      <c r="A449" s="265"/>
      <c r="B449" s="325"/>
      <c r="C449" s="325"/>
      <c r="D449" s="325"/>
      <c r="E449" s="325"/>
      <c r="F449" s="325"/>
      <c r="G449" s="325"/>
      <c r="H449" s="325"/>
      <c r="I449" s="325"/>
      <c r="J449" s="325"/>
      <c r="K449" s="325"/>
      <c r="L449" s="325"/>
      <c r="V449" s="326"/>
      <c r="W449" s="326"/>
      <c r="X449" s="326"/>
      <c r="Y449" s="326"/>
      <c r="Z449" s="326"/>
      <c r="AA449" s="326"/>
      <c r="AB449" s="326"/>
    </row>
    <row r="450" spans="1:28" s="263" customFormat="1" ht="9" customHeight="1" x14ac:dyDescent="0.25">
      <c r="A450" s="550" t="s">
        <v>23</v>
      </c>
      <c r="B450" s="638" t="s">
        <v>22</v>
      </c>
      <c r="C450" s="638" t="s">
        <v>22</v>
      </c>
      <c r="D450" s="639"/>
      <c r="E450" s="632">
        <f>SUM(G450+J450+K450+L450)</f>
        <v>974</v>
      </c>
      <c r="F450" s="639"/>
      <c r="G450" s="639">
        <f>SUM(H450:I450)</f>
        <v>437</v>
      </c>
      <c r="H450" s="632">
        <v>409</v>
      </c>
      <c r="I450" s="632">
        <v>28</v>
      </c>
      <c r="J450" s="639">
        <v>94</v>
      </c>
      <c r="K450" s="639">
        <v>178</v>
      </c>
      <c r="L450" s="639">
        <v>265</v>
      </c>
      <c r="V450" s="326"/>
      <c r="W450" s="326"/>
      <c r="X450" s="326"/>
      <c r="Y450" s="326"/>
      <c r="Z450" s="326"/>
      <c r="AA450" s="326"/>
      <c r="AB450" s="326"/>
    </row>
    <row r="451" spans="1:28" s="263" customFormat="1" ht="9" customHeight="1" x14ac:dyDescent="0.25">
      <c r="A451" s="550" t="s">
        <v>24</v>
      </c>
      <c r="B451" s="638" t="s">
        <v>22</v>
      </c>
      <c r="C451" s="638" t="s">
        <v>22</v>
      </c>
      <c r="D451" s="639"/>
      <c r="E451" s="632">
        <f>SUM(G451+J451+K451+L451)</f>
        <v>1956</v>
      </c>
      <c r="F451" s="638"/>
      <c r="G451" s="639">
        <f>SUM(H451:I451)</f>
        <v>994</v>
      </c>
      <c r="H451" s="638">
        <v>975</v>
      </c>
      <c r="I451" s="638">
        <v>19</v>
      </c>
      <c r="J451" s="638">
        <v>49</v>
      </c>
      <c r="K451" s="638">
        <v>424</v>
      </c>
      <c r="L451" s="638">
        <v>489</v>
      </c>
      <c r="V451" s="326"/>
      <c r="W451" s="326"/>
      <c r="X451" s="326"/>
      <c r="Y451" s="326"/>
      <c r="Z451" s="326"/>
      <c r="AA451" s="326"/>
      <c r="AB451" s="326"/>
    </row>
    <row r="452" spans="1:28" s="263" customFormat="1" ht="9" customHeight="1" x14ac:dyDescent="0.25">
      <c r="A452" s="550" t="s">
        <v>25</v>
      </c>
      <c r="B452" s="638" t="s">
        <v>22</v>
      </c>
      <c r="C452" s="638" t="s">
        <v>22</v>
      </c>
      <c r="D452" s="639"/>
      <c r="E452" s="632">
        <f t="shared" ref="E452:E481" si="42">SUM(G452+J452+K452+L452)</f>
        <v>263</v>
      </c>
      <c r="F452" s="639"/>
      <c r="G452" s="639">
        <f t="shared" ref="G452:G481" si="43">SUM(H452:I452)</f>
        <v>125</v>
      </c>
      <c r="H452" s="632">
        <v>119</v>
      </c>
      <c r="I452" s="632">
        <v>6</v>
      </c>
      <c r="J452" s="639">
        <v>31</v>
      </c>
      <c r="K452" s="639">
        <v>51</v>
      </c>
      <c r="L452" s="639">
        <v>56</v>
      </c>
      <c r="V452" s="326"/>
      <c r="W452" s="326"/>
      <c r="X452" s="326"/>
      <c r="Y452" s="326"/>
      <c r="Z452" s="326"/>
      <c r="AA452" s="326"/>
      <c r="AB452" s="326"/>
    </row>
    <row r="453" spans="1:28" s="263" customFormat="1" ht="9" customHeight="1" x14ac:dyDescent="0.25">
      <c r="A453" s="603" t="s">
        <v>26</v>
      </c>
      <c r="B453" s="640" t="s">
        <v>22</v>
      </c>
      <c r="C453" s="640" t="s">
        <v>22</v>
      </c>
      <c r="D453" s="641"/>
      <c r="E453" s="634">
        <f t="shared" si="42"/>
        <v>180</v>
      </c>
      <c r="F453" s="641"/>
      <c r="G453" s="641">
        <f t="shared" si="43"/>
        <v>102</v>
      </c>
      <c r="H453" s="634">
        <v>91</v>
      </c>
      <c r="I453" s="634">
        <v>11</v>
      </c>
      <c r="J453" s="641">
        <v>6</v>
      </c>
      <c r="K453" s="641">
        <v>39</v>
      </c>
      <c r="L453" s="641">
        <v>33</v>
      </c>
      <c r="V453" s="326"/>
      <c r="W453" s="326"/>
      <c r="X453" s="326"/>
      <c r="Y453" s="326"/>
      <c r="Z453" s="326"/>
      <c r="AA453" s="326"/>
      <c r="AB453" s="326"/>
    </row>
    <row r="454" spans="1:28" s="263" customFormat="1" ht="9" customHeight="1" x14ac:dyDescent="0.25">
      <c r="A454" s="550" t="s">
        <v>27</v>
      </c>
      <c r="B454" s="638" t="s">
        <v>22</v>
      </c>
      <c r="C454" s="638" t="s">
        <v>22</v>
      </c>
      <c r="D454" s="639"/>
      <c r="E454" s="632">
        <f t="shared" si="42"/>
        <v>1878</v>
      </c>
      <c r="F454" s="639"/>
      <c r="G454" s="639">
        <f t="shared" si="43"/>
        <v>797</v>
      </c>
      <c r="H454" s="632">
        <v>771</v>
      </c>
      <c r="I454" s="632">
        <v>26</v>
      </c>
      <c r="J454" s="639">
        <v>64</v>
      </c>
      <c r="K454" s="639">
        <v>540</v>
      </c>
      <c r="L454" s="639">
        <v>477</v>
      </c>
      <c r="V454" s="326"/>
      <c r="W454" s="326"/>
      <c r="X454" s="326"/>
      <c r="Y454" s="326"/>
      <c r="Z454" s="326"/>
      <c r="AA454" s="326"/>
      <c r="AB454" s="326"/>
    </row>
    <row r="455" spans="1:28" s="263" customFormat="1" ht="9" customHeight="1" x14ac:dyDescent="0.25">
      <c r="A455" s="550" t="s">
        <v>28</v>
      </c>
      <c r="B455" s="638" t="s">
        <v>22</v>
      </c>
      <c r="C455" s="638" t="s">
        <v>22</v>
      </c>
      <c r="D455" s="639"/>
      <c r="E455" s="632">
        <f t="shared" si="42"/>
        <v>302</v>
      </c>
      <c r="F455" s="639"/>
      <c r="G455" s="639">
        <f t="shared" si="43"/>
        <v>146</v>
      </c>
      <c r="H455" s="632">
        <v>138</v>
      </c>
      <c r="I455" s="632">
        <v>8</v>
      </c>
      <c r="J455" s="639">
        <v>18</v>
      </c>
      <c r="K455" s="639">
        <v>49</v>
      </c>
      <c r="L455" s="639">
        <v>89</v>
      </c>
      <c r="V455" s="326"/>
      <c r="W455" s="326"/>
      <c r="X455" s="326"/>
      <c r="Y455" s="326"/>
      <c r="Z455" s="326"/>
      <c r="AA455" s="326"/>
      <c r="AB455" s="326"/>
    </row>
    <row r="456" spans="1:28" s="263" customFormat="1" ht="9" customHeight="1" x14ac:dyDescent="0.25">
      <c r="A456" s="550" t="s">
        <v>29</v>
      </c>
      <c r="B456" s="638" t="s">
        <v>22</v>
      </c>
      <c r="C456" s="638" t="s">
        <v>22</v>
      </c>
      <c r="D456" s="639"/>
      <c r="E456" s="632">
        <f t="shared" si="42"/>
        <v>951</v>
      </c>
      <c r="F456" s="639"/>
      <c r="G456" s="639">
        <f t="shared" si="43"/>
        <v>552</v>
      </c>
      <c r="H456" s="632">
        <v>522</v>
      </c>
      <c r="I456" s="632">
        <v>30</v>
      </c>
      <c r="J456" s="639">
        <v>30</v>
      </c>
      <c r="K456" s="639">
        <v>126</v>
      </c>
      <c r="L456" s="639">
        <v>243</v>
      </c>
      <c r="V456" s="326"/>
      <c r="W456" s="326"/>
      <c r="X456" s="326"/>
      <c r="Y456" s="326"/>
      <c r="Z456" s="326"/>
      <c r="AA456" s="326"/>
      <c r="AB456" s="326"/>
    </row>
    <row r="457" spans="1:28" s="263" customFormat="1" ht="9" customHeight="1" x14ac:dyDescent="0.25">
      <c r="A457" s="603" t="s">
        <v>30</v>
      </c>
      <c r="B457" s="640" t="s">
        <v>22</v>
      </c>
      <c r="C457" s="640" t="s">
        <v>22</v>
      </c>
      <c r="D457" s="641"/>
      <c r="E457" s="634">
        <f t="shared" si="42"/>
        <v>3721</v>
      </c>
      <c r="F457" s="641"/>
      <c r="G457" s="641">
        <f t="shared" si="43"/>
        <v>2196</v>
      </c>
      <c r="H457" s="634">
        <v>2054</v>
      </c>
      <c r="I457" s="634">
        <v>142</v>
      </c>
      <c r="J457" s="641">
        <v>194</v>
      </c>
      <c r="K457" s="641">
        <v>687</v>
      </c>
      <c r="L457" s="641">
        <v>644</v>
      </c>
      <c r="V457" s="326"/>
      <c r="W457" s="326"/>
      <c r="X457" s="326"/>
      <c r="Y457" s="326"/>
      <c r="Z457" s="326"/>
      <c r="AA457" s="326"/>
      <c r="AB457" s="326"/>
    </row>
    <row r="458" spans="1:28" s="263" customFormat="1" ht="9" customHeight="1" x14ac:dyDescent="0.25">
      <c r="A458" s="550" t="s">
        <v>63</v>
      </c>
      <c r="B458" s="638" t="s">
        <v>22</v>
      </c>
      <c r="C458" s="638" t="s">
        <v>22</v>
      </c>
      <c r="D458" s="639"/>
      <c r="E458" s="632">
        <f t="shared" si="42"/>
        <v>19934</v>
      </c>
      <c r="F458" s="639"/>
      <c r="G458" s="639">
        <f t="shared" si="43"/>
        <v>10340</v>
      </c>
      <c r="H458" s="632">
        <v>8356</v>
      </c>
      <c r="I458" s="632">
        <v>1984</v>
      </c>
      <c r="J458" s="639">
        <v>1689</v>
      </c>
      <c r="K458" s="639">
        <v>5046</v>
      </c>
      <c r="L458" s="639">
        <v>2859</v>
      </c>
      <c r="V458" s="326"/>
      <c r="W458" s="326"/>
      <c r="X458" s="326"/>
      <c r="Y458" s="326"/>
      <c r="Z458" s="326"/>
      <c r="AA458" s="326"/>
      <c r="AB458" s="326"/>
    </row>
    <row r="459" spans="1:28" s="263" customFormat="1" ht="9" customHeight="1" x14ac:dyDescent="0.25">
      <c r="A459" s="550" t="s">
        <v>31</v>
      </c>
      <c r="B459" s="638" t="s">
        <v>22</v>
      </c>
      <c r="C459" s="638" t="s">
        <v>22</v>
      </c>
      <c r="D459" s="639"/>
      <c r="E459" s="632">
        <f t="shared" si="42"/>
        <v>567</v>
      </c>
      <c r="F459" s="639"/>
      <c r="G459" s="639">
        <f t="shared" si="43"/>
        <v>330</v>
      </c>
      <c r="H459" s="632">
        <v>319</v>
      </c>
      <c r="I459" s="632">
        <v>11</v>
      </c>
      <c r="J459" s="550">
        <v>20</v>
      </c>
      <c r="K459" s="550">
        <v>90</v>
      </c>
      <c r="L459" s="639">
        <v>127</v>
      </c>
      <c r="V459" s="326"/>
      <c r="W459" s="326"/>
      <c r="X459" s="326"/>
      <c r="Y459" s="326"/>
      <c r="Z459" s="326"/>
      <c r="AA459" s="326"/>
      <c r="AB459" s="326"/>
    </row>
    <row r="460" spans="1:28" s="263" customFormat="1" ht="9" customHeight="1" x14ac:dyDescent="0.25">
      <c r="A460" s="550" t="s">
        <v>32</v>
      </c>
      <c r="B460" s="638" t="s">
        <v>22</v>
      </c>
      <c r="C460" s="638" t="s">
        <v>22</v>
      </c>
      <c r="D460" s="639"/>
      <c r="E460" s="632">
        <f t="shared" si="42"/>
        <v>4067</v>
      </c>
      <c r="F460" s="639"/>
      <c r="G460" s="639">
        <f t="shared" si="43"/>
        <v>2161</v>
      </c>
      <c r="H460" s="632">
        <v>2021</v>
      </c>
      <c r="I460" s="632">
        <v>140</v>
      </c>
      <c r="J460" s="639">
        <v>253</v>
      </c>
      <c r="K460" s="639">
        <v>755</v>
      </c>
      <c r="L460" s="639">
        <v>898</v>
      </c>
      <c r="V460" s="326"/>
      <c r="W460" s="326"/>
      <c r="X460" s="326"/>
      <c r="Y460" s="326"/>
      <c r="Z460" s="326"/>
      <c r="AA460" s="326"/>
      <c r="AB460" s="326"/>
    </row>
    <row r="461" spans="1:28" s="263" customFormat="1" ht="9" customHeight="1" x14ac:dyDescent="0.25">
      <c r="A461" s="603" t="s">
        <v>33</v>
      </c>
      <c r="B461" s="640" t="s">
        <v>22</v>
      </c>
      <c r="C461" s="640" t="s">
        <v>22</v>
      </c>
      <c r="D461" s="641"/>
      <c r="E461" s="634">
        <f t="shared" si="42"/>
        <v>855</v>
      </c>
      <c r="F461" s="641"/>
      <c r="G461" s="641">
        <f t="shared" si="43"/>
        <v>562</v>
      </c>
      <c r="H461" s="634">
        <v>514</v>
      </c>
      <c r="I461" s="634">
        <v>48</v>
      </c>
      <c r="J461" s="641">
        <v>16</v>
      </c>
      <c r="K461" s="641">
        <v>126</v>
      </c>
      <c r="L461" s="641">
        <v>151</v>
      </c>
      <c r="V461" s="326"/>
      <c r="W461" s="326"/>
      <c r="X461" s="326"/>
      <c r="Y461" s="326"/>
      <c r="Z461" s="326"/>
      <c r="AA461" s="326"/>
      <c r="AB461" s="326"/>
    </row>
    <row r="462" spans="1:28" s="263" customFormat="1" ht="9" customHeight="1" x14ac:dyDescent="0.25">
      <c r="A462" s="550" t="s">
        <v>34</v>
      </c>
      <c r="B462" s="638" t="s">
        <v>22</v>
      </c>
      <c r="C462" s="638" t="s">
        <v>22</v>
      </c>
      <c r="D462" s="639"/>
      <c r="E462" s="632">
        <f t="shared" si="42"/>
        <v>1056</v>
      </c>
      <c r="F462" s="639"/>
      <c r="G462" s="639">
        <f t="shared" si="43"/>
        <v>581</v>
      </c>
      <c r="H462" s="632">
        <v>518</v>
      </c>
      <c r="I462" s="632">
        <v>63</v>
      </c>
      <c r="J462" s="639">
        <v>82</v>
      </c>
      <c r="K462" s="639">
        <v>156</v>
      </c>
      <c r="L462" s="639">
        <v>237</v>
      </c>
      <c r="V462" s="326"/>
      <c r="W462" s="326"/>
      <c r="X462" s="326"/>
      <c r="Y462" s="326"/>
      <c r="Z462" s="326"/>
      <c r="AA462" s="326"/>
      <c r="AB462" s="326"/>
    </row>
    <row r="463" spans="1:28" s="263" customFormat="1" ht="9" customHeight="1" x14ac:dyDescent="0.25">
      <c r="A463" s="550" t="s">
        <v>35</v>
      </c>
      <c r="B463" s="638" t="s">
        <v>22</v>
      </c>
      <c r="C463" s="638" t="s">
        <v>22</v>
      </c>
      <c r="D463" s="639"/>
      <c r="E463" s="632">
        <f t="shared" si="42"/>
        <v>6846</v>
      </c>
      <c r="F463" s="639"/>
      <c r="G463" s="639">
        <f t="shared" si="43"/>
        <v>3518</v>
      </c>
      <c r="H463" s="632">
        <v>3209</v>
      </c>
      <c r="I463" s="632">
        <v>309</v>
      </c>
      <c r="J463" s="639">
        <v>315</v>
      </c>
      <c r="K463" s="639">
        <v>1459</v>
      </c>
      <c r="L463" s="639">
        <v>1554</v>
      </c>
      <c r="V463" s="326"/>
      <c r="W463" s="326"/>
      <c r="X463" s="326"/>
      <c r="Y463" s="326"/>
      <c r="Z463" s="326"/>
      <c r="AA463" s="326"/>
      <c r="AB463" s="326"/>
    </row>
    <row r="464" spans="1:28" s="263" customFormat="1" ht="9" customHeight="1" x14ac:dyDescent="0.25">
      <c r="A464" s="550" t="s">
        <v>36</v>
      </c>
      <c r="B464" s="638" t="s">
        <v>22</v>
      </c>
      <c r="C464" s="638" t="s">
        <v>22</v>
      </c>
      <c r="D464" s="639"/>
      <c r="E464" s="632">
        <f t="shared" si="42"/>
        <v>6613</v>
      </c>
      <c r="F464" s="639"/>
      <c r="G464" s="639">
        <f t="shared" si="43"/>
        <v>3513</v>
      </c>
      <c r="H464" s="632">
        <v>3276</v>
      </c>
      <c r="I464" s="632">
        <v>237</v>
      </c>
      <c r="J464" s="639">
        <v>312</v>
      </c>
      <c r="K464" s="639">
        <v>1453</v>
      </c>
      <c r="L464" s="639">
        <v>1335</v>
      </c>
      <c r="V464" s="326"/>
      <c r="W464" s="326"/>
      <c r="X464" s="326"/>
      <c r="Y464" s="326"/>
      <c r="Z464" s="326"/>
      <c r="AA464" s="326"/>
      <c r="AB464" s="326"/>
    </row>
    <row r="465" spans="1:28" s="263" customFormat="1" ht="9" customHeight="1" x14ac:dyDescent="0.25">
      <c r="A465" s="603" t="s">
        <v>37</v>
      </c>
      <c r="B465" s="640" t="s">
        <v>22</v>
      </c>
      <c r="C465" s="640" t="s">
        <v>22</v>
      </c>
      <c r="D465" s="641"/>
      <c r="E465" s="634">
        <f t="shared" si="42"/>
        <v>2929</v>
      </c>
      <c r="F465" s="641"/>
      <c r="G465" s="641">
        <f t="shared" si="43"/>
        <v>1796</v>
      </c>
      <c r="H465" s="634">
        <v>1730</v>
      </c>
      <c r="I465" s="634">
        <v>66</v>
      </c>
      <c r="J465" s="641">
        <v>98</v>
      </c>
      <c r="K465" s="641">
        <v>473</v>
      </c>
      <c r="L465" s="641">
        <v>562</v>
      </c>
      <c r="V465" s="326"/>
      <c r="W465" s="326"/>
      <c r="X465" s="326"/>
      <c r="Y465" s="326"/>
      <c r="Z465" s="326"/>
      <c r="AA465" s="326"/>
      <c r="AB465" s="326"/>
    </row>
    <row r="466" spans="1:28" s="263" customFormat="1" ht="9" customHeight="1" x14ac:dyDescent="0.25">
      <c r="A466" s="550" t="s">
        <v>38</v>
      </c>
      <c r="B466" s="638" t="s">
        <v>22</v>
      </c>
      <c r="C466" s="638" t="s">
        <v>22</v>
      </c>
      <c r="D466" s="639"/>
      <c r="E466" s="632">
        <f t="shared" si="42"/>
        <v>880</v>
      </c>
      <c r="F466" s="639"/>
      <c r="G466" s="639">
        <f t="shared" si="43"/>
        <v>479</v>
      </c>
      <c r="H466" s="632">
        <v>453</v>
      </c>
      <c r="I466" s="632">
        <v>26</v>
      </c>
      <c r="J466" s="639">
        <v>53</v>
      </c>
      <c r="K466" s="639">
        <v>172</v>
      </c>
      <c r="L466" s="639">
        <v>176</v>
      </c>
      <c r="V466" s="326"/>
      <c r="W466" s="326"/>
      <c r="X466" s="326"/>
      <c r="Y466" s="326"/>
      <c r="Z466" s="326"/>
      <c r="AA466" s="326"/>
      <c r="AB466" s="326"/>
    </row>
    <row r="467" spans="1:28" s="263" customFormat="1" ht="9" customHeight="1" x14ac:dyDescent="0.25">
      <c r="A467" s="550" t="s">
        <v>39</v>
      </c>
      <c r="B467" s="638" t="s">
        <v>22</v>
      </c>
      <c r="C467" s="638" t="s">
        <v>22</v>
      </c>
      <c r="D467" s="639"/>
      <c r="E467" s="632">
        <f t="shared" si="42"/>
        <v>289</v>
      </c>
      <c r="F467" s="639"/>
      <c r="G467" s="639">
        <f t="shared" si="43"/>
        <v>122</v>
      </c>
      <c r="H467" s="632">
        <v>113</v>
      </c>
      <c r="I467" s="632">
        <v>9</v>
      </c>
      <c r="J467" s="639">
        <v>11</v>
      </c>
      <c r="K467" s="639">
        <v>50</v>
      </c>
      <c r="L467" s="639">
        <v>106</v>
      </c>
      <c r="V467" s="326"/>
      <c r="W467" s="326"/>
      <c r="X467" s="326"/>
      <c r="Y467" s="326"/>
      <c r="Z467" s="326"/>
      <c r="AA467" s="326"/>
      <c r="AB467" s="326"/>
    </row>
    <row r="468" spans="1:28" s="263" customFormat="1" ht="9" customHeight="1" x14ac:dyDescent="0.25">
      <c r="A468" s="550" t="s">
        <v>40</v>
      </c>
      <c r="B468" s="638" t="s">
        <v>22</v>
      </c>
      <c r="C468" s="638" t="s">
        <v>22</v>
      </c>
      <c r="D468" s="639"/>
      <c r="E468" s="632">
        <f t="shared" si="42"/>
        <v>7317</v>
      </c>
      <c r="F468" s="639"/>
      <c r="G468" s="639">
        <f t="shared" si="43"/>
        <v>3710</v>
      </c>
      <c r="H468" s="632">
        <v>3286</v>
      </c>
      <c r="I468" s="632">
        <v>424</v>
      </c>
      <c r="J468" s="639">
        <v>454</v>
      </c>
      <c r="K468" s="639">
        <v>1843</v>
      </c>
      <c r="L468" s="639">
        <v>1310</v>
      </c>
      <c r="V468" s="326"/>
      <c r="W468" s="326"/>
      <c r="X468" s="326"/>
      <c r="Y468" s="326"/>
      <c r="Z468" s="326"/>
      <c r="AA468" s="326"/>
      <c r="AB468" s="326"/>
    </row>
    <row r="469" spans="1:28" s="263" customFormat="1" ht="9" customHeight="1" x14ac:dyDescent="0.25">
      <c r="A469" s="603" t="s">
        <v>41</v>
      </c>
      <c r="B469" s="640" t="s">
        <v>22</v>
      </c>
      <c r="C469" s="640" t="s">
        <v>22</v>
      </c>
      <c r="D469" s="641"/>
      <c r="E469" s="634">
        <f t="shared" si="42"/>
        <v>1033</v>
      </c>
      <c r="F469" s="641"/>
      <c r="G469" s="641">
        <f t="shared" si="43"/>
        <v>553</v>
      </c>
      <c r="H469" s="634">
        <v>516</v>
      </c>
      <c r="I469" s="634">
        <v>37</v>
      </c>
      <c r="J469" s="641">
        <v>86</v>
      </c>
      <c r="K469" s="641">
        <v>168</v>
      </c>
      <c r="L469" s="641">
        <v>226</v>
      </c>
      <c r="V469" s="326"/>
      <c r="W469" s="326"/>
      <c r="X469" s="326"/>
      <c r="Y469" s="326"/>
      <c r="Z469" s="326"/>
      <c r="AA469" s="326"/>
      <c r="AB469" s="326"/>
    </row>
    <row r="470" spans="1:28" s="263" customFormat="1" ht="9" customHeight="1" x14ac:dyDescent="0.25">
      <c r="A470" s="550" t="s">
        <v>42</v>
      </c>
      <c r="B470" s="638" t="s">
        <v>22</v>
      </c>
      <c r="C470" s="638" t="s">
        <v>22</v>
      </c>
      <c r="D470" s="639"/>
      <c r="E470" s="632">
        <f t="shared" si="42"/>
        <v>3510</v>
      </c>
      <c r="F470" s="639"/>
      <c r="G470" s="639">
        <f t="shared" si="43"/>
        <v>1996</v>
      </c>
      <c r="H470" s="632">
        <v>1878</v>
      </c>
      <c r="I470" s="632">
        <v>118</v>
      </c>
      <c r="J470" s="639">
        <v>99</v>
      </c>
      <c r="K470" s="639">
        <v>712</v>
      </c>
      <c r="L470" s="639">
        <v>703</v>
      </c>
      <c r="V470" s="326"/>
      <c r="W470" s="326"/>
      <c r="X470" s="326"/>
      <c r="Y470" s="326"/>
      <c r="Z470" s="326"/>
      <c r="AA470" s="326"/>
      <c r="AB470" s="326"/>
    </row>
    <row r="471" spans="1:28" s="263" customFormat="1" ht="9" customHeight="1" x14ac:dyDescent="0.25">
      <c r="A471" s="550" t="s">
        <v>43</v>
      </c>
      <c r="B471" s="638" t="s">
        <v>22</v>
      </c>
      <c r="C471" s="638" t="s">
        <v>22</v>
      </c>
      <c r="D471" s="639"/>
      <c r="E471" s="632">
        <f t="shared" si="42"/>
        <v>1348</v>
      </c>
      <c r="F471" s="639"/>
      <c r="G471" s="639">
        <f t="shared" si="43"/>
        <v>693</v>
      </c>
      <c r="H471" s="632">
        <v>637</v>
      </c>
      <c r="I471" s="632">
        <v>56</v>
      </c>
      <c r="J471" s="639">
        <v>84</v>
      </c>
      <c r="K471" s="639">
        <v>297</v>
      </c>
      <c r="L471" s="639">
        <v>274</v>
      </c>
      <c r="V471" s="326"/>
      <c r="W471" s="326"/>
      <c r="X471" s="326"/>
      <c r="Y471" s="326"/>
      <c r="Z471" s="326"/>
      <c r="AA471" s="326"/>
      <c r="AB471" s="326"/>
    </row>
    <row r="472" spans="1:28" s="263" customFormat="1" ht="9" customHeight="1" x14ac:dyDescent="0.25">
      <c r="A472" s="550" t="s">
        <v>44</v>
      </c>
      <c r="B472" s="638" t="s">
        <v>22</v>
      </c>
      <c r="C472" s="638" t="s">
        <v>22</v>
      </c>
      <c r="D472" s="639"/>
      <c r="E472" s="632">
        <f t="shared" si="42"/>
        <v>912</v>
      </c>
      <c r="F472" s="639"/>
      <c r="G472" s="639">
        <f t="shared" si="43"/>
        <v>359</v>
      </c>
      <c r="H472" s="632">
        <v>312</v>
      </c>
      <c r="I472" s="632">
        <v>47</v>
      </c>
      <c r="J472" s="639">
        <v>48</v>
      </c>
      <c r="K472" s="639">
        <v>266</v>
      </c>
      <c r="L472" s="639">
        <v>239</v>
      </c>
      <c r="V472" s="326"/>
      <c r="W472" s="326"/>
      <c r="X472" s="326"/>
      <c r="Y472" s="326"/>
      <c r="Z472" s="326"/>
      <c r="AA472" s="326"/>
      <c r="AB472" s="326"/>
    </row>
    <row r="473" spans="1:28" s="263" customFormat="1" ht="9" customHeight="1" x14ac:dyDescent="0.25">
      <c r="A473" s="603" t="s">
        <v>45</v>
      </c>
      <c r="B473" s="640" t="s">
        <v>22</v>
      </c>
      <c r="C473" s="640" t="s">
        <v>22</v>
      </c>
      <c r="D473" s="641"/>
      <c r="E473" s="634">
        <f t="shared" si="42"/>
        <v>1833</v>
      </c>
      <c r="F473" s="641"/>
      <c r="G473" s="641">
        <f t="shared" si="43"/>
        <v>972</v>
      </c>
      <c r="H473" s="634">
        <v>910</v>
      </c>
      <c r="I473" s="634">
        <v>62</v>
      </c>
      <c r="J473" s="641">
        <v>78</v>
      </c>
      <c r="K473" s="641">
        <v>440</v>
      </c>
      <c r="L473" s="641">
        <v>343</v>
      </c>
      <c r="V473" s="326"/>
      <c r="W473" s="326"/>
      <c r="X473" s="326"/>
      <c r="Y473" s="326"/>
      <c r="Z473" s="326"/>
      <c r="AA473" s="326"/>
      <c r="AB473" s="326"/>
    </row>
    <row r="474" spans="1:28" s="263" customFormat="1" ht="9" customHeight="1" x14ac:dyDescent="0.25">
      <c r="A474" s="550" t="s">
        <v>46</v>
      </c>
      <c r="B474" s="638" t="s">
        <v>22</v>
      </c>
      <c r="C474" s="638" t="s">
        <v>22</v>
      </c>
      <c r="D474" s="639"/>
      <c r="E474" s="632">
        <f t="shared" si="42"/>
        <v>1455</v>
      </c>
      <c r="F474" s="639"/>
      <c r="G474" s="639">
        <f t="shared" si="43"/>
        <v>787</v>
      </c>
      <c r="H474" s="632">
        <v>731</v>
      </c>
      <c r="I474" s="632">
        <v>56</v>
      </c>
      <c r="J474" s="639">
        <v>59</v>
      </c>
      <c r="K474" s="639">
        <v>282</v>
      </c>
      <c r="L474" s="639">
        <v>327</v>
      </c>
      <c r="V474" s="326"/>
      <c r="W474" s="326"/>
      <c r="X474" s="326"/>
      <c r="Y474" s="326"/>
      <c r="Z474" s="326"/>
      <c r="AA474" s="326"/>
      <c r="AB474" s="326"/>
    </row>
    <row r="475" spans="1:28" s="263" customFormat="1" ht="9" customHeight="1" x14ac:dyDescent="0.25">
      <c r="A475" s="550" t="s">
        <v>47</v>
      </c>
      <c r="B475" s="638" t="s">
        <v>22</v>
      </c>
      <c r="C475" s="638" t="s">
        <v>22</v>
      </c>
      <c r="D475" s="639"/>
      <c r="E475" s="632">
        <f t="shared" si="42"/>
        <v>1834</v>
      </c>
      <c r="F475" s="639"/>
      <c r="G475" s="639">
        <f t="shared" si="43"/>
        <v>988</v>
      </c>
      <c r="H475" s="632">
        <v>970</v>
      </c>
      <c r="I475" s="632">
        <v>18</v>
      </c>
      <c r="J475" s="639">
        <v>86</v>
      </c>
      <c r="K475" s="639">
        <v>417</v>
      </c>
      <c r="L475" s="639">
        <v>343</v>
      </c>
      <c r="V475" s="326"/>
      <c r="W475" s="326"/>
      <c r="X475" s="326"/>
      <c r="Y475" s="326"/>
      <c r="Z475" s="326"/>
      <c r="AA475" s="326"/>
      <c r="AB475" s="326"/>
    </row>
    <row r="476" spans="1:28" s="263" customFormat="1" ht="9" customHeight="1" x14ac:dyDescent="0.25">
      <c r="A476" s="550" t="s">
        <v>48</v>
      </c>
      <c r="B476" s="638" t="s">
        <v>22</v>
      </c>
      <c r="C476" s="638" t="s">
        <v>22</v>
      </c>
      <c r="D476" s="639"/>
      <c r="E476" s="632">
        <f t="shared" si="42"/>
        <v>912</v>
      </c>
      <c r="F476" s="639"/>
      <c r="G476" s="639">
        <f t="shared" si="43"/>
        <v>511</v>
      </c>
      <c r="H476" s="632">
        <v>468</v>
      </c>
      <c r="I476" s="632">
        <v>43</v>
      </c>
      <c r="J476" s="639">
        <v>63</v>
      </c>
      <c r="K476" s="639">
        <v>163</v>
      </c>
      <c r="L476" s="639">
        <v>175</v>
      </c>
      <c r="V476" s="326"/>
      <c r="W476" s="326"/>
      <c r="X476" s="326"/>
      <c r="Y476" s="326"/>
      <c r="Z476" s="326"/>
      <c r="AA476" s="326"/>
      <c r="AB476" s="326"/>
    </row>
    <row r="477" spans="1:28" s="263" customFormat="1" ht="9" customHeight="1" x14ac:dyDescent="0.25">
      <c r="A477" s="603" t="s">
        <v>49</v>
      </c>
      <c r="B477" s="640" t="s">
        <v>22</v>
      </c>
      <c r="C477" s="640" t="s">
        <v>22</v>
      </c>
      <c r="D477" s="641"/>
      <c r="E477" s="634">
        <f t="shared" si="42"/>
        <v>1908</v>
      </c>
      <c r="F477" s="641"/>
      <c r="G477" s="641">
        <f t="shared" si="43"/>
        <v>1005</v>
      </c>
      <c r="H477" s="634">
        <v>960</v>
      </c>
      <c r="I477" s="634">
        <v>45</v>
      </c>
      <c r="J477" s="641">
        <v>110</v>
      </c>
      <c r="K477" s="641">
        <v>331</v>
      </c>
      <c r="L477" s="641">
        <v>462</v>
      </c>
      <c r="V477" s="326"/>
      <c r="W477" s="326"/>
      <c r="X477" s="326"/>
      <c r="Y477" s="326"/>
      <c r="Z477" s="326"/>
      <c r="AA477" s="326"/>
      <c r="AB477" s="326"/>
    </row>
    <row r="478" spans="1:28" s="263" customFormat="1" ht="9" customHeight="1" x14ac:dyDescent="0.25">
      <c r="A478" s="550" t="s">
        <v>50</v>
      </c>
      <c r="B478" s="638" t="s">
        <v>22</v>
      </c>
      <c r="C478" s="638" t="s">
        <v>22</v>
      </c>
      <c r="D478" s="639"/>
      <c r="E478" s="632">
        <f t="shared" si="42"/>
        <v>406</v>
      </c>
      <c r="F478" s="639"/>
      <c r="G478" s="639">
        <f t="shared" si="43"/>
        <v>227</v>
      </c>
      <c r="H478" s="632">
        <v>225</v>
      </c>
      <c r="I478" s="632">
        <v>2</v>
      </c>
      <c r="J478" s="639">
        <v>7</v>
      </c>
      <c r="K478" s="639">
        <v>80</v>
      </c>
      <c r="L478" s="639">
        <v>92</v>
      </c>
      <c r="V478" s="326"/>
      <c r="W478" s="326"/>
      <c r="X478" s="326"/>
      <c r="Y478" s="326"/>
      <c r="Z478" s="326"/>
      <c r="AA478" s="326"/>
      <c r="AB478" s="326"/>
    </row>
    <row r="479" spans="1:28" s="263" customFormat="1" ht="9" customHeight="1" x14ac:dyDescent="0.25">
      <c r="A479" s="550" t="s">
        <v>51</v>
      </c>
      <c r="B479" s="638" t="s">
        <v>22</v>
      </c>
      <c r="C479" s="638" t="s">
        <v>22</v>
      </c>
      <c r="D479" s="639"/>
      <c r="E479" s="632">
        <f t="shared" si="42"/>
        <v>2443</v>
      </c>
      <c r="F479" s="639"/>
      <c r="G479" s="639">
        <f t="shared" si="43"/>
        <v>1289</v>
      </c>
      <c r="H479" s="632">
        <v>1206</v>
      </c>
      <c r="I479" s="632">
        <v>83</v>
      </c>
      <c r="J479" s="639">
        <v>131</v>
      </c>
      <c r="K479" s="639">
        <v>457</v>
      </c>
      <c r="L479" s="639">
        <v>566</v>
      </c>
      <c r="V479" s="326"/>
      <c r="W479" s="326"/>
      <c r="X479" s="326"/>
      <c r="Y479" s="326"/>
      <c r="Z479" s="326"/>
      <c r="AA479" s="326"/>
      <c r="AB479" s="326"/>
    </row>
    <row r="480" spans="1:28" s="263" customFormat="1" ht="9" customHeight="1" x14ac:dyDescent="0.25">
      <c r="A480" s="550" t="s">
        <v>52</v>
      </c>
      <c r="B480" s="638" t="s">
        <v>22</v>
      </c>
      <c r="C480" s="638" t="s">
        <v>22</v>
      </c>
      <c r="D480" s="639"/>
      <c r="E480" s="632">
        <f t="shared" si="42"/>
        <v>1543</v>
      </c>
      <c r="F480" s="639"/>
      <c r="G480" s="639">
        <f t="shared" si="43"/>
        <v>786</v>
      </c>
      <c r="H480" s="632">
        <v>765</v>
      </c>
      <c r="I480" s="632">
        <v>21</v>
      </c>
      <c r="J480" s="639">
        <v>16</v>
      </c>
      <c r="K480" s="639">
        <v>271</v>
      </c>
      <c r="L480" s="639">
        <v>470</v>
      </c>
      <c r="V480" s="326"/>
      <c r="W480" s="326"/>
      <c r="X480" s="326"/>
      <c r="Y480" s="326"/>
      <c r="Z480" s="326"/>
      <c r="AA480" s="326"/>
      <c r="AB480" s="326"/>
    </row>
    <row r="481" spans="1:28" s="263" customFormat="1" ht="9" customHeight="1" x14ac:dyDescent="0.25">
      <c r="A481" s="267" t="s">
        <v>53</v>
      </c>
      <c r="B481" s="599" t="s">
        <v>22</v>
      </c>
      <c r="C481" s="599" t="s">
        <v>22</v>
      </c>
      <c r="D481" s="328"/>
      <c r="E481" s="604">
        <f t="shared" si="42"/>
        <v>839</v>
      </c>
      <c r="F481" s="328"/>
      <c r="G481" s="328">
        <f t="shared" si="43"/>
        <v>408</v>
      </c>
      <c r="H481" s="604">
        <v>391</v>
      </c>
      <c r="I481" s="604">
        <v>17</v>
      </c>
      <c r="J481" s="328">
        <v>68</v>
      </c>
      <c r="K481" s="328">
        <v>120</v>
      </c>
      <c r="L481" s="328">
        <v>243</v>
      </c>
      <c r="V481" s="326"/>
      <c r="W481" s="326"/>
      <c r="X481" s="326"/>
      <c r="Y481" s="326"/>
      <c r="Z481" s="326"/>
      <c r="AA481" s="326"/>
      <c r="AB481" s="326"/>
    </row>
    <row r="482" spans="1:28" s="263" customFormat="1" ht="9" customHeight="1" x14ac:dyDescent="0.25">
      <c r="A482" s="286"/>
      <c r="B482" s="613"/>
      <c r="C482" s="613"/>
      <c r="D482" s="329"/>
      <c r="E482" s="605"/>
      <c r="F482" s="329"/>
      <c r="G482" s="329"/>
      <c r="H482" s="605"/>
      <c r="I482" s="605"/>
      <c r="J482" s="329"/>
      <c r="K482" s="329"/>
      <c r="L482" s="329"/>
      <c r="V482" s="326"/>
      <c r="W482" s="326"/>
      <c r="X482" s="326"/>
      <c r="Y482" s="326"/>
      <c r="Z482" s="326"/>
      <c r="AA482" s="326"/>
      <c r="AB482" s="326"/>
    </row>
    <row r="483" spans="1:28" s="263" customFormat="1" ht="9" customHeight="1" x14ac:dyDescent="0.25">
      <c r="A483" s="261">
        <v>2008</v>
      </c>
      <c r="B483" s="288"/>
      <c r="C483" s="262"/>
      <c r="D483" s="262"/>
      <c r="E483" s="262"/>
      <c r="F483" s="262"/>
      <c r="G483" s="262"/>
      <c r="H483" s="271"/>
      <c r="I483" s="262"/>
      <c r="J483" s="262"/>
      <c r="K483" s="262"/>
      <c r="L483" s="262"/>
      <c r="V483" s="326"/>
      <c r="W483" s="326"/>
      <c r="X483" s="326"/>
      <c r="Y483" s="326"/>
      <c r="Z483" s="326"/>
      <c r="AA483" s="326"/>
      <c r="AB483" s="326"/>
    </row>
    <row r="484" spans="1:28" s="263" customFormat="1" ht="9" customHeight="1" x14ac:dyDescent="0.25">
      <c r="A484" s="265" t="s">
        <v>21</v>
      </c>
      <c r="B484" s="325" t="s">
        <v>22</v>
      </c>
      <c r="C484" s="325" t="s">
        <v>22</v>
      </c>
      <c r="D484" s="325"/>
      <c r="E484" s="325">
        <f>SUM(E486:E517)</f>
        <v>81820</v>
      </c>
      <c r="F484" s="325"/>
      <c r="G484" s="325">
        <f t="shared" ref="G484:L484" si="44">SUM(G486:G517)</f>
        <v>42822</v>
      </c>
      <c r="H484" s="332">
        <f t="shared" si="44"/>
        <v>38973</v>
      </c>
      <c r="I484" s="325">
        <f t="shared" si="44"/>
        <v>3849</v>
      </c>
      <c r="J484" s="325">
        <f t="shared" si="44"/>
        <v>4901</v>
      </c>
      <c r="K484" s="325">
        <f t="shared" si="44"/>
        <v>17679</v>
      </c>
      <c r="L484" s="325">
        <f t="shared" si="44"/>
        <v>16418</v>
      </c>
      <c r="V484" s="326"/>
      <c r="W484" s="326"/>
      <c r="X484" s="326"/>
      <c r="Y484" s="326"/>
      <c r="Z484" s="326"/>
      <c r="AA484" s="326"/>
      <c r="AB484" s="326"/>
    </row>
    <row r="485" spans="1:28" s="263" customFormat="1" ht="3.95" customHeight="1" x14ac:dyDescent="0.25">
      <c r="A485" s="265"/>
      <c r="B485" s="325"/>
      <c r="C485" s="325"/>
      <c r="D485" s="325"/>
      <c r="E485" s="325"/>
      <c r="F485" s="325"/>
      <c r="G485" s="325"/>
      <c r="H485" s="325"/>
      <c r="I485" s="325"/>
      <c r="J485" s="325"/>
      <c r="K485" s="325"/>
      <c r="L485" s="325"/>
      <c r="V485" s="326"/>
      <c r="W485" s="326"/>
      <c r="X485" s="326"/>
      <c r="Y485" s="326"/>
      <c r="Z485" s="326"/>
      <c r="AA485" s="326"/>
      <c r="AB485" s="326"/>
    </row>
    <row r="486" spans="1:28" s="263" customFormat="1" ht="9" customHeight="1" x14ac:dyDescent="0.25">
      <c r="A486" s="550" t="s">
        <v>23</v>
      </c>
      <c r="B486" s="638" t="s">
        <v>22</v>
      </c>
      <c r="C486" s="638" t="s">
        <v>22</v>
      </c>
      <c r="D486" s="639"/>
      <c r="E486" s="632">
        <f>SUM(G486+J486+K486+L486)</f>
        <v>936</v>
      </c>
      <c r="F486" s="639"/>
      <c r="G486" s="639">
        <f>SUM(H486:I486)</f>
        <v>432</v>
      </c>
      <c r="H486" s="632">
        <v>406</v>
      </c>
      <c r="I486" s="632">
        <v>26</v>
      </c>
      <c r="J486" s="639">
        <v>78</v>
      </c>
      <c r="K486" s="639">
        <v>188</v>
      </c>
      <c r="L486" s="639">
        <v>238</v>
      </c>
      <c r="V486" s="326"/>
      <c r="W486" s="326"/>
      <c r="X486" s="326"/>
      <c r="Y486" s="326"/>
      <c r="Z486" s="326"/>
      <c r="AA486" s="326"/>
      <c r="AB486" s="326"/>
    </row>
    <row r="487" spans="1:28" s="263" customFormat="1" ht="9" customHeight="1" x14ac:dyDescent="0.25">
      <c r="A487" s="550" t="s">
        <v>24</v>
      </c>
      <c r="B487" s="638" t="s">
        <v>22</v>
      </c>
      <c r="C487" s="638" t="s">
        <v>22</v>
      </c>
      <c r="D487" s="639"/>
      <c r="E487" s="632">
        <f>SUM(G487+J487+K487+L487)</f>
        <v>1929</v>
      </c>
      <c r="F487" s="638"/>
      <c r="G487" s="639">
        <f>SUM(H487:I487)</f>
        <v>879</v>
      </c>
      <c r="H487" s="638">
        <v>865</v>
      </c>
      <c r="I487" s="638">
        <v>14</v>
      </c>
      <c r="J487" s="638">
        <v>52</v>
      </c>
      <c r="K487" s="638">
        <v>440</v>
      </c>
      <c r="L487" s="638">
        <v>558</v>
      </c>
      <c r="V487" s="326"/>
      <c r="W487" s="326"/>
      <c r="X487" s="326"/>
      <c r="Y487" s="326"/>
      <c r="Z487" s="326"/>
      <c r="AA487" s="326"/>
      <c r="AB487" s="326"/>
    </row>
    <row r="488" spans="1:28" s="263" customFormat="1" ht="9" customHeight="1" x14ac:dyDescent="0.25">
      <c r="A488" s="550" t="s">
        <v>25</v>
      </c>
      <c r="B488" s="638" t="s">
        <v>22</v>
      </c>
      <c r="C488" s="638" t="s">
        <v>22</v>
      </c>
      <c r="D488" s="639"/>
      <c r="E488" s="632">
        <f t="shared" ref="E488:E517" si="45">SUM(G488+J488+K488+L488)</f>
        <v>317</v>
      </c>
      <c r="F488" s="639"/>
      <c r="G488" s="639">
        <f t="shared" ref="G488:G517" si="46">SUM(H488:I488)</f>
        <v>141</v>
      </c>
      <c r="H488" s="632">
        <v>124</v>
      </c>
      <c r="I488" s="632">
        <v>17</v>
      </c>
      <c r="J488" s="639">
        <v>40</v>
      </c>
      <c r="K488" s="639">
        <v>74</v>
      </c>
      <c r="L488" s="639">
        <v>62</v>
      </c>
      <c r="V488" s="326"/>
      <c r="W488" s="326"/>
      <c r="X488" s="326"/>
      <c r="Y488" s="326"/>
      <c r="Z488" s="326"/>
      <c r="AA488" s="326"/>
      <c r="AB488" s="326"/>
    </row>
    <row r="489" spans="1:28" s="263" customFormat="1" ht="9" customHeight="1" x14ac:dyDescent="0.25">
      <c r="A489" s="603" t="s">
        <v>26</v>
      </c>
      <c r="B489" s="640" t="s">
        <v>22</v>
      </c>
      <c r="C489" s="640" t="s">
        <v>22</v>
      </c>
      <c r="D489" s="641"/>
      <c r="E489" s="634">
        <f t="shared" si="45"/>
        <v>196</v>
      </c>
      <c r="F489" s="641"/>
      <c r="G489" s="641">
        <f t="shared" si="46"/>
        <v>117</v>
      </c>
      <c r="H489" s="634">
        <v>95</v>
      </c>
      <c r="I489" s="634">
        <v>22</v>
      </c>
      <c r="J489" s="641">
        <v>5</v>
      </c>
      <c r="K489" s="641">
        <v>33</v>
      </c>
      <c r="L489" s="641">
        <v>41</v>
      </c>
      <c r="V489" s="326"/>
      <c r="W489" s="326"/>
      <c r="X489" s="326"/>
      <c r="Y489" s="326"/>
      <c r="Z489" s="326"/>
      <c r="AA489" s="326"/>
      <c r="AB489" s="326"/>
    </row>
    <row r="490" spans="1:28" s="263" customFormat="1" ht="9" customHeight="1" x14ac:dyDescent="0.25">
      <c r="A490" s="550" t="s">
        <v>27</v>
      </c>
      <c r="B490" s="638" t="s">
        <v>22</v>
      </c>
      <c r="C490" s="638" t="s">
        <v>22</v>
      </c>
      <c r="D490" s="639"/>
      <c r="E490" s="632">
        <f t="shared" si="45"/>
        <v>2078</v>
      </c>
      <c r="F490" s="639"/>
      <c r="G490" s="639">
        <f t="shared" si="46"/>
        <v>872</v>
      </c>
      <c r="H490" s="632">
        <v>846</v>
      </c>
      <c r="I490" s="632">
        <v>26</v>
      </c>
      <c r="J490" s="639">
        <v>202</v>
      </c>
      <c r="K490" s="639">
        <v>544</v>
      </c>
      <c r="L490" s="639">
        <v>460</v>
      </c>
      <c r="V490" s="326"/>
      <c r="W490" s="326"/>
      <c r="X490" s="326"/>
      <c r="Y490" s="326"/>
      <c r="Z490" s="326"/>
      <c r="AA490" s="326"/>
      <c r="AB490" s="326"/>
    </row>
    <row r="491" spans="1:28" s="263" customFormat="1" ht="9" customHeight="1" x14ac:dyDescent="0.25">
      <c r="A491" s="550" t="s">
        <v>28</v>
      </c>
      <c r="B491" s="638" t="s">
        <v>22</v>
      </c>
      <c r="C491" s="638" t="s">
        <v>22</v>
      </c>
      <c r="D491" s="639"/>
      <c r="E491" s="632">
        <f t="shared" si="45"/>
        <v>304</v>
      </c>
      <c r="F491" s="639"/>
      <c r="G491" s="639">
        <f t="shared" si="46"/>
        <v>142</v>
      </c>
      <c r="H491" s="632">
        <v>134</v>
      </c>
      <c r="I491" s="632">
        <v>8</v>
      </c>
      <c r="J491" s="639">
        <v>17</v>
      </c>
      <c r="K491" s="639">
        <v>55</v>
      </c>
      <c r="L491" s="639">
        <v>90</v>
      </c>
      <c r="V491" s="326"/>
      <c r="W491" s="326"/>
      <c r="X491" s="326"/>
      <c r="Y491" s="326"/>
      <c r="Z491" s="326"/>
      <c r="AA491" s="326"/>
      <c r="AB491" s="326"/>
    </row>
    <row r="492" spans="1:28" s="263" customFormat="1" ht="9" customHeight="1" x14ac:dyDescent="0.25">
      <c r="A492" s="550" t="s">
        <v>29</v>
      </c>
      <c r="B492" s="638" t="s">
        <v>22</v>
      </c>
      <c r="C492" s="638" t="s">
        <v>22</v>
      </c>
      <c r="D492" s="639"/>
      <c r="E492" s="632">
        <f t="shared" si="45"/>
        <v>949</v>
      </c>
      <c r="F492" s="639"/>
      <c r="G492" s="639">
        <f t="shared" si="46"/>
        <v>561</v>
      </c>
      <c r="H492" s="632">
        <v>541</v>
      </c>
      <c r="I492" s="632">
        <v>20</v>
      </c>
      <c r="J492" s="639">
        <v>28</v>
      </c>
      <c r="K492" s="639">
        <v>126</v>
      </c>
      <c r="L492" s="639">
        <v>234</v>
      </c>
      <c r="V492" s="326"/>
      <c r="W492" s="326"/>
      <c r="X492" s="326"/>
      <c r="Y492" s="326"/>
      <c r="Z492" s="326"/>
      <c r="AA492" s="326"/>
      <c r="AB492" s="326"/>
    </row>
    <row r="493" spans="1:28" s="263" customFormat="1" ht="9" customHeight="1" x14ac:dyDescent="0.25">
      <c r="A493" s="603" t="s">
        <v>30</v>
      </c>
      <c r="B493" s="640" t="s">
        <v>22</v>
      </c>
      <c r="C493" s="640" t="s">
        <v>22</v>
      </c>
      <c r="D493" s="641"/>
      <c r="E493" s="634">
        <f t="shared" si="45"/>
        <v>3921</v>
      </c>
      <c r="F493" s="641"/>
      <c r="G493" s="641">
        <f t="shared" si="46"/>
        <v>2266</v>
      </c>
      <c r="H493" s="634">
        <v>2114</v>
      </c>
      <c r="I493" s="634">
        <v>152</v>
      </c>
      <c r="J493" s="641">
        <v>130</v>
      </c>
      <c r="K493" s="641">
        <v>714</v>
      </c>
      <c r="L493" s="641">
        <v>811</v>
      </c>
      <c r="V493" s="326"/>
      <c r="W493" s="326"/>
      <c r="X493" s="326"/>
      <c r="Y493" s="326"/>
      <c r="Z493" s="326"/>
      <c r="AA493" s="326"/>
      <c r="AB493" s="326"/>
    </row>
    <row r="494" spans="1:28" s="263" customFormat="1" ht="9" customHeight="1" x14ac:dyDescent="0.25">
      <c r="A494" s="550" t="s">
        <v>63</v>
      </c>
      <c r="B494" s="638" t="s">
        <v>22</v>
      </c>
      <c r="C494" s="638" t="s">
        <v>22</v>
      </c>
      <c r="D494" s="639"/>
      <c r="E494" s="632">
        <f t="shared" si="45"/>
        <v>17609</v>
      </c>
      <c r="F494" s="639"/>
      <c r="G494" s="639">
        <f t="shared" si="46"/>
        <v>8604</v>
      </c>
      <c r="H494" s="632">
        <v>7151</v>
      </c>
      <c r="I494" s="632">
        <v>1453</v>
      </c>
      <c r="J494" s="639">
        <v>1623</v>
      </c>
      <c r="K494" s="639">
        <v>4638</v>
      </c>
      <c r="L494" s="639">
        <v>2744</v>
      </c>
      <c r="V494" s="326"/>
      <c r="W494" s="326"/>
      <c r="X494" s="326"/>
      <c r="Y494" s="326"/>
      <c r="Z494" s="326"/>
      <c r="AA494" s="326"/>
      <c r="AB494" s="326"/>
    </row>
    <row r="495" spans="1:28" s="263" customFormat="1" ht="9" customHeight="1" x14ac:dyDescent="0.25">
      <c r="A495" s="550" t="s">
        <v>31</v>
      </c>
      <c r="B495" s="638" t="s">
        <v>22</v>
      </c>
      <c r="C495" s="638" t="s">
        <v>22</v>
      </c>
      <c r="D495" s="639"/>
      <c r="E495" s="632">
        <f t="shared" si="45"/>
        <v>591</v>
      </c>
      <c r="F495" s="639"/>
      <c r="G495" s="639">
        <f t="shared" si="46"/>
        <v>344</v>
      </c>
      <c r="H495" s="632">
        <v>331</v>
      </c>
      <c r="I495" s="632">
        <v>13</v>
      </c>
      <c r="J495" s="550">
        <v>12</v>
      </c>
      <c r="K495" s="550">
        <v>97</v>
      </c>
      <c r="L495" s="639">
        <v>138</v>
      </c>
      <c r="V495" s="326"/>
      <c r="W495" s="326"/>
      <c r="X495" s="326"/>
      <c r="Y495" s="326"/>
      <c r="Z495" s="326"/>
      <c r="AA495" s="326"/>
      <c r="AB495" s="326"/>
    </row>
    <row r="496" spans="1:28" s="263" customFormat="1" ht="9" customHeight="1" x14ac:dyDescent="0.25">
      <c r="A496" s="550" t="s">
        <v>32</v>
      </c>
      <c r="B496" s="638" t="s">
        <v>22</v>
      </c>
      <c r="C496" s="638" t="s">
        <v>22</v>
      </c>
      <c r="D496" s="639"/>
      <c r="E496" s="632">
        <f t="shared" si="45"/>
        <v>4024</v>
      </c>
      <c r="F496" s="639"/>
      <c r="G496" s="639">
        <f t="shared" si="46"/>
        <v>2139</v>
      </c>
      <c r="H496" s="632">
        <v>1997</v>
      </c>
      <c r="I496" s="632">
        <v>142</v>
      </c>
      <c r="J496" s="639">
        <v>288</v>
      </c>
      <c r="K496" s="639">
        <v>755</v>
      </c>
      <c r="L496" s="639">
        <v>842</v>
      </c>
      <c r="V496" s="326"/>
      <c r="W496" s="326"/>
      <c r="X496" s="326"/>
      <c r="Y496" s="326"/>
      <c r="Z496" s="326"/>
      <c r="AA496" s="326"/>
      <c r="AB496" s="326"/>
    </row>
    <row r="497" spans="1:28" s="263" customFormat="1" ht="9" customHeight="1" x14ac:dyDescent="0.25">
      <c r="A497" s="603" t="s">
        <v>33</v>
      </c>
      <c r="B497" s="640" t="s">
        <v>22</v>
      </c>
      <c r="C497" s="640" t="s">
        <v>22</v>
      </c>
      <c r="D497" s="641"/>
      <c r="E497" s="634">
        <f t="shared" si="45"/>
        <v>984</v>
      </c>
      <c r="F497" s="641"/>
      <c r="G497" s="641">
        <f t="shared" si="46"/>
        <v>586</v>
      </c>
      <c r="H497" s="634">
        <v>546</v>
      </c>
      <c r="I497" s="634">
        <v>40</v>
      </c>
      <c r="J497" s="641">
        <v>41</v>
      </c>
      <c r="K497" s="641">
        <v>171</v>
      </c>
      <c r="L497" s="641">
        <v>186</v>
      </c>
      <c r="V497" s="326"/>
      <c r="W497" s="326"/>
      <c r="X497" s="326"/>
      <c r="Y497" s="326"/>
      <c r="Z497" s="326"/>
      <c r="AA497" s="326"/>
      <c r="AB497" s="326"/>
    </row>
    <row r="498" spans="1:28" s="263" customFormat="1" ht="9" customHeight="1" x14ac:dyDescent="0.25">
      <c r="A498" s="550" t="s">
        <v>34</v>
      </c>
      <c r="B498" s="638" t="s">
        <v>22</v>
      </c>
      <c r="C498" s="638" t="s">
        <v>22</v>
      </c>
      <c r="D498" s="639"/>
      <c r="E498" s="632">
        <f t="shared" si="45"/>
        <v>1166</v>
      </c>
      <c r="F498" s="639"/>
      <c r="G498" s="639">
        <f t="shared" si="46"/>
        <v>619</v>
      </c>
      <c r="H498" s="632">
        <v>560</v>
      </c>
      <c r="I498" s="632">
        <v>59</v>
      </c>
      <c r="J498" s="639">
        <v>62</v>
      </c>
      <c r="K498" s="639">
        <v>192</v>
      </c>
      <c r="L498" s="639">
        <v>293</v>
      </c>
      <c r="V498" s="326"/>
      <c r="W498" s="326"/>
      <c r="X498" s="326"/>
      <c r="Y498" s="326"/>
      <c r="Z498" s="326"/>
      <c r="AA498" s="326"/>
      <c r="AB498" s="326"/>
    </row>
    <row r="499" spans="1:28" s="263" customFormat="1" ht="9" customHeight="1" x14ac:dyDescent="0.25">
      <c r="A499" s="550" t="s">
        <v>35</v>
      </c>
      <c r="B499" s="638" t="s">
        <v>22</v>
      </c>
      <c r="C499" s="638" t="s">
        <v>22</v>
      </c>
      <c r="D499" s="639"/>
      <c r="E499" s="632">
        <f t="shared" si="45"/>
        <v>7083</v>
      </c>
      <c r="F499" s="639"/>
      <c r="G499" s="639">
        <f t="shared" si="46"/>
        <v>3651</v>
      </c>
      <c r="H499" s="632">
        <v>3322</v>
      </c>
      <c r="I499" s="632">
        <v>329</v>
      </c>
      <c r="J499" s="639">
        <v>308</v>
      </c>
      <c r="K499" s="639">
        <v>1559</v>
      </c>
      <c r="L499" s="639">
        <v>1565</v>
      </c>
      <c r="V499" s="326"/>
      <c r="W499" s="326"/>
      <c r="X499" s="326"/>
      <c r="Y499" s="326"/>
      <c r="Z499" s="326"/>
      <c r="AA499" s="326"/>
      <c r="AB499" s="326"/>
    </row>
    <row r="500" spans="1:28" s="263" customFormat="1" ht="9" customHeight="1" x14ac:dyDescent="0.25">
      <c r="A500" s="550" t="s">
        <v>36</v>
      </c>
      <c r="B500" s="638" t="s">
        <v>22</v>
      </c>
      <c r="C500" s="638" t="s">
        <v>22</v>
      </c>
      <c r="D500" s="639"/>
      <c r="E500" s="632">
        <f t="shared" si="45"/>
        <v>6661</v>
      </c>
      <c r="F500" s="639"/>
      <c r="G500" s="639">
        <f t="shared" si="46"/>
        <v>3648</v>
      </c>
      <c r="H500" s="632">
        <v>3403</v>
      </c>
      <c r="I500" s="632">
        <v>245</v>
      </c>
      <c r="J500" s="639">
        <v>310</v>
      </c>
      <c r="K500" s="639">
        <v>1420</v>
      </c>
      <c r="L500" s="639">
        <v>1283</v>
      </c>
      <c r="V500" s="326"/>
      <c r="W500" s="326"/>
      <c r="X500" s="326"/>
      <c r="Y500" s="326"/>
      <c r="Z500" s="326"/>
      <c r="AA500" s="326"/>
      <c r="AB500" s="326"/>
    </row>
    <row r="501" spans="1:28" s="263" customFormat="1" ht="9" customHeight="1" x14ac:dyDescent="0.25">
      <c r="A501" s="603" t="s">
        <v>37</v>
      </c>
      <c r="B501" s="640" t="s">
        <v>22</v>
      </c>
      <c r="C501" s="640" t="s">
        <v>22</v>
      </c>
      <c r="D501" s="641"/>
      <c r="E501" s="634">
        <f t="shared" si="45"/>
        <v>2931</v>
      </c>
      <c r="F501" s="641"/>
      <c r="G501" s="641">
        <f t="shared" si="46"/>
        <v>1767</v>
      </c>
      <c r="H501" s="634">
        <v>1705</v>
      </c>
      <c r="I501" s="634">
        <v>62</v>
      </c>
      <c r="J501" s="641">
        <v>106</v>
      </c>
      <c r="K501" s="641">
        <v>471</v>
      </c>
      <c r="L501" s="641">
        <v>587</v>
      </c>
      <c r="V501" s="326"/>
      <c r="W501" s="326"/>
      <c r="X501" s="326"/>
      <c r="Y501" s="326"/>
      <c r="Z501" s="326"/>
      <c r="AA501" s="326"/>
      <c r="AB501" s="326"/>
    </row>
    <row r="502" spans="1:28" s="263" customFormat="1" ht="9" customHeight="1" x14ac:dyDescent="0.25">
      <c r="A502" s="550" t="s">
        <v>38</v>
      </c>
      <c r="B502" s="638" t="s">
        <v>22</v>
      </c>
      <c r="C502" s="638" t="s">
        <v>22</v>
      </c>
      <c r="D502" s="639"/>
      <c r="E502" s="632">
        <f t="shared" si="45"/>
        <v>865</v>
      </c>
      <c r="F502" s="639"/>
      <c r="G502" s="639">
        <f t="shared" si="46"/>
        <v>471</v>
      </c>
      <c r="H502" s="632">
        <v>446</v>
      </c>
      <c r="I502" s="632">
        <v>25</v>
      </c>
      <c r="J502" s="639">
        <v>50</v>
      </c>
      <c r="K502" s="639">
        <v>170</v>
      </c>
      <c r="L502" s="639">
        <v>174</v>
      </c>
      <c r="V502" s="326"/>
      <c r="W502" s="326"/>
      <c r="X502" s="326"/>
      <c r="Y502" s="326"/>
      <c r="Z502" s="326"/>
      <c r="AA502" s="326"/>
      <c r="AB502" s="326"/>
    </row>
    <row r="503" spans="1:28" s="263" customFormat="1" ht="9" customHeight="1" x14ac:dyDescent="0.25">
      <c r="A503" s="550" t="s">
        <v>39</v>
      </c>
      <c r="B503" s="638" t="s">
        <v>22</v>
      </c>
      <c r="C503" s="638" t="s">
        <v>22</v>
      </c>
      <c r="D503" s="639"/>
      <c r="E503" s="632">
        <f t="shared" si="45"/>
        <v>281</v>
      </c>
      <c r="F503" s="639"/>
      <c r="G503" s="639">
        <f t="shared" si="46"/>
        <v>126</v>
      </c>
      <c r="H503" s="632">
        <v>113</v>
      </c>
      <c r="I503" s="632">
        <v>13</v>
      </c>
      <c r="J503" s="639">
        <v>6</v>
      </c>
      <c r="K503" s="639">
        <v>48</v>
      </c>
      <c r="L503" s="639">
        <v>101</v>
      </c>
      <c r="V503" s="326"/>
      <c r="W503" s="326"/>
      <c r="X503" s="326"/>
      <c r="Y503" s="326"/>
      <c r="Z503" s="326"/>
      <c r="AA503" s="326"/>
      <c r="AB503" s="326"/>
    </row>
    <row r="504" spans="1:28" s="263" customFormat="1" ht="9" customHeight="1" x14ac:dyDescent="0.25">
      <c r="A504" s="550" t="s">
        <v>40</v>
      </c>
      <c r="B504" s="638" t="s">
        <v>22</v>
      </c>
      <c r="C504" s="638" t="s">
        <v>22</v>
      </c>
      <c r="D504" s="639"/>
      <c r="E504" s="632">
        <f t="shared" si="45"/>
        <v>7626</v>
      </c>
      <c r="F504" s="639"/>
      <c r="G504" s="639">
        <f t="shared" si="46"/>
        <v>4104</v>
      </c>
      <c r="H504" s="632">
        <v>3609</v>
      </c>
      <c r="I504" s="632">
        <v>495</v>
      </c>
      <c r="J504" s="639">
        <v>456</v>
      </c>
      <c r="K504" s="639">
        <v>1740</v>
      </c>
      <c r="L504" s="639">
        <v>1326</v>
      </c>
      <c r="V504" s="326"/>
      <c r="W504" s="326"/>
      <c r="X504" s="326"/>
      <c r="Y504" s="326"/>
      <c r="Z504" s="326"/>
      <c r="AA504" s="326"/>
      <c r="AB504" s="326"/>
    </row>
    <row r="505" spans="1:28" s="263" customFormat="1" ht="9" customHeight="1" x14ac:dyDescent="0.25">
      <c r="A505" s="603" t="s">
        <v>41</v>
      </c>
      <c r="B505" s="640" t="s">
        <v>22</v>
      </c>
      <c r="C505" s="640" t="s">
        <v>22</v>
      </c>
      <c r="D505" s="641"/>
      <c r="E505" s="634">
        <f t="shared" si="45"/>
        <v>1101</v>
      </c>
      <c r="F505" s="641"/>
      <c r="G505" s="641">
        <f t="shared" si="46"/>
        <v>617</v>
      </c>
      <c r="H505" s="634">
        <v>582</v>
      </c>
      <c r="I505" s="634">
        <v>35</v>
      </c>
      <c r="J505" s="641">
        <v>46</v>
      </c>
      <c r="K505" s="641">
        <v>180</v>
      </c>
      <c r="L505" s="641">
        <v>258</v>
      </c>
      <c r="V505" s="326"/>
      <c r="W505" s="326"/>
      <c r="X505" s="326"/>
      <c r="Y505" s="326"/>
      <c r="Z505" s="326"/>
      <c r="AA505" s="326"/>
      <c r="AB505" s="326"/>
    </row>
    <row r="506" spans="1:28" s="263" customFormat="1" ht="9" customHeight="1" x14ac:dyDescent="0.25">
      <c r="A506" s="550" t="s">
        <v>42</v>
      </c>
      <c r="B506" s="638" t="s">
        <v>22</v>
      </c>
      <c r="C506" s="638" t="s">
        <v>22</v>
      </c>
      <c r="D506" s="639"/>
      <c r="E506" s="632">
        <f t="shared" si="45"/>
        <v>3584</v>
      </c>
      <c r="F506" s="639"/>
      <c r="G506" s="639">
        <f t="shared" si="46"/>
        <v>2028</v>
      </c>
      <c r="H506" s="632">
        <v>1888</v>
      </c>
      <c r="I506" s="632">
        <v>140</v>
      </c>
      <c r="J506" s="639">
        <v>155</v>
      </c>
      <c r="K506" s="639">
        <v>643</v>
      </c>
      <c r="L506" s="639">
        <v>758</v>
      </c>
      <c r="V506" s="326"/>
      <c r="W506" s="326"/>
      <c r="X506" s="326"/>
      <c r="Y506" s="326"/>
      <c r="Z506" s="326"/>
      <c r="AA506" s="326"/>
      <c r="AB506" s="326"/>
    </row>
    <row r="507" spans="1:28" s="263" customFormat="1" ht="9" customHeight="1" x14ac:dyDescent="0.25">
      <c r="A507" s="550" t="s">
        <v>43</v>
      </c>
      <c r="B507" s="638" t="s">
        <v>22</v>
      </c>
      <c r="C507" s="638" t="s">
        <v>22</v>
      </c>
      <c r="D507" s="639"/>
      <c r="E507" s="632">
        <f t="shared" si="45"/>
        <v>1493</v>
      </c>
      <c r="F507" s="639"/>
      <c r="G507" s="639">
        <f t="shared" si="46"/>
        <v>744</v>
      </c>
      <c r="H507" s="632">
        <v>682</v>
      </c>
      <c r="I507" s="632">
        <v>62</v>
      </c>
      <c r="J507" s="639">
        <v>111</v>
      </c>
      <c r="K507" s="639">
        <v>340</v>
      </c>
      <c r="L507" s="639">
        <v>298</v>
      </c>
      <c r="V507" s="326"/>
      <c r="W507" s="326"/>
      <c r="X507" s="326"/>
      <c r="Y507" s="326"/>
      <c r="Z507" s="326"/>
      <c r="AA507" s="326"/>
      <c r="AB507" s="326"/>
    </row>
    <row r="508" spans="1:28" s="263" customFormat="1" ht="9" customHeight="1" x14ac:dyDescent="0.25">
      <c r="A508" s="550" t="s">
        <v>44</v>
      </c>
      <c r="B508" s="638" t="s">
        <v>22</v>
      </c>
      <c r="C508" s="638" t="s">
        <v>22</v>
      </c>
      <c r="D508" s="639"/>
      <c r="E508" s="632">
        <f t="shared" si="45"/>
        <v>1030</v>
      </c>
      <c r="F508" s="639"/>
      <c r="G508" s="639">
        <f t="shared" si="46"/>
        <v>434</v>
      </c>
      <c r="H508" s="632">
        <v>377</v>
      </c>
      <c r="I508" s="632">
        <v>57</v>
      </c>
      <c r="J508" s="639">
        <v>73</v>
      </c>
      <c r="K508" s="639">
        <v>333</v>
      </c>
      <c r="L508" s="639">
        <v>190</v>
      </c>
      <c r="V508" s="326"/>
      <c r="W508" s="326"/>
      <c r="X508" s="326"/>
      <c r="Y508" s="326"/>
      <c r="Z508" s="326"/>
      <c r="AA508" s="326"/>
      <c r="AB508" s="326"/>
    </row>
    <row r="509" spans="1:28" s="263" customFormat="1" ht="9" customHeight="1" x14ac:dyDescent="0.25">
      <c r="A509" s="603" t="s">
        <v>45</v>
      </c>
      <c r="B509" s="640" t="s">
        <v>22</v>
      </c>
      <c r="C509" s="640" t="s">
        <v>22</v>
      </c>
      <c r="D509" s="641"/>
      <c r="E509" s="634">
        <f t="shared" si="45"/>
        <v>2120</v>
      </c>
      <c r="F509" s="641"/>
      <c r="G509" s="641">
        <f t="shared" si="46"/>
        <v>1085</v>
      </c>
      <c r="H509" s="634">
        <v>999</v>
      </c>
      <c r="I509" s="634">
        <v>86</v>
      </c>
      <c r="J509" s="641">
        <v>94</v>
      </c>
      <c r="K509" s="641">
        <v>544</v>
      </c>
      <c r="L509" s="641">
        <v>397</v>
      </c>
      <c r="V509" s="326"/>
      <c r="W509" s="326"/>
      <c r="X509" s="326"/>
      <c r="Y509" s="326"/>
      <c r="Z509" s="326"/>
      <c r="AA509" s="326"/>
      <c r="AB509" s="326"/>
    </row>
    <row r="510" spans="1:28" s="263" customFormat="1" ht="9" customHeight="1" x14ac:dyDescent="0.25">
      <c r="A510" s="550" t="s">
        <v>46</v>
      </c>
      <c r="B510" s="638" t="s">
        <v>22</v>
      </c>
      <c r="C510" s="638" t="s">
        <v>22</v>
      </c>
      <c r="D510" s="639"/>
      <c r="E510" s="632">
        <f t="shared" si="45"/>
        <v>1528</v>
      </c>
      <c r="F510" s="639"/>
      <c r="G510" s="639">
        <f t="shared" si="46"/>
        <v>829</v>
      </c>
      <c r="H510" s="632">
        <v>781</v>
      </c>
      <c r="I510" s="632">
        <v>48</v>
      </c>
      <c r="J510" s="639">
        <v>62</v>
      </c>
      <c r="K510" s="639">
        <v>293</v>
      </c>
      <c r="L510" s="639">
        <v>344</v>
      </c>
      <c r="V510" s="326"/>
      <c r="W510" s="326"/>
      <c r="X510" s="326"/>
      <c r="Y510" s="326"/>
      <c r="Z510" s="326"/>
      <c r="AA510" s="326"/>
      <c r="AB510" s="326"/>
    </row>
    <row r="511" spans="1:28" s="263" customFormat="1" ht="9" customHeight="1" x14ac:dyDescent="0.25">
      <c r="A511" s="550" t="s">
        <v>47</v>
      </c>
      <c r="B511" s="638" t="s">
        <v>22</v>
      </c>
      <c r="C511" s="638" t="s">
        <v>22</v>
      </c>
      <c r="D511" s="639"/>
      <c r="E511" s="632">
        <f t="shared" si="45"/>
        <v>1935</v>
      </c>
      <c r="F511" s="639"/>
      <c r="G511" s="639">
        <f t="shared" si="46"/>
        <v>1070</v>
      </c>
      <c r="H511" s="632">
        <v>1023</v>
      </c>
      <c r="I511" s="632">
        <v>47</v>
      </c>
      <c r="J511" s="639">
        <v>72</v>
      </c>
      <c r="K511" s="639">
        <v>405</v>
      </c>
      <c r="L511" s="639">
        <v>388</v>
      </c>
      <c r="V511" s="326"/>
      <c r="W511" s="326"/>
      <c r="X511" s="326"/>
      <c r="Y511" s="326"/>
      <c r="Z511" s="326"/>
      <c r="AA511" s="326"/>
      <c r="AB511" s="326"/>
    </row>
    <row r="512" spans="1:28" s="263" customFormat="1" ht="9" customHeight="1" x14ac:dyDescent="0.25">
      <c r="A512" s="550" t="s">
        <v>48</v>
      </c>
      <c r="B512" s="638" t="s">
        <v>22</v>
      </c>
      <c r="C512" s="638" t="s">
        <v>22</v>
      </c>
      <c r="D512" s="639"/>
      <c r="E512" s="632">
        <f t="shared" si="45"/>
        <v>961</v>
      </c>
      <c r="F512" s="639"/>
      <c r="G512" s="639">
        <f t="shared" si="46"/>
        <v>520</v>
      </c>
      <c r="H512" s="632">
        <v>475</v>
      </c>
      <c r="I512" s="632">
        <v>45</v>
      </c>
      <c r="J512" s="639">
        <v>76</v>
      </c>
      <c r="K512" s="639">
        <v>166</v>
      </c>
      <c r="L512" s="639">
        <v>199</v>
      </c>
      <c r="V512" s="326"/>
      <c r="W512" s="326"/>
      <c r="X512" s="326"/>
      <c r="Y512" s="326"/>
      <c r="Z512" s="326"/>
      <c r="AA512" s="326"/>
      <c r="AB512" s="326"/>
    </row>
    <row r="513" spans="1:28" s="263" customFormat="1" ht="9" customHeight="1" x14ac:dyDescent="0.25">
      <c r="A513" s="603" t="s">
        <v>49</v>
      </c>
      <c r="B513" s="640" t="s">
        <v>22</v>
      </c>
      <c r="C513" s="640" t="s">
        <v>22</v>
      </c>
      <c r="D513" s="641"/>
      <c r="E513" s="634">
        <f t="shared" si="45"/>
        <v>2266</v>
      </c>
      <c r="F513" s="641"/>
      <c r="G513" s="641">
        <f t="shared" si="46"/>
        <v>1294</v>
      </c>
      <c r="H513" s="634">
        <v>1247</v>
      </c>
      <c r="I513" s="634">
        <v>47</v>
      </c>
      <c r="J513" s="641">
        <v>116</v>
      </c>
      <c r="K513" s="641">
        <v>375</v>
      </c>
      <c r="L513" s="641">
        <v>481</v>
      </c>
      <c r="V513" s="326"/>
      <c r="W513" s="326"/>
      <c r="X513" s="326"/>
      <c r="Y513" s="326"/>
      <c r="Z513" s="326"/>
      <c r="AA513" s="326"/>
      <c r="AB513" s="326"/>
    </row>
    <row r="514" spans="1:28" s="263" customFormat="1" ht="9" customHeight="1" x14ac:dyDescent="0.25">
      <c r="A514" s="550" t="s">
        <v>50</v>
      </c>
      <c r="B514" s="638" t="s">
        <v>22</v>
      </c>
      <c r="C514" s="638" t="s">
        <v>22</v>
      </c>
      <c r="D514" s="639"/>
      <c r="E514" s="632">
        <f t="shared" si="45"/>
        <v>393</v>
      </c>
      <c r="F514" s="639"/>
      <c r="G514" s="639">
        <f t="shared" si="46"/>
        <v>212</v>
      </c>
      <c r="H514" s="632">
        <v>210</v>
      </c>
      <c r="I514" s="632">
        <v>2</v>
      </c>
      <c r="J514" s="639">
        <v>9</v>
      </c>
      <c r="K514" s="639">
        <v>74</v>
      </c>
      <c r="L514" s="639">
        <v>98</v>
      </c>
      <c r="V514" s="326"/>
      <c r="W514" s="326"/>
      <c r="X514" s="326"/>
      <c r="Y514" s="326"/>
      <c r="Z514" s="326"/>
      <c r="AA514" s="326"/>
      <c r="AB514" s="326"/>
    </row>
    <row r="515" spans="1:28" s="263" customFormat="1" ht="9" customHeight="1" x14ac:dyDescent="0.25">
      <c r="A515" s="550" t="s">
        <v>51</v>
      </c>
      <c r="B515" s="638" t="s">
        <v>22</v>
      </c>
      <c r="C515" s="638" t="s">
        <v>22</v>
      </c>
      <c r="D515" s="639"/>
      <c r="E515" s="632">
        <f t="shared" si="45"/>
        <v>2596</v>
      </c>
      <c r="F515" s="639"/>
      <c r="G515" s="639">
        <f t="shared" si="46"/>
        <v>1317</v>
      </c>
      <c r="H515" s="632">
        <v>1245</v>
      </c>
      <c r="I515" s="632">
        <v>72</v>
      </c>
      <c r="J515" s="639">
        <v>209</v>
      </c>
      <c r="K515" s="639">
        <v>508</v>
      </c>
      <c r="L515" s="639">
        <v>562</v>
      </c>
      <c r="V515" s="326"/>
      <c r="W515" s="326"/>
      <c r="X515" s="326"/>
      <c r="Y515" s="326"/>
      <c r="Z515" s="326"/>
      <c r="AA515" s="326"/>
      <c r="AB515" s="326"/>
    </row>
    <row r="516" spans="1:28" s="263" customFormat="1" ht="9" customHeight="1" x14ac:dyDescent="0.25">
      <c r="A516" s="550" t="s">
        <v>52</v>
      </c>
      <c r="B516" s="638" t="s">
        <v>22</v>
      </c>
      <c r="C516" s="638" t="s">
        <v>22</v>
      </c>
      <c r="D516" s="639"/>
      <c r="E516" s="632">
        <f t="shared" si="45"/>
        <v>1598</v>
      </c>
      <c r="F516" s="639"/>
      <c r="G516" s="639">
        <f t="shared" si="46"/>
        <v>811</v>
      </c>
      <c r="H516" s="632">
        <v>798</v>
      </c>
      <c r="I516" s="632">
        <v>13</v>
      </c>
      <c r="J516" s="639">
        <v>19</v>
      </c>
      <c r="K516" s="639">
        <v>270</v>
      </c>
      <c r="L516" s="639">
        <v>498</v>
      </c>
      <c r="V516" s="326"/>
      <c r="W516" s="326"/>
      <c r="X516" s="326"/>
      <c r="Y516" s="326"/>
      <c r="Z516" s="326"/>
      <c r="AA516" s="326"/>
      <c r="AB516" s="326"/>
    </row>
    <row r="517" spans="1:28" s="263" customFormat="1" ht="9" customHeight="1" x14ac:dyDescent="0.25">
      <c r="A517" s="267" t="s">
        <v>53</v>
      </c>
      <c r="B517" s="599" t="s">
        <v>22</v>
      </c>
      <c r="C517" s="599" t="s">
        <v>22</v>
      </c>
      <c r="D517" s="328"/>
      <c r="E517" s="604">
        <f t="shared" si="45"/>
        <v>764</v>
      </c>
      <c r="F517" s="328"/>
      <c r="G517" s="328">
        <f t="shared" si="46"/>
        <v>392</v>
      </c>
      <c r="H517" s="604">
        <v>358</v>
      </c>
      <c r="I517" s="604">
        <v>34</v>
      </c>
      <c r="J517" s="328">
        <v>45</v>
      </c>
      <c r="K517" s="328">
        <v>113</v>
      </c>
      <c r="L517" s="328">
        <v>214</v>
      </c>
      <c r="V517" s="326"/>
      <c r="W517" s="326"/>
      <c r="X517" s="326"/>
      <c r="Y517" s="326"/>
      <c r="Z517" s="326"/>
      <c r="AA517" s="326"/>
      <c r="AB517" s="326"/>
    </row>
    <row r="518" spans="1:28" s="263" customFormat="1" ht="9" customHeight="1" x14ac:dyDescent="0.25">
      <c r="A518" s="286"/>
      <c r="B518" s="613"/>
      <c r="C518" s="613"/>
      <c r="D518" s="329"/>
      <c r="E518" s="605"/>
      <c r="F518" s="329"/>
      <c r="G518" s="329"/>
      <c r="H518" s="605"/>
      <c r="I518" s="605"/>
      <c r="J518" s="329"/>
      <c r="K518" s="329"/>
      <c r="L518" s="329"/>
      <c r="V518" s="326"/>
      <c r="W518" s="326"/>
      <c r="X518" s="326"/>
      <c r="Y518" s="326"/>
      <c r="Z518" s="326"/>
      <c r="AA518" s="326"/>
      <c r="AB518" s="326"/>
    </row>
    <row r="519" spans="1:28" s="263" customFormat="1" ht="9" customHeight="1" x14ac:dyDescent="0.25">
      <c r="A519" s="261">
        <v>2009</v>
      </c>
      <c r="B519" s="288"/>
      <c r="C519" s="262"/>
      <c r="D519" s="262"/>
      <c r="E519" s="262"/>
      <c r="F519" s="262"/>
      <c r="G519" s="262"/>
      <c r="H519" s="271"/>
      <c r="I519" s="262"/>
      <c r="J519" s="262"/>
      <c r="K519" s="262"/>
      <c r="L519" s="262"/>
      <c r="V519" s="326"/>
      <c r="W519" s="326"/>
      <c r="X519" s="326"/>
      <c r="Y519" s="326"/>
      <c r="Z519" s="326"/>
      <c r="AA519" s="326"/>
      <c r="AB519" s="326"/>
    </row>
    <row r="520" spans="1:28" s="263" customFormat="1" ht="9" customHeight="1" x14ac:dyDescent="0.25">
      <c r="A520" s="265" t="s">
        <v>21</v>
      </c>
      <c r="B520" s="325" t="s">
        <v>22</v>
      </c>
      <c r="C520" s="325" t="s">
        <v>22</v>
      </c>
      <c r="D520" s="325"/>
      <c r="E520" s="325">
        <f>SUM(E522:E553)</f>
        <v>82869</v>
      </c>
      <c r="F520" s="325"/>
      <c r="G520" s="325">
        <f t="shared" ref="G520:L520" si="47">SUM(G522:G553)</f>
        <v>42570</v>
      </c>
      <c r="H520" s="332">
        <f t="shared" si="47"/>
        <v>38837</v>
      </c>
      <c r="I520" s="325">
        <f t="shared" si="47"/>
        <v>3733</v>
      </c>
      <c r="J520" s="325">
        <f t="shared" si="47"/>
        <v>5244</v>
      </c>
      <c r="K520" s="325">
        <f t="shared" si="47"/>
        <v>18027</v>
      </c>
      <c r="L520" s="325">
        <f t="shared" si="47"/>
        <v>17028</v>
      </c>
      <c r="V520" s="326"/>
      <c r="W520" s="326"/>
      <c r="X520" s="326"/>
      <c r="Y520" s="326"/>
      <c r="Z520" s="326"/>
      <c r="AA520" s="326"/>
      <c r="AB520" s="326"/>
    </row>
    <row r="521" spans="1:28" s="263" customFormat="1" ht="3.95" customHeight="1" x14ac:dyDescent="0.25">
      <c r="A521" s="265"/>
      <c r="B521" s="325"/>
      <c r="C521" s="325"/>
      <c r="D521" s="325"/>
      <c r="E521" s="325"/>
      <c r="F521" s="325"/>
      <c r="G521" s="325"/>
      <c r="H521" s="325"/>
      <c r="I521" s="325"/>
      <c r="J521" s="325"/>
      <c r="K521" s="325"/>
      <c r="L521" s="325"/>
      <c r="V521" s="326"/>
      <c r="W521" s="326"/>
      <c r="X521" s="326"/>
      <c r="Y521" s="326"/>
      <c r="Z521" s="326"/>
      <c r="AA521" s="326"/>
      <c r="AB521" s="326"/>
    </row>
    <row r="522" spans="1:28" s="263" customFormat="1" ht="9" customHeight="1" x14ac:dyDescent="0.25">
      <c r="A522" s="550" t="s">
        <v>23</v>
      </c>
      <c r="B522" s="638" t="s">
        <v>22</v>
      </c>
      <c r="C522" s="638" t="s">
        <v>22</v>
      </c>
      <c r="D522" s="639"/>
      <c r="E522" s="632">
        <f>SUM(G522+J522+K522+L522)</f>
        <v>943</v>
      </c>
      <c r="F522" s="639"/>
      <c r="G522" s="639">
        <f>SUM(H522:I522)</f>
        <v>423</v>
      </c>
      <c r="H522" s="632">
        <v>397</v>
      </c>
      <c r="I522" s="632">
        <v>26</v>
      </c>
      <c r="J522" s="639">
        <v>85</v>
      </c>
      <c r="K522" s="639">
        <v>186</v>
      </c>
      <c r="L522" s="639">
        <v>249</v>
      </c>
      <c r="V522" s="326"/>
      <c r="W522" s="326"/>
      <c r="X522" s="326"/>
      <c r="Y522" s="326"/>
      <c r="Z522" s="326"/>
      <c r="AA522" s="326"/>
      <c r="AB522" s="326"/>
    </row>
    <row r="523" spans="1:28" s="263" customFormat="1" ht="9" customHeight="1" x14ac:dyDescent="0.25">
      <c r="A523" s="550" t="s">
        <v>24</v>
      </c>
      <c r="B523" s="638" t="s">
        <v>22</v>
      </c>
      <c r="C523" s="638" t="s">
        <v>22</v>
      </c>
      <c r="D523" s="639"/>
      <c r="E523" s="632">
        <f>SUM(G523+J523+K523+L523)</f>
        <v>2094</v>
      </c>
      <c r="F523" s="638"/>
      <c r="G523" s="639">
        <f>SUM(H523:I523)</f>
        <v>1018</v>
      </c>
      <c r="H523" s="638">
        <v>1000</v>
      </c>
      <c r="I523" s="638">
        <v>18</v>
      </c>
      <c r="J523" s="638">
        <v>49</v>
      </c>
      <c r="K523" s="638">
        <v>466</v>
      </c>
      <c r="L523" s="638">
        <v>561</v>
      </c>
      <c r="V523" s="326"/>
      <c r="W523" s="326"/>
      <c r="X523" s="326"/>
      <c r="Y523" s="326"/>
      <c r="Z523" s="326"/>
      <c r="AA523" s="326"/>
      <c r="AB523" s="326"/>
    </row>
    <row r="524" spans="1:28" s="263" customFormat="1" ht="9" customHeight="1" x14ac:dyDescent="0.25">
      <c r="A524" s="550" t="s">
        <v>25</v>
      </c>
      <c r="B524" s="638" t="s">
        <v>22</v>
      </c>
      <c r="C524" s="638" t="s">
        <v>22</v>
      </c>
      <c r="D524" s="639"/>
      <c r="E524" s="632">
        <f t="shared" ref="E524:E553" si="48">SUM(G524+J524+K524+L524)</f>
        <v>357</v>
      </c>
      <c r="F524" s="639"/>
      <c r="G524" s="639">
        <f t="shared" ref="G524:G553" si="49">SUM(H524:I524)</f>
        <v>134</v>
      </c>
      <c r="H524" s="632">
        <v>126</v>
      </c>
      <c r="I524" s="632">
        <v>8</v>
      </c>
      <c r="J524" s="639">
        <v>39</v>
      </c>
      <c r="K524" s="639">
        <v>111</v>
      </c>
      <c r="L524" s="639">
        <v>73</v>
      </c>
      <c r="V524" s="326"/>
      <c r="W524" s="326"/>
      <c r="X524" s="326"/>
      <c r="Y524" s="326"/>
      <c r="Z524" s="326"/>
      <c r="AA524" s="326"/>
      <c r="AB524" s="326"/>
    </row>
    <row r="525" spans="1:28" s="263" customFormat="1" ht="9" customHeight="1" x14ac:dyDescent="0.25">
      <c r="A525" s="603" t="s">
        <v>26</v>
      </c>
      <c r="B525" s="640" t="s">
        <v>22</v>
      </c>
      <c r="C525" s="640" t="s">
        <v>22</v>
      </c>
      <c r="D525" s="641"/>
      <c r="E525" s="634">
        <f t="shared" si="48"/>
        <v>224</v>
      </c>
      <c r="F525" s="641"/>
      <c r="G525" s="641">
        <f t="shared" si="49"/>
        <v>126</v>
      </c>
      <c r="H525" s="634">
        <v>101</v>
      </c>
      <c r="I525" s="634">
        <v>25</v>
      </c>
      <c r="J525" s="641">
        <v>7</v>
      </c>
      <c r="K525" s="641">
        <v>33</v>
      </c>
      <c r="L525" s="641">
        <v>58</v>
      </c>
      <c r="V525" s="326"/>
      <c r="W525" s="326"/>
      <c r="X525" s="326"/>
      <c r="Y525" s="326"/>
      <c r="Z525" s="326"/>
      <c r="AA525" s="326"/>
      <c r="AB525" s="326"/>
    </row>
    <row r="526" spans="1:28" s="263" customFormat="1" ht="9" customHeight="1" x14ac:dyDescent="0.25">
      <c r="A526" s="550" t="s">
        <v>27</v>
      </c>
      <c r="B526" s="638" t="s">
        <v>22</v>
      </c>
      <c r="C526" s="638" t="s">
        <v>22</v>
      </c>
      <c r="D526" s="639"/>
      <c r="E526" s="632">
        <f t="shared" si="48"/>
        <v>2201</v>
      </c>
      <c r="F526" s="639"/>
      <c r="G526" s="639">
        <f t="shared" si="49"/>
        <v>1014</v>
      </c>
      <c r="H526" s="632">
        <v>939</v>
      </c>
      <c r="I526" s="632">
        <v>75</v>
      </c>
      <c r="J526" s="639">
        <v>143</v>
      </c>
      <c r="K526" s="639">
        <v>548</v>
      </c>
      <c r="L526" s="639">
        <v>496</v>
      </c>
      <c r="V526" s="326"/>
      <c r="W526" s="326"/>
      <c r="X526" s="326"/>
      <c r="Y526" s="326"/>
      <c r="Z526" s="326"/>
      <c r="AA526" s="326"/>
      <c r="AB526" s="326"/>
    </row>
    <row r="527" spans="1:28" s="263" customFormat="1" ht="9" customHeight="1" x14ac:dyDescent="0.25">
      <c r="A527" s="550" t="s">
        <v>28</v>
      </c>
      <c r="B527" s="638" t="s">
        <v>22</v>
      </c>
      <c r="C527" s="638" t="s">
        <v>22</v>
      </c>
      <c r="D527" s="639"/>
      <c r="E527" s="632">
        <f t="shared" si="48"/>
        <v>301</v>
      </c>
      <c r="F527" s="639"/>
      <c r="G527" s="639">
        <f t="shared" si="49"/>
        <v>148</v>
      </c>
      <c r="H527" s="632">
        <v>133</v>
      </c>
      <c r="I527" s="632">
        <v>15</v>
      </c>
      <c r="J527" s="639">
        <v>19</v>
      </c>
      <c r="K527" s="639">
        <v>45</v>
      </c>
      <c r="L527" s="639">
        <v>89</v>
      </c>
      <c r="V527" s="326"/>
      <c r="W527" s="326"/>
      <c r="X527" s="326"/>
      <c r="Y527" s="326"/>
      <c r="Z527" s="326"/>
      <c r="AA527" s="326"/>
      <c r="AB527" s="326"/>
    </row>
    <row r="528" spans="1:28" s="263" customFormat="1" ht="9" customHeight="1" x14ac:dyDescent="0.25">
      <c r="A528" s="550" t="s">
        <v>29</v>
      </c>
      <c r="B528" s="638" t="s">
        <v>22</v>
      </c>
      <c r="C528" s="638" t="s">
        <v>22</v>
      </c>
      <c r="D528" s="639"/>
      <c r="E528" s="632">
        <f t="shared" si="48"/>
        <v>957</v>
      </c>
      <c r="F528" s="639"/>
      <c r="G528" s="639">
        <f t="shared" si="49"/>
        <v>561</v>
      </c>
      <c r="H528" s="632">
        <v>525</v>
      </c>
      <c r="I528" s="632">
        <v>36</v>
      </c>
      <c r="J528" s="639">
        <v>20</v>
      </c>
      <c r="K528" s="639">
        <v>139</v>
      </c>
      <c r="L528" s="639">
        <v>237</v>
      </c>
      <c r="V528" s="326"/>
      <c r="W528" s="326"/>
      <c r="X528" s="326"/>
      <c r="Y528" s="326"/>
      <c r="Z528" s="326"/>
      <c r="AA528" s="326"/>
      <c r="AB528" s="326"/>
    </row>
    <row r="529" spans="1:28" s="263" customFormat="1" ht="9" customHeight="1" x14ac:dyDescent="0.25">
      <c r="A529" s="603" t="s">
        <v>30</v>
      </c>
      <c r="B529" s="640" t="s">
        <v>22</v>
      </c>
      <c r="C529" s="640" t="s">
        <v>22</v>
      </c>
      <c r="D529" s="641"/>
      <c r="E529" s="634">
        <f t="shared" si="48"/>
        <v>3545</v>
      </c>
      <c r="F529" s="641"/>
      <c r="G529" s="641">
        <f t="shared" si="49"/>
        <v>2027</v>
      </c>
      <c r="H529" s="634">
        <v>1854</v>
      </c>
      <c r="I529" s="634">
        <v>173</v>
      </c>
      <c r="J529" s="641">
        <v>187</v>
      </c>
      <c r="K529" s="641">
        <v>709</v>
      </c>
      <c r="L529" s="641">
        <v>622</v>
      </c>
      <c r="V529" s="326"/>
      <c r="W529" s="326"/>
      <c r="X529" s="326"/>
      <c r="Y529" s="326"/>
      <c r="Z529" s="326"/>
      <c r="AA529" s="326"/>
      <c r="AB529" s="326"/>
    </row>
    <row r="530" spans="1:28" s="263" customFormat="1" ht="9" customHeight="1" x14ac:dyDescent="0.25">
      <c r="A530" s="550" t="s">
        <v>63</v>
      </c>
      <c r="B530" s="638" t="s">
        <v>22</v>
      </c>
      <c r="C530" s="638" t="s">
        <v>22</v>
      </c>
      <c r="D530" s="639"/>
      <c r="E530" s="632">
        <f t="shared" si="48"/>
        <v>17638</v>
      </c>
      <c r="F530" s="639"/>
      <c r="G530" s="639">
        <f t="shared" si="49"/>
        <v>8325</v>
      </c>
      <c r="H530" s="632">
        <v>7056</v>
      </c>
      <c r="I530" s="632">
        <v>1269</v>
      </c>
      <c r="J530" s="639">
        <v>1599</v>
      </c>
      <c r="K530" s="639">
        <v>4922</v>
      </c>
      <c r="L530" s="639">
        <v>2792</v>
      </c>
      <c r="V530" s="326"/>
      <c r="W530" s="326"/>
      <c r="X530" s="326"/>
      <c r="Y530" s="326"/>
      <c r="Z530" s="326"/>
      <c r="AA530" s="326"/>
      <c r="AB530" s="326"/>
    </row>
    <row r="531" spans="1:28" s="263" customFormat="1" ht="9" customHeight="1" x14ac:dyDescent="0.25">
      <c r="A531" s="550" t="s">
        <v>31</v>
      </c>
      <c r="B531" s="638" t="s">
        <v>22</v>
      </c>
      <c r="C531" s="638" t="s">
        <v>22</v>
      </c>
      <c r="D531" s="639"/>
      <c r="E531" s="632">
        <f t="shared" si="48"/>
        <v>604</v>
      </c>
      <c r="F531" s="639"/>
      <c r="G531" s="639">
        <f t="shared" si="49"/>
        <v>339</v>
      </c>
      <c r="H531" s="632">
        <v>325</v>
      </c>
      <c r="I531" s="632">
        <v>14</v>
      </c>
      <c r="J531" s="550">
        <v>16</v>
      </c>
      <c r="K531" s="550">
        <v>92</v>
      </c>
      <c r="L531" s="639">
        <v>157</v>
      </c>
      <c r="V531" s="326"/>
      <c r="W531" s="326"/>
      <c r="X531" s="326"/>
      <c r="Y531" s="326"/>
      <c r="Z531" s="326"/>
      <c r="AA531" s="326"/>
      <c r="AB531" s="326"/>
    </row>
    <row r="532" spans="1:28" s="263" customFormat="1" ht="9" customHeight="1" x14ac:dyDescent="0.25">
      <c r="A532" s="550" t="s">
        <v>32</v>
      </c>
      <c r="B532" s="638" t="s">
        <v>22</v>
      </c>
      <c r="C532" s="638" t="s">
        <v>22</v>
      </c>
      <c r="D532" s="639"/>
      <c r="E532" s="632">
        <f t="shared" si="48"/>
        <v>3853</v>
      </c>
      <c r="F532" s="639"/>
      <c r="G532" s="639">
        <f t="shared" si="49"/>
        <v>2025</v>
      </c>
      <c r="H532" s="632">
        <v>1886</v>
      </c>
      <c r="I532" s="632">
        <v>139</v>
      </c>
      <c r="J532" s="639">
        <v>280</v>
      </c>
      <c r="K532" s="639">
        <v>731</v>
      </c>
      <c r="L532" s="639">
        <v>817</v>
      </c>
      <c r="V532" s="326"/>
      <c r="W532" s="326"/>
      <c r="X532" s="326"/>
      <c r="Y532" s="326"/>
      <c r="Z532" s="326"/>
      <c r="AA532" s="326"/>
      <c r="AB532" s="326"/>
    </row>
    <row r="533" spans="1:28" s="263" customFormat="1" ht="9" customHeight="1" x14ac:dyDescent="0.25">
      <c r="A533" s="603" t="s">
        <v>33</v>
      </c>
      <c r="B533" s="640" t="s">
        <v>22</v>
      </c>
      <c r="C533" s="640" t="s">
        <v>22</v>
      </c>
      <c r="D533" s="641"/>
      <c r="E533" s="634">
        <f t="shared" si="48"/>
        <v>1133</v>
      </c>
      <c r="F533" s="641"/>
      <c r="G533" s="641">
        <f t="shared" si="49"/>
        <v>618</v>
      </c>
      <c r="H533" s="634">
        <v>569</v>
      </c>
      <c r="I533" s="634">
        <v>49</v>
      </c>
      <c r="J533" s="641">
        <v>146</v>
      </c>
      <c r="K533" s="641">
        <v>183</v>
      </c>
      <c r="L533" s="641">
        <v>186</v>
      </c>
      <c r="V533" s="326"/>
      <c r="W533" s="326"/>
      <c r="X533" s="326"/>
      <c r="Y533" s="326"/>
      <c r="Z533" s="326"/>
      <c r="AA533" s="326"/>
      <c r="AB533" s="326"/>
    </row>
    <row r="534" spans="1:28" s="263" customFormat="1" ht="9" customHeight="1" x14ac:dyDescent="0.25">
      <c r="A534" s="550" t="s">
        <v>34</v>
      </c>
      <c r="B534" s="638" t="s">
        <v>22</v>
      </c>
      <c r="C534" s="638" t="s">
        <v>22</v>
      </c>
      <c r="D534" s="639"/>
      <c r="E534" s="632">
        <f t="shared" si="48"/>
        <v>1297</v>
      </c>
      <c r="F534" s="639"/>
      <c r="G534" s="639">
        <f t="shared" si="49"/>
        <v>657</v>
      </c>
      <c r="H534" s="632">
        <v>612</v>
      </c>
      <c r="I534" s="632">
        <v>45</v>
      </c>
      <c r="J534" s="639">
        <v>69</v>
      </c>
      <c r="K534" s="639">
        <v>218</v>
      </c>
      <c r="L534" s="639">
        <v>353</v>
      </c>
      <c r="V534" s="326"/>
      <c r="W534" s="326"/>
      <c r="X534" s="326"/>
      <c r="Y534" s="326"/>
      <c r="Z534" s="326"/>
      <c r="AA534" s="326"/>
      <c r="AB534" s="326"/>
    </row>
    <row r="535" spans="1:28" s="263" customFormat="1" ht="9" customHeight="1" x14ac:dyDescent="0.25">
      <c r="A535" s="550" t="s">
        <v>35</v>
      </c>
      <c r="B535" s="638" t="s">
        <v>22</v>
      </c>
      <c r="C535" s="638" t="s">
        <v>22</v>
      </c>
      <c r="D535" s="639"/>
      <c r="E535" s="632">
        <f t="shared" si="48"/>
        <v>7523</v>
      </c>
      <c r="F535" s="639"/>
      <c r="G535" s="639">
        <f t="shared" si="49"/>
        <v>3878</v>
      </c>
      <c r="H535" s="632">
        <v>3541</v>
      </c>
      <c r="I535" s="632">
        <v>337</v>
      </c>
      <c r="J535" s="639">
        <v>310</v>
      </c>
      <c r="K535" s="639">
        <v>1622</v>
      </c>
      <c r="L535" s="639">
        <v>1713</v>
      </c>
      <c r="V535" s="326"/>
      <c r="W535" s="326"/>
      <c r="X535" s="326"/>
      <c r="Y535" s="326"/>
      <c r="Z535" s="326"/>
      <c r="AA535" s="326"/>
      <c r="AB535" s="326"/>
    </row>
    <row r="536" spans="1:28" s="263" customFormat="1" ht="9" customHeight="1" x14ac:dyDescent="0.25">
      <c r="A536" s="550" t="s">
        <v>36</v>
      </c>
      <c r="B536" s="638" t="s">
        <v>22</v>
      </c>
      <c r="C536" s="638" t="s">
        <v>22</v>
      </c>
      <c r="D536" s="639"/>
      <c r="E536" s="632">
        <f t="shared" si="48"/>
        <v>6951</v>
      </c>
      <c r="F536" s="639"/>
      <c r="G536" s="639">
        <f t="shared" si="49"/>
        <v>3708</v>
      </c>
      <c r="H536" s="632">
        <v>3428</v>
      </c>
      <c r="I536" s="632">
        <v>280</v>
      </c>
      <c r="J536" s="639">
        <v>464</v>
      </c>
      <c r="K536" s="639">
        <v>1458</v>
      </c>
      <c r="L536" s="639">
        <v>1321</v>
      </c>
      <c r="V536" s="326"/>
      <c r="W536" s="326"/>
      <c r="X536" s="326"/>
      <c r="Y536" s="326"/>
      <c r="Z536" s="326"/>
      <c r="AA536" s="326"/>
      <c r="AB536" s="326"/>
    </row>
    <row r="537" spans="1:28" s="263" customFormat="1" ht="9" customHeight="1" x14ac:dyDescent="0.25">
      <c r="A537" s="603" t="s">
        <v>37</v>
      </c>
      <c r="B537" s="640" t="s">
        <v>22</v>
      </c>
      <c r="C537" s="640" t="s">
        <v>22</v>
      </c>
      <c r="D537" s="641"/>
      <c r="E537" s="634">
        <f t="shared" si="48"/>
        <v>2874</v>
      </c>
      <c r="F537" s="641"/>
      <c r="G537" s="641">
        <f t="shared" si="49"/>
        <v>1717</v>
      </c>
      <c r="H537" s="634">
        <v>1679</v>
      </c>
      <c r="I537" s="634">
        <v>38</v>
      </c>
      <c r="J537" s="641">
        <v>102</v>
      </c>
      <c r="K537" s="641">
        <v>492</v>
      </c>
      <c r="L537" s="641">
        <v>563</v>
      </c>
      <c r="V537" s="326"/>
      <c r="W537" s="326"/>
      <c r="X537" s="326"/>
      <c r="Y537" s="326"/>
      <c r="Z537" s="326"/>
      <c r="AA537" s="326"/>
      <c r="AB537" s="326"/>
    </row>
    <row r="538" spans="1:28" s="263" customFormat="1" ht="9" customHeight="1" x14ac:dyDescent="0.25">
      <c r="A538" s="550" t="s">
        <v>38</v>
      </c>
      <c r="B538" s="638" t="s">
        <v>22</v>
      </c>
      <c r="C538" s="638" t="s">
        <v>22</v>
      </c>
      <c r="D538" s="639"/>
      <c r="E538" s="632">
        <f t="shared" si="48"/>
        <v>828</v>
      </c>
      <c r="F538" s="639"/>
      <c r="G538" s="639">
        <f t="shared" si="49"/>
        <v>445</v>
      </c>
      <c r="H538" s="632">
        <v>420</v>
      </c>
      <c r="I538" s="632">
        <v>25</v>
      </c>
      <c r="J538" s="639">
        <v>47</v>
      </c>
      <c r="K538" s="639">
        <v>175</v>
      </c>
      <c r="L538" s="639">
        <v>161</v>
      </c>
      <c r="V538" s="326"/>
      <c r="W538" s="326"/>
      <c r="X538" s="326"/>
      <c r="Y538" s="326"/>
      <c r="Z538" s="326"/>
      <c r="AA538" s="326"/>
      <c r="AB538" s="326"/>
    </row>
    <row r="539" spans="1:28" s="263" customFormat="1" ht="9" customHeight="1" x14ac:dyDescent="0.25">
      <c r="A539" s="550" t="s">
        <v>39</v>
      </c>
      <c r="B539" s="638" t="s">
        <v>22</v>
      </c>
      <c r="C539" s="638" t="s">
        <v>22</v>
      </c>
      <c r="D539" s="639"/>
      <c r="E539" s="632">
        <f t="shared" si="48"/>
        <v>263</v>
      </c>
      <c r="F539" s="639"/>
      <c r="G539" s="639">
        <f t="shared" si="49"/>
        <v>112</v>
      </c>
      <c r="H539" s="632">
        <v>104</v>
      </c>
      <c r="I539" s="632">
        <v>8</v>
      </c>
      <c r="J539" s="639">
        <v>5</v>
      </c>
      <c r="K539" s="639">
        <v>49</v>
      </c>
      <c r="L539" s="639">
        <v>97</v>
      </c>
      <c r="V539" s="326"/>
      <c r="W539" s="326"/>
      <c r="X539" s="326"/>
      <c r="Y539" s="326"/>
      <c r="Z539" s="326"/>
      <c r="AA539" s="326"/>
      <c r="AB539" s="326"/>
    </row>
    <row r="540" spans="1:28" s="263" customFormat="1" ht="9" customHeight="1" x14ac:dyDescent="0.25">
      <c r="A540" s="550" t="s">
        <v>40</v>
      </c>
      <c r="B540" s="638" t="s">
        <v>22</v>
      </c>
      <c r="C540" s="638" t="s">
        <v>22</v>
      </c>
      <c r="D540" s="639"/>
      <c r="E540" s="632">
        <f t="shared" si="48"/>
        <v>8000</v>
      </c>
      <c r="F540" s="639"/>
      <c r="G540" s="639">
        <f t="shared" si="49"/>
        <v>4235</v>
      </c>
      <c r="H540" s="632">
        <v>3688</v>
      </c>
      <c r="I540" s="632">
        <v>547</v>
      </c>
      <c r="J540" s="639">
        <v>714</v>
      </c>
      <c r="K540" s="639">
        <v>1543</v>
      </c>
      <c r="L540" s="639">
        <v>1508</v>
      </c>
      <c r="V540" s="326"/>
      <c r="W540" s="326"/>
      <c r="X540" s="326"/>
      <c r="Y540" s="326"/>
      <c r="Z540" s="326"/>
      <c r="AA540" s="326"/>
      <c r="AB540" s="326"/>
    </row>
    <row r="541" spans="1:28" s="263" customFormat="1" ht="9" customHeight="1" x14ac:dyDescent="0.25">
      <c r="A541" s="603" t="s">
        <v>41</v>
      </c>
      <c r="B541" s="640" t="s">
        <v>22</v>
      </c>
      <c r="C541" s="640" t="s">
        <v>22</v>
      </c>
      <c r="D541" s="641"/>
      <c r="E541" s="634">
        <f t="shared" si="48"/>
        <v>1138</v>
      </c>
      <c r="F541" s="641"/>
      <c r="G541" s="641">
        <f t="shared" si="49"/>
        <v>604</v>
      </c>
      <c r="H541" s="634">
        <v>575</v>
      </c>
      <c r="I541" s="634">
        <v>29</v>
      </c>
      <c r="J541" s="641">
        <v>47</v>
      </c>
      <c r="K541" s="641">
        <v>190</v>
      </c>
      <c r="L541" s="641">
        <v>297</v>
      </c>
      <c r="V541" s="326"/>
      <c r="W541" s="326"/>
      <c r="X541" s="326"/>
      <c r="Y541" s="326"/>
      <c r="Z541" s="326"/>
      <c r="AA541" s="326"/>
      <c r="AB541" s="326"/>
    </row>
    <row r="542" spans="1:28" s="263" customFormat="1" ht="9" customHeight="1" x14ac:dyDescent="0.25">
      <c r="A542" s="550" t="s">
        <v>42</v>
      </c>
      <c r="B542" s="638" t="s">
        <v>22</v>
      </c>
      <c r="C542" s="638" t="s">
        <v>22</v>
      </c>
      <c r="D542" s="639"/>
      <c r="E542" s="632">
        <f t="shared" si="48"/>
        <v>3591</v>
      </c>
      <c r="F542" s="639"/>
      <c r="G542" s="639">
        <f t="shared" si="49"/>
        <v>1968</v>
      </c>
      <c r="H542" s="632">
        <v>1847</v>
      </c>
      <c r="I542" s="632">
        <v>121</v>
      </c>
      <c r="J542" s="639">
        <v>112</v>
      </c>
      <c r="K542" s="639">
        <v>715</v>
      </c>
      <c r="L542" s="639">
        <v>796</v>
      </c>
      <c r="V542" s="326"/>
      <c r="W542" s="326"/>
      <c r="X542" s="326"/>
      <c r="Y542" s="326"/>
      <c r="Z542" s="326"/>
      <c r="AA542" s="326"/>
      <c r="AB542" s="326"/>
    </row>
    <row r="543" spans="1:28" s="263" customFormat="1" ht="9" customHeight="1" x14ac:dyDescent="0.25">
      <c r="A543" s="550" t="s">
        <v>43</v>
      </c>
      <c r="B543" s="638" t="s">
        <v>22</v>
      </c>
      <c r="C543" s="638" t="s">
        <v>22</v>
      </c>
      <c r="D543" s="639"/>
      <c r="E543" s="632">
        <f t="shared" si="48"/>
        <v>1223</v>
      </c>
      <c r="F543" s="639"/>
      <c r="G543" s="639">
        <f t="shared" si="49"/>
        <v>587</v>
      </c>
      <c r="H543" s="632">
        <v>573</v>
      </c>
      <c r="I543" s="632">
        <v>14</v>
      </c>
      <c r="J543" s="639">
        <v>67</v>
      </c>
      <c r="K543" s="639">
        <v>301</v>
      </c>
      <c r="L543" s="639">
        <v>268</v>
      </c>
      <c r="V543" s="326"/>
      <c r="W543" s="326"/>
      <c r="X543" s="326"/>
      <c r="Y543" s="326"/>
      <c r="Z543" s="326"/>
      <c r="AA543" s="326"/>
      <c r="AB543" s="326"/>
    </row>
    <row r="544" spans="1:28" s="263" customFormat="1" ht="9" customHeight="1" x14ac:dyDescent="0.25">
      <c r="A544" s="550" t="s">
        <v>44</v>
      </c>
      <c r="B544" s="638" t="s">
        <v>22</v>
      </c>
      <c r="C544" s="638" t="s">
        <v>22</v>
      </c>
      <c r="D544" s="639"/>
      <c r="E544" s="632">
        <f t="shared" si="48"/>
        <v>861</v>
      </c>
      <c r="F544" s="639"/>
      <c r="G544" s="639">
        <f t="shared" si="49"/>
        <v>344</v>
      </c>
      <c r="H544" s="632">
        <v>310</v>
      </c>
      <c r="I544" s="632">
        <v>34</v>
      </c>
      <c r="J544" s="639">
        <v>73</v>
      </c>
      <c r="K544" s="639">
        <v>280</v>
      </c>
      <c r="L544" s="639">
        <v>164</v>
      </c>
      <c r="V544" s="326"/>
      <c r="W544" s="326"/>
      <c r="X544" s="326"/>
      <c r="Y544" s="326"/>
      <c r="Z544" s="326"/>
      <c r="AA544" s="326"/>
      <c r="AB544" s="326"/>
    </row>
    <row r="545" spans="1:28" s="263" customFormat="1" ht="9" customHeight="1" x14ac:dyDescent="0.25">
      <c r="A545" s="603" t="s">
        <v>45</v>
      </c>
      <c r="B545" s="640" t="s">
        <v>22</v>
      </c>
      <c r="C545" s="640" t="s">
        <v>22</v>
      </c>
      <c r="D545" s="641"/>
      <c r="E545" s="634">
        <f t="shared" si="48"/>
        <v>2209</v>
      </c>
      <c r="F545" s="641"/>
      <c r="G545" s="641">
        <f t="shared" si="49"/>
        <v>1097</v>
      </c>
      <c r="H545" s="634">
        <v>980</v>
      </c>
      <c r="I545" s="634">
        <v>117</v>
      </c>
      <c r="J545" s="641">
        <v>135</v>
      </c>
      <c r="K545" s="641">
        <v>541</v>
      </c>
      <c r="L545" s="641">
        <v>436</v>
      </c>
      <c r="V545" s="326"/>
      <c r="W545" s="326"/>
      <c r="X545" s="326"/>
      <c r="Y545" s="326"/>
      <c r="Z545" s="326"/>
      <c r="AA545" s="326"/>
      <c r="AB545" s="326"/>
    </row>
    <row r="546" spans="1:28" s="263" customFormat="1" ht="9" customHeight="1" x14ac:dyDescent="0.25">
      <c r="A546" s="550" t="s">
        <v>46</v>
      </c>
      <c r="B546" s="638" t="s">
        <v>22</v>
      </c>
      <c r="C546" s="638" t="s">
        <v>22</v>
      </c>
      <c r="D546" s="639"/>
      <c r="E546" s="632">
        <f t="shared" si="48"/>
        <v>1548</v>
      </c>
      <c r="F546" s="639"/>
      <c r="G546" s="639">
        <f t="shared" si="49"/>
        <v>833</v>
      </c>
      <c r="H546" s="632">
        <v>771</v>
      </c>
      <c r="I546" s="632">
        <v>62</v>
      </c>
      <c r="J546" s="639">
        <v>58</v>
      </c>
      <c r="K546" s="639">
        <v>293</v>
      </c>
      <c r="L546" s="639">
        <v>364</v>
      </c>
      <c r="V546" s="326"/>
      <c r="W546" s="326"/>
      <c r="X546" s="326"/>
      <c r="Y546" s="326"/>
      <c r="Z546" s="326"/>
      <c r="AA546" s="326"/>
      <c r="AB546" s="326"/>
    </row>
    <row r="547" spans="1:28" s="263" customFormat="1" ht="9" customHeight="1" x14ac:dyDescent="0.25">
      <c r="A547" s="550" t="s">
        <v>47</v>
      </c>
      <c r="B547" s="638" t="s">
        <v>22</v>
      </c>
      <c r="C547" s="638" t="s">
        <v>22</v>
      </c>
      <c r="D547" s="639"/>
      <c r="E547" s="632">
        <f t="shared" si="48"/>
        <v>2007</v>
      </c>
      <c r="F547" s="639"/>
      <c r="G547" s="639">
        <f t="shared" si="49"/>
        <v>1083</v>
      </c>
      <c r="H547" s="632">
        <v>1036</v>
      </c>
      <c r="I547" s="632">
        <v>47</v>
      </c>
      <c r="J547" s="639">
        <v>70</v>
      </c>
      <c r="K547" s="639">
        <v>396</v>
      </c>
      <c r="L547" s="639">
        <v>458</v>
      </c>
      <c r="V547" s="326"/>
      <c r="W547" s="326"/>
      <c r="X547" s="326"/>
      <c r="Y547" s="326"/>
      <c r="Z547" s="326"/>
      <c r="AA547" s="326"/>
      <c r="AB547" s="326"/>
    </row>
    <row r="548" spans="1:28" s="263" customFormat="1" ht="9" customHeight="1" x14ac:dyDescent="0.25">
      <c r="A548" s="550" t="s">
        <v>48</v>
      </c>
      <c r="B548" s="638" t="s">
        <v>22</v>
      </c>
      <c r="C548" s="638" t="s">
        <v>22</v>
      </c>
      <c r="D548" s="639"/>
      <c r="E548" s="632">
        <f t="shared" si="48"/>
        <v>948</v>
      </c>
      <c r="F548" s="639"/>
      <c r="G548" s="639">
        <f t="shared" si="49"/>
        <v>528</v>
      </c>
      <c r="H548" s="632">
        <v>480</v>
      </c>
      <c r="I548" s="632">
        <v>48</v>
      </c>
      <c r="J548" s="639">
        <v>73</v>
      </c>
      <c r="K548" s="639">
        <v>168</v>
      </c>
      <c r="L548" s="639">
        <v>179</v>
      </c>
      <c r="V548" s="326"/>
      <c r="W548" s="326"/>
      <c r="X548" s="326"/>
      <c r="Y548" s="326"/>
      <c r="Z548" s="326"/>
      <c r="AA548" s="326"/>
      <c r="AB548" s="326"/>
    </row>
    <row r="549" spans="1:28" s="263" customFormat="1" ht="9" customHeight="1" x14ac:dyDescent="0.25">
      <c r="A549" s="603" t="s">
        <v>49</v>
      </c>
      <c r="B549" s="640" t="s">
        <v>22</v>
      </c>
      <c r="C549" s="640" t="s">
        <v>22</v>
      </c>
      <c r="D549" s="641"/>
      <c r="E549" s="634">
        <f t="shared" si="48"/>
        <v>2555</v>
      </c>
      <c r="F549" s="641"/>
      <c r="G549" s="641">
        <f t="shared" si="49"/>
        <v>1426</v>
      </c>
      <c r="H549" s="634">
        <v>1363</v>
      </c>
      <c r="I549" s="634">
        <v>63</v>
      </c>
      <c r="J549" s="641">
        <v>134</v>
      </c>
      <c r="K549" s="641">
        <v>500</v>
      </c>
      <c r="L549" s="641">
        <v>495</v>
      </c>
      <c r="V549" s="326"/>
      <c r="W549" s="326"/>
      <c r="X549" s="326"/>
      <c r="Y549" s="326"/>
      <c r="Z549" s="326"/>
      <c r="AA549" s="326"/>
      <c r="AB549" s="326"/>
    </row>
    <row r="550" spans="1:28" s="263" customFormat="1" ht="9" customHeight="1" x14ac:dyDescent="0.25">
      <c r="A550" s="550" t="s">
        <v>50</v>
      </c>
      <c r="B550" s="638" t="s">
        <v>22</v>
      </c>
      <c r="C550" s="638" t="s">
        <v>22</v>
      </c>
      <c r="D550" s="639"/>
      <c r="E550" s="632">
        <f t="shared" si="48"/>
        <v>382</v>
      </c>
      <c r="F550" s="639"/>
      <c r="G550" s="639">
        <f t="shared" si="49"/>
        <v>200</v>
      </c>
      <c r="H550" s="632">
        <v>198</v>
      </c>
      <c r="I550" s="632">
        <v>2</v>
      </c>
      <c r="J550" s="639">
        <v>11</v>
      </c>
      <c r="K550" s="639">
        <v>75</v>
      </c>
      <c r="L550" s="639">
        <v>96</v>
      </c>
      <c r="V550" s="326"/>
      <c r="W550" s="326"/>
      <c r="X550" s="326"/>
      <c r="Y550" s="326"/>
      <c r="Z550" s="326"/>
      <c r="AA550" s="326"/>
      <c r="AB550" s="326"/>
    </row>
    <row r="551" spans="1:28" s="263" customFormat="1" ht="9" customHeight="1" x14ac:dyDescent="0.25">
      <c r="A551" s="550" t="s">
        <v>51</v>
      </c>
      <c r="B551" s="638" t="s">
        <v>22</v>
      </c>
      <c r="C551" s="638" t="s">
        <v>22</v>
      </c>
      <c r="D551" s="639"/>
      <c r="E551" s="632">
        <f t="shared" si="48"/>
        <v>2407</v>
      </c>
      <c r="F551" s="639"/>
      <c r="G551" s="639">
        <f t="shared" si="49"/>
        <v>1247</v>
      </c>
      <c r="H551" s="632">
        <v>1203</v>
      </c>
      <c r="I551" s="632">
        <v>44</v>
      </c>
      <c r="J551" s="639">
        <v>118</v>
      </c>
      <c r="K551" s="639">
        <v>466</v>
      </c>
      <c r="L551" s="639">
        <v>576</v>
      </c>
      <c r="V551" s="326"/>
      <c r="W551" s="326"/>
      <c r="X551" s="326"/>
      <c r="Y551" s="326"/>
      <c r="Z551" s="326"/>
      <c r="AA551" s="326"/>
      <c r="AB551" s="326"/>
    </row>
    <row r="552" spans="1:28" s="263" customFormat="1" ht="9" customHeight="1" x14ac:dyDescent="0.25">
      <c r="A552" s="550" t="s">
        <v>52</v>
      </c>
      <c r="B552" s="638" t="s">
        <v>22</v>
      </c>
      <c r="C552" s="638" t="s">
        <v>22</v>
      </c>
      <c r="D552" s="639"/>
      <c r="E552" s="632">
        <f t="shared" si="48"/>
        <v>1660</v>
      </c>
      <c r="F552" s="639"/>
      <c r="G552" s="639">
        <f t="shared" si="49"/>
        <v>791</v>
      </c>
      <c r="H552" s="632">
        <v>775</v>
      </c>
      <c r="I552" s="632">
        <v>16</v>
      </c>
      <c r="J552" s="639">
        <v>14</v>
      </c>
      <c r="K552" s="639">
        <v>261</v>
      </c>
      <c r="L552" s="639">
        <v>594</v>
      </c>
      <c r="V552" s="326"/>
      <c r="W552" s="326"/>
      <c r="X552" s="326"/>
      <c r="Y552" s="326"/>
      <c r="Z552" s="326"/>
      <c r="AA552" s="326"/>
      <c r="AB552" s="326"/>
    </row>
    <row r="553" spans="1:28" s="263" customFormat="1" ht="9" customHeight="1" x14ac:dyDescent="0.25">
      <c r="A553" s="267" t="s">
        <v>53</v>
      </c>
      <c r="B553" s="599" t="s">
        <v>22</v>
      </c>
      <c r="C553" s="599" t="s">
        <v>22</v>
      </c>
      <c r="D553" s="328"/>
      <c r="E553" s="604">
        <f t="shared" si="48"/>
        <v>754</v>
      </c>
      <c r="F553" s="328"/>
      <c r="G553" s="328">
        <f t="shared" si="49"/>
        <v>352</v>
      </c>
      <c r="H553" s="604">
        <v>343</v>
      </c>
      <c r="I553" s="604">
        <v>9</v>
      </c>
      <c r="J553" s="328">
        <v>31</v>
      </c>
      <c r="K553" s="328">
        <v>119</v>
      </c>
      <c r="L553" s="328">
        <v>252</v>
      </c>
      <c r="V553" s="326"/>
      <c r="W553" s="326"/>
      <c r="X553" s="326"/>
      <c r="Y553" s="326"/>
      <c r="Z553" s="326"/>
      <c r="AA553" s="326"/>
      <c r="AB553" s="326"/>
    </row>
    <row r="554" spans="1:28" s="263" customFormat="1" ht="9" customHeight="1" x14ac:dyDescent="0.25">
      <c r="A554" s="286"/>
      <c r="B554" s="613"/>
      <c r="C554" s="613"/>
      <c r="D554" s="329"/>
      <c r="E554" s="605"/>
      <c r="F554" s="329"/>
      <c r="G554" s="329"/>
      <c r="H554" s="605"/>
      <c r="I554" s="605"/>
      <c r="J554" s="329"/>
      <c r="K554" s="329"/>
      <c r="L554" s="329"/>
      <c r="V554" s="326"/>
      <c r="W554" s="326"/>
      <c r="X554" s="326"/>
      <c r="Y554" s="326"/>
      <c r="Z554" s="326"/>
      <c r="AA554" s="326"/>
      <c r="AB554" s="326"/>
    </row>
    <row r="555" spans="1:28" s="263" customFormat="1" ht="9" customHeight="1" x14ac:dyDescent="0.25">
      <c r="A555" s="261">
        <v>2010</v>
      </c>
      <c r="B555" s="288"/>
      <c r="C555" s="262"/>
      <c r="D555" s="262"/>
      <c r="E555" s="262"/>
      <c r="F555" s="262"/>
      <c r="G555" s="262"/>
      <c r="H555" s="271"/>
      <c r="I555" s="262"/>
      <c r="J555" s="262"/>
      <c r="K555" s="262"/>
      <c r="L555" s="262"/>
      <c r="V555" s="326"/>
      <c r="W555" s="326"/>
      <c r="X555" s="326"/>
      <c r="Y555" s="326"/>
      <c r="Z555" s="326"/>
      <c r="AA555" s="326"/>
      <c r="AB555" s="326"/>
    </row>
    <row r="556" spans="1:28" s="263" customFormat="1" ht="9" customHeight="1" x14ac:dyDescent="0.25">
      <c r="A556" s="265" t="s">
        <v>21</v>
      </c>
      <c r="B556" s="325" t="s">
        <v>22</v>
      </c>
      <c r="C556" s="325" t="s">
        <v>22</v>
      </c>
      <c r="D556" s="325"/>
      <c r="E556" s="325">
        <f>SUM(E558:E589)</f>
        <v>84272</v>
      </c>
      <c r="F556" s="325"/>
      <c r="G556" s="325">
        <f t="shared" ref="G556:L556" si="50">SUM(G558:G589)</f>
        <v>42479</v>
      </c>
      <c r="H556" s="332">
        <f t="shared" si="50"/>
        <v>38634</v>
      </c>
      <c r="I556" s="325">
        <f t="shared" si="50"/>
        <v>3845</v>
      </c>
      <c r="J556" s="325">
        <f t="shared" si="50"/>
        <v>5598</v>
      </c>
      <c r="K556" s="325">
        <f t="shared" si="50"/>
        <v>18999</v>
      </c>
      <c r="L556" s="325">
        <f t="shared" si="50"/>
        <v>17196</v>
      </c>
      <c r="V556" s="326"/>
      <c r="W556" s="326"/>
      <c r="X556" s="326"/>
      <c r="Y556" s="326"/>
      <c r="Z556" s="326"/>
      <c r="AA556" s="326"/>
      <c r="AB556" s="326"/>
    </row>
    <row r="557" spans="1:28" s="263" customFormat="1" ht="3.95" customHeight="1" x14ac:dyDescent="0.25">
      <c r="A557" s="265"/>
      <c r="B557" s="325"/>
      <c r="C557" s="325"/>
      <c r="D557" s="325"/>
      <c r="E557" s="325"/>
      <c r="F557" s="325"/>
      <c r="G557" s="325"/>
      <c r="H557" s="325"/>
      <c r="I557" s="325"/>
      <c r="J557" s="325"/>
      <c r="K557" s="325"/>
      <c r="L557" s="325"/>
      <c r="V557" s="326"/>
      <c r="W557" s="326"/>
      <c r="X557" s="326"/>
      <c r="Y557" s="326"/>
      <c r="Z557" s="326"/>
      <c r="AA557" s="326"/>
      <c r="AB557" s="326"/>
    </row>
    <row r="558" spans="1:28" s="263" customFormat="1" ht="9" customHeight="1" x14ac:dyDescent="0.25">
      <c r="A558" s="550" t="s">
        <v>23</v>
      </c>
      <c r="B558" s="638" t="s">
        <v>22</v>
      </c>
      <c r="C558" s="638" t="s">
        <v>22</v>
      </c>
      <c r="D558" s="639"/>
      <c r="E558" s="632">
        <f>SUM(G558+J558+K558+L558)</f>
        <v>949</v>
      </c>
      <c r="F558" s="639"/>
      <c r="G558" s="639">
        <f>SUM(H558:I558)</f>
        <v>432</v>
      </c>
      <c r="H558" s="632">
        <v>405</v>
      </c>
      <c r="I558" s="632">
        <v>27</v>
      </c>
      <c r="J558" s="639">
        <v>105</v>
      </c>
      <c r="K558" s="639">
        <v>188</v>
      </c>
      <c r="L558" s="639">
        <v>224</v>
      </c>
      <c r="V558" s="326"/>
      <c r="W558" s="326"/>
      <c r="X558" s="326"/>
      <c r="Y558" s="326"/>
      <c r="Z558" s="326"/>
      <c r="AA558" s="326"/>
      <c r="AB558" s="326"/>
    </row>
    <row r="559" spans="1:28" s="263" customFormat="1" ht="9" customHeight="1" x14ac:dyDescent="0.25">
      <c r="A559" s="550" t="s">
        <v>24</v>
      </c>
      <c r="B559" s="638" t="s">
        <v>22</v>
      </c>
      <c r="C559" s="638" t="s">
        <v>22</v>
      </c>
      <c r="D559" s="639"/>
      <c r="E559" s="632">
        <f>SUM(G559+J559+K559+L559)</f>
        <v>2201</v>
      </c>
      <c r="F559" s="638"/>
      <c r="G559" s="639">
        <f>SUM(H559:I559)</f>
        <v>1018</v>
      </c>
      <c r="H559" s="638">
        <v>1001</v>
      </c>
      <c r="I559" s="638">
        <v>17</v>
      </c>
      <c r="J559" s="638">
        <v>68</v>
      </c>
      <c r="K559" s="638">
        <v>596</v>
      </c>
      <c r="L559" s="638">
        <v>519</v>
      </c>
      <c r="V559" s="326"/>
      <c r="W559" s="326"/>
      <c r="X559" s="326"/>
      <c r="Y559" s="326"/>
      <c r="Z559" s="326"/>
      <c r="AA559" s="326"/>
      <c r="AB559" s="326"/>
    </row>
    <row r="560" spans="1:28" s="263" customFormat="1" ht="9" customHeight="1" x14ac:dyDescent="0.25">
      <c r="A560" s="550" t="s">
        <v>25</v>
      </c>
      <c r="B560" s="638" t="s">
        <v>22</v>
      </c>
      <c r="C560" s="638" t="s">
        <v>22</v>
      </c>
      <c r="D560" s="639"/>
      <c r="E560" s="632">
        <f t="shared" ref="E560:E589" si="51">SUM(G560+J560+K560+L560)</f>
        <v>308</v>
      </c>
      <c r="F560" s="639"/>
      <c r="G560" s="639">
        <f t="shared" ref="G560:G589" si="52">SUM(H560:I560)</f>
        <v>131</v>
      </c>
      <c r="H560" s="632">
        <v>129</v>
      </c>
      <c r="I560" s="632">
        <v>2</v>
      </c>
      <c r="J560" s="639">
        <v>41</v>
      </c>
      <c r="K560" s="639">
        <v>68</v>
      </c>
      <c r="L560" s="639">
        <v>68</v>
      </c>
      <c r="V560" s="326"/>
      <c r="W560" s="326"/>
      <c r="X560" s="326"/>
      <c r="Y560" s="326"/>
      <c r="Z560" s="326"/>
      <c r="AA560" s="326"/>
      <c r="AB560" s="326"/>
    </row>
    <row r="561" spans="1:28" s="263" customFormat="1" ht="9" customHeight="1" x14ac:dyDescent="0.25">
      <c r="A561" s="603" t="s">
        <v>26</v>
      </c>
      <c r="B561" s="640" t="s">
        <v>22</v>
      </c>
      <c r="C561" s="640" t="s">
        <v>22</v>
      </c>
      <c r="D561" s="641"/>
      <c r="E561" s="634">
        <f t="shared" si="51"/>
        <v>222</v>
      </c>
      <c r="F561" s="641"/>
      <c r="G561" s="641">
        <f t="shared" si="52"/>
        <v>127</v>
      </c>
      <c r="H561" s="634">
        <v>102</v>
      </c>
      <c r="I561" s="634">
        <v>25</v>
      </c>
      <c r="J561" s="641">
        <v>10</v>
      </c>
      <c r="K561" s="641">
        <v>48</v>
      </c>
      <c r="L561" s="641">
        <v>37</v>
      </c>
      <c r="V561" s="326"/>
      <c r="W561" s="326"/>
      <c r="X561" s="326"/>
      <c r="Y561" s="326"/>
      <c r="Z561" s="326"/>
      <c r="AA561" s="326"/>
      <c r="AB561" s="326"/>
    </row>
    <row r="562" spans="1:28" s="263" customFormat="1" ht="9" customHeight="1" x14ac:dyDescent="0.25">
      <c r="A562" s="550" t="s">
        <v>27</v>
      </c>
      <c r="B562" s="638" t="s">
        <v>22</v>
      </c>
      <c r="C562" s="638" t="s">
        <v>22</v>
      </c>
      <c r="D562" s="639"/>
      <c r="E562" s="632">
        <f t="shared" si="51"/>
        <v>2101</v>
      </c>
      <c r="F562" s="639"/>
      <c r="G562" s="639">
        <f t="shared" si="52"/>
        <v>853</v>
      </c>
      <c r="H562" s="632">
        <v>822</v>
      </c>
      <c r="I562" s="632">
        <v>31</v>
      </c>
      <c r="J562" s="639">
        <v>75</v>
      </c>
      <c r="K562" s="639">
        <v>599</v>
      </c>
      <c r="L562" s="639">
        <v>574</v>
      </c>
      <c r="V562" s="326"/>
      <c r="W562" s="326"/>
      <c r="X562" s="326"/>
      <c r="Y562" s="326"/>
      <c r="Z562" s="326"/>
      <c r="AA562" s="326"/>
      <c r="AB562" s="326"/>
    </row>
    <row r="563" spans="1:28" s="263" customFormat="1" ht="9" customHeight="1" x14ac:dyDescent="0.25">
      <c r="A563" s="550" t="s">
        <v>28</v>
      </c>
      <c r="B563" s="638" t="s">
        <v>22</v>
      </c>
      <c r="C563" s="638" t="s">
        <v>22</v>
      </c>
      <c r="D563" s="639"/>
      <c r="E563" s="632">
        <f t="shared" si="51"/>
        <v>326</v>
      </c>
      <c r="F563" s="639"/>
      <c r="G563" s="639">
        <f t="shared" si="52"/>
        <v>157</v>
      </c>
      <c r="H563" s="632">
        <v>142</v>
      </c>
      <c r="I563" s="632">
        <v>15</v>
      </c>
      <c r="J563" s="639">
        <v>23</v>
      </c>
      <c r="K563" s="639">
        <v>48</v>
      </c>
      <c r="L563" s="639">
        <v>98</v>
      </c>
      <c r="V563" s="326"/>
      <c r="W563" s="326"/>
      <c r="X563" s="326"/>
      <c r="Y563" s="326"/>
      <c r="Z563" s="326"/>
      <c r="AA563" s="326"/>
      <c r="AB563" s="326"/>
    </row>
    <row r="564" spans="1:28" s="263" customFormat="1" ht="9" customHeight="1" x14ac:dyDescent="0.25">
      <c r="A564" s="550" t="s">
        <v>29</v>
      </c>
      <c r="B564" s="638" t="s">
        <v>22</v>
      </c>
      <c r="C564" s="638" t="s">
        <v>22</v>
      </c>
      <c r="D564" s="639"/>
      <c r="E564" s="632">
        <f t="shared" si="51"/>
        <v>970</v>
      </c>
      <c r="F564" s="639"/>
      <c r="G564" s="639">
        <f t="shared" si="52"/>
        <v>544</v>
      </c>
      <c r="H564" s="632">
        <v>513</v>
      </c>
      <c r="I564" s="632">
        <v>31</v>
      </c>
      <c r="J564" s="639">
        <v>39</v>
      </c>
      <c r="K564" s="639">
        <v>128</v>
      </c>
      <c r="L564" s="639">
        <v>259</v>
      </c>
      <c r="V564" s="326"/>
      <c r="W564" s="326"/>
      <c r="X564" s="326"/>
      <c r="Y564" s="326"/>
      <c r="Z564" s="326"/>
      <c r="AA564" s="326"/>
      <c r="AB564" s="326"/>
    </row>
    <row r="565" spans="1:28" s="263" customFormat="1" ht="9" customHeight="1" x14ac:dyDescent="0.25">
      <c r="A565" s="603" t="s">
        <v>30</v>
      </c>
      <c r="B565" s="640" t="s">
        <v>22</v>
      </c>
      <c r="C565" s="640" t="s">
        <v>22</v>
      </c>
      <c r="D565" s="641"/>
      <c r="E565" s="634">
        <f t="shared" si="51"/>
        <v>3822</v>
      </c>
      <c r="F565" s="641"/>
      <c r="G565" s="641">
        <f t="shared" si="52"/>
        <v>2092</v>
      </c>
      <c r="H565" s="634">
        <v>1902</v>
      </c>
      <c r="I565" s="634">
        <v>190</v>
      </c>
      <c r="J565" s="641">
        <v>317</v>
      </c>
      <c r="K565" s="641">
        <v>691</v>
      </c>
      <c r="L565" s="641">
        <v>722</v>
      </c>
      <c r="V565" s="326"/>
      <c r="W565" s="326"/>
      <c r="X565" s="326"/>
      <c r="Y565" s="326"/>
      <c r="Z565" s="326"/>
      <c r="AA565" s="326"/>
      <c r="AB565" s="326"/>
    </row>
    <row r="566" spans="1:28" s="263" customFormat="1" ht="9" customHeight="1" x14ac:dyDescent="0.25">
      <c r="A566" s="550" t="s">
        <v>63</v>
      </c>
      <c r="B566" s="638" t="s">
        <v>22</v>
      </c>
      <c r="C566" s="638" t="s">
        <v>22</v>
      </c>
      <c r="D566" s="639"/>
      <c r="E566" s="632">
        <f t="shared" si="51"/>
        <v>17485</v>
      </c>
      <c r="F566" s="639"/>
      <c r="G566" s="639">
        <f t="shared" si="52"/>
        <v>8294</v>
      </c>
      <c r="H566" s="632">
        <v>7061</v>
      </c>
      <c r="I566" s="632">
        <v>1233</v>
      </c>
      <c r="J566" s="639">
        <v>1640</v>
      </c>
      <c r="K566" s="639">
        <v>4435</v>
      </c>
      <c r="L566" s="639">
        <v>3116</v>
      </c>
      <c r="V566" s="326"/>
      <c r="W566" s="326"/>
      <c r="X566" s="326"/>
      <c r="Y566" s="326"/>
      <c r="Z566" s="326"/>
      <c r="AA566" s="326"/>
      <c r="AB566" s="326"/>
    </row>
    <row r="567" spans="1:28" s="263" customFormat="1" ht="9" customHeight="1" x14ac:dyDescent="0.25">
      <c r="A567" s="550" t="s">
        <v>31</v>
      </c>
      <c r="B567" s="638" t="s">
        <v>22</v>
      </c>
      <c r="C567" s="638" t="s">
        <v>22</v>
      </c>
      <c r="D567" s="639"/>
      <c r="E567" s="632">
        <f t="shared" si="51"/>
        <v>505</v>
      </c>
      <c r="F567" s="639"/>
      <c r="G567" s="639">
        <f t="shared" si="52"/>
        <v>326</v>
      </c>
      <c r="H567" s="632">
        <v>312</v>
      </c>
      <c r="I567" s="632">
        <v>14</v>
      </c>
      <c r="J567" s="550">
        <v>17</v>
      </c>
      <c r="K567" s="550">
        <v>80</v>
      </c>
      <c r="L567" s="639">
        <v>82</v>
      </c>
      <c r="V567" s="326"/>
      <c r="W567" s="326"/>
      <c r="X567" s="326"/>
      <c r="Y567" s="326"/>
      <c r="Z567" s="326"/>
      <c r="AA567" s="326"/>
      <c r="AB567" s="326"/>
    </row>
    <row r="568" spans="1:28" s="263" customFormat="1" ht="9" customHeight="1" x14ac:dyDescent="0.25">
      <c r="A568" s="550" t="s">
        <v>32</v>
      </c>
      <c r="B568" s="638" t="s">
        <v>22</v>
      </c>
      <c r="C568" s="638" t="s">
        <v>22</v>
      </c>
      <c r="D568" s="639"/>
      <c r="E568" s="632">
        <f t="shared" si="51"/>
        <v>4158</v>
      </c>
      <c r="F568" s="639"/>
      <c r="G568" s="639">
        <f t="shared" si="52"/>
        <v>2171</v>
      </c>
      <c r="H568" s="632">
        <v>1960</v>
      </c>
      <c r="I568" s="632">
        <v>211</v>
      </c>
      <c r="J568" s="639">
        <v>276</v>
      </c>
      <c r="K568" s="639">
        <v>859</v>
      </c>
      <c r="L568" s="639">
        <v>852</v>
      </c>
      <c r="V568" s="326"/>
      <c r="W568" s="326"/>
      <c r="X568" s="326"/>
      <c r="Y568" s="326"/>
      <c r="Z568" s="326"/>
      <c r="AA568" s="326"/>
      <c r="AB568" s="326"/>
    </row>
    <row r="569" spans="1:28" s="263" customFormat="1" ht="9" customHeight="1" x14ac:dyDescent="0.25">
      <c r="A569" s="603" t="s">
        <v>33</v>
      </c>
      <c r="B569" s="640" t="s">
        <v>22</v>
      </c>
      <c r="C569" s="640" t="s">
        <v>22</v>
      </c>
      <c r="D569" s="641"/>
      <c r="E569" s="634">
        <f t="shared" si="51"/>
        <v>1041</v>
      </c>
      <c r="F569" s="641"/>
      <c r="G569" s="641">
        <f t="shared" si="52"/>
        <v>561</v>
      </c>
      <c r="H569" s="634">
        <v>540</v>
      </c>
      <c r="I569" s="634">
        <v>21</v>
      </c>
      <c r="J569" s="641">
        <v>127</v>
      </c>
      <c r="K569" s="641">
        <v>201</v>
      </c>
      <c r="L569" s="641">
        <v>152</v>
      </c>
      <c r="V569" s="326"/>
      <c r="W569" s="326"/>
      <c r="X569" s="326"/>
      <c r="Y569" s="326"/>
      <c r="Z569" s="326"/>
      <c r="AA569" s="326"/>
      <c r="AB569" s="326"/>
    </row>
    <row r="570" spans="1:28" s="263" customFormat="1" ht="9" customHeight="1" x14ac:dyDescent="0.25">
      <c r="A570" s="550" t="s">
        <v>34</v>
      </c>
      <c r="B570" s="638" t="s">
        <v>22</v>
      </c>
      <c r="C570" s="638" t="s">
        <v>22</v>
      </c>
      <c r="D570" s="639"/>
      <c r="E570" s="632">
        <f t="shared" si="51"/>
        <v>1404</v>
      </c>
      <c r="F570" s="639"/>
      <c r="G570" s="639">
        <f t="shared" si="52"/>
        <v>730</v>
      </c>
      <c r="H570" s="632">
        <v>678</v>
      </c>
      <c r="I570" s="632">
        <v>52</v>
      </c>
      <c r="J570" s="639">
        <v>72</v>
      </c>
      <c r="K570" s="639">
        <v>249</v>
      </c>
      <c r="L570" s="639">
        <v>353</v>
      </c>
      <c r="V570" s="326"/>
      <c r="W570" s="326"/>
      <c r="X570" s="326"/>
      <c r="Y570" s="326"/>
      <c r="Z570" s="326"/>
      <c r="AA570" s="326"/>
      <c r="AB570" s="326"/>
    </row>
    <row r="571" spans="1:28" s="263" customFormat="1" ht="9" customHeight="1" x14ac:dyDescent="0.25">
      <c r="A571" s="550" t="s">
        <v>35</v>
      </c>
      <c r="B571" s="638" t="s">
        <v>22</v>
      </c>
      <c r="C571" s="638" t="s">
        <v>22</v>
      </c>
      <c r="D571" s="639"/>
      <c r="E571" s="632">
        <f t="shared" si="51"/>
        <v>7835</v>
      </c>
      <c r="F571" s="639"/>
      <c r="G571" s="639">
        <f t="shared" si="52"/>
        <v>4077</v>
      </c>
      <c r="H571" s="632">
        <v>3693</v>
      </c>
      <c r="I571" s="632">
        <v>384</v>
      </c>
      <c r="J571" s="639">
        <v>370</v>
      </c>
      <c r="K571" s="639">
        <v>1631</v>
      </c>
      <c r="L571" s="639">
        <v>1757</v>
      </c>
      <c r="V571" s="326"/>
      <c r="W571" s="326"/>
      <c r="X571" s="326"/>
      <c r="Y571" s="326"/>
      <c r="Z571" s="326"/>
      <c r="AA571" s="326"/>
      <c r="AB571" s="326"/>
    </row>
    <row r="572" spans="1:28" s="263" customFormat="1" ht="9" customHeight="1" x14ac:dyDescent="0.25">
      <c r="A572" s="550" t="s">
        <v>36</v>
      </c>
      <c r="B572" s="638" t="s">
        <v>22</v>
      </c>
      <c r="C572" s="638" t="s">
        <v>22</v>
      </c>
      <c r="D572" s="639"/>
      <c r="E572" s="632">
        <f t="shared" si="51"/>
        <v>7155</v>
      </c>
      <c r="F572" s="639"/>
      <c r="G572" s="639">
        <f t="shared" si="52"/>
        <v>3739</v>
      </c>
      <c r="H572" s="632">
        <v>3433</v>
      </c>
      <c r="I572" s="632">
        <v>306</v>
      </c>
      <c r="J572" s="639">
        <v>502</v>
      </c>
      <c r="K572" s="639">
        <v>1529</v>
      </c>
      <c r="L572" s="639">
        <v>1385</v>
      </c>
      <c r="V572" s="326"/>
      <c r="W572" s="326"/>
      <c r="X572" s="326"/>
      <c r="Y572" s="326"/>
      <c r="Z572" s="326"/>
      <c r="AA572" s="326"/>
      <c r="AB572" s="326"/>
    </row>
    <row r="573" spans="1:28" s="263" customFormat="1" ht="9" customHeight="1" x14ac:dyDescent="0.25">
      <c r="A573" s="603" t="s">
        <v>37</v>
      </c>
      <c r="B573" s="640" t="s">
        <v>22</v>
      </c>
      <c r="C573" s="640" t="s">
        <v>22</v>
      </c>
      <c r="D573" s="641"/>
      <c r="E573" s="634">
        <f t="shared" si="51"/>
        <v>2996</v>
      </c>
      <c r="F573" s="641"/>
      <c r="G573" s="641">
        <f t="shared" si="52"/>
        <v>1675</v>
      </c>
      <c r="H573" s="634">
        <v>1631</v>
      </c>
      <c r="I573" s="634">
        <v>44</v>
      </c>
      <c r="J573" s="641">
        <v>186</v>
      </c>
      <c r="K573" s="641">
        <v>531</v>
      </c>
      <c r="L573" s="641">
        <v>604</v>
      </c>
      <c r="V573" s="326"/>
      <c r="W573" s="326"/>
      <c r="X573" s="326"/>
      <c r="Y573" s="326"/>
      <c r="Z573" s="326"/>
      <c r="AA573" s="326"/>
      <c r="AB573" s="326"/>
    </row>
    <row r="574" spans="1:28" s="263" customFormat="1" ht="9" customHeight="1" x14ac:dyDescent="0.25">
      <c r="A574" s="550" t="s">
        <v>38</v>
      </c>
      <c r="B574" s="638" t="s">
        <v>22</v>
      </c>
      <c r="C574" s="638" t="s">
        <v>22</v>
      </c>
      <c r="D574" s="639"/>
      <c r="E574" s="632">
        <f t="shared" si="51"/>
        <v>819</v>
      </c>
      <c r="F574" s="639"/>
      <c r="G574" s="639">
        <f t="shared" si="52"/>
        <v>438</v>
      </c>
      <c r="H574" s="632">
        <v>411</v>
      </c>
      <c r="I574" s="632">
        <v>27</v>
      </c>
      <c r="J574" s="639">
        <v>43</v>
      </c>
      <c r="K574" s="639">
        <v>171</v>
      </c>
      <c r="L574" s="639">
        <v>167</v>
      </c>
      <c r="V574" s="326"/>
      <c r="W574" s="326"/>
      <c r="X574" s="326"/>
      <c r="Y574" s="326"/>
      <c r="Z574" s="326"/>
      <c r="AA574" s="326"/>
      <c r="AB574" s="326"/>
    </row>
    <row r="575" spans="1:28" s="263" customFormat="1" ht="9" customHeight="1" x14ac:dyDescent="0.25">
      <c r="A575" s="550" t="s">
        <v>39</v>
      </c>
      <c r="B575" s="638" t="s">
        <v>22</v>
      </c>
      <c r="C575" s="638" t="s">
        <v>22</v>
      </c>
      <c r="D575" s="639"/>
      <c r="E575" s="632">
        <f t="shared" si="51"/>
        <v>290</v>
      </c>
      <c r="F575" s="639"/>
      <c r="G575" s="639">
        <f t="shared" si="52"/>
        <v>119</v>
      </c>
      <c r="H575" s="632">
        <v>110</v>
      </c>
      <c r="I575" s="632">
        <v>9</v>
      </c>
      <c r="J575" s="639">
        <v>12</v>
      </c>
      <c r="K575" s="639">
        <v>56</v>
      </c>
      <c r="L575" s="639">
        <v>103</v>
      </c>
      <c r="V575" s="326"/>
      <c r="W575" s="326"/>
      <c r="X575" s="326"/>
      <c r="Y575" s="326"/>
      <c r="Z575" s="326"/>
      <c r="AA575" s="326"/>
      <c r="AB575" s="326"/>
    </row>
    <row r="576" spans="1:28" s="263" customFormat="1" ht="9" customHeight="1" x14ac:dyDescent="0.25">
      <c r="A576" s="550" t="s">
        <v>40</v>
      </c>
      <c r="B576" s="638" t="s">
        <v>22</v>
      </c>
      <c r="C576" s="638" t="s">
        <v>22</v>
      </c>
      <c r="D576" s="639"/>
      <c r="E576" s="632">
        <f t="shared" si="51"/>
        <v>8090</v>
      </c>
      <c r="F576" s="639"/>
      <c r="G576" s="639">
        <f t="shared" si="52"/>
        <v>4077</v>
      </c>
      <c r="H576" s="632">
        <v>3590</v>
      </c>
      <c r="I576" s="632">
        <v>487</v>
      </c>
      <c r="J576" s="639">
        <v>556</v>
      </c>
      <c r="K576" s="639">
        <v>2382</v>
      </c>
      <c r="L576" s="639">
        <v>1075</v>
      </c>
      <c r="V576" s="326"/>
      <c r="W576" s="326"/>
      <c r="X576" s="326"/>
      <c r="Y576" s="326"/>
      <c r="Z576" s="326"/>
      <c r="AA576" s="326"/>
      <c r="AB576" s="326"/>
    </row>
    <row r="577" spans="1:28" s="263" customFormat="1" ht="9" customHeight="1" x14ac:dyDescent="0.25">
      <c r="A577" s="603" t="s">
        <v>41</v>
      </c>
      <c r="B577" s="640" t="s">
        <v>22</v>
      </c>
      <c r="C577" s="640" t="s">
        <v>22</v>
      </c>
      <c r="D577" s="641"/>
      <c r="E577" s="634">
        <f t="shared" si="51"/>
        <v>1136</v>
      </c>
      <c r="F577" s="641"/>
      <c r="G577" s="641">
        <f t="shared" si="52"/>
        <v>585</v>
      </c>
      <c r="H577" s="634">
        <v>563</v>
      </c>
      <c r="I577" s="634">
        <v>22</v>
      </c>
      <c r="J577" s="641">
        <v>58</v>
      </c>
      <c r="K577" s="641">
        <v>199</v>
      </c>
      <c r="L577" s="641">
        <v>294</v>
      </c>
      <c r="V577" s="326"/>
      <c r="W577" s="326"/>
      <c r="X577" s="326"/>
      <c r="Y577" s="326"/>
      <c r="Z577" s="326"/>
      <c r="AA577" s="326"/>
      <c r="AB577" s="326"/>
    </row>
    <row r="578" spans="1:28" s="263" customFormat="1" ht="9" customHeight="1" x14ac:dyDescent="0.25">
      <c r="A578" s="550" t="s">
        <v>42</v>
      </c>
      <c r="B578" s="638" t="s">
        <v>22</v>
      </c>
      <c r="C578" s="638" t="s">
        <v>22</v>
      </c>
      <c r="D578" s="639"/>
      <c r="E578" s="632">
        <f t="shared" si="51"/>
        <v>3415</v>
      </c>
      <c r="F578" s="639"/>
      <c r="G578" s="639">
        <f t="shared" si="52"/>
        <v>1819</v>
      </c>
      <c r="H578" s="632">
        <v>1679</v>
      </c>
      <c r="I578" s="632">
        <v>140</v>
      </c>
      <c r="J578" s="639">
        <v>187</v>
      </c>
      <c r="K578" s="639">
        <v>723</v>
      </c>
      <c r="L578" s="639">
        <v>686</v>
      </c>
      <c r="V578" s="326"/>
      <c r="W578" s="326"/>
      <c r="X578" s="326"/>
      <c r="Y578" s="326"/>
      <c r="Z578" s="326"/>
      <c r="AA578" s="326"/>
      <c r="AB578" s="326"/>
    </row>
    <row r="579" spans="1:28" s="263" customFormat="1" ht="9" customHeight="1" x14ac:dyDescent="0.25">
      <c r="A579" s="550" t="s">
        <v>43</v>
      </c>
      <c r="B579" s="638" t="s">
        <v>22</v>
      </c>
      <c r="C579" s="638" t="s">
        <v>22</v>
      </c>
      <c r="D579" s="639"/>
      <c r="E579" s="632">
        <f t="shared" si="51"/>
        <v>1674</v>
      </c>
      <c r="F579" s="639"/>
      <c r="G579" s="639">
        <f t="shared" si="52"/>
        <v>807</v>
      </c>
      <c r="H579" s="632">
        <v>741</v>
      </c>
      <c r="I579" s="632">
        <v>66</v>
      </c>
      <c r="J579" s="639">
        <v>108</v>
      </c>
      <c r="K579" s="639">
        <v>398</v>
      </c>
      <c r="L579" s="639">
        <v>361</v>
      </c>
      <c r="V579" s="326"/>
      <c r="W579" s="326"/>
      <c r="X579" s="326"/>
      <c r="Y579" s="326"/>
      <c r="Z579" s="326"/>
      <c r="AA579" s="326"/>
      <c r="AB579" s="326"/>
    </row>
    <row r="580" spans="1:28" s="263" customFormat="1" ht="9" customHeight="1" x14ac:dyDescent="0.25">
      <c r="A580" s="550" t="s">
        <v>44</v>
      </c>
      <c r="B580" s="638" t="s">
        <v>22</v>
      </c>
      <c r="C580" s="638" t="s">
        <v>22</v>
      </c>
      <c r="D580" s="639"/>
      <c r="E580" s="632">
        <f t="shared" si="51"/>
        <v>948</v>
      </c>
      <c r="F580" s="639"/>
      <c r="G580" s="639">
        <f t="shared" si="52"/>
        <v>384</v>
      </c>
      <c r="H580" s="632">
        <v>312</v>
      </c>
      <c r="I580" s="632">
        <v>72</v>
      </c>
      <c r="J580" s="639">
        <v>131</v>
      </c>
      <c r="K580" s="639">
        <v>247</v>
      </c>
      <c r="L580" s="639">
        <v>186</v>
      </c>
      <c r="V580" s="326"/>
      <c r="W580" s="326"/>
      <c r="X580" s="326"/>
      <c r="Y580" s="326"/>
      <c r="Z580" s="326"/>
      <c r="AA580" s="326"/>
      <c r="AB580" s="326"/>
    </row>
    <row r="581" spans="1:28" s="263" customFormat="1" ht="9" customHeight="1" x14ac:dyDescent="0.25">
      <c r="A581" s="603" t="s">
        <v>45</v>
      </c>
      <c r="B581" s="640" t="s">
        <v>22</v>
      </c>
      <c r="C581" s="640" t="s">
        <v>22</v>
      </c>
      <c r="D581" s="641"/>
      <c r="E581" s="634">
        <f t="shared" si="51"/>
        <v>2331</v>
      </c>
      <c r="F581" s="641"/>
      <c r="G581" s="641">
        <f t="shared" si="52"/>
        <v>1078</v>
      </c>
      <c r="H581" s="634">
        <v>949</v>
      </c>
      <c r="I581" s="634">
        <v>129</v>
      </c>
      <c r="J581" s="641">
        <v>106</v>
      </c>
      <c r="K581" s="641">
        <v>611</v>
      </c>
      <c r="L581" s="641">
        <v>536</v>
      </c>
      <c r="V581" s="326"/>
      <c r="W581" s="326"/>
      <c r="X581" s="326"/>
      <c r="Y581" s="326"/>
      <c r="Z581" s="326"/>
      <c r="AA581" s="326"/>
      <c r="AB581" s="326"/>
    </row>
    <row r="582" spans="1:28" s="263" customFormat="1" ht="9" customHeight="1" x14ac:dyDescent="0.25">
      <c r="A582" s="550" t="s">
        <v>46</v>
      </c>
      <c r="B582" s="638" t="s">
        <v>22</v>
      </c>
      <c r="C582" s="638" t="s">
        <v>22</v>
      </c>
      <c r="D582" s="639"/>
      <c r="E582" s="632">
        <f t="shared" si="51"/>
        <v>1500</v>
      </c>
      <c r="F582" s="639"/>
      <c r="G582" s="639">
        <f t="shared" si="52"/>
        <v>835</v>
      </c>
      <c r="H582" s="632">
        <v>779</v>
      </c>
      <c r="I582" s="632">
        <v>56</v>
      </c>
      <c r="J582" s="639">
        <v>81</v>
      </c>
      <c r="K582" s="639">
        <v>283</v>
      </c>
      <c r="L582" s="639">
        <v>301</v>
      </c>
      <c r="V582" s="326"/>
      <c r="W582" s="326"/>
      <c r="X582" s="326"/>
      <c r="Y582" s="326"/>
      <c r="Z582" s="326"/>
      <c r="AA582" s="326"/>
      <c r="AB582" s="326"/>
    </row>
    <row r="583" spans="1:28" s="263" customFormat="1" ht="9" customHeight="1" x14ac:dyDescent="0.25">
      <c r="A583" s="550" t="s">
        <v>47</v>
      </c>
      <c r="B583" s="638" t="s">
        <v>22</v>
      </c>
      <c r="C583" s="638" t="s">
        <v>22</v>
      </c>
      <c r="D583" s="639"/>
      <c r="E583" s="632">
        <f t="shared" si="51"/>
        <v>2036</v>
      </c>
      <c r="F583" s="639"/>
      <c r="G583" s="639">
        <f t="shared" si="52"/>
        <v>1049</v>
      </c>
      <c r="H583" s="632">
        <v>1016</v>
      </c>
      <c r="I583" s="632">
        <v>33</v>
      </c>
      <c r="J583" s="639">
        <v>90</v>
      </c>
      <c r="K583" s="639">
        <v>445</v>
      </c>
      <c r="L583" s="639">
        <v>452</v>
      </c>
      <c r="V583" s="326"/>
      <c r="W583" s="326"/>
      <c r="X583" s="326"/>
      <c r="Y583" s="326"/>
      <c r="Z583" s="326"/>
      <c r="AA583" s="326"/>
      <c r="AB583" s="326"/>
    </row>
    <row r="584" spans="1:28" s="263" customFormat="1" ht="9" customHeight="1" x14ac:dyDescent="0.25">
      <c r="A584" s="550" t="s">
        <v>48</v>
      </c>
      <c r="B584" s="638" t="s">
        <v>22</v>
      </c>
      <c r="C584" s="638" t="s">
        <v>22</v>
      </c>
      <c r="D584" s="639"/>
      <c r="E584" s="632">
        <f t="shared" si="51"/>
        <v>927</v>
      </c>
      <c r="F584" s="639"/>
      <c r="G584" s="639">
        <f t="shared" si="52"/>
        <v>498</v>
      </c>
      <c r="H584" s="632">
        <v>435</v>
      </c>
      <c r="I584" s="632">
        <v>63</v>
      </c>
      <c r="J584" s="639">
        <v>77</v>
      </c>
      <c r="K584" s="639">
        <v>182</v>
      </c>
      <c r="L584" s="639">
        <v>170</v>
      </c>
      <c r="V584" s="326"/>
      <c r="W584" s="326"/>
      <c r="X584" s="326"/>
      <c r="Y584" s="326"/>
      <c r="Z584" s="326"/>
      <c r="AA584" s="326"/>
      <c r="AB584" s="326"/>
    </row>
    <row r="585" spans="1:28" s="263" customFormat="1" ht="9" customHeight="1" x14ac:dyDescent="0.25">
      <c r="A585" s="603" t="s">
        <v>49</v>
      </c>
      <c r="B585" s="640" t="s">
        <v>22</v>
      </c>
      <c r="C585" s="640" t="s">
        <v>22</v>
      </c>
      <c r="D585" s="641"/>
      <c r="E585" s="634">
        <f t="shared" si="51"/>
        <v>2229</v>
      </c>
      <c r="F585" s="641"/>
      <c r="G585" s="641">
        <f t="shared" si="52"/>
        <v>1235</v>
      </c>
      <c r="H585" s="634">
        <v>1190</v>
      </c>
      <c r="I585" s="634">
        <v>45</v>
      </c>
      <c r="J585" s="641">
        <v>104</v>
      </c>
      <c r="K585" s="641">
        <v>479</v>
      </c>
      <c r="L585" s="641">
        <v>411</v>
      </c>
      <c r="V585" s="326"/>
      <c r="W585" s="326"/>
      <c r="X585" s="326"/>
      <c r="Y585" s="326"/>
      <c r="Z585" s="326"/>
      <c r="AA585" s="326"/>
      <c r="AB585" s="326"/>
    </row>
    <row r="586" spans="1:28" s="263" customFormat="1" ht="9" customHeight="1" x14ac:dyDescent="0.25">
      <c r="A586" s="550" t="s">
        <v>50</v>
      </c>
      <c r="B586" s="638" t="s">
        <v>22</v>
      </c>
      <c r="C586" s="638" t="s">
        <v>22</v>
      </c>
      <c r="D586" s="639"/>
      <c r="E586" s="632">
        <f t="shared" si="51"/>
        <v>408</v>
      </c>
      <c r="F586" s="639"/>
      <c r="G586" s="639">
        <f t="shared" si="52"/>
        <v>217</v>
      </c>
      <c r="H586" s="632">
        <v>208</v>
      </c>
      <c r="I586" s="632">
        <v>9</v>
      </c>
      <c r="J586" s="639">
        <v>8</v>
      </c>
      <c r="K586" s="639">
        <v>81</v>
      </c>
      <c r="L586" s="639">
        <v>102</v>
      </c>
      <c r="V586" s="326"/>
      <c r="W586" s="326"/>
      <c r="X586" s="326"/>
      <c r="Y586" s="326"/>
      <c r="Z586" s="326"/>
      <c r="AA586" s="326"/>
      <c r="AB586" s="326"/>
    </row>
    <row r="587" spans="1:28" s="263" customFormat="1" ht="9" customHeight="1" x14ac:dyDescent="0.25">
      <c r="A587" s="550" t="s">
        <v>51</v>
      </c>
      <c r="B587" s="638" t="s">
        <v>22</v>
      </c>
      <c r="C587" s="638" t="s">
        <v>22</v>
      </c>
      <c r="D587" s="639"/>
      <c r="E587" s="632">
        <f t="shared" si="51"/>
        <v>2577</v>
      </c>
      <c r="F587" s="639"/>
      <c r="G587" s="639">
        <f t="shared" si="52"/>
        <v>1306</v>
      </c>
      <c r="H587" s="632">
        <v>1246</v>
      </c>
      <c r="I587" s="632">
        <v>60</v>
      </c>
      <c r="J587" s="639">
        <v>131</v>
      </c>
      <c r="K587" s="639">
        <v>483</v>
      </c>
      <c r="L587" s="639">
        <v>657</v>
      </c>
      <c r="V587" s="326"/>
      <c r="W587" s="326"/>
      <c r="X587" s="326"/>
      <c r="Y587" s="326"/>
      <c r="Z587" s="326"/>
      <c r="AA587" s="326"/>
      <c r="AB587" s="326"/>
    </row>
    <row r="588" spans="1:28" s="263" customFormat="1" ht="9" customHeight="1" x14ac:dyDescent="0.25">
      <c r="A588" s="550" t="s">
        <v>52</v>
      </c>
      <c r="B588" s="638" t="s">
        <v>22</v>
      </c>
      <c r="C588" s="638" t="s">
        <v>22</v>
      </c>
      <c r="D588" s="639"/>
      <c r="E588" s="632">
        <f t="shared" si="51"/>
        <v>1717</v>
      </c>
      <c r="F588" s="639"/>
      <c r="G588" s="639">
        <f t="shared" si="52"/>
        <v>778</v>
      </c>
      <c r="H588" s="632">
        <v>761</v>
      </c>
      <c r="I588" s="632">
        <v>17</v>
      </c>
      <c r="J588" s="639">
        <v>15</v>
      </c>
      <c r="K588" s="639">
        <v>273</v>
      </c>
      <c r="L588" s="639">
        <v>651</v>
      </c>
      <c r="V588" s="326"/>
      <c r="W588" s="326"/>
      <c r="X588" s="326"/>
      <c r="Y588" s="326"/>
      <c r="Z588" s="326"/>
      <c r="AA588" s="326"/>
      <c r="AB588" s="326"/>
    </row>
    <row r="589" spans="1:28" s="263" customFormat="1" ht="9" customHeight="1" x14ac:dyDescent="0.25">
      <c r="A589" s="267" t="s">
        <v>53</v>
      </c>
      <c r="B589" s="599" t="s">
        <v>22</v>
      </c>
      <c r="C589" s="599" t="s">
        <v>22</v>
      </c>
      <c r="D589" s="328"/>
      <c r="E589" s="604">
        <f t="shared" si="51"/>
        <v>697</v>
      </c>
      <c r="F589" s="328"/>
      <c r="G589" s="328">
        <f t="shared" si="52"/>
        <v>327</v>
      </c>
      <c r="H589" s="604">
        <v>320</v>
      </c>
      <c r="I589" s="604">
        <v>7</v>
      </c>
      <c r="J589" s="328">
        <v>23</v>
      </c>
      <c r="K589" s="328">
        <v>105</v>
      </c>
      <c r="L589" s="328">
        <v>242</v>
      </c>
      <c r="V589" s="326"/>
      <c r="W589" s="326"/>
      <c r="X589" s="326"/>
      <c r="Y589" s="326"/>
      <c r="Z589" s="326"/>
      <c r="AA589" s="326"/>
      <c r="AB589" s="326"/>
    </row>
    <row r="590" spans="1:28" s="263" customFormat="1" ht="9" customHeight="1" x14ac:dyDescent="0.25">
      <c r="A590" s="286"/>
      <c r="B590" s="613"/>
      <c r="C590" s="613"/>
      <c r="D590" s="329"/>
      <c r="E590" s="605"/>
      <c r="F590" s="329"/>
      <c r="G590" s="329"/>
      <c r="H590" s="605"/>
      <c r="I590" s="605"/>
      <c r="J590" s="329"/>
      <c r="K590" s="329"/>
      <c r="L590" s="329"/>
      <c r="V590" s="326"/>
      <c r="W590" s="326"/>
      <c r="X590" s="326"/>
      <c r="Y590" s="326"/>
      <c r="Z590" s="326"/>
      <c r="AA590" s="326"/>
      <c r="AB590" s="326"/>
    </row>
    <row r="591" spans="1:28" s="263" customFormat="1" ht="9" customHeight="1" x14ac:dyDescent="0.25">
      <c r="A591" s="261">
        <v>2011</v>
      </c>
      <c r="B591" s="288"/>
      <c r="C591" s="262"/>
      <c r="D591" s="262"/>
      <c r="E591" s="262"/>
      <c r="F591" s="262"/>
      <c r="G591" s="262"/>
      <c r="H591" s="271"/>
      <c r="I591" s="262"/>
      <c r="J591" s="262"/>
      <c r="K591" s="262"/>
      <c r="L591" s="262"/>
      <c r="V591" s="326"/>
      <c r="W591" s="326"/>
      <c r="X591" s="326"/>
      <c r="Y591" s="326"/>
      <c r="Z591" s="326"/>
      <c r="AA591" s="326"/>
      <c r="AB591" s="326"/>
    </row>
    <row r="592" spans="1:28" s="263" customFormat="1" ht="9" customHeight="1" x14ac:dyDescent="0.25">
      <c r="A592" s="265" t="s">
        <v>21</v>
      </c>
      <c r="B592" s="325" t="s">
        <v>22</v>
      </c>
      <c r="C592" s="325" t="s">
        <v>22</v>
      </c>
      <c r="D592" s="325"/>
      <c r="E592" s="325">
        <f>SUM(E594:E625)</f>
        <v>85760</v>
      </c>
      <c r="F592" s="325"/>
      <c r="G592" s="325">
        <f t="shared" ref="G592:L592" si="53">SUM(G594:G625)</f>
        <v>43104</v>
      </c>
      <c r="H592" s="332">
        <f t="shared" si="53"/>
        <v>39386</v>
      </c>
      <c r="I592" s="325">
        <f t="shared" si="53"/>
        <v>3718</v>
      </c>
      <c r="J592" s="325">
        <f t="shared" si="53"/>
        <v>5745</v>
      </c>
      <c r="K592" s="325">
        <f t="shared" si="53"/>
        <v>19093</v>
      </c>
      <c r="L592" s="325">
        <f t="shared" si="53"/>
        <v>17818</v>
      </c>
      <c r="V592" s="326"/>
      <c r="W592" s="326"/>
      <c r="X592" s="326"/>
      <c r="Y592" s="326"/>
      <c r="Z592" s="326"/>
      <c r="AA592" s="326"/>
      <c r="AB592" s="326"/>
    </row>
    <row r="593" spans="1:28" s="263" customFormat="1" ht="3.95" customHeight="1" x14ac:dyDescent="0.25">
      <c r="A593" s="265"/>
      <c r="B593" s="325"/>
      <c r="C593" s="325"/>
      <c r="D593" s="325"/>
      <c r="E593" s="325"/>
      <c r="F593" s="325"/>
      <c r="G593" s="325"/>
      <c r="H593" s="325"/>
      <c r="I593" s="325"/>
      <c r="J593" s="325"/>
      <c r="K593" s="325"/>
      <c r="L593" s="325"/>
      <c r="V593" s="326"/>
      <c r="W593" s="326"/>
      <c r="X593" s="326"/>
      <c r="Y593" s="326"/>
      <c r="Z593" s="326"/>
      <c r="AA593" s="326"/>
      <c r="AB593" s="326"/>
    </row>
    <row r="594" spans="1:28" s="263" customFormat="1" ht="9" customHeight="1" x14ac:dyDescent="0.25">
      <c r="A594" s="550" t="s">
        <v>23</v>
      </c>
      <c r="B594" s="638" t="s">
        <v>22</v>
      </c>
      <c r="C594" s="638" t="s">
        <v>22</v>
      </c>
      <c r="D594" s="639"/>
      <c r="E594" s="632">
        <f>SUM(G594+J594+K594+L594)</f>
        <v>949</v>
      </c>
      <c r="F594" s="639"/>
      <c r="G594" s="639">
        <f>SUM(H594:I594)</f>
        <v>432</v>
      </c>
      <c r="H594" s="632">
        <v>405</v>
      </c>
      <c r="I594" s="632">
        <v>27</v>
      </c>
      <c r="J594" s="639">
        <v>105</v>
      </c>
      <c r="K594" s="639">
        <v>188</v>
      </c>
      <c r="L594" s="639">
        <v>224</v>
      </c>
      <c r="V594" s="326"/>
      <c r="W594" s="326"/>
      <c r="X594" s="326"/>
      <c r="Y594" s="326"/>
      <c r="Z594" s="326"/>
      <c r="AA594" s="326"/>
      <c r="AB594" s="326"/>
    </row>
    <row r="595" spans="1:28" s="263" customFormat="1" ht="9" customHeight="1" x14ac:dyDescent="0.25">
      <c r="A595" s="550" t="s">
        <v>24</v>
      </c>
      <c r="B595" s="638" t="s">
        <v>22</v>
      </c>
      <c r="C595" s="638" t="s">
        <v>22</v>
      </c>
      <c r="D595" s="639"/>
      <c r="E595" s="632">
        <f>SUM(G595+J595+K595+L595)</f>
        <v>2355</v>
      </c>
      <c r="F595" s="638"/>
      <c r="G595" s="639">
        <f t="shared" ref="G595:G625" si="54">SUM(H595:I595)</f>
        <v>1166</v>
      </c>
      <c r="H595" s="638">
        <v>1116</v>
      </c>
      <c r="I595" s="638">
        <v>50</v>
      </c>
      <c r="J595" s="638">
        <v>107</v>
      </c>
      <c r="K595" s="638">
        <v>533</v>
      </c>
      <c r="L595" s="638">
        <v>549</v>
      </c>
      <c r="V595" s="326"/>
      <c r="W595" s="326"/>
      <c r="X595" s="326"/>
      <c r="Y595" s="326"/>
      <c r="Z595" s="326"/>
      <c r="AA595" s="326"/>
      <c r="AB595" s="326"/>
    </row>
    <row r="596" spans="1:28" s="263" customFormat="1" ht="9" customHeight="1" x14ac:dyDescent="0.25">
      <c r="A596" s="550" t="s">
        <v>25</v>
      </c>
      <c r="B596" s="638" t="s">
        <v>22</v>
      </c>
      <c r="C596" s="638" t="s">
        <v>22</v>
      </c>
      <c r="D596" s="639"/>
      <c r="E596" s="632">
        <f t="shared" ref="E596:E625" si="55">SUM(G596+J596+K596+L596)</f>
        <v>313</v>
      </c>
      <c r="F596" s="639"/>
      <c r="G596" s="639">
        <f t="shared" si="54"/>
        <v>124</v>
      </c>
      <c r="H596" s="632">
        <v>123</v>
      </c>
      <c r="I596" s="632">
        <v>1</v>
      </c>
      <c r="J596" s="639">
        <v>40</v>
      </c>
      <c r="K596" s="639">
        <v>74</v>
      </c>
      <c r="L596" s="639">
        <v>75</v>
      </c>
      <c r="V596" s="326"/>
      <c r="W596" s="326"/>
      <c r="X596" s="326"/>
      <c r="Y596" s="326"/>
      <c r="Z596" s="326"/>
      <c r="AA596" s="326"/>
      <c r="AB596" s="326"/>
    </row>
    <row r="597" spans="1:28" s="263" customFormat="1" ht="9" customHeight="1" x14ac:dyDescent="0.25">
      <c r="A597" s="603" t="s">
        <v>26</v>
      </c>
      <c r="B597" s="640" t="s">
        <v>22</v>
      </c>
      <c r="C597" s="640" t="s">
        <v>22</v>
      </c>
      <c r="D597" s="641"/>
      <c r="E597" s="634">
        <f t="shared" si="55"/>
        <v>259</v>
      </c>
      <c r="F597" s="641"/>
      <c r="G597" s="641">
        <f t="shared" si="54"/>
        <v>148</v>
      </c>
      <c r="H597" s="634">
        <v>121</v>
      </c>
      <c r="I597" s="634">
        <v>27</v>
      </c>
      <c r="J597" s="641">
        <v>17</v>
      </c>
      <c r="K597" s="641">
        <v>58</v>
      </c>
      <c r="L597" s="641">
        <v>36</v>
      </c>
      <c r="V597" s="326"/>
      <c r="W597" s="326"/>
      <c r="X597" s="326"/>
      <c r="Y597" s="326"/>
      <c r="Z597" s="326"/>
      <c r="AA597" s="326"/>
      <c r="AB597" s="326"/>
    </row>
    <row r="598" spans="1:28" s="263" customFormat="1" ht="9" customHeight="1" x14ac:dyDescent="0.25">
      <c r="A598" s="550" t="s">
        <v>27</v>
      </c>
      <c r="B598" s="638" t="s">
        <v>22</v>
      </c>
      <c r="C598" s="638" t="s">
        <v>22</v>
      </c>
      <c r="D598" s="639"/>
      <c r="E598" s="632">
        <f t="shared" si="55"/>
        <v>1842</v>
      </c>
      <c r="F598" s="639"/>
      <c r="G598" s="639">
        <f t="shared" si="54"/>
        <v>822</v>
      </c>
      <c r="H598" s="632">
        <v>796</v>
      </c>
      <c r="I598" s="632">
        <v>26</v>
      </c>
      <c r="J598" s="639">
        <v>81</v>
      </c>
      <c r="K598" s="639">
        <v>579</v>
      </c>
      <c r="L598" s="639">
        <v>360</v>
      </c>
      <c r="V598" s="326"/>
      <c r="W598" s="326"/>
      <c r="X598" s="326"/>
      <c r="Y598" s="326"/>
      <c r="Z598" s="326"/>
      <c r="AA598" s="326"/>
      <c r="AB598" s="326"/>
    </row>
    <row r="599" spans="1:28" s="263" customFormat="1" ht="9" customHeight="1" x14ac:dyDescent="0.25">
      <c r="A599" s="550" t="s">
        <v>28</v>
      </c>
      <c r="B599" s="638" t="s">
        <v>22</v>
      </c>
      <c r="C599" s="638" t="s">
        <v>22</v>
      </c>
      <c r="D599" s="639"/>
      <c r="E599" s="632">
        <f t="shared" si="55"/>
        <v>317</v>
      </c>
      <c r="F599" s="639"/>
      <c r="G599" s="639">
        <f t="shared" si="54"/>
        <v>155</v>
      </c>
      <c r="H599" s="632">
        <v>140</v>
      </c>
      <c r="I599" s="632">
        <v>15</v>
      </c>
      <c r="J599" s="639">
        <v>17</v>
      </c>
      <c r="K599" s="639">
        <v>50</v>
      </c>
      <c r="L599" s="639">
        <v>95</v>
      </c>
      <c r="V599" s="326"/>
      <c r="W599" s="326"/>
      <c r="X599" s="326"/>
      <c r="Y599" s="326"/>
      <c r="Z599" s="326"/>
      <c r="AA599" s="326"/>
      <c r="AB599" s="326"/>
    </row>
    <row r="600" spans="1:28" s="263" customFormat="1" ht="9" customHeight="1" x14ac:dyDescent="0.25">
      <c r="A600" s="550" t="s">
        <v>29</v>
      </c>
      <c r="B600" s="638" t="s">
        <v>22</v>
      </c>
      <c r="C600" s="638" t="s">
        <v>22</v>
      </c>
      <c r="D600" s="639"/>
      <c r="E600" s="632">
        <f t="shared" si="55"/>
        <v>929</v>
      </c>
      <c r="F600" s="639"/>
      <c r="G600" s="639">
        <f t="shared" si="54"/>
        <v>572</v>
      </c>
      <c r="H600" s="632">
        <v>524</v>
      </c>
      <c r="I600" s="632">
        <v>48</v>
      </c>
      <c r="J600" s="639">
        <v>27</v>
      </c>
      <c r="K600" s="639">
        <v>125</v>
      </c>
      <c r="L600" s="639">
        <v>205</v>
      </c>
      <c r="V600" s="326"/>
      <c r="W600" s="326"/>
      <c r="X600" s="326"/>
      <c r="Y600" s="326"/>
      <c r="Z600" s="326"/>
      <c r="AA600" s="326"/>
      <c r="AB600" s="326"/>
    </row>
    <row r="601" spans="1:28" s="263" customFormat="1" ht="9" customHeight="1" x14ac:dyDescent="0.25">
      <c r="A601" s="603" t="s">
        <v>30</v>
      </c>
      <c r="B601" s="640" t="s">
        <v>22</v>
      </c>
      <c r="C601" s="640" t="s">
        <v>22</v>
      </c>
      <c r="D601" s="641"/>
      <c r="E601" s="634">
        <f t="shared" si="55"/>
        <v>3749</v>
      </c>
      <c r="F601" s="641"/>
      <c r="G601" s="641">
        <f t="shared" si="54"/>
        <v>2099</v>
      </c>
      <c r="H601" s="634">
        <v>2005</v>
      </c>
      <c r="I601" s="634">
        <v>94</v>
      </c>
      <c r="J601" s="641">
        <v>225</v>
      </c>
      <c r="K601" s="641">
        <v>632</v>
      </c>
      <c r="L601" s="641">
        <v>793</v>
      </c>
      <c r="V601" s="326"/>
      <c r="W601" s="326"/>
      <c r="X601" s="326"/>
      <c r="Y601" s="326"/>
      <c r="Z601" s="326"/>
      <c r="AA601" s="326"/>
      <c r="AB601" s="326"/>
    </row>
    <row r="602" spans="1:28" s="263" customFormat="1" ht="9" customHeight="1" x14ac:dyDescent="0.25">
      <c r="A602" s="550" t="s">
        <v>63</v>
      </c>
      <c r="B602" s="638" t="s">
        <v>22</v>
      </c>
      <c r="C602" s="638" t="s">
        <v>22</v>
      </c>
      <c r="D602" s="639"/>
      <c r="E602" s="632">
        <f t="shared" si="55"/>
        <v>17129</v>
      </c>
      <c r="F602" s="639"/>
      <c r="G602" s="639">
        <f t="shared" si="54"/>
        <v>7796</v>
      </c>
      <c r="H602" s="632">
        <v>6750</v>
      </c>
      <c r="I602" s="632">
        <v>1046</v>
      </c>
      <c r="J602" s="639">
        <v>1707</v>
      </c>
      <c r="K602" s="639">
        <v>4323</v>
      </c>
      <c r="L602" s="639">
        <v>3303</v>
      </c>
      <c r="V602" s="326"/>
      <c r="W602" s="326"/>
      <c r="X602" s="326"/>
      <c r="Y602" s="326"/>
      <c r="Z602" s="326"/>
      <c r="AA602" s="326"/>
      <c r="AB602" s="326"/>
    </row>
    <row r="603" spans="1:28" s="263" customFormat="1" ht="9" customHeight="1" x14ac:dyDescent="0.25">
      <c r="A603" s="550" t="s">
        <v>31</v>
      </c>
      <c r="B603" s="638" t="s">
        <v>22</v>
      </c>
      <c r="C603" s="638" t="s">
        <v>22</v>
      </c>
      <c r="D603" s="639"/>
      <c r="E603" s="632">
        <f t="shared" si="55"/>
        <v>444</v>
      </c>
      <c r="F603" s="639"/>
      <c r="G603" s="639">
        <f t="shared" si="54"/>
        <v>264</v>
      </c>
      <c r="H603" s="632">
        <v>247</v>
      </c>
      <c r="I603" s="632">
        <v>17</v>
      </c>
      <c r="J603" s="550">
        <v>17</v>
      </c>
      <c r="K603" s="550">
        <v>72</v>
      </c>
      <c r="L603" s="639">
        <v>91</v>
      </c>
      <c r="V603" s="326"/>
      <c r="W603" s="326"/>
      <c r="X603" s="326"/>
      <c r="Y603" s="326"/>
      <c r="Z603" s="326"/>
      <c r="AA603" s="326"/>
      <c r="AB603" s="326"/>
    </row>
    <row r="604" spans="1:28" s="263" customFormat="1" ht="9" customHeight="1" x14ac:dyDescent="0.25">
      <c r="A604" s="550" t="s">
        <v>32</v>
      </c>
      <c r="B604" s="638" t="s">
        <v>22</v>
      </c>
      <c r="C604" s="638" t="s">
        <v>22</v>
      </c>
      <c r="D604" s="639"/>
      <c r="E604" s="632">
        <f t="shared" si="55"/>
        <v>4286</v>
      </c>
      <c r="F604" s="639"/>
      <c r="G604" s="639">
        <f t="shared" si="54"/>
        <v>2153</v>
      </c>
      <c r="H604" s="632">
        <v>2037</v>
      </c>
      <c r="I604" s="632">
        <v>116</v>
      </c>
      <c r="J604" s="639">
        <v>254</v>
      </c>
      <c r="K604" s="639">
        <v>964</v>
      </c>
      <c r="L604" s="639">
        <v>915</v>
      </c>
      <c r="V604" s="326"/>
      <c r="W604" s="326"/>
      <c r="X604" s="326"/>
      <c r="Y604" s="326"/>
      <c r="Z604" s="326"/>
      <c r="AA604" s="326"/>
      <c r="AB604" s="326"/>
    </row>
    <row r="605" spans="1:28" s="263" customFormat="1" ht="9" customHeight="1" x14ac:dyDescent="0.25">
      <c r="A605" s="603" t="s">
        <v>33</v>
      </c>
      <c r="B605" s="640" t="s">
        <v>22</v>
      </c>
      <c r="C605" s="640" t="s">
        <v>22</v>
      </c>
      <c r="D605" s="641"/>
      <c r="E605" s="634">
        <f t="shared" si="55"/>
        <v>1017</v>
      </c>
      <c r="F605" s="641"/>
      <c r="G605" s="641">
        <f t="shared" si="54"/>
        <v>551</v>
      </c>
      <c r="H605" s="634">
        <v>528</v>
      </c>
      <c r="I605" s="634">
        <v>23</v>
      </c>
      <c r="J605" s="641">
        <v>113</v>
      </c>
      <c r="K605" s="641">
        <v>188</v>
      </c>
      <c r="L605" s="641">
        <v>165</v>
      </c>
      <c r="V605" s="326"/>
      <c r="W605" s="326"/>
      <c r="X605" s="326"/>
      <c r="Y605" s="326"/>
      <c r="Z605" s="326"/>
      <c r="AA605" s="326"/>
      <c r="AB605" s="326"/>
    </row>
    <row r="606" spans="1:28" s="263" customFormat="1" ht="9" customHeight="1" x14ac:dyDescent="0.25">
      <c r="A606" s="550" t="s">
        <v>34</v>
      </c>
      <c r="B606" s="638" t="s">
        <v>22</v>
      </c>
      <c r="C606" s="638" t="s">
        <v>22</v>
      </c>
      <c r="D606" s="639"/>
      <c r="E606" s="632">
        <f t="shared" si="55"/>
        <v>1435</v>
      </c>
      <c r="F606" s="639"/>
      <c r="G606" s="639">
        <f t="shared" si="54"/>
        <v>742</v>
      </c>
      <c r="H606" s="632">
        <v>689</v>
      </c>
      <c r="I606" s="632">
        <v>53</v>
      </c>
      <c r="J606" s="639">
        <v>67</v>
      </c>
      <c r="K606" s="639">
        <v>262</v>
      </c>
      <c r="L606" s="639">
        <v>364</v>
      </c>
      <c r="V606" s="326"/>
      <c r="W606" s="326"/>
      <c r="X606" s="326"/>
      <c r="Y606" s="326"/>
      <c r="Z606" s="326"/>
      <c r="AA606" s="326"/>
      <c r="AB606" s="326"/>
    </row>
    <row r="607" spans="1:28" s="263" customFormat="1" ht="9" customHeight="1" x14ac:dyDescent="0.25">
      <c r="A607" s="550" t="s">
        <v>35</v>
      </c>
      <c r="B607" s="638" t="s">
        <v>22</v>
      </c>
      <c r="C607" s="638" t="s">
        <v>22</v>
      </c>
      <c r="D607" s="639"/>
      <c r="E607" s="632">
        <f t="shared" si="55"/>
        <v>8391</v>
      </c>
      <c r="F607" s="639"/>
      <c r="G607" s="639">
        <f t="shared" si="54"/>
        <v>4286</v>
      </c>
      <c r="H607" s="632">
        <v>3891</v>
      </c>
      <c r="I607" s="632">
        <v>395</v>
      </c>
      <c r="J607" s="639">
        <v>392</v>
      </c>
      <c r="K607" s="639">
        <v>1832</v>
      </c>
      <c r="L607" s="639">
        <v>1881</v>
      </c>
      <c r="V607" s="326"/>
      <c r="W607" s="326"/>
      <c r="X607" s="326"/>
      <c r="Y607" s="326"/>
      <c r="Z607" s="326"/>
      <c r="AA607" s="326"/>
      <c r="AB607" s="326"/>
    </row>
    <row r="608" spans="1:28" s="263" customFormat="1" ht="9" customHeight="1" x14ac:dyDescent="0.25">
      <c r="A608" s="550" t="s">
        <v>36</v>
      </c>
      <c r="B608" s="638" t="s">
        <v>22</v>
      </c>
      <c r="C608" s="638" t="s">
        <v>22</v>
      </c>
      <c r="D608" s="639"/>
      <c r="E608" s="632">
        <f t="shared" si="55"/>
        <v>7783</v>
      </c>
      <c r="F608" s="639"/>
      <c r="G608" s="639">
        <f t="shared" si="54"/>
        <v>3825</v>
      </c>
      <c r="H608" s="632">
        <v>3520</v>
      </c>
      <c r="I608" s="632">
        <v>305</v>
      </c>
      <c r="J608" s="639">
        <v>711</v>
      </c>
      <c r="K608" s="639">
        <v>1863</v>
      </c>
      <c r="L608" s="639">
        <v>1384</v>
      </c>
      <c r="V608" s="326"/>
      <c r="W608" s="326"/>
      <c r="X608" s="326"/>
      <c r="Y608" s="326"/>
      <c r="Z608" s="326"/>
      <c r="AA608" s="326"/>
      <c r="AB608" s="326"/>
    </row>
    <row r="609" spans="1:28" s="263" customFormat="1" ht="9" customHeight="1" x14ac:dyDescent="0.25">
      <c r="A609" s="603" t="s">
        <v>37</v>
      </c>
      <c r="B609" s="640" t="s">
        <v>22</v>
      </c>
      <c r="C609" s="640" t="s">
        <v>22</v>
      </c>
      <c r="D609" s="641"/>
      <c r="E609" s="634">
        <f t="shared" si="55"/>
        <v>2851</v>
      </c>
      <c r="F609" s="641"/>
      <c r="G609" s="641">
        <f t="shared" si="54"/>
        <v>1701</v>
      </c>
      <c r="H609" s="634">
        <v>1640</v>
      </c>
      <c r="I609" s="634">
        <v>61</v>
      </c>
      <c r="J609" s="641">
        <v>75</v>
      </c>
      <c r="K609" s="641">
        <v>503</v>
      </c>
      <c r="L609" s="641">
        <v>572</v>
      </c>
      <c r="V609" s="326"/>
      <c r="W609" s="326"/>
      <c r="X609" s="326"/>
      <c r="Y609" s="326"/>
      <c r="Z609" s="326"/>
      <c r="AA609" s="326"/>
      <c r="AB609" s="326"/>
    </row>
    <row r="610" spans="1:28" s="263" customFormat="1" ht="9" customHeight="1" x14ac:dyDescent="0.25">
      <c r="A610" s="550" t="s">
        <v>38</v>
      </c>
      <c r="B610" s="638" t="s">
        <v>22</v>
      </c>
      <c r="C610" s="638" t="s">
        <v>22</v>
      </c>
      <c r="D610" s="639"/>
      <c r="E610" s="632">
        <f t="shared" si="55"/>
        <v>798</v>
      </c>
      <c r="F610" s="639"/>
      <c r="G610" s="639">
        <f t="shared" si="54"/>
        <v>427</v>
      </c>
      <c r="H610" s="632">
        <v>405</v>
      </c>
      <c r="I610" s="632">
        <v>22</v>
      </c>
      <c r="J610" s="639">
        <v>41</v>
      </c>
      <c r="K610" s="639">
        <v>167</v>
      </c>
      <c r="L610" s="639">
        <v>163</v>
      </c>
      <c r="V610" s="326"/>
      <c r="W610" s="326"/>
      <c r="X610" s="326"/>
      <c r="Y610" s="326"/>
      <c r="Z610" s="326"/>
      <c r="AA610" s="326"/>
      <c r="AB610" s="326"/>
    </row>
    <row r="611" spans="1:28" s="263" customFormat="1" ht="9" customHeight="1" x14ac:dyDescent="0.25">
      <c r="A611" s="550" t="s">
        <v>39</v>
      </c>
      <c r="B611" s="638" t="s">
        <v>22</v>
      </c>
      <c r="C611" s="638" t="s">
        <v>22</v>
      </c>
      <c r="D611" s="639"/>
      <c r="E611" s="632">
        <f t="shared" si="55"/>
        <v>282</v>
      </c>
      <c r="F611" s="639"/>
      <c r="G611" s="639">
        <f t="shared" si="54"/>
        <v>116</v>
      </c>
      <c r="H611" s="632">
        <v>108</v>
      </c>
      <c r="I611" s="632">
        <v>8</v>
      </c>
      <c r="J611" s="639">
        <v>7</v>
      </c>
      <c r="K611" s="639">
        <v>52</v>
      </c>
      <c r="L611" s="639">
        <v>107</v>
      </c>
      <c r="V611" s="326"/>
      <c r="W611" s="326"/>
      <c r="X611" s="326"/>
      <c r="Y611" s="326"/>
      <c r="Z611" s="326"/>
      <c r="AA611" s="326"/>
      <c r="AB611" s="326"/>
    </row>
    <row r="612" spans="1:28" s="263" customFormat="1" ht="9" customHeight="1" x14ac:dyDescent="0.25">
      <c r="A612" s="550" t="s">
        <v>40</v>
      </c>
      <c r="B612" s="638" t="s">
        <v>22</v>
      </c>
      <c r="C612" s="638" t="s">
        <v>22</v>
      </c>
      <c r="D612" s="639"/>
      <c r="E612" s="632">
        <f t="shared" si="55"/>
        <v>8861</v>
      </c>
      <c r="F612" s="639"/>
      <c r="G612" s="639">
        <f t="shared" si="54"/>
        <v>4668</v>
      </c>
      <c r="H612" s="632">
        <v>4002</v>
      </c>
      <c r="I612" s="632">
        <v>666</v>
      </c>
      <c r="J612" s="639">
        <v>643</v>
      </c>
      <c r="K612" s="639">
        <v>2139</v>
      </c>
      <c r="L612" s="639">
        <v>1411</v>
      </c>
      <c r="V612" s="326"/>
      <c r="W612" s="326"/>
      <c r="X612" s="326"/>
      <c r="Y612" s="326"/>
      <c r="Z612" s="326"/>
      <c r="AA612" s="326"/>
      <c r="AB612" s="326"/>
    </row>
    <row r="613" spans="1:28" s="263" customFormat="1" ht="9" customHeight="1" x14ac:dyDescent="0.25">
      <c r="A613" s="603" t="s">
        <v>41</v>
      </c>
      <c r="B613" s="640" t="s">
        <v>22</v>
      </c>
      <c r="C613" s="640" t="s">
        <v>22</v>
      </c>
      <c r="D613" s="641"/>
      <c r="E613" s="634">
        <f t="shared" si="55"/>
        <v>1184</v>
      </c>
      <c r="F613" s="641"/>
      <c r="G613" s="641">
        <f t="shared" si="54"/>
        <v>606</v>
      </c>
      <c r="H613" s="634">
        <v>587</v>
      </c>
      <c r="I613" s="634">
        <v>19</v>
      </c>
      <c r="J613" s="641">
        <v>62</v>
      </c>
      <c r="K613" s="641">
        <v>223</v>
      </c>
      <c r="L613" s="641">
        <v>293</v>
      </c>
      <c r="V613" s="326"/>
      <c r="W613" s="326"/>
      <c r="X613" s="326"/>
      <c r="Y613" s="326"/>
      <c r="Z613" s="326"/>
      <c r="AA613" s="326"/>
      <c r="AB613" s="326"/>
    </row>
    <row r="614" spans="1:28" s="263" customFormat="1" ht="9" customHeight="1" x14ac:dyDescent="0.25">
      <c r="A614" s="550" t="s">
        <v>42</v>
      </c>
      <c r="B614" s="638" t="s">
        <v>22</v>
      </c>
      <c r="C614" s="638" t="s">
        <v>22</v>
      </c>
      <c r="D614" s="639"/>
      <c r="E614" s="632">
        <f t="shared" si="55"/>
        <v>3538</v>
      </c>
      <c r="F614" s="639"/>
      <c r="G614" s="639">
        <f t="shared" si="54"/>
        <v>1958</v>
      </c>
      <c r="H614" s="632">
        <v>1800</v>
      </c>
      <c r="I614" s="632">
        <v>158</v>
      </c>
      <c r="J614" s="639">
        <v>160</v>
      </c>
      <c r="K614" s="639">
        <v>651</v>
      </c>
      <c r="L614" s="639">
        <v>769</v>
      </c>
      <c r="V614" s="326"/>
      <c r="W614" s="326"/>
      <c r="X614" s="326"/>
      <c r="Y614" s="326"/>
      <c r="Z614" s="326"/>
      <c r="AA614" s="326"/>
      <c r="AB614" s="326"/>
    </row>
    <row r="615" spans="1:28" s="263" customFormat="1" ht="9" customHeight="1" x14ac:dyDescent="0.25">
      <c r="A615" s="550" t="s">
        <v>43</v>
      </c>
      <c r="B615" s="638" t="s">
        <v>22</v>
      </c>
      <c r="C615" s="638" t="s">
        <v>22</v>
      </c>
      <c r="D615" s="639"/>
      <c r="E615" s="632">
        <f t="shared" si="55"/>
        <v>1725</v>
      </c>
      <c r="F615" s="639"/>
      <c r="G615" s="639">
        <f t="shared" si="54"/>
        <v>823</v>
      </c>
      <c r="H615" s="632">
        <v>753</v>
      </c>
      <c r="I615" s="632">
        <v>70</v>
      </c>
      <c r="J615" s="639">
        <v>121</v>
      </c>
      <c r="K615" s="639">
        <v>374</v>
      </c>
      <c r="L615" s="639">
        <v>407</v>
      </c>
      <c r="V615" s="326"/>
      <c r="W615" s="326"/>
      <c r="X615" s="326"/>
      <c r="Y615" s="326"/>
      <c r="Z615" s="326"/>
      <c r="AA615" s="326"/>
      <c r="AB615" s="326"/>
    </row>
    <row r="616" spans="1:28" s="263" customFormat="1" ht="9" customHeight="1" x14ac:dyDescent="0.25">
      <c r="A616" s="550" t="s">
        <v>44</v>
      </c>
      <c r="B616" s="638" t="s">
        <v>22</v>
      </c>
      <c r="C616" s="638" t="s">
        <v>22</v>
      </c>
      <c r="D616" s="639"/>
      <c r="E616" s="632">
        <f t="shared" si="55"/>
        <v>985</v>
      </c>
      <c r="F616" s="639"/>
      <c r="G616" s="639">
        <f t="shared" si="54"/>
        <v>391</v>
      </c>
      <c r="H616" s="632">
        <v>328</v>
      </c>
      <c r="I616" s="632">
        <v>63</v>
      </c>
      <c r="J616" s="639">
        <v>103</v>
      </c>
      <c r="K616" s="639">
        <v>294</v>
      </c>
      <c r="L616" s="639">
        <v>197</v>
      </c>
      <c r="V616" s="326"/>
      <c r="W616" s="326"/>
      <c r="X616" s="326"/>
      <c r="Y616" s="326"/>
      <c r="Z616" s="326"/>
      <c r="AA616" s="326"/>
      <c r="AB616" s="326"/>
    </row>
    <row r="617" spans="1:28" s="263" customFormat="1" ht="9" customHeight="1" x14ac:dyDescent="0.25">
      <c r="A617" s="603" t="s">
        <v>45</v>
      </c>
      <c r="B617" s="640" t="s">
        <v>22</v>
      </c>
      <c r="C617" s="640" t="s">
        <v>22</v>
      </c>
      <c r="D617" s="641"/>
      <c r="E617" s="634">
        <f t="shared" si="55"/>
        <v>2258</v>
      </c>
      <c r="F617" s="641"/>
      <c r="G617" s="641">
        <f t="shared" si="54"/>
        <v>1075</v>
      </c>
      <c r="H617" s="634">
        <v>952</v>
      </c>
      <c r="I617" s="634">
        <v>123</v>
      </c>
      <c r="J617" s="641">
        <v>109</v>
      </c>
      <c r="K617" s="641">
        <v>570</v>
      </c>
      <c r="L617" s="641">
        <v>504</v>
      </c>
      <c r="V617" s="326"/>
      <c r="W617" s="326"/>
      <c r="X617" s="326"/>
      <c r="Y617" s="326"/>
      <c r="Z617" s="326"/>
      <c r="AA617" s="326"/>
      <c r="AB617" s="326"/>
    </row>
    <row r="618" spans="1:28" s="263" customFormat="1" ht="9" customHeight="1" x14ac:dyDescent="0.25">
      <c r="A618" s="550" t="s">
        <v>46</v>
      </c>
      <c r="B618" s="638" t="s">
        <v>22</v>
      </c>
      <c r="C618" s="638" t="s">
        <v>22</v>
      </c>
      <c r="D618" s="639"/>
      <c r="E618" s="632">
        <f t="shared" si="55"/>
        <v>1468</v>
      </c>
      <c r="F618" s="639"/>
      <c r="G618" s="639">
        <f t="shared" si="54"/>
        <v>799</v>
      </c>
      <c r="H618" s="632">
        <v>748</v>
      </c>
      <c r="I618" s="632">
        <v>51</v>
      </c>
      <c r="J618" s="639">
        <v>80</v>
      </c>
      <c r="K618" s="639">
        <v>299</v>
      </c>
      <c r="L618" s="639">
        <v>290</v>
      </c>
      <c r="V618" s="326"/>
      <c r="W618" s="326"/>
      <c r="X618" s="326"/>
      <c r="Y618" s="326"/>
      <c r="Z618" s="326"/>
      <c r="AA618" s="326"/>
      <c r="AB618" s="326"/>
    </row>
    <row r="619" spans="1:28" s="263" customFormat="1" ht="9" customHeight="1" x14ac:dyDescent="0.25">
      <c r="A619" s="550" t="s">
        <v>47</v>
      </c>
      <c r="B619" s="638" t="s">
        <v>22</v>
      </c>
      <c r="C619" s="638" t="s">
        <v>22</v>
      </c>
      <c r="D619" s="639"/>
      <c r="E619" s="632">
        <f t="shared" si="55"/>
        <v>2115</v>
      </c>
      <c r="F619" s="639"/>
      <c r="G619" s="639">
        <f t="shared" si="54"/>
        <v>1110</v>
      </c>
      <c r="H619" s="632">
        <v>1072</v>
      </c>
      <c r="I619" s="632">
        <v>38</v>
      </c>
      <c r="J619" s="639">
        <v>64</v>
      </c>
      <c r="K619" s="639">
        <v>479</v>
      </c>
      <c r="L619" s="639">
        <v>462</v>
      </c>
      <c r="V619" s="326"/>
      <c r="W619" s="326"/>
      <c r="X619" s="326"/>
      <c r="Y619" s="326"/>
      <c r="Z619" s="326"/>
      <c r="AA619" s="326"/>
      <c r="AB619" s="326"/>
    </row>
    <row r="620" spans="1:28" s="263" customFormat="1" ht="9" customHeight="1" x14ac:dyDescent="0.25">
      <c r="A620" s="550" t="s">
        <v>48</v>
      </c>
      <c r="B620" s="638" t="s">
        <v>22</v>
      </c>
      <c r="C620" s="638" t="s">
        <v>22</v>
      </c>
      <c r="D620" s="639"/>
      <c r="E620" s="632">
        <f t="shared" si="55"/>
        <v>1020</v>
      </c>
      <c r="F620" s="639"/>
      <c r="G620" s="639">
        <f t="shared" si="54"/>
        <v>496</v>
      </c>
      <c r="H620" s="632">
        <v>444</v>
      </c>
      <c r="I620" s="632">
        <v>52</v>
      </c>
      <c r="J620" s="639">
        <v>73</v>
      </c>
      <c r="K620" s="639">
        <v>215</v>
      </c>
      <c r="L620" s="639">
        <v>236</v>
      </c>
      <c r="V620" s="326"/>
      <c r="W620" s="326"/>
      <c r="X620" s="326"/>
      <c r="Y620" s="326"/>
      <c r="Z620" s="326"/>
      <c r="AA620" s="326"/>
      <c r="AB620" s="326"/>
    </row>
    <row r="621" spans="1:28" s="263" customFormat="1" ht="9" customHeight="1" x14ac:dyDescent="0.25">
      <c r="A621" s="603" t="s">
        <v>49</v>
      </c>
      <c r="B621" s="640" t="s">
        <v>22</v>
      </c>
      <c r="C621" s="640" t="s">
        <v>22</v>
      </c>
      <c r="D621" s="641"/>
      <c r="E621" s="634">
        <f t="shared" si="55"/>
        <v>2171</v>
      </c>
      <c r="F621" s="641"/>
      <c r="G621" s="641">
        <f t="shared" si="54"/>
        <v>1212</v>
      </c>
      <c r="H621" s="634">
        <v>1161</v>
      </c>
      <c r="I621" s="634">
        <v>51</v>
      </c>
      <c r="J621" s="641">
        <v>107</v>
      </c>
      <c r="K621" s="641">
        <v>451</v>
      </c>
      <c r="L621" s="641">
        <v>401</v>
      </c>
      <c r="V621" s="326"/>
      <c r="W621" s="326"/>
      <c r="X621" s="326"/>
      <c r="Y621" s="326"/>
      <c r="Z621" s="326"/>
      <c r="AA621" s="326"/>
      <c r="AB621" s="326"/>
    </row>
    <row r="622" spans="1:28" s="263" customFormat="1" ht="9" customHeight="1" x14ac:dyDescent="0.25">
      <c r="A622" s="550" t="s">
        <v>50</v>
      </c>
      <c r="B622" s="638" t="s">
        <v>22</v>
      </c>
      <c r="C622" s="638" t="s">
        <v>22</v>
      </c>
      <c r="D622" s="639"/>
      <c r="E622" s="632">
        <f t="shared" si="55"/>
        <v>375</v>
      </c>
      <c r="F622" s="639"/>
      <c r="G622" s="639">
        <f t="shared" si="54"/>
        <v>206</v>
      </c>
      <c r="H622" s="632">
        <v>197</v>
      </c>
      <c r="I622" s="632">
        <v>9</v>
      </c>
      <c r="J622" s="639">
        <v>7</v>
      </c>
      <c r="K622" s="639">
        <v>74</v>
      </c>
      <c r="L622" s="639">
        <v>88</v>
      </c>
      <c r="V622" s="326"/>
      <c r="W622" s="326"/>
      <c r="X622" s="326"/>
      <c r="Y622" s="326"/>
      <c r="Z622" s="326"/>
      <c r="AA622" s="326"/>
      <c r="AB622" s="326"/>
    </row>
    <row r="623" spans="1:28" s="263" customFormat="1" ht="9" customHeight="1" x14ac:dyDescent="0.25">
      <c r="A623" s="550" t="s">
        <v>51</v>
      </c>
      <c r="B623" s="638" t="s">
        <v>22</v>
      </c>
      <c r="C623" s="638" t="s">
        <v>22</v>
      </c>
      <c r="D623" s="639"/>
      <c r="E623" s="632">
        <f t="shared" si="55"/>
        <v>2546</v>
      </c>
      <c r="F623" s="639"/>
      <c r="G623" s="639">
        <f t="shared" si="54"/>
        <v>1263</v>
      </c>
      <c r="H623" s="632">
        <v>1209</v>
      </c>
      <c r="I623" s="632">
        <v>54</v>
      </c>
      <c r="J623" s="639">
        <v>140</v>
      </c>
      <c r="K623" s="639">
        <v>473</v>
      </c>
      <c r="L623" s="639">
        <v>670</v>
      </c>
      <c r="V623" s="326"/>
      <c r="W623" s="326"/>
      <c r="X623" s="326"/>
      <c r="Y623" s="326"/>
      <c r="Z623" s="326"/>
      <c r="AA623" s="326"/>
      <c r="AB623" s="326"/>
    </row>
    <row r="624" spans="1:28" s="263" customFormat="1" ht="9" customHeight="1" x14ac:dyDescent="0.25">
      <c r="A624" s="550" t="s">
        <v>52</v>
      </c>
      <c r="B624" s="638" t="s">
        <v>22</v>
      </c>
      <c r="C624" s="638" t="s">
        <v>22</v>
      </c>
      <c r="D624" s="639"/>
      <c r="E624" s="632">
        <f t="shared" si="55"/>
        <v>1702</v>
      </c>
      <c r="F624" s="639"/>
      <c r="G624" s="639">
        <f t="shared" si="54"/>
        <v>779</v>
      </c>
      <c r="H624" s="632">
        <v>754</v>
      </c>
      <c r="I624" s="632">
        <v>25</v>
      </c>
      <c r="J624" s="639">
        <v>40</v>
      </c>
      <c r="K624" s="639">
        <v>275</v>
      </c>
      <c r="L624" s="639">
        <v>608</v>
      </c>
      <c r="V624" s="326"/>
      <c r="W624" s="326"/>
      <c r="X624" s="326"/>
      <c r="Y624" s="326"/>
      <c r="Z624" s="326"/>
      <c r="AA624" s="326"/>
      <c r="AB624" s="326"/>
    </row>
    <row r="625" spans="1:28" s="263" customFormat="1" ht="9" customHeight="1" x14ac:dyDescent="0.25">
      <c r="A625" s="267" t="s">
        <v>53</v>
      </c>
      <c r="B625" s="599" t="s">
        <v>22</v>
      </c>
      <c r="C625" s="599" t="s">
        <v>22</v>
      </c>
      <c r="D625" s="328"/>
      <c r="E625" s="604">
        <f t="shared" si="55"/>
        <v>683</v>
      </c>
      <c r="F625" s="328"/>
      <c r="G625" s="328">
        <f t="shared" si="54"/>
        <v>339</v>
      </c>
      <c r="H625" s="604">
        <v>334</v>
      </c>
      <c r="I625" s="604">
        <v>5</v>
      </c>
      <c r="J625" s="328">
        <v>33</v>
      </c>
      <c r="K625" s="328">
        <v>111</v>
      </c>
      <c r="L625" s="328">
        <v>200</v>
      </c>
      <c r="V625" s="326"/>
      <c r="W625" s="326"/>
      <c r="X625" s="326"/>
      <c r="Y625" s="326"/>
      <c r="Z625" s="326"/>
      <c r="AA625" s="326"/>
      <c r="AB625" s="326"/>
    </row>
    <row r="626" spans="1:28" s="263" customFormat="1" ht="9" customHeight="1" x14ac:dyDescent="0.25">
      <c r="A626" s="286"/>
      <c r="B626" s="613"/>
      <c r="C626" s="613"/>
      <c r="D626" s="329"/>
      <c r="E626" s="605"/>
      <c r="F626" s="329"/>
      <c r="G626" s="329"/>
      <c r="H626" s="605"/>
      <c r="I626" s="605"/>
      <c r="J626" s="329"/>
      <c r="K626" s="329"/>
      <c r="L626" s="329"/>
      <c r="V626" s="326"/>
      <c r="W626" s="326"/>
      <c r="X626" s="326"/>
      <c r="Y626" s="326"/>
      <c r="Z626" s="326"/>
      <c r="AA626" s="326"/>
      <c r="AB626" s="326"/>
    </row>
    <row r="627" spans="1:28" s="263" customFormat="1" ht="9" customHeight="1" x14ac:dyDescent="0.25">
      <c r="A627" s="261">
        <v>2012</v>
      </c>
      <c r="B627" s="288"/>
      <c r="C627" s="262"/>
      <c r="D627" s="262"/>
      <c r="E627" s="262"/>
      <c r="F627" s="262"/>
      <c r="G627" s="262"/>
      <c r="H627" s="271"/>
      <c r="I627" s="262"/>
      <c r="J627" s="262"/>
      <c r="K627" s="262"/>
      <c r="L627" s="262"/>
      <c r="V627" s="326"/>
      <c r="W627" s="326"/>
      <c r="X627" s="326"/>
      <c r="Y627" s="326"/>
      <c r="Z627" s="326"/>
      <c r="AA627" s="326"/>
      <c r="AB627" s="326"/>
    </row>
    <row r="628" spans="1:28" s="263" customFormat="1" ht="9" customHeight="1" x14ac:dyDescent="0.25">
      <c r="A628" s="265" t="s">
        <v>21</v>
      </c>
      <c r="B628" s="325" t="s">
        <v>22</v>
      </c>
      <c r="C628" s="325" t="s">
        <v>22</v>
      </c>
      <c r="D628" s="325"/>
      <c r="E628" s="325">
        <f>SUM(E630:E661)</f>
        <v>88192</v>
      </c>
      <c r="F628" s="325"/>
      <c r="G628" s="325">
        <f t="shared" ref="G628:L628" si="56">SUM(G630:G661)</f>
        <v>44827</v>
      </c>
      <c r="H628" s="332">
        <f t="shared" si="56"/>
        <v>40626</v>
      </c>
      <c r="I628" s="325">
        <f t="shared" si="56"/>
        <v>4201</v>
      </c>
      <c r="J628" s="325">
        <f t="shared" si="56"/>
        <v>5661</v>
      </c>
      <c r="K628" s="325">
        <f t="shared" si="56"/>
        <v>19378</v>
      </c>
      <c r="L628" s="325">
        <f t="shared" si="56"/>
        <v>18326</v>
      </c>
      <c r="V628" s="326"/>
      <c r="W628" s="326"/>
      <c r="X628" s="326"/>
      <c r="Y628" s="326"/>
      <c r="Z628" s="326"/>
      <c r="AA628" s="326"/>
      <c r="AB628" s="326"/>
    </row>
    <row r="629" spans="1:28" s="263" customFormat="1" ht="3.95" customHeight="1" x14ac:dyDescent="0.25">
      <c r="A629" s="265"/>
      <c r="B629" s="325"/>
      <c r="C629" s="325"/>
      <c r="D629" s="325"/>
      <c r="E629" s="325"/>
      <c r="F629" s="325"/>
      <c r="G629" s="325"/>
      <c r="H629" s="325"/>
      <c r="I629" s="325"/>
      <c r="J629" s="325"/>
      <c r="K629" s="325"/>
      <c r="L629" s="325"/>
      <c r="V629" s="326"/>
      <c r="W629" s="326"/>
      <c r="X629" s="326"/>
      <c r="Y629" s="326"/>
      <c r="Z629" s="326"/>
      <c r="AA629" s="326"/>
      <c r="AB629" s="326"/>
    </row>
    <row r="630" spans="1:28" s="263" customFormat="1" ht="9" customHeight="1" x14ac:dyDescent="0.25">
      <c r="A630" s="550" t="s">
        <v>23</v>
      </c>
      <c r="B630" s="638" t="s">
        <v>22</v>
      </c>
      <c r="C630" s="638" t="s">
        <v>22</v>
      </c>
      <c r="D630" s="639"/>
      <c r="E630" s="632">
        <f>SUM(G630+J630+K630+L630)</f>
        <v>958</v>
      </c>
      <c r="F630" s="639"/>
      <c r="G630" s="639">
        <f>SUM(H630:I630)</f>
        <v>438</v>
      </c>
      <c r="H630" s="632">
        <v>411</v>
      </c>
      <c r="I630" s="632">
        <v>27</v>
      </c>
      <c r="J630" s="639">
        <v>104</v>
      </c>
      <c r="K630" s="639">
        <v>191</v>
      </c>
      <c r="L630" s="639">
        <v>225</v>
      </c>
      <c r="V630" s="326"/>
      <c r="W630" s="326"/>
      <c r="X630" s="326"/>
      <c r="Y630" s="326"/>
      <c r="Z630" s="326"/>
      <c r="AA630" s="326"/>
      <c r="AB630" s="326"/>
    </row>
    <row r="631" spans="1:28" s="263" customFormat="1" ht="9" customHeight="1" x14ac:dyDescent="0.25">
      <c r="A631" s="550" t="s">
        <v>24</v>
      </c>
      <c r="B631" s="638" t="s">
        <v>22</v>
      </c>
      <c r="C631" s="638" t="s">
        <v>22</v>
      </c>
      <c r="D631" s="639"/>
      <c r="E631" s="632">
        <f>SUM(G631+J631+K631+L631)</f>
        <v>2685</v>
      </c>
      <c r="F631" s="638"/>
      <c r="G631" s="639">
        <f t="shared" ref="G631:G661" si="57">SUM(H631:I631)</f>
        <v>1283</v>
      </c>
      <c r="H631" s="638">
        <v>1247</v>
      </c>
      <c r="I631" s="638">
        <v>36</v>
      </c>
      <c r="J631" s="638">
        <v>82</v>
      </c>
      <c r="K631" s="638">
        <v>680</v>
      </c>
      <c r="L631" s="638">
        <v>640</v>
      </c>
      <c r="V631" s="326"/>
      <c r="W631" s="326"/>
      <c r="X631" s="326"/>
      <c r="Y631" s="326"/>
      <c r="Z631" s="326"/>
      <c r="AA631" s="326"/>
      <c r="AB631" s="326"/>
    </row>
    <row r="632" spans="1:28" s="263" customFormat="1" ht="9" customHeight="1" x14ac:dyDescent="0.25">
      <c r="A632" s="550" t="s">
        <v>25</v>
      </c>
      <c r="B632" s="638" t="s">
        <v>22</v>
      </c>
      <c r="C632" s="638" t="s">
        <v>22</v>
      </c>
      <c r="D632" s="639"/>
      <c r="E632" s="632">
        <f t="shared" ref="E632:E661" si="58">SUM(G632+J632+K632+L632)</f>
        <v>335</v>
      </c>
      <c r="F632" s="639"/>
      <c r="G632" s="639">
        <f t="shared" si="57"/>
        <v>127</v>
      </c>
      <c r="H632" s="632">
        <v>122</v>
      </c>
      <c r="I632" s="632">
        <v>5</v>
      </c>
      <c r="J632" s="639">
        <v>51</v>
      </c>
      <c r="K632" s="639">
        <v>78</v>
      </c>
      <c r="L632" s="639">
        <v>79</v>
      </c>
      <c r="V632" s="326"/>
      <c r="W632" s="326"/>
      <c r="X632" s="326"/>
      <c r="Y632" s="326"/>
      <c r="Z632" s="326"/>
      <c r="AA632" s="326"/>
      <c r="AB632" s="326"/>
    </row>
    <row r="633" spans="1:28" s="263" customFormat="1" ht="9" customHeight="1" x14ac:dyDescent="0.25">
      <c r="A633" s="603" t="s">
        <v>26</v>
      </c>
      <c r="B633" s="640" t="s">
        <v>22</v>
      </c>
      <c r="C633" s="640" t="s">
        <v>22</v>
      </c>
      <c r="D633" s="641"/>
      <c r="E633" s="634">
        <f t="shared" si="58"/>
        <v>261</v>
      </c>
      <c r="F633" s="641"/>
      <c r="G633" s="641">
        <f t="shared" si="57"/>
        <v>148</v>
      </c>
      <c r="H633" s="634">
        <v>123</v>
      </c>
      <c r="I633" s="634">
        <v>25</v>
      </c>
      <c r="J633" s="641">
        <v>15</v>
      </c>
      <c r="K633" s="641">
        <v>59</v>
      </c>
      <c r="L633" s="641">
        <v>39</v>
      </c>
      <c r="V633" s="326"/>
      <c r="W633" s="326"/>
      <c r="X633" s="326"/>
      <c r="Y633" s="326"/>
      <c r="Z633" s="326"/>
      <c r="AA633" s="326"/>
      <c r="AB633" s="326"/>
    </row>
    <row r="634" spans="1:28" s="263" customFormat="1" ht="9" customHeight="1" x14ac:dyDescent="0.25">
      <c r="A634" s="550" t="s">
        <v>27</v>
      </c>
      <c r="B634" s="638" t="s">
        <v>22</v>
      </c>
      <c r="C634" s="638" t="s">
        <v>22</v>
      </c>
      <c r="D634" s="639"/>
      <c r="E634" s="632">
        <f t="shared" si="58"/>
        <v>1965</v>
      </c>
      <c r="F634" s="639"/>
      <c r="G634" s="639">
        <f t="shared" si="57"/>
        <v>935</v>
      </c>
      <c r="H634" s="632">
        <v>895</v>
      </c>
      <c r="I634" s="632">
        <v>40</v>
      </c>
      <c r="J634" s="639">
        <v>104</v>
      </c>
      <c r="K634" s="639">
        <v>627</v>
      </c>
      <c r="L634" s="639">
        <v>299</v>
      </c>
      <c r="V634" s="326"/>
      <c r="W634" s="326"/>
      <c r="X634" s="326"/>
      <c r="Y634" s="326"/>
      <c r="Z634" s="326"/>
      <c r="AA634" s="326"/>
      <c r="AB634" s="326"/>
    </row>
    <row r="635" spans="1:28" s="263" customFormat="1" ht="9" customHeight="1" x14ac:dyDescent="0.25">
      <c r="A635" s="550" t="s">
        <v>28</v>
      </c>
      <c r="B635" s="638" t="s">
        <v>22</v>
      </c>
      <c r="C635" s="638" t="s">
        <v>22</v>
      </c>
      <c r="D635" s="639"/>
      <c r="E635" s="632">
        <f t="shared" si="58"/>
        <v>298</v>
      </c>
      <c r="F635" s="639"/>
      <c r="G635" s="639">
        <f t="shared" si="57"/>
        <v>145</v>
      </c>
      <c r="H635" s="632">
        <v>125</v>
      </c>
      <c r="I635" s="632">
        <v>20</v>
      </c>
      <c r="J635" s="639">
        <v>11</v>
      </c>
      <c r="K635" s="639">
        <v>51</v>
      </c>
      <c r="L635" s="639">
        <v>91</v>
      </c>
      <c r="V635" s="326"/>
      <c r="W635" s="326"/>
      <c r="X635" s="326"/>
      <c r="Y635" s="326"/>
      <c r="Z635" s="326"/>
      <c r="AA635" s="326"/>
      <c r="AB635" s="326"/>
    </row>
    <row r="636" spans="1:28" s="263" customFormat="1" ht="9" customHeight="1" x14ac:dyDescent="0.25">
      <c r="A636" s="550" t="s">
        <v>29</v>
      </c>
      <c r="B636" s="638" t="s">
        <v>22</v>
      </c>
      <c r="C636" s="638" t="s">
        <v>22</v>
      </c>
      <c r="D636" s="639"/>
      <c r="E636" s="632">
        <f t="shared" si="58"/>
        <v>921</v>
      </c>
      <c r="F636" s="639"/>
      <c r="G636" s="639">
        <f t="shared" si="57"/>
        <v>542</v>
      </c>
      <c r="H636" s="632">
        <v>499</v>
      </c>
      <c r="I636" s="632">
        <v>43</v>
      </c>
      <c r="J636" s="639">
        <v>18</v>
      </c>
      <c r="K636" s="639">
        <v>122</v>
      </c>
      <c r="L636" s="639">
        <v>239</v>
      </c>
      <c r="V636" s="326"/>
      <c r="W636" s="326"/>
      <c r="X636" s="326"/>
      <c r="Y636" s="326"/>
      <c r="Z636" s="326"/>
      <c r="AA636" s="326"/>
      <c r="AB636" s="326"/>
    </row>
    <row r="637" spans="1:28" s="263" customFormat="1" ht="9" customHeight="1" x14ac:dyDescent="0.25">
      <c r="A637" s="603" t="s">
        <v>30</v>
      </c>
      <c r="B637" s="640" t="s">
        <v>22</v>
      </c>
      <c r="C637" s="640" t="s">
        <v>22</v>
      </c>
      <c r="D637" s="641"/>
      <c r="E637" s="634">
        <f t="shared" si="58"/>
        <v>3572</v>
      </c>
      <c r="F637" s="641"/>
      <c r="G637" s="641">
        <f t="shared" si="57"/>
        <v>2006</v>
      </c>
      <c r="H637" s="634">
        <v>1855</v>
      </c>
      <c r="I637" s="634">
        <v>151</v>
      </c>
      <c r="J637" s="641">
        <v>138</v>
      </c>
      <c r="K637" s="641">
        <v>620</v>
      </c>
      <c r="L637" s="641">
        <v>808</v>
      </c>
      <c r="V637" s="326"/>
      <c r="W637" s="326"/>
      <c r="X637" s="326"/>
      <c r="Y637" s="326"/>
      <c r="Z637" s="326"/>
      <c r="AA637" s="326"/>
      <c r="AB637" s="326"/>
    </row>
    <row r="638" spans="1:28" s="263" customFormat="1" ht="9" customHeight="1" x14ac:dyDescent="0.25">
      <c r="A638" s="550" t="s">
        <v>63</v>
      </c>
      <c r="B638" s="638" t="s">
        <v>22</v>
      </c>
      <c r="C638" s="638" t="s">
        <v>22</v>
      </c>
      <c r="D638" s="639"/>
      <c r="E638" s="632">
        <f t="shared" si="58"/>
        <v>17414</v>
      </c>
      <c r="F638" s="639"/>
      <c r="G638" s="639">
        <f t="shared" si="57"/>
        <v>8024</v>
      </c>
      <c r="H638" s="632">
        <v>6841</v>
      </c>
      <c r="I638" s="632">
        <v>1183</v>
      </c>
      <c r="J638" s="639">
        <v>1655</v>
      </c>
      <c r="K638" s="639">
        <v>4336</v>
      </c>
      <c r="L638" s="639">
        <v>3399</v>
      </c>
      <c r="V638" s="326"/>
      <c r="W638" s="326"/>
      <c r="X638" s="326"/>
      <c r="Y638" s="326"/>
      <c r="Z638" s="326"/>
      <c r="AA638" s="326"/>
      <c r="AB638" s="326"/>
    </row>
    <row r="639" spans="1:28" s="263" customFormat="1" ht="9" customHeight="1" x14ac:dyDescent="0.25">
      <c r="A639" s="550" t="s">
        <v>31</v>
      </c>
      <c r="B639" s="638" t="s">
        <v>22</v>
      </c>
      <c r="C639" s="638" t="s">
        <v>22</v>
      </c>
      <c r="D639" s="639"/>
      <c r="E639" s="632">
        <f t="shared" si="58"/>
        <v>513</v>
      </c>
      <c r="F639" s="639"/>
      <c r="G639" s="639">
        <f t="shared" si="57"/>
        <v>287</v>
      </c>
      <c r="H639" s="632">
        <v>273</v>
      </c>
      <c r="I639" s="632">
        <v>14</v>
      </c>
      <c r="J639" s="550">
        <v>25</v>
      </c>
      <c r="K639" s="550">
        <v>91</v>
      </c>
      <c r="L639" s="639">
        <v>110</v>
      </c>
      <c r="V639" s="326"/>
      <c r="W639" s="326"/>
      <c r="X639" s="326"/>
      <c r="Y639" s="326"/>
      <c r="Z639" s="326"/>
      <c r="AA639" s="326"/>
      <c r="AB639" s="326"/>
    </row>
    <row r="640" spans="1:28" s="263" customFormat="1" ht="9" customHeight="1" x14ac:dyDescent="0.25">
      <c r="A640" s="550" t="s">
        <v>32</v>
      </c>
      <c r="B640" s="638" t="s">
        <v>22</v>
      </c>
      <c r="C640" s="638" t="s">
        <v>22</v>
      </c>
      <c r="D640" s="639"/>
      <c r="E640" s="632">
        <f t="shared" si="58"/>
        <v>4373</v>
      </c>
      <c r="F640" s="639"/>
      <c r="G640" s="639">
        <f t="shared" si="57"/>
        <v>2274</v>
      </c>
      <c r="H640" s="632">
        <v>2077</v>
      </c>
      <c r="I640" s="632">
        <v>197</v>
      </c>
      <c r="J640" s="639">
        <v>283</v>
      </c>
      <c r="K640" s="639">
        <v>895</v>
      </c>
      <c r="L640" s="639">
        <v>921</v>
      </c>
      <c r="V640" s="326"/>
      <c r="W640" s="326"/>
      <c r="X640" s="326"/>
      <c r="Y640" s="326"/>
      <c r="Z640" s="326"/>
      <c r="AA640" s="326"/>
      <c r="AB640" s="326"/>
    </row>
    <row r="641" spans="1:28" s="263" customFormat="1" ht="9" customHeight="1" x14ac:dyDescent="0.25">
      <c r="A641" s="603" t="s">
        <v>33</v>
      </c>
      <c r="B641" s="640" t="s">
        <v>22</v>
      </c>
      <c r="C641" s="640" t="s">
        <v>22</v>
      </c>
      <c r="D641" s="641"/>
      <c r="E641" s="634">
        <f t="shared" si="58"/>
        <v>1050</v>
      </c>
      <c r="F641" s="641"/>
      <c r="G641" s="641">
        <f t="shared" si="57"/>
        <v>547</v>
      </c>
      <c r="H641" s="634">
        <v>521</v>
      </c>
      <c r="I641" s="634">
        <v>26</v>
      </c>
      <c r="J641" s="641">
        <v>111</v>
      </c>
      <c r="K641" s="641">
        <v>183</v>
      </c>
      <c r="L641" s="641">
        <v>209</v>
      </c>
      <c r="V641" s="326"/>
      <c r="W641" s="326"/>
      <c r="X641" s="326"/>
      <c r="Y641" s="326"/>
      <c r="Z641" s="326"/>
      <c r="AA641" s="326"/>
      <c r="AB641" s="326"/>
    </row>
    <row r="642" spans="1:28" s="263" customFormat="1" ht="9" customHeight="1" x14ac:dyDescent="0.25">
      <c r="A642" s="550" t="s">
        <v>34</v>
      </c>
      <c r="B642" s="638" t="s">
        <v>22</v>
      </c>
      <c r="C642" s="638" t="s">
        <v>22</v>
      </c>
      <c r="D642" s="639"/>
      <c r="E642" s="632">
        <f t="shared" si="58"/>
        <v>1471</v>
      </c>
      <c r="F642" s="639"/>
      <c r="G642" s="639">
        <f t="shared" si="57"/>
        <v>765</v>
      </c>
      <c r="H642" s="632">
        <v>724</v>
      </c>
      <c r="I642" s="632">
        <v>41</v>
      </c>
      <c r="J642" s="639">
        <v>82</v>
      </c>
      <c r="K642" s="639">
        <v>232</v>
      </c>
      <c r="L642" s="639">
        <v>392</v>
      </c>
      <c r="V642" s="326"/>
      <c r="W642" s="326"/>
      <c r="X642" s="326"/>
      <c r="Y642" s="326"/>
      <c r="Z642" s="326"/>
      <c r="AA642" s="326"/>
      <c r="AB642" s="326"/>
    </row>
    <row r="643" spans="1:28" s="263" customFormat="1" ht="9" customHeight="1" x14ac:dyDescent="0.25">
      <c r="A643" s="550" t="s">
        <v>35</v>
      </c>
      <c r="B643" s="638" t="s">
        <v>22</v>
      </c>
      <c r="C643" s="638" t="s">
        <v>22</v>
      </c>
      <c r="D643" s="639"/>
      <c r="E643" s="632">
        <f t="shared" si="58"/>
        <v>8100</v>
      </c>
      <c r="F643" s="639"/>
      <c r="G643" s="639">
        <f t="shared" si="57"/>
        <v>4148</v>
      </c>
      <c r="H643" s="632">
        <v>3753</v>
      </c>
      <c r="I643" s="632">
        <v>395</v>
      </c>
      <c r="J643" s="639">
        <v>442</v>
      </c>
      <c r="K643" s="639">
        <v>1707</v>
      </c>
      <c r="L643" s="639">
        <v>1803</v>
      </c>
      <c r="V643" s="326"/>
      <c r="W643" s="326"/>
      <c r="X643" s="326"/>
      <c r="Y643" s="326"/>
      <c r="Z643" s="326"/>
      <c r="AA643" s="326"/>
      <c r="AB643" s="326"/>
    </row>
    <row r="644" spans="1:28" s="263" customFormat="1" ht="9" customHeight="1" x14ac:dyDescent="0.25">
      <c r="A644" s="550" t="s">
        <v>36</v>
      </c>
      <c r="B644" s="638" t="s">
        <v>22</v>
      </c>
      <c r="C644" s="638" t="s">
        <v>22</v>
      </c>
      <c r="D644" s="639"/>
      <c r="E644" s="632">
        <f t="shared" si="58"/>
        <v>7392</v>
      </c>
      <c r="F644" s="639"/>
      <c r="G644" s="639">
        <f t="shared" si="57"/>
        <v>3773</v>
      </c>
      <c r="H644" s="632">
        <v>3392</v>
      </c>
      <c r="I644" s="632">
        <v>381</v>
      </c>
      <c r="J644" s="639">
        <v>445</v>
      </c>
      <c r="K644" s="639">
        <v>1766</v>
      </c>
      <c r="L644" s="639">
        <v>1408</v>
      </c>
      <c r="V644" s="326"/>
      <c r="W644" s="326"/>
      <c r="X644" s="326"/>
      <c r="Y644" s="326"/>
      <c r="Z644" s="326"/>
      <c r="AA644" s="326"/>
      <c r="AB644" s="326"/>
    </row>
    <row r="645" spans="1:28" s="263" customFormat="1" ht="9" customHeight="1" x14ac:dyDescent="0.25">
      <c r="A645" s="603" t="s">
        <v>37</v>
      </c>
      <c r="B645" s="640" t="s">
        <v>22</v>
      </c>
      <c r="C645" s="640" t="s">
        <v>22</v>
      </c>
      <c r="D645" s="641"/>
      <c r="E645" s="634">
        <f t="shared" si="58"/>
        <v>2754</v>
      </c>
      <c r="F645" s="641"/>
      <c r="G645" s="641">
        <f t="shared" si="57"/>
        <v>1657</v>
      </c>
      <c r="H645" s="634">
        <v>1625</v>
      </c>
      <c r="I645" s="634">
        <v>32</v>
      </c>
      <c r="J645" s="641">
        <v>63</v>
      </c>
      <c r="K645" s="641">
        <v>517</v>
      </c>
      <c r="L645" s="641">
        <v>517</v>
      </c>
      <c r="V645" s="326"/>
      <c r="W645" s="326"/>
      <c r="X645" s="326"/>
      <c r="Y645" s="326"/>
      <c r="Z645" s="326"/>
      <c r="AA645" s="326"/>
      <c r="AB645" s="326"/>
    </row>
    <row r="646" spans="1:28" s="263" customFormat="1" ht="9" customHeight="1" x14ac:dyDescent="0.25">
      <c r="A646" s="550" t="s">
        <v>38</v>
      </c>
      <c r="B646" s="638" t="s">
        <v>22</v>
      </c>
      <c r="C646" s="638" t="s">
        <v>22</v>
      </c>
      <c r="D646" s="639"/>
      <c r="E646" s="632">
        <f t="shared" si="58"/>
        <v>814</v>
      </c>
      <c r="F646" s="639"/>
      <c r="G646" s="639">
        <f t="shared" si="57"/>
        <v>433</v>
      </c>
      <c r="H646" s="632">
        <v>407</v>
      </c>
      <c r="I646" s="632">
        <v>26</v>
      </c>
      <c r="J646" s="639">
        <v>43</v>
      </c>
      <c r="K646" s="639">
        <v>168</v>
      </c>
      <c r="L646" s="639">
        <v>170</v>
      </c>
      <c r="V646" s="326"/>
      <c r="W646" s="326"/>
      <c r="X646" s="326"/>
      <c r="Y646" s="326"/>
      <c r="Z646" s="326"/>
      <c r="AA646" s="326"/>
      <c r="AB646" s="326"/>
    </row>
    <row r="647" spans="1:28" s="263" customFormat="1" ht="9" customHeight="1" x14ac:dyDescent="0.25">
      <c r="A647" s="550" t="s">
        <v>39</v>
      </c>
      <c r="B647" s="638" t="s">
        <v>22</v>
      </c>
      <c r="C647" s="638" t="s">
        <v>22</v>
      </c>
      <c r="D647" s="639"/>
      <c r="E647" s="632">
        <f t="shared" si="58"/>
        <v>268</v>
      </c>
      <c r="F647" s="639"/>
      <c r="G647" s="639">
        <f t="shared" si="57"/>
        <v>101</v>
      </c>
      <c r="H647" s="632">
        <v>94</v>
      </c>
      <c r="I647" s="632">
        <v>7</v>
      </c>
      <c r="J647" s="639">
        <v>23</v>
      </c>
      <c r="K647" s="639">
        <v>46</v>
      </c>
      <c r="L647" s="639">
        <v>98</v>
      </c>
      <c r="V647" s="326"/>
      <c r="W647" s="326"/>
      <c r="X647" s="326"/>
      <c r="Y647" s="326"/>
      <c r="Z647" s="326"/>
      <c r="AA647" s="326"/>
      <c r="AB647" s="326"/>
    </row>
    <row r="648" spans="1:28" s="263" customFormat="1" ht="9" customHeight="1" x14ac:dyDescent="0.25">
      <c r="A648" s="550" t="s">
        <v>40</v>
      </c>
      <c r="B648" s="638" t="s">
        <v>22</v>
      </c>
      <c r="C648" s="638" t="s">
        <v>22</v>
      </c>
      <c r="D648" s="639"/>
      <c r="E648" s="632">
        <f t="shared" si="58"/>
        <v>10753</v>
      </c>
      <c r="F648" s="639"/>
      <c r="G648" s="639">
        <f t="shared" si="57"/>
        <v>5863</v>
      </c>
      <c r="H648" s="632">
        <v>5083</v>
      </c>
      <c r="I648" s="632">
        <v>780</v>
      </c>
      <c r="J648" s="639">
        <v>819</v>
      </c>
      <c r="K648" s="639">
        <v>2402</v>
      </c>
      <c r="L648" s="639">
        <v>1669</v>
      </c>
      <c r="V648" s="326"/>
      <c r="W648" s="326"/>
      <c r="X648" s="326"/>
      <c r="Y648" s="326"/>
      <c r="Z648" s="326"/>
      <c r="AA648" s="326"/>
      <c r="AB648" s="326"/>
    </row>
    <row r="649" spans="1:28" s="263" customFormat="1" ht="9" customHeight="1" x14ac:dyDescent="0.25">
      <c r="A649" s="603" t="s">
        <v>41</v>
      </c>
      <c r="B649" s="640" t="s">
        <v>22</v>
      </c>
      <c r="C649" s="640" t="s">
        <v>22</v>
      </c>
      <c r="D649" s="641"/>
      <c r="E649" s="634">
        <f t="shared" si="58"/>
        <v>1165</v>
      </c>
      <c r="F649" s="641"/>
      <c r="G649" s="641">
        <f t="shared" si="57"/>
        <v>599</v>
      </c>
      <c r="H649" s="634">
        <v>576</v>
      </c>
      <c r="I649" s="634">
        <v>23</v>
      </c>
      <c r="J649" s="641">
        <v>46</v>
      </c>
      <c r="K649" s="641">
        <v>233</v>
      </c>
      <c r="L649" s="641">
        <v>287</v>
      </c>
      <c r="V649" s="326"/>
      <c r="W649" s="326"/>
      <c r="X649" s="326"/>
      <c r="Y649" s="326"/>
      <c r="Z649" s="326"/>
      <c r="AA649" s="326"/>
      <c r="AB649" s="326"/>
    </row>
    <row r="650" spans="1:28" s="263" customFormat="1" ht="9" customHeight="1" x14ac:dyDescent="0.25">
      <c r="A650" s="550" t="s">
        <v>42</v>
      </c>
      <c r="B650" s="638" t="s">
        <v>22</v>
      </c>
      <c r="C650" s="638" t="s">
        <v>22</v>
      </c>
      <c r="D650" s="639"/>
      <c r="E650" s="632">
        <f t="shared" si="58"/>
        <v>3536</v>
      </c>
      <c r="F650" s="639"/>
      <c r="G650" s="639">
        <f t="shared" si="57"/>
        <v>1932</v>
      </c>
      <c r="H650" s="632">
        <v>1804</v>
      </c>
      <c r="I650" s="632">
        <v>128</v>
      </c>
      <c r="J650" s="639">
        <v>193</v>
      </c>
      <c r="K650" s="639">
        <v>700</v>
      </c>
      <c r="L650" s="639">
        <v>711</v>
      </c>
      <c r="V650" s="326"/>
      <c r="W650" s="326"/>
      <c r="X650" s="326"/>
      <c r="Y650" s="326"/>
      <c r="Z650" s="326"/>
      <c r="AA650" s="326"/>
      <c r="AB650" s="326"/>
    </row>
    <row r="651" spans="1:28" s="263" customFormat="1" ht="9" customHeight="1" x14ac:dyDescent="0.25">
      <c r="A651" s="550" t="s">
        <v>43</v>
      </c>
      <c r="B651" s="638" t="s">
        <v>22</v>
      </c>
      <c r="C651" s="638" t="s">
        <v>22</v>
      </c>
      <c r="D651" s="639"/>
      <c r="E651" s="632">
        <f t="shared" si="58"/>
        <v>1844</v>
      </c>
      <c r="F651" s="639"/>
      <c r="G651" s="639">
        <f t="shared" si="57"/>
        <v>916</v>
      </c>
      <c r="H651" s="632">
        <v>823</v>
      </c>
      <c r="I651" s="632">
        <v>93</v>
      </c>
      <c r="J651" s="639">
        <v>121</v>
      </c>
      <c r="K651" s="639">
        <v>399</v>
      </c>
      <c r="L651" s="639">
        <v>408</v>
      </c>
      <c r="V651" s="326"/>
      <c r="W651" s="326"/>
      <c r="X651" s="326"/>
      <c r="Y651" s="326"/>
      <c r="Z651" s="326"/>
      <c r="AA651" s="326"/>
      <c r="AB651" s="326"/>
    </row>
    <row r="652" spans="1:28" s="263" customFormat="1" ht="9" customHeight="1" x14ac:dyDescent="0.25">
      <c r="A652" s="550" t="s">
        <v>44</v>
      </c>
      <c r="B652" s="638" t="s">
        <v>22</v>
      </c>
      <c r="C652" s="638" t="s">
        <v>22</v>
      </c>
      <c r="D652" s="639"/>
      <c r="E652" s="632">
        <f t="shared" si="58"/>
        <v>880</v>
      </c>
      <c r="F652" s="639"/>
      <c r="G652" s="639">
        <f t="shared" si="57"/>
        <v>356</v>
      </c>
      <c r="H652" s="632">
        <v>317</v>
      </c>
      <c r="I652" s="632">
        <v>39</v>
      </c>
      <c r="J652" s="639">
        <v>58</v>
      </c>
      <c r="K652" s="639">
        <v>265</v>
      </c>
      <c r="L652" s="639">
        <v>201</v>
      </c>
      <c r="V652" s="326"/>
      <c r="W652" s="326"/>
      <c r="X652" s="326"/>
      <c r="Y652" s="326"/>
      <c r="Z652" s="326"/>
      <c r="AA652" s="326"/>
      <c r="AB652" s="326"/>
    </row>
    <row r="653" spans="1:28" s="263" customFormat="1" ht="9" customHeight="1" x14ac:dyDescent="0.25">
      <c r="A653" s="603" t="s">
        <v>45</v>
      </c>
      <c r="B653" s="640" t="s">
        <v>22</v>
      </c>
      <c r="C653" s="640" t="s">
        <v>22</v>
      </c>
      <c r="D653" s="641"/>
      <c r="E653" s="634">
        <f t="shared" si="58"/>
        <v>2382</v>
      </c>
      <c r="F653" s="641"/>
      <c r="G653" s="641">
        <f t="shared" si="57"/>
        <v>1099</v>
      </c>
      <c r="H653" s="634">
        <v>994</v>
      </c>
      <c r="I653" s="634">
        <v>105</v>
      </c>
      <c r="J653" s="641">
        <v>119</v>
      </c>
      <c r="K653" s="641">
        <v>589</v>
      </c>
      <c r="L653" s="641">
        <v>575</v>
      </c>
      <c r="V653" s="326"/>
      <c r="W653" s="326"/>
      <c r="X653" s="326"/>
      <c r="Y653" s="326"/>
      <c r="Z653" s="326"/>
      <c r="AA653" s="326"/>
      <c r="AB653" s="326"/>
    </row>
    <row r="654" spans="1:28" s="263" customFormat="1" ht="9" customHeight="1" x14ac:dyDescent="0.25">
      <c r="A654" s="550" t="s">
        <v>46</v>
      </c>
      <c r="B654" s="638" t="s">
        <v>22</v>
      </c>
      <c r="C654" s="638" t="s">
        <v>22</v>
      </c>
      <c r="D654" s="639"/>
      <c r="E654" s="632">
        <f t="shared" si="58"/>
        <v>1496</v>
      </c>
      <c r="F654" s="639"/>
      <c r="G654" s="639">
        <f t="shared" si="57"/>
        <v>841</v>
      </c>
      <c r="H654" s="632">
        <v>775</v>
      </c>
      <c r="I654" s="632">
        <v>66</v>
      </c>
      <c r="J654" s="639">
        <v>75</v>
      </c>
      <c r="K654" s="639">
        <v>292</v>
      </c>
      <c r="L654" s="639">
        <v>288</v>
      </c>
      <c r="V654" s="326"/>
      <c r="W654" s="326"/>
      <c r="X654" s="326"/>
      <c r="Y654" s="326"/>
      <c r="Z654" s="326"/>
      <c r="AA654" s="326"/>
      <c r="AB654" s="326"/>
    </row>
    <row r="655" spans="1:28" s="263" customFormat="1" ht="9" customHeight="1" x14ac:dyDescent="0.25">
      <c r="A655" s="550" t="s">
        <v>47</v>
      </c>
      <c r="B655" s="638" t="s">
        <v>22</v>
      </c>
      <c r="C655" s="638" t="s">
        <v>22</v>
      </c>
      <c r="D655" s="639"/>
      <c r="E655" s="632">
        <f t="shared" si="58"/>
        <v>2177</v>
      </c>
      <c r="F655" s="639"/>
      <c r="G655" s="639">
        <f t="shared" si="57"/>
        <v>1150</v>
      </c>
      <c r="H655" s="632">
        <v>1088</v>
      </c>
      <c r="I655" s="632">
        <v>62</v>
      </c>
      <c r="J655" s="639">
        <v>71</v>
      </c>
      <c r="K655" s="639">
        <v>416</v>
      </c>
      <c r="L655" s="639">
        <v>540</v>
      </c>
      <c r="V655" s="326"/>
      <c r="W655" s="326"/>
      <c r="X655" s="326"/>
      <c r="Y655" s="326"/>
      <c r="Z655" s="326"/>
      <c r="AA655" s="326"/>
      <c r="AB655" s="326"/>
    </row>
    <row r="656" spans="1:28" s="263" customFormat="1" ht="9" customHeight="1" x14ac:dyDescent="0.25">
      <c r="A656" s="550" t="s">
        <v>48</v>
      </c>
      <c r="B656" s="638" t="s">
        <v>22</v>
      </c>
      <c r="C656" s="638" t="s">
        <v>22</v>
      </c>
      <c r="D656" s="639"/>
      <c r="E656" s="632">
        <f t="shared" si="58"/>
        <v>1064</v>
      </c>
      <c r="F656" s="639"/>
      <c r="G656" s="639">
        <f t="shared" si="57"/>
        <v>536</v>
      </c>
      <c r="H656" s="632">
        <v>476</v>
      </c>
      <c r="I656" s="632">
        <v>60</v>
      </c>
      <c r="J656" s="639">
        <v>92</v>
      </c>
      <c r="K656" s="639">
        <v>245</v>
      </c>
      <c r="L656" s="639">
        <v>191</v>
      </c>
      <c r="V656" s="326"/>
      <c r="W656" s="326"/>
      <c r="X656" s="326"/>
      <c r="Y656" s="326"/>
      <c r="Z656" s="326"/>
      <c r="AA656" s="326"/>
      <c r="AB656" s="326"/>
    </row>
    <row r="657" spans="1:28" s="263" customFormat="1" ht="9" customHeight="1" x14ac:dyDescent="0.25">
      <c r="A657" s="603" t="s">
        <v>49</v>
      </c>
      <c r="B657" s="640" t="s">
        <v>22</v>
      </c>
      <c r="C657" s="640" t="s">
        <v>22</v>
      </c>
      <c r="D657" s="641"/>
      <c r="E657" s="634">
        <f t="shared" si="58"/>
        <v>2500</v>
      </c>
      <c r="F657" s="641"/>
      <c r="G657" s="641">
        <f t="shared" si="57"/>
        <v>1276</v>
      </c>
      <c r="H657" s="634">
        <v>1206</v>
      </c>
      <c r="I657" s="634">
        <v>70</v>
      </c>
      <c r="J657" s="641">
        <v>218</v>
      </c>
      <c r="K657" s="641">
        <v>532</v>
      </c>
      <c r="L657" s="641">
        <v>474</v>
      </c>
      <c r="V657" s="326"/>
      <c r="W657" s="326"/>
      <c r="X657" s="326"/>
      <c r="Y657" s="326"/>
      <c r="Z657" s="326"/>
      <c r="AA657" s="326"/>
      <c r="AB657" s="326"/>
    </row>
    <row r="658" spans="1:28" s="263" customFormat="1" ht="9" customHeight="1" x14ac:dyDescent="0.25">
      <c r="A658" s="550" t="s">
        <v>50</v>
      </c>
      <c r="B658" s="638" t="s">
        <v>22</v>
      </c>
      <c r="C658" s="638" t="s">
        <v>22</v>
      </c>
      <c r="D658" s="639"/>
      <c r="E658" s="632">
        <f t="shared" si="58"/>
        <v>369</v>
      </c>
      <c r="F658" s="639"/>
      <c r="G658" s="639">
        <f t="shared" si="57"/>
        <v>205</v>
      </c>
      <c r="H658" s="632">
        <v>194</v>
      </c>
      <c r="I658" s="632">
        <v>11</v>
      </c>
      <c r="J658" s="639">
        <v>12</v>
      </c>
      <c r="K658" s="639">
        <v>75</v>
      </c>
      <c r="L658" s="639">
        <v>77</v>
      </c>
      <c r="V658" s="326"/>
      <c r="W658" s="326"/>
      <c r="X658" s="326"/>
      <c r="Y658" s="326"/>
      <c r="Z658" s="326"/>
      <c r="AA658" s="326"/>
      <c r="AB658" s="326"/>
    </row>
    <row r="659" spans="1:28" s="263" customFormat="1" ht="9" customHeight="1" x14ac:dyDescent="0.25">
      <c r="A659" s="550" t="s">
        <v>51</v>
      </c>
      <c r="B659" s="638" t="s">
        <v>22</v>
      </c>
      <c r="C659" s="638" t="s">
        <v>22</v>
      </c>
      <c r="D659" s="639"/>
      <c r="E659" s="632">
        <f t="shared" si="58"/>
        <v>2412</v>
      </c>
      <c r="F659" s="639"/>
      <c r="G659" s="639">
        <f t="shared" si="57"/>
        <v>1250</v>
      </c>
      <c r="H659" s="632">
        <v>1178</v>
      </c>
      <c r="I659" s="632">
        <v>72</v>
      </c>
      <c r="J659" s="639">
        <v>106</v>
      </c>
      <c r="K659" s="639">
        <v>454</v>
      </c>
      <c r="L659" s="639">
        <v>602</v>
      </c>
      <c r="V659" s="326"/>
      <c r="W659" s="326"/>
      <c r="X659" s="326"/>
      <c r="Y659" s="326"/>
      <c r="Z659" s="326"/>
      <c r="AA659" s="326"/>
      <c r="AB659" s="326"/>
    </row>
    <row r="660" spans="1:28" s="263" customFormat="1" ht="9" customHeight="1" x14ac:dyDescent="0.25">
      <c r="A660" s="550" t="s">
        <v>52</v>
      </c>
      <c r="B660" s="638" t="s">
        <v>22</v>
      </c>
      <c r="C660" s="638" t="s">
        <v>22</v>
      </c>
      <c r="D660" s="639"/>
      <c r="E660" s="632">
        <f t="shared" si="58"/>
        <v>1796</v>
      </c>
      <c r="F660" s="639"/>
      <c r="G660" s="639">
        <f t="shared" si="57"/>
        <v>833</v>
      </c>
      <c r="H660" s="632">
        <v>802</v>
      </c>
      <c r="I660" s="632">
        <v>31</v>
      </c>
      <c r="J660" s="639">
        <v>8</v>
      </c>
      <c r="K660" s="639">
        <v>300</v>
      </c>
      <c r="L660" s="639">
        <v>655</v>
      </c>
      <c r="V660" s="326"/>
      <c r="W660" s="326"/>
      <c r="X660" s="326"/>
      <c r="Y660" s="326"/>
      <c r="Z660" s="326"/>
      <c r="AA660" s="326"/>
      <c r="AB660" s="326"/>
    </row>
    <row r="661" spans="1:28" s="263" customFormat="1" ht="9" customHeight="1" x14ac:dyDescent="0.25">
      <c r="A661" s="267" t="s">
        <v>53</v>
      </c>
      <c r="B661" s="599" t="s">
        <v>22</v>
      </c>
      <c r="C661" s="599" t="s">
        <v>22</v>
      </c>
      <c r="D661" s="328"/>
      <c r="E661" s="604">
        <f t="shared" si="58"/>
        <v>674</v>
      </c>
      <c r="F661" s="328"/>
      <c r="G661" s="328">
        <f t="shared" si="57"/>
        <v>338</v>
      </c>
      <c r="H661" s="604">
        <v>326</v>
      </c>
      <c r="I661" s="604">
        <v>12</v>
      </c>
      <c r="J661" s="328">
        <v>28</v>
      </c>
      <c r="K661" s="328">
        <v>107</v>
      </c>
      <c r="L661" s="328">
        <v>201</v>
      </c>
      <c r="V661" s="326"/>
      <c r="W661" s="326"/>
      <c r="X661" s="326"/>
      <c r="Y661" s="326"/>
      <c r="Z661" s="326"/>
      <c r="AA661" s="326"/>
      <c r="AB661" s="326"/>
    </row>
    <row r="662" spans="1:28" s="263" customFormat="1" ht="9" customHeight="1" x14ac:dyDescent="0.25">
      <c r="A662" s="286"/>
      <c r="B662" s="613"/>
      <c r="C662" s="613"/>
      <c r="D662" s="329"/>
      <c r="E662" s="605"/>
      <c r="F662" s="329"/>
      <c r="G662" s="329"/>
      <c r="H662" s="605"/>
      <c r="I662" s="605"/>
      <c r="J662" s="329"/>
      <c r="K662" s="329"/>
      <c r="L662" s="329"/>
      <c r="V662" s="326"/>
      <c r="W662" s="326"/>
      <c r="X662" s="326"/>
      <c r="Y662" s="326"/>
      <c r="Z662" s="326"/>
      <c r="AA662" s="326"/>
      <c r="AB662" s="326"/>
    </row>
    <row r="663" spans="1:28" s="263" customFormat="1" ht="9" customHeight="1" x14ac:dyDescent="0.25">
      <c r="A663" s="261">
        <v>2013</v>
      </c>
      <c r="B663" s="288"/>
      <c r="C663" s="262"/>
      <c r="D663" s="262"/>
      <c r="E663" s="262"/>
      <c r="F663" s="262"/>
      <c r="G663" s="262"/>
      <c r="H663" s="271"/>
      <c r="I663" s="262"/>
      <c r="J663" s="262"/>
      <c r="K663" s="262"/>
      <c r="L663" s="262"/>
      <c r="V663" s="326"/>
      <c r="W663" s="326"/>
      <c r="X663" s="326"/>
      <c r="Y663" s="326"/>
      <c r="Z663" s="326"/>
      <c r="AA663" s="326"/>
      <c r="AB663" s="326"/>
    </row>
    <row r="664" spans="1:28" s="263" customFormat="1" ht="9" customHeight="1" x14ac:dyDescent="0.25">
      <c r="A664" s="265" t="s">
        <v>21</v>
      </c>
      <c r="B664" s="325" t="s">
        <v>22</v>
      </c>
      <c r="C664" s="325" t="s">
        <v>22</v>
      </c>
      <c r="D664" s="325"/>
      <c r="E664" s="325">
        <f>SUM(E666:E697)</f>
        <v>91045</v>
      </c>
      <c r="F664" s="325"/>
      <c r="G664" s="325">
        <f t="shared" ref="G664:L664" si="59">SUM(G666:G697)</f>
        <v>45397</v>
      </c>
      <c r="H664" s="332">
        <f t="shared" si="59"/>
        <v>41128</v>
      </c>
      <c r="I664" s="325">
        <f t="shared" si="59"/>
        <v>4269</v>
      </c>
      <c r="J664" s="325">
        <f t="shared" si="59"/>
        <v>6365</v>
      </c>
      <c r="K664" s="325">
        <f t="shared" si="59"/>
        <v>21052</v>
      </c>
      <c r="L664" s="325">
        <f t="shared" si="59"/>
        <v>18231</v>
      </c>
      <c r="V664" s="326"/>
      <c r="W664" s="326"/>
      <c r="X664" s="326"/>
      <c r="Y664" s="326"/>
      <c r="Z664" s="326"/>
      <c r="AA664" s="326"/>
      <c r="AB664" s="326"/>
    </row>
    <row r="665" spans="1:28" s="263" customFormat="1" ht="3.95" customHeight="1" x14ac:dyDescent="0.25">
      <c r="A665" s="265"/>
      <c r="B665" s="325"/>
      <c r="C665" s="325"/>
      <c r="D665" s="325"/>
      <c r="E665" s="325"/>
      <c r="F665" s="325"/>
      <c r="G665" s="325"/>
      <c r="H665" s="325"/>
      <c r="I665" s="325"/>
      <c r="J665" s="325"/>
      <c r="K665" s="325"/>
      <c r="L665" s="325"/>
      <c r="V665" s="326"/>
      <c r="W665" s="326"/>
      <c r="X665" s="326"/>
      <c r="Y665" s="326"/>
      <c r="Z665" s="326"/>
      <c r="AA665" s="326"/>
      <c r="AB665" s="326"/>
    </row>
    <row r="666" spans="1:28" s="263" customFormat="1" ht="9" customHeight="1" x14ac:dyDescent="0.25">
      <c r="A666" s="550" t="s">
        <v>23</v>
      </c>
      <c r="B666" s="638" t="s">
        <v>22</v>
      </c>
      <c r="C666" s="638" t="s">
        <v>22</v>
      </c>
      <c r="D666" s="639"/>
      <c r="E666" s="632">
        <f>SUM(G666+J666+K666+L666)</f>
        <v>972</v>
      </c>
      <c r="F666" s="639"/>
      <c r="G666" s="639">
        <f>SUM(H666:I666)</f>
        <v>439</v>
      </c>
      <c r="H666" s="632">
        <v>412</v>
      </c>
      <c r="I666" s="632">
        <v>27</v>
      </c>
      <c r="J666" s="639">
        <v>97</v>
      </c>
      <c r="K666" s="639">
        <v>195</v>
      </c>
      <c r="L666" s="639">
        <v>241</v>
      </c>
      <c r="V666" s="326"/>
      <c r="W666" s="326"/>
      <c r="X666" s="326"/>
      <c r="Y666" s="326"/>
      <c r="Z666" s="326"/>
      <c r="AA666" s="326"/>
      <c r="AB666" s="326"/>
    </row>
    <row r="667" spans="1:28" s="263" customFormat="1" ht="9" customHeight="1" x14ac:dyDescent="0.25">
      <c r="A667" s="550" t="s">
        <v>24</v>
      </c>
      <c r="B667" s="638" t="s">
        <v>22</v>
      </c>
      <c r="C667" s="638" t="s">
        <v>22</v>
      </c>
      <c r="D667" s="639"/>
      <c r="E667" s="632">
        <f>SUM(G667+J667+K667+L667)</f>
        <v>2865</v>
      </c>
      <c r="F667" s="638"/>
      <c r="G667" s="639">
        <f t="shared" ref="G667:G697" si="60">SUM(H667:I667)</f>
        <v>1255</v>
      </c>
      <c r="H667" s="638">
        <v>1241</v>
      </c>
      <c r="I667" s="638">
        <v>14</v>
      </c>
      <c r="J667" s="638">
        <v>139</v>
      </c>
      <c r="K667" s="638">
        <v>739</v>
      </c>
      <c r="L667" s="638">
        <v>732</v>
      </c>
      <c r="P667" s="600"/>
      <c r="V667" s="326"/>
      <c r="W667" s="326"/>
      <c r="X667" s="326"/>
      <c r="Y667" s="326"/>
      <c r="Z667" s="326"/>
      <c r="AA667" s="326"/>
      <c r="AB667" s="326"/>
    </row>
    <row r="668" spans="1:28" s="263" customFormat="1" ht="9" customHeight="1" x14ac:dyDescent="0.25">
      <c r="A668" s="550" t="s">
        <v>25</v>
      </c>
      <c r="B668" s="638" t="s">
        <v>22</v>
      </c>
      <c r="C668" s="638" t="s">
        <v>22</v>
      </c>
      <c r="D668" s="639"/>
      <c r="E668" s="632">
        <f t="shared" ref="E668:E697" si="61">SUM(G668+J668+K668+L668)</f>
        <v>347</v>
      </c>
      <c r="F668" s="639"/>
      <c r="G668" s="639">
        <f t="shared" si="60"/>
        <v>126</v>
      </c>
      <c r="H668" s="632">
        <v>118</v>
      </c>
      <c r="I668" s="632">
        <v>8</v>
      </c>
      <c r="J668" s="639">
        <v>68</v>
      </c>
      <c r="K668" s="639">
        <v>76</v>
      </c>
      <c r="L668" s="639">
        <v>77</v>
      </c>
      <c r="P668" s="600"/>
      <c r="V668" s="326"/>
      <c r="W668" s="326"/>
      <c r="X668" s="326"/>
      <c r="Y668" s="326"/>
      <c r="Z668" s="326"/>
      <c r="AA668" s="326"/>
      <c r="AB668" s="326"/>
    </row>
    <row r="669" spans="1:28" s="263" customFormat="1" ht="9" customHeight="1" x14ac:dyDescent="0.25">
      <c r="A669" s="603" t="s">
        <v>26</v>
      </c>
      <c r="B669" s="640" t="s">
        <v>22</v>
      </c>
      <c r="C669" s="640" t="s">
        <v>22</v>
      </c>
      <c r="D669" s="641"/>
      <c r="E669" s="634">
        <f t="shared" si="61"/>
        <v>239</v>
      </c>
      <c r="F669" s="641"/>
      <c r="G669" s="641">
        <f t="shared" si="60"/>
        <v>133</v>
      </c>
      <c r="H669" s="634">
        <v>106</v>
      </c>
      <c r="I669" s="634">
        <v>27</v>
      </c>
      <c r="J669" s="641">
        <v>16</v>
      </c>
      <c r="K669" s="641">
        <v>55</v>
      </c>
      <c r="L669" s="641">
        <v>35</v>
      </c>
      <c r="P669" s="600"/>
      <c r="V669" s="326"/>
      <c r="W669" s="326"/>
      <c r="X669" s="326"/>
      <c r="Y669" s="326"/>
      <c r="Z669" s="326"/>
      <c r="AA669" s="326"/>
      <c r="AB669" s="326"/>
    </row>
    <row r="670" spans="1:28" s="263" customFormat="1" ht="9" customHeight="1" x14ac:dyDescent="0.25">
      <c r="A670" s="550" t="s">
        <v>27</v>
      </c>
      <c r="B670" s="638" t="s">
        <v>22</v>
      </c>
      <c r="C670" s="638" t="s">
        <v>22</v>
      </c>
      <c r="D670" s="639"/>
      <c r="E670" s="632">
        <f t="shared" si="61"/>
        <v>2356</v>
      </c>
      <c r="F670" s="639"/>
      <c r="G670" s="639">
        <f t="shared" si="60"/>
        <v>1043</v>
      </c>
      <c r="H670" s="632">
        <v>985</v>
      </c>
      <c r="I670" s="632">
        <v>58</v>
      </c>
      <c r="J670" s="639">
        <v>103</v>
      </c>
      <c r="K670" s="639">
        <v>910</v>
      </c>
      <c r="L670" s="639">
        <v>300</v>
      </c>
      <c r="P670" s="600"/>
      <c r="V670" s="326"/>
      <c r="W670" s="326"/>
      <c r="X670" s="326"/>
      <c r="Y670" s="326"/>
      <c r="Z670" s="326"/>
      <c r="AA670" s="326"/>
      <c r="AB670" s="326"/>
    </row>
    <row r="671" spans="1:28" s="263" customFormat="1" ht="9" customHeight="1" x14ac:dyDescent="0.25">
      <c r="A671" s="550" t="s">
        <v>28</v>
      </c>
      <c r="B671" s="638" t="s">
        <v>22</v>
      </c>
      <c r="C671" s="638" t="s">
        <v>22</v>
      </c>
      <c r="D671" s="639"/>
      <c r="E671" s="632">
        <f t="shared" si="61"/>
        <v>326</v>
      </c>
      <c r="F671" s="639"/>
      <c r="G671" s="639">
        <f t="shared" si="60"/>
        <v>177</v>
      </c>
      <c r="H671" s="632">
        <v>155</v>
      </c>
      <c r="I671" s="632">
        <v>22</v>
      </c>
      <c r="J671" s="639">
        <v>13</v>
      </c>
      <c r="K671" s="639">
        <v>53</v>
      </c>
      <c r="L671" s="639">
        <v>83</v>
      </c>
      <c r="P671" s="600"/>
      <c r="V671" s="326"/>
      <c r="W671" s="326"/>
      <c r="X671" s="326"/>
      <c r="Y671" s="326"/>
      <c r="Z671" s="326"/>
      <c r="AA671" s="326"/>
      <c r="AB671" s="326"/>
    </row>
    <row r="672" spans="1:28" s="263" customFormat="1" ht="9" customHeight="1" x14ac:dyDescent="0.25">
      <c r="A672" s="550" t="s">
        <v>29</v>
      </c>
      <c r="B672" s="638" t="s">
        <v>22</v>
      </c>
      <c r="C672" s="638" t="s">
        <v>22</v>
      </c>
      <c r="D672" s="639"/>
      <c r="E672" s="632">
        <f t="shared" si="61"/>
        <v>951</v>
      </c>
      <c r="F672" s="639"/>
      <c r="G672" s="639">
        <f t="shared" si="60"/>
        <v>559</v>
      </c>
      <c r="H672" s="632">
        <v>533</v>
      </c>
      <c r="I672" s="632">
        <v>26</v>
      </c>
      <c r="J672" s="639">
        <v>26</v>
      </c>
      <c r="K672" s="639">
        <v>125</v>
      </c>
      <c r="L672" s="639">
        <v>241</v>
      </c>
      <c r="P672" s="600"/>
      <c r="V672" s="326"/>
      <c r="W672" s="326"/>
      <c r="X672" s="326"/>
      <c r="Y672" s="326"/>
      <c r="Z672" s="326"/>
      <c r="AA672" s="326"/>
      <c r="AB672" s="326"/>
    </row>
    <row r="673" spans="1:28" s="263" customFormat="1" ht="9" customHeight="1" x14ac:dyDescent="0.25">
      <c r="A673" s="603" t="s">
        <v>30</v>
      </c>
      <c r="B673" s="640" t="s">
        <v>22</v>
      </c>
      <c r="C673" s="640" t="s">
        <v>22</v>
      </c>
      <c r="D673" s="641"/>
      <c r="E673" s="634">
        <f t="shared" si="61"/>
        <v>3766</v>
      </c>
      <c r="F673" s="641"/>
      <c r="G673" s="641">
        <f t="shared" si="60"/>
        <v>2117</v>
      </c>
      <c r="H673" s="634">
        <v>1885</v>
      </c>
      <c r="I673" s="634">
        <v>232</v>
      </c>
      <c r="J673" s="641">
        <v>221</v>
      </c>
      <c r="K673" s="641">
        <v>688</v>
      </c>
      <c r="L673" s="641">
        <v>740</v>
      </c>
      <c r="P673" s="600"/>
      <c r="V673" s="326"/>
      <c r="W673" s="326"/>
      <c r="X673" s="326"/>
      <c r="Y673" s="326"/>
      <c r="Z673" s="326"/>
      <c r="AA673" s="326"/>
      <c r="AB673" s="326"/>
    </row>
    <row r="674" spans="1:28" s="263" customFormat="1" ht="9" customHeight="1" x14ac:dyDescent="0.25">
      <c r="A674" s="550" t="s">
        <v>63</v>
      </c>
      <c r="B674" s="638" t="s">
        <v>22</v>
      </c>
      <c r="C674" s="638" t="s">
        <v>22</v>
      </c>
      <c r="D674" s="639"/>
      <c r="E674" s="632">
        <f t="shared" si="61"/>
        <v>18827</v>
      </c>
      <c r="F674" s="639"/>
      <c r="G674" s="639">
        <f t="shared" si="60"/>
        <v>8476</v>
      </c>
      <c r="H674" s="632">
        <v>7183</v>
      </c>
      <c r="I674" s="632">
        <v>1293</v>
      </c>
      <c r="J674" s="639">
        <v>2084</v>
      </c>
      <c r="K674" s="639">
        <v>4817</v>
      </c>
      <c r="L674" s="639">
        <v>3450</v>
      </c>
      <c r="P674" s="600"/>
      <c r="V674" s="326"/>
      <c r="W674" s="326"/>
      <c r="X674" s="326"/>
      <c r="Y674" s="326"/>
      <c r="Z674" s="326"/>
      <c r="AA674" s="326"/>
      <c r="AB674" s="326"/>
    </row>
    <row r="675" spans="1:28" s="263" customFormat="1" ht="9" customHeight="1" x14ac:dyDescent="0.25">
      <c r="A675" s="550" t="s">
        <v>31</v>
      </c>
      <c r="B675" s="638" t="s">
        <v>22</v>
      </c>
      <c r="C675" s="638" t="s">
        <v>22</v>
      </c>
      <c r="D675" s="639"/>
      <c r="E675" s="632">
        <f t="shared" si="61"/>
        <v>534</v>
      </c>
      <c r="F675" s="639"/>
      <c r="G675" s="639">
        <f t="shared" si="60"/>
        <v>305</v>
      </c>
      <c r="H675" s="632">
        <v>289</v>
      </c>
      <c r="I675" s="632">
        <v>16</v>
      </c>
      <c r="J675" s="550">
        <v>21</v>
      </c>
      <c r="K675" s="550">
        <v>88</v>
      </c>
      <c r="L675" s="639">
        <v>120</v>
      </c>
      <c r="P675" s="600"/>
      <c r="V675" s="326"/>
      <c r="W675" s="326"/>
      <c r="X675" s="326"/>
      <c r="Y675" s="326"/>
      <c r="Z675" s="326"/>
      <c r="AA675" s="326"/>
      <c r="AB675" s="326"/>
    </row>
    <row r="676" spans="1:28" s="263" customFormat="1" ht="9" customHeight="1" x14ac:dyDescent="0.25">
      <c r="A676" s="550" t="s">
        <v>32</v>
      </c>
      <c r="B676" s="638" t="s">
        <v>22</v>
      </c>
      <c r="C676" s="638" t="s">
        <v>22</v>
      </c>
      <c r="D676" s="639"/>
      <c r="E676" s="632">
        <f t="shared" si="61"/>
        <v>4416</v>
      </c>
      <c r="F676" s="639"/>
      <c r="G676" s="639">
        <f t="shared" si="60"/>
        <v>2204</v>
      </c>
      <c r="H676" s="632">
        <v>2034</v>
      </c>
      <c r="I676" s="632">
        <v>170</v>
      </c>
      <c r="J676" s="639">
        <v>266</v>
      </c>
      <c r="K676" s="639">
        <v>1079</v>
      </c>
      <c r="L676" s="639">
        <v>867</v>
      </c>
      <c r="P676" s="600"/>
      <c r="V676" s="326"/>
      <c r="W676" s="326"/>
      <c r="X676" s="326"/>
      <c r="Y676" s="326"/>
      <c r="Z676" s="326"/>
      <c r="AA676" s="326"/>
      <c r="AB676" s="326"/>
    </row>
    <row r="677" spans="1:28" s="263" customFormat="1" ht="9" customHeight="1" x14ac:dyDescent="0.25">
      <c r="A677" s="603" t="s">
        <v>33</v>
      </c>
      <c r="B677" s="640" t="s">
        <v>22</v>
      </c>
      <c r="C677" s="640" t="s">
        <v>22</v>
      </c>
      <c r="D677" s="641"/>
      <c r="E677" s="634">
        <f t="shared" si="61"/>
        <v>990</v>
      </c>
      <c r="F677" s="641"/>
      <c r="G677" s="641">
        <f t="shared" si="60"/>
        <v>566</v>
      </c>
      <c r="H677" s="634">
        <v>546</v>
      </c>
      <c r="I677" s="634">
        <v>20</v>
      </c>
      <c r="J677" s="641">
        <v>35</v>
      </c>
      <c r="K677" s="641">
        <v>152</v>
      </c>
      <c r="L677" s="641">
        <v>237</v>
      </c>
      <c r="P677" s="600"/>
      <c r="V677" s="326"/>
      <c r="W677" s="326"/>
      <c r="X677" s="326"/>
      <c r="Y677" s="326"/>
      <c r="Z677" s="326"/>
      <c r="AA677" s="326"/>
      <c r="AB677" s="326"/>
    </row>
    <row r="678" spans="1:28" s="263" customFormat="1" ht="9" customHeight="1" x14ac:dyDescent="0.25">
      <c r="A678" s="550" t="s">
        <v>34</v>
      </c>
      <c r="B678" s="638" t="s">
        <v>22</v>
      </c>
      <c r="C678" s="638" t="s">
        <v>22</v>
      </c>
      <c r="D678" s="639"/>
      <c r="E678" s="632">
        <f t="shared" si="61"/>
        <v>1465</v>
      </c>
      <c r="F678" s="639"/>
      <c r="G678" s="639">
        <f t="shared" si="60"/>
        <v>760</v>
      </c>
      <c r="H678" s="632">
        <v>697</v>
      </c>
      <c r="I678" s="632">
        <v>63</v>
      </c>
      <c r="J678" s="639">
        <v>113</v>
      </c>
      <c r="K678" s="639">
        <v>264</v>
      </c>
      <c r="L678" s="639">
        <v>328</v>
      </c>
      <c r="P678" s="600"/>
      <c r="V678" s="326"/>
      <c r="W678" s="326"/>
      <c r="X678" s="326"/>
      <c r="Y678" s="326"/>
      <c r="Z678" s="326"/>
      <c r="AA678" s="326"/>
      <c r="AB678" s="326"/>
    </row>
    <row r="679" spans="1:28" s="263" customFormat="1" ht="9" customHeight="1" x14ac:dyDescent="0.25">
      <c r="A679" s="550" t="s">
        <v>35</v>
      </c>
      <c r="B679" s="638" t="s">
        <v>22</v>
      </c>
      <c r="C679" s="638" t="s">
        <v>22</v>
      </c>
      <c r="D679" s="639"/>
      <c r="E679" s="632">
        <f t="shared" si="61"/>
        <v>8218</v>
      </c>
      <c r="F679" s="639"/>
      <c r="G679" s="639">
        <f t="shared" si="60"/>
        <v>4138</v>
      </c>
      <c r="H679" s="632">
        <v>3767</v>
      </c>
      <c r="I679" s="632">
        <v>371</v>
      </c>
      <c r="J679" s="639">
        <v>470</v>
      </c>
      <c r="K679" s="639">
        <v>1786</v>
      </c>
      <c r="L679" s="639">
        <v>1824</v>
      </c>
      <c r="P679" s="600"/>
      <c r="V679" s="326"/>
      <c r="W679" s="326"/>
      <c r="X679" s="326"/>
      <c r="Y679" s="326"/>
      <c r="Z679" s="326"/>
      <c r="AA679" s="326"/>
      <c r="AB679" s="326"/>
    </row>
    <row r="680" spans="1:28" s="263" customFormat="1" ht="9" customHeight="1" x14ac:dyDescent="0.25">
      <c r="A680" s="550" t="s">
        <v>36</v>
      </c>
      <c r="B680" s="638" t="s">
        <v>22</v>
      </c>
      <c r="C680" s="638" t="s">
        <v>22</v>
      </c>
      <c r="D680" s="639"/>
      <c r="E680" s="632">
        <f t="shared" si="61"/>
        <v>7469</v>
      </c>
      <c r="F680" s="639"/>
      <c r="G680" s="639">
        <f t="shared" si="60"/>
        <v>3800</v>
      </c>
      <c r="H680" s="632">
        <v>3443</v>
      </c>
      <c r="I680" s="632">
        <v>357</v>
      </c>
      <c r="J680" s="639">
        <v>457</v>
      </c>
      <c r="K680" s="639">
        <v>1747</v>
      </c>
      <c r="L680" s="639">
        <v>1465</v>
      </c>
      <c r="P680" s="600"/>
      <c r="V680" s="326"/>
      <c r="W680" s="326"/>
      <c r="X680" s="326"/>
      <c r="Y680" s="326"/>
      <c r="Z680" s="326"/>
      <c r="AA680" s="326"/>
      <c r="AB680" s="326"/>
    </row>
    <row r="681" spans="1:28" s="263" customFormat="1" ht="9" customHeight="1" x14ac:dyDescent="0.25">
      <c r="A681" s="603" t="s">
        <v>37</v>
      </c>
      <c r="B681" s="640" t="s">
        <v>22</v>
      </c>
      <c r="C681" s="640" t="s">
        <v>22</v>
      </c>
      <c r="D681" s="641"/>
      <c r="E681" s="634">
        <f t="shared" si="61"/>
        <v>2766</v>
      </c>
      <c r="F681" s="641"/>
      <c r="G681" s="641">
        <f t="shared" si="60"/>
        <v>1633</v>
      </c>
      <c r="H681" s="634">
        <v>1599</v>
      </c>
      <c r="I681" s="634">
        <v>34</v>
      </c>
      <c r="J681" s="641">
        <v>116</v>
      </c>
      <c r="K681" s="641">
        <v>507</v>
      </c>
      <c r="L681" s="641">
        <v>510</v>
      </c>
      <c r="P681" s="600"/>
      <c r="V681" s="326"/>
      <c r="W681" s="326"/>
      <c r="X681" s="326"/>
      <c r="Y681" s="326"/>
      <c r="Z681" s="326"/>
      <c r="AA681" s="326"/>
      <c r="AB681" s="326"/>
    </row>
    <row r="682" spans="1:28" s="263" customFormat="1" ht="9" customHeight="1" x14ac:dyDescent="0.25">
      <c r="A682" s="550" t="s">
        <v>38</v>
      </c>
      <c r="B682" s="638" t="s">
        <v>22</v>
      </c>
      <c r="C682" s="638" t="s">
        <v>22</v>
      </c>
      <c r="D682" s="639"/>
      <c r="E682" s="632">
        <f t="shared" si="61"/>
        <v>854</v>
      </c>
      <c r="F682" s="639"/>
      <c r="G682" s="639">
        <f t="shared" si="60"/>
        <v>459</v>
      </c>
      <c r="H682" s="632">
        <v>435</v>
      </c>
      <c r="I682" s="632">
        <v>24</v>
      </c>
      <c r="J682" s="639">
        <v>39</v>
      </c>
      <c r="K682" s="639">
        <v>181</v>
      </c>
      <c r="L682" s="639">
        <v>175</v>
      </c>
      <c r="P682" s="600"/>
      <c r="V682" s="326"/>
      <c r="W682" s="326"/>
      <c r="X682" s="326"/>
      <c r="Y682" s="326"/>
      <c r="Z682" s="326"/>
      <c r="AA682" s="326"/>
      <c r="AB682" s="326"/>
    </row>
    <row r="683" spans="1:28" s="263" customFormat="1" ht="9" customHeight="1" x14ac:dyDescent="0.25">
      <c r="A683" s="550" t="s">
        <v>39</v>
      </c>
      <c r="B683" s="638" t="s">
        <v>22</v>
      </c>
      <c r="C683" s="638" t="s">
        <v>22</v>
      </c>
      <c r="D683" s="639"/>
      <c r="E683" s="632">
        <f t="shared" si="61"/>
        <v>234</v>
      </c>
      <c r="F683" s="639"/>
      <c r="G683" s="639">
        <f t="shared" si="60"/>
        <v>97</v>
      </c>
      <c r="H683" s="632">
        <v>87</v>
      </c>
      <c r="I683" s="632">
        <v>10</v>
      </c>
      <c r="J683" s="639">
        <v>7</v>
      </c>
      <c r="K683" s="639">
        <v>42</v>
      </c>
      <c r="L683" s="639">
        <v>88</v>
      </c>
      <c r="P683" s="600"/>
      <c r="V683" s="326"/>
      <c r="W683" s="326"/>
      <c r="X683" s="326"/>
      <c r="Y683" s="326"/>
      <c r="Z683" s="326"/>
      <c r="AA683" s="326"/>
      <c r="AB683" s="326"/>
    </row>
    <row r="684" spans="1:28" s="263" customFormat="1" ht="9" customHeight="1" x14ac:dyDescent="0.25">
      <c r="A684" s="550" t="s">
        <v>40</v>
      </c>
      <c r="B684" s="638" t="s">
        <v>22</v>
      </c>
      <c r="C684" s="638" t="s">
        <v>22</v>
      </c>
      <c r="D684" s="639"/>
      <c r="E684" s="632">
        <f t="shared" si="61"/>
        <v>11075</v>
      </c>
      <c r="F684" s="639"/>
      <c r="G684" s="639">
        <f t="shared" si="60"/>
        <v>5825</v>
      </c>
      <c r="H684" s="632">
        <v>5161</v>
      </c>
      <c r="I684" s="632">
        <v>664</v>
      </c>
      <c r="J684" s="639">
        <v>949</v>
      </c>
      <c r="K684" s="639">
        <v>2543</v>
      </c>
      <c r="L684" s="639">
        <v>1758</v>
      </c>
      <c r="P684" s="600"/>
      <c r="V684" s="326"/>
      <c r="W684" s="326"/>
      <c r="X684" s="326"/>
      <c r="Y684" s="326"/>
      <c r="Z684" s="326"/>
      <c r="AA684" s="326"/>
      <c r="AB684" s="326"/>
    </row>
    <row r="685" spans="1:28" s="263" customFormat="1" ht="9" customHeight="1" x14ac:dyDescent="0.25">
      <c r="A685" s="603" t="s">
        <v>41</v>
      </c>
      <c r="B685" s="640" t="s">
        <v>22</v>
      </c>
      <c r="C685" s="640" t="s">
        <v>22</v>
      </c>
      <c r="D685" s="641"/>
      <c r="E685" s="634">
        <f t="shared" si="61"/>
        <v>1138</v>
      </c>
      <c r="F685" s="641"/>
      <c r="G685" s="641">
        <f t="shared" si="60"/>
        <v>579</v>
      </c>
      <c r="H685" s="634">
        <v>556</v>
      </c>
      <c r="I685" s="634">
        <v>23</v>
      </c>
      <c r="J685" s="641">
        <v>53</v>
      </c>
      <c r="K685" s="641">
        <v>218</v>
      </c>
      <c r="L685" s="641">
        <v>288</v>
      </c>
      <c r="P685" s="600"/>
      <c r="V685" s="326"/>
      <c r="W685" s="326"/>
      <c r="X685" s="326"/>
      <c r="Y685" s="326"/>
      <c r="Z685" s="326"/>
      <c r="AA685" s="326"/>
      <c r="AB685" s="326"/>
    </row>
    <row r="686" spans="1:28" s="263" customFormat="1" ht="9" customHeight="1" x14ac:dyDescent="0.25">
      <c r="A686" s="550" t="s">
        <v>42</v>
      </c>
      <c r="B686" s="638" t="s">
        <v>22</v>
      </c>
      <c r="C686" s="638" t="s">
        <v>22</v>
      </c>
      <c r="D686" s="639"/>
      <c r="E686" s="632">
        <f t="shared" si="61"/>
        <v>3769</v>
      </c>
      <c r="F686" s="639"/>
      <c r="G686" s="639">
        <f t="shared" si="60"/>
        <v>1945</v>
      </c>
      <c r="H686" s="632">
        <v>1852</v>
      </c>
      <c r="I686" s="632">
        <v>93</v>
      </c>
      <c r="J686" s="639">
        <v>190</v>
      </c>
      <c r="K686" s="639">
        <v>1097</v>
      </c>
      <c r="L686" s="639">
        <v>537</v>
      </c>
      <c r="P686" s="600"/>
      <c r="V686" s="326"/>
      <c r="W686" s="326"/>
      <c r="X686" s="326"/>
      <c r="Y686" s="326"/>
      <c r="Z686" s="326"/>
      <c r="AA686" s="326"/>
      <c r="AB686" s="326"/>
    </row>
    <row r="687" spans="1:28" s="263" customFormat="1" ht="9" customHeight="1" x14ac:dyDescent="0.25">
      <c r="A687" s="550" t="s">
        <v>43</v>
      </c>
      <c r="B687" s="638" t="s">
        <v>22</v>
      </c>
      <c r="C687" s="638" t="s">
        <v>22</v>
      </c>
      <c r="D687" s="639"/>
      <c r="E687" s="632">
        <f t="shared" si="61"/>
        <v>2045</v>
      </c>
      <c r="F687" s="639"/>
      <c r="G687" s="639">
        <f t="shared" si="60"/>
        <v>987</v>
      </c>
      <c r="H687" s="632">
        <v>842</v>
      </c>
      <c r="I687" s="632">
        <v>145</v>
      </c>
      <c r="J687" s="639">
        <v>136</v>
      </c>
      <c r="K687" s="639">
        <v>489</v>
      </c>
      <c r="L687" s="639">
        <v>433</v>
      </c>
      <c r="P687" s="600"/>
      <c r="V687" s="326"/>
      <c r="W687" s="326"/>
      <c r="X687" s="326"/>
      <c r="Y687" s="326"/>
      <c r="Z687" s="326"/>
      <c r="AA687" s="326"/>
      <c r="AB687" s="326"/>
    </row>
    <row r="688" spans="1:28" s="263" customFormat="1" ht="9" customHeight="1" x14ac:dyDescent="0.25">
      <c r="A688" s="550" t="s">
        <v>44</v>
      </c>
      <c r="B688" s="638" t="s">
        <v>22</v>
      </c>
      <c r="C688" s="638" t="s">
        <v>22</v>
      </c>
      <c r="D688" s="639"/>
      <c r="E688" s="632">
        <f t="shared" si="61"/>
        <v>888</v>
      </c>
      <c r="F688" s="639"/>
      <c r="G688" s="639">
        <f t="shared" si="60"/>
        <v>377</v>
      </c>
      <c r="H688" s="632">
        <v>325</v>
      </c>
      <c r="I688" s="632">
        <v>52</v>
      </c>
      <c r="J688" s="639">
        <v>55</v>
      </c>
      <c r="K688" s="639">
        <v>265</v>
      </c>
      <c r="L688" s="639">
        <v>191</v>
      </c>
      <c r="P688" s="600"/>
      <c r="V688" s="326"/>
      <c r="W688" s="326"/>
      <c r="X688" s="326"/>
      <c r="Y688" s="326"/>
      <c r="Z688" s="326"/>
      <c r="AA688" s="326"/>
      <c r="AB688" s="326"/>
    </row>
    <row r="689" spans="1:28" s="263" customFormat="1" ht="9" customHeight="1" x14ac:dyDescent="0.25">
      <c r="A689" s="603" t="s">
        <v>45</v>
      </c>
      <c r="B689" s="640" t="s">
        <v>22</v>
      </c>
      <c r="C689" s="640" t="s">
        <v>22</v>
      </c>
      <c r="D689" s="641"/>
      <c r="E689" s="634">
        <f t="shared" si="61"/>
        <v>2439</v>
      </c>
      <c r="F689" s="641"/>
      <c r="G689" s="641">
        <f t="shared" si="60"/>
        <v>1151</v>
      </c>
      <c r="H689" s="634">
        <v>1010</v>
      </c>
      <c r="I689" s="634">
        <v>141</v>
      </c>
      <c r="J689" s="641">
        <v>130</v>
      </c>
      <c r="K689" s="641">
        <v>625</v>
      </c>
      <c r="L689" s="641">
        <v>533</v>
      </c>
      <c r="P689" s="600"/>
      <c r="V689" s="326"/>
      <c r="W689" s="326"/>
      <c r="X689" s="326"/>
      <c r="Y689" s="326"/>
      <c r="Z689" s="326"/>
      <c r="AA689" s="326"/>
      <c r="AB689" s="326"/>
    </row>
    <row r="690" spans="1:28" s="263" customFormat="1" ht="9" customHeight="1" x14ac:dyDescent="0.25">
      <c r="A690" s="550" t="s">
        <v>46</v>
      </c>
      <c r="B690" s="638" t="s">
        <v>22</v>
      </c>
      <c r="C690" s="638" t="s">
        <v>22</v>
      </c>
      <c r="D690" s="639"/>
      <c r="E690" s="632">
        <f t="shared" si="61"/>
        <v>1537</v>
      </c>
      <c r="F690" s="639"/>
      <c r="G690" s="639">
        <f t="shared" si="60"/>
        <v>858</v>
      </c>
      <c r="H690" s="632">
        <v>789</v>
      </c>
      <c r="I690" s="632">
        <v>69</v>
      </c>
      <c r="J690" s="639">
        <v>88</v>
      </c>
      <c r="K690" s="639">
        <v>299</v>
      </c>
      <c r="L690" s="639">
        <v>292</v>
      </c>
      <c r="P690" s="600"/>
      <c r="V690" s="326"/>
      <c r="W690" s="326"/>
      <c r="X690" s="326"/>
      <c r="Y690" s="326"/>
      <c r="Z690" s="326"/>
      <c r="AA690" s="326"/>
      <c r="AB690" s="326"/>
    </row>
    <row r="691" spans="1:28" s="263" customFormat="1" ht="9" customHeight="1" x14ac:dyDescent="0.25">
      <c r="A691" s="550" t="s">
        <v>47</v>
      </c>
      <c r="B691" s="638" t="s">
        <v>22</v>
      </c>
      <c r="C691" s="638" t="s">
        <v>22</v>
      </c>
      <c r="D691" s="639"/>
      <c r="E691" s="632">
        <f t="shared" si="61"/>
        <v>2229</v>
      </c>
      <c r="F691" s="639"/>
      <c r="G691" s="639">
        <f t="shared" si="60"/>
        <v>1171</v>
      </c>
      <c r="H691" s="632">
        <v>1106</v>
      </c>
      <c r="I691" s="632">
        <v>65</v>
      </c>
      <c r="J691" s="639">
        <v>71</v>
      </c>
      <c r="K691" s="639">
        <v>426</v>
      </c>
      <c r="L691" s="639">
        <v>561</v>
      </c>
      <c r="P691" s="600"/>
      <c r="V691" s="326"/>
      <c r="W691" s="326"/>
      <c r="X691" s="326"/>
      <c r="Y691" s="326"/>
      <c r="Z691" s="326"/>
      <c r="AA691" s="326"/>
      <c r="AB691" s="326"/>
    </row>
    <row r="692" spans="1:28" s="263" customFormat="1" ht="9" customHeight="1" x14ac:dyDescent="0.25">
      <c r="A692" s="550" t="s">
        <v>48</v>
      </c>
      <c r="B692" s="638" t="s">
        <v>22</v>
      </c>
      <c r="C692" s="638" t="s">
        <v>22</v>
      </c>
      <c r="D692" s="639"/>
      <c r="E692" s="632">
        <f t="shared" si="61"/>
        <v>1053</v>
      </c>
      <c r="F692" s="639"/>
      <c r="G692" s="639">
        <f t="shared" si="60"/>
        <v>548</v>
      </c>
      <c r="H692" s="632">
        <v>481</v>
      </c>
      <c r="I692" s="632">
        <v>67</v>
      </c>
      <c r="J692" s="639">
        <v>84</v>
      </c>
      <c r="K692" s="639">
        <v>241</v>
      </c>
      <c r="L692" s="639">
        <v>180</v>
      </c>
      <c r="P692" s="600"/>
      <c r="V692" s="326"/>
      <c r="W692" s="326"/>
      <c r="X692" s="326"/>
      <c r="Y692" s="326"/>
      <c r="Z692" s="326"/>
      <c r="AA692" s="326"/>
      <c r="AB692" s="326"/>
    </row>
    <row r="693" spans="1:28" s="263" customFormat="1" ht="9" customHeight="1" x14ac:dyDescent="0.25">
      <c r="A693" s="603" t="s">
        <v>49</v>
      </c>
      <c r="B693" s="640" t="s">
        <v>22</v>
      </c>
      <c r="C693" s="640" t="s">
        <v>22</v>
      </c>
      <c r="D693" s="641"/>
      <c r="E693" s="634">
        <f t="shared" si="61"/>
        <v>2074</v>
      </c>
      <c r="F693" s="641"/>
      <c r="G693" s="641">
        <f t="shared" si="60"/>
        <v>1034</v>
      </c>
      <c r="H693" s="634">
        <v>982</v>
      </c>
      <c r="I693" s="634">
        <v>52</v>
      </c>
      <c r="J693" s="641">
        <v>100</v>
      </c>
      <c r="K693" s="641">
        <v>460</v>
      </c>
      <c r="L693" s="641">
        <v>480</v>
      </c>
      <c r="P693" s="600"/>
      <c r="V693" s="326"/>
      <c r="W693" s="326"/>
      <c r="X693" s="326"/>
      <c r="Y693" s="326"/>
      <c r="Z693" s="326"/>
      <c r="AA693" s="326"/>
      <c r="AB693" s="326"/>
    </row>
    <row r="694" spans="1:28" s="263" customFormat="1" ht="9" customHeight="1" x14ac:dyDescent="0.25">
      <c r="A694" s="550" t="s">
        <v>50</v>
      </c>
      <c r="B694" s="638" t="s">
        <v>22</v>
      </c>
      <c r="C694" s="638" t="s">
        <v>22</v>
      </c>
      <c r="D694" s="639"/>
      <c r="E694" s="632">
        <f t="shared" si="61"/>
        <v>368</v>
      </c>
      <c r="F694" s="639"/>
      <c r="G694" s="639">
        <f t="shared" si="60"/>
        <v>204</v>
      </c>
      <c r="H694" s="632">
        <v>191</v>
      </c>
      <c r="I694" s="632">
        <v>13</v>
      </c>
      <c r="J694" s="639">
        <v>13</v>
      </c>
      <c r="K694" s="639">
        <v>69</v>
      </c>
      <c r="L694" s="639">
        <v>82</v>
      </c>
      <c r="P694" s="600"/>
      <c r="V694" s="326"/>
      <c r="W694" s="326"/>
      <c r="X694" s="326"/>
      <c r="Y694" s="326"/>
      <c r="Z694" s="326"/>
      <c r="AA694" s="326"/>
      <c r="AB694" s="326"/>
    </row>
    <row r="695" spans="1:28" s="263" customFormat="1" ht="9" customHeight="1" x14ac:dyDescent="0.25">
      <c r="A695" s="550" t="s">
        <v>51</v>
      </c>
      <c r="B695" s="638" t="s">
        <v>22</v>
      </c>
      <c r="C695" s="638" t="s">
        <v>22</v>
      </c>
      <c r="D695" s="639"/>
      <c r="E695" s="632">
        <f t="shared" si="61"/>
        <v>2385</v>
      </c>
      <c r="F695" s="639"/>
      <c r="G695" s="639">
        <f t="shared" si="60"/>
        <v>1247</v>
      </c>
      <c r="H695" s="632">
        <v>1199</v>
      </c>
      <c r="I695" s="632">
        <v>48</v>
      </c>
      <c r="J695" s="639">
        <v>110</v>
      </c>
      <c r="K695" s="639">
        <v>441</v>
      </c>
      <c r="L695" s="639">
        <v>587</v>
      </c>
      <c r="P695" s="600"/>
      <c r="V695" s="326"/>
      <c r="W695" s="326"/>
      <c r="X695" s="326"/>
      <c r="Y695" s="326"/>
      <c r="Z695" s="326"/>
      <c r="AA695" s="326"/>
      <c r="AB695" s="326"/>
    </row>
    <row r="696" spans="1:28" s="263" customFormat="1" ht="9" customHeight="1" x14ac:dyDescent="0.25">
      <c r="A696" s="550" t="s">
        <v>52</v>
      </c>
      <c r="B696" s="638" t="s">
        <v>22</v>
      </c>
      <c r="C696" s="638" t="s">
        <v>22</v>
      </c>
      <c r="D696" s="639"/>
      <c r="E696" s="632">
        <f t="shared" si="61"/>
        <v>1737</v>
      </c>
      <c r="F696" s="639"/>
      <c r="G696" s="639">
        <f t="shared" si="60"/>
        <v>842</v>
      </c>
      <c r="H696" s="632">
        <v>789</v>
      </c>
      <c r="I696" s="632">
        <v>53</v>
      </c>
      <c r="J696" s="639">
        <v>39</v>
      </c>
      <c r="K696" s="639">
        <v>271</v>
      </c>
      <c r="L696" s="639">
        <v>585</v>
      </c>
      <c r="P696" s="600"/>
      <c r="V696" s="326"/>
      <c r="W696" s="326"/>
      <c r="X696" s="326"/>
      <c r="Y696" s="326"/>
      <c r="Z696" s="326"/>
      <c r="AA696" s="326"/>
      <c r="AB696" s="326"/>
    </row>
    <row r="697" spans="1:28" s="263" customFormat="1" ht="9" customHeight="1" x14ac:dyDescent="0.25">
      <c r="A697" s="267" t="s">
        <v>53</v>
      </c>
      <c r="B697" s="599" t="s">
        <v>22</v>
      </c>
      <c r="C697" s="599" t="s">
        <v>22</v>
      </c>
      <c r="D697" s="328"/>
      <c r="E697" s="604">
        <f t="shared" si="61"/>
        <v>713</v>
      </c>
      <c r="F697" s="328"/>
      <c r="G697" s="328">
        <f t="shared" si="60"/>
        <v>342</v>
      </c>
      <c r="H697" s="604">
        <v>330</v>
      </c>
      <c r="I697" s="604">
        <v>12</v>
      </c>
      <c r="J697" s="328">
        <v>56</v>
      </c>
      <c r="K697" s="328">
        <v>104</v>
      </c>
      <c r="L697" s="328">
        <v>211</v>
      </c>
      <c r="P697" s="600"/>
      <c r="V697" s="326"/>
      <c r="W697" s="326"/>
      <c r="X697" s="326"/>
      <c r="Y697" s="326"/>
      <c r="Z697" s="326"/>
      <c r="AA697" s="326"/>
      <c r="AB697" s="326"/>
    </row>
    <row r="698" spans="1:28" s="263" customFormat="1" ht="9" customHeight="1" x14ac:dyDescent="0.25">
      <c r="A698" s="286"/>
      <c r="B698" s="613"/>
      <c r="C698" s="613"/>
      <c r="D698" s="329"/>
      <c r="E698" s="605"/>
      <c r="F698" s="329"/>
      <c r="G698" s="329"/>
      <c r="H698" s="605"/>
      <c r="I698" s="605"/>
      <c r="J698" s="329"/>
      <c r="K698" s="329"/>
      <c r="L698" s="329"/>
      <c r="V698" s="326"/>
      <c r="W698" s="326"/>
      <c r="X698" s="326"/>
      <c r="Y698" s="326"/>
      <c r="Z698" s="326"/>
      <c r="AA698" s="326"/>
      <c r="AB698" s="326"/>
    </row>
    <row r="699" spans="1:28" s="263" customFormat="1" ht="9" customHeight="1" x14ac:dyDescent="0.25">
      <c r="A699" s="261">
        <v>2014</v>
      </c>
      <c r="B699" s="288"/>
      <c r="C699" s="262"/>
      <c r="D699" s="262"/>
      <c r="E699" s="262"/>
      <c r="F699" s="262"/>
      <c r="G699" s="262"/>
      <c r="H699" s="271"/>
      <c r="I699" s="262"/>
      <c r="J699" s="262"/>
      <c r="K699" s="262"/>
      <c r="L699" s="262"/>
      <c r="V699" s="326"/>
      <c r="W699" s="326"/>
      <c r="X699" s="326"/>
      <c r="Y699" s="326"/>
      <c r="Z699" s="326"/>
      <c r="AA699" s="326"/>
      <c r="AB699" s="326"/>
    </row>
    <row r="700" spans="1:28" s="263" customFormat="1" ht="9" customHeight="1" x14ac:dyDescent="0.25">
      <c r="A700" s="265" t="s">
        <v>21</v>
      </c>
      <c r="B700" s="325" t="s">
        <v>22</v>
      </c>
      <c r="C700" s="325" t="s">
        <v>22</v>
      </c>
      <c r="D700" s="325"/>
      <c r="E700" s="325">
        <f>SUM(E702:E733)</f>
        <v>93096</v>
      </c>
      <c r="F700" s="325"/>
      <c r="G700" s="325">
        <f t="shared" ref="G700:L700" si="62">SUM(G702:G733)</f>
        <v>46169</v>
      </c>
      <c r="H700" s="332">
        <f t="shared" si="62"/>
        <v>41766</v>
      </c>
      <c r="I700" s="325">
        <f t="shared" si="62"/>
        <v>4403</v>
      </c>
      <c r="J700" s="325">
        <f t="shared" si="62"/>
        <v>5967</v>
      </c>
      <c r="K700" s="325">
        <f t="shared" si="62"/>
        <v>22104</v>
      </c>
      <c r="L700" s="325">
        <f t="shared" si="62"/>
        <v>18856</v>
      </c>
      <c r="V700" s="326"/>
      <c r="W700" s="326"/>
      <c r="X700" s="326"/>
      <c r="Y700" s="326"/>
      <c r="Z700" s="326"/>
      <c r="AA700" s="326"/>
      <c r="AB700" s="326"/>
    </row>
    <row r="701" spans="1:28" s="263" customFormat="1" ht="3.95" customHeight="1" x14ac:dyDescent="0.25">
      <c r="A701" s="265"/>
      <c r="B701" s="325"/>
      <c r="C701" s="325"/>
      <c r="D701" s="325"/>
      <c r="E701" s="325"/>
      <c r="F701" s="325"/>
      <c r="G701" s="325"/>
      <c r="H701" s="325"/>
      <c r="I701" s="325"/>
      <c r="J701" s="325"/>
      <c r="K701" s="325"/>
      <c r="L701" s="325"/>
      <c r="V701" s="326"/>
      <c r="W701" s="326"/>
      <c r="X701" s="326"/>
      <c r="Y701" s="326"/>
      <c r="Z701" s="326"/>
      <c r="AA701" s="326"/>
      <c r="AB701" s="326"/>
    </row>
    <row r="702" spans="1:28" s="263" customFormat="1" ht="9" customHeight="1" x14ac:dyDescent="0.25">
      <c r="A702" s="550" t="s">
        <v>23</v>
      </c>
      <c r="B702" s="638" t="s">
        <v>22</v>
      </c>
      <c r="C702" s="638" t="s">
        <v>22</v>
      </c>
      <c r="D702" s="639"/>
      <c r="E702" s="632">
        <f>SUM(G702+J702+K702+L702)</f>
        <v>971</v>
      </c>
      <c r="F702" s="639"/>
      <c r="G702" s="639">
        <f>SUM(H702:I702)</f>
        <v>439</v>
      </c>
      <c r="H702" s="632">
        <v>412</v>
      </c>
      <c r="I702" s="632">
        <v>27</v>
      </c>
      <c r="J702" s="639">
        <v>99</v>
      </c>
      <c r="K702" s="639">
        <v>196</v>
      </c>
      <c r="L702" s="639">
        <v>237</v>
      </c>
      <c r="V702" s="326"/>
      <c r="W702" s="326"/>
      <c r="X702" s="326"/>
      <c r="Y702" s="326"/>
      <c r="Z702" s="326"/>
      <c r="AA702" s="326"/>
      <c r="AB702" s="326"/>
    </row>
    <row r="703" spans="1:28" s="263" customFormat="1" ht="9" customHeight="1" x14ac:dyDescent="0.25">
      <c r="A703" s="550" t="s">
        <v>24</v>
      </c>
      <c r="B703" s="638" t="s">
        <v>22</v>
      </c>
      <c r="C703" s="638" t="s">
        <v>22</v>
      </c>
      <c r="D703" s="639"/>
      <c r="E703" s="632">
        <f>SUM(G703+J703+K703+L703)</f>
        <v>3008</v>
      </c>
      <c r="F703" s="638"/>
      <c r="G703" s="639">
        <f t="shared" ref="G703:G733" si="63">SUM(H703:I703)</f>
        <v>1366</v>
      </c>
      <c r="H703" s="638">
        <v>1312</v>
      </c>
      <c r="I703" s="638">
        <v>54</v>
      </c>
      <c r="J703" s="638">
        <v>138</v>
      </c>
      <c r="K703" s="638">
        <v>840</v>
      </c>
      <c r="L703" s="638">
        <v>664</v>
      </c>
      <c r="P703" s="600"/>
      <c r="V703" s="326"/>
      <c r="W703" s="326"/>
      <c r="X703" s="326"/>
      <c r="Y703" s="326"/>
      <c r="Z703" s="326"/>
      <c r="AA703" s="326"/>
      <c r="AB703" s="326"/>
    </row>
    <row r="704" spans="1:28" s="263" customFormat="1" ht="9" customHeight="1" x14ac:dyDescent="0.25">
      <c r="A704" s="550" t="s">
        <v>25</v>
      </c>
      <c r="B704" s="638" t="s">
        <v>22</v>
      </c>
      <c r="C704" s="638" t="s">
        <v>22</v>
      </c>
      <c r="D704" s="639"/>
      <c r="E704" s="632">
        <f t="shared" ref="E704:E733" si="64">SUM(G704+J704+K704+L704)</f>
        <v>369</v>
      </c>
      <c r="F704" s="639"/>
      <c r="G704" s="639">
        <f t="shared" si="63"/>
        <v>162</v>
      </c>
      <c r="H704" s="632">
        <v>150</v>
      </c>
      <c r="I704" s="632">
        <v>12</v>
      </c>
      <c r="J704" s="639">
        <v>53</v>
      </c>
      <c r="K704" s="639">
        <v>81</v>
      </c>
      <c r="L704" s="639">
        <v>73</v>
      </c>
      <c r="P704" s="600"/>
      <c r="V704" s="326"/>
      <c r="W704" s="326"/>
      <c r="X704" s="326"/>
      <c r="Y704" s="326"/>
      <c r="Z704" s="326"/>
      <c r="AA704" s="326"/>
      <c r="AB704" s="326"/>
    </row>
    <row r="705" spans="1:28" s="263" customFormat="1" ht="9" customHeight="1" x14ac:dyDescent="0.25">
      <c r="A705" s="603" t="s">
        <v>26</v>
      </c>
      <c r="B705" s="640" t="s">
        <v>22</v>
      </c>
      <c r="C705" s="640" t="s">
        <v>22</v>
      </c>
      <c r="D705" s="641"/>
      <c r="E705" s="634">
        <f t="shared" si="64"/>
        <v>232</v>
      </c>
      <c r="F705" s="641"/>
      <c r="G705" s="641">
        <f t="shared" si="63"/>
        <v>130</v>
      </c>
      <c r="H705" s="634">
        <v>104</v>
      </c>
      <c r="I705" s="634">
        <v>26</v>
      </c>
      <c r="J705" s="641">
        <v>16</v>
      </c>
      <c r="K705" s="641">
        <v>53</v>
      </c>
      <c r="L705" s="641">
        <v>33</v>
      </c>
      <c r="P705" s="600"/>
      <c r="V705" s="326"/>
      <c r="W705" s="326"/>
      <c r="X705" s="326"/>
      <c r="Y705" s="326"/>
      <c r="Z705" s="326"/>
      <c r="AA705" s="326"/>
      <c r="AB705" s="326"/>
    </row>
    <row r="706" spans="1:28" s="263" customFormat="1" ht="9" customHeight="1" x14ac:dyDescent="0.25">
      <c r="A706" s="550" t="s">
        <v>27</v>
      </c>
      <c r="B706" s="638" t="s">
        <v>22</v>
      </c>
      <c r="C706" s="638" t="s">
        <v>22</v>
      </c>
      <c r="D706" s="639"/>
      <c r="E706" s="632">
        <f t="shared" si="64"/>
        <v>2375</v>
      </c>
      <c r="F706" s="639"/>
      <c r="G706" s="639">
        <f t="shared" si="63"/>
        <v>1038</v>
      </c>
      <c r="H706" s="632">
        <v>997</v>
      </c>
      <c r="I706" s="632">
        <v>41</v>
      </c>
      <c r="J706" s="639">
        <v>109</v>
      </c>
      <c r="K706" s="639">
        <v>932</v>
      </c>
      <c r="L706" s="639">
        <v>296</v>
      </c>
      <c r="P706" s="600"/>
      <c r="V706" s="326"/>
      <c r="W706" s="326"/>
      <c r="X706" s="326"/>
      <c r="Y706" s="326"/>
      <c r="Z706" s="326"/>
      <c r="AA706" s="326"/>
      <c r="AB706" s="326"/>
    </row>
    <row r="707" spans="1:28" s="263" customFormat="1" ht="9" customHeight="1" x14ac:dyDescent="0.25">
      <c r="A707" s="550" t="s">
        <v>28</v>
      </c>
      <c r="B707" s="638" t="s">
        <v>22</v>
      </c>
      <c r="C707" s="638" t="s">
        <v>22</v>
      </c>
      <c r="D707" s="639"/>
      <c r="E707" s="632">
        <f t="shared" si="64"/>
        <v>326</v>
      </c>
      <c r="F707" s="639"/>
      <c r="G707" s="639">
        <f t="shared" si="63"/>
        <v>177</v>
      </c>
      <c r="H707" s="632">
        <v>155</v>
      </c>
      <c r="I707" s="632">
        <v>22</v>
      </c>
      <c r="J707" s="639">
        <v>13</v>
      </c>
      <c r="K707" s="639">
        <v>53</v>
      </c>
      <c r="L707" s="639">
        <v>83</v>
      </c>
      <c r="P707" s="600"/>
      <c r="V707" s="326"/>
      <c r="W707" s="326"/>
      <c r="X707" s="326"/>
      <c r="Y707" s="326"/>
      <c r="Z707" s="326"/>
      <c r="AA707" s="326"/>
      <c r="AB707" s="326"/>
    </row>
    <row r="708" spans="1:28" s="263" customFormat="1" ht="9" customHeight="1" x14ac:dyDescent="0.25">
      <c r="A708" s="550" t="s">
        <v>29</v>
      </c>
      <c r="B708" s="638" t="s">
        <v>22</v>
      </c>
      <c r="C708" s="638" t="s">
        <v>22</v>
      </c>
      <c r="D708" s="639"/>
      <c r="E708" s="632">
        <f t="shared" si="64"/>
        <v>969</v>
      </c>
      <c r="F708" s="639"/>
      <c r="G708" s="639">
        <f t="shared" si="63"/>
        <v>575</v>
      </c>
      <c r="H708" s="632">
        <v>551</v>
      </c>
      <c r="I708" s="632">
        <v>24</v>
      </c>
      <c r="J708" s="639">
        <v>23</v>
      </c>
      <c r="K708" s="639">
        <v>133</v>
      </c>
      <c r="L708" s="639">
        <v>238</v>
      </c>
      <c r="P708" s="600"/>
      <c r="V708" s="326"/>
      <c r="W708" s="326"/>
      <c r="X708" s="326"/>
      <c r="Y708" s="326"/>
      <c r="Z708" s="326"/>
      <c r="AA708" s="326"/>
      <c r="AB708" s="326"/>
    </row>
    <row r="709" spans="1:28" s="263" customFormat="1" ht="9" customHeight="1" x14ac:dyDescent="0.25">
      <c r="A709" s="603" t="s">
        <v>30</v>
      </c>
      <c r="B709" s="640" t="s">
        <v>22</v>
      </c>
      <c r="C709" s="640" t="s">
        <v>22</v>
      </c>
      <c r="D709" s="641"/>
      <c r="E709" s="634">
        <f t="shared" si="64"/>
        <v>3676</v>
      </c>
      <c r="F709" s="641"/>
      <c r="G709" s="641">
        <f t="shared" si="63"/>
        <v>2026</v>
      </c>
      <c r="H709" s="634">
        <v>1821</v>
      </c>
      <c r="I709" s="634">
        <v>205</v>
      </c>
      <c r="J709" s="641">
        <v>202</v>
      </c>
      <c r="K709" s="641">
        <v>701</v>
      </c>
      <c r="L709" s="641">
        <v>747</v>
      </c>
      <c r="P709" s="600"/>
      <c r="V709" s="326"/>
      <c r="W709" s="326"/>
      <c r="X709" s="326"/>
      <c r="Y709" s="326"/>
      <c r="Z709" s="326"/>
      <c r="AA709" s="326"/>
      <c r="AB709" s="326"/>
    </row>
    <row r="710" spans="1:28" s="263" customFormat="1" ht="9" customHeight="1" x14ac:dyDescent="0.25">
      <c r="A710" s="550" t="s">
        <v>63</v>
      </c>
      <c r="B710" s="638" t="s">
        <v>22</v>
      </c>
      <c r="C710" s="638" t="s">
        <v>22</v>
      </c>
      <c r="D710" s="639"/>
      <c r="E710" s="632">
        <f t="shared" si="64"/>
        <v>19960</v>
      </c>
      <c r="F710" s="639"/>
      <c r="G710" s="639">
        <f t="shared" si="63"/>
        <v>8934</v>
      </c>
      <c r="H710" s="632">
        <v>7509</v>
      </c>
      <c r="I710" s="632">
        <v>1425</v>
      </c>
      <c r="J710" s="639">
        <v>1821</v>
      </c>
      <c r="K710" s="639">
        <v>5279</v>
      </c>
      <c r="L710" s="639">
        <v>3926</v>
      </c>
      <c r="P710" s="600"/>
      <c r="V710" s="326"/>
      <c r="W710" s="326"/>
      <c r="X710" s="326"/>
      <c r="Y710" s="326"/>
      <c r="Z710" s="326"/>
      <c r="AA710" s="326"/>
      <c r="AB710" s="326"/>
    </row>
    <row r="711" spans="1:28" s="263" customFormat="1" ht="9" customHeight="1" x14ac:dyDescent="0.25">
      <c r="A711" s="550" t="s">
        <v>31</v>
      </c>
      <c r="B711" s="638" t="s">
        <v>22</v>
      </c>
      <c r="C711" s="638" t="s">
        <v>22</v>
      </c>
      <c r="D711" s="639"/>
      <c r="E711" s="632">
        <f t="shared" si="64"/>
        <v>572</v>
      </c>
      <c r="F711" s="639"/>
      <c r="G711" s="639">
        <f t="shared" si="63"/>
        <v>295</v>
      </c>
      <c r="H711" s="632">
        <v>283</v>
      </c>
      <c r="I711" s="632">
        <v>12</v>
      </c>
      <c r="J711" s="550">
        <v>19</v>
      </c>
      <c r="K711" s="550">
        <v>104</v>
      </c>
      <c r="L711" s="639">
        <v>154</v>
      </c>
      <c r="P711" s="600"/>
      <c r="V711" s="326"/>
      <c r="W711" s="326"/>
      <c r="X711" s="326"/>
      <c r="Y711" s="326"/>
      <c r="Z711" s="326"/>
      <c r="AA711" s="326"/>
      <c r="AB711" s="326"/>
    </row>
    <row r="712" spans="1:28" s="263" customFormat="1" ht="9" customHeight="1" x14ac:dyDescent="0.25">
      <c r="A712" s="550" t="s">
        <v>32</v>
      </c>
      <c r="B712" s="638" t="s">
        <v>22</v>
      </c>
      <c r="C712" s="638" t="s">
        <v>22</v>
      </c>
      <c r="D712" s="639"/>
      <c r="E712" s="632">
        <f t="shared" si="64"/>
        <v>4635</v>
      </c>
      <c r="F712" s="639"/>
      <c r="G712" s="639">
        <f t="shared" si="63"/>
        <v>2291</v>
      </c>
      <c r="H712" s="632">
        <v>2101</v>
      </c>
      <c r="I712" s="632">
        <v>190</v>
      </c>
      <c r="J712" s="639">
        <v>236</v>
      </c>
      <c r="K712" s="639">
        <v>1233</v>
      </c>
      <c r="L712" s="639">
        <v>875</v>
      </c>
      <c r="P712" s="600"/>
      <c r="V712" s="326"/>
      <c r="W712" s="326"/>
      <c r="X712" s="326"/>
      <c r="Y712" s="326"/>
      <c r="Z712" s="326"/>
      <c r="AA712" s="326"/>
      <c r="AB712" s="326"/>
    </row>
    <row r="713" spans="1:28" s="263" customFormat="1" ht="9" customHeight="1" x14ac:dyDescent="0.25">
      <c r="A713" s="603" t="s">
        <v>33</v>
      </c>
      <c r="B713" s="640" t="s">
        <v>22</v>
      </c>
      <c r="C713" s="640" t="s">
        <v>22</v>
      </c>
      <c r="D713" s="641"/>
      <c r="E713" s="634">
        <f t="shared" si="64"/>
        <v>1043</v>
      </c>
      <c r="F713" s="641"/>
      <c r="G713" s="641">
        <f t="shared" si="63"/>
        <v>571</v>
      </c>
      <c r="H713" s="634">
        <v>547</v>
      </c>
      <c r="I713" s="634">
        <v>24</v>
      </c>
      <c r="J713" s="641">
        <v>23</v>
      </c>
      <c r="K713" s="641">
        <v>171</v>
      </c>
      <c r="L713" s="641">
        <v>278</v>
      </c>
      <c r="P713" s="600"/>
      <c r="V713" s="326"/>
      <c r="W713" s="326"/>
      <c r="X713" s="326"/>
      <c r="Y713" s="326"/>
      <c r="Z713" s="326"/>
      <c r="AA713" s="326"/>
      <c r="AB713" s="326"/>
    </row>
    <row r="714" spans="1:28" s="263" customFormat="1" ht="9" customHeight="1" x14ac:dyDescent="0.25">
      <c r="A714" s="550" t="s">
        <v>34</v>
      </c>
      <c r="B714" s="638" t="s">
        <v>22</v>
      </c>
      <c r="C714" s="638" t="s">
        <v>22</v>
      </c>
      <c r="D714" s="639"/>
      <c r="E714" s="632">
        <f t="shared" si="64"/>
        <v>1589</v>
      </c>
      <c r="F714" s="639"/>
      <c r="G714" s="639">
        <f t="shared" si="63"/>
        <v>905</v>
      </c>
      <c r="H714" s="632">
        <v>816</v>
      </c>
      <c r="I714" s="632">
        <v>89</v>
      </c>
      <c r="J714" s="639">
        <v>92</v>
      </c>
      <c r="K714" s="639">
        <v>295</v>
      </c>
      <c r="L714" s="639">
        <v>297</v>
      </c>
      <c r="P714" s="600"/>
      <c r="V714" s="326"/>
      <c r="W714" s="326"/>
      <c r="X714" s="326"/>
      <c r="Y714" s="326"/>
      <c r="Z714" s="326"/>
      <c r="AA714" s="326"/>
      <c r="AB714" s="326"/>
    </row>
    <row r="715" spans="1:28" s="263" customFormat="1" ht="9" customHeight="1" x14ac:dyDescent="0.25">
      <c r="A715" s="550" t="s">
        <v>35</v>
      </c>
      <c r="B715" s="638" t="s">
        <v>22</v>
      </c>
      <c r="C715" s="638" t="s">
        <v>22</v>
      </c>
      <c r="D715" s="639"/>
      <c r="E715" s="632">
        <f t="shared" si="64"/>
        <v>8273</v>
      </c>
      <c r="F715" s="639"/>
      <c r="G715" s="639">
        <f t="shared" si="63"/>
        <v>4179</v>
      </c>
      <c r="H715" s="632">
        <v>3818</v>
      </c>
      <c r="I715" s="632">
        <v>361</v>
      </c>
      <c r="J715" s="639">
        <v>480</v>
      </c>
      <c r="K715" s="639">
        <v>1830</v>
      </c>
      <c r="L715" s="639">
        <v>1784</v>
      </c>
      <c r="P715" s="600"/>
      <c r="V715" s="326"/>
      <c r="W715" s="326"/>
      <c r="X715" s="326"/>
      <c r="Y715" s="326"/>
      <c r="Z715" s="326"/>
      <c r="AA715" s="326"/>
      <c r="AB715" s="326"/>
    </row>
    <row r="716" spans="1:28" s="263" customFormat="1" ht="9" customHeight="1" x14ac:dyDescent="0.25">
      <c r="A716" s="550" t="s">
        <v>36</v>
      </c>
      <c r="B716" s="638" t="s">
        <v>22</v>
      </c>
      <c r="C716" s="638" t="s">
        <v>22</v>
      </c>
      <c r="D716" s="639"/>
      <c r="E716" s="632">
        <f t="shared" si="64"/>
        <v>7350</v>
      </c>
      <c r="F716" s="639"/>
      <c r="G716" s="639">
        <f t="shared" si="63"/>
        <v>3804</v>
      </c>
      <c r="H716" s="632">
        <v>3437</v>
      </c>
      <c r="I716" s="632">
        <v>367</v>
      </c>
      <c r="J716" s="639">
        <v>494</v>
      </c>
      <c r="K716" s="639">
        <v>1666</v>
      </c>
      <c r="L716" s="639">
        <v>1386</v>
      </c>
      <c r="P716" s="600"/>
      <c r="V716" s="326"/>
      <c r="W716" s="326"/>
      <c r="X716" s="326"/>
      <c r="Y716" s="326"/>
      <c r="Z716" s="326"/>
      <c r="AA716" s="326"/>
      <c r="AB716" s="326"/>
    </row>
    <row r="717" spans="1:28" s="263" customFormat="1" ht="9" customHeight="1" x14ac:dyDescent="0.25">
      <c r="A717" s="603" t="s">
        <v>37</v>
      </c>
      <c r="B717" s="640" t="s">
        <v>22</v>
      </c>
      <c r="C717" s="640" t="s">
        <v>22</v>
      </c>
      <c r="D717" s="641"/>
      <c r="E717" s="634">
        <f t="shared" si="64"/>
        <v>2766</v>
      </c>
      <c r="F717" s="641"/>
      <c r="G717" s="641">
        <f t="shared" si="63"/>
        <v>1623</v>
      </c>
      <c r="H717" s="634">
        <v>1594</v>
      </c>
      <c r="I717" s="634">
        <v>29</v>
      </c>
      <c r="J717" s="641">
        <v>106</v>
      </c>
      <c r="K717" s="641">
        <v>521</v>
      </c>
      <c r="L717" s="641">
        <v>516</v>
      </c>
      <c r="P717" s="600"/>
      <c r="V717" s="326"/>
      <c r="W717" s="326"/>
      <c r="X717" s="326"/>
      <c r="Y717" s="326"/>
      <c r="Z717" s="326"/>
      <c r="AA717" s="326"/>
      <c r="AB717" s="326"/>
    </row>
    <row r="718" spans="1:28" s="263" customFormat="1" ht="9" customHeight="1" x14ac:dyDescent="0.25">
      <c r="A718" s="550" t="s">
        <v>38</v>
      </c>
      <c r="B718" s="638" t="s">
        <v>22</v>
      </c>
      <c r="C718" s="638" t="s">
        <v>22</v>
      </c>
      <c r="D718" s="639"/>
      <c r="E718" s="632">
        <f t="shared" si="64"/>
        <v>862</v>
      </c>
      <c r="F718" s="639"/>
      <c r="G718" s="639">
        <f t="shared" si="63"/>
        <v>428</v>
      </c>
      <c r="H718" s="632">
        <v>425</v>
      </c>
      <c r="I718" s="632">
        <v>3</v>
      </c>
      <c r="J718" s="639">
        <v>43</v>
      </c>
      <c r="K718" s="639">
        <v>190</v>
      </c>
      <c r="L718" s="639">
        <v>201</v>
      </c>
      <c r="P718" s="600"/>
      <c r="V718" s="326"/>
      <c r="W718" s="326"/>
      <c r="X718" s="326"/>
      <c r="Y718" s="326"/>
      <c r="Z718" s="326"/>
      <c r="AA718" s="326"/>
      <c r="AB718" s="326"/>
    </row>
    <row r="719" spans="1:28" s="263" customFormat="1" ht="9" customHeight="1" x14ac:dyDescent="0.25">
      <c r="A719" s="550" t="s">
        <v>39</v>
      </c>
      <c r="B719" s="638" t="s">
        <v>22</v>
      </c>
      <c r="C719" s="638" t="s">
        <v>22</v>
      </c>
      <c r="D719" s="639"/>
      <c r="E719" s="632">
        <f t="shared" si="64"/>
        <v>256</v>
      </c>
      <c r="F719" s="639"/>
      <c r="G719" s="639">
        <f t="shared" si="63"/>
        <v>95</v>
      </c>
      <c r="H719" s="632">
        <v>87</v>
      </c>
      <c r="I719" s="632">
        <v>8</v>
      </c>
      <c r="J719" s="639">
        <v>24</v>
      </c>
      <c r="K719" s="639">
        <v>43</v>
      </c>
      <c r="L719" s="639">
        <v>94</v>
      </c>
      <c r="P719" s="600"/>
      <c r="V719" s="326"/>
      <c r="W719" s="326"/>
      <c r="X719" s="326"/>
      <c r="Y719" s="326"/>
      <c r="Z719" s="326"/>
      <c r="AA719" s="326"/>
      <c r="AB719" s="326"/>
    </row>
    <row r="720" spans="1:28" s="263" customFormat="1" ht="9" customHeight="1" x14ac:dyDescent="0.25">
      <c r="A720" s="550" t="s">
        <v>40</v>
      </c>
      <c r="B720" s="638" t="s">
        <v>22</v>
      </c>
      <c r="C720" s="638" t="s">
        <v>22</v>
      </c>
      <c r="D720" s="639"/>
      <c r="E720" s="632">
        <f t="shared" si="64"/>
        <v>11233</v>
      </c>
      <c r="F720" s="639"/>
      <c r="G720" s="639">
        <f t="shared" si="63"/>
        <v>5819</v>
      </c>
      <c r="H720" s="632">
        <v>5217</v>
      </c>
      <c r="I720" s="632">
        <v>602</v>
      </c>
      <c r="J720" s="639">
        <v>895</v>
      </c>
      <c r="K720" s="639">
        <v>2651</v>
      </c>
      <c r="L720" s="639">
        <v>1868</v>
      </c>
      <c r="P720" s="600"/>
      <c r="V720" s="326"/>
      <c r="W720" s="326"/>
      <c r="X720" s="326"/>
      <c r="Y720" s="326"/>
      <c r="Z720" s="326"/>
      <c r="AA720" s="326"/>
      <c r="AB720" s="326"/>
    </row>
    <row r="721" spans="1:28" s="263" customFormat="1" ht="9" customHeight="1" x14ac:dyDescent="0.25">
      <c r="A721" s="603" t="s">
        <v>41</v>
      </c>
      <c r="B721" s="640" t="s">
        <v>22</v>
      </c>
      <c r="C721" s="640" t="s">
        <v>22</v>
      </c>
      <c r="D721" s="641"/>
      <c r="E721" s="634">
        <f t="shared" si="64"/>
        <v>1172</v>
      </c>
      <c r="F721" s="641"/>
      <c r="G721" s="641">
        <f t="shared" si="63"/>
        <v>600</v>
      </c>
      <c r="H721" s="634">
        <v>573</v>
      </c>
      <c r="I721" s="634">
        <v>27</v>
      </c>
      <c r="J721" s="641">
        <v>37</v>
      </c>
      <c r="K721" s="641">
        <v>227</v>
      </c>
      <c r="L721" s="641">
        <v>308</v>
      </c>
      <c r="P721" s="600"/>
      <c r="V721" s="326"/>
      <c r="W721" s="326"/>
      <c r="X721" s="326"/>
      <c r="Y721" s="326"/>
      <c r="Z721" s="326"/>
      <c r="AA721" s="326"/>
      <c r="AB721" s="326"/>
    </row>
    <row r="722" spans="1:28" s="263" customFormat="1" ht="9" customHeight="1" x14ac:dyDescent="0.25">
      <c r="A722" s="550" t="s">
        <v>42</v>
      </c>
      <c r="B722" s="638" t="s">
        <v>22</v>
      </c>
      <c r="C722" s="638" t="s">
        <v>22</v>
      </c>
      <c r="D722" s="639"/>
      <c r="E722" s="632">
        <f t="shared" si="64"/>
        <v>3688</v>
      </c>
      <c r="F722" s="639"/>
      <c r="G722" s="639">
        <f t="shared" si="63"/>
        <v>1847</v>
      </c>
      <c r="H722" s="632">
        <v>1740</v>
      </c>
      <c r="I722" s="632">
        <v>107</v>
      </c>
      <c r="J722" s="639">
        <v>138</v>
      </c>
      <c r="K722" s="639">
        <v>1069</v>
      </c>
      <c r="L722" s="639">
        <v>634</v>
      </c>
      <c r="P722" s="600"/>
      <c r="V722" s="326"/>
      <c r="W722" s="326"/>
      <c r="X722" s="326"/>
      <c r="Y722" s="326"/>
      <c r="Z722" s="326"/>
      <c r="AA722" s="326"/>
      <c r="AB722" s="326"/>
    </row>
    <row r="723" spans="1:28" s="263" customFormat="1" ht="9" customHeight="1" x14ac:dyDescent="0.25">
      <c r="A723" s="550" t="s">
        <v>43</v>
      </c>
      <c r="B723" s="638" t="s">
        <v>22</v>
      </c>
      <c r="C723" s="638" t="s">
        <v>22</v>
      </c>
      <c r="D723" s="639"/>
      <c r="E723" s="632">
        <f t="shared" si="64"/>
        <v>2017</v>
      </c>
      <c r="F723" s="639"/>
      <c r="G723" s="639">
        <f t="shared" si="63"/>
        <v>922</v>
      </c>
      <c r="H723" s="632">
        <v>794</v>
      </c>
      <c r="I723" s="632">
        <v>128</v>
      </c>
      <c r="J723" s="639">
        <v>181</v>
      </c>
      <c r="K723" s="639">
        <v>512</v>
      </c>
      <c r="L723" s="639">
        <v>402</v>
      </c>
      <c r="P723" s="600"/>
      <c r="V723" s="326"/>
      <c r="W723" s="326"/>
      <c r="X723" s="326"/>
      <c r="Y723" s="326"/>
      <c r="Z723" s="326"/>
      <c r="AA723" s="326"/>
      <c r="AB723" s="326"/>
    </row>
    <row r="724" spans="1:28" s="263" customFormat="1" ht="9" customHeight="1" x14ac:dyDescent="0.25">
      <c r="A724" s="550" t="s">
        <v>44</v>
      </c>
      <c r="B724" s="638" t="s">
        <v>22</v>
      </c>
      <c r="C724" s="638" t="s">
        <v>22</v>
      </c>
      <c r="D724" s="639"/>
      <c r="E724" s="632">
        <f t="shared" si="64"/>
        <v>905</v>
      </c>
      <c r="F724" s="639"/>
      <c r="G724" s="639">
        <f t="shared" si="63"/>
        <v>379</v>
      </c>
      <c r="H724" s="632">
        <v>318</v>
      </c>
      <c r="I724" s="632">
        <v>61</v>
      </c>
      <c r="J724" s="639">
        <v>68</v>
      </c>
      <c r="K724" s="639">
        <v>259</v>
      </c>
      <c r="L724" s="639">
        <v>199</v>
      </c>
      <c r="P724" s="600"/>
      <c r="V724" s="326"/>
      <c r="W724" s="326"/>
      <c r="X724" s="326"/>
      <c r="Y724" s="326"/>
      <c r="Z724" s="326"/>
      <c r="AA724" s="326"/>
      <c r="AB724" s="326"/>
    </row>
    <row r="725" spans="1:28" s="263" customFormat="1" ht="9" customHeight="1" x14ac:dyDescent="0.25">
      <c r="A725" s="603" t="s">
        <v>45</v>
      </c>
      <c r="B725" s="640" t="s">
        <v>22</v>
      </c>
      <c r="C725" s="640" t="s">
        <v>22</v>
      </c>
      <c r="D725" s="641"/>
      <c r="E725" s="634">
        <f t="shared" si="64"/>
        <v>2395</v>
      </c>
      <c r="F725" s="641"/>
      <c r="G725" s="641">
        <f t="shared" si="63"/>
        <v>1100</v>
      </c>
      <c r="H725" s="634">
        <v>970</v>
      </c>
      <c r="I725" s="634">
        <v>130</v>
      </c>
      <c r="J725" s="641">
        <v>106</v>
      </c>
      <c r="K725" s="641">
        <v>629</v>
      </c>
      <c r="L725" s="641">
        <v>560</v>
      </c>
      <c r="P725" s="600"/>
      <c r="V725" s="326"/>
      <c r="W725" s="326"/>
      <c r="X725" s="326"/>
      <c r="Y725" s="326"/>
      <c r="Z725" s="326"/>
      <c r="AA725" s="326"/>
      <c r="AB725" s="326"/>
    </row>
    <row r="726" spans="1:28" s="263" customFormat="1" ht="9" customHeight="1" x14ac:dyDescent="0.25">
      <c r="A726" s="550" t="s">
        <v>46</v>
      </c>
      <c r="B726" s="638" t="s">
        <v>22</v>
      </c>
      <c r="C726" s="638" t="s">
        <v>22</v>
      </c>
      <c r="D726" s="639"/>
      <c r="E726" s="632">
        <f t="shared" si="64"/>
        <v>1565</v>
      </c>
      <c r="F726" s="639"/>
      <c r="G726" s="639">
        <f t="shared" si="63"/>
        <v>882</v>
      </c>
      <c r="H726" s="632">
        <v>819</v>
      </c>
      <c r="I726" s="632">
        <v>63</v>
      </c>
      <c r="J726" s="639">
        <v>89</v>
      </c>
      <c r="K726" s="639">
        <v>295</v>
      </c>
      <c r="L726" s="639">
        <v>299</v>
      </c>
      <c r="P726" s="600"/>
      <c r="V726" s="326"/>
      <c r="W726" s="326"/>
      <c r="X726" s="326"/>
      <c r="Y726" s="326"/>
      <c r="Z726" s="326"/>
      <c r="AA726" s="326"/>
      <c r="AB726" s="326"/>
    </row>
    <row r="727" spans="1:28" s="263" customFormat="1" ht="9" customHeight="1" x14ac:dyDescent="0.25">
      <c r="A727" s="550" t="s">
        <v>47</v>
      </c>
      <c r="B727" s="638" t="s">
        <v>22</v>
      </c>
      <c r="C727" s="638" t="s">
        <v>22</v>
      </c>
      <c r="D727" s="639"/>
      <c r="E727" s="632">
        <f t="shared" si="64"/>
        <v>2210</v>
      </c>
      <c r="F727" s="639"/>
      <c r="G727" s="639">
        <f t="shared" si="63"/>
        <v>1163</v>
      </c>
      <c r="H727" s="632">
        <v>1100</v>
      </c>
      <c r="I727" s="632">
        <v>63</v>
      </c>
      <c r="J727" s="639">
        <v>86</v>
      </c>
      <c r="K727" s="639">
        <v>417</v>
      </c>
      <c r="L727" s="639">
        <v>544</v>
      </c>
      <c r="P727" s="600"/>
      <c r="V727" s="326"/>
      <c r="W727" s="326"/>
      <c r="X727" s="326"/>
      <c r="Y727" s="326"/>
      <c r="Z727" s="326"/>
      <c r="AA727" s="326"/>
      <c r="AB727" s="326"/>
    </row>
    <row r="728" spans="1:28" s="263" customFormat="1" ht="9" customHeight="1" x14ac:dyDescent="0.25">
      <c r="A728" s="550" t="s">
        <v>48</v>
      </c>
      <c r="B728" s="638" t="s">
        <v>22</v>
      </c>
      <c r="C728" s="638" t="s">
        <v>22</v>
      </c>
      <c r="D728" s="639"/>
      <c r="E728" s="632">
        <f t="shared" si="64"/>
        <v>1051</v>
      </c>
      <c r="F728" s="639"/>
      <c r="G728" s="639">
        <f t="shared" si="63"/>
        <v>534</v>
      </c>
      <c r="H728" s="632">
        <v>465</v>
      </c>
      <c r="I728" s="632">
        <v>69</v>
      </c>
      <c r="J728" s="639">
        <v>81</v>
      </c>
      <c r="K728" s="639">
        <v>259</v>
      </c>
      <c r="L728" s="639">
        <v>177</v>
      </c>
      <c r="P728" s="600"/>
      <c r="V728" s="326"/>
      <c r="W728" s="326"/>
      <c r="X728" s="326"/>
      <c r="Y728" s="326"/>
      <c r="Z728" s="326"/>
      <c r="AA728" s="326"/>
      <c r="AB728" s="326"/>
    </row>
    <row r="729" spans="1:28" s="263" customFormat="1" ht="9" customHeight="1" x14ac:dyDescent="0.25">
      <c r="A729" s="603" t="s">
        <v>49</v>
      </c>
      <c r="B729" s="640" t="s">
        <v>22</v>
      </c>
      <c r="C729" s="640" t="s">
        <v>22</v>
      </c>
      <c r="D729" s="641"/>
      <c r="E729" s="634">
        <f t="shared" si="64"/>
        <v>2421</v>
      </c>
      <c r="F729" s="641"/>
      <c r="G729" s="641">
        <f t="shared" si="63"/>
        <v>1244</v>
      </c>
      <c r="H729" s="634">
        <v>1167</v>
      </c>
      <c r="I729" s="634">
        <v>77</v>
      </c>
      <c r="J729" s="641">
        <v>102</v>
      </c>
      <c r="K729" s="641">
        <v>570</v>
      </c>
      <c r="L729" s="641">
        <v>505</v>
      </c>
      <c r="P729" s="600"/>
      <c r="V729" s="326"/>
      <c r="W729" s="326"/>
      <c r="X729" s="326"/>
      <c r="Y729" s="326"/>
      <c r="Z729" s="326"/>
      <c r="AA729" s="326"/>
      <c r="AB729" s="326"/>
    </row>
    <row r="730" spans="1:28" s="263" customFormat="1" ht="9" customHeight="1" x14ac:dyDescent="0.25">
      <c r="A730" s="550" t="s">
        <v>50</v>
      </c>
      <c r="B730" s="638" t="s">
        <v>22</v>
      </c>
      <c r="C730" s="638" t="s">
        <v>22</v>
      </c>
      <c r="D730" s="639"/>
      <c r="E730" s="632">
        <f t="shared" si="64"/>
        <v>358</v>
      </c>
      <c r="F730" s="639"/>
      <c r="G730" s="639">
        <f t="shared" si="63"/>
        <v>197</v>
      </c>
      <c r="H730" s="632">
        <v>185</v>
      </c>
      <c r="I730" s="632">
        <v>12</v>
      </c>
      <c r="J730" s="639">
        <v>14</v>
      </c>
      <c r="K730" s="639">
        <v>71</v>
      </c>
      <c r="L730" s="639">
        <v>76</v>
      </c>
      <c r="P730" s="600"/>
      <c r="V730" s="326"/>
      <c r="W730" s="326"/>
      <c r="X730" s="326"/>
      <c r="Y730" s="326"/>
      <c r="Z730" s="326"/>
      <c r="AA730" s="326"/>
      <c r="AB730" s="326"/>
    </row>
    <row r="731" spans="1:28" s="263" customFormat="1" ht="9" customHeight="1" x14ac:dyDescent="0.25">
      <c r="A731" s="550" t="s">
        <v>51</v>
      </c>
      <c r="B731" s="638" t="s">
        <v>22</v>
      </c>
      <c r="C731" s="638" t="s">
        <v>22</v>
      </c>
      <c r="D731" s="639"/>
      <c r="E731" s="632">
        <f t="shared" si="64"/>
        <v>2410</v>
      </c>
      <c r="F731" s="639"/>
      <c r="G731" s="639">
        <f t="shared" si="63"/>
        <v>1255</v>
      </c>
      <c r="H731" s="632">
        <v>1179</v>
      </c>
      <c r="I731" s="632">
        <v>76</v>
      </c>
      <c r="J731" s="639">
        <v>107</v>
      </c>
      <c r="K731" s="639">
        <v>445</v>
      </c>
      <c r="L731" s="639">
        <v>603</v>
      </c>
      <c r="P731" s="600"/>
      <c r="V731" s="326"/>
      <c r="W731" s="326"/>
      <c r="X731" s="326"/>
      <c r="Y731" s="326"/>
      <c r="Z731" s="326"/>
      <c r="AA731" s="326"/>
      <c r="AB731" s="326"/>
    </row>
    <row r="732" spans="1:28" s="263" customFormat="1" ht="9" customHeight="1" x14ac:dyDescent="0.25">
      <c r="A732" s="550" t="s">
        <v>52</v>
      </c>
      <c r="B732" s="638" t="s">
        <v>22</v>
      </c>
      <c r="C732" s="638" t="s">
        <v>22</v>
      </c>
      <c r="D732" s="639"/>
      <c r="E732" s="632">
        <f t="shared" si="64"/>
        <v>1743</v>
      </c>
      <c r="F732" s="639"/>
      <c r="G732" s="639">
        <f t="shared" si="63"/>
        <v>833</v>
      </c>
      <c r="H732" s="632">
        <v>778</v>
      </c>
      <c r="I732" s="632">
        <v>55</v>
      </c>
      <c r="J732" s="639">
        <v>40</v>
      </c>
      <c r="K732" s="639">
        <v>278</v>
      </c>
      <c r="L732" s="639">
        <v>592</v>
      </c>
      <c r="P732" s="600"/>
      <c r="V732" s="326"/>
      <c r="W732" s="326"/>
      <c r="X732" s="326"/>
      <c r="Y732" s="326"/>
      <c r="Z732" s="326"/>
      <c r="AA732" s="326"/>
      <c r="AB732" s="326"/>
    </row>
    <row r="733" spans="1:28" s="263" customFormat="1" ht="9" customHeight="1" x14ac:dyDescent="0.25">
      <c r="A733" s="267" t="s">
        <v>53</v>
      </c>
      <c r="B733" s="599" t="s">
        <v>22</v>
      </c>
      <c r="C733" s="599" t="s">
        <v>22</v>
      </c>
      <c r="D733" s="328"/>
      <c r="E733" s="604">
        <f t="shared" si="64"/>
        <v>696</v>
      </c>
      <c r="F733" s="328"/>
      <c r="G733" s="328">
        <f t="shared" si="63"/>
        <v>356</v>
      </c>
      <c r="H733" s="604">
        <v>342</v>
      </c>
      <c r="I733" s="604">
        <v>14</v>
      </c>
      <c r="J733" s="328">
        <v>32</v>
      </c>
      <c r="K733" s="328">
        <v>101</v>
      </c>
      <c r="L733" s="328">
        <v>207</v>
      </c>
      <c r="P733" s="642"/>
      <c r="V733" s="326"/>
      <c r="W733" s="326"/>
      <c r="X733" s="326"/>
      <c r="Y733" s="326"/>
      <c r="Z733" s="326"/>
      <c r="AA733" s="326"/>
      <c r="AB733" s="326"/>
    </row>
    <row r="734" spans="1:28" s="263" customFormat="1" ht="9" customHeight="1" x14ac:dyDescent="0.25">
      <c r="A734" s="286"/>
      <c r="B734" s="613"/>
      <c r="C734" s="613"/>
      <c r="D734" s="329"/>
      <c r="E734" s="605"/>
      <c r="F734" s="329"/>
      <c r="G734" s="329"/>
      <c r="H734" s="605"/>
      <c r="I734" s="605"/>
      <c r="J734" s="329"/>
      <c r="K734" s="329"/>
      <c r="L734" s="329"/>
    </row>
    <row r="735" spans="1:28" s="263" customFormat="1" ht="9" customHeight="1" x14ac:dyDescent="0.25">
      <c r="A735" s="261">
        <v>2015</v>
      </c>
      <c r="B735" s="288"/>
      <c r="C735" s="262"/>
      <c r="D735" s="262"/>
      <c r="E735" s="262"/>
      <c r="F735" s="262"/>
      <c r="G735" s="262"/>
      <c r="H735" s="271"/>
      <c r="I735" s="262"/>
      <c r="J735" s="262"/>
      <c r="K735" s="262"/>
      <c r="L735" s="262"/>
    </row>
    <row r="736" spans="1:28" s="263" customFormat="1" ht="9" customHeight="1" x14ac:dyDescent="0.25">
      <c r="A736" s="265" t="s">
        <v>21</v>
      </c>
      <c r="B736" s="325" t="s">
        <v>22</v>
      </c>
      <c r="C736" s="325" t="s">
        <v>22</v>
      </c>
      <c r="D736" s="325"/>
      <c r="E736" s="325">
        <f>SUM(E738:E769)</f>
        <v>95279</v>
      </c>
      <c r="F736" s="325"/>
      <c r="G736" s="325">
        <f t="shared" ref="G736:L736" si="65">SUM(G738:G769)</f>
        <v>47449</v>
      </c>
      <c r="H736" s="332">
        <f t="shared" si="65"/>
        <v>42861</v>
      </c>
      <c r="I736" s="325">
        <f t="shared" si="65"/>
        <v>4588</v>
      </c>
      <c r="J736" s="325">
        <f t="shared" si="65"/>
        <v>6696</v>
      </c>
      <c r="K736" s="325">
        <f t="shared" si="65"/>
        <v>22476</v>
      </c>
      <c r="L736" s="325">
        <f t="shared" si="65"/>
        <v>18658</v>
      </c>
      <c r="N736" s="643"/>
      <c r="O736" s="643"/>
      <c r="P736" s="644"/>
      <c r="Q736" s="644"/>
      <c r="R736" s="644"/>
      <c r="S736" s="644"/>
      <c r="U736" s="326"/>
    </row>
    <row r="737" spans="1:21" s="263" customFormat="1" ht="3.95" customHeight="1" x14ac:dyDescent="0.25">
      <c r="A737" s="265"/>
      <c r="B737" s="325"/>
      <c r="C737" s="325"/>
      <c r="D737" s="325"/>
      <c r="E737" s="325"/>
      <c r="F737" s="325"/>
      <c r="G737" s="325"/>
      <c r="H737" s="325"/>
      <c r="I737" s="325"/>
      <c r="J737" s="325"/>
      <c r="K737" s="325"/>
      <c r="L737" s="325"/>
      <c r="U737" s="326"/>
    </row>
    <row r="738" spans="1:21" s="263" customFormat="1" ht="9" customHeight="1" x14ac:dyDescent="0.25">
      <c r="A738" s="550" t="s">
        <v>23</v>
      </c>
      <c r="B738" s="638" t="s">
        <v>22</v>
      </c>
      <c r="C738" s="638" t="s">
        <v>22</v>
      </c>
      <c r="D738" s="639"/>
      <c r="E738" s="632">
        <f>SUM(G738+J738+K738+L738)</f>
        <v>973</v>
      </c>
      <c r="F738" s="639"/>
      <c r="G738" s="639">
        <f>SUM(H738:I738)</f>
        <v>415</v>
      </c>
      <c r="H738" s="632">
        <v>386</v>
      </c>
      <c r="I738" s="632">
        <v>29</v>
      </c>
      <c r="J738" s="639">
        <v>98</v>
      </c>
      <c r="K738" s="639">
        <v>204</v>
      </c>
      <c r="L738" s="639">
        <v>256</v>
      </c>
      <c r="U738" s="326"/>
    </row>
    <row r="739" spans="1:21" s="263" customFormat="1" ht="9" customHeight="1" x14ac:dyDescent="0.25">
      <c r="A739" s="550" t="s">
        <v>24</v>
      </c>
      <c r="B739" s="638" t="s">
        <v>22</v>
      </c>
      <c r="C739" s="638" t="s">
        <v>22</v>
      </c>
      <c r="D739" s="639"/>
      <c r="E739" s="632">
        <f>SUM(G739+J739+K739+L739)</f>
        <v>3194</v>
      </c>
      <c r="F739" s="638"/>
      <c r="G739" s="639">
        <f t="shared" ref="G739:G769" si="66">SUM(H739:I739)</f>
        <v>1458</v>
      </c>
      <c r="H739" s="638">
        <v>1379</v>
      </c>
      <c r="I739" s="638">
        <v>79</v>
      </c>
      <c r="J739" s="638">
        <v>178</v>
      </c>
      <c r="K739" s="638">
        <v>847</v>
      </c>
      <c r="L739" s="638">
        <v>711</v>
      </c>
      <c r="P739" s="600"/>
      <c r="U739" s="326"/>
    </row>
    <row r="740" spans="1:21" s="263" customFormat="1" ht="9" customHeight="1" x14ac:dyDescent="0.25">
      <c r="A740" s="550" t="s">
        <v>25</v>
      </c>
      <c r="B740" s="638" t="s">
        <v>22</v>
      </c>
      <c r="C740" s="638" t="s">
        <v>22</v>
      </c>
      <c r="D740" s="639"/>
      <c r="E740" s="632">
        <f t="shared" ref="E740:E769" si="67">SUM(G740+J740+K740+L740)</f>
        <v>385</v>
      </c>
      <c r="F740" s="639"/>
      <c r="G740" s="639">
        <f t="shared" si="66"/>
        <v>161</v>
      </c>
      <c r="H740" s="632">
        <v>152</v>
      </c>
      <c r="I740" s="632">
        <v>9</v>
      </c>
      <c r="J740" s="639">
        <v>42</v>
      </c>
      <c r="K740" s="639">
        <v>100</v>
      </c>
      <c r="L740" s="639">
        <v>82</v>
      </c>
      <c r="P740" s="600"/>
      <c r="U740" s="326"/>
    </row>
    <row r="741" spans="1:21" s="263" customFormat="1" ht="9" customHeight="1" x14ac:dyDescent="0.25">
      <c r="A741" s="603" t="s">
        <v>26</v>
      </c>
      <c r="B741" s="640" t="s">
        <v>22</v>
      </c>
      <c r="C741" s="640" t="s">
        <v>22</v>
      </c>
      <c r="D741" s="641"/>
      <c r="E741" s="634">
        <f t="shared" si="67"/>
        <v>231</v>
      </c>
      <c r="F741" s="641"/>
      <c r="G741" s="641">
        <f t="shared" si="66"/>
        <v>135</v>
      </c>
      <c r="H741" s="634">
        <v>109</v>
      </c>
      <c r="I741" s="634">
        <v>26</v>
      </c>
      <c r="J741" s="641">
        <v>14</v>
      </c>
      <c r="K741" s="641">
        <v>51</v>
      </c>
      <c r="L741" s="641">
        <v>31</v>
      </c>
      <c r="P741" s="600"/>
      <c r="U741" s="326"/>
    </row>
    <row r="742" spans="1:21" s="263" customFormat="1" ht="9" customHeight="1" x14ac:dyDescent="0.25">
      <c r="A742" s="550" t="s">
        <v>27</v>
      </c>
      <c r="B742" s="638" t="s">
        <v>22</v>
      </c>
      <c r="C742" s="638" t="s">
        <v>22</v>
      </c>
      <c r="D742" s="639"/>
      <c r="E742" s="632">
        <f t="shared" si="67"/>
        <v>2471</v>
      </c>
      <c r="F742" s="639"/>
      <c r="G742" s="639">
        <f t="shared" si="66"/>
        <v>1119</v>
      </c>
      <c r="H742" s="632">
        <v>1072</v>
      </c>
      <c r="I742" s="632">
        <v>47</v>
      </c>
      <c r="J742" s="639">
        <v>108</v>
      </c>
      <c r="K742" s="639">
        <v>944</v>
      </c>
      <c r="L742" s="639">
        <v>300</v>
      </c>
      <c r="P742" s="600"/>
      <c r="U742" s="326"/>
    </row>
    <row r="743" spans="1:21" s="263" customFormat="1" ht="9" customHeight="1" x14ac:dyDescent="0.25">
      <c r="A743" s="550" t="s">
        <v>28</v>
      </c>
      <c r="B743" s="638" t="s">
        <v>22</v>
      </c>
      <c r="C743" s="638" t="s">
        <v>22</v>
      </c>
      <c r="D743" s="639"/>
      <c r="E743" s="632">
        <f t="shared" si="67"/>
        <v>317</v>
      </c>
      <c r="F743" s="639"/>
      <c r="G743" s="639">
        <f t="shared" si="66"/>
        <v>173</v>
      </c>
      <c r="H743" s="632">
        <v>151</v>
      </c>
      <c r="I743" s="632">
        <v>22</v>
      </c>
      <c r="J743" s="639">
        <v>12</v>
      </c>
      <c r="K743" s="639">
        <v>53</v>
      </c>
      <c r="L743" s="639">
        <v>79</v>
      </c>
      <c r="P743" s="600"/>
      <c r="U743" s="326"/>
    </row>
    <row r="744" spans="1:21" s="263" customFormat="1" ht="9" customHeight="1" x14ac:dyDescent="0.25">
      <c r="A744" s="550" t="s">
        <v>29</v>
      </c>
      <c r="B744" s="638" t="s">
        <v>22</v>
      </c>
      <c r="C744" s="638" t="s">
        <v>22</v>
      </c>
      <c r="D744" s="639"/>
      <c r="E744" s="632">
        <f t="shared" si="67"/>
        <v>932</v>
      </c>
      <c r="F744" s="639"/>
      <c r="G744" s="639">
        <f t="shared" si="66"/>
        <v>531</v>
      </c>
      <c r="H744" s="632">
        <v>513</v>
      </c>
      <c r="I744" s="632">
        <v>18</v>
      </c>
      <c r="J744" s="639">
        <v>24</v>
      </c>
      <c r="K744" s="639">
        <v>131</v>
      </c>
      <c r="L744" s="639">
        <v>246</v>
      </c>
      <c r="P744" s="600"/>
      <c r="U744" s="326"/>
    </row>
    <row r="745" spans="1:21" s="263" customFormat="1" ht="9" customHeight="1" x14ac:dyDescent="0.25">
      <c r="A745" s="603" t="s">
        <v>30</v>
      </c>
      <c r="B745" s="640" t="s">
        <v>22</v>
      </c>
      <c r="C745" s="640" t="s">
        <v>22</v>
      </c>
      <c r="D745" s="641"/>
      <c r="E745" s="634">
        <f t="shared" si="67"/>
        <v>5143</v>
      </c>
      <c r="F745" s="641"/>
      <c r="G745" s="641">
        <f t="shared" si="66"/>
        <v>2853</v>
      </c>
      <c r="H745" s="634">
        <v>2335</v>
      </c>
      <c r="I745" s="634">
        <v>518</v>
      </c>
      <c r="J745" s="641">
        <v>328</v>
      </c>
      <c r="K745" s="641">
        <v>1187</v>
      </c>
      <c r="L745" s="641">
        <v>775</v>
      </c>
      <c r="P745" s="600"/>
      <c r="U745" s="326"/>
    </row>
    <row r="746" spans="1:21" s="263" customFormat="1" ht="9" customHeight="1" x14ac:dyDescent="0.25">
      <c r="A746" s="550" t="s">
        <v>63</v>
      </c>
      <c r="B746" s="638" t="s">
        <v>22</v>
      </c>
      <c r="C746" s="638" t="s">
        <v>22</v>
      </c>
      <c r="D746" s="639"/>
      <c r="E746" s="632">
        <f t="shared" si="67"/>
        <v>18820</v>
      </c>
      <c r="F746" s="639"/>
      <c r="G746" s="639">
        <f t="shared" si="66"/>
        <v>8865</v>
      </c>
      <c r="H746" s="632">
        <v>7634</v>
      </c>
      <c r="I746" s="632">
        <v>1231</v>
      </c>
      <c r="J746" s="639">
        <v>1865</v>
      </c>
      <c r="K746" s="639">
        <v>4502</v>
      </c>
      <c r="L746" s="639">
        <v>3588</v>
      </c>
      <c r="P746" s="600"/>
      <c r="U746" s="326"/>
    </row>
    <row r="747" spans="1:21" s="263" customFormat="1" ht="9" customHeight="1" x14ac:dyDescent="0.25">
      <c r="A747" s="550" t="s">
        <v>31</v>
      </c>
      <c r="B747" s="638" t="s">
        <v>22</v>
      </c>
      <c r="C747" s="638" t="s">
        <v>22</v>
      </c>
      <c r="D747" s="639"/>
      <c r="E747" s="632">
        <f t="shared" si="67"/>
        <v>581</v>
      </c>
      <c r="F747" s="639"/>
      <c r="G747" s="639">
        <f t="shared" si="66"/>
        <v>301</v>
      </c>
      <c r="H747" s="632">
        <v>290</v>
      </c>
      <c r="I747" s="632">
        <v>11</v>
      </c>
      <c r="J747" s="550">
        <v>22</v>
      </c>
      <c r="K747" s="550">
        <v>107</v>
      </c>
      <c r="L747" s="639">
        <v>151</v>
      </c>
      <c r="P747" s="600"/>
      <c r="U747" s="326"/>
    </row>
    <row r="748" spans="1:21" s="263" customFormat="1" ht="9" customHeight="1" x14ac:dyDescent="0.25">
      <c r="A748" s="550" t="s">
        <v>32</v>
      </c>
      <c r="B748" s="638" t="s">
        <v>22</v>
      </c>
      <c r="C748" s="638" t="s">
        <v>22</v>
      </c>
      <c r="D748" s="639"/>
      <c r="E748" s="632">
        <f t="shared" si="67"/>
        <v>4468</v>
      </c>
      <c r="F748" s="639"/>
      <c r="G748" s="639">
        <f t="shared" si="66"/>
        <v>2295</v>
      </c>
      <c r="H748" s="632">
        <v>2099</v>
      </c>
      <c r="I748" s="632">
        <v>196</v>
      </c>
      <c r="J748" s="639">
        <v>232</v>
      </c>
      <c r="K748" s="639">
        <v>1121</v>
      </c>
      <c r="L748" s="639">
        <v>820</v>
      </c>
      <c r="P748" s="600"/>
      <c r="U748" s="326"/>
    </row>
    <row r="749" spans="1:21" s="263" customFormat="1" ht="9" customHeight="1" x14ac:dyDescent="0.25">
      <c r="A749" s="603" t="s">
        <v>33</v>
      </c>
      <c r="B749" s="640" t="s">
        <v>22</v>
      </c>
      <c r="C749" s="640" t="s">
        <v>22</v>
      </c>
      <c r="D749" s="641"/>
      <c r="E749" s="634">
        <f t="shared" si="67"/>
        <v>1091</v>
      </c>
      <c r="F749" s="641"/>
      <c r="G749" s="641">
        <f t="shared" si="66"/>
        <v>602</v>
      </c>
      <c r="H749" s="634">
        <v>572</v>
      </c>
      <c r="I749" s="634">
        <v>30</v>
      </c>
      <c r="J749" s="641">
        <v>26</v>
      </c>
      <c r="K749" s="641">
        <v>194</v>
      </c>
      <c r="L749" s="641">
        <v>269</v>
      </c>
      <c r="P749" s="600"/>
      <c r="U749" s="326"/>
    </row>
    <row r="750" spans="1:21" s="263" customFormat="1" ht="9" customHeight="1" x14ac:dyDescent="0.25">
      <c r="A750" s="550" t="s">
        <v>34</v>
      </c>
      <c r="B750" s="638" t="s">
        <v>22</v>
      </c>
      <c r="C750" s="638" t="s">
        <v>22</v>
      </c>
      <c r="D750" s="639"/>
      <c r="E750" s="632">
        <f t="shared" si="67"/>
        <v>1668</v>
      </c>
      <c r="F750" s="639"/>
      <c r="G750" s="639">
        <f t="shared" si="66"/>
        <v>940</v>
      </c>
      <c r="H750" s="632">
        <v>833</v>
      </c>
      <c r="I750" s="632">
        <v>107</v>
      </c>
      <c r="J750" s="639">
        <v>86</v>
      </c>
      <c r="K750" s="639">
        <v>292</v>
      </c>
      <c r="L750" s="639">
        <v>350</v>
      </c>
      <c r="P750" s="600"/>
      <c r="U750" s="326"/>
    </row>
    <row r="751" spans="1:21" s="263" customFormat="1" ht="9" customHeight="1" x14ac:dyDescent="0.25">
      <c r="A751" s="550" t="s">
        <v>35</v>
      </c>
      <c r="B751" s="638" t="s">
        <v>22</v>
      </c>
      <c r="C751" s="638" t="s">
        <v>22</v>
      </c>
      <c r="D751" s="639"/>
      <c r="E751" s="632">
        <f t="shared" si="67"/>
        <v>8401</v>
      </c>
      <c r="F751" s="639"/>
      <c r="G751" s="639">
        <f t="shared" si="66"/>
        <v>4258</v>
      </c>
      <c r="H751" s="632">
        <v>3875</v>
      </c>
      <c r="I751" s="632">
        <v>383</v>
      </c>
      <c r="J751" s="639">
        <v>509</v>
      </c>
      <c r="K751" s="639">
        <v>1860</v>
      </c>
      <c r="L751" s="639">
        <v>1774</v>
      </c>
      <c r="P751" s="600"/>
      <c r="U751" s="326"/>
    </row>
    <row r="752" spans="1:21" s="263" customFormat="1" ht="9" customHeight="1" x14ac:dyDescent="0.25">
      <c r="A752" s="550" t="s">
        <v>36</v>
      </c>
      <c r="B752" s="638" t="s">
        <v>22</v>
      </c>
      <c r="C752" s="638" t="s">
        <v>22</v>
      </c>
      <c r="D752" s="639"/>
      <c r="E752" s="632">
        <f t="shared" si="67"/>
        <v>7724</v>
      </c>
      <c r="F752" s="639"/>
      <c r="G752" s="639">
        <f t="shared" si="66"/>
        <v>3826</v>
      </c>
      <c r="H752" s="632">
        <v>3472</v>
      </c>
      <c r="I752" s="632">
        <v>354</v>
      </c>
      <c r="J752" s="639">
        <v>578</v>
      </c>
      <c r="K752" s="639">
        <v>1753</v>
      </c>
      <c r="L752" s="639">
        <v>1567</v>
      </c>
      <c r="P752" s="600"/>
      <c r="U752" s="326"/>
    </row>
    <row r="753" spans="1:21" s="263" customFormat="1" ht="9" customHeight="1" x14ac:dyDescent="0.25">
      <c r="A753" s="603" t="s">
        <v>37</v>
      </c>
      <c r="B753" s="640" t="s">
        <v>22</v>
      </c>
      <c r="C753" s="640" t="s">
        <v>22</v>
      </c>
      <c r="D753" s="641"/>
      <c r="E753" s="634">
        <f t="shared" si="67"/>
        <v>2715</v>
      </c>
      <c r="F753" s="641"/>
      <c r="G753" s="641">
        <f t="shared" si="66"/>
        <v>1570</v>
      </c>
      <c r="H753" s="634">
        <v>1546</v>
      </c>
      <c r="I753" s="634">
        <v>24</v>
      </c>
      <c r="J753" s="641">
        <v>158</v>
      </c>
      <c r="K753" s="641">
        <v>499</v>
      </c>
      <c r="L753" s="641">
        <v>488</v>
      </c>
      <c r="P753" s="600"/>
      <c r="U753" s="326"/>
    </row>
    <row r="754" spans="1:21" s="263" customFormat="1" ht="9" customHeight="1" x14ac:dyDescent="0.25">
      <c r="A754" s="550" t="s">
        <v>38</v>
      </c>
      <c r="B754" s="638" t="s">
        <v>22</v>
      </c>
      <c r="C754" s="638" t="s">
        <v>22</v>
      </c>
      <c r="D754" s="639"/>
      <c r="E754" s="632">
        <f t="shared" si="67"/>
        <v>995</v>
      </c>
      <c r="F754" s="639"/>
      <c r="G754" s="639">
        <f t="shared" si="66"/>
        <v>470</v>
      </c>
      <c r="H754" s="632">
        <v>460</v>
      </c>
      <c r="I754" s="632">
        <v>10</v>
      </c>
      <c r="J754" s="639">
        <v>65</v>
      </c>
      <c r="K754" s="639">
        <v>225</v>
      </c>
      <c r="L754" s="639">
        <v>235</v>
      </c>
      <c r="P754" s="600"/>
      <c r="U754" s="326"/>
    </row>
    <row r="755" spans="1:21" s="263" customFormat="1" ht="9" customHeight="1" x14ac:dyDescent="0.25">
      <c r="A755" s="550" t="s">
        <v>39</v>
      </c>
      <c r="B755" s="638" t="s">
        <v>22</v>
      </c>
      <c r="C755" s="638" t="s">
        <v>22</v>
      </c>
      <c r="D755" s="639"/>
      <c r="E755" s="632">
        <f t="shared" si="67"/>
        <v>243</v>
      </c>
      <c r="F755" s="639"/>
      <c r="G755" s="639">
        <f t="shared" si="66"/>
        <v>92</v>
      </c>
      <c r="H755" s="632">
        <v>85</v>
      </c>
      <c r="I755" s="632">
        <v>7</v>
      </c>
      <c r="J755" s="639">
        <v>17</v>
      </c>
      <c r="K755" s="639">
        <v>45</v>
      </c>
      <c r="L755" s="639">
        <v>89</v>
      </c>
      <c r="P755" s="600"/>
      <c r="U755" s="326"/>
    </row>
    <row r="756" spans="1:21" s="263" customFormat="1" ht="9" customHeight="1" x14ac:dyDescent="0.25">
      <c r="A756" s="550" t="s">
        <v>40</v>
      </c>
      <c r="B756" s="638" t="s">
        <v>22</v>
      </c>
      <c r="C756" s="638" t="s">
        <v>22</v>
      </c>
      <c r="D756" s="639"/>
      <c r="E756" s="632">
        <f t="shared" si="67"/>
        <v>11781</v>
      </c>
      <c r="F756" s="639"/>
      <c r="G756" s="639">
        <f t="shared" si="66"/>
        <v>5616</v>
      </c>
      <c r="H756" s="632">
        <v>5130</v>
      </c>
      <c r="I756" s="632">
        <v>486</v>
      </c>
      <c r="J756" s="639">
        <v>1192</v>
      </c>
      <c r="K756" s="639">
        <v>3315</v>
      </c>
      <c r="L756" s="639">
        <v>1658</v>
      </c>
      <c r="P756" s="600"/>
      <c r="U756" s="326"/>
    </row>
    <row r="757" spans="1:21" s="263" customFormat="1" ht="9" customHeight="1" x14ac:dyDescent="0.25">
      <c r="A757" s="603" t="s">
        <v>41</v>
      </c>
      <c r="B757" s="640" t="s">
        <v>22</v>
      </c>
      <c r="C757" s="640" t="s">
        <v>22</v>
      </c>
      <c r="D757" s="641"/>
      <c r="E757" s="634">
        <f t="shared" si="67"/>
        <v>1242</v>
      </c>
      <c r="F757" s="641"/>
      <c r="G757" s="641">
        <f t="shared" si="66"/>
        <v>654</v>
      </c>
      <c r="H757" s="634">
        <v>622</v>
      </c>
      <c r="I757" s="634">
        <v>32</v>
      </c>
      <c r="J757" s="641">
        <v>57</v>
      </c>
      <c r="K757" s="641">
        <v>211</v>
      </c>
      <c r="L757" s="641">
        <v>320</v>
      </c>
      <c r="P757" s="600"/>
      <c r="U757" s="326"/>
    </row>
    <row r="758" spans="1:21" s="263" customFormat="1" ht="9" customHeight="1" x14ac:dyDescent="0.25">
      <c r="A758" s="550" t="s">
        <v>42</v>
      </c>
      <c r="B758" s="638" t="s">
        <v>22</v>
      </c>
      <c r="C758" s="638" t="s">
        <v>22</v>
      </c>
      <c r="D758" s="639"/>
      <c r="E758" s="632">
        <f t="shared" si="67"/>
        <v>3416</v>
      </c>
      <c r="F758" s="639"/>
      <c r="G758" s="639">
        <f t="shared" si="66"/>
        <v>1868</v>
      </c>
      <c r="H758" s="632">
        <v>1757</v>
      </c>
      <c r="I758" s="632">
        <v>111</v>
      </c>
      <c r="J758" s="639">
        <v>137</v>
      </c>
      <c r="K758" s="639">
        <v>778</v>
      </c>
      <c r="L758" s="639">
        <v>633</v>
      </c>
      <c r="P758" s="600"/>
      <c r="U758" s="326"/>
    </row>
    <row r="759" spans="1:21" s="263" customFormat="1" ht="9" customHeight="1" x14ac:dyDescent="0.25">
      <c r="A759" s="550" t="s">
        <v>43</v>
      </c>
      <c r="B759" s="638" t="s">
        <v>22</v>
      </c>
      <c r="C759" s="638" t="s">
        <v>22</v>
      </c>
      <c r="D759" s="639"/>
      <c r="E759" s="632">
        <f t="shared" si="67"/>
        <v>1976</v>
      </c>
      <c r="F759" s="639"/>
      <c r="G759" s="639">
        <f t="shared" si="66"/>
        <v>915</v>
      </c>
      <c r="H759" s="632">
        <v>787</v>
      </c>
      <c r="I759" s="632">
        <v>128</v>
      </c>
      <c r="J759" s="639">
        <v>158</v>
      </c>
      <c r="K759" s="639">
        <v>509</v>
      </c>
      <c r="L759" s="639">
        <v>394</v>
      </c>
      <c r="P759" s="600"/>
      <c r="U759" s="326"/>
    </row>
    <row r="760" spans="1:21" s="263" customFormat="1" ht="9" customHeight="1" x14ac:dyDescent="0.25">
      <c r="A760" s="550" t="s">
        <v>44</v>
      </c>
      <c r="B760" s="638" t="s">
        <v>22</v>
      </c>
      <c r="C760" s="638" t="s">
        <v>22</v>
      </c>
      <c r="D760" s="639"/>
      <c r="E760" s="632">
        <f t="shared" si="67"/>
        <v>944</v>
      </c>
      <c r="F760" s="639"/>
      <c r="G760" s="639">
        <f t="shared" si="66"/>
        <v>412</v>
      </c>
      <c r="H760" s="632">
        <v>347</v>
      </c>
      <c r="I760" s="632">
        <v>65</v>
      </c>
      <c r="J760" s="639">
        <v>64</v>
      </c>
      <c r="K760" s="639">
        <v>251</v>
      </c>
      <c r="L760" s="639">
        <v>217</v>
      </c>
      <c r="P760" s="600"/>
      <c r="U760" s="326"/>
    </row>
    <row r="761" spans="1:21" s="263" customFormat="1" ht="9" customHeight="1" x14ac:dyDescent="0.25">
      <c r="A761" s="603" t="s">
        <v>45</v>
      </c>
      <c r="B761" s="640" t="s">
        <v>22</v>
      </c>
      <c r="C761" s="640" t="s">
        <v>22</v>
      </c>
      <c r="D761" s="641"/>
      <c r="E761" s="634">
        <f t="shared" si="67"/>
        <v>2447</v>
      </c>
      <c r="F761" s="641"/>
      <c r="G761" s="641">
        <f t="shared" si="66"/>
        <v>1206</v>
      </c>
      <c r="H761" s="634">
        <v>1037</v>
      </c>
      <c r="I761" s="634">
        <v>169</v>
      </c>
      <c r="J761" s="641">
        <v>136</v>
      </c>
      <c r="K761" s="641">
        <v>614</v>
      </c>
      <c r="L761" s="641">
        <v>491</v>
      </c>
      <c r="P761" s="600"/>
      <c r="U761" s="326"/>
    </row>
    <row r="762" spans="1:21" s="263" customFormat="1" ht="9" customHeight="1" x14ac:dyDescent="0.25">
      <c r="A762" s="550" t="s">
        <v>46</v>
      </c>
      <c r="B762" s="638" t="s">
        <v>22</v>
      </c>
      <c r="C762" s="638" t="s">
        <v>22</v>
      </c>
      <c r="D762" s="639"/>
      <c r="E762" s="632">
        <f t="shared" si="67"/>
        <v>1712</v>
      </c>
      <c r="F762" s="639"/>
      <c r="G762" s="639">
        <f t="shared" si="66"/>
        <v>913</v>
      </c>
      <c r="H762" s="632">
        <v>841</v>
      </c>
      <c r="I762" s="632">
        <v>72</v>
      </c>
      <c r="J762" s="639">
        <v>88</v>
      </c>
      <c r="K762" s="639">
        <v>366</v>
      </c>
      <c r="L762" s="639">
        <v>345</v>
      </c>
      <c r="P762" s="600"/>
      <c r="U762" s="326"/>
    </row>
    <row r="763" spans="1:21" s="263" customFormat="1" ht="9" customHeight="1" x14ac:dyDescent="0.25">
      <c r="A763" s="550" t="s">
        <v>47</v>
      </c>
      <c r="B763" s="638" t="s">
        <v>22</v>
      </c>
      <c r="C763" s="638" t="s">
        <v>22</v>
      </c>
      <c r="D763" s="639"/>
      <c r="E763" s="632">
        <f t="shared" si="67"/>
        <v>2303</v>
      </c>
      <c r="F763" s="639"/>
      <c r="G763" s="639">
        <f t="shared" si="66"/>
        <v>1186</v>
      </c>
      <c r="H763" s="632">
        <v>1123</v>
      </c>
      <c r="I763" s="632">
        <v>63</v>
      </c>
      <c r="J763" s="639">
        <v>73</v>
      </c>
      <c r="K763" s="639">
        <v>477</v>
      </c>
      <c r="L763" s="639">
        <v>567</v>
      </c>
      <c r="P763" s="600"/>
      <c r="U763" s="326"/>
    </row>
    <row r="764" spans="1:21" s="263" customFormat="1" ht="9" customHeight="1" x14ac:dyDescent="0.25">
      <c r="A764" s="550" t="s">
        <v>48</v>
      </c>
      <c r="B764" s="638" t="s">
        <v>22</v>
      </c>
      <c r="C764" s="638" t="s">
        <v>22</v>
      </c>
      <c r="D764" s="639"/>
      <c r="E764" s="632">
        <f t="shared" si="67"/>
        <v>1230</v>
      </c>
      <c r="F764" s="639"/>
      <c r="G764" s="639">
        <f t="shared" si="66"/>
        <v>529</v>
      </c>
      <c r="H764" s="632">
        <v>483</v>
      </c>
      <c r="I764" s="632">
        <v>46</v>
      </c>
      <c r="J764" s="639">
        <v>79</v>
      </c>
      <c r="K764" s="639">
        <v>387</v>
      </c>
      <c r="L764" s="639">
        <v>235</v>
      </c>
      <c r="P764" s="600"/>
      <c r="U764" s="326"/>
    </row>
    <row r="765" spans="1:21" s="263" customFormat="1" ht="9" customHeight="1" x14ac:dyDescent="0.25">
      <c r="A765" s="603" t="s">
        <v>49</v>
      </c>
      <c r="B765" s="640" t="s">
        <v>22</v>
      </c>
      <c r="C765" s="640" t="s">
        <v>22</v>
      </c>
      <c r="D765" s="641"/>
      <c r="E765" s="634">
        <f t="shared" si="67"/>
        <v>2436</v>
      </c>
      <c r="F765" s="641"/>
      <c r="G765" s="641">
        <f t="shared" si="66"/>
        <v>1308</v>
      </c>
      <c r="H765" s="634">
        <v>1221</v>
      </c>
      <c r="I765" s="634">
        <v>87</v>
      </c>
      <c r="J765" s="641">
        <v>136</v>
      </c>
      <c r="K765" s="641">
        <v>490</v>
      </c>
      <c r="L765" s="641">
        <v>502</v>
      </c>
      <c r="P765" s="600"/>
      <c r="U765" s="326"/>
    </row>
    <row r="766" spans="1:21" s="263" customFormat="1" ht="9" customHeight="1" x14ac:dyDescent="0.25">
      <c r="A766" s="550" t="s">
        <v>50</v>
      </c>
      <c r="B766" s="638" t="s">
        <v>22</v>
      </c>
      <c r="C766" s="638" t="s">
        <v>22</v>
      </c>
      <c r="D766" s="639"/>
      <c r="E766" s="632">
        <f t="shared" si="67"/>
        <v>362</v>
      </c>
      <c r="F766" s="639"/>
      <c r="G766" s="639">
        <f t="shared" si="66"/>
        <v>204</v>
      </c>
      <c r="H766" s="632">
        <v>190</v>
      </c>
      <c r="I766" s="632">
        <v>14</v>
      </c>
      <c r="J766" s="639">
        <v>9</v>
      </c>
      <c r="K766" s="639">
        <v>71</v>
      </c>
      <c r="L766" s="639">
        <v>78</v>
      </c>
      <c r="P766" s="600"/>
      <c r="U766" s="326"/>
    </row>
    <row r="767" spans="1:21" s="263" customFormat="1" ht="9" customHeight="1" x14ac:dyDescent="0.25">
      <c r="A767" s="550" t="s">
        <v>51</v>
      </c>
      <c r="B767" s="638" t="s">
        <v>22</v>
      </c>
      <c r="C767" s="638" t="s">
        <v>22</v>
      </c>
      <c r="D767" s="639"/>
      <c r="E767" s="632">
        <f t="shared" si="67"/>
        <v>2620</v>
      </c>
      <c r="F767" s="639"/>
      <c r="G767" s="639">
        <f t="shared" si="66"/>
        <v>1368</v>
      </c>
      <c r="H767" s="632">
        <v>1232</v>
      </c>
      <c r="I767" s="632">
        <v>136</v>
      </c>
      <c r="J767" s="639">
        <v>140</v>
      </c>
      <c r="K767" s="639">
        <v>497</v>
      </c>
      <c r="L767" s="639">
        <v>615</v>
      </c>
      <c r="P767" s="600"/>
      <c r="U767" s="326"/>
    </row>
    <row r="768" spans="1:21" s="263" customFormat="1" ht="9" customHeight="1" x14ac:dyDescent="0.25">
      <c r="A768" s="550" t="s">
        <v>52</v>
      </c>
      <c r="B768" s="638" t="s">
        <v>22</v>
      </c>
      <c r="C768" s="638" t="s">
        <v>22</v>
      </c>
      <c r="D768" s="639"/>
      <c r="E768" s="632">
        <f t="shared" si="67"/>
        <v>1728</v>
      </c>
      <c r="F768" s="639"/>
      <c r="G768" s="639">
        <f t="shared" si="66"/>
        <v>843</v>
      </c>
      <c r="H768" s="632">
        <v>783</v>
      </c>
      <c r="I768" s="632">
        <v>60</v>
      </c>
      <c r="J768" s="639">
        <v>39</v>
      </c>
      <c r="K768" s="639">
        <v>279</v>
      </c>
      <c r="L768" s="639">
        <v>567</v>
      </c>
      <c r="P768" s="600"/>
      <c r="U768" s="326"/>
    </row>
    <row r="769" spans="1:21" s="263" customFormat="1" ht="9" customHeight="1" x14ac:dyDescent="0.25">
      <c r="A769" s="267" t="s">
        <v>53</v>
      </c>
      <c r="B769" s="599" t="s">
        <v>22</v>
      </c>
      <c r="C769" s="599" t="s">
        <v>22</v>
      </c>
      <c r="D769" s="328"/>
      <c r="E769" s="604">
        <f t="shared" si="67"/>
        <v>730</v>
      </c>
      <c r="F769" s="328"/>
      <c r="G769" s="328">
        <f t="shared" si="66"/>
        <v>363</v>
      </c>
      <c r="H769" s="604">
        <v>345</v>
      </c>
      <c r="I769" s="604">
        <v>18</v>
      </c>
      <c r="J769" s="328">
        <v>26</v>
      </c>
      <c r="K769" s="328">
        <v>116</v>
      </c>
      <c r="L769" s="328">
        <v>225</v>
      </c>
      <c r="P769" s="600"/>
      <c r="U769" s="326"/>
    </row>
    <row r="770" spans="1:21" s="263" customFormat="1" ht="9" customHeight="1" x14ac:dyDescent="0.25">
      <c r="A770" s="286"/>
      <c r="B770" s="613"/>
      <c r="C770" s="613"/>
      <c r="D770" s="329"/>
      <c r="E770" s="605"/>
      <c r="F770" s="329"/>
      <c r="G770" s="329"/>
      <c r="H770" s="605"/>
      <c r="I770" s="605"/>
      <c r="J770" s="329"/>
      <c r="K770" s="329"/>
      <c r="L770" s="329"/>
    </row>
    <row r="771" spans="1:21" s="263" customFormat="1" ht="9" customHeight="1" x14ac:dyDescent="0.25">
      <c r="A771" s="261">
        <v>2016</v>
      </c>
      <c r="B771" s="288"/>
      <c r="C771" s="262"/>
      <c r="D771" s="262"/>
      <c r="E771" s="262"/>
      <c r="F771" s="262"/>
      <c r="G771" s="262"/>
      <c r="H771" s="271"/>
      <c r="I771" s="262"/>
      <c r="J771" s="262"/>
      <c r="K771" s="262"/>
      <c r="L771" s="262"/>
    </row>
    <row r="772" spans="1:21" s="263" customFormat="1" ht="9" customHeight="1" x14ac:dyDescent="0.25">
      <c r="A772" s="265" t="s">
        <v>21</v>
      </c>
      <c r="B772" s="325" t="s">
        <v>22</v>
      </c>
      <c r="C772" s="325" t="s">
        <v>22</v>
      </c>
      <c r="D772" s="325"/>
      <c r="E772" s="325">
        <f>SUM(E774:E805)</f>
        <v>99441</v>
      </c>
      <c r="F772" s="325"/>
      <c r="G772" s="325">
        <f t="shared" ref="G772:L772" si="68">SUM(G774:G805)</f>
        <v>48815</v>
      </c>
      <c r="H772" s="332">
        <f t="shared" si="68"/>
        <v>44359</v>
      </c>
      <c r="I772" s="325">
        <f t="shared" si="68"/>
        <v>4456</v>
      </c>
      <c r="J772" s="325">
        <f>SUM(J774:J805)</f>
        <v>7239</v>
      </c>
      <c r="K772" s="325">
        <f t="shared" si="68"/>
        <v>23113</v>
      </c>
      <c r="L772" s="325">
        <f t="shared" si="68"/>
        <v>20274</v>
      </c>
      <c r="N772" s="643"/>
      <c r="O772" s="643"/>
      <c r="P772" s="644"/>
      <c r="Q772" s="644"/>
      <c r="R772" s="644"/>
      <c r="S772" s="644"/>
      <c r="U772" s="326"/>
    </row>
    <row r="773" spans="1:21" s="263" customFormat="1" ht="3.95" customHeight="1" x14ac:dyDescent="0.25">
      <c r="A773" s="265"/>
      <c r="B773" s="325"/>
      <c r="C773" s="325"/>
      <c r="D773" s="325"/>
      <c r="E773" s="325"/>
      <c r="F773" s="325"/>
      <c r="G773" s="325"/>
      <c r="H773" s="325"/>
      <c r="I773" s="325"/>
      <c r="J773" s="325"/>
      <c r="K773" s="325"/>
      <c r="L773" s="325"/>
      <c r="U773" s="326"/>
    </row>
    <row r="774" spans="1:21" s="263" customFormat="1" ht="9" customHeight="1" x14ac:dyDescent="0.25">
      <c r="A774" s="550" t="s">
        <v>23</v>
      </c>
      <c r="B774" s="638" t="s">
        <v>22</v>
      </c>
      <c r="C774" s="638" t="s">
        <v>22</v>
      </c>
      <c r="D774" s="639"/>
      <c r="E774" s="632">
        <f>SUM(G774+J774+K774+L774)</f>
        <v>971</v>
      </c>
      <c r="F774" s="639"/>
      <c r="G774" s="639">
        <f>SUM(H774:I774)</f>
        <v>414</v>
      </c>
      <c r="H774" s="632">
        <v>387</v>
      </c>
      <c r="I774" s="632">
        <v>27</v>
      </c>
      <c r="J774" s="639">
        <v>98</v>
      </c>
      <c r="K774" s="639">
        <v>205</v>
      </c>
      <c r="L774" s="639">
        <v>254</v>
      </c>
      <c r="P774" s="600"/>
      <c r="U774" s="326"/>
    </row>
    <row r="775" spans="1:21" s="263" customFormat="1" ht="9" customHeight="1" x14ac:dyDescent="0.25">
      <c r="A775" s="550" t="s">
        <v>24</v>
      </c>
      <c r="B775" s="638" t="s">
        <v>22</v>
      </c>
      <c r="C775" s="638" t="s">
        <v>22</v>
      </c>
      <c r="D775" s="639"/>
      <c r="E775" s="632">
        <f>SUM(G775+J775+K775+L775)</f>
        <v>3445</v>
      </c>
      <c r="F775" s="638"/>
      <c r="G775" s="639">
        <f t="shared" ref="G775:G805" si="69">SUM(H775:I775)</f>
        <v>1521</v>
      </c>
      <c r="H775" s="638">
        <v>1417</v>
      </c>
      <c r="I775" s="638">
        <v>104</v>
      </c>
      <c r="J775" s="638">
        <v>191</v>
      </c>
      <c r="K775" s="638">
        <v>975</v>
      </c>
      <c r="L775" s="638">
        <v>758</v>
      </c>
      <c r="P775" s="600"/>
      <c r="U775" s="326"/>
    </row>
    <row r="776" spans="1:21" s="263" customFormat="1" ht="9" customHeight="1" x14ac:dyDescent="0.25">
      <c r="A776" s="550" t="s">
        <v>25</v>
      </c>
      <c r="B776" s="638" t="s">
        <v>22</v>
      </c>
      <c r="C776" s="638" t="s">
        <v>22</v>
      </c>
      <c r="D776" s="639"/>
      <c r="E776" s="632">
        <f t="shared" ref="E776:E805" si="70">SUM(G776+J776+K776+L776)</f>
        <v>389</v>
      </c>
      <c r="F776" s="639"/>
      <c r="G776" s="639">
        <f t="shared" si="69"/>
        <v>156</v>
      </c>
      <c r="H776" s="632">
        <v>153</v>
      </c>
      <c r="I776" s="632">
        <v>3</v>
      </c>
      <c r="J776" s="639">
        <v>39</v>
      </c>
      <c r="K776" s="639">
        <v>94</v>
      </c>
      <c r="L776" s="639">
        <v>100</v>
      </c>
      <c r="P776" s="600"/>
      <c r="U776" s="326"/>
    </row>
    <row r="777" spans="1:21" s="263" customFormat="1" ht="9" customHeight="1" x14ac:dyDescent="0.25">
      <c r="A777" s="603" t="s">
        <v>26</v>
      </c>
      <c r="B777" s="640" t="s">
        <v>22</v>
      </c>
      <c r="C777" s="640" t="s">
        <v>22</v>
      </c>
      <c r="D777" s="641"/>
      <c r="E777" s="634">
        <f t="shared" si="70"/>
        <v>232</v>
      </c>
      <c r="F777" s="641"/>
      <c r="G777" s="641">
        <f t="shared" si="69"/>
        <v>135</v>
      </c>
      <c r="H777" s="634">
        <v>109</v>
      </c>
      <c r="I777" s="634">
        <v>26</v>
      </c>
      <c r="J777" s="641">
        <v>15</v>
      </c>
      <c r="K777" s="641">
        <v>51</v>
      </c>
      <c r="L777" s="641">
        <v>31</v>
      </c>
      <c r="P777" s="600"/>
      <c r="U777" s="326"/>
    </row>
    <row r="778" spans="1:21" s="263" customFormat="1" ht="9" customHeight="1" x14ac:dyDescent="0.25">
      <c r="A778" s="550" t="s">
        <v>27</v>
      </c>
      <c r="B778" s="638" t="s">
        <v>22</v>
      </c>
      <c r="C778" s="638" t="s">
        <v>22</v>
      </c>
      <c r="D778" s="639"/>
      <c r="E778" s="632">
        <f t="shared" si="70"/>
        <v>2586</v>
      </c>
      <c r="F778" s="639"/>
      <c r="G778" s="639">
        <f t="shared" si="69"/>
        <v>1179</v>
      </c>
      <c r="H778" s="632">
        <v>1126</v>
      </c>
      <c r="I778" s="632">
        <v>53</v>
      </c>
      <c r="J778" s="639">
        <v>158</v>
      </c>
      <c r="K778" s="639">
        <v>821</v>
      </c>
      <c r="L778" s="639">
        <v>428</v>
      </c>
      <c r="P778" s="600"/>
      <c r="U778" s="326"/>
    </row>
    <row r="779" spans="1:21" s="263" customFormat="1" ht="9" customHeight="1" x14ac:dyDescent="0.25">
      <c r="A779" s="550" t="s">
        <v>28</v>
      </c>
      <c r="B779" s="638" t="s">
        <v>22</v>
      </c>
      <c r="C779" s="638" t="s">
        <v>22</v>
      </c>
      <c r="D779" s="639"/>
      <c r="E779" s="632">
        <f t="shared" si="70"/>
        <v>326</v>
      </c>
      <c r="F779" s="639"/>
      <c r="G779" s="639">
        <f t="shared" si="69"/>
        <v>177</v>
      </c>
      <c r="H779" s="632">
        <v>155</v>
      </c>
      <c r="I779" s="632">
        <v>22</v>
      </c>
      <c r="J779" s="639">
        <v>13</v>
      </c>
      <c r="K779" s="639">
        <v>53</v>
      </c>
      <c r="L779" s="639">
        <v>83</v>
      </c>
      <c r="P779" s="600"/>
      <c r="U779" s="326"/>
    </row>
    <row r="780" spans="1:21" s="263" customFormat="1" ht="9" customHeight="1" x14ac:dyDescent="0.25">
      <c r="A780" s="550" t="s">
        <v>29</v>
      </c>
      <c r="B780" s="638" t="s">
        <v>22</v>
      </c>
      <c r="C780" s="638" t="s">
        <v>22</v>
      </c>
      <c r="D780" s="639"/>
      <c r="E780" s="632">
        <f t="shared" si="70"/>
        <v>1059</v>
      </c>
      <c r="F780" s="639"/>
      <c r="G780" s="639">
        <f t="shared" si="69"/>
        <v>579</v>
      </c>
      <c r="H780" s="632">
        <v>546</v>
      </c>
      <c r="I780" s="632">
        <v>33</v>
      </c>
      <c r="J780" s="639">
        <v>37</v>
      </c>
      <c r="K780" s="639">
        <v>145</v>
      </c>
      <c r="L780" s="639">
        <v>298</v>
      </c>
      <c r="P780" s="600"/>
      <c r="U780" s="326"/>
    </row>
    <row r="781" spans="1:21" s="263" customFormat="1" ht="9" customHeight="1" x14ac:dyDescent="0.25">
      <c r="A781" s="603" t="s">
        <v>30</v>
      </c>
      <c r="B781" s="640" t="s">
        <v>22</v>
      </c>
      <c r="C781" s="640" t="s">
        <v>22</v>
      </c>
      <c r="D781" s="641"/>
      <c r="E781" s="634">
        <f t="shared" si="70"/>
        <v>4885</v>
      </c>
      <c r="F781" s="641"/>
      <c r="G781" s="641">
        <f t="shared" si="69"/>
        <v>2273</v>
      </c>
      <c r="H781" s="634">
        <v>2089</v>
      </c>
      <c r="I781" s="634">
        <v>184</v>
      </c>
      <c r="J781" s="641">
        <v>183</v>
      </c>
      <c r="K781" s="641">
        <v>874</v>
      </c>
      <c r="L781" s="641">
        <v>1555</v>
      </c>
      <c r="P781" s="600"/>
      <c r="U781" s="326"/>
    </row>
    <row r="782" spans="1:21" s="263" customFormat="1" ht="9" customHeight="1" x14ac:dyDescent="0.25">
      <c r="A782" s="550" t="s">
        <v>63</v>
      </c>
      <c r="B782" s="638" t="s">
        <v>22</v>
      </c>
      <c r="C782" s="638" t="s">
        <v>22</v>
      </c>
      <c r="D782" s="639"/>
      <c r="E782" s="632">
        <f t="shared" si="70"/>
        <v>20783</v>
      </c>
      <c r="F782" s="639"/>
      <c r="G782" s="639">
        <f t="shared" si="69"/>
        <v>9637</v>
      </c>
      <c r="H782" s="632">
        <v>8328</v>
      </c>
      <c r="I782" s="632">
        <v>1309</v>
      </c>
      <c r="J782" s="639">
        <v>2151</v>
      </c>
      <c r="K782" s="639">
        <v>4956</v>
      </c>
      <c r="L782" s="639">
        <v>4039</v>
      </c>
      <c r="P782" s="600"/>
      <c r="U782" s="326"/>
    </row>
    <row r="783" spans="1:21" s="263" customFormat="1" ht="9" customHeight="1" x14ac:dyDescent="0.25">
      <c r="A783" s="550" t="s">
        <v>31</v>
      </c>
      <c r="B783" s="638" t="s">
        <v>22</v>
      </c>
      <c r="C783" s="638" t="s">
        <v>22</v>
      </c>
      <c r="D783" s="639"/>
      <c r="E783" s="632">
        <f t="shared" si="70"/>
        <v>545</v>
      </c>
      <c r="F783" s="639"/>
      <c r="G783" s="639">
        <f t="shared" si="69"/>
        <v>301</v>
      </c>
      <c r="H783" s="632">
        <v>288</v>
      </c>
      <c r="I783" s="632">
        <v>13</v>
      </c>
      <c r="J783" s="550">
        <v>27</v>
      </c>
      <c r="K783" s="550">
        <v>95</v>
      </c>
      <c r="L783" s="639">
        <v>122</v>
      </c>
      <c r="P783" s="600"/>
      <c r="U783" s="326"/>
    </row>
    <row r="784" spans="1:21" s="263" customFormat="1" ht="9" customHeight="1" x14ac:dyDescent="0.25">
      <c r="A784" s="550" t="s">
        <v>32</v>
      </c>
      <c r="B784" s="638" t="s">
        <v>22</v>
      </c>
      <c r="C784" s="638" t="s">
        <v>22</v>
      </c>
      <c r="D784" s="639"/>
      <c r="E784" s="632">
        <f t="shared" si="70"/>
        <v>4629</v>
      </c>
      <c r="F784" s="639"/>
      <c r="G784" s="639">
        <f t="shared" si="69"/>
        <v>2349</v>
      </c>
      <c r="H784" s="632">
        <v>2141</v>
      </c>
      <c r="I784" s="632">
        <v>208</v>
      </c>
      <c r="J784" s="639">
        <v>240</v>
      </c>
      <c r="K784" s="639">
        <v>1242</v>
      </c>
      <c r="L784" s="639">
        <v>798</v>
      </c>
      <c r="P784" s="600"/>
      <c r="U784" s="326"/>
    </row>
    <row r="785" spans="1:21" s="263" customFormat="1" ht="9" customHeight="1" x14ac:dyDescent="0.25">
      <c r="A785" s="603" t="s">
        <v>33</v>
      </c>
      <c r="B785" s="640" t="s">
        <v>22</v>
      </c>
      <c r="C785" s="640" t="s">
        <v>22</v>
      </c>
      <c r="D785" s="641"/>
      <c r="E785" s="634">
        <f t="shared" si="70"/>
        <v>1157</v>
      </c>
      <c r="F785" s="641"/>
      <c r="G785" s="641">
        <f t="shared" si="69"/>
        <v>644</v>
      </c>
      <c r="H785" s="634">
        <v>591</v>
      </c>
      <c r="I785" s="634">
        <v>53</v>
      </c>
      <c r="J785" s="641">
        <v>37</v>
      </c>
      <c r="K785" s="641">
        <v>209</v>
      </c>
      <c r="L785" s="641">
        <v>267</v>
      </c>
      <c r="P785" s="600"/>
      <c r="U785" s="326"/>
    </row>
    <row r="786" spans="1:21" s="263" customFormat="1" ht="9" customHeight="1" x14ac:dyDescent="0.25">
      <c r="A786" s="550" t="s">
        <v>34</v>
      </c>
      <c r="B786" s="638" t="s">
        <v>22</v>
      </c>
      <c r="C786" s="638" t="s">
        <v>22</v>
      </c>
      <c r="D786" s="639"/>
      <c r="E786" s="632">
        <f t="shared" si="70"/>
        <v>1570</v>
      </c>
      <c r="F786" s="639"/>
      <c r="G786" s="639">
        <f t="shared" si="69"/>
        <v>882</v>
      </c>
      <c r="H786" s="632">
        <v>822</v>
      </c>
      <c r="I786" s="632">
        <v>60</v>
      </c>
      <c r="J786" s="639">
        <v>80</v>
      </c>
      <c r="K786" s="639">
        <v>283</v>
      </c>
      <c r="L786" s="639">
        <v>325</v>
      </c>
      <c r="P786" s="600"/>
      <c r="U786" s="326"/>
    </row>
    <row r="787" spans="1:21" s="263" customFormat="1" ht="9" customHeight="1" x14ac:dyDescent="0.25">
      <c r="A787" s="550" t="s">
        <v>35</v>
      </c>
      <c r="B787" s="638" t="s">
        <v>22</v>
      </c>
      <c r="C787" s="638" t="s">
        <v>22</v>
      </c>
      <c r="D787" s="639"/>
      <c r="E787" s="632">
        <f t="shared" si="70"/>
        <v>8694</v>
      </c>
      <c r="F787" s="639"/>
      <c r="G787" s="639">
        <f t="shared" si="69"/>
        <v>4326</v>
      </c>
      <c r="H787" s="632">
        <v>3956</v>
      </c>
      <c r="I787" s="632">
        <v>370</v>
      </c>
      <c r="J787" s="639">
        <v>477</v>
      </c>
      <c r="K787" s="639">
        <v>1920</v>
      </c>
      <c r="L787" s="639">
        <v>1971</v>
      </c>
      <c r="P787" s="600"/>
      <c r="U787" s="326"/>
    </row>
    <row r="788" spans="1:21" s="263" customFormat="1" ht="9" customHeight="1" x14ac:dyDescent="0.25">
      <c r="A788" s="550" t="s">
        <v>36</v>
      </c>
      <c r="B788" s="638" t="s">
        <v>22</v>
      </c>
      <c r="C788" s="638" t="s">
        <v>22</v>
      </c>
      <c r="D788" s="639"/>
      <c r="E788" s="632">
        <f t="shared" si="70"/>
        <v>8627</v>
      </c>
      <c r="F788" s="639"/>
      <c r="G788" s="639">
        <f t="shared" si="69"/>
        <v>4180</v>
      </c>
      <c r="H788" s="632">
        <v>3708</v>
      </c>
      <c r="I788" s="632">
        <v>472</v>
      </c>
      <c r="J788" s="639">
        <v>901</v>
      </c>
      <c r="K788" s="639">
        <v>1949</v>
      </c>
      <c r="L788" s="639">
        <v>1597</v>
      </c>
      <c r="P788" s="600"/>
      <c r="U788" s="326"/>
    </row>
    <row r="789" spans="1:21" s="263" customFormat="1" ht="9" customHeight="1" x14ac:dyDescent="0.25">
      <c r="A789" s="603" t="s">
        <v>37</v>
      </c>
      <c r="B789" s="640" t="s">
        <v>22</v>
      </c>
      <c r="C789" s="640" t="s">
        <v>22</v>
      </c>
      <c r="D789" s="641"/>
      <c r="E789" s="634">
        <f t="shared" si="70"/>
        <v>2888</v>
      </c>
      <c r="F789" s="641"/>
      <c r="G789" s="641">
        <f t="shared" si="69"/>
        <v>1661</v>
      </c>
      <c r="H789" s="634">
        <v>1629</v>
      </c>
      <c r="I789" s="634">
        <v>32</v>
      </c>
      <c r="J789" s="641">
        <v>148</v>
      </c>
      <c r="K789" s="641">
        <v>569</v>
      </c>
      <c r="L789" s="641">
        <v>510</v>
      </c>
      <c r="P789" s="600"/>
      <c r="U789" s="326"/>
    </row>
    <row r="790" spans="1:21" s="263" customFormat="1" ht="9" customHeight="1" x14ac:dyDescent="0.25">
      <c r="A790" s="550" t="s">
        <v>38</v>
      </c>
      <c r="B790" s="638" t="s">
        <v>22</v>
      </c>
      <c r="C790" s="638" t="s">
        <v>22</v>
      </c>
      <c r="D790" s="639"/>
      <c r="E790" s="632">
        <f t="shared" si="70"/>
        <v>944</v>
      </c>
      <c r="F790" s="639"/>
      <c r="G790" s="639">
        <f t="shared" si="69"/>
        <v>424</v>
      </c>
      <c r="H790" s="632">
        <v>417</v>
      </c>
      <c r="I790" s="632">
        <v>7</v>
      </c>
      <c r="J790" s="639">
        <v>66</v>
      </c>
      <c r="K790" s="639">
        <v>221</v>
      </c>
      <c r="L790" s="639">
        <v>233</v>
      </c>
      <c r="P790" s="600"/>
      <c r="U790" s="326"/>
    </row>
    <row r="791" spans="1:21" s="263" customFormat="1" ht="9" customHeight="1" x14ac:dyDescent="0.25">
      <c r="A791" s="550" t="s">
        <v>39</v>
      </c>
      <c r="B791" s="638" t="s">
        <v>22</v>
      </c>
      <c r="C791" s="638" t="s">
        <v>22</v>
      </c>
      <c r="D791" s="639"/>
      <c r="E791" s="632">
        <f t="shared" si="70"/>
        <v>229</v>
      </c>
      <c r="F791" s="639"/>
      <c r="G791" s="639">
        <f t="shared" si="69"/>
        <v>88</v>
      </c>
      <c r="H791" s="632">
        <v>80</v>
      </c>
      <c r="I791" s="632">
        <v>8</v>
      </c>
      <c r="J791" s="639">
        <v>16</v>
      </c>
      <c r="K791" s="639">
        <v>43</v>
      </c>
      <c r="L791" s="639">
        <v>82</v>
      </c>
      <c r="P791" s="600"/>
      <c r="U791" s="326"/>
    </row>
    <row r="792" spans="1:21" s="263" customFormat="1" ht="9" customHeight="1" x14ac:dyDescent="0.25">
      <c r="A792" s="550" t="s">
        <v>40</v>
      </c>
      <c r="B792" s="638" t="s">
        <v>22</v>
      </c>
      <c r="C792" s="638" t="s">
        <v>22</v>
      </c>
      <c r="D792" s="639"/>
      <c r="E792" s="632">
        <f t="shared" si="70"/>
        <v>11979</v>
      </c>
      <c r="F792" s="639"/>
      <c r="G792" s="639">
        <f t="shared" si="69"/>
        <v>6017</v>
      </c>
      <c r="H792" s="632">
        <v>5427</v>
      </c>
      <c r="I792" s="632">
        <v>590</v>
      </c>
      <c r="J792" s="639">
        <v>1170</v>
      </c>
      <c r="K792" s="639">
        <v>3290</v>
      </c>
      <c r="L792" s="639">
        <v>1502</v>
      </c>
      <c r="P792" s="600"/>
      <c r="U792" s="326"/>
    </row>
    <row r="793" spans="1:21" s="263" customFormat="1" ht="9" customHeight="1" x14ac:dyDescent="0.25">
      <c r="A793" s="603" t="s">
        <v>41</v>
      </c>
      <c r="B793" s="640" t="s">
        <v>22</v>
      </c>
      <c r="C793" s="640" t="s">
        <v>22</v>
      </c>
      <c r="D793" s="641"/>
      <c r="E793" s="634">
        <f t="shared" si="70"/>
        <v>1210</v>
      </c>
      <c r="F793" s="641"/>
      <c r="G793" s="641">
        <f t="shared" si="69"/>
        <v>631</v>
      </c>
      <c r="H793" s="634">
        <v>602</v>
      </c>
      <c r="I793" s="634">
        <v>29</v>
      </c>
      <c r="J793" s="641">
        <v>35</v>
      </c>
      <c r="K793" s="641">
        <v>224</v>
      </c>
      <c r="L793" s="641">
        <v>320</v>
      </c>
      <c r="P793" s="600"/>
      <c r="U793" s="326"/>
    </row>
    <row r="794" spans="1:21" s="263" customFormat="1" ht="9" customHeight="1" x14ac:dyDescent="0.25">
      <c r="A794" s="550" t="s">
        <v>42</v>
      </c>
      <c r="B794" s="638" t="s">
        <v>22</v>
      </c>
      <c r="C794" s="638" t="s">
        <v>22</v>
      </c>
      <c r="D794" s="639"/>
      <c r="E794" s="632">
        <f t="shared" si="70"/>
        <v>3427</v>
      </c>
      <c r="F794" s="639"/>
      <c r="G794" s="639">
        <f t="shared" si="69"/>
        <v>1814</v>
      </c>
      <c r="H794" s="632">
        <v>1708</v>
      </c>
      <c r="I794" s="632">
        <v>106</v>
      </c>
      <c r="J794" s="639">
        <v>179</v>
      </c>
      <c r="K794" s="639">
        <v>689</v>
      </c>
      <c r="L794" s="639">
        <v>745</v>
      </c>
      <c r="P794" s="600"/>
      <c r="U794" s="326"/>
    </row>
    <row r="795" spans="1:21" s="263" customFormat="1" ht="9" customHeight="1" x14ac:dyDescent="0.25">
      <c r="A795" s="550" t="s">
        <v>43</v>
      </c>
      <c r="B795" s="638" t="s">
        <v>22</v>
      </c>
      <c r="C795" s="638" t="s">
        <v>22</v>
      </c>
      <c r="D795" s="639"/>
      <c r="E795" s="632">
        <f t="shared" si="70"/>
        <v>2042</v>
      </c>
      <c r="F795" s="639"/>
      <c r="G795" s="639">
        <f t="shared" si="69"/>
        <v>927</v>
      </c>
      <c r="H795" s="632">
        <v>798</v>
      </c>
      <c r="I795" s="632">
        <v>129</v>
      </c>
      <c r="J795" s="639">
        <v>156</v>
      </c>
      <c r="K795" s="639">
        <v>524</v>
      </c>
      <c r="L795" s="639">
        <v>435</v>
      </c>
      <c r="P795" s="600"/>
      <c r="U795" s="326"/>
    </row>
    <row r="796" spans="1:21" s="263" customFormat="1" ht="9" customHeight="1" x14ac:dyDescent="0.25">
      <c r="A796" s="550" t="s">
        <v>44</v>
      </c>
      <c r="B796" s="638" t="s">
        <v>22</v>
      </c>
      <c r="C796" s="638" t="s">
        <v>22</v>
      </c>
      <c r="D796" s="639"/>
      <c r="E796" s="632">
        <f t="shared" si="70"/>
        <v>1075</v>
      </c>
      <c r="F796" s="639"/>
      <c r="G796" s="639">
        <f t="shared" si="69"/>
        <v>453</v>
      </c>
      <c r="H796" s="632">
        <v>394</v>
      </c>
      <c r="I796" s="632">
        <v>59</v>
      </c>
      <c r="J796" s="639">
        <v>61</v>
      </c>
      <c r="K796" s="639">
        <v>332</v>
      </c>
      <c r="L796" s="639">
        <v>229</v>
      </c>
      <c r="P796" s="600"/>
      <c r="U796" s="326"/>
    </row>
    <row r="797" spans="1:21" s="263" customFormat="1" ht="9" customHeight="1" x14ac:dyDescent="0.25">
      <c r="A797" s="603" t="s">
        <v>45</v>
      </c>
      <c r="B797" s="640" t="s">
        <v>22</v>
      </c>
      <c r="C797" s="640" t="s">
        <v>22</v>
      </c>
      <c r="D797" s="641"/>
      <c r="E797" s="634">
        <f t="shared" si="70"/>
        <v>2418</v>
      </c>
      <c r="F797" s="641"/>
      <c r="G797" s="641">
        <f t="shared" si="69"/>
        <v>1179</v>
      </c>
      <c r="H797" s="634">
        <v>1073</v>
      </c>
      <c r="I797" s="634">
        <v>106</v>
      </c>
      <c r="J797" s="641">
        <v>138</v>
      </c>
      <c r="K797" s="641">
        <v>659</v>
      </c>
      <c r="L797" s="641">
        <v>442</v>
      </c>
      <c r="P797" s="600"/>
      <c r="U797" s="326"/>
    </row>
    <row r="798" spans="1:21" s="263" customFormat="1" ht="9" customHeight="1" x14ac:dyDescent="0.25">
      <c r="A798" s="550" t="s">
        <v>46</v>
      </c>
      <c r="B798" s="638" t="s">
        <v>22</v>
      </c>
      <c r="C798" s="638" t="s">
        <v>22</v>
      </c>
      <c r="D798" s="639"/>
      <c r="E798" s="632">
        <f t="shared" si="70"/>
        <v>1815</v>
      </c>
      <c r="F798" s="639"/>
      <c r="G798" s="639">
        <f t="shared" si="69"/>
        <v>979</v>
      </c>
      <c r="H798" s="632">
        <v>916</v>
      </c>
      <c r="I798" s="632">
        <v>63</v>
      </c>
      <c r="J798" s="639">
        <v>91</v>
      </c>
      <c r="K798" s="639">
        <v>369</v>
      </c>
      <c r="L798" s="639">
        <v>376</v>
      </c>
      <c r="P798" s="600"/>
      <c r="U798" s="326"/>
    </row>
    <row r="799" spans="1:21" s="263" customFormat="1" ht="9" customHeight="1" x14ac:dyDescent="0.25">
      <c r="A799" s="550" t="s">
        <v>47</v>
      </c>
      <c r="B799" s="638" t="s">
        <v>22</v>
      </c>
      <c r="C799" s="638" t="s">
        <v>22</v>
      </c>
      <c r="D799" s="639"/>
      <c r="E799" s="632">
        <f t="shared" si="70"/>
        <v>2323</v>
      </c>
      <c r="F799" s="639"/>
      <c r="G799" s="639">
        <f t="shared" si="69"/>
        <v>1185</v>
      </c>
      <c r="H799" s="632">
        <v>1114</v>
      </c>
      <c r="I799" s="632">
        <v>71</v>
      </c>
      <c r="J799" s="639">
        <v>73</v>
      </c>
      <c r="K799" s="639">
        <v>484</v>
      </c>
      <c r="L799" s="639">
        <v>581</v>
      </c>
      <c r="P799" s="600"/>
      <c r="U799" s="326"/>
    </row>
    <row r="800" spans="1:21" s="263" customFormat="1" ht="9" customHeight="1" x14ac:dyDescent="0.25">
      <c r="A800" s="550" t="s">
        <v>48</v>
      </c>
      <c r="B800" s="638" t="s">
        <v>22</v>
      </c>
      <c r="C800" s="638" t="s">
        <v>22</v>
      </c>
      <c r="D800" s="639"/>
      <c r="E800" s="632">
        <f t="shared" si="70"/>
        <v>1075</v>
      </c>
      <c r="F800" s="639"/>
      <c r="G800" s="639">
        <f t="shared" si="69"/>
        <v>517</v>
      </c>
      <c r="H800" s="632">
        <v>472</v>
      </c>
      <c r="I800" s="632">
        <v>45</v>
      </c>
      <c r="J800" s="639">
        <v>103</v>
      </c>
      <c r="K800" s="639">
        <v>229</v>
      </c>
      <c r="L800" s="639">
        <v>226</v>
      </c>
      <c r="P800" s="600"/>
      <c r="U800" s="326"/>
    </row>
    <row r="801" spans="1:21" s="263" customFormat="1" ht="9" customHeight="1" x14ac:dyDescent="0.25">
      <c r="A801" s="603" t="s">
        <v>49</v>
      </c>
      <c r="B801" s="640" t="s">
        <v>22</v>
      </c>
      <c r="C801" s="640" t="s">
        <v>22</v>
      </c>
      <c r="D801" s="641"/>
      <c r="E801" s="634">
        <f t="shared" si="70"/>
        <v>2524</v>
      </c>
      <c r="F801" s="641"/>
      <c r="G801" s="641">
        <f t="shared" si="69"/>
        <v>1328</v>
      </c>
      <c r="H801" s="634">
        <v>1256</v>
      </c>
      <c r="I801" s="634">
        <v>72</v>
      </c>
      <c r="J801" s="641">
        <v>153</v>
      </c>
      <c r="K801" s="641">
        <v>557</v>
      </c>
      <c r="L801" s="641">
        <v>486</v>
      </c>
      <c r="P801" s="600"/>
      <c r="U801" s="326"/>
    </row>
    <row r="802" spans="1:21" s="263" customFormat="1" ht="9" customHeight="1" x14ac:dyDescent="0.25">
      <c r="A802" s="550" t="s">
        <v>50</v>
      </c>
      <c r="B802" s="638" t="s">
        <v>22</v>
      </c>
      <c r="C802" s="638" t="s">
        <v>22</v>
      </c>
      <c r="D802" s="639"/>
      <c r="E802" s="632">
        <f t="shared" si="70"/>
        <v>364</v>
      </c>
      <c r="F802" s="639"/>
      <c r="G802" s="639">
        <f t="shared" si="69"/>
        <v>202</v>
      </c>
      <c r="H802" s="632">
        <v>192</v>
      </c>
      <c r="I802" s="632">
        <v>10</v>
      </c>
      <c r="J802" s="639">
        <v>14</v>
      </c>
      <c r="K802" s="639">
        <v>70</v>
      </c>
      <c r="L802" s="639">
        <v>78</v>
      </c>
      <c r="P802" s="600"/>
      <c r="U802" s="326"/>
    </row>
    <row r="803" spans="1:21" s="263" customFormat="1" ht="9" customHeight="1" x14ac:dyDescent="0.25">
      <c r="A803" s="550" t="s">
        <v>51</v>
      </c>
      <c r="B803" s="638" t="s">
        <v>22</v>
      </c>
      <c r="C803" s="638" t="s">
        <v>22</v>
      </c>
      <c r="D803" s="639"/>
      <c r="E803" s="632">
        <f t="shared" si="70"/>
        <v>2667</v>
      </c>
      <c r="F803" s="639"/>
      <c r="G803" s="639">
        <f t="shared" si="69"/>
        <v>1389</v>
      </c>
      <c r="H803" s="632">
        <v>1275</v>
      </c>
      <c r="I803" s="632">
        <v>114</v>
      </c>
      <c r="J803" s="639">
        <v>127</v>
      </c>
      <c r="K803" s="639">
        <v>557</v>
      </c>
      <c r="L803" s="639">
        <v>594</v>
      </c>
      <c r="P803" s="600"/>
      <c r="U803" s="326"/>
    </row>
    <row r="804" spans="1:21" s="263" customFormat="1" ht="9" customHeight="1" x14ac:dyDescent="0.25">
      <c r="A804" s="550" t="s">
        <v>52</v>
      </c>
      <c r="B804" s="638" t="s">
        <v>22</v>
      </c>
      <c r="C804" s="638" t="s">
        <v>22</v>
      </c>
      <c r="D804" s="639"/>
      <c r="E804" s="632">
        <f t="shared" si="70"/>
        <v>1796</v>
      </c>
      <c r="F804" s="639"/>
      <c r="G804" s="639">
        <f t="shared" si="69"/>
        <v>885</v>
      </c>
      <c r="H804" s="632">
        <v>834</v>
      </c>
      <c r="I804" s="632">
        <v>51</v>
      </c>
      <c r="J804" s="639">
        <v>38</v>
      </c>
      <c r="K804" s="639">
        <v>288</v>
      </c>
      <c r="L804" s="639">
        <v>585</v>
      </c>
      <c r="P804" s="600"/>
      <c r="U804" s="326"/>
    </row>
    <row r="805" spans="1:21" s="263" customFormat="1" ht="9" customHeight="1" x14ac:dyDescent="0.25">
      <c r="A805" s="267" t="s">
        <v>53</v>
      </c>
      <c r="B805" s="599" t="s">
        <v>22</v>
      </c>
      <c r="C805" s="599" t="s">
        <v>22</v>
      </c>
      <c r="D805" s="328"/>
      <c r="E805" s="604">
        <f t="shared" si="70"/>
        <v>767</v>
      </c>
      <c r="F805" s="328"/>
      <c r="G805" s="328">
        <f t="shared" si="69"/>
        <v>383</v>
      </c>
      <c r="H805" s="604">
        <v>356</v>
      </c>
      <c r="I805" s="604">
        <v>27</v>
      </c>
      <c r="J805" s="328">
        <v>24</v>
      </c>
      <c r="K805" s="328">
        <v>136</v>
      </c>
      <c r="L805" s="328">
        <v>224</v>
      </c>
      <c r="P805" s="600"/>
      <c r="U805" s="326"/>
    </row>
    <row r="806" spans="1:21" s="263" customFormat="1" ht="9" customHeight="1" x14ac:dyDescent="0.25">
      <c r="A806" s="286"/>
      <c r="B806" s="613"/>
      <c r="C806" s="613"/>
      <c r="D806" s="329"/>
      <c r="E806" s="605"/>
      <c r="F806" s="329"/>
      <c r="G806" s="329"/>
      <c r="H806" s="605"/>
      <c r="I806" s="605"/>
      <c r="J806" s="329"/>
      <c r="K806" s="329"/>
      <c r="L806" s="329"/>
    </row>
    <row r="807" spans="1:21" s="263" customFormat="1" ht="9" customHeight="1" x14ac:dyDescent="0.25">
      <c r="A807" s="261">
        <v>2017</v>
      </c>
      <c r="B807" s="288"/>
      <c r="C807" s="262"/>
      <c r="D807" s="262"/>
      <c r="E807" s="262"/>
      <c r="F807" s="262"/>
      <c r="G807" s="262"/>
      <c r="H807" s="271"/>
      <c r="I807" s="262"/>
      <c r="J807" s="262"/>
      <c r="K807" s="262"/>
      <c r="L807" s="262"/>
    </row>
    <row r="808" spans="1:21" s="263" customFormat="1" ht="9" customHeight="1" x14ac:dyDescent="0.25">
      <c r="A808" s="265" t="s">
        <v>21</v>
      </c>
      <c r="B808" s="325" t="s">
        <v>22</v>
      </c>
      <c r="C808" s="325" t="s">
        <v>22</v>
      </c>
      <c r="D808" s="325"/>
      <c r="E808" s="325">
        <f>SUM(E810:E841)</f>
        <v>100380</v>
      </c>
      <c r="F808" s="325"/>
      <c r="G808" s="325">
        <f t="shared" ref="G808:I808" si="71">SUM(G810:G841)</f>
        <v>49972</v>
      </c>
      <c r="H808" s="332">
        <f t="shared" si="71"/>
        <v>45045</v>
      </c>
      <c r="I808" s="325">
        <f t="shared" si="71"/>
        <v>4927</v>
      </c>
      <c r="J808" s="325">
        <f>SUM(J810:J841)</f>
        <v>6643</v>
      </c>
      <c r="K808" s="325">
        <f t="shared" ref="K808:L808" si="72">SUM(K810:K841)</f>
        <v>23433</v>
      </c>
      <c r="L808" s="325">
        <f t="shared" si="72"/>
        <v>20332</v>
      </c>
      <c r="N808" s="325"/>
      <c r="O808" s="645"/>
      <c r="P808" s="644"/>
      <c r="Q808" s="644"/>
      <c r="R808" s="644"/>
      <c r="S808" s="644"/>
      <c r="U808" s="326"/>
    </row>
    <row r="809" spans="1:21" s="263" customFormat="1" ht="3.95" customHeight="1" x14ac:dyDescent="0.25">
      <c r="A809" s="265"/>
      <c r="B809" s="325"/>
      <c r="C809" s="325"/>
      <c r="D809" s="325"/>
      <c r="E809" s="325"/>
      <c r="F809" s="325"/>
      <c r="G809" s="325"/>
      <c r="H809" s="325"/>
      <c r="I809" s="325"/>
      <c r="J809" s="325"/>
      <c r="K809" s="325"/>
      <c r="L809" s="325"/>
      <c r="O809" s="645"/>
      <c r="U809" s="326"/>
    </row>
    <row r="810" spans="1:21" s="263" customFormat="1" ht="9" customHeight="1" x14ac:dyDescent="0.25">
      <c r="A810" s="550" t="s">
        <v>23</v>
      </c>
      <c r="B810" s="638" t="s">
        <v>22</v>
      </c>
      <c r="C810" s="638" t="s">
        <v>22</v>
      </c>
      <c r="D810" s="639"/>
      <c r="E810" s="632">
        <f>SUM(G810+J810+K810+L810)</f>
        <v>960</v>
      </c>
      <c r="F810" s="639"/>
      <c r="G810" s="639">
        <f>SUM(H810:I810)</f>
        <v>421</v>
      </c>
      <c r="H810" s="632">
        <v>392</v>
      </c>
      <c r="I810" s="632">
        <v>29</v>
      </c>
      <c r="J810" s="639">
        <v>98</v>
      </c>
      <c r="K810" s="639">
        <v>198</v>
      </c>
      <c r="L810" s="639">
        <v>243</v>
      </c>
      <c r="O810" s="645"/>
      <c r="P810" s="600"/>
      <c r="U810" s="326"/>
    </row>
    <row r="811" spans="1:21" s="263" customFormat="1" ht="9" customHeight="1" x14ac:dyDescent="0.25">
      <c r="A811" s="550" t="s">
        <v>24</v>
      </c>
      <c r="B811" s="638" t="s">
        <v>22</v>
      </c>
      <c r="C811" s="638" t="s">
        <v>22</v>
      </c>
      <c r="D811" s="639"/>
      <c r="E811" s="632">
        <f>SUM(G811+J811+K811+L811)</f>
        <v>3853</v>
      </c>
      <c r="F811" s="638"/>
      <c r="G811" s="639">
        <f t="shared" ref="G811:G841" si="73">SUM(H811:I811)</f>
        <v>1647</v>
      </c>
      <c r="H811" s="638">
        <v>1531</v>
      </c>
      <c r="I811" s="638">
        <v>116</v>
      </c>
      <c r="J811" s="638">
        <v>211</v>
      </c>
      <c r="K811" s="638">
        <v>1093</v>
      </c>
      <c r="L811" s="638">
        <v>902</v>
      </c>
      <c r="O811" s="645"/>
      <c r="P811" s="600"/>
      <c r="U811" s="326"/>
    </row>
    <row r="812" spans="1:21" s="263" customFormat="1" ht="9" customHeight="1" x14ac:dyDescent="0.25">
      <c r="A812" s="550" t="s">
        <v>25</v>
      </c>
      <c r="B812" s="638" t="s">
        <v>22</v>
      </c>
      <c r="C812" s="638" t="s">
        <v>22</v>
      </c>
      <c r="D812" s="639"/>
      <c r="E812" s="632">
        <f t="shared" ref="E812:E841" si="74">SUM(G812+J812+K812+L812)</f>
        <v>392</v>
      </c>
      <c r="F812" s="639"/>
      <c r="G812" s="639">
        <f t="shared" si="73"/>
        <v>152</v>
      </c>
      <c r="H812" s="632">
        <v>147</v>
      </c>
      <c r="I812" s="632">
        <v>5</v>
      </c>
      <c r="J812" s="639">
        <v>46</v>
      </c>
      <c r="K812" s="639">
        <v>94</v>
      </c>
      <c r="L812" s="639">
        <v>100</v>
      </c>
      <c r="O812" s="645"/>
      <c r="P812" s="600"/>
      <c r="U812" s="326"/>
    </row>
    <row r="813" spans="1:21" s="263" customFormat="1" ht="9" customHeight="1" x14ac:dyDescent="0.25">
      <c r="A813" s="603" t="s">
        <v>26</v>
      </c>
      <c r="B813" s="640" t="s">
        <v>22</v>
      </c>
      <c r="C813" s="640" t="s">
        <v>22</v>
      </c>
      <c r="D813" s="641"/>
      <c r="E813" s="634">
        <f t="shared" si="74"/>
        <v>202</v>
      </c>
      <c r="F813" s="641"/>
      <c r="G813" s="641">
        <f t="shared" si="73"/>
        <v>113</v>
      </c>
      <c r="H813" s="634">
        <v>87</v>
      </c>
      <c r="I813" s="634">
        <v>26</v>
      </c>
      <c r="J813" s="641">
        <v>14</v>
      </c>
      <c r="K813" s="641">
        <v>44</v>
      </c>
      <c r="L813" s="641">
        <v>31</v>
      </c>
      <c r="O813" s="645"/>
      <c r="P813" s="600"/>
      <c r="U813" s="326"/>
    </row>
    <row r="814" spans="1:21" s="263" customFormat="1" ht="9" customHeight="1" x14ac:dyDescent="0.25">
      <c r="A814" s="550" t="s">
        <v>27</v>
      </c>
      <c r="B814" s="638" t="s">
        <v>22</v>
      </c>
      <c r="C814" s="638" t="s">
        <v>22</v>
      </c>
      <c r="D814" s="639"/>
      <c r="E814" s="632">
        <f t="shared" si="74"/>
        <v>2640</v>
      </c>
      <c r="F814" s="639"/>
      <c r="G814" s="639">
        <f t="shared" si="73"/>
        <v>1219</v>
      </c>
      <c r="H814" s="632">
        <v>1189</v>
      </c>
      <c r="I814" s="632">
        <v>30</v>
      </c>
      <c r="J814" s="639">
        <v>137</v>
      </c>
      <c r="K814" s="639">
        <v>748</v>
      </c>
      <c r="L814" s="639">
        <v>536</v>
      </c>
      <c r="O814" s="645"/>
      <c r="P814" s="600"/>
      <c r="U814" s="326"/>
    </row>
    <row r="815" spans="1:21" s="263" customFormat="1" ht="9" customHeight="1" x14ac:dyDescent="0.25">
      <c r="A815" s="550" t="s">
        <v>28</v>
      </c>
      <c r="B815" s="638" t="s">
        <v>22</v>
      </c>
      <c r="C815" s="638" t="s">
        <v>22</v>
      </c>
      <c r="D815" s="639"/>
      <c r="E815" s="632">
        <f t="shared" si="74"/>
        <v>326</v>
      </c>
      <c r="F815" s="639"/>
      <c r="G815" s="639">
        <f t="shared" si="73"/>
        <v>177</v>
      </c>
      <c r="H815" s="632">
        <v>155</v>
      </c>
      <c r="I815" s="632">
        <v>22</v>
      </c>
      <c r="J815" s="639">
        <v>13</v>
      </c>
      <c r="K815" s="639">
        <v>53</v>
      </c>
      <c r="L815" s="639">
        <v>83</v>
      </c>
      <c r="O815" s="645"/>
      <c r="P815" s="600"/>
      <c r="U815" s="326"/>
    </row>
    <row r="816" spans="1:21" s="263" customFormat="1" ht="9" customHeight="1" x14ac:dyDescent="0.25">
      <c r="A816" s="550" t="s">
        <v>29</v>
      </c>
      <c r="B816" s="638" t="s">
        <v>22</v>
      </c>
      <c r="C816" s="638" t="s">
        <v>22</v>
      </c>
      <c r="D816" s="639"/>
      <c r="E816" s="632">
        <f t="shared" si="74"/>
        <v>1278</v>
      </c>
      <c r="F816" s="639"/>
      <c r="G816" s="639">
        <f t="shared" si="73"/>
        <v>690</v>
      </c>
      <c r="H816" s="632">
        <v>650</v>
      </c>
      <c r="I816" s="632">
        <v>40</v>
      </c>
      <c r="J816" s="639">
        <v>62</v>
      </c>
      <c r="K816" s="639">
        <v>185</v>
      </c>
      <c r="L816" s="639">
        <v>341</v>
      </c>
      <c r="O816" s="645"/>
      <c r="P816" s="600"/>
      <c r="U816" s="326"/>
    </row>
    <row r="817" spans="1:21" s="263" customFormat="1" ht="9" customHeight="1" x14ac:dyDescent="0.25">
      <c r="A817" s="603" t="s">
        <v>30</v>
      </c>
      <c r="B817" s="640" t="s">
        <v>22</v>
      </c>
      <c r="C817" s="640" t="s">
        <v>22</v>
      </c>
      <c r="D817" s="641"/>
      <c r="E817" s="634">
        <f t="shared" si="74"/>
        <v>4628</v>
      </c>
      <c r="F817" s="641"/>
      <c r="G817" s="641">
        <f t="shared" si="73"/>
        <v>2357</v>
      </c>
      <c r="H817" s="634">
        <v>2197</v>
      </c>
      <c r="I817" s="634">
        <v>160</v>
      </c>
      <c r="J817" s="641">
        <v>219</v>
      </c>
      <c r="K817" s="641">
        <v>989</v>
      </c>
      <c r="L817" s="641">
        <v>1063</v>
      </c>
      <c r="O817" s="645"/>
      <c r="P817" s="600"/>
      <c r="U817" s="326"/>
    </row>
    <row r="818" spans="1:21" s="263" customFormat="1" ht="9" customHeight="1" x14ac:dyDescent="0.25">
      <c r="A818" s="550" t="s">
        <v>63</v>
      </c>
      <c r="B818" s="638" t="s">
        <v>22</v>
      </c>
      <c r="C818" s="638" t="s">
        <v>22</v>
      </c>
      <c r="D818" s="639"/>
      <c r="E818" s="632">
        <f t="shared" si="74"/>
        <v>20575</v>
      </c>
      <c r="F818" s="639"/>
      <c r="G818" s="639">
        <f t="shared" si="73"/>
        <v>9842</v>
      </c>
      <c r="H818" s="632">
        <v>8046</v>
      </c>
      <c r="I818" s="632">
        <v>1796</v>
      </c>
      <c r="J818" s="639">
        <v>2061</v>
      </c>
      <c r="K818" s="639">
        <v>4852</v>
      </c>
      <c r="L818" s="639">
        <v>3820</v>
      </c>
      <c r="O818" s="645"/>
      <c r="P818" s="600"/>
      <c r="U818" s="326"/>
    </row>
    <row r="819" spans="1:21" s="263" customFormat="1" ht="9" customHeight="1" x14ac:dyDescent="0.25">
      <c r="A819" s="550" t="s">
        <v>31</v>
      </c>
      <c r="B819" s="638" t="s">
        <v>22</v>
      </c>
      <c r="C819" s="638" t="s">
        <v>22</v>
      </c>
      <c r="D819" s="639"/>
      <c r="E819" s="632">
        <f t="shared" si="74"/>
        <v>627</v>
      </c>
      <c r="F819" s="639"/>
      <c r="G819" s="639">
        <f t="shared" si="73"/>
        <v>359</v>
      </c>
      <c r="H819" s="632">
        <v>344</v>
      </c>
      <c r="I819" s="632">
        <v>15</v>
      </c>
      <c r="J819" s="550">
        <v>28</v>
      </c>
      <c r="K819" s="550">
        <v>102</v>
      </c>
      <c r="L819" s="639">
        <v>138</v>
      </c>
      <c r="O819" s="645"/>
      <c r="P819" s="600"/>
      <c r="U819" s="326"/>
    </row>
    <row r="820" spans="1:21" s="263" customFormat="1" ht="9" customHeight="1" x14ac:dyDescent="0.25">
      <c r="A820" s="550" t="s">
        <v>32</v>
      </c>
      <c r="B820" s="638" t="s">
        <v>22</v>
      </c>
      <c r="C820" s="638" t="s">
        <v>22</v>
      </c>
      <c r="D820" s="639"/>
      <c r="E820" s="632">
        <f t="shared" si="74"/>
        <v>4468</v>
      </c>
      <c r="F820" s="639"/>
      <c r="G820" s="639">
        <f t="shared" si="73"/>
        <v>2300</v>
      </c>
      <c r="H820" s="632">
        <v>2138</v>
      </c>
      <c r="I820" s="632">
        <v>162</v>
      </c>
      <c r="J820" s="639">
        <v>268</v>
      </c>
      <c r="K820" s="639">
        <v>1098</v>
      </c>
      <c r="L820" s="639">
        <v>802</v>
      </c>
      <c r="O820" s="645"/>
      <c r="P820" s="600"/>
      <c r="U820" s="326"/>
    </row>
    <row r="821" spans="1:21" s="263" customFormat="1" ht="9" customHeight="1" x14ac:dyDescent="0.25">
      <c r="A821" s="603" t="s">
        <v>33</v>
      </c>
      <c r="B821" s="640" t="s">
        <v>22</v>
      </c>
      <c r="C821" s="640" t="s">
        <v>22</v>
      </c>
      <c r="D821" s="641"/>
      <c r="E821" s="634">
        <f t="shared" si="74"/>
        <v>1268</v>
      </c>
      <c r="F821" s="641"/>
      <c r="G821" s="641">
        <f t="shared" si="73"/>
        <v>665</v>
      </c>
      <c r="H821" s="634">
        <v>601</v>
      </c>
      <c r="I821" s="634">
        <v>64</v>
      </c>
      <c r="J821" s="641">
        <v>53</v>
      </c>
      <c r="K821" s="641">
        <v>207</v>
      </c>
      <c r="L821" s="641">
        <v>343</v>
      </c>
      <c r="O821" s="645"/>
      <c r="P821" s="600"/>
      <c r="U821" s="326"/>
    </row>
    <row r="822" spans="1:21" s="263" customFormat="1" ht="9" customHeight="1" x14ac:dyDescent="0.25">
      <c r="A822" s="550" t="s">
        <v>34</v>
      </c>
      <c r="B822" s="638" t="s">
        <v>22</v>
      </c>
      <c r="C822" s="638" t="s">
        <v>22</v>
      </c>
      <c r="D822" s="639"/>
      <c r="E822" s="632">
        <f t="shared" si="74"/>
        <v>1604</v>
      </c>
      <c r="F822" s="639"/>
      <c r="G822" s="639">
        <f t="shared" si="73"/>
        <v>880</v>
      </c>
      <c r="H822" s="632">
        <v>812</v>
      </c>
      <c r="I822" s="632">
        <v>68</v>
      </c>
      <c r="J822" s="639">
        <v>61</v>
      </c>
      <c r="K822" s="639">
        <v>269</v>
      </c>
      <c r="L822" s="639">
        <v>394</v>
      </c>
      <c r="O822" s="645"/>
      <c r="P822" s="600"/>
      <c r="U822" s="326"/>
    </row>
    <row r="823" spans="1:21" s="263" customFormat="1" ht="9" customHeight="1" x14ac:dyDescent="0.25">
      <c r="A823" s="550" t="s">
        <v>35</v>
      </c>
      <c r="B823" s="638" t="s">
        <v>22</v>
      </c>
      <c r="C823" s="638" t="s">
        <v>22</v>
      </c>
      <c r="D823" s="639"/>
      <c r="E823" s="632">
        <f t="shared" si="74"/>
        <v>8828</v>
      </c>
      <c r="F823" s="639"/>
      <c r="G823" s="639">
        <f t="shared" si="73"/>
        <v>4443</v>
      </c>
      <c r="H823" s="632">
        <v>4077</v>
      </c>
      <c r="I823" s="632">
        <v>366</v>
      </c>
      <c r="J823" s="639">
        <v>484</v>
      </c>
      <c r="K823" s="639">
        <v>1920</v>
      </c>
      <c r="L823" s="639">
        <v>1981</v>
      </c>
      <c r="O823" s="645"/>
      <c r="P823" s="600"/>
      <c r="U823" s="326"/>
    </row>
    <row r="824" spans="1:21" s="263" customFormat="1" ht="9" customHeight="1" x14ac:dyDescent="0.25">
      <c r="A824" s="550" t="s">
        <v>36</v>
      </c>
      <c r="B824" s="638" t="s">
        <v>22</v>
      </c>
      <c r="C824" s="638" t="s">
        <v>22</v>
      </c>
      <c r="D824" s="639"/>
      <c r="E824" s="632">
        <f t="shared" si="74"/>
        <v>8734</v>
      </c>
      <c r="F824" s="639"/>
      <c r="G824" s="639">
        <f t="shared" si="73"/>
        <v>4366</v>
      </c>
      <c r="H824" s="632">
        <v>3889</v>
      </c>
      <c r="I824" s="632">
        <v>477</v>
      </c>
      <c r="J824" s="639">
        <v>601</v>
      </c>
      <c r="K824" s="639">
        <v>2117</v>
      </c>
      <c r="L824" s="639">
        <v>1650</v>
      </c>
      <c r="O824" s="645"/>
      <c r="P824" s="600"/>
      <c r="U824" s="326"/>
    </row>
    <row r="825" spans="1:21" s="263" customFormat="1" ht="9" customHeight="1" x14ac:dyDescent="0.25">
      <c r="A825" s="603" t="s">
        <v>37</v>
      </c>
      <c r="B825" s="640" t="s">
        <v>22</v>
      </c>
      <c r="C825" s="640" t="s">
        <v>22</v>
      </c>
      <c r="D825" s="641"/>
      <c r="E825" s="634">
        <f t="shared" si="74"/>
        <v>2914</v>
      </c>
      <c r="F825" s="641"/>
      <c r="G825" s="641">
        <f t="shared" si="73"/>
        <v>1681</v>
      </c>
      <c r="H825" s="634">
        <v>1652</v>
      </c>
      <c r="I825" s="634">
        <v>29</v>
      </c>
      <c r="J825" s="641">
        <v>89</v>
      </c>
      <c r="K825" s="641">
        <v>581</v>
      </c>
      <c r="L825" s="641">
        <v>563</v>
      </c>
      <c r="O825" s="645"/>
      <c r="P825" s="600"/>
      <c r="U825" s="326"/>
    </row>
    <row r="826" spans="1:21" s="263" customFormat="1" ht="9" customHeight="1" x14ac:dyDescent="0.25">
      <c r="A826" s="550" t="s">
        <v>38</v>
      </c>
      <c r="B826" s="638" t="s">
        <v>22</v>
      </c>
      <c r="C826" s="638" t="s">
        <v>22</v>
      </c>
      <c r="D826" s="639"/>
      <c r="E826" s="632">
        <f t="shared" si="74"/>
        <v>998</v>
      </c>
      <c r="F826" s="639"/>
      <c r="G826" s="639">
        <f t="shared" si="73"/>
        <v>443</v>
      </c>
      <c r="H826" s="632">
        <v>429</v>
      </c>
      <c r="I826" s="632">
        <v>14</v>
      </c>
      <c r="J826" s="639">
        <v>69</v>
      </c>
      <c r="K826" s="639">
        <v>257</v>
      </c>
      <c r="L826" s="639">
        <v>229</v>
      </c>
      <c r="O826" s="645"/>
      <c r="P826" s="600"/>
      <c r="U826" s="326"/>
    </row>
    <row r="827" spans="1:21" s="263" customFormat="1" ht="9" customHeight="1" x14ac:dyDescent="0.25">
      <c r="A827" s="550" t="s">
        <v>39</v>
      </c>
      <c r="B827" s="638" t="s">
        <v>22</v>
      </c>
      <c r="C827" s="638" t="s">
        <v>22</v>
      </c>
      <c r="D827" s="639"/>
      <c r="E827" s="632">
        <f t="shared" si="74"/>
        <v>219</v>
      </c>
      <c r="F827" s="639"/>
      <c r="G827" s="639">
        <f t="shared" si="73"/>
        <v>91</v>
      </c>
      <c r="H827" s="632">
        <v>83</v>
      </c>
      <c r="I827" s="632">
        <v>8</v>
      </c>
      <c r="J827" s="639">
        <v>4</v>
      </c>
      <c r="K827" s="639">
        <v>42</v>
      </c>
      <c r="L827" s="639">
        <v>82</v>
      </c>
      <c r="O827" s="645"/>
      <c r="P827" s="600"/>
      <c r="U827" s="326"/>
    </row>
    <row r="828" spans="1:21" s="263" customFormat="1" ht="9" customHeight="1" x14ac:dyDescent="0.25">
      <c r="A828" s="550" t="s">
        <v>40</v>
      </c>
      <c r="B828" s="638" t="s">
        <v>22</v>
      </c>
      <c r="C828" s="638" t="s">
        <v>22</v>
      </c>
      <c r="D828" s="639"/>
      <c r="E828" s="632">
        <f t="shared" si="74"/>
        <v>11903</v>
      </c>
      <c r="F828" s="639"/>
      <c r="G828" s="639">
        <f t="shared" si="73"/>
        <v>5972</v>
      </c>
      <c r="H828" s="632">
        <v>5423</v>
      </c>
      <c r="I828" s="632">
        <v>549</v>
      </c>
      <c r="J828" s="639">
        <v>919</v>
      </c>
      <c r="K828" s="639">
        <v>3364</v>
      </c>
      <c r="L828" s="639">
        <v>1648</v>
      </c>
      <c r="O828" s="645"/>
      <c r="P828" s="600"/>
      <c r="U828" s="326"/>
    </row>
    <row r="829" spans="1:21" s="263" customFormat="1" ht="9" customHeight="1" x14ac:dyDescent="0.25">
      <c r="A829" s="603" t="s">
        <v>41</v>
      </c>
      <c r="B829" s="640" t="s">
        <v>22</v>
      </c>
      <c r="C829" s="640" t="s">
        <v>22</v>
      </c>
      <c r="D829" s="641"/>
      <c r="E829" s="634">
        <f t="shared" si="74"/>
        <v>1304</v>
      </c>
      <c r="F829" s="641"/>
      <c r="G829" s="641">
        <f t="shared" si="73"/>
        <v>675</v>
      </c>
      <c r="H829" s="634">
        <v>644</v>
      </c>
      <c r="I829" s="634">
        <v>31</v>
      </c>
      <c r="J829" s="641">
        <v>41</v>
      </c>
      <c r="K829" s="641">
        <v>253</v>
      </c>
      <c r="L829" s="641">
        <v>335</v>
      </c>
      <c r="O829" s="645"/>
      <c r="P829" s="600"/>
      <c r="U829" s="326"/>
    </row>
    <row r="830" spans="1:21" s="263" customFormat="1" ht="9" customHeight="1" x14ac:dyDescent="0.25">
      <c r="A830" s="550" t="s">
        <v>42</v>
      </c>
      <c r="B830" s="638" t="s">
        <v>22</v>
      </c>
      <c r="C830" s="638" t="s">
        <v>22</v>
      </c>
      <c r="D830" s="639"/>
      <c r="E830" s="632">
        <f t="shared" si="74"/>
        <v>3407</v>
      </c>
      <c r="F830" s="639"/>
      <c r="G830" s="639">
        <f t="shared" si="73"/>
        <v>1869</v>
      </c>
      <c r="H830" s="632">
        <v>1744</v>
      </c>
      <c r="I830" s="632">
        <v>125</v>
      </c>
      <c r="J830" s="639">
        <v>168</v>
      </c>
      <c r="K830" s="639">
        <v>645</v>
      </c>
      <c r="L830" s="639">
        <v>725</v>
      </c>
      <c r="O830" s="645"/>
      <c r="P830" s="600"/>
      <c r="U830" s="326"/>
    </row>
    <row r="831" spans="1:21" s="263" customFormat="1" ht="9" customHeight="1" x14ac:dyDescent="0.25">
      <c r="A831" s="550" t="s">
        <v>43</v>
      </c>
      <c r="B831" s="638" t="s">
        <v>22</v>
      </c>
      <c r="C831" s="638" t="s">
        <v>22</v>
      </c>
      <c r="D831" s="639"/>
      <c r="E831" s="632">
        <f t="shared" si="74"/>
        <v>2069</v>
      </c>
      <c r="F831" s="639"/>
      <c r="G831" s="639">
        <f t="shared" si="73"/>
        <v>929</v>
      </c>
      <c r="H831" s="632">
        <v>804</v>
      </c>
      <c r="I831" s="632">
        <v>125</v>
      </c>
      <c r="J831" s="639">
        <v>166</v>
      </c>
      <c r="K831" s="639">
        <v>519</v>
      </c>
      <c r="L831" s="639">
        <v>455</v>
      </c>
      <c r="O831" s="645"/>
      <c r="P831" s="600"/>
      <c r="U831" s="326"/>
    </row>
    <row r="832" spans="1:21" s="263" customFormat="1" ht="9" customHeight="1" x14ac:dyDescent="0.25">
      <c r="A832" s="550" t="s">
        <v>44</v>
      </c>
      <c r="B832" s="638" t="s">
        <v>22</v>
      </c>
      <c r="C832" s="638" t="s">
        <v>22</v>
      </c>
      <c r="D832" s="639"/>
      <c r="E832" s="632">
        <f t="shared" si="74"/>
        <v>1136</v>
      </c>
      <c r="F832" s="639"/>
      <c r="G832" s="639">
        <f t="shared" si="73"/>
        <v>487</v>
      </c>
      <c r="H832" s="632">
        <v>406</v>
      </c>
      <c r="I832" s="632">
        <v>81</v>
      </c>
      <c r="J832" s="639">
        <v>67</v>
      </c>
      <c r="K832" s="639">
        <v>337</v>
      </c>
      <c r="L832" s="639">
        <v>245</v>
      </c>
      <c r="O832" s="645"/>
      <c r="P832" s="600"/>
      <c r="U832" s="326"/>
    </row>
    <row r="833" spans="1:21" s="263" customFormat="1" ht="9" customHeight="1" x14ac:dyDescent="0.25">
      <c r="A833" s="603" t="s">
        <v>45</v>
      </c>
      <c r="B833" s="640" t="s">
        <v>22</v>
      </c>
      <c r="C833" s="640" t="s">
        <v>22</v>
      </c>
      <c r="D833" s="641"/>
      <c r="E833" s="634">
        <f t="shared" si="74"/>
        <v>2430</v>
      </c>
      <c r="F833" s="641"/>
      <c r="G833" s="641">
        <f t="shared" si="73"/>
        <v>1160</v>
      </c>
      <c r="H833" s="634">
        <v>1057</v>
      </c>
      <c r="I833" s="634">
        <v>103</v>
      </c>
      <c r="J833" s="641">
        <v>131</v>
      </c>
      <c r="K833" s="641">
        <v>648</v>
      </c>
      <c r="L833" s="641">
        <v>491</v>
      </c>
      <c r="O833" s="645"/>
      <c r="P833" s="600"/>
      <c r="U833" s="326"/>
    </row>
    <row r="834" spans="1:21" s="263" customFormat="1" ht="9" customHeight="1" x14ac:dyDescent="0.25">
      <c r="A834" s="550" t="s">
        <v>46</v>
      </c>
      <c r="B834" s="638" t="s">
        <v>22</v>
      </c>
      <c r="C834" s="638" t="s">
        <v>22</v>
      </c>
      <c r="D834" s="639"/>
      <c r="E834" s="632">
        <f t="shared" si="74"/>
        <v>1947</v>
      </c>
      <c r="F834" s="639"/>
      <c r="G834" s="639">
        <f t="shared" si="73"/>
        <v>1007</v>
      </c>
      <c r="H834" s="632">
        <v>938</v>
      </c>
      <c r="I834" s="632">
        <v>69</v>
      </c>
      <c r="J834" s="639">
        <v>138</v>
      </c>
      <c r="K834" s="639">
        <v>450</v>
      </c>
      <c r="L834" s="639">
        <v>352</v>
      </c>
      <c r="O834" s="645"/>
      <c r="P834" s="600"/>
      <c r="U834" s="326"/>
    </row>
    <row r="835" spans="1:21" s="263" customFormat="1" ht="9" customHeight="1" x14ac:dyDescent="0.25">
      <c r="A835" s="550" t="s">
        <v>47</v>
      </c>
      <c r="B835" s="638" t="s">
        <v>22</v>
      </c>
      <c r="C835" s="638" t="s">
        <v>22</v>
      </c>
      <c r="D835" s="639"/>
      <c r="E835" s="632">
        <f t="shared" si="74"/>
        <v>2357</v>
      </c>
      <c r="F835" s="639"/>
      <c r="G835" s="639">
        <f t="shared" si="73"/>
        <v>1203</v>
      </c>
      <c r="H835" s="632">
        <v>1130</v>
      </c>
      <c r="I835" s="632">
        <v>73</v>
      </c>
      <c r="J835" s="639">
        <v>68</v>
      </c>
      <c r="K835" s="639">
        <v>465</v>
      </c>
      <c r="L835" s="639">
        <v>621</v>
      </c>
      <c r="O835" s="645"/>
      <c r="P835" s="600"/>
      <c r="U835" s="326"/>
    </row>
    <row r="836" spans="1:21" s="263" customFormat="1" ht="9" customHeight="1" x14ac:dyDescent="0.25">
      <c r="A836" s="550" t="s">
        <v>48</v>
      </c>
      <c r="B836" s="638" t="s">
        <v>22</v>
      </c>
      <c r="C836" s="638" t="s">
        <v>22</v>
      </c>
      <c r="D836" s="639"/>
      <c r="E836" s="632">
        <f t="shared" si="74"/>
        <v>1069</v>
      </c>
      <c r="F836" s="639"/>
      <c r="G836" s="639">
        <f t="shared" si="73"/>
        <v>524</v>
      </c>
      <c r="H836" s="632">
        <v>471</v>
      </c>
      <c r="I836" s="632">
        <v>53</v>
      </c>
      <c r="J836" s="639">
        <v>64</v>
      </c>
      <c r="K836" s="639">
        <v>274</v>
      </c>
      <c r="L836" s="639">
        <v>207</v>
      </c>
      <c r="O836" s="645"/>
      <c r="P836" s="600"/>
      <c r="U836" s="326"/>
    </row>
    <row r="837" spans="1:21" s="263" customFormat="1" ht="9" customHeight="1" x14ac:dyDescent="0.25">
      <c r="A837" s="603" t="s">
        <v>49</v>
      </c>
      <c r="B837" s="640" t="s">
        <v>22</v>
      </c>
      <c r="C837" s="640" t="s">
        <v>22</v>
      </c>
      <c r="D837" s="641"/>
      <c r="E837" s="634">
        <f t="shared" si="74"/>
        <v>2396</v>
      </c>
      <c r="F837" s="641"/>
      <c r="G837" s="641">
        <f t="shared" si="73"/>
        <v>1261</v>
      </c>
      <c r="H837" s="634">
        <v>1181</v>
      </c>
      <c r="I837" s="634">
        <v>80</v>
      </c>
      <c r="J837" s="641">
        <v>160</v>
      </c>
      <c r="K837" s="641">
        <v>543</v>
      </c>
      <c r="L837" s="641">
        <v>432</v>
      </c>
      <c r="O837" s="645"/>
      <c r="P837" s="600"/>
      <c r="U837" s="326"/>
    </row>
    <row r="838" spans="1:21" s="263" customFormat="1" ht="9" customHeight="1" x14ac:dyDescent="0.25">
      <c r="A838" s="550" t="s">
        <v>50</v>
      </c>
      <c r="B838" s="638" t="s">
        <v>22</v>
      </c>
      <c r="C838" s="638" t="s">
        <v>22</v>
      </c>
      <c r="D838" s="639"/>
      <c r="E838" s="632">
        <f t="shared" si="74"/>
        <v>354</v>
      </c>
      <c r="F838" s="639"/>
      <c r="G838" s="639">
        <f t="shared" si="73"/>
        <v>200</v>
      </c>
      <c r="H838" s="632">
        <v>191</v>
      </c>
      <c r="I838" s="632">
        <v>9</v>
      </c>
      <c r="J838" s="639">
        <v>15</v>
      </c>
      <c r="K838" s="639">
        <v>65</v>
      </c>
      <c r="L838" s="639">
        <v>74</v>
      </c>
      <c r="O838" s="645"/>
      <c r="P838" s="600"/>
      <c r="U838" s="326"/>
    </row>
    <row r="839" spans="1:21" s="263" customFormat="1" ht="9" customHeight="1" x14ac:dyDescent="0.25">
      <c r="A839" s="550" t="s">
        <v>51</v>
      </c>
      <c r="B839" s="638" t="s">
        <v>22</v>
      </c>
      <c r="C839" s="638" t="s">
        <v>22</v>
      </c>
      <c r="D839" s="639"/>
      <c r="E839" s="632">
        <f t="shared" si="74"/>
        <v>2837</v>
      </c>
      <c r="F839" s="639"/>
      <c r="G839" s="639">
        <f t="shared" si="73"/>
        <v>1533</v>
      </c>
      <c r="H839" s="632">
        <v>1414</v>
      </c>
      <c r="I839" s="632">
        <v>119</v>
      </c>
      <c r="J839" s="639">
        <v>117</v>
      </c>
      <c r="K839" s="639">
        <v>589</v>
      </c>
      <c r="L839" s="639">
        <v>598</v>
      </c>
      <c r="O839" s="645"/>
      <c r="P839" s="600"/>
      <c r="U839" s="326"/>
    </row>
    <row r="840" spans="1:21" s="263" customFormat="1" ht="9" customHeight="1" x14ac:dyDescent="0.25">
      <c r="A840" s="550" t="s">
        <v>52</v>
      </c>
      <c r="B840" s="638" t="s">
        <v>22</v>
      </c>
      <c r="C840" s="638" t="s">
        <v>22</v>
      </c>
      <c r="D840" s="639"/>
      <c r="E840" s="632">
        <f t="shared" si="74"/>
        <v>1850</v>
      </c>
      <c r="F840" s="639"/>
      <c r="G840" s="639">
        <f t="shared" si="73"/>
        <v>929</v>
      </c>
      <c r="H840" s="632">
        <v>876</v>
      </c>
      <c r="I840" s="632">
        <v>53</v>
      </c>
      <c r="J840" s="639">
        <v>46</v>
      </c>
      <c r="K840" s="639">
        <v>293</v>
      </c>
      <c r="L840" s="639">
        <v>582</v>
      </c>
      <c r="O840" s="645"/>
      <c r="P840" s="600"/>
      <c r="U840" s="326"/>
    </row>
    <row r="841" spans="1:21" s="263" customFormat="1" ht="9" customHeight="1" x14ac:dyDescent="0.25">
      <c r="A841" s="267" t="s">
        <v>53</v>
      </c>
      <c r="B841" s="599" t="s">
        <v>22</v>
      </c>
      <c r="C841" s="599" t="s">
        <v>22</v>
      </c>
      <c r="D841" s="328"/>
      <c r="E841" s="604">
        <f t="shared" si="74"/>
        <v>807</v>
      </c>
      <c r="F841" s="328"/>
      <c r="G841" s="328">
        <f t="shared" si="73"/>
        <v>377</v>
      </c>
      <c r="H841" s="604">
        <v>347</v>
      </c>
      <c r="I841" s="604">
        <v>30</v>
      </c>
      <c r="J841" s="328">
        <v>25</v>
      </c>
      <c r="K841" s="328">
        <v>139</v>
      </c>
      <c r="L841" s="328">
        <v>266</v>
      </c>
      <c r="O841" s="645"/>
      <c r="P841" s="600"/>
      <c r="U841" s="326"/>
    </row>
    <row r="842" spans="1:21" s="263" customFormat="1" ht="9" customHeight="1" x14ac:dyDescent="0.25">
      <c r="A842" s="286"/>
      <c r="B842" s="613"/>
      <c r="C842" s="613"/>
      <c r="D842" s="329"/>
      <c r="E842" s="605"/>
      <c r="F842" s="329"/>
      <c r="G842" s="329"/>
      <c r="H842" s="605"/>
      <c r="I842" s="605"/>
      <c r="J842" s="329"/>
      <c r="K842" s="329"/>
      <c r="L842" s="329"/>
    </row>
    <row r="843" spans="1:21" s="263" customFormat="1" ht="9" customHeight="1" x14ac:dyDescent="0.25">
      <c r="A843" s="261">
        <v>2018</v>
      </c>
      <c r="B843" s="288"/>
      <c r="C843" s="262"/>
      <c r="D843" s="262"/>
      <c r="E843" s="262"/>
      <c r="F843" s="262"/>
      <c r="G843" s="262"/>
      <c r="H843" s="271"/>
      <c r="I843" s="262"/>
      <c r="J843" s="262"/>
      <c r="K843" s="262"/>
      <c r="L843" s="262"/>
    </row>
    <row r="844" spans="1:21" s="263" customFormat="1" ht="9" customHeight="1" x14ac:dyDescent="0.25">
      <c r="A844" s="265" t="s">
        <v>21</v>
      </c>
      <c r="B844" s="325" t="s">
        <v>22</v>
      </c>
      <c r="C844" s="325" t="s">
        <v>22</v>
      </c>
      <c r="D844" s="325"/>
      <c r="E844" s="325">
        <f>SUM(E846:E877)</f>
        <v>102598</v>
      </c>
      <c r="F844" s="325"/>
      <c r="G844" s="325">
        <f t="shared" ref="G844:I844" si="75">SUM(G846:G877)</f>
        <v>50874</v>
      </c>
      <c r="H844" s="332">
        <f t="shared" si="75"/>
        <v>46041</v>
      </c>
      <c r="I844" s="325">
        <f t="shared" si="75"/>
        <v>4833</v>
      </c>
      <c r="J844" s="325">
        <f>SUM(J846:J877)</f>
        <v>6749</v>
      </c>
      <c r="K844" s="325">
        <f t="shared" ref="K844:L844" si="76">SUM(K846:K877)</f>
        <v>24186</v>
      </c>
      <c r="L844" s="325">
        <f t="shared" si="76"/>
        <v>20789</v>
      </c>
      <c r="N844" s="646"/>
      <c r="O844" s="645"/>
      <c r="P844" s="644"/>
      <c r="Q844" s="644"/>
      <c r="R844" s="644"/>
      <c r="S844" s="644"/>
      <c r="U844" s="326"/>
    </row>
    <row r="845" spans="1:21" s="263" customFormat="1" ht="3.95" customHeight="1" x14ac:dyDescent="0.25">
      <c r="A845" s="265"/>
      <c r="B845" s="325"/>
      <c r="C845" s="325"/>
      <c r="D845" s="325"/>
      <c r="E845" s="325"/>
      <c r="F845" s="325"/>
      <c r="G845" s="325"/>
      <c r="H845" s="325"/>
      <c r="I845" s="325"/>
      <c r="J845" s="325"/>
      <c r="K845" s="325"/>
      <c r="L845" s="325"/>
      <c r="O845" s="645"/>
      <c r="U845" s="326"/>
    </row>
    <row r="846" spans="1:21" s="263" customFormat="1" ht="9" customHeight="1" x14ac:dyDescent="0.25">
      <c r="A846" s="550" t="s">
        <v>23</v>
      </c>
      <c r="B846" s="638" t="s">
        <v>22</v>
      </c>
      <c r="C846" s="638" t="s">
        <v>22</v>
      </c>
      <c r="D846" s="639"/>
      <c r="E846" s="632">
        <f>SUM(G846+J846+K846+L846)</f>
        <v>1082</v>
      </c>
      <c r="F846" s="639"/>
      <c r="G846" s="639">
        <f>SUM(H846:I846)</f>
        <v>462</v>
      </c>
      <c r="H846" s="632">
        <v>435</v>
      </c>
      <c r="I846" s="632">
        <v>27</v>
      </c>
      <c r="J846" s="639">
        <v>131</v>
      </c>
      <c r="K846" s="639">
        <v>218</v>
      </c>
      <c r="L846" s="639">
        <v>271</v>
      </c>
      <c r="O846" s="645"/>
      <c r="P846" s="600"/>
      <c r="U846" s="326"/>
    </row>
    <row r="847" spans="1:21" s="263" customFormat="1" ht="9" customHeight="1" x14ac:dyDescent="0.25">
      <c r="A847" s="550" t="s">
        <v>24</v>
      </c>
      <c r="B847" s="638" t="s">
        <v>22</v>
      </c>
      <c r="C847" s="638" t="s">
        <v>22</v>
      </c>
      <c r="D847" s="639"/>
      <c r="E847" s="632">
        <f>SUM(G847+J847+K847+L847)</f>
        <v>3956</v>
      </c>
      <c r="F847" s="638"/>
      <c r="G847" s="639">
        <f t="shared" ref="G847:G877" si="77">SUM(H847:I847)</f>
        <v>1724</v>
      </c>
      <c r="H847" s="638">
        <v>1605</v>
      </c>
      <c r="I847" s="638">
        <v>119</v>
      </c>
      <c r="J847" s="638">
        <v>220</v>
      </c>
      <c r="K847" s="638">
        <v>1100</v>
      </c>
      <c r="L847" s="638">
        <v>912</v>
      </c>
      <c r="O847" s="645"/>
      <c r="P847" s="600"/>
      <c r="U847" s="326"/>
    </row>
    <row r="848" spans="1:21" s="263" customFormat="1" ht="9" customHeight="1" x14ac:dyDescent="0.25">
      <c r="A848" s="550" t="s">
        <v>25</v>
      </c>
      <c r="B848" s="638" t="s">
        <v>22</v>
      </c>
      <c r="C848" s="638" t="s">
        <v>22</v>
      </c>
      <c r="D848" s="639"/>
      <c r="E848" s="632">
        <f t="shared" ref="E848:E877" si="78">SUM(G848+J848+K848+L848)</f>
        <v>475</v>
      </c>
      <c r="F848" s="639"/>
      <c r="G848" s="639">
        <f t="shared" si="77"/>
        <v>193</v>
      </c>
      <c r="H848" s="632">
        <v>174</v>
      </c>
      <c r="I848" s="632">
        <v>19</v>
      </c>
      <c r="J848" s="639">
        <v>57</v>
      </c>
      <c r="K848" s="639">
        <v>109</v>
      </c>
      <c r="L848" s="639">
        <v>116</v>
      </c>
      <c r="O848" s="645"/>
      <c r="P848" s="600"/>
      <c r="U848" s="326"/>
    </row>
    <row r="849" spans="1:21" s="263" customFormat="1" ht="9" customHeight="1" x14ac:dyDescent="0.25">
      <c r="A849" s="603" t="s">
        <v>26</v>
      </c>
      <c r="B849" s="640" t="s">
        <v>22</v>
      </c>
      <c r="C849" s="640" t="s">
        <v>22</v>
      </c>
      <c r="D849" s="641"/>
      <c r="E849" s="634">
        <f t="shared" si="78"/>
        <v>338</v>
      </c>
      <c r="F849" s="641"/>
      <c r="G849" s="641">
        <f t="shared" si="77"/>
        <v>174</v>
      </c>
      <c r="H849" s="634">
        <v>141</v>
      </c>
      <c r="I849" s="634">
        <v>33</v>
      </c>
      <c r="J849" s="641">
        <v>22</v>
      </c>
      <c r="K849" s="641">
        <v>110</v>
      </c>
      <c r="L849" s="641">
        <v>32</v>
      </c>
      <c r="O849" s="645"/>
      <c r="P849" s="600"/>
      <c r="U849" s="326"/>
    </row>
    <row r="850" spans="1:21" s="263" customFormat="1" ht="9" customHeight="1" x14ac:dyDescent="0.25">
      <c r="A850" s="550" t="s">
        <v>27</v>
      </c>
      <c r="B850" s="638" t="s">
        <v>22</v>
      </c>
      <c r="C850" s="638" t="s">
        <v>22</v>
      </c>
      <c r="D850" s="639"/>
      <c r="E850" s="632">
        <f t="shared" si="78"/>
        <v>2710</v>
      </c>
      <c r="F850" s="639"/>
      <c r="G850" s="639">
        <f t="shared" si="77"/>
        <v>1248</v>
      </c>
      <c r="H850" s="632">
        <v>1177</v>
      </c>
      <c r="I850" s="632">
        <v>71</v>
      </c>
      <c r="J850" s="639">
        <v>141</v>
      </c>
      <c r="K850" s="639">
        <v>857</v>
      </c>
      <c r="L850" s="639">
        <v>464</v>
      </c>
      <c r="O850" s="645"/>
      <c r="P850" s="600"/>
      <c r="U850" s="326"/>
    </row>
    <row r="851" spans="1:21" s="263" customFormat="1" ht="9" customHeight="1" x14ac:dyDescent="0.25">
      <c r="A851" s="550" t="s">
        <v>28</v>
      </c>
      <c r="B851" s="638" t="s">
        <v>22</v>
      </c>
      <c r="C851" s="638" t="s">
        <v>22</v>
      </c>
      <c r="D851" s="639"/>
      <c r="E851" s="632">
        <f t="shared" si="78"/>
        <v>326</v>
      </c>
      <c r="F851" s="639"/>
      <c r="G851" s="639">
        <f t="shared" si="77"/>
        <v>177</v>
      </c>
      <c r="H851" s="632">
        <v>155</v>
      </c>
      <c r="I851" s="632">
        <v>22</v>
      </c>
      <c r="J851" s="639">
        <v>13</v>
      </c>
      <c r="K851" s="639">
        <v>53</v>
      </c>
      <c r="L851" s="639">
        <v>83</v>
      </c>
      <c r="O851" s="645"/>
      <c r="P851" s="600"/>
      <c r="U851" s="326"/>
    </row>
    <row r="852" spans="1:21" s="263" customFormat="1" ht="9" customHeight="1" x14ac:dyDescent="0.25">
      <c r="A852" s="550" t="s">
        <v>29</v>
      </c>
      <c r="B852" s="638" t="s">
        <v>22</v>
      </c>
      <c r="C852" s="638" t="s">
        <v>22</v>
      </c>
      <c r="D852" s="639"/>
      <c r="E852" s="632">
        <f t="shared" si="78"/>
        <v>1269</v>
      </c>
      <c r="F852" s="639"/>
      <c r="G852" s="639">
        <f t="shared" si="77"/>
        <v>672</v>
      </c>
      <c r="H852" s="632">
        <v>635</v>
      </c>
      <c r="I852" s="632">
        <v>37</v>
      </c>
      <c r="J852" s="639">
        <v>59</v>
      </c>
      <c r="K852" s="639">
        <v>185</v>
      </c>
      <c r="L852" s="639">
        <v>353</v>
      </c>
      <c r="O852" s="645"/>
      <c r="P852" s="600"/>
      <c r="U852" s="326"/>
    </row>
    <row r="853" spans="1:21" s="263" customFormat="1" ht="9" customHeight="1" x14ac:dyDescent="0.25">
      <c r="A853" s="603" t="s">
        <v>30</v>
      </c>
      <c r="B853" s="640" t="s">
        <v>22</v>
      </c>
      <c r="C853" s="640" t="s">
        <v>22</v>
      </c>
      <c r="D853" s="641"/>
      <c r="E853" s="634">
        <f t="shared" si="78"/>
        <v>4379</v>
      </c>
      <c r="F853" s="641"/>
      <c r="G853" s="641">
        <f t="shared" si="77"/>
        <v>2277</v>
      </c>
      <c r="H853" s="634">
        <v>2127</v>
      </c>
      <c r="I853" s="634">
        <v>150</v>
      </c>
      <c r="J853" s="641">
        <v>256</v>
      </c>
      <c r="K853" s="641">
        <v>944</v>
      </c>
      <c r="L853" s="641">
        <v>902</v>
      </c>
      <c r="O853" s="645"/>
      <c r="P853" s="600"/>
      <c r="U853" s="326"/>
    </row>
    <row r="854" spans="1:21" s="263" customFormat="1" ht="9" customHeight="1" x14ac:dyDescent="0.25">
      <c r="A854" s="550" t="s">
        <v>63</v>
      </c>
      <c r="B854" s="638" t="s">
        <v>22</v>
      </c>
      <c r="C854" s="638" t="s">
        <v>22</v>
      </c>
      <c r="D854" s="639"/>
      <c r="E854" s="632">
        <f t="shared" si="78"/>
        <v>21276</v>
      </c>
      <c r="F854" s="639"/>
      <c r="G854" s="639">
        <f t="shared" si="77"/>
        <v>9628</v>
      </c>
      <c r="H854" s="632">
        <v>8340</v>
      </c>
      <c r="I854" s="632">
        <v>1288</v>
      </c>
      <c r="J854" s="639">
        <v>2104</v>
      </c>
      <c r="K854" s="639">
        <v>5519</v>
      </c>
      <c r="L854" s="639">
        <v>4025</v>
      </c>
      <c r="O854" s="645"/>
      <c r="P854" s="600"/>
      <c r="U854" s="326"/>
    </row>
    <row r="855" spans="1:21" s="263" customFormat="1" ht="9" customHeight="1" x14ac:dyDescent="0.25">
      <c r="A855" s="550" t="s">
        <v>31</v>
      </c>
      <c r="B855" s="638" t="s">
        <v>22</v>
      </c>
      <c r="C855" s="638" t="s">
        <v>22</v>
      </c>
      <c r="D855" s="639"/>
      <c r="E855" s="632">
        <f t="shared" si="78"/>
        <v>648</v>
      </c>
      <c r="F855" s="639"/>
      <c r="G855" s="639">
        <f t="shared" si="77"/>
        <v>372</v>
      </c>
      <c r="H855" s="632">
        <v>358</v>
      </c>
      <c r="I855" s="632">
        <v>14</v>
      </c>
      <c r="J855" s="550">
        <v>27</v>
      </c>
      <c r="K855" s="550">
        <v>120</v>
      </c>
      <c r="L855" s="639">
        <v>129</v>
      </c>
      <c r="O855" s="645"/>
      <c r="P855" s="600"/>
      <c r="U855" s="326"/>
    </row>
    <row r="856" spans="1:21" s="263" customFormat="1" ht="9" customHeight="1" x14ac:dyDescent="0.25">
      <c r="A856" s="550" t="s">
        <v>32</v>
      </c>
      <c r="B856" s="638" t="s">
        <v>22</v>
      </c>
      <c r="C856" s="638" t="s">
        <v>22</v>
      </c>
      <c r="D856" s="639"/>
      <c r="E856" s="632">
        <f t="shared" si="78"/>
        <v>4533</v>
      </c>
      <c r="F856" s="639"/>
      <c r="G856" s="639">
        <f t="shared" si="77"/>
        <v>2359</v>
      </c>
      <c r="H856" s="632">
        <v>2196</v>
      </c>
      <c r="I856" s="632">
        <v>163</v>
      </c>
      <c r="J856" s="639">
        <v>270</v>
      </c>
      <c r="K856" s="639">
        <v>1080</v>
      </c>
      <c r="L856" s="639">
        <v>824</v>
      </c>
      <c r="O856" s="645"/>
      <c r="P856" s="600"/>
      <c r="U856" s="326"/>
    </row>
    <row r="857" spans="1:21" s="263" customFormat="1" ht="9" customHeight="1" x14ac:dyDescent="0.25">
      <c r="A857" s="603" t="s">
        <v>33</v>
      </c>
      <c r="B857" s="640" t="s">
        <v>22</v>
      </c>
      <c r="C857" s="640" t="s">
        <v>22</v>
      </c>
      <c r="D857" s="641"/>
      <c r="E857" s="634">
        <f t="shared" si="78"/>
        <v>1321</v>
      </c>
      <c r="F857" s="641"/>
      <c r="G857" s="641">
        <f t="shared" si="77"/>
        <v>665</v>
      </c>
      <c r="H857" s="634">
        <v>653</v>
      </c>
      <c r="I857" s="634">
        <v>12</v>
      </c>
      <c r="J857" s="641">
        <v>126</v>
      </c>
      <c r="K857" s="641">
        <v>232</v>
      </c>
      <c r="L857" s="641">
        <v>298</v>
      </c>
      <c r="O857" s="645"/>
      <c r="P857" s="600"/>
      <c r="U857" s="326"/>
    </row>
    <row r="858" spans="1:21" s="263" customFormat="1" ht="9" customHeight="1" x14ac:dyDescent="0.25">
      <c r="A858" s="550" t="s">
        <v>34</v>
      </c>
      <c r="B858" s="638" t="s">
        <v>22</v>
      </c>
      <c r="C858" s="638" t="s">
        <v>22</v>
      </c>
      <c r="D858" s="639"/>
      <c r="E858" s="632">
        <f t="shared" si="78"/>
        <v>1625</v>
      </c>
      <c r="F858" s="639"/>
      <c r="G858" s="639">
        <f t="shared" si="77"/>
        <v>921</v>
      </c>
      <c r="H858" s="632">
        <v>845</v>
      </c>
      <c r="I858" s="632">
        <v>76</v>
      </c>
      <c r="J858" s="639">
        <v>101</v>
      </c>
      <c r="K858" s="639">
        <v>260</v>
      </c>
      <c r="L858" s="639">
        <v>343</v>
      </c>
      <c r="O858" s="645"/>
      <c r="P858" s="600"/>
      <c r="U858" s="326"/>
    </row>
    <row r="859" spans="1:21" s="263" customFormat="1" ht="9" customHeight="1" x14ac:dyDescent="0.25">
      <c r="A859" s="550" t="s">
        <v>35</v>
      </c>
      <c r="B859" s="638" t="s">
        <v>22</v>
      </c>
      <c r="C859" s="638" t="s">
        <v>22</v>
      </c>
      <c r="D859" s="639"/>
      <c r="E859" s="632">
        <f t="shared" si="78"/>
        <v>8777</v>
      </c>
      <c r="F859" s="639"/>
      <c r="G859" s="639">
        <f t="shared" si="77"/>
        <v>4455</v>
      </c>
      <c r="H859" s="632">
        <v>4072</v>
      </c>
      <c r="I859" s="632">
        <v>383</v>
      </c>
      <c r="J859" s="639">
        <v>349</v>
      </c>
      <c r="K859" s="639">
        <v>1951</v>
      </c>
      <c r="L859" s="639">
        <v>2022</v>
      </c>
      <c r="O859" s="645"/>
      <c r="P859" s="600"/>
      <c r="U859" s="326"/>
    </row>
    <row r="860" spans="1:21" s="263" customFormat="1" ht="9" customHeight="1" x14ac:dyDescent="0.25">
      <c r="A860" s="550" t="s">
        <v>36</v>
      </c>
      <c r="B860" s="638" t="s">
        <v>22</v>
      </c>
      <c r="C860" s="638" t="s">
        <v>22</v>
      </c>
      <c r="D860" s="639"/>
      <c r="E860" s="632">
        <f t="shared" si="78"/>
        <v>9010</v>
      </c>
      <c r="F860" s="639"/>
      <c r="G860" s="639">
        <f t="shared" si="77"/>
        <v>4426</v>
      </c>
      <c r="H860" s="632">
        <v>3972</v>
      </c>
      <c r="I860" s="632">
        <v>454</v>
      </c>
      <c r="J860" s="639">
        <v>605</v>
      </c>
      <c r="K860" s="639">
        <v>2082</v>
      </c>
      <c r="L860" s="639">
        <v>1897</v>
      </c>
      <c r="O860" s="645"/>
      <c r="P860" s="600"/>
      <c r="U860" s="326"/>
    </row>
    <row r="861" spans="1:21" s="263" customFormat="1" ht="9" customHeight="1" x14ac:dyDescent="0.25">
      <c r="A861" s="603" t="s">
        <v>37</v>
      </c>
      <c r="B861" s="640" t="s">
        <v>22</v>
      </c>
      <c r="C861" s="640" t="s">
        <v>22</v>
      </c>
      <c r="D861" s="641"/>
      <c r="E861" s="634">
        <f t="shared" si="78"/>
        <v>3063</v>
      </c>
      <c r="F861" s="641"/>
      <c r="G861" s="641">
        <f t="shared" si="77"/>
        <v>1772</v>
      </c>
      <c r="H861" s="634">
        <v>1732</v>
      </c>
      <c r="I861" s="634">
        <v>40</v>
      </c>
      <c r="J861" s="641">
        <v>85</v>
      </c>
      <c r="K861" s="641">
        <v>615</v>
      </c>
      <c r="L861" s="641">
        <v>591</v>
      </c>
      <c r="O861" s="645"/>
      <c r="P861" s="600"/>
      <c r="U861" s="326"/>
    </row>
    <row r="862" spans="1:21" s="263" customFormat="1" ht="9" customHeight="1" x14ac:dyDescent="0.25">
      <c r="A862" s="550" t="s">
        <v>38</v>
      </c>
      <c r="B862" s="638" t="s">
        <v>22</v>
      </c>
      <c r="C862" s="638" t="s">
        <v>22</v>
      </c>
      <c r="D862" s="639"/>
      <c r="E862" s="632">
        <f t="shared" si="78"/>
        <v>927</v>
      </c>
      <c r="F862" s="639"/>
      <c r="G862" s="639">
        <f t="shared" si="77"/>
        <v>419</v>
      </c>
      <c r="H862" s="632">
        <v>405</v>
      </c>
      <c r="I862" s="632">
        <v>14</v>
      </c>
      <c r="J862" s="639">
        <v>69</v>
      </c>
      <c r="K862" s="639">
        <v>204</v>
      </c>
      <c r="L862" s="639">
        <v>235</v>
      </c>
      <c r="O862" s="645"/>
      <c r="P862" s="600"/>
      <c r="U862" s="326"/>
    </row>
    <row r="863" spans="1:21" s="263" customFormat="1" ht="9" customHeight="1" x14ac:dyDescent="0.25">
      <c r="A863" s="550" t="s">
        <v>39</v>
      </c>
      <c r="B863" s="638" t="s">
        <v>22</v>
      </c>
      <c r="C863" s="638" t="s">
        <v>22</v>
      </c>
      <c r="D863" s="639"/>
      <c r="E863" s="632">
        <f t="shared" si="78"/>
        <v>219</v>
      </c>
      <c r="F863" s="639"/>
      <c r="G863" s="639">
        <f t="shared" si="77"/>
        <v>87</v>
      </c>
      <c r="H863" s="632">
        <v>80</v>
      </c>
      <c r="I863" s="632">
        <v>7</v>
      </c>
      <c r="J863" s="639">
        <v>6</v>
      </c>
      <c r="K863" s="639">
        <v>43</v>
      </c>
      <c r="L863" s="639">
        <v>83</v>
      </c>
      <c r="O863" s="645"/>
      <c r="P863" s="600"/>
      <c r="U863" s="326"/>
    </row>
    <row r="864" spans="1:21" s="263" customFormat="1" ht="9" customHeight="1" x14ac:dyDescent="0.25">
      <c r="A864" s="550" t="s">
        <v>40</v>
      </c>
      <c r="B864" s="638" t="s">
        <v>22</v>
      </c>
      <c r="C864" s="638" t="s">
        <v>22</v>
      </c>
      <c r="D864" s="639"/>
      <c r="E864" s="632">
        <f t="shared" si="78"/>
        <v>11870</v>
      </c>
      <c r="F864" s="639"/>
      <c r="G864" s="639">
        <f t="shared" si="77"/>
        <v>6322</v>
      </c>
      <c r="H864" s="632">
        <v>5402</v>
      </c>
      <c r="I864" s="632">
        <v>920</v>
      </c>
      <c r="J864" s="639">
        <v>919</v>
      </c>
      <c r="K864" s="639">
        <v>3063</v>
      </c>
      <c r="L864" s="639">
        <v>1566</v>
      </c>
      <c r="O864" s="645"/>
      <c r="P864" s="600"/>
      <c r="U864" s="326"/>
    </row>
    <row r="865" spans="1:21" s="263" customFormat="1" ht="9" customHeight="1" x14ac:dyDescent="0.25">
      <c r="A865" s="603" t="s">
        <v>41</v>
      </c>
      <c r="B865" s="640" t="s">
        <v>22</v>
      </c>
      <c r="C865" s="640" t="s">
        <v>22</v>
      </c>
      <c r="D865" s="641"/>
      <c r="E865" s="634">
        <f t="shared" si="78"/>
        <v>1367</v>
      </c>
      <c r="F865" s="641"/>
      <c r="G865" s="641">
        <f t="shared" si="77"/>
        <v>694</v>
      </c>
      <c r="H865" s="634">
        <v>663</v>
      </c>
      <c r="I865" s="634">
        <v>31</v>
      </c>
      <c r="J865" s="641">
        <v>59</v>
      </c>
      <c r="K865" s="641">
        <v>291</v>
      </c>
      <c r="L865" s="641">
        <v>323</v>
      </c>
      <c r="O865" s="645"/>
      <c r="P865" s="600"/>
      <c r="U865" s="326"/>
    </row>
    <row r="866" spans="1:21" s="263" customFormat="1" ht="9" customHeight="1" x14ac:dyDescent="0.25">
      <c r="A866" s="550" t="s">
        <v>42</v>
      </c>
      <c r="B866" s="638" t="s">
        <v>22</v>
      </c>
      <c r="C866" s="638" t="s">
        <v>22</v>
      </c>
      <c r="D866" s="639"/>
      <c r="E866" s="632">
        <f t="shared" si="78"/>
        <v>3725</v>
      </c>
      <c r="F866" s="639"/>
      <c r="G866" s="639">
        <f t="shared" si="77"/>
        <v>1931</v>
      </c>
      <c r="H866" s="632">
        <v>1789</v>
      </c>
      <c r="I866" s="632">
        <v>142</v>
      </c>
      <c r="J866" s="639">
        <v>161</v>
      </c>
      <c r="K866" s="639">
        <v>807</v>
      </c>
      <c r="L866" s="639">
        <v>826</v>
      </c>
      <c r="O866" s="645"/>
      <c r="P866" s="600"/>
      <c r="U866" s="326"/>
    </row>
    <row r="867" spans="1:21" s="263" customFormat="1" ht="9" customHeight="1" x14ac:dyDescent="0.25">
      <c r="A867" s="550" t="s">
        <v>43</v>
      </c>
      <c r="B867" s="638" t="s">
        <v>22</v>
      </c>
      <c r="C867" s="638" t="s">
        <v>22</v>
      </c>
      <c r="D867" s="639"/>
      <c r="E867" s="632">
        <f t="shared" si="78"/>
        <v>1978</v>
      </c>
      <c r="F867" s="639"/>
      <c r="G867" s="639">
        <f t="shared" si="77"/>
        <v>910</v>
      </c>
      <c r="H867" s="632">
        <v>789</v>
      </c>
      <c r="I867" s="632">
        <v>121</v>
      </c>
      <c r="J867" s="639">
        <v>147</v>
      </c>
      <c r="K867" s="639">
        <v>495</v>
      </c>
      <c r="L867" s="639">
        <v>426</v>
      </c>
      <c r="O867" s="645"/>
      <c r="P867" s="600"/>
      <c r="U867" s="326"/>
    </row>
    <row r="868" spans="1:21" s="263" customFormat="1" ht="9" customHeight="1" x14ac:dyDescent="0.25">
      <c r="A868" s="550" t="s">
        <v>44</v>
      </c>
      <c r="B868" s="638" t="s">
        <v>22</v>
      </c>
      <c r="C868" s="638" t="s">
        <v>22</v>
      </c>
      <c r="D868" s="639"/>
      <c r="E868" s="632">
        <f t="shared" si="78"/>
        <v>1248</v>
      </c>
      <c r="F868" s="639"/>
      <c r="G868" s="639">
        <f t="shared" si="77"/>
        <v>530</v>
      </c>
      <c r="H868" s="632">
        <v>469</v>
      </c>
      <c r="I868" s="632">
        <v>61</v>
      </c>
      <c r="J868" s="639">
        <v>63</v>
      </c>
      <c r="K868" s="639">
        <v>404</v>
      </c>
      <c r="L868" s="639">
        <v>251</v>
      </c>
      <c r="O868" s="645"/>
      <c r="P868" s="600"/>
      <c r="U868" s="326"/>
    </row>
    <row r="869" spans="1:21" s="263" customFormat="1" ht="9" customHeight="1" x14ac:dyDescent="0.25">
      <c r="A869" s="603" t="s">
        <v>45</v>
      </c>
      <c r="B869" s="640" t="s">
        <v>22</v>
      </c>
      <c r="C869" s="640" t="s">
        <v>22</v>
      </c>
      <c r="D869" s="641"/>
      <c r="E869" s="634">
        <f t="shared" si="78"/>
        <v>2690</v>
      </c>
      <c r="F869" s="641"/>
      <c r="G869" s="641">
        <f t="shared" si="77"/>
        <v>1327</v>
      </c>
      <c r="H869" s="634">
        <v>1169</v>
      </c>
      <c r="I869" s="634">
        <v>158</v>
      </c>
      <c r="J869" s="641">
        <v>110</v>
      </c>
      <c r="K869" s="641">
        <v>633</v>
      </c>
      <c r="L869" s="641">
        <v>620</v>
      </c>
      <c r="O869" s="645"/>
      <c r="P869" s="600"/>
      <c r="U869" s="326"/>
    </row>
    <row r="870" spans="1:21" s="263" customFormat="1" ht="9" customHeight="1" x14ac:dyDescent="0.25">
      <c r="A870" s="550" t="s">
        <v>46</v>
      </c>
      <c r="B870" s="638" t="s">
        <v>22</v>
      </c>
      <c r="C870" s="638" t="s">
        <v>22</v>
      </c>
      <c r="D870" s="639"/>
      <c r="E870" s="632">
        <f t="shared" si="78"/>
        <v>1956</v>
      </c>
      <c r="F870" s="639"/>
      <c r="G870" s="639">
        <f t="shared" si="77"/>
        <v>1037</v>
      </c>
      <c r="H870" s="632">
        <v>966</v>
      </c>
      <c r="I870" s="632">
        <v>71</v>
      </c>
      <c r="J870" s="639">
        <v>140</v>
      </c>
      <c r="K870" s="639">
        <v>428</v>
      </c>
      <c r="L870" s="639">
        <v>351</v>
      </c>
      <c r="O870" s="645"/>
      <c r="P870" s="600"/>
      <c r="U870" s="326"/>
    </row>
    <row r="871" spans="1:21" s="263" customFormat="1" ht="9" customHeight="1" x14ac:dyDescent="0.25">
      <c r="A871" s="550" t="s">
        <v>47</v>
      </c>
      <c r="B871" s="638" t="s">
        <v>22</v>
      </c>
      <c r="C871" s="638" t="s">
        <v>22</v>
      </c>
      <c r="D871" s="639"/>
      <c r="E871" s="632">
        <f t="shared" si="78"/>
        <v>2295</v>
      </c>
      <c r="F871" s="639"/>
      <c r="G871" s="639">
        <f t="shared" si="77"/>
        <v>1179</v>
      </c>
      <c r="H871" s="632">
        <v>1106</v>
      </c>
      <c r="I871" s="632">
        <v>73</v>
      </c>
      <c r="J871" s="639">
        <v>66</v>
      </c>
      <c r="K871" s="639">
        <v>451</v>
      </c>
      <c r="L871" s="639">
        <v>599</v>
      </c>
      <c r="O871" s="645"/>
      <c r="P871" s="600"/>
      <c r="U871" s="326"/>
    </row>
    <row r="872" spans="1:21" s="263" customFormat="1" ht="9" customHeight="1" x14ac:dyDescent="0.25">
      <c r="A872" s="550" t="s">
        <v>48</v>
      </c>
      <c r="B872" s="638" t="s">
        <v>22</v>
      </c>
      <c r="C872" s="638" t="s">
        <v>22</v>
      </c>
      <c r="D872" s="639"/>
      <c r="E872" s="632">
        <f t="shared" si="78"/>
        <v>1117</v>
      </c>
      <c r="F872" s="639"/>
      <c r="G872" s="639">
        <f t="shared" si="77"/>
        <v>525</v>
      </c>
      <c r="H872" s="632">
        <v>467</v>
      </c>
      <c r="I872" s="632">
        <v>58</v>
      </c>
      <c r="J872" s="639">
        <v>71</v>
      </c>
      <c r="K872" s="639">
        <v>271</v>
      </c>
      <c r="L872" s="639">
        <v>250</v>
      </c>
      <c r="O872" s="645"/>
      <c r="P872" s="600"/>
      <c r="U872" s="326"/>
    </row>
    <row r="873" spans="1:21" s="263" customFormat="1" ht="9" customHeight="1" x14ac:dyDescent="0.25">
      <c r="A873" s="603" t="s">
        <v>49</v>
      </c>
      <c r="B873" s="640" t="s">
        <v>22</v>
      </c>
      <c r="C873" s="640" t="s">
        <v>22</v>
      </c>
      <c r="D873" s="641"/>
      <c r="E873" s="634">
        <f t="shared" si="78"/>
        <v>2608</v>
      </c>
      <c r="F873" s="641"/>
      <c r="G873" s="641">
        <f t="shared" si="77"/>
        <v>1410</v>
      </c>
      <c r="H873" s="634">
        <v>1346</v>
      </c>
      <c r="I873" s="634">
        <v>64</v>
      </c>
      <c r="J873" s="641">
        <v>134</v>
      </c>
      <c r="K873" s="641">
        <v>565</v>
      </c>
      <c r="L873" s="641">
        <v>499</v>
      </c>
      <c r="O873" s="645"/>
      <c r="P873" s="600"/>
      <c r="U873" s="326"/>
    </row>
    <row r="874" spans="1:21" s="263" customFormat="1" ht="9" customHeight="1" x14ac:dyDescent="0.25">
      <c r="A874" s="550" t="s">
        <v>50</v>
      </c>
      <c r="B874" s="638" t="s">
        <v>22</v>
      </c>
      <c r="C874" s="638" t="s">
        <v>22</v>
      </c>
      <c r="D874" s="639"/>
      <c r="E874" s="632">
        <f t="shared" si="78"/>
        <v>341</v>
      </c>
      <c r="F874" s="639"/>
      <c r="G874" s="639">
        <f t="shared" si="77"/>
        <v>198</v>
      </c>
      <c r="H874" s="632">
        <v>189</v>
      </c>
      <c r="I874" s="632">
        <v>9</v>
      </c>
      <c r="J874" s="639">
        <v>11</v>
      </c>
      <c r="K874" s="639">
        <v>61</v>
      </c>
      <c r="L874" s="639">
        <v>71</v>
      </c>
      <c r="O874" s="645"/>
      <c r="P874" s="600"/>
      <c r="U874" s="326"/>
    </row>
    <row r="875" spans="1:21" s="263" customFormat="1" ht="9" customHeight="1" x14ac:dyDescent="0.25">
      <c r="A875" s="550" t="s">
        <v>51</v>
      </c>
      <c r="B875" s="638" t="s">
        <v>22</v>
      </c>
      <c r="C875" s="638" t="s">
        <v>22</v>
      </c>
      <c r="D875" s="639"/>
      <c r="E875" s="632">
        <f t="shared" si="78"/>
        <v>2851</v>
      </c>
      <c r="F875" s="639"/>
      <c r="G875" s="639">
        <f t="shared" si="77"/>
        <v>1530</v>
      </c>
      <c r="H875" s="632">
        <v>1414</v>
      </c>
      <c r="I875" s="632">
        <v>116</v>
      </c>
      <c r="J875" s="639">
        <v>116</v>
      </c>
      <c r="K875" s="639">
        <v>597</v>
      </c>
      <c r="L875" s="639">
        <v>608</v>
      </c>
      <c r="O875" s="645"/>
      <c r="P875" s="600"/>
      <c r="U875" s="326"/>
    </row>
    <row r="876" spans="1:21" s="263" customFormat="1" ht="9" customHeight="1" x14ac:dyDescent="0.25">
      <c r="A876" s="550" t="s">
        <v>52</v>
      </c>
      <c r="B876" s="638" t="s">
        <v>22</v>
      </c>
      <c r="C876" s="638" t="s">
        <v>22</v>
      </c>
      <c r="D876" s="639"/>
      <c r="E876" s="632">
        <f t="shared" si="78"/>
        <v>1815</v>
      </c>
      <c r="F876" s="639"/>
      <c r="G876" s="639">
        <f t="shared" si="77"/>
        <v>868</v>
      </c>
      <c r="H876" s="632">
        <v>814</v>
      </c>
      <c r="I876" s="632">
        <v>54</v>
      </c>
      <c r="J876" s="639">
        <v>82</v>
      </c>
      <c r="K876" s="639">
        <v>292</v>
      </c>
      <c r="L876" s="639">
        <v>573</v>
      </c>
      <c r="O876" s="645"/>
      <c r="P876" s="600"/>
      <c r="U876" s="326"/>
    </row>
    <row r="877" spans="1:21" s="263" customFormat="1" ht="9" customHeight="1" x14ac:dyDescent="0.25">
      <c r="A877" s="267" t="s">
        <v>53</v>
      </c>
      <c r="B877" s="599" t="s">
        <v>22</v>
      </c>
      <c r="C877" s="599" t="s">
        <v>22</v>
      </c>
      <c r="D877" s="328"/>
      <c r="E877" s="604">
        <f t="shared" si="78"/>
        <v>803</v>
      </c>
      <c r="F877" s="328"/>
      <c r="G877" s="328">
        <f t="shared" si="77"/>
        <v>382</v>
      </c>
      <c r="H877" s="604">
        <v>356</v>
      </c>
      <c r="I877" s="604">
        <v>26</v>
      </c>
      <c r="J877" s="328">
        <v>29</v>
      </c>
      <c r="K877" s="328">
        <v>146</v>
      </c>
      <c r="L877" s="328">
        <v>246</v>
      </c>
      <c r="O877" s="645"/>
      <c r="P877" s="600"/>
      <c r="U877" s="326"/>
    </row>
    <row r="878" spans="1:21" ht="3" customHeight="1" x14ac:dyDescent="0.25">
      <c r="A878" s="257"/>
      <c r="B878" s="257"/>
      <c r="C878" s="257"/>
      <c r="D878" s="257"/>
      <c r="E878" s="257"/>
      <c r="F878" s="257"/>
      <c r="G878" s="257"/>
      <c r="H878" s="257"/>
      <c r="I878" s="257"/>
      <c r="J878" s="257"/>
      <c r="K878" s="257"/>
      <c r="L878" s="257"/>
      <c r="U878" s="326"/>
    </row>
    <row r="879" spans="1:21" ht="3" customHeight="1" x14ac:dyDescent="0.2">
      <c r="A879" s="647"/>
    </row>
    <row r="880" spans="1:21" s="260" customFormat="1" ht="9.6" customHeight="1" x14ac:dyDescent="0.15">
      <c r="A880" s="308" t="s">
        <v>489</v>
      </c>
    </row>
    <row r="881" spans="1:2" s="260" customFormat="1" ht="9" customHeight="1" x14ac:dyDescent="0.15">
      <c r="A881" s="648" t="s">
        <v>490</v>
      </c>
    </row>
    <row r="882" spans="1:2" s="260" customFormat="1" ht="9.6" customHeight="1" x14ac:dyDescent="0.15">
      <c r="A882" s="308" t="s">
        <v>491</v>
      </c>
    </row>
    <row r="883" spans="1:2" s="260" customFormat="1" ht="9" customHeight="1" x14ac:dyDescent="0.25">
      <c r="A883" s="607" t="s">
        <v>445</v>
      </c>
      <c r="B883" s="608"/>
    </row>
    <row r="884" spans="1:2" ht="9" hidden="1" customHeight="1" x14ac:dyDescent="0.25">
      <c r="A884" s="337"/>
    </row>
    <row r="885" spans="1:2" ht="11.25" hidden="1" customHeight="1" x14ac:dyDescent="0.25"/>
    <row r="886" spans="1:2" ht="11.25" hidden="1" customHeight="1" x14ac:dyDescent="0.25"/>
    <row r="887" spans="1:2" ht="11.25" hidden="1" customHeight="1" x14ac:dyDescent="0.25"/>
    <row r="888" spans="1:2" ht="11.25" hidden="1" customHeight="1" x14ac:dyDescent="0.25"/>
    <row r="889" spans="1:2" ht="11.25" hidden="1" customHeight="1" x14ac:dyDescent="0.25"/>
    <row r="890" spans="1:2" ht="11.25" hidden="1" customHeight="1" x14ac:dyDescent="0.25"/>
    <row r="891" spans="1:2" ht="11.25" hidden="1" customHeight="1" x14ac:dyDescent="0.25"/>
    <row r="892" spans="1:2" ht="11.25" hidden="1" customHeight="1" x14ac:dyDescent="0.25"/>
    <row r="893" spans="1:2" ht="11.25" hidden="1" customHeight="1" x14ac:dyDescent="0.25"/>
    <row r="894" spans="1:2" ht="11.25" hidden="1" customHeight="1" x14ac:dyDescent="0.25"/>
    <row r="895" spans="1:2" ht="11.25" hidden="1" customHeight="1" x14ac:dyDescent="0.25"/>
    <row r="896" spans="1:2" ht="11.25" hidden="1" customHeight="1" x14ac:dyDescent="0.25"/>
    <row r="897" ht="11.25" hidden="1" customHeight="1" x14ac:dyDescent="0.25"/>
    <row r="898" ht="11.25" hidden="1" customHeight="1" x14ac:dyDescent="0.25"/>
    <row r="899" ht="11.25" hidden="1" customHeight="1" x14ac:dyDescent="0.25"/>
    <row r="900" ht="11.25" hidden="1" customHeight="1" x14ac:dyDescent="0.25"/>
    <row r="901" ht="11.25" hidden="1" customHeight="1" x14ac:dyDescent="0.25"/>
    <row r="902" ht="11.25" hidden="1" customHeight="1" x14ac:dyDescent="0.25"/>
    <row r="903" ht="11.25" hidden="1" customHeight="1" x14ac:dyDescent="0.25"/>
    <row r="904" ht="11.25" hidden="1" customHeight="1" x14ac:dyDescent="0.25"/>
    <row r="905" ht="11.25" hidden="1" customHeight="1" x14ac:dyDescent="0.25"/>
    <row r="906" ht="11.25" hidden="1" customHeight="1" x14ac:dyDescent="0.25"/>
    <row r="907" ht="11.25" hidden="1" customHeight="1" x14ac:dyDescent="0.25"/>
    <row r="908" ht="11.25" hidden="1" customHeight="1" x14ac:dyDescent="0.25"/>
    <row r="909" ht="11.25" hidden="1" customHeight="1" x14ac:dyDescent="0.25"/>
    <row r="910" ht="11.25" hidden="1" customHeight="1" x14ac:dyDescent="0.25"/>
  </sheetData>
  <sheetProtection sheet="1" objects="1" scenarios="1"/>
  <mergeCells count="7">
    <mergeCell ref="A5:A12"/>
    <mergeCell ref="C5:C6"/>
    <mergeCell ref="E5:L5"/>
    <mergeCell ref="J6:J12"/>
    <mergeCell ref="K6:K8"/>
    <mergeCell ref="L6:L7"/>
    <mergeCell ref="H7:H8"/>
  </mergeCells>
  <hyperlinks>
    <hyperlink ref="L1" location="Índice!A1" tooltip="Ir a Índice" display="Índice!A1"/>
  </hyperlinks>
  <printOptions horizontalCentered="1" verticalCentered="1"/>
  <pageMargins left="0.39370078740157483" right="0.39370078740157483" top="0.39370078740157483" bottom="0.39370078740157483" header="0.39370078740157483" footer="0.39370078740157483"/>
  <pageSetup orientation="portrait" r:id="rId1"/>
  <headerFooter>
    <oddHeader>&amp;L&amp;"Arial,Normal"&amp;10&amp;K000080INEGI. Anuario estadístico y geográfico por entidad federativa 2019.</oddHeader>
  </headerFooter>
  <rowBreaks count="12" manualBreakCount="12">
    <brk id="86" max="11" man="1"/>
    <brk id="158" max="11" man="1"/>
    <brk id="230" max="11" man="1"/>
    <brk id="302" max="11" man="1"/>
    <brk id="374" max="11" man="1"/>
    <brk id="446" max="11" man="1"/>
    <brk id="518" max="11" man="1"/>
    <brk id="590" max="11" man="1"/>
    <brk id="662" max="11" man="1"/>
    <brk id="734" max="11" man="1"/>
    <brk id="806" max="11" man="1"/>
    <brk id="842" max="11" man="1"/>
  </rowBreak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W883"/>
  <sheetViews>
    <sheetView showGridLines="0" showRowColHeaders="0" zoomScale="130" zoomScaleNormal="130" workbookViewId="0">
      <pane xSplit="1" ySplit="11" topLeftCell="B12" activePane="bottomRight" state="frozen"/>
      <selection activeCell="B5" sqref="B5"/>
      <selection pane="topRight" activeCell="B5" sqref="B5"/>
      <selection pane="bottomLeft" activeCell="B5" sqref="B5"/>
      <selection pane="bottomRight"/>
    </sheetView>
  </sheetViews>
  <sheetFormatPr baseColWidth="10" defaultColWidth="0" defaultRowHeight="11.25" customHeight="1" zeroHeight="1" x14ac:dyDescent="0.25"/>
  <cols>
    <col min="1" max="1" width="17.7109375" style="258" customWidth="1"/>
    <col min="2" max="2" width="7.5703125" style="258" customWidth="1"/>
    <col min="3" max="3" width="8" style="258" customWidth="1"/>
    <col min="4" max="4" width="2.42578125" style="258" customWidth="1"/>
    <col min="5" max="5" width="6.7109375" style="258" customWidth="1"/>
    <col min="6" max="8" width="8.28515625" style="258" customWidth="1"/>
    <col min="9" max="9" width="1.42578125" style="258" customWidth="1"/>
    <col min="10" max="10" width="7.85546875" style="258" customWidth="1"/>
    <col min="11" max="11" width="8.140625" style="258" customWidth="1"/>
    <col min="12" max="12" width="7.85546875" style="258" customWidth="1"/>
    <col min="13" max="13" width="0.85546875" style="258" customWidth="1"/>
    <col min="14" max="14" width="0.85546875" style="258" hidden="1" customWidth="1"/>
    <col min="15" max="16" width="8.85546875" style="258" hidden="1" customWidth="1"/>
    <col min="17" max="17" width="5.28515625" style="258" hidden="1" customWidth="1"/>
    <col min="18" max="21" width="8.85546875" style="258" hidden="1" customWidth="1"/>
    <col min="22" max="22" width="2" style="258" hidden="1" customWidth="1"/>
    <col min="23" max="25" width="8.85546875" style="258" hidden="1" customWidth="1"/>
    <col min="26" max="49" width="3.85546875" style="258" hidden="1" customWidth="1"/>
    <col min="50" max="16384" width="11.5703125" style="258" hidden="1"/>
  </cols>
  <sheetData>
    <row r="1" spans="1:12" s="256" customFormat="1" ht="12" customHeight="1" x14ac:dyDescent="0.2">
      <c r="A1" s="312" t="s">
        <v>492</v>
      </c>
      <c r="B1" s="255"/>
      <c r="C1" s="255"/>
      <c r="D1" s="255"/>
      <c r="E1" s="255"/>
      <c r="F1" s="255"/>
      <c r="G1" s="255"/>
      <c r="H1" s="255"/>
      <c r="I1" s="255"/>
      <c r="J1" s="255"/>
      <c r="K1" s="823" t="s">
        <v>493</v>
      </c>
      <c r="L1" s="823"/>
    </row>
    <row r="2" spans="1:12" s="256" customFormat="1" ht="12" customHeight="1" x14ac:dyDescent="0.2">
      <c r="A2" s="312" t="s">
        <v>271</v>
      </c>
      <c r="B2" s="255"/>
      <c r="C2" s="255"/>
      <c r="D2" s="255"/>
      <c r="E2" s="255"/>
      <c r="F2" s="255"/>
      <c r="G2" s="255"/>
      <c r="H2" s="255"/>
      <c r="I2" s="255"/>
      <c r="J2" s="255"/>
      <c r="K2" s="255"/>
      <c r="L2" s="52"/>
    </row>
    <row r="3" spans="1:12" s="256" customFormat="1" ht="12" customHeight="1" x14ac:dyDescent="0.25">
      <c r="A3" s="56" t="s">
        <v>423</v>
      </c>
      <c r="B3" s="255"/>
      <c r="C3" s="255"/>
      <c r="D3" s="255"/>
      <c r="E3" s="255"/>
      <c r="F3" s="255"/>
      <c r="G3" s="255"/>
      <c r="H3" s="255"/>
      <c r="I3" s="255"/>
      <c r="J3" s="255"/>
      <c r="K3" s="255"/>
      <c r="L3" s="255"/>
    </row>
    <row r="4" spans="1:12" ht="3" customHeight="1" x14ac:dyDescent="0.25">
      <c r="A4" s="257"/>
      <c r="B4" s="257"/>
      <c r="C4" s="257"/>
      <c r="D4" s="257"/>
      <c r="E4" s="257"/>
      <c r="F4" s="257"/>
      <c r="G4" s="257"/>
      <c r="H4" s="257"/>
      <c r="I4" s="257"/>
      <c r="J4" s="257"/>
      <c r="K4" s="257"/>
      <c r="L4" s="257"/>
    </row>
    <row r="5" spans="1:12" ht="3" customHeight="1" x14ac:dyDescent="0.25">
      <c r="A5" s="259"/>
      <c r="B5" s="259"/>
      <c r="C5" s="259"/>
      <c r="D5" s="259"/>
      <c r="E5" s="259"/>
      <c r="F5" s="259"/>
      <c r="G5" s="259"/>
      <c r="H5" s="259"/>
      <c r="I5" s="259"/>
      <c r="J5" s="259"/>
      <c r="K5" s="259"/>
      <c r="L5" s="259"/>
    </row>
    <row r="6" spans="1:12" s="260" customFormat="1" ht="8.25" customHeight="1" x14ac:dyDescent="0.25">
      <c r="A6" s="812" t="s">
        <v>4</v>
      </c>
      <c r="B6" s="766" t="s">
        <v>13</v>
      </c>
      <c r="C6" s="766" t="s">
        <v>273</v>
      </c>
      <c r="D6" s="765"/>
      <c r="E6" s="278" t="s">
        <v>274</v>
      </c>
      <c r="F6" s="278"/>
      <c r="G6" s="278"/>
      <c r="H6" s="278"/>
      <c r="I6" s="765"/>
      <c r="J6" s="841" t="s">
        <v>494</v>
      </c>
      <c r="K6" s="841" t="s">
        <v>495</v>
      </c>
      <c r="L6" s="841" t="s">
        <v>496</v>
      </c>
    </row>
    <row r="7" spans="1:12" s="260" customFormat="1" ht="1.5" customHeight="1" x14ac:dyDescent="0.25">
      <c r="A7" s="813"/>
      <c r="B7" s="766"/>
      <c r="C7" s="766"/>
      <c r="D7" s="765"/>
      <c r="E7" s="649"/>
      <c r="F7" s="649"/>
      <c r="G7" s="649"/>
      <c r="H7" s="649"/>
      <c r="I7" s="765"/>
      <c r="J7" s="841"/>
      <c r="K7" s="841"/>
      <c r="L7" s="842"/>
    </row>
    <row r="8" spans="1:12" s="260" customFormat="1" ht="9.6" customHeight="1" x14ac:dyDescent="0.25">
      <c r="A8" s="813"/>
      <c r="B8" s="766"/>
      <c r="C8" s="766"/>
      <c r="D8" s="765"/>
      <c r="E8" s="766" t="s">
        <v>13</v>
      </c>
      <c r="F8" s="841" t="s">
        <v>277</v>
      </c>
      <c r="G8" s="650" t="s">
        <v>278</v>
      </c>
      <c r="H8" s="651" t="s">
        <v>279</v>
      </c>
      <c r="I8" s="766"/>
      <c r="J8" s="841"/>
      <c r="K8" s="841"/>
      <c r="L8" s="842"/>
    </row>
    <row r="9" spans="1:12" s="260" customFormat="1" ht="8.25" customHeight="1" x14ac:dyDescent="0.25">
      <c r="A9" s="813"/>
      <c r="B9" s="765"/>
      <c r="C9" s="765"/>
      <c r="D9" s="765"/>
      <c r="E9" s="766"/>
      <c r="F9" s="842"/>
      <c r="G9" s="766"/>
      <c r="H9" s="766"/>
      <c r="I9" s="766"/>
      <c r="J9" s="766"/>
      <c r="K9" s="766"/>
      <c r="L9" s="842"/>
    </row>
    <row r="10" spans="1:12" s="260" customFormat="1" ht="8.25" customHeight="1" x14ac:dyDescent="0.25">
      <c r="A10" s="813"/>
      <c r="B10" s="765"/>
      <c r="C10" s="765"/>
      <c r="D10" s="765"/>
      <c r="E10" s="766"/>
      <c r="F10" s="842"/>
      <c r="G10" s="766"/>
      <c r="H10" s="766"/>
      <c r="I10" s="766"/>
      <c r="J10" s="765"/>
      <c r="K10" s="765"/>
      <c r="L10" s="765"/>
    </row>
    <row r="11" spans="1:12" ht="3" customHeight="1" x14ac:dyDescent="0.25">
      <c r="A11" s="257"/>
      <c r="B11" s="257"/>
      <c r="C11" s="257"/>
      <c r="D11" s="257"/>
      <c r="E11" s="257"/>
      <c r="F11" s="257"/>
      <c r="G11" s="257"/>
      <c r="H11" s="257"/>
      <c r="I11" s="257"/>
      <c r="J11" s="257"/>
      <c r="K11" s="257"/>
      <c r="L11" s="257"/>
    </row>
    <row r="12" spans="1:12" ht="3" customHeight="1" x14ac:dyDescent="0.25">
      <c r="A12" s="259"/>
      <c r="B12" s="259"/>
      <c r="C12" s="259"/>
      <c r="D12" s="259"/>
      <c r="E12" s="259"/>
      <c r="F12" s="259"/>
      <c r="G12" s="259"/>
      <c r="H12" s="259"/>
      <c r="I12" s="259"/>
      <c r="J12" s="259"/>
      <c r="K12" s="259"/>
      <c r="L12" s="259"/>
    </row>
    <row r="13" spans="1:12" s="263" customFormat="1" ht="9" customHeight="1" x14ac:dyDescent="0.25">
      <c r="A13" s="261">
        <v>1995</v>
      </c>
      <c r="B13" s="597"/>
      <c r="C13" s="597"/>
      <c r="D13" s="597"/>
      <c r="E13" s="597"/>
      <c r="F13" s="597"/>
      <c r="G13" s="597"/>
      <c r="H13" s="597"/>
      <c r="I13" s="597"/>
      <c r="J13" s="597"/>
      <c r="K13" s="597"/>
      <c r="L13" s="597"/>
    </row>
    <row r="14" spans="1:12" s="265" customFormat="1" ht="9" customHeight="1" x14ac:dyDescent="0.25">
      <c r="A14" s="265" t="s">
        <v>21</v>
      </c>
      <c r="B14" s="597">
        <f>SUM(B16:B47)</f>
        <v>5481560</v>
      </c>
      <c r="C14" s="597">
        <f>SUM(C16:C47)</f>
        <v>1827599</v>
      </c>
      <c r="D14" s="597"/>
      <c r="E14" s="597">
        <f>SUM(E16:E47)</f>
        <v>2817334</v>
      </c>
      <c r="F14" s="597">
        <f>SUM(F16:F47)</f>
        <v>568230</v>
      </c>
      <c r="G14" s="597">
        <f>SUM(G16:G47)</f>
        <v>679313</v>
      </c>
      <c r="H14" s="597">
        <f>SUM(H16:H47)</f>
        <v>1569791</v>
      </c>
      <c r="I14" s="597"/>
      <c r="J14" s="597">
        <f>SUM(J16:J47)</f>
        <v>32186</v>
      </c>
      <c r="K14" s="597">
        <f>SUM(K16:K47)</f>
        <v>572251</v>
      </c>
      <c r="L14" s="597">
        <f>SUM(L16:L47)</f>
        <v>232190</v>
      </c>
    </row>
    <row r="15" spans="1:12" s="265" customFormat="1" ht="3.95" customHeight="1" x14ac:dyDescent="0.25">
      <c r="B15" s="597"/>
      <c r="C15" s="597"/>
      <c r="D15" s="597"/>
      <c r="E15" s="597"/>
      <c r="F15" s="597"/>
      <c r="G15" s="597"/>
      <c r="H15" s="597"/>
      <c r="I15" s="597"/>
      <c r="J15" s="597"/>
      <c r="K15" s="597"/>
      <c r="L15" s="597"/>
    </row>
    <row r="16" spans="1:12" s="263" customFormat="1" ht="9" customHeight="1" x14ac:dyDescent="0.25">
      <c r="A16" s="263" t="s">
        <v>23</v>
      </c>
      <c r="B16" s="598">
        <f t="shared" ref="B16:B47" si="0">SUM(C16+E16+J16+K16+L16)</f>
        <v>20315</v>
      </c>
      <c r="C16" s="598">
        <v>5521</v>
      </c>
      <c r="D16" s="598"/>
      <c r="E16" s="598">
        <f t="shared" ref="E16:E47" si="1">SUM(F16:H16)</f>
        <v>9540</v>
      </c>
      <c r="F16" s="598">
        <v>3392</v>
      </c>
      <c r="G16" s="598">
        <v>3946</v>
      </c>
      <c r="H16" s="598">
        <f>1008+246+396+287+31+7+5+222</f>
        <v>2202</v>
      </c>
      <c r="I16" s="598"/>
      <c r="J16" s="598">
        <v>182</v>
      </c>
      <c r="K16" s="598">
        <v>5072</v>
      </c>
      <c r="L16" s="598">
        <v>0</v>
      </c>
    </row>
    <row r="17" spans="1:12" s="263" customFormat="1" ht="9" customHeight="1" x14ac:dyDescent="0.25">
      <c r="A17" s="263" t="s">
        <v>24</v>
      </c>
      <c r="B17" s="598">
        <f t="shared" si="0"/>
        <v>124459</v>
      </c>
      <c r="C17" s="598">
        <v>69987</v>
      </c>
      <c r="D17" s="598"/>
      <c r="E17" s="598">
        <f t="shared" si="1"/>
        <v>43276</v>
      </c>
      <c r="F17" s="266">
        <v>12831</v>
      </c>
      <c r="G17" s="598">
        <v>9262</v>
      </c>
      <c r="H17" s="598">
        <f>6504+5543+1859+1299+472+1291+742+149+3324</f>
        <v>21183</v>
      </c>
      <c r="I17" s="598"/>
      <c r="J17" s="598">
        <v>917</v>
      </c>
      <c r="K17" s="598">
        <v>8097</v>
      </c>
      <c r="L17" s="598">
        <v>2182</v>
      </c>
    </row>
    <row r="18" spans="1:12" s="263" customFormat="1" ht="9" customHeight="1" x14ac:dyDescent="0.25">
      <c r="A18" s="263" t="s">
        <v>25</v>
      </c>
      <c r="B18" s="598">
        <f t="shared" si="0"/>
        <v>16205</v>
      </c>
      <c r="C18" s="266">
        <v>5972</v>
      </c>
      <c r="D18" s="266"/>
      <c r="E18" s="598">
        <f t="shared" si="1"/>
        <v>5275</v>
      </c>
      <c r="F18" s="266">
        <v>2115</v>
      </c>
      <c r="G18" s="266">
        <v>2410</v>
      </c>
      <c r="H18" s="266">
        <f>227+173+306+20+10+14</f>
        <v>750</v>
      </c>
      <c r="I18" s="266"/>
      <c r="J18" s="266">
        <v>420</v>
      </c>
      <c r="K18" s="266">
        <v>3934</v>
      </c>
      <c r="L18" s="266">
        <v>604</v>
      </c>
    </row>
    <row r="19" spans="1:12" s="263" customFormat="1" ht="9" customHeight="1" x14ac:dyDescent="0.25">
      <c r="A19" s="267" t="s">
        <v>26</v>
      </c>
      <c r="B19" s="599">
        <f t="shared" si="0"/>
        <v>15085</v>
      </c>
      <c r="C19" s="268">
        <v>6593</v>
      </c>
      <c r="D19" s="268"/>
      <c r="E19" s="599">
        <f t="shared" si="1"/>
        <v>7466</v>
      </c>
      <c r="F19" s="268">
        <v>4173</v>
      </c>
      <c r="G19" s="268">
        <v>1072</v>
      </c>
      <c r="H19" s="268">
        <f>669+1017+155+127+236+11+6</f>
        <v>2221</v>
      </c>
      <c r="I19" s="268"/>
      <c r="J19" s="268">
        <v>0</v>
      </c>
      <c r="K19" s="268">
        <v>594</v>
      </c>
      <c r="L19" s="268">
        <v>432</v>
      </c>
    </row>
    <row r="20" spans="1:12" s="263" customFormat="1" ht="9" customHeight="1" x14ac:dyDescent="0.25">
      <c r="A20" s="263" t="s">
        <v>27</v>
      </c>
      <c r="B20" s="598">
        <f t="shared" si="0"/>
        <v>90453</v>
      </c>
      <c r="C20" s="266">
        <v>23185</v>
      </c>
      <c r="D20" s="266"/>
      <c r="E20" s="598">
        <f t="shared" si="1"/>
        <v>50905</v>
      </c>
      <c r="F20" s="266">
        <v>12981</v>
      </c>
      <c r="G20" s="266">
        <v>11517</v>
      </c>
      <c r="H20" s="266">
        <f>5008+4224+3623+320+53+4286+309+991+7593</f>
        <v>26407</v>
      </c>
      <c r="I20" s="266"/>
      <c r="J20" s="266">
        <v>626</v>
      </c>
      <c r="K20" s="266">
        <v>15157</v>
      </c>
      <c r="L20" s="266">
        <v>580</v>
      </c>
    </row>
    <row r="21" spans="1:12" s="263" customFormat="1" ht="9" customHeight="1" x14ac:dyDescent="0.25">
      <c r="A21" s="263" t="s">
        <v>28</v>
      </c>
      <c r="B21" s="598">
        <f t="shared" si="0"/>
        <v>2415</v>
      </c>
      <c r="C21" s="266">
        <v>960</v>
      </c>
      <c r="D21" s="266"/>
      <c r="E21" s="598">
        <f t="shared" si="1"/>
        <v>1224</v>
      </c>
      <c r="F21" s="266">
        <v>146</v>
      </c>
      <c r="G21" s="266">
        <v>777</v>
      </c>
      <c r="H21" s="266">
        <f>69+103+120+5+4</f>
        <v>301</v>
      </c>
      <c r="I21" s="266"/>
      <c r="J21" s="266">
        <v>0</v>
      </c>
      <c r="K21" s="266">
        <v>231</v>
      </c>
      <c r="L21" s="266">
        <v>0</v>
      </c>
    </row>
    <row r="22" spans="1:12" s="263" customFormat="1" ht="9" customHeight="1" x14ac:dyDescent="0.25">
      <c r="A22" s="263" t="s">
        <v>29</v>
      </c>
      <c r="B22" s="598">
        <f t="shared" si="0"/>
        <v>68097</v>
      </c>
      <c r="C22" s="266">
        <v>34157</v>
      </c>
      <c r="D22" s="266"/>
      <c r="E22" s="598">
        <f t="shared" si="1"/>
        <v>29889</v>
      </c>
      <c r="F22" s="266">
        <v>12103</v>
      </c>
      <c r="G22" s="266">
        <v>7953</v>
      </c>
      <c r="H22" s="266">
        <f>2365+2785+892+287+38+911+59+5+2491</f>
        <v>9833</v>
      </c>
      <c r="I22" s="266"/>
      <c r="J22" s="266">
        <v>93</v>
      </c>
      <c r="K22" s="266">
        <v>2459</v>
      </c>
      <c r="L22" s="266">
        <v>1499</v>
      </c>
    </row>
    <row r="23" spans="1:12" s="263" customFormat="1" ht="9" customHeight="1" x14ac:dyDescent="0.25">
      <c r="A23" s="267" t="s">
        <v>30</v>
      </c>
      <c r="B23" s="599">
        <f t="shared" si="0"/>
        <v>115652</v>
      </c>
      <c r="C23" s="268">
        <v>63218</v>
      </c>
      <c r="D23" s="268"/>
      <c r="E23" s="599">
        <f t="shared" si="1"/>
        <v>20342</v>
      </c>
      <c r="F23" s="268">
        <v>5733</v>
      </c>
      <c r="G23" s="268">
        <v>7185</v>
      </c>
      <c r="H23" s="268">
        <f>1652+2542+605+1537+29+284+22+22+731</f>
        <v>7424</v>
      </c>
      <c r="I23" s="268"/>
      <c r="J23" s="268">
        <v>99</v>
      </c>
      <c r="K23" s="268">
        <v>31593</v>
      </c>
      <c r="L23" s="268">
        <v>400</v>
      </c>
    </row>
    <row r="24" spans="1:12" s="263" customFormat="1" ht="9" customHeight="1" x14ac:dyDescent="0.25">
      <c r="A24" s="263" t="s">
        <v>63</v>
      </c>
      <c r="B24" s="598">
        <f t="shared" si="0"/>
        <v>1696599</v>
      </c>
      <c r="C24" s="266">
        <v>324925</v>
      </c>
      <c r="D24" s="266"/>
      <c r="E24" s="598">
        <f t="shared" si="1"/>
        <v>1103338</v>
      </c>
      <c r="F24" s="266">
        <v>137304</v>
      </c>
      <c r="G24" s="266">
        <v>173755</v>
      </c>
      <c r="H24" s="266">
        <f>81531+58392+34326+65620+6736+292303+7397+9685+236289</f>
        <v>792279</v>
      </c>
      <c r="I24" s="266"/>
      <c r="J24" s="266">
        <v>13483</v>
      </c>
      <c r="K24" s="266">
        <v>187579</v>
      </c>
      <c r="L24" s="266">
        <v>67274</v>
      </c>
    </row>
    <row r="25" spans="1:12" s="263" customFormat="1" ht="9" customHeight="1" x14ac:dyDescent="0.25">
      <c r="A25" s="263" t="s">
        <v>31</v>
      </c>
      <c r="B25" s="598">
        <f t="shared" si="0"/>
        <v>13717</v>
      </c>
      <c r="C25" s="266">
        <v>7926</v>
      </c>
      <c r="D25" s="266"/>
      <c r="E25" s="598">
        <f t="shared" si="1"/>
        <v>4996</v>
      </c>
      <c r="F25" s="266">
        <v>1665</v>
      </c>
      <c r="G25" s="266">
        <v>932</v>
      </c>
      <c r="H25" s="266">
        <f>783+760+177+94+55+33+379+118</f>
        <v>2399</v>
      </c>
      <c r="I25" s="266"/>
      <c r="J25" s="266">
        <v>10</v>
      </c>
      <c r="K25" s="266">
        <v>647</v>
      </c>
      <c r="L25" s="266">
        <v>138</v>
      </c>
    </row>
    <row r="26" spans="1:12" s="263" customFormat="1" ht="9" customHeight="1" x14ac:dyDescent="0.25">
      <c r="A26" s="263" t="s">
        <v>32</v>
      </c>
      <c r="B26" s="598">
        <f t="shared" si="0"/>
        <v>303685</v>
      </c>
      <c r="C26" s="266">
        <v>156399</v>
      </c>
      <c r="D26" s="266"/>
      <c r="E26" s="598">
        <f t="shared" si="1"/>
        <v>115197</v>
      </c>
      <c r="F26" s="266">
        <v>29442</v>
      </c>
      <c r="G26" s="266">
        <v>28896</v>
      </c>
      <c r="H26" s="266">
        <f>11718+14302+9816+3866+2335+5182+308+415+8917</f>
        <v>56859</v>
      </c>
      <c r="I26" s="266"/>
      <c r="J26" s="266">
        <v>1191</v>
      </c>
      <c r="K26" s="266">
        <v>21269</v>
      </c>
      <c r="L26" s="266">
        <v>9629</v>
      </c>
    </row>
    <row r="27" spans="1:12" s="263" customFormat="1" ht="9" customHeight="1" x14ac:dyDescent="0.25">
      <c r="A27" s="267" t="s">
        <v>33</v>
      </c>
      <c r="B27" s="599">
        <f t="shared" si="0"/>
        <v>105061</v>
      </c>
      <c r="C27" s="268">
        <v>58479</v>
      </c>
      <c r="D27" s="268"/>
      <c r="E27" s="599">
        <f t="shared" si="1"/>
        <v>37897</v>
      </c>
      <c r="F27" s="268">
        <v>14016</v>
      </c>
      <c r="G27" s="268">
        <v>8880</v>
      </c>
      <c r="H27" s="268">
        <f>3445+3710+3971+692+39+619+22+2503</f>
        <v>15001</v>
      </c>
      <c r="I27" s="268"/>
      <c r="J27" s="268">
        <v>90</v>
      </c>
      <c r="K27" s="268">
        <v>6868</v>
      </c>
      <c r="L27" s="268">
        <v>1727</v>
      </c>
    </row>
    <row r="28" spans="1:12" s="263" customFormat="1" ht="9" customHeight="1" x14ac:dyDescent="0.25">
      <c r="A28" s="263" t="s">
        <v>34</v>
      </c>
      <c r="B28" s="598">
        <f t="shared" si="0"/>
        <v>130647</v>
      </c>
      <c r="C28" s="266">
        <v>59562</v>
      </c>
      <c r="D28" s="266"/>
      <c r="E28" s="598">
        <f t="shared" si="1"/>
        <v>54316</v>
      </c>
      <c r="F28" s="266">
        <v>13910</v>
      </c>
      <c r="G28" s="266">
        <v>15687</v>
      </c>
      <c r="H28" s="266">
        <f>2236+10357+4472+1292+831+1060+440+8+4023</f>
        <v>24719</v>
      </c>
      <c r="I28" s="266"/>
      <c r="J28" s="266">
        <v>150</v>
      </c>
      <c r="K28" s="266">
        <v>4216</v>
      </c>
      <c r="L28" s="266">
        <v>12403</v>
      </c>
    </row>
    <row r="29" spans="1:12" s="263" customFormat="1" ht="9" customHeight="1" x14ac:dyDescent="0.25">
      <c r="A29" s="263" t="s">
        <v>35</v>
      </c>
      <c r="B29" s="598">
        <f t="shared" si="0"/>
        <v>270098</v>
      </c>
      <c r="C29" s="266">
        <v>59304</v>
      </c>
      <c r="D29" s="266"/>
      <c r="E29" s="598">
        <f t="shared" si="1"/>
        <v>187064</v>
      </c>
      <c r="F29" s="266">
        <v>37021</v>
      </c>
      <c r="G29" s="266">
        <v>50983</v>
      </c>
      <c r="H29" s="266">
        <f>10188+15917+13406+6836+3288+16693+1286+2807+28639</f>
        <v>99060</v>
      </c>
      <c r="I29" s="266"/>
      <c r="J29" s="266">
        <v>2175</v>
      </c>
      <c r="K29" s="266">
        <v>17537</v>
      </c>
      <c r="L29" s="266">
        <v>4018</v>
      </c>
    </row>
    <row r="30" spans="1:12" s="263" customFormat="1" ht="9" customHeight="1" x14ac:dyDescent="0.25">
      <c r="A30" s="263" t="s">
        <v>36</v>
      </c>
      <c r="B30" s="598">
        <f t="shared" si="0"/>
        <v>563182</v>
      </c>
      <c r="C30" s="266">
        <v>303311</v>
      </c>
      <c r="D30" s="266"/>
      <c r="E30" s="598">
        <f t="shared" si="1"/>
        <v>225013</v>
      </c>
      <c r="F30" s="266">
        <v>70543</v>
      </c>
      <c r="G30" s="266">
        <v>83732</v>
      </c>
      <c r="H30" s="266">
        <f>12371+18081+7371+6153+4322+4134+1403+336+16567</f>
        <v>70738</v>
      </c>
      <c r="I30" s="266"/>
      <c r="J30" s="266">
        <v>5577</v>
      </c>
      <c r="K30" s="266">
        <v>17516</v>
      </c>
      <c r="L30" s="266">
        <v>11765</v>
      </c>
    </row>
    <row r="31" spans="1:12" s="263" customFormat="1" ht="9" customHeight="1" x14ac:dyDescent="0.25">
      <c r="A31" s="267" t="s">
        <v>37</v>
      </c>
      <c r="B31" s="599">
        <f t="shared" si="0"/>
        <v>112729</v>
      </c>
      <c r="C31" s="268">
        <v>40770</v>
      </c>
      <c r="D31" s="268"/>
      <c r="E31" s="599">
        <f t="shared" si="1"/>
        <v>48788</v>
      </c>
      <c r="F31" s="268">
        <v>12375</v>
      </c>
      <c r="G31" s="268">
        <v>16383</v>
      </c>
      <c r="H31" s="268">
        <f>3169+4836+4357+784+200+2098+97+1422+3067</f>
        <v>20030</v>
      </c>
      <c r="I31" s="268"/>
      <c r="J31" s="268">
        <v>112</v>
      </c>
      <c r="K31" s="268">
        <v>20758</v>
      </c>
      <c r="L31" s="268">
        <v>2301</v>
      </c>
    </row>
    <row r="32" spans="1:12" s="263" customFormat="1" ht="9" customHeight="1" x14ac:dyDescent="0.25">
      <c r="A32" s="263" t="s">
        <v>38</v>
      </c>
      <c r="B32" s="598">
        <f t="shared" si="0"/>
        <v>54812</v>
      </c>
      <c r="C32" s="266">
        <v>30838</v>
      </c>
      <c r="D32" s="266"/>
      <c r="E32" s="598">
        <f t="shared" si="1"/>
        <v>18700</v>
      </c>
      <c r="F32" s="266">
        <v>5430</v>
      </c>
      <c r="G32" s="266">
        <v>6380</v>
      </c>
      <c r="H32" s="266">
        <f>1737+1726+1170+151+473+786+23+1+823</f>
        <v>6890</v>
      </c>
      <c r="I32" s="266"/>
      <c r="J32" s="266">
        <v>48</v>
      </c>
      <c r="K32" s="266">
        <v>5206</v>
      </c>
      <c r="L32" s="266">
        <v>20</v>
      </c>
    </row>
    <row r="33" spans="1:12" s="263" customFormat="1" ht="9" customHeight="1" x14ac:dyDescent="0.25">
      <c r="A33" s="263" t="s">
        <v>39</v>
      </c>
      <c r="B33" s="598">
        <f t="shared" si="0"/>
        <v>11891</v>
      </c>
      <c r="C33" s="266">
        <v>2411</v>
      </c>
      <c r="D33" s="266"/>
      <c r="E33" s="598">
        <f t="shared" si="1"/>
        <v>8373</v>
      </c>
      <c r="F33" s="266">
        <v>2190</v>
      </c>
      <c r="G33" s="266">
        <v>4307</v>
      </c>
      <c r="H33" s="266">
        <f>329+403+161+7+89+26+10+32+819</f>
        <v>1876</v>
      </c>
      <c r="I33" s="266"/>
      <c r="J33" s="266">
        <v>0</v>
      </c>
      <c r="K33" s="266">
        <v>989</v>
      </c>
      <c r="L33" s="266">
        <v>118</v>
      </c>
    </row>
    <row r="34" spans="1:12" s="263" customFormat="1" ht="9" customHeight="1" x14ac:dyDescent="0.25">
      <c r="A34" s="263" t="s">
        <v>40</v>
      </c>
      <c r="B34" s="598">
        <f t="shared" si="0"/>
        <v>719323</v>
      </c>
      <c r="C34" s="266">
        <v>190854</v>
      </c>
      <c r="D34" s="266"/>
      <c r="E34" s="598">
        <f t="shared" si="1"/>
        <v>343284</v>
      </c>
      <c r="F34" s="266">
        <v>51155</v>
      </c>
      <c r="G34" s="266">
        <v>114641</v>
      </c>
      <c r="H34" s="266">
        <f>24125+19916+19904+638+105+23152+15801+4095+69752</f>
        <v>177488</v>
      </c>
      <c r="I34" s="266"/>
      <c r="J34" s="266">
        <v>894</v>
      </c>
      <c r="K34" s="266">
        <v>102742</v>
      </c>
      <c r="L34" s="266">
        <v>81549</v>
      </c>
    </row>
    <row r="35" spans="1:12" s="263" customFormat="1" ht="9" customHeight="1" x14ac:dyDescent="0.25">
      <c r="A35" s="267" t="s">
        <v>41</v>
      </c>
      <c r="B35" s="599">
        <f t="shared" si="0"/>
        <v>94533</v>
      </c>
      <c r="C35" s="268">
        <v>39404</v>
      </c>
      <c r="D35" s="268"/>
      <c r="E35" s="599">
        <f t="shared" si="1"/>
        <v>39355</v>
      </c>
      <c r="F35" s="268">
        <v>10142</v>
      </c>
      <c r="G35" s="268">
        <v>10539</v>
      </c>
      <c r="H35" s="268">
        <f>3142+5417+2846+47+105+1420+264+456+4977</f>
        <v>18674</v>
      </c>
      <c r="I35" s="268"/>
      <c r="J35" s="268">
        <v>1068</v>
      </c>
      <c r="K35" s="268">
        <v>3232</v>
      </c>
      <c r="L35" s="268">
        <v>11474</v>
      </c>
    </row>
    <row r="36" spans="1:12" s="263" customFormat="1" ht="9" customHeight="1" x14ac:dyDescent="0.25">
      <c r="A36" s="263" t="s">
        <v>42</v>
      </c>
      <c r="B36" s="598">
        <f t="shared" si="0"/>
        <v>148648</v>
      </c>
      <c r="C36" s="266">
        <v>66843</v>
      </c>
      <c r="D36" s="266"/>
      <c r="E36" s="598">
        <f t="shared" si="1"/>
        <v>58696</v>
      </c>
      <c r="F36" s="266">
        <v>13001</v>
      </c>
      <c r="G36" s="266">
        <v>10889</v>
      </c>
      <c r="H36" s="266">
        <f>5551+7314+3420+3758+1105+3026+88+744+9800</f>
        <v>34806</v>
      </c>
      <c r="I36" s="266"/>
      <c r="J36" s="266">
        <v>1620</v>
      </c>
      <c r="K36" s="266">
        <v>18183</v>
      </c>
      <c r="L36" s="266">
        <v>3306</v>
      </c>
    </row>
    <row r="37" spans="1:12" s="263" customFormat="1" ht="9" customHeight="1" x14ac:dyDescent="0.25">
      <c r="A37" s="263" t="s">
        <v>43</v>
      </c>
      <c r="B37" s="598">
        <f t="shared" si="0"/>
        <v>32568</v>
      </c>
      <c r="C37" s="266">
        <v>16227</v>
      </c>
      <c r="D37" s="266"/>
      <c r="E37" s="598">
        <f t="shared" si="1"/>
        <v>12288</v>
      </c>
      <c r="F37" s="266">
        <v>3510</v>
      </c>
      <c r="G37" s="266">
        <v>2559</v>
      </c>
      <c r="H37" s="266">
        <f>187+907+373+70+28+2833+15+5+1801</f>
        <v>6219</v>
      </c>
      <c r="I37" s="266"/>
      <c r="J37" s="266">
        <v>652</v>
      </c>
      <c r="K37" s="266">
        <v>2681</v>
      </c>
      <c r="L37" s="266">
        <v>720</v>
      </c>
    </row>
    <row r="38" spans="1:12" s="263" customFormat="1" ht="9" customHeight="1" x14ac:dyDescent="0.25">
      <c r="A38" s="263" t="s">
        <v>44</v>
      </c>
      <c r="B38" s="598">
        <f t="shared" si="0"/>
        <v>85513</v>
      </c>
      <c r="C38" s="266">
        <v>19875</v>
      </c>
      <c r="D38" s="266"/>
      <c r="E38" s="598">
        <f t="shared" si="1"/>
        <v>58030</v>
      </c>
      <c r="F38" s="266">
        <v>13957</v>
      </c>
      <c r="G38" s="266">
        <v>19857</v>
      </c>
      <c r="H38" s="266">
        <f>3628+3374+2949+2555+493+3149+146+21+7901</f>
        <v>24216</v>
      </c>
      <c r="I38" s="266"/>
      <c r="J38" s="266">
        <v>374</v>
      </c>
      <c r="K38" s="266">
        <v>3251</v>
      </c>
      <c r="L38" s="266">
        <v>3983</v>
      </c>
    </row>
    <row r="39" spans="1:12" s="263" customFormat="1" ht="9" customHeight="1" x14ac:dyDescent="0.25">
      <c r="A39" s="267" t="s">
        <v>45</v>
      </c>
      <c r="B39" s="599">
        <f t="shared" si="0"/>
        <v>63565</v>
      </c>
      <c r="C39" s="268">
        <v>17135</v>
      </c>
      <c r="D39" s="268"/>
      <c r="E39" s="599">
        <f t="shared" si="1"/>
        <v>29204</v>
      </c>
      <c r="F39" s="268">
        <v>11706</v>
      </c>
      <c r="G39" s="268">
        <v>10946</v>
      </c>
      <c r="H39" s="268">
        <f>1059+2080+1570+393+6+612+15+466+351</f>
        <v>6552</v>
      </c>
      <c r="I39" s="268"/>
      <c r="J39" s="268">
        <v>26</v>
      </c>
      <c r="K39" s="268">
        <v>16905</v>
      </c>
      <c r="L39" s="268">
        <v>295</v>
      </c>
    </row>
    <row r="40" spans="1:12" s="263" customFormat="1" ht="9" customHeight="1" x14ac:dyDescent="0.25">
      <c r="A40" s="263" t="s">
        <v>46</v>
      </c>
      <c r="B40" s="598">
        <f t="shared" si="0"/>
        <v>41849</v>
      </c>
      <c r="C40" s="266">
        <v>11056</v>
      </c>
      <c r="D40" s="266"/>
      <c r="E40" s="598">
        <f t="shared" si="1"/>
        <v>27364</v>
      </c>
      <c r="F40" s="266">
        <v>6106</v>
      </c>
      <c r="G40" s="266">
        <v>5131</v>
      </c>
      <c r="H40" s="266">
        <f>1298+3265+3845+372+130+1436+20+77+5684</f>
        <v>16127</v>
      </c>
      <c r="I40" s="266"/>
      <c r="J40" s="266">
        <v>83</v>
      </c>
      <c r="K40" s="266">
        <v>1930</v>
      </c>
      <c r="L40" s="266">
        <v>1416</v>
      </c>
    </row>
    <row r="41" spans="1:12" s="263" customFormat="1" ht="9" customHeight="1" x14ac:dyDescent="0.25">
      <c r="A41" s="263" t="s">
        <v>47</v>
      </c>
      <c r="B41" s="598">
        <f t="shared" si="0"/>
        <v>55758</v>
      </c>
      <c r="C41" s="266">
        <v>23271</v>
      </c>
      <c r="D41" s="266"/>
      <c r="E41" s="598">
        <f t="shared" si="1"/>
        <v>21904</v>
      </c>
      <c r="F41" s="266">
        <v>7507</v>
      </c>
      <c r="G41" s="266">
        <v>4927</v>
      </c>
      <c r="H41" s="266">
        <f>2715+2639+1580+1242+87+311+2+19+875</f>
        <v>9470</v>
      </c>
      <c r="I41" s="266"/>
      <c r="J41" s="266">
        <v>0</v>
      </c>
      <c r="K41" s="266">
        <v>9775</v>
      </c>
      <c r="L41" s="266">
        <v>808</v>
      </c>
    </row>
    <row r="42" spans="1:12" s="263" customFormat="1" ht="9" customHeight="1" x14ac:dyDescent="0.25">
      <c r="A42" s="263" t="s">
        <v>48</v>
      </c>
      <c r="B42" s="598">
        <f t="shared" si="0"/>
        <v>59079</v>
      </c>
      <c r="C42" s="266">
        <v>23879</v>
      </c>
      <c r="D42" s="266"/>
      <c r="E42" s="598">
        <f t="shared" si="1"/>
        <v>27535</v>
      </c>
      <c r="F42" s="266">
        <v>6483</v>
      </c>
      <c r="G42" s="266">
        <v>9253</v>
      </c>
      <c r="H42" s="266">
        <v>11799</v>
      </c>
      <c r="I42" s="266"/>
      <c r="J42" s="266">
        <v>1221</v>
      </c>
      <c r="K42" s="266">
        <v>6129</v>
      </c>
      <c r="L42" s="266">
        <v>315</v>
      </c>
    </row>
    <row r="43" spans="1:12" s="263" customFormat="1" ht="9" customHeight="1" x14ac:dyDescent="0.25">
      <c r="A43" s="267" t="s">
        <v>49</v>
      </c>
      <c r="B43" s="599">
        <f t="shared" si="0"/>
        <v>114860</v>
      </c>
      <c r="C43" s="268">
        <v>42249</v>
      </c>
      <c r="D43" s="268"/>
      <c r="E43" s="599">
        <f t="shared" si="1"/>
        <v>35740</v>
      </c>
      <c r="F43" s="268">
        <v>9825</v>
      </c>
      <c r="G43" s="268">
        <v>6552</v>
      </c>
      <c r="H43" s="268">
        <f>4087+4119+2964+108+37+1814+398+746+5090</f>
        <v>19363</v>
      </c>
      <c r="I43" s="268"/>
      <c r="J43" s="268">
        <v>220</v>
      </c>
      <c r="K43" s="268">
        <v>34051</v>
      </c>
      <c r="L43" s="268">
        <v>2600</v>
      </c>
    </row>
    <row r="44" spans="1:12" s="263" customFormat="1" ht="9" customHeight="1" x14ac:dyDescent="0.25">
      <c r="A44" s="263" t="s">
        <v>50</v>
      </c>
      <c r="B44" s="598">
        <f t="shared" si="0"/>
        <v>32568</v>
      </c>
      <c r="C44" s="266">
        <v>18406</v>
      </c>
      <c r="D44" s="266"/>
      <c r="E44" s="598">
        <f t="shared" si="1"/>
        <v>12650</v>
      </c>
      <c r="F44" s="266">
        <v>4497</v>
      </c>
      <c r="G44" s="266">
        <v>4265</v>
      </c>
      <c r="H44" s="266">
        <v>3888</v>
      </c>
      <c r="I44" s="266"/>
      <c r="J44" s="266">
        <v>55</v>
      </c>
      <c r="K44" s="266">
        <v>1219</v>
      </c>
      <c r="L44" s="266">
        <v>238</v>
      </c>
    </row>
    <row r="45" spans="1:12" s="263" customFormat="1" ht="9" customHeight="1" x14ac:dyDescent="0.25">
      <c r="A45" s="263" t="s">
        <v>51</v>
      </c>
      <c r="B45" s="598">
        <f t="shared" si="0"/>
        <v>138947</v>
      </c>
      <c r="C45" s="266">
        <v>69416</v>
      </c>
      <c r="D45" s="266"/>
      <c r="E45" s="598">
        <f t="shared" si="1"/>
        <v>55670</v>
      </c>
      <c r="F45" s="266">
        <v>24369</v>
      </c>
      <c r="G45" s="266">
        <v>11952</v>
      </c>
      <c r="H45" s="266">
        <f>4085+4203+3530+275+229+2173+843+2440+1571</f>
        <v>19349</v>
      </c>
      <c r="I45" s="266"/>
      <c r="J45" s="266">
        <v>504</v>
      </c>
      <c r="K45" s="266">
        <v>10682</v>
      </c>
      <c r="L45" s="266">
        <v>2675</v>
      </c>
    </row>
    <row r="46" spans="1:12" s="263" customFormat="1" ht="9" customHeight="1" x14ac:dyDescent="0.25">
      <c r="A46" s="263" t="s">
        <v>52</v>
      </c>
      <c r="B46" s="598">
        <f t="shared" si="0"/>
        <v>149180</v>
      </c>
      <c r="C46" s="266">
        <v>22675</v>
      </c>
      <c r="D46" s="266"/>
      <c r="E46" s="598">
        <f t="shared" si="1"/>
        <v>108447</v>
      </c>
      <c r="F46" s="266">
        <v>24342</v>
      </c>
      <c r="G46" s="266">
        <v>31088</v>
      </c>
      <c r="H46" s="266">
        <f>6308+9204+3527+7660+2187+5670+2041+16420</f>
        <v>53017</v>
      </c>
      <c r="I46" s="266"/>
      <c r="J46" s="266">
        <v>254</v>
      </c>
      <c r="K46" s="266">
        <v>10633</v>
      </c>
      <c r="L46" s="266">
        <v>7171</v>
      </c>
    </row>
    <row r="47" spans="1:12" s="263" customFormat="1" ht="10.5" customHeight="1" x14ac:dyDescent="0.25">
      <c r="A47" s="267" t="s">
        <v>53</v>
      </c>
      <c r="B47" s="599">
        <f t="shared" si="0"/>
        <v>30067</v>
      </c>
      <c r="C47" s="268">
        <v>12791</v>
      </c>
      <c r="D47" s="268"/>
      <c r="E47" s="268">
        <f t="shared" si="1"/>
        <v>15568</v>
      </c>
      <c r="F47" s="268">
        <v>4260</v>
      </c>
      <c r="G47" s="268">
        <v>2657</v>
      </c>
      <c r="H47" s="268">
        <v>8651</v>
      </c>
      <c r="I47" s="268"/>
      <c r="J47" s="268">
        <v>42</v>
      </c>
      <c r="K47" s="268">
        <v>1116</v>
      </c>
      <c r="L47" s="268">
        <v>550</v>
      </c>
    </row>
    <row r="48" spans="1:12" s="263" customFormat="1" ht="9" customHeight="1" x14ac:dyDescent="0.25">
      <c r="A48" s="286"/>
      <c r="B48" s="613"/>
      <c r="C48" s="289"/>
      <c r="D48" s="289"/>
      <c r="E48" s="289"/>
      <c r="F48" s="289"/>
      <c r="G48" s="289"/>
      <c r="H48" s="289"/>
      <c r="I48" s="289"/>
      <c r="J48" s="289"/>
      <c r="K48" s="289"/>
      <c r="L48" s="289"/>
    </row>
    <row r="49" spans="1:12" s="263" customFormat="1" ht="9" customHeight="1" x14ac:dyDescent="0.25">
      <c r="A49" s="601">
        <v>1996</v>
      </c>
      <c r="B49" s="632"/>
      <c r="C49" s="550"/>
      <c r="D49" s="550"/>
      <c r="E49" s="632"/>
      <c r="F49" s="550"/>
      <c r="G49" s="550"/>
      <c r="H49" s="550"/>
      <c r="I49" s="550"/>
      <c r="J49" s="550"/>
      <c r="K49" s="550"/>
      <c r="L49" s="550"/>
    </row>
    <row r="50" spans="1:12" s="263" customFormat="1" ht="9" customHeight="1" x14ac:dyDescent="0.25">
      <c r="A50" s="265" t="s">
        <v>21</v>
      </c>
      <c r="B50" s="597">
        <f>SUM(B52:B83)</f>
        <v>6815136</v>
      </c>
      <c r="C50" s="597">
        <f>SUM(C52:C83)</f>
        <v>2363707</v>
      </c>
      <c r="D50" s="597"/>
      <c r="E50" s="597">
        <f>SUM(E52:E83)</f>
        <v>3335595</v>
      </c>
      <c r="F50" s="597">
        <f>SUM(F52:F83)</f>
        <v>710226</v>
      </c>
      <c r="G50" s="597">
        <f>SUM(G52:G83)</f>
        <v>801480</v>
      </c>
      <c r="H50" s="597">
        <f>SUM(H52:H83)</f>
        <v>1823889</v>
      </c>
      <c r="I50" s="597"/>
      <c r="J50" s="597">
        <f>SUM(J52:J83)</f>
        <v>66686</v>
      </c>
      <c r="K50" s="597">
        <f>SUM(K52:K83)</f>
        <v>761102</v>
      </c>
      <c r="L50" s="597">
        <f>SUM(L52:L83)</f>
        <v>288046</v>
      </c>
    </row>
    <row r="51" spans="1:12" s="263" customFormat="1" ht="3.95" customHeight="1" x14ac:dyDescent="0.25">
      <c r="A51" s="265"/>
      <c r="B51" s="597"/>
      <c r="C51" s="597"/>
      <c r="D51" s="597"/>
      <c r="E51" s="597"/>
      <c r="F51" s="597"/>
      <c r="G51" s="597"/>
      <c r="H51" s="597"/>
      <c r="I51" s="597"/>
      <c r="J51" s="597"/>
      <c r="K51" s="597"/>
      <c r="L51" s="597"/>
    </row>
    <row r="52" spans="1:12" s="263" customFormat="1" ht="9" customHeight="1" x14ac:dyDescent="0.25">
      <c r="A52" s="263" t="s">
        <v>23</v>
      </c>
      <c r="B52" s="598">
        <f t="shared" ref="B52:B83" si="2">SUM(C52+E52+J52+K52+L52)</f>
        <v>69841</v>
      </c>
      <c r="C52" s="598">
        <v>17740</v>
      </c>
      <c r="D52" s="598"/>
      <c r="E52" s="598">
        <f t="shared" ref="E52:E83" si="3">SUM(F52:H52)</f>
        <v>45626</v>
      </c>
      <c r="F52" s="598">
        <v>13695</v>
      </c>
      <c r="G52" s="598">
        <v>12212</v>
      </c>
      <c r="H52" s="598">
        <v>19719</v>
      </c>
      <c r="I52" s="598"/>
      <c r="J52" s="598">
        <v>504</v>
      </c>
      <c r="K52" s="598">
        <v>3328</v>
      </c>
      <c r="L52" s="598">
        <v>2643</v>
      </c>
    </row>
    <row r="53" spans="1:12" s="263" customFormat="1" ht="9" customHeight="1" x14ac:dyDescent="0.25">
      <c r="A53" s="263" t="s">
        <v>24</v>
      </c>
      <c r="B53" s="598">
        <f t="shared" si="2"/>
        <v>119077</v>
      </c>
      <c r="C53" s="598">
        <v>69292</v>
      </c>
      <c r="D53" s="598"/>
      <c r="E53" s="598">
        <f t="shared" si="3"/>
        <v>39779</v>
      </c>
      <c r="F53" s="598">
        <v>12156</v>
      </c>
      <c r="G53" s="598">
        <v>9357</v>
      </c>
      <c r="H53" s="598">
        <v>18266</v>
      </c>
      <c r="I53" s="598"/>
      <c r="J53" s="598">
        <v>567</v>
      </c>
      <c r="K53" s="598">
        <v>8301</v>
      </c>
      <c r="L53" s="598">
        <v>1138</v>
      </c>
    </row>
    <row r="54" spans="1:12" s="263" customFormat="1" ht="9" customHeight="1" x14ac:dyDescent="0.25">
      <c r="A54" s="263" t="s">
        <v>25</v>
      </c>
      <c r="B54" s="598">
        <f t="shared" si="2"/>
        <v>7673</v>
      </c>
      <c r="C54" s="598">
        <v>4752</v>
      </c>
      <c r="D54" s="598"/>
      <c r="E54" s="598">
        <f t="shared" si="3"/>
        <v>415</v>
      </c>
      <c r="F54" s="598">
        <v>48</v>
      </c>
      <c r="G54" s="598">
        <v>10</v>
      </c>
      <c r="H54" s="598">
        <v>357</v>
      </c>
      <c r="I54" s="598"/>
      <c r="J54" s="598">
        <v>0</v>
      </c>
      <c r="K54" s="598">
        <v>1936</v>
      </c>
      <c r="L54" s="598">
        <v>570</v>
      </c>
    </row>
    <row r="55" spans="1:12" s="263" customFormat="1" ht="9" customHeight="1" x14ac:dyDescent="0.25">
      <c r="A55" s="267" t="s">
        <v>26</v>
      </c>
      <c r="B55" s="599">
        <f t="shared" si="2"/>
        <v>14092</v>
      </c>
      <c r="C55" s="599">
        <v>5143</v>
      </c>
      <c r="D55" s="599"/>
      <c r="E55" s="599">
        <f t="shared" si="3"/>
        <v>5959</v>
      </c>
      <c r="F55" s="599">
        <v>3366</v>
      </c>
      <c r="G55" s="599">
        <v>628</v>
      </c>
      <c r="H55" s="599">
        <v>1965</v>
      </c>
      <c r="I55" s="599"/>
      <c r="J55" s="599">
        <v>0</v>
      </c>
      <c r="K55" s="599">
        <v>2316</v>
      </c>
      <c r="L55" s="599">
        <v>674</v>
      </c>
    </row>
    <row r="56" spans="1:12" s="263" customFormat="1" ht="9" customHeight="1" x14ac:dyDescent="0.25">
      <c r="A56" s="263" t="s">
        <v>27</v>
      </c>
      <c r="B56" s="598">
        <f t="shared" si="2"/>
        <v>89507</v>
      </c>
      <c r="C56" s="598">
        <v>20539</v>
      </c>
      <c r="D56" s="598"/>
      <c r="E56" s="598">
        <f t="shared" si="3"/>
        <v>39847</v>
      </c>
      <c r="F56" s="598">
        <v>8536</v>
      </c>
      <c r="G56" s="598">
        <v>10299</v>
      </c>
      <c r="H56" s="598">
        <v>21012</v>
      </c>
      <c r="I56" s="598"/>
      <c r="J56" s="598">
        <v>54</v>
      </c>
      <c r="K56" s="598">
        <v>27799</v>
      </c>
      <c r="L56" s="598">
        <v>1268</v>
      </c>
    </row>
    <row r="57" spans="1:12" s="263" customFormat="1" ht="9" customHeight="1" x14ac:dyDescent="0.25">
      <c r="A57" s="263" t="s">
        <v>28</v>
      </c>
      <c r="B57" s="598">
        <f t="shared" si="2"/>
        <v>7055</v>
      </c>
      <c r="C57" s="598">
        <v>2477</v>
      </c>
      <c r="D57" s="598"/>
      <c r="E57" s="598">
        <f t="shared" si="3"/>
        <v>3677</v>
      </c>
      <c r="F57" s="598">
        <v>1220</v>
      </c>
      <c r="G57" s="598">
        <v>960</v>
      </c>
      <c r="H57" s="598">
        <v>1497</v>
      </c>
      <c r="I57" s="598"/>
      <c r="J57" s="598">
        <v>1</v>
      </c>
      <c r="K57" s="598">
        <v>900</v>
      </c>
      <c r="L57" s="598">
        <v>0</v>
      </c>
    </row>
    <row r="58" spans="1:12" s="263" customFormat="1" ht="9" customHeight="1" x14ac:dyDescent="0.25">
      <c r="A58" s="263" t="s">
        <v>29</v>
      </c>
      <c r="B58" s="598">
        <f t="shared" si="2"/>
        <v>74615</v>
      </c>
      <c r="C58" s="598">
        <v>34773</v>
      </c>
      <c r="D58" s="598"/>
      <c r="E58" s="598">
        <f t="shared" si="3"/>
        <v>33313</v>
      </c>
      <c r="F58" s="598">
        <v>13258</v>
      </c>
      <c r="G58" s="598">
        <v>9720</v>
      </c>
      <c r="H58" s="598">
        <v>10335</v>
      </c>
      <c r="I58" s="598"/>
      <c r="J58" s="598">
        <v>49</v>
      </c>
      <c r="K58" s="598">
        <v>5341</v>
      </c>
      <c r="L58" s="598">
        <v>1139</v>
      </c>
    </row>
    <row r="59" spans="1:12" s="263" customFormat="1" ht="9" customHeight="1" x14ac:dyDescent="0.25">
      <c r="A59" s="267" t="s">
        <v>30</v>
      </c>
      <c r="B59" s="599">
        <f t="shared" si="2"/>
        <v>135687</v>
      </c>
      <c r="C59" s="599">
        <v>76558</v>
      </c>
      <c r="D59" s="599"/>
      <c r="E59" s="599">
        <f t="shared" si="3"/>
        <v>30479</v>
      </c>
      <c r="F59" s="599">
        <v>6551</v>
      </c>
      <c r="G59" s="599">
        <v>13281</v>
      </c>
      <c r="H59" s="599">
        <v>10647</v>
      </c>
      <c r="I59" s="599"/>
      <c r="J59" s="599">
        <v>137</v>
      </c>
      <c r="K59" s="599">
        <v>28067</v>
      </c>
      <c r="L59" s="599">
        <v>446</v>
      </c>
    </row>
    <row r="60" spans="1:12" s="263" customFormat="1" ht="9" customHeight="1" x14ac:dyDescent="0.25">
      <c r="A60" s="263" t="s">
        <v>63</v>
      </c>
      <c r="B60" s="598">
        <f t="shared" si="2"/>
        <v>2119746</v>
      </c>
      <c r="C60" s="598">
        <v>485871</v>
      </c>
      <c r="D60" s="598"/>
      <c r="E60" s="598">
        <f t="shared" si="3"/>
        <v>1263193</v>
      </c>
      <c r="F60" s="598">
        <v>167204</v>
      </c>
      <c r="G60" s="598">
        <v>212083</v>
      </c>
      <c r="H60" s="598">
        <v>883906</v>
      </c>
      <c r="I60" s="598"/>
      <c r="J60" s="598">
        <v>34866</v>
      </c>
      <c r="K60" s="598">
        <v>250767</v>
      </c>
      <c r="L60" s="598">
        <v>85049</v>
      </c>
    </row>
    <row r="61" spans="1:12" s="263" customFormat="1" ht="9" customHeight="1" x14ac:dyDescent="0.25">
      <c r="A61" s="263" t="s">
        <v>31</v>
      </c>
      <c r="B61" s="598">
        <f t="shared" si="2"/>
        <v>17866</v>
      </c>
      <c r="C61" s="598">
        <v>10313</v>
      </c>
      <c r="D61" s="598"/>
      <c r="E61" s="598">
        <f t="shared" si="3"/>
        <v>6609</v>
      </c>
      <c r="F61" s="598">
        <v>1508</v>
      </c>
      <c r="G61" s="598">
        <v>1178</v>
      </c>
      <c r="H61" s="598">
        <v>3923</v>
      </c>
      <c r="I61" s="598"/>
      <c r="J61" s="598">
        <v>69</v>
      </c>
      <c r="K61" s="598">
        <v>559</v>
      </c>
      <c r="L61" s="598">
        <v>316</v>
      </c>
    </row>
    <row r="62" spans="1:12" s="263" customFormat="1" ht="9" customHeight="1" x14ac:dyDescent="0.25">
      <c r="A62" s="263" t="s">
        <v>32</v>
      </c>
      <c r="B62" s="598">
        <f t="shared" si="2"/>
        <v>350028</v>
      </c>
      <c r="C62" s="598">
        <v>168997</v>
      </c>
      <c r="D62" s="598"/>
      <c r="E62" s="598">
        <f t="shared" si="3"/>
        <v>132682</v>
      </c>
      <c r="F62" s="598">
        <v>36354</v>
      </c>
      <c r="G62" s="598">
        <v>36288</v>
      </c>
      <c r="H62" s="598">
        <v>60040</v>
      </c>
      <c r="I62" s="598"/>
      <c r="J62" s="598">
        <v>369</v>
      </c>
      <c r="K62" s="598">
        <v>35867</v>
      </c>
      <c r="L62" s="598">
        <v>12113</v>
      </c>
    </row>
    <row r="63" spans="1:12" s="263" customFormat="1" ht="9" customHeight="1" x14ac:dyDescent="0.25">
      <c r="A63" s="267" t="s">
        <v>33</v>
      </c>
      <c r="B63" s="599">
        <f t="shared" si="2"/>
        <v>120655</v>
      </c>
      <c r="C63" s="599">
        <v>58105</v>
      </c>
      <c r="D63" s="599"/>
      <c r="E63" s="599">
        <f t="shared" si="3"/>
        <v>45040</v>
      </c>
      <c r="F63" s="599">
        <v>13283</v>
      </c>
      <c r="G63" s="599">
        <v>12347</v>
      </c>
      <c r="H63" s="599">
        <v>19410</v>
      </c>
      <c r="I63" s="599"/>
      <c r="J63" s="599">
        <v>450</v>
      </c>
      <c r="K63" s="599">
        <v>14524</v>
      </c>
      <c r="L63" s="599">
        <v>2536</v>
      </c>
    </row>
    <row r="64" spans="1:12" s="263" customFormat="1" ht="9" customHeight="1" x14ac:dyDescent="0.25">
      <c r="A64" s="263" t="s">
        <v>34</v>
      </c>
      <c r="B64" s="598">
        <f t="shared" si="2"/>
        <v>131996</v>
      </c>
      <c r="C64" s="598">
        <v>60266</v>
      </c>
      <c r="D64" s="598"/>
      <c r="E64" s="598">
        <f t="shared" si="3"/>
        <v>54101</v>
      </c>
      <c r="F64" s="598">
        <v>13813</v>
      </c>
      <c r="G64" s="598">
        <v>17433</v>
      </c>
      <c r="H64" s="598">
        <v>22855</v>
      </c>
      <c r="I64" s="598"/>
      <c r="J64" s="598">
        <v>297</v>
      </c>
      <c r="K64" s="598">
        <v>4232</v>
      </c>
      <c r="L64" s="598">
        <v>13100</v>
      </c>
    </row>
    <row r="65" spans="1:12" s="263" customFormat="1" ht="9" customHeight="1" x14ac:dyDescent="0.25">
      <c r="A65" s="263" t="s">
        <v>35</v>
      </c>
      <c r="B65" s="598">
        <f t="shared" si="2"/>
        <v>310963</v>
      </c>
      <c r="C65" s="598">
        <v>68341</v>
      </c>
      <c r="D65" s="598"/>
      <c r="E65" s="598">
        <f t="shared" si="3"/>
        <v>215009</v>
      </c>
      <c r="F65" s="598">
        <v>49021</v>
      </c>
      <c r="G65" s="598">
        <v>56795</v>
      </c>
      <c r="H65" s="598">
        <v>109193</v>
      </c>
      <c r="I65" s="598"/>
      <c r="J65" s="598">
        <v>1148</v>
      </c>
      <c r="K65" s="598">
        <v>22373</v>
      </c>
      <c r="L65" s="598">
        <v>4092</v>
      </c>
    </row>
    <row r="66" spans="1:12" s="263" customFormat="1" ht="9" customHeight="1" x14ac:dyDescent="0.25">
      <c r="A66" s="263" t="s">
        <v>36</v>
      </c>
      <c r="B66" s="598">
        <f t="shared" si="2"/>
        <v>793689</v>
      </c>
      <c r="C66" s="598">
        <v>426129</v>
      </c>
      <c r="D66" s="598"/>
      <c r="E66" s="598">
        <f t="shared" si="3"/>
        <v>318948</v>
      </c>
      <c r="F66" s="598">
        <v>109321</v>
      </c>
      <c r="G66" s="598">
        <v>101021</v>
      </c>
      <c r="H66" s="598">
        <v>108606</v>
      </c>
      <c r="I66" s="598"/>
      <c r="J66" s="598">
        <v>3523</v>
      </c>
      <c r="K66" s="598">
        <v>23019</v>
      </c>
      <c r="L66" s="598">
        <v>22070</v>
      </c>
    </row>
    <row r="67" spans="1:12" s="263" customFormat="1" ht="9" customHeight="1" x14ac:dyDescent="0.25">
      <c r="A67" s="267" t="s">
        <v>37</v>
      </c>
      <c r="B67" s="599">
        <f t="shared" si="2"/>
        <v>145034</v>
      </c>
      <c r="C67" s="599">
        <v>50306</v>
      </c>
      <c r="D67" s="599"/>
      <c r="E67" s="599">
        <f t="shared" si="3"/>
        <v>64959</v>
      </c>
      <c r="F67" s="599">
        <v>17748</v>
      </c>
      <c r="G67" s="599">
        <v>20239</v>
      </c>
      <c r="H67" s="599">
        <v>26972</v>
      </c>
      <c r="I67" s="599"/>
      <c r="J67" s="599">
        <v>149</v>
      </c>
      <c r="K67" s="599">
        <v>26873</v>
      </c>
      <c r="L67" s="599">
        <v>2747</v>
      </c>
    </row>
    <row r="68" spans="1:12" s="263" customFormat="1" ht="9" customHeight="1" x14ac:dyDescent="0.25">
      <c r="A68" s="263" t="s">
        <v>38</v>
      </c>
      <c r="B68" s="598">
        <f t="shared" si="2"/>
        <v>55290</v>
      </c>
      <c r="C68" s="598">
        <v>30352</v>
      </c>
      <c r="D68" s="598"/>
      <c r="E68" s="598">
        <f t="shared" si="3"/>
        <v>19095</v>
      </c>
      <c r="F68" s="598">
        <v>5818</v>
      </c>
      <c r="G68" s="598">
        <v>6363</v>
      </c>
      <c r="H68" s="598">
        <v>6914</v>
      </c>
      <c r="I68" s="598"/>
      <c r="J68" s="598">
        <v>221</v>
      </c>
      <c r="K68" s="598">
        <v>5401</v>
      </c>
      <c r="L68" s="598">
        <v>221</v>
      </c>
    </row>
    <row r="69" spans="1:12" s="263" customFormat="1" ht="9" customHeight="1" x14ac:dyDescent="0.25">
      <c r="A69" s="263" t="s">
        <v>39</v>
      </c>
      <c r="B69" s="598">
        <f t="shared" si="2"/>
        <v>25764</v>
      </c>
      <c r="C69" s="598">
        <v>5298</v>
      </c>
      <c r="D69" s="598"/>
      <c r="E69" s="598">
        <f t="shared" si="3"/>
        <v>19891</v>
      </c>
      <c r="F69" s="598">
        <v>5744</v>
      </c>
      <c r="G69" s="598">
        <v>10054</v>
      </c>
      <c r="H69" s="598">
        <v>4093</v>
      </c>
      <c r="I69" s="598"/>
      <c r="J69" s="598">
        <v>0</v>
      </c>
      <c r="K69" s="598">
        <v>575</v>
      </c>
      <c r="L69" s="598">
        <v>0</v>
      </c>
    </row>
    <row r="70" spans="1:12" s="263" customFormat="1" ht="9" customHeight="1" x14ac:dyDescent="0.25">
      <c r="A70" s="263" t="s">
        <v>40</v>
      </c>
      <c r="B70" s="598">
        <f t="shared" si="2"/>
        <v>855015</v>
      </c>
      <c r="C70" s="598">
        <v>245897</v>
      </c>
      <c r="D70" s="598"/>
      <c r="E70" s="598">
        <f t="shared" si="3"/>
        <v>351229</v>
      </c>
      <c r="F70" s="598">
        <v>54043</v>
      </c>
      <c r="G70" s="598">
        <v>112782</v>
      </c>
      <c r="H70" s="598">
        <v>184404</v>
      </c>
      <c r="I70" s="598"/>
      <c r="J70" s="598">
        <v>16320</v>
      </c>
      <c r="K70" s="598">
        <v>158790</v>
      </c>
      <c r="L70" s="598">
        <v>82779</v>
      </c>
    </row>
    <row r="71" spans="1:12" s="263" customFormat="1" ht="9" customHeight="1" x14ac:dyDescent="0.25">
      <c r="A71" s="267" t="s">
        <v>41</v>
      </c>
      <c r="B71" s="599">
        <f t="shared" si="2"/>
        <v>165093</v>
      </c>
      <c r="C71" s="599">
        <v>59955</v>
      </c>
      <c r="D71" s="599"/>
      <c r="E71" s="599">
        <f t="shared" si="3"/>
        <v>69340</v>
      </c>
      <c r="F71" s="599">
        <v>19607</v>
      </c>
      <c r="G71" s="599">
        <v>17801</v>
      </c>
      <c r="H71" s="599">
        <v>31932</v>
      </c>
      <c r="I71" s="599"/>
      <c r="J71" s="599">
        <v>795</v>
      </c>
      <c r="K71" s="599">
        <v>15269</v>
      </c>
      <c r="L71" s="599">
        <v>19734</v>
      </c>
    </row>
    <row r="72" spans="1:12" s="263" customFormat="1" ht="9" customHeight="1" x14ac:dyDescent="0.25">
      <c r="A72" s="263" t="s">
        <v>42</v>
      </c>
      <c r="B72" s="598">
        <f t="shared" si="2"/>
        <v>173730</v>
      </c>
      <c r="C72" s="598">
        <v>84009</v>
      </c>
      <c r="D72" s="598"/>
      <c r="E72" s="598">
        <f t="shared" si="3"/>
        <v>73410</v>
      </c>
      <c r="F72" s="598">
        <v>19003</v>
      </c>
      <c r="G72" s="598">
        <v>14700</v>
      </c>
      <c r="H72" s="598">
        <v>39707</v>
      </c>
      <c r="I72" s="598"/>
      <c r="J72" s="598">
        <v>948</v>
      </c>
      <c r="K72" s="598">
        <v>11059</v>
      </c>
      <c r="L72" s="598">
        <v>4304</v>
      </c>
    </row>
    <row r="73" spans="1:12" s="263" customFormat="1" ht="9" customHeight="1" x14ac:dyDescent="0.25">
      <c r="A73" s="263" t="s">
        <v>43</v>
      </c>
      <c r="B73" s="598">
        <f t="shared" si="2"/>
        <v>24450</v>
      </c>
      <c r="C73" s="598">
        <v>12392</v>
      </c>
      <c r="D73" s="598"/>
      <c r="E73" s="598">
        <f t="shared" si="3"/>
        <v>10698</v>
      </c>
      <c r="F73" s="598">
        <v>3988</v>
      </c>
      <c r="G73" s="598">
        <v>2667</v>
      </c>
      <c r="H73" s="598">
        <v>4043</v>
      </c>
      <c r="I73" s="598"/>
      <c r="J73" s="598">
        <v>7</v>
      </c>
      <c r="K73" s="598">
        <v>955</v>
      </c>
      <c r="L73" s="598">
        <v>398</v>
      </c>
    </row>
    <row r="74" spans="1:12" s="263" customFormat="1" ht="9" customHeight="1" x14ac:dyDescent="0.25">
      <c r="A74" s="263" t="s">
        <v>44</v>
      </c>
      <c r="B74" s="598">
        <f t="shared" si="2"/>
        <v>120666</v>
      </c>
      <c r="C74" s="598">
        <v>27229</v>
      </c>
      <c r="D74" s="598"/>
      <c r="E74" s="598">
        <f t="shared" si="3"/>
        <v>77902</v>
      </c>
      <c r="F74" s="598">
        <v>16905</v>
      </c>
      <c r="G74" s="598">
        <v>19875</v>
      </c>
      <c r="H74" s="598">
        <v>41122</v>
      </c>
      <c r="I74" s="598"/>
      <c r="J74" s="598">
        <v>3284</v>
      </c>
      <c r="K74" s="598">
        <v>6514</v>
      </c>
      <c r="L74" s="598">
        <v>5737</v>
      </c>
    </row>
    <row r="75" spans="1:12" s="263" customFormat="1" ht="9" customHeight="1" x14ac:dyDescent="0.25">
      <c r="A75" s="267" t="s">
        <v>45</v>
      </c>
      <c r="B75" s="599">
        <f t="shared" si="2"/>
        <v>91007</v>
      </c>
      <c r="C75" s="599">
        <v>22788</v>
      </c>
      <c r="D75" s="599"/>
      <c r="E75" s="599">
        <f t="shared" si="3"/>
        <v>43175</v>
      </c>
      <c r="F75" s="599">
        <v>15867</v>
      </c>
      <c r="G75" s="599">
        <v>11998</v>
      </c>
      <c r="H75" s="599">
        <v>15310</v>
      </c>
      <c r="I75" s="599"/>
      <c r="J75" s="599">
        <v>86</v>
      </c>
      <c r="K75" s="599">
        <v>24165</v>
      </c>
      <c r="L75" s="599">
        <v>793</v>
      </c>
    </row>
    <row r="76" spans="1:12" s="263" customFormat="1" ht="9" customHeight="1" x14ac:dyDescent="0.25">
      <c r="A76" s="263" t="s">
        <v>46</v>
      </c>
      <c r="B76" s="598">
        <f t="shared" si="2"/>
        <v>76114</v>
      </c>
      <c r="C76" s="598">
        <v>23924</v>
      </c>
      <c r="D76" s="598"/>
      <c r="E76" s="598">
        <f t="shared" si="3"/>
        <v>43660</v>
      </c>
      <c r="F76" s="598">
        <v>9723</v>
      </c>
      <c r="G76" s="598">
        <v>7982</v>
      </c>
      <c r="H76" s="598">
        <v>25955</v>
      </c>
      <c r="I76" s="598"/>
      <c r="J76" s="598">
        <v>733</v>
      </c>
      <c r="K76" s="598">
        <v>6003</v>
      </c>
      <c r="L76" s="598">
        <v>1794</v>
      </c>
    </row>
    <row r="77" spans="1:12" s="263" customFormat="1" ht="9" customHeight="1" x14ac:dyDescent="0.25">
      <c r="A77" s="263" t="s">
        <v>47</v>
      </c>
      <c r="B77" s="598">
        <f t="shared" si="2"/>
        <v>91881</v>
      </c>
      <c r="C77" s="598">
        <v>33980</v>
      </c>
      <c r="D77" s="598"/>
      <c r="E77" s="598">
        <f t="shared" si="3"/>
        <v>36625</v>
      </c>
      <c r="F77" s="598">
        <v>11839</v>
      </c>
      <c r="G77" s="598">
        <v>7939</v>
      </c>
      <c r="H77" s="598">
        <v>16847</v>
      </c>
      <c r="I77" s="598"/>
      <c r="J77" s="598">
        <v>85</v>
      </c>
      <c r="K77" s="598">
        <v>19045</v>
      </c>
      <c r="L77" s="598">
        <v>2146</v>
      </c>
    </row>
    <row r="78" spans="1:12" s="263" customFormat="1" ht="9" customHeight="1" x14ac:dyDescent="0.25">
      <c r="A78" s="263" t="s">
        <v>48</v>
      </c>
      <c r="B78" s="598">
        <f t="shared" si="2"/>
        <v>69734</v>
      </c>
      <c r="C78" s="598">
        <v>34180</v>
      </c>
      <c r="D78" s="598"/>
      <c r="E78" s="598">
        <f t="shared" si="3"/>
        <v>30548</v>
      </c>
      <c r="F78" s="598">
        <v>7343</v>
      </c>
      <c r="G78" s="598">
        <v>10135</v>
      </c>
      <c r="H78" s="598">
        <v>13070</v>
      </c>
      <c r="I78" s="598"/>
      <c r="J78" s="598">
        <v>411</v>
      </c>
      <c r="K78" s="598">
        <v>3860</v>
      </c>
      <c r="L78" s="598">
        <v>735</v>
      </c>
    </row>
    <row r="79" spans="1:12" s="263" customFormat="1" ht="9" customHeight="1" x14ac:dyDescent="0.25">
      <c r="A79" s="267" t="s">
        <v>49</v>
      </c>
      <c r="B79" s="599">
        <f t="shared" si="2"/>
        <v>175472</v>
      </c>
      <c r="C79" s="599">
        <v>101925</v>
      </c>
      <c r="D79" s="599"/>
      <c r="E79" s="599">
        <f t="shared" si="3"/>
        <v>45479</v>
      </c>
      <c r="F79" s="599">
        <v>15614</v>
      </c>
      <c r="G79" s="599">
        <v>12205</v>
      </c>
      <c r="H79" s="599">
        <v>17660</v>
      </c>
      <c r="I79" s="599"/>
      <c r="J79" s="599">
        <v>199</v>
      </c>
      <c r="K79" s="599">
        <v>24314</v>
      </c>
      <c r="L79" s="599">
        <v>3555</v>
      </c>
    </row>
    <row r="80" spans="1:12" s="263" customFormat="1" ht="9" customHeight="1" x14ac:dyDescent="0.25">
      <c r="A80" s="263" t="s">
        <v>50</v>
      </c>
      <c r="B80" s="598">
        <f t="shared" si="2"/>
        <v>44224</v>
      </c>
      <c r="C80" s="598">
        <v>21896</v>
      </c>
      <c r="D80" s="598"/>
      <c r="E80" s="598">
        <f t="shared" si="3"/>
        <v>20490</v>
      </c>
      <c r="F80" s="598">
        <v>7276</v>
      </c>
      <c r="G80" s="598">
        <v>8752</v>
      </c>
      <c r="H80" s="598">
        <v>4462</v>
      </c>
      <c r="I80" s="598"/>
      <c r="J80" s="598">
        <v>71</v>
      </c>
      <c r="K80" s="598">
        <v>1498</v>
      </c>
      <c r="L80" s="598">
        <v>269</v>
      </c>
    </row>
    <row r="81" spans="1:12" s="263" customFormat="1" ht="9" customHeight="1" x14ac:dyDescent="0.25">
      <c r="A81" s="263" t="s">
        <v>51</v>
      </c>
      <c r="B81" s="598">
        <f t="shared" si="2"/>
        <v>126888</v>
      </c>
      <c r="C81" s="598">
        <v>59079</v>
      </c>
      <c r="D81" s="598"/>
      <c r="E81" s="598">
        <f t="shared" si="3"/>
        <v>50326</v>
      </c>
      <c r="F81" s="598">
        <v>22628</v>
      </c>
      <c r="G81" s="598">
        <v>11268</v>
      </c>
      <c r="H81" s="598">
        <v>16430</v>
      </c>
      <c r="I81" s="598"/>
      <c r="J81" s="598">
        <v>966</v>
      </c>
      <c r="K81" s="598">
        <v>14277</v>
      </c>
      <c r="L81" s="598">
        <v>2240</v>
      </c>
    </row>
    <row r="82" spans="1:12" s="263" customFormat="1" ht="9" customHeight="1" x14ac:dyDescent="0.25">
      <c r="A82" s="263" t="s">
        <v>52</v>
      </c>
      <c r="B82" s="598">
        <f t="shared" si="2"/>
        <v>181006</v>
      </c>
      <c r="C82" s="598">
        <v>27637</v>
      </c>
      <c r="D82" s="598"/>
      <c r="E82" s="598">
        <f t="shared" si="3"/>
        <v>128364</v>
      </c>
      <c r="F82" s="598">
        <v>23294</v>
      </c>
      <c r="G82" s="598">
        <v>29883</v>
      </c>
      <c r="H82" s="598">
        <v>75187</v>
      </c>
      <c r="I82" s="598"/>
      <c r="J82" s="598">
        <v>268</v>
      </c>
      <c r="K82" s="598">
        <v>11960</v>
      </c>
      <c r="L82" s="598">
        <v>12777</v>
      </c>
    </row>
    <row r="83" spans="1:12" s="263" customFormat="1" ht="9" customHeight="1" x14ac:dyDescent="0.25">
      <c r="A83" s="267" t="s">
        <v>53</v>
      </c>
      <c r="B83" s="599">
        <f t="shared" si="2"/>
        <v>31278</v>
      </c>
      <c r="C83" s="599">
        <v>13564</v>
      </c>
      <c r="D83" s="599"/>
      <c r="E83" s="599">
        <f t="shared" si="3"/>
        <v>15727</v>
      </c>
      <c r="F83" s="599">
        <v>4452</v>
      </c>
      <c r="G83" s="599">
        <v>3225</v>
      </c>
      <c r="H83" s="599">
        <v>8050</v>
      </c>
      <c r="I83" s="599"/>
      <c r="J83" s="599">
        <v>109</v>
      </c>
      <c r="K83" s="599">
        <v>1215</v>
      </c>
      <c r="L83" s="599">
        <v>663</v>
      </c>
    </row>
    <row r="84" spans="1:12" s="263" customFormat="1" ht="9" customHeight="1" x14ac:dyDescent="0.25">
      <c r="B84" s="598"/>
      <c r="C84" s="598"/>
      <c r="D84" s="598"/>
      <c r="E84" s="598"/>
      <c r="F84" s="598"/>
      <c r="G84" s="598"/>
      <c r="H84" s="598"/>
      <c r="I84" s="598"/>
      <c r="J84" s="598"/>
      <c r="K84" s="598"/>
      <c r="L84" s="598"/>
    </row>
    <row r="85" spans="1:12" s="263" customFormat="1" ht="9" customHeight="1" x14ac:dyDescent="0.25">
      <c r="A85" s="601">
        <v>1997</v>
      </c>
      <c r="B85" s="632"/>
      <c r="C85" s="550"/>
      <c r="D85" s="550"/>
      <c r="E85" s="632"/>
      <c r="F85" s="550"/>
      <c r="G85" s="550"/>
      <c r="H85" s="550"/>
      <c r="I85" s="550"/>
      <c r="J85" s="550"/>
      <c r="K85" s="550"/>
      <c r="L85" s="550"/>
    </row>
    <row r="86" spans="1:12" s="263" customFormat="1" ht="9" customHeight="1" x14ac:dyDescent="0.25">
      <c r="A86" s="265" t="s">
        <v>21</v>
      </c>
      <c r="B86" s="597">
        <f>SUM(B88:B119)</f>
        <v>7624338</v>
      </c>
      <c r="C86" s="597">
        <f>SUM(C88:C119)</f>
        <v>2637469</v>
      </c>
      <c r="D86" s="597"/>
      <c r="E86" s="597">
        <f>SUM(E88:E119)</f>
        <v>3732019</v>
      </c>
      <c r="F86" s="597">
        <f>SUM(F88:F119)</f>
        <v>796474</v>
      </c>
      <c r="G86" s="597">
        <f>SUM(G88:G119)</f>
        <v>887684</v>
      </c>
      <c r="H86" s="597">
        <f>SUM(H88:H119)</f>
        <v>2047861</v>
      </c>
      <c r="I86" s="597"/>
      <c r="J86" s="597">
        <f>SUM(J88:J119)</f>
        <v>85537</v>
      </c>
      <c r="K86" s="597">
        <f>SUM(K88:K119)</f>
        <v>892134</v>
      </c>
      <c r="L86" s="597">
        <f>SUM(L88:L119)</f>
        <v>277179</v>
      </c>
    </row>
    <row r="87" spans="1:12" s="263" customFormat="1" ht="3.95" customHeight="1" x14ac:dyDescent="0.25">
      <c r="A87" s="265"/>
      <c r="B87" s="597"/>
      <c r="C87" s="597"/>
      <c r="D87" s="597"/>
      <c r="E87" s="597"/>
      <c r="F87" s="597"/>
      <c r="G87" s="597"/>
      <c r="H87" s="597"/>
      <c r="I87" s="597"/>
      <c r="J87" s="597"/>
      <c r="K87" s="597"/>
      <c r="L87" s="597"/>
    </row>
    <row r="88" spans="1:12" s="263" customFormat="1" ht="9" customHeight="1" x14ac:dyDescent="0.25">
      <c r="A88" s="263" t="s">
        <v>23</v>
      </c>
      <c r="B88" s="598">
        <f t="shared" ref="B88:B119" si="4">SUM(C88+E88+J88+K88+L88)</f>
        <v>57683</v>
      </c>
      <c r="C88" s="598">
        <v>10106</v>
      </c>
      <c r="D88" s="598"/>
      <c r="E88" s="598">
        <f t="shared" ref="E88:E119" si="5">SUM(F88:H88)</f>
        <v>42104</v>
      </c>
      <c r="F88" s="598">
        <v>9664</v>
      </c>
      <c r="G88" s="598">
        <v>5086</v>
      </c>
      <c r="H88" s="598">
        <v>27354</v>
      </c>
      <c r="I88" s="598"/>
      <c r="J88" s="598">
        <v>0</v>
      </c>
      <c r="K88" s="598">
        <v>4497</v>
      </c>
      <c r="L88" s="598">
        <v>976</v>
      </c>
    </row>
    <row r="89" spans="1:12" s="263" customFormat="1" ht="9" customHeight="1" x14ac:dyDescent="0.25">
      <c r="A89" s="263" t="s">
        <v>24</v>
      </c>
      <c r="B89" s="598">
        <f t="shared" si="4"/>
        <v>113687</v>
      </c>
      <c r="C89" s="598">
        <v>67438</v>
      </c>
      <c r="D89" s="598"/>
      <c r="E89" s="598">
        <f t="shared" si="5"/>
        <v>35111</v>
      </c>
      <c r="F89" s="598">
        <v>11020</v>
      </c>
      <c r="G89" s="598">
        <v>10450</v>
      </c>
      <c r="H89" s="598">
        <v>13641</v>
      </c>
      <c r="I89" s="598"/>
      <c r="J89" s="598">
        <v>419</v>
      </c>
      <c r="K89" s="598">
        <v>9031</v>
      </c>
      <c r="L89" s="598">
        <v>1688</v>
      </c>
    </row>
    <row r="90" spans="1:12" s="263" customFormat="1" ht="9" customHeight="1" x14ac:dyDescent="0.25">
      <c r="A90" s="263" t="s">
        <v>25</v>
      </c>
      <c r="B90" s="598">
        <f t="shared" si="4"/>
        <v>18000</v>
      </c>
      <c r="C90" s="598">
        <v>12047</v>
      </c>
      <c r="D90" s="598"/>
      <c r="E90" s="598">
        <f t="shared" si="5"/>
        <v>2280</v>
      </c>
      <c r="F90" s="598">
        <v>630</v>
      </c>
      <c r="G90" s="598">
        <v>575</v>
      </c>
      <c r="H90" s="598">
        <v>1075</v>
      </c>
      <c r="I90" s="598"/>
      <c r="J90" s="598">
        <v>720</v>
      </c>
      <c r="K90" s="598">
        <v>2230</v>
      </c>
      <c r="L90" s="598">
        <v>723</v>
      </c>
    </row>
    <row r="91" spans="1:12" s="263" customFormat="1" ht="9" customHeight="1" x14ac:dyDescent="0.25">
      <c r="A91" s="267" t="s">
        <v>26</v>
      </c>
      <c r="B91" s="599">
        <f t="shared" si="4"/>
        <v>16298</v>
      </c>
      <c r="C91" s="599">
        <v>5324</v>
      </c>
      <c r="D91" s="599"/>
      <c r="E91" s="599">
        <f t="shared" si="5"/>
        <v>7367</v>
      </c>
      <c r="F91" s="599">
        <v>3647</v>
      </c>
      <c r="G91" s="599">
        <v>1005</v>
      </c>
      <c r="H91" s="599">
        <v>2715</v>
      </c>
      <c r="I91" s="599"/>
      <c r="J91" s="599">
        <v>0</v>
      </c>
      <c r="K91" s="599">
        <v>3305</v>
      </c>
      <c r="L91" s="599">
        <v>302</v>
      </c>
    </row>
    <row r="92" spans="1:12" s="263" customFormat="1" ht="9" customHeight="1" x14ac:dyDescent="0.25">
      <c r="A92" s="263" t="s">
        <v>27</v>
      </c>
      <c r="B92" s="598">
        <f t="shared" si="4"/>
        <v>124774</v>
      </c>
      <c r="C92" s="598">
        <v>43715</v>
      </c>
      <c r="D92" s="598"/>
      <c r="E92" s="598">
        <f t="shared" si="5"/>
        <v>64774</v>
      </c>
      <c r="F92" s="598">
        <v>13684</v>
      </c>
      <c r="G92" s="598">
        <v>16622</v>
      </c>
      <c r="H92" s="598">
        <v>34468</v>
      </c>
      <c r="I92" s="598"/>
      <c r="J92" s="598">
        <v>115</v>
      </c>
      <c r="K92" s="598">
        <v>15123</v>
      </c>
      <c r="L92" s="598">
        <v>1047</v>
      </c>
    </row>
    <row r="93" spans="1:12" s="263" customFormat="1" ht="9" customHeight="1" x14ac:dyDescent="0.25">
      <c r="A93" s="263" t="s">
        <v>28</v>
      </c>
      <c r="B93" s="598">
        <f t="shared" si="4"/>
        <v>21582</v>
      </c>
      <c r="C93" s="598">
        <v>10699</v>
      </c>
      <c r="D93" s="598"/>
      <c r="E93" s="598">
        <f t="shared" si="5"/>
        <v>9360</v>
      </c>
      <c r="F93" s="598">
        <v>2279</v>
      </c>
      <c r="G93" s="598">
        <v>2445</v>
      </c>
      <c r="H93" s="598">
        <v>4636</v>
      </c>
      <c r="I93" s="598"/>
      <c r="J93" s="598">
        <v>25</v>
      </c>
      <c r="K93" s="598">
        <v>1498</v>
      </c>
      <c r="L93" s="598">
        <v>0</v>
      </c>
    </row>
    <row r="94" spans="1:12" s="263" customFormat="1" ht="9" customHeight="1" x14ac:dyDescent="0.25">
      <c r="A94" s="263" t="s">
        <v>29</v>
      </c>
      <c r="B94" s="598">
        <f t="shared" si="4"/>
        <v>107013</v>
      </c>
      <c r="C94" s="598">
        <v>47603</v>
      </c>
      <c r="D94" s="598"/>
      <c r="E94" s="598">
        <f t="shared" si="5"/>
        <v>51761</v>
      </c>
      <c r="F94" s="598">
        <v>16753</v>
      </c>
      <c r="G94" s="598">
        <v>17001</v>
      </c>
      <c r="H94" s="598">
        <v>18007</v>
      </c>
      <c r="I94" s="598"/>
      <c r="J94" s="598">
        <v>337</v>
      </c>
      <c r="K94" s="598">
        <v>5696</v>
      </c>
      <c r="L94" s="598">
        <v>1616</v>
      </c>
    </row>
    <row r="95" spans="1:12" s="263" customFormat="1" ht="9" customHeight="1" x14ac:dyDescent="0.25">
      <c r="A95" s="267" t="s">
        <v>30</v>
      </c>
      <c r="B95" s="599">
        <f t="shared" si="4"/>
        <v>142719</v>
      </c>
      <c r="C95" s="599">
        <v>81233</v>
      </c>
      <c r="D95" s="599"/>
      <c r="E95" s="599">
        <f t="shared" si="5"/>
        <v>38902</v>
      </c>
      <c r="F95" s="599">
        <v>6934</v>
      </c>
      <c r="G95" s="599">
        <v>22374</v>
      </c>
      <c r="H95" s="599">
        <v>9594</v>
      </c>
      <c r="I95" s="599"/>
      <c r="J95" s="599">
        <v>46</v>
      </c>
      <c r="K95" s="599">
        <v>21604</v>
      </c>
      <c r="L95" s="599">
        <v>934</v>
      </c>
    </row>
    <row r="96" spans="1:12" s="263" customFormat="1" ht="9" customHeight="1" x14ac:dyDescent="0.25">
      <c r="A96" s="263" t="s">
        <v>63</v>
      </c>
      <c r="B96" s="598">
        <f t="shared" si="4"/>
        <v>2123391</v>
      </c>
      <c r="C96" s="598">
        <v>383074</v>
      </c>
      <c r="D96" s="598"/>
      <c r="E96" s="598">
        <f t="shared" si="5"/>
        <v>1303157</v>
      </c>
      <c r="F96" s="598">
        <v>162220</v>
      </c>
      <c r="G96" s="598">
        <v>183692</v>
      </c>
      <c r="H96" s="598">
        <v>957245</v>
      </c>
      <c r="I96" s="598"/>
      <c r="J96" s="598">
        <v>50888</v>
      </c>
      <c r="K96" s="598">
        <v>316748</v>
      </c>
      <c r="L96" s="598">
        <v>69524</v>
      </c>
    </row>
    <row r="97" spans="1:12" s="263" customFormat="1" ht="9" customHeight="1" x14ac:dyDescent="0.25">
      <c r="A97" s="263" t="s">
        <v>31</v>
      </c>
      <c r="B97" s="598">
        <f t="shared" si="4"/>
        <v>25494</v>
      </c>
      <c r="C97" s="598">
        <v>15528</v>
      </c>
      <c r="D97" s="598"/>
      <c r="E97" s="598">
        <f t="shared" si="5"/>
        <v>9012</v>
      </c>
      <c r="F97" s="598">
        <v>4117</v>
      </c>
      <c r="G97" s="598">
        <v>1508</v>
      </c>
      <c r="H97" s="598">
        <v>3387</v>
      </c>
      <c r="I97" s="598"/>
      <c r="J97" s="598">
        <v>0</v>
      </c>
      <c r="K97" s="598">
        <v>624</v>
      </c>
      <c r="L97" s="598">
        <v>330</v>
      </c>
    </row>
    <row r="98" spans="1:12" s="263" customFormat="1" ht="9" customHeight="1" x14ac:dyDescent="0.25">
      <c r="A98" s="263" t="s">
        <v>32</v>
      </c>
      <c r="B98" s="598">
        <f t="shared" si="4"/>
        <v>440156</v>
      </c>
      <c r="C98" s="598">
        <v>200931</v>
      </c>
      <c r="D98" s="598"/>
      <c r="E98" s="598">
        <f t="shared" si="5"/>
        <v>178686</v>
      </c>
      <c r="F98" s="598">
        <v>49113</v>
      </c>
      <c r="G98" s="598">
        <v>53972</v>
      </c>
      <c r="H98" s="598">
        <v>75601</v>
      </c>
      <c r="I98" s="598"/>
      <c r="J98" s="598">
        <v>468</v>
      </c>
      <c r="K98" s="598">
        <v>45374</v>
      </c>
      <c r="L98" s="598">
        <v>14697</v>
      </c>
    </row>
    <row r="99" spans="1:12" s="263" customFormat="1" ht="9" customHeight="1" x14ac:dyDescent="0.25">
      <c r="A99" s="267" t="s">
        <v>33</v>
      </c>
      <c r="B99" s="599">
        <f t="shared" si="4"/>
        <v>141801</v>
      </c>
      <c r="C99" s="599">
        <v>69775</v>
      </c>
      <c r="D99" s="599"/>
      <c r="E99" s="599">
        <f t="shared" si="5"/>
        <v>57175</v>
      </c>
      <c r="F99" s="599">
        <v>14806</v>
      </c>
      <c r="G99" s="599">
        <v>15837</v>
      </c>
      <c r="H99" s="599">
        <v>26532</v>
      </c>
      <c r="I99" s="599"/>
      <c r="J99" s="599">
        <v>322</v>
      </c>
      <c r="K99" s="599">
        <v>11865</v>
      </c>
      <c r="L99" s="599">
        <v>2664</v>
      </c>
    </row>
    <row r="100" spans="1:12" s="263" customFormat="1" ht="9" customHeight="1" x14ac:dyDescent="0.25">
      <c r="A100" s="263" t="s">
        <v>34</v>
      </c>
      <c r="B100" s="598">
        <f t="shared" si="4"/>
        <v>125074</v>
      </c>
      <c r="C100" s="598">
        <v>60779</v>
      </c>
      <c r="D100" s="598"/>
      <c r="E100" s="598">
        <f t="shared" si="5"/>
        <v>48812</v>
      </c>
      <c r="F100" s="598">
        <v>10938</v>
      </c>
      <c r="G100" s="598">
        <v>14260</v>
      </c>
      <c r="H100" s="598">
        <v>23614</v>
      </c>
      <c r="I100" s="598"/>
      <c r="J100" s="598">
        <v>176</v>
      </c>
      <c r="K100" s="598">
        <v>3567</v>
      </c>
      <c r="L100" s="598">
        <v>11740</v>
      </c>
    </row>
    <row r="101" spans="1:12" s="263" customFormat="1" ht="9" customHeight="1" x14ac:dyDescent="0.25">
      <c r="A101" s="263" t="s">
        <v>35</v>
      </c>
      <c r="B101" s="598">
        <f t="shared" si="4"/>
        <v>360976</v>
      </c>
      <c r="C101" s="598">
        <v>89831</v>
      </c>
      <c r="D101" s="598"/>
      <c r="E101" s="598">
        <f t="shared" si="5"/>
        <v>225550</v>
      </c>
      <c r="F101" s="598">
        <v>51882</v>
      </c>
      <c r="G101" s="598">
        <v>63963</v>
      </c>
      <c r="H101" s="598">
        <v>109705</v>
      </c>
      <c r="I101" s="598"/>
      <c r="J101" s="598">
        <v>456</v>
      </c>
      <c r="K101" s="598">
        <v>39757</v>
      </c>
      <c r="L101" s="598">
        <v>5382</v>
      </c>
    </row>
    <row r="102" spans="1:12" s="263" customFormat="1" ht="9" customHeight="1" x14ac:dyDescent="0.25">
      <c r="A102" s="263" t="s">
        <v>36</v>
      </c>
      <c r="B102" s="598">
        <f t="shared" si="4"/>
        <v>922557</v>
      </c>
      <c r="C102" s="598">
        <v>502509</v>
      </c>
      <c r="D102" s="598"/>
      <c r="E102" s="598">
        <f t="shared" si="5"/>
        <v>350419</v>
      </c>
      <c r="F102" s="598">
        <v>111267</v>
      </c>
      <c r="G102" s="598">
        <v>112529</v>
      </c>
      <c r="H102" s="598">
        <v>126623</v>
      </c>
      <c r="I102" s="598"/>
      <c r="J102" s="598">
        <v>5132</v>
      </c>
      <c r="K102" s="598">
        <v>42651</v>
      </c>
      <c r="L102" s="598">
        <v>21846</v>
      </c>
    </row>
    <row r="103" spans="1:12" s="263" customFormat="1" ht="9" customHeight="1" x14ac:dyDescent="0.25">
      <c r="A103" s="267" t="s">
        <v>37</v>
      </c>
      <c r="B103" s="599">
        <f t="shared" si="4"/>
        <v>139779</v>
      </c>
      <c r="C103" s="599">
        <v>42236</v>
      </c>
      <c r="D103" s="599"/>
      <c r="E103" s="599">
        <f t="shared" si="5"/>
        <v>66142</v>
      </c>
      <c r="F103" s="599">
        <v>19721</v>
      </c>
      <c r="G103" s="599">
        <v>19864</v>
      </c>
      <c r="H103" s="599">
        <v>26557</v>
      </c>
      <c r="I103" s="599"/>
      <c r="J103" s="599">
        <v>72</v>
      </c>
      <c r="K103" s="599">
        <v>28058</v>
      </c>
      <c r="L103" s="599">
        <v>3271</v>
      </c>
    </row>
    <row r="104" spans="1:12" s="263" customFormat="1" ht="9" customHeight="1" x14ac:dyDescent="0.25">
      <c r="A104" s="263" t="s">
        <v>38</v>
      </c>
      <c r="B104" s="598">
        <f t="shared" si="4"/>
        <v>80602</v>
      </c>
      <c r="C104" s="598">
        <v>47755</v>
      </c>
      <c r="D104" s="598"/>
      <c r="E104" s="598">
        <f t="shared" si="5"/>
        <v>27322</v>
      </c>
      <c r="F104" s="598">
        <v>11896</v>
      </c>
      <c r="G104" s="598">
        <v>4661</v>
      </c>
      <c r="H104" s="598">
        <v>10765</v>
      </c>
      <c r="I104" s="598"/>
      <c r="J104" s="598">
        <v>126</v>
      </c>
      <c r="K104" s="598">
        <v>5117</v>
      </c>
      <c r="L104" s="598">
        <v>282</v>
      </c>
    </row>
    <row r="105" spans="1:12" s="263" customFormat="1" ht="9" customHeight="1" x14ac:dyDescent="0.25">
      <c r="A105" s="263" t="s">
        <v>39</v>
      </c>
      <c r="B105" s="598">
        <f t="shared" si="4"/>
        <v>19957</v>
      </c>
      <c r="C105" s="598">
        <v>4185</v>
      </c>
      <c r="D105" s="598"/>
      <c r="E105" s="598">
        <f t="shared" si="5"/>
        <v>14835</v>
      </c>
      <c r="F105" s="598">
        <v>3035</v>
      </c>
      <c r="G105" s="598">
        <v>8299</v>
      </c>
      <c r="H105" s="598">
        <v>3501</v>
      </c>
      <c r="I105" s="598"/>
      <c r="J105" s="598">
        <v>0</v>
      </c>
      <c r="K105" s="598">
        <v>936</v>
      </c>
      <c r="L105" s="598">
        <v>1</v>
      </c>
    </row>
    <row r="106" spans="1:12" s="263" customFormat="1" ht="9" customHeight="1" x14ac:dyDescent="0.25">
      <c r="A106" s="263" t="s">
        <v>40</v>
      </c>
      <c r="B106" s="598">
        <f t="shared" si="4"/>
        <v>908448</v>
      </c>
      <c r="C106" s="598">
        <v>298547</v>
      </c>
      <c r="D106" s="598"/>
      <c r="E106" s="598">
        <f t="shared" si="5"/>
        <v>368338</v>
      </c>
      <c r="F106" s="598">
        <v>67802</v>
      </c>
      <c r="G106" s="598">
        <v>117797</v>
      </c>
      <c r="H106" s="598">
        <v>182739</v>
      </c>
      <c r="I106" s="598"/>
      <c r="J106" s="598">
        <v>17215</v>
      </c>
      <c r="K106" s="598">
        <v>153037</v>
      </c>
      <c r="L106" s="598">
        <v>71311</v>
      </c>
    </row>
    <row r="107" spans="1:12" s="263" customFormat="1" ht="9" customHeight="1" x14ac:dyDescent="0.25">
      <c r="A107" s="267" t="s">
        <v>41</v>
      </c>
      <c r="B107" s="599">
        <f t="shared" si="4"/>
        <v>216766</v>
      </c>
      <c r="C107" s="599">
        <v>78788</v>
      </c>
      <c r="D107" s="599"/>
      <c r="E107" s="599">
        <f t="shared" si="5"/>
        <v>110480</v>
      </c>
      <c r="F107" s="599">
        <v>24489</v>
      </c>
      <c r="G107" s="599">
        <v>26677</v>
      </c>
      <c r="H107" s="599">
        <v>59314</v>
      </c>
      <c r="I107" s="599"/>
      <c r="J107" s="599">
        <v>1071</v>
      </c>
      <c r="K107" s="599">
        <v>4734</v>
      </c>
      <c r="L107" s="599">
        <v>21693</v>
      </c>
    </row>
    <row r="108" spans="1:12" s="263" customFormat="1" ht="9" customHeight="1" x14ac:dyDescent="0.25">
      <c r="A108" s="263" t="s">
        <v>42</v>
      </c>
      <c r="B108" s="598">
        <f t="shared" si="4"/>
        <v>187657</v>
      </c>
      <c r="C108" s="598">
        <v>89882</v>
      </c>
      <c r="D108" s="598"/>
      <c r="E108" s="598">
        <f t="shared" si="5"/>
        <v>77731</v>
      </c>
      <c r="F108" s="598">
        <v>21414</v>
      </c>
      <c r="G108" s="598">
        <v>16947</v>
      </c>
      <c r="H108" s="598">
        <v>39370</v>
      </c>
      <c r="I108" s="598"/>
      <c r="J108" s="598">
        <v>504</v>
      </c>
      <c r="K108" s="598">
        <v>14909</v>
      </c>
      <c r="L108" s="598">
        <v>4631</v>
      </c>
    </row>
    <row r="109" spans="1:12" s="263" customFormat="1" ht="9" customHeight="1" x14ac:dyDescent="0.25">
      <c r="A109" s="263" t="s">
        <v>43</v>
      </c>
      <c r="B109" s="598">
        <f t="shared" si="4"/>
        <v>29576</v>
      </c>
      <c r="C109" s="598">
        <v>11603</v>
      </c>
      <c r="D109" s="598"/>
      <c r="E109" s="598">
        <f t="shared" si="5"/>
        <v>11955</v>
      </c>
      <c r="F109" s="598">
        <v>4578</v>
      </c>
      <c r="G109" s="598">
        <v>3388</v>
      </c>
      <c r="H109" s="598">
        <v>3989</v>
      </c>
      <c r="I109" s="598"/>
      <c r="J109" s="598">
        <v>37</v>
      </c>
      <c r="K109" s="598">
        <v>5791</v>
      </c>
      <c r="L109" s="598">
        <v>190</v>
      </c>
    </row>
    <row r="110" spans="1:12" s="263" customFormat="1" ht="9" customHeight="1" x14ac:dyDescent="0.25">
      <c r="A110" s="263" t="s">
        <v>44</v>
      </c>
      <c r="B110" s="598">
        <f t="shared" si="4"/>
        <v>120385</v>
      </c>
      <c r="C110" s="598">
        <v>33337</v>
      </c>
      <c r="D110" s="598"/>
      <c r="E110" s="598">
        <f t="shared" si="5"/>
        <v>71713</v>
      </c>
      <c r="F110" s="598">
        <v>18360</v>
      </c>
      <c r="G110" s="598">
        <v>19557</v>
      </c>
      <c r="H110" s="598">
        <v>33796</v>
      </c>
      <c r="I110" s="598"/>
      <c r="J110" s="598">
        <v>756</v>
      </c>
      <c r="K110" s="598">
        <v>9085</v>
      </c>
      <c r="L110" s="598">
        <v>5494</v>
      </c>
    </row>
    <row r="111" spans="1:12" s="263" customFormat="1" ht="9" customHeight="1" x14ac:dyDescent="0.25">
      <c r="A111" s="267" t="s">
        <v>45</v>
      </c>
      <c r="B111" s="599">
        <f t="shared" si="4"/>
        <v>124517</v>
      </c>
      <c r="C111" s="599">
        <v>37019</v>
      </c>
      <c r="D111" s="599"/>
      <c r="E111" s="599">
        <f t="shared" si="5"/>
        <v>44246</v>
      </c>
      <c r="F111" s="599">
        <v>21462</v>
      </c>
      <c r="G111" s="599">
        <v>11557</v>
      </c>
      <c r="H111" s="599">
        <v>11227</v>
      </c>
      <c r="I111" s="599"/>
      <c r="J111" s="599">
        <v>331</v>
      </c>
      <c r="K111" s="599">
        <v>41208</v>
      </c>
      <c r="L111" s="599">
        <v>1713</v>
      </c>
    </row>
    <row r="112" spans="1:12" s="263" customFormat="1" ht="9" customHeight="1" x14ac:dyDescent="0.25">
      <c r="A112" s="263" t="s">
        <v>46</v>
      </c>
      <c r="B112" s="598">
        <f t="shared" si="4"/>
        <v>99329</v>
      </c>
      <c r="C112" s="598">
        <v>32002</v>
      </c>
      <c r="D112" s="598"/>
      <c r="E112" s="598">
        <f t="shared" si="5"/>
        <v>56315</v>
      </c>
      <c r="F112" s="598">
        <v>15794</v>
      </c>
      <c r="G112" s="598">
        <v>12227</v>
      </c>
      <c r="H112" s="598">
        <v>28294</v>
      </c>
      <c r="I112" s="598"/>
      <c r="J112" s="598">
        <v>648</v>
      </c>
      <c r="K112" s="598">
        <v>8879</v>
      </c>
      <c r="L112" s="598">
        <v>1485</v>
      </c>
    </row>
    <row r="113" spans="1:12" s="263" customFormat="1" ht="9" customHeight="1" x14ac:dyDescent="0.25">
      <c r="A113" s="263" t="s">
        <v>47</v>
      </c>
      <c r="B113" s="598">
        <f t="shared" si="4"/>
        <v>151607</v>
      </c>
      <c r="C113" s="598">
        <v>40056</v>
      </c>
      <c r="D113" s="598"/>
      <c r="E113" s="598">
        <f t="shared" si="5"/>
        <v>85982</v>
      </c>
      <c r="F113" s="598">
        <v>16239</v>
      </c>
      <c r="G113" s="598">
        <v>16165</v>
      </c>
      <c r="H113" s="598">
        <v>53578</v>
      </c>
      <c r="I113" s="598"/>
      <c r="J113" s="598">
        <v>1855</v>
      </c>
      <c r="K113" s="598">
        <v>19718</v>
      </c>
      <c r="L113" s="598">
        <v>3996</v>
      </c>
    </row>
    <row r="114" spans="1:12" s="263" customFormat="1" ht="9" customHeight="1" x14ac:dyDescent="0.25">
      <c r="A114" s="263" t="s">
        <v>48</v>
      </c>
      <c r="B114" s="598">
        <f t="shared" si="4"/>
        <v>84861</v>
      </c>
      <c r="C114" s="598">
        <v>41113</v>
      </c>
      <c r="D114" s="598"/>
      <c r="E114" s="598">
        <f t="shared" si="5"/>
        <v>30262</v>
      </c>
      <c r="F114" s="598">
        <v>8729</v>
      </c>
      <c r="G114" s="598">
        <v>12814</v>
      </c>
      <c r="H114" s="598">
        <v>8719</v>
      </c>
      <c r="I114" s="598"/>
      <c r="J114" s="598">
        <v>1080</v>
      </c>
      <c r="K114" s="598">
        <v>10114</v>
      </c>
      <c r="L114" s="598">
        <v>2292</v>
      </c>
    </row>
    <row r="115" spans="1:12" s="263" customFormat="1" ht="9" customHeight="1" x14ac:dyDescent="0.25">
      <c r="A115" s="267" t="s">
        <v>49</v>
      </c>
      <c r="B115" s="599">
        <f t="shared" si="4"/>
        <v>240510</v>
      </c>
      <c r="C115" s="599">
        <v>103034</v>
      </c>
      <c r="D115" s="599"/>
      <c r="E115" s="599">
        <f t="shared" si="5"/>
        <v>94247</v>
      </c>
      <c r="F115" s="599">
        <v>24800</v>
      </c>
      <c r="G115" s="599">
        <v>25870</v>
      </c>
      <c r="H115" s="599">
        <v>43577</v>
      </c>
      <c r="I115" s="599"/>
      <c r="J115" s="599">
        <v>673</v>
      </c>
      <c r="K115" s="599">
        <v>31753</v>
      </c>
      <c r="L115" s="599">
        <v>10803</v>
      </c>
    </row>
    <row r="116" spans="1:12" s="263" customFormat="1" ht="9" customHeight="1" x14ac:dyDescent="0.25">
      <c r="A116" s="263" t="s">
        <v>50</v>
      </c>
      <c r="B116" s="598">
        <f t="shared" si="4"/>
        <v>55929</v>
      </c>
      <c r="C116" s="598">
        <v>26072</v>
      </c>
      <c r="D116" s="598"/>
      <c r="E116" s="598">
        <f t="shared" si="5"/>
        <v>27122</v>
      </c>
      <c r="F116" s="598">
        <v>7611</v>
      </c>
      <c r="G116" s="598">
        <v>10994</v>
      </c>
      <c r="H116" s="598">
        <v>8517</v>
      </c>
      <c r="I116" s="598"/>
      <c r="J116" s="598">
        <v>310</v>
      </c>
      <c r="K116" s="598">
        <v>1150</v>
      </c>
      <c r="L116" s="598">
        <v>1275</v>
      </c>
    </row>
    <row r="117" spans="1:12" s="263" customFormat="1" ht="9" customHeight="1" x14ac:dyDescent="0.25">
      <c r="A117" s="263" t="s">
        <v>51</v>
      </c>
      <c r="B117" s="598">
        <f t="shared" si="4"/>
        <v>185038</v>
      </c>
      <c r="C117" s="598">
        <v>86294</v>
      </c>
      <c r="D117" s="598"/>
      <c r="E117" s="598">
        <f t="shared" si="5"/>
        <v>75520</v>
      </c>
      <c r="F117" s="598">
        <v>31085</v>
      </c>
      <c r="G117" s="598">
        <v>16875</v>
      </c>
      <c r="H117" s="598">
        <v>27560</v>
      </c>
      <c r="I117" s="598"/>
      <c r="J117" s="598">
        <v>1487</v>
      </c>
      <c r="K117" s="598">
        <v>18570</v>
      </c>
      <c r="L117" s="598">
        <v>3167</v>
      </c>
    </row>
    <row r="118" spans="1:12" s="263" customFormat="1" ht="9" customHeight="1" x14ac:dyDescent="0.25">
      <c r="A118" s="263" t="s">
        <v>52</v>
      </c>
      <c r="B118" s="598">
        <f t="shared" si="4"/>
        <v>191674</v>
      </c>
      <c r="C118" s="598">
        <v>44948</v>
      </c>
      <c r="D118" s="598"/>
      <c r="E118" s="598">
        <f t="shared" si="5"/>
        <v>121776</v>
      </c>
      <c r="F118" s="598">
        <v>23519</v>
      </c>
      <c r="G118" s="598">
        <v>37396</v>
      </c>
      <c r="H118" s="598">
        <v>60861</v>
      </c>
      <c r="I118" s="598"/>
      <c r="J118" s="598">
        <v>182</v>
      </c>
      <c r="K118" s="598">
        <v>13225</v>
      </c>
      <c r="L118" s="598">
        <v>11543</v>
      </c>
    </row>
    <row r="119" spans="1:12" s="263" customFormat="1" ht="9" customHeight="1" x14ac:dyDescent="0.25">
      <c r="A119" s="267" t="s">
        <v>53</v>
      </c>
      <c r="B119" s="599">
        <f t="shared" si="4"/>
        <v>46498</v>
      </c>
      <c r="C119" s="599">
        <v>20006</v>
      </c>
      <c r="D119" s="599"/>
      <c r="E119" s="599">
        <f t="shared" si="5"/>
        <v>23563</v>
      </c>
      <c r="F119" s="599">
        <v>6986</v>
      </c>
      <c r="G119" s="599">
        <v>5277</v>
      </c>
      <c r="H119" s="599">
        <v>11300</v>
      </c>
      <c r="I119" s="599"/>
      <c r="J119" s="599">
        <v>86</v>
      </c>
      <c r="K119" s="599">
        <v>2280</v>
      </c>
      <c r="L119" s="599">
        <v>563</v>
      </c>
    </row>
    <row r="120" spans="1:12" s="263" customFormat="1" ht="9" customHeight="1" x14ac:dyDescent="0.25">
      <c r="B120" s="598"/>
      <c r="C120" s="598"/>
      <c r="D120" s="598"/>
      <c r="E120" s="598"/>
      <c r="F120" s="598"/>
      <c r="G120" s="598"/>
      <c r="H120" s="598"/>
      <c r="I120" s="598"/>
      <c r="J120" s="598"/>
      <c r="K120" s="598"/>
      <c r="L120" s="598"/>
    </row>
    <row r="121" spans="1:12" s="263" customFormat="1" ht="9" customHeight="1" x14ac:dyDescent="0.25">
      <c r="A121" s="601">
        <v>1998</v>
      </c>
      <c r="B121" s="632"/>
      <c r="C121" s="550"/>
      <c r="D121" s="550"/>
      <c r="E121" s="632"/>
      <c r="F121" s="550"/>
      <c r="G121" s="550"/>
      <c r="H121" s="550"/>
      <c r="I121" s="550"/>
      <c r="J121" s="550"/>
      <c r="K121" s="550"/>
      <c r="L121" s="550"/>
    </row>
    <row r="122" spans="1:12" s="263" customFormat="1" ht="9" customHeight="1" x14ac:dyDescent="0.25">
      <c r="A122" s="265" t="s">
        <v>21</v>
      </c>
      <c r="B122" s="597">
        <f>SUM(B124:B155)</f>
        <v>7363691</v>
      </c>
      <c r="C122" s="597">
        <f>SUM(C124:C155)</f>
        <v>2668891</v>
      </c>
      <c r="D122" s="597"/>
      <c r="E122" s="597">
        <f>SUM(E124:E155)</f>
        <v>3603178</v>
      </c>
      <c r="F122" s="597">
        <f>SUM(F124:F155)</f>
        <v>853723</v>
      </c>
      <c r="G122" s="597">
        <f>SUM(G124:G155)</f>
        <v>875132</v>
      </c>
      <c r="H122" s="597">
        <f>SUM(H124:H155)</f>
        <v>1874323</v>
      </c>
      <c r="I122" s="597"/>
      <c r="J122" s="597">
        <f>SUM(J124:J155)</f>
        <v>53899</v>
      </c>
      <c r="K122" s="597">
        <f>SUM(K124:K155)</f>
        <v>797696</v>
      </c>
      <c r="L122" s="597">
        <f>SUM(L124:L155)</f>
        <v>240027</v>
      </c>
    </row>
    <row r="123" spans="1:12" s="263" customFormat="1" ht="3.95" customHeight="1" x14ac:dyDescent="0.25">
      <c r="A123" s="265"/>
      <c r="B123" s="597"/>
      <c r="C123" s="597"/>
      <c r="D123" s="597"/>
      <c r="E123" s="597"/>
      <c r="F123" s="597"/>
      <c r="G123" s="597"/>
      <c r="H123" s="597"/>
      <c r="I123" s="597"/>
      <c r="J123" s="597"/>
      <c r="K123" s="597"/>
      <c r="L123" s="597"/>
    </row>
    <row r="124" spans="1:12" s="263" customFormat="1" ht="9" customHeight="1" x14ac:dyDescent="0.25">
      <c r="A124" s="263" t="s">
        <v>23</v>
      </c>
      <c r="B124" s="598">
        <f t="shared" ref="B124:B155" si="6">SUM(C124+E124+J124+K124+L124)</f>
        <v>69655</v>
      </c>
      <c r="C124" s="598">
        <v>16802</v>
      </c>
      <c r="D124" s="598"/>
      <c r="E124" s="598">
        <f t="shared" ref="E124:E155" si="7">SUM(F124:H124)</f>
        <v>45428</v>
      </c>
      <c r="F124" s="598">
        <v>12058</v>
      </c>
      <c r="G124" s="598">
        <v>7903</v>
      </c>
      <c r="H124" s="598">
        <v>25467</v>
      </c>
      <c r="I124" s="598"/>
      <c r="J124" s="598">
        <v>0</v>
      </c>
      <c r="K124" s="598">
        <v>6647</v>
      </c>
      <c r="L124" s="598">
        <v>778</v>
      </c>
    </row>
    <row r="125" spans="1:12" s="263" customFormat="1" ht="9" customHeight="1" x14ac:dyDescent="0.25">
      <c r="A125" s="263" t="s">
        <v>24</v>
      </c>
      <c r="B125" s="598">
        <f t="shared" si="6"/>
        <v>110508</v>
      </c>
      <c r="C125" s="598">
        <v>71838</v>
      </c>
      <c r="D125" s="598"/>
      <c r="E125" s="598">
        <f t="shared" si="7"/>
        <v>32875</v>
      </c>
      <c r="F125" s="598">
        <v>8953</v>
      </c>
      <c r="G125" s="598">
        <v>11426</v>
      </c>
      <c r="H125" s="598">
        <v>12496</v>
      </c>
      <c r="I125" s="598"/>
      <c r="J125" s="598">
        <v>473</v>
      </c>
      <c r="K125" s="598">
        <v>4825</v>
      </c>
      <c r="L125" s="598">
        <v>497</v>
      </c>
    </row>
    <row r="126" spans="1:12" s="263" customFormat="1" ht="9" customHeight="1" x14ac:dyDescent="0.25">
      <c r="A126" s="263" t="s">
        <v>25</v>
      </c>
      <c r="B126" s="598">
        <f t="shared" si="6"/>
        <v>16316</v>
      </c>
      <c r="C126" s="598">
        <v>7356</v>
      </c>
      <c r="D126" s="598"/>
      <c r="E126" s="598">
        <f t="shared" si="7"/>
        <v>6144</v>
      </c>
      <c r="F126" s="598">
        <v>2586</v>
      </c>
      <c r="G126" s="598">
        <v>527</v>
      </c>
      <c r="H126" s="598">
        <v>3031</v>
      </c>
      <c r="I126" s="598"/>
      <c r="J126" s="598">
        <v>180</v>
      </c>
      <c r="K126" s="598">
        <v>1800</v>
      </c>
      <c r="L126" s="598">
        <v>836</v>
      </c>
    </row>
    <row r="127" spans="1:12" s="263" customFormat="1" ht="9" customHeight="1" x14ac:dyDescent="0.25">
      <c r="A127" s="267" t="s">
        <v>26</v>
      </c>
      <c r="B127" s="599">
        <f t="shared" si="6"/>
        <v>18621</v>
      </c>
      <c r="C127" s="599">
        <v>8752</v>
      </c>
      <c r="D127" s="599"/>
      <c r="E127" s="599">
        <f t="shared" si="7"/>
        <v>8732</v>
      </c>
      <c r="F127" s="599">
        <v>3909</v>
      </c>
      <c r="G127" s="599">
        <v>1596</v>
      </c>
      <c r="H127" s="599">
        <v>3227</v>
      </c>
      <c r="I127" s="599"/>
      <c r="J127" s="599">
        <v>0</v>
      </c>
      <c r="K127" s="599">
        <v>1024</v>
      </c>
      <c r="L127" s="599">
        <v>113</v>
      </c>
    </row>
    <row r="128" spans="1:12" s="263" customFormat="1" ht="9" customHeight="1" x14ac:dyDescent="0.25">
      <c r="A128" s="263" t="s">
        <v>27</v>
      </c>
      <c r="B128" s="598">
        <f t="shared" si="6"/>
        <v>162005</v>
      </c>
      <c r="C128" s="598">
        <v>27086</v>
      </c>
      <c r="D128" s="598"/>
      <c r="E128" s="598">
        <f t="shared" si="7"/>
        <v>95980</v>
      </c>
      <c r="F128" s="598">
        <v>28786</v>
      </c>
      <c r="G128" s="598">
        <v>32543</v>
      </c>
      <c r="H128" s="598">
        <v>34651</v>
      </c>
      <c r="I128" s="598"/>
      <c r="J128" s="598">
        <v>102</v>
      </c>
      <c r="K128" s="598">
        <v>35228</v>
      </c>
      <c r="L128" s="598">
        <v>3609</v>
      </c>
    </row>
    <row r="129" spans="1:12" s="263" customFormat="1" ht="9" customHeight="1" x14ac:dyDescent="0.25">
      <c r="A129" s="263" t="s">
        <v>28</v>
      </c>
      <c r="B129" s="598">
        <f t="shared" si="6"/>
        <v>25009</v>
      </c>
      <c r="C129" s="598">
        <v>10607</v>
      </c>
      <c r="D129" s="598"/>
      <c r="E129" s="598">
        <f t="shared" si="7"/>
        <v>12131</v>
      </c>
      <c r="F129" s="598">
        <v>3319</v>
      </c>
      <c r="G129" s="598">
        <v>3376</v>
      </c>
      <c r="H129" s="598">
        <v>5436</v>
      </c>
      <c r="I129" s="598"/>
      <c r="J129" s="598">
        <v>0</v>
      </c>
      <c r="K129" s="598">
        <v>2270</v>
      </c>
      <c r="L129" s="598">
        <v>1</v>
      </c>
    </row>
    <row r="130" spans="1:12" s="263" customFormat="1" ht="9" customHeight="1" x14ac:dyDescent="0.25">
      <c r="A130" s="263" t="s">
        <v>29</v>
      </c>
      <c r="B130" s="598">
        <f t="shared" si="6"/>
        <v>110780</v>
      </c>
      <c r="C130" s="598">
        <v>52124</v>
      </c>
      <c r="D130" s="598"/>
      <c r="E130" s="598">
        <f t="shared" si="7"/>
        <v>52722</v>
      </c>
      <c r="F130" s="598">
        <v>18334</v>
      </c>
      <c r="G130" s="598">
        <v>15033</v>
      </c>
      <c r="H130" s="598">
        <v>19355</v>
      </c>
      <c r="I130" s="598"/>
      <c r="J130" s="598">
        <v>28</v>
      </c>
      <c r="K130" s="598">
        <v>4244</v>
      </c>
      <c r="L130" s="598">
        <v>1662</v>
      </c>
    </row>
    <row r="131" spans="1:12" s="263" customFormat="1" ht="9" customHeight="1" x14ac:dyDescent="0.25">
      <c r="A131" s="267" t="s">
        <v>30</v>
      </c>
      <c r="B131" s="599">
        <f t="shared" si="6"/>
        <v>106740</v>
      </c>
      <c r="C131" s="599">
        <v>58152</v>
      </c>
      <c r="D131" s="599"/>
      <c r="E131" s="599">
        <f t="shared" si="7"/>
        <v>29673</v>
      </c>
      <c r="F131" s="599">
        <v>5733</v>
      </c>
      <c r="G131" s="599">
        <v>15480</v>
      </c>
      <c r="H131" s="599">
        <v>8460</v>
      </c>
      <c r="I131" s="599"/>
      <c r="J131" s="599">
        <v>429</v>
      </c>
      <c r="K131" s="599">
        <v>18115</v>
      </c>
      <c r="L131" s="599">
        <v>371</v>
      </c>
    </row>
    <row r="132" spans="1:12" s="263" customFormat="1" ht="9" customHeight="1" x14ac:dyDescent="0.25">
      <c r="A132" s="263" t="s">
        <v>63</v>
      </c>
      <c r="B132" s="598">
        <f t="shared" si="6"/>
        <v>2051260</v>
      </c>
      <c r="C132" s="598">
        <v>507155</v>
      </c>
      <c r="D132" s="598"/>
      <c r="E132" s="598">
        <f t="shared" si="7"/>
        <v>1183331</v>
      </c>
      <c r="F132" s="598">
        <v>188668</v>
      </c>
      <c r="G132" s="598">
        <v>188823</v>
      </c>
      <c r="H132" s="598">
        <v>805840</v>
      </c>
      <c r="I132" s="598"/>
      <c r="J132" s="598">
        <v>37899</v>
      </c>
      <c r="K132" s="598">
        <v>249749</v>
      </c>
      <c r="L132" s="598">
        <v>73126</v>
      </c>
    </row>
    <row r="133" spans="1:12" s="263" customFormat="1" ht="9" customHeight="1" x14ac:dyDescent="0.25">
      <c r="A133" s="263" t="s">
        <v>31</v>
      </c>
      <c r="B133" s="598">
        <f t="shared" si="6"/>
        <v>30968</v>
      </c>
      <c r="C133" s="598">
        <v>19164</v>
      </c>
      <c r="D133" s="598"/>
      <c r="E133" s="598">
        <f t="shared" si="7"/>
        <v>9826</v>
      </c>
      <c r="F133" s="598">
        <v>2906</v>
      </c>
      <c r="G133" s="598">
        <v>2206</v>
      </c>
      <c r="H133" s="598">
        <v>4714</v>
      </c>
      <c r="I133" s="598"/>
      <c r="J133" s="598">
        <v>0</v>
      </c>
      <c r="K133" s="598">
        <v>943</v>
      </c>
      <c r="L133" s="598">
        <v>1035</v>
      </c>
    </row>
    <row r="134" spans="1:12" s="263" customFormat="1" ht="9" customHeight="1" x14ac:dyDescent="0.25">
      <c r="A134" s="263" t="s">
        <v>32</v>
      </c>
      <c r="B134" s="598">
        <f t="shared" si="6"/>
        <v>372855</v>
      </c>
      <c r="C134" s="598">
        <v>179047</v>
      </c>
      <c r="D134" s="598"/>
      <c r="E134" s="598">
        <f t="shared" si="7"/>
        <v>149603</v>
      </c>
      <c r="F134" s="598">
        <v>43858</v>
      </c>
      <c r="G134" s="598">
        <v>41161</v>
      </c>
      <c r="H134" s="598">
        <v>64584</v>
      </c>
      <c r="I134" s="598"/>
      <c r="J134" s="598">
        <v>472</v>
      </c>
      <c r="K134" s="598">
        <v>32403</v>
      </c>
      <c r="L134" s="598">
        <v>11330</v>
      </c>
    </row>
    <row r="135" spans="1:12" s="263" customFormat="1" ht="9" customHeight="1" x14ac:dyDescent="0.25">
      <c r="A135" s="267" t="s">
        <v>33</v>
      </c>
      <c r="B135" s="599">
        <f t="shared" si="6"/>
        <v>146608</v>
      </c>
      <c r="C135" s="599">
        <v>71452</v>
      </c>
      <c r="D135" s="599"/>
      <c r="E135" s="599">
        <f t="shared" si="7"/>
        <v>59483</v>
      </c>
      <c r="F135" s="599">
        <v>17106</v>
      </c>
      <c r="G135" s="599">
        <v>17564</v>
      </c>
      <c r="H135" s="599">
        <v>24813</v>
      </c>
      <c r="I135" s="599"/>
      <c r="J135" s="599">
        <v>535</v>
      </c>
      <c r="K135" s="599">
        <v>12079</v>
      </c>
      <c r="L135" s="599">
        <v>3059</v>
      </c>
    </row>
    <row r="136" spans="1:12" s="263" customFormat="1" ht="9" customHeight="1" x14ac:dyDescent="0.25">
      <c r="A136" s="263" t="s">
        <v>34</v>
      </c>
      <c r="B136" s="598">
        <f t="shared" si="6"/>
        <v>150101</v>
      </c>
      <c r="C136" s="598">
        <v>76647</v>
      </c>
      <c r="D136" s="598"/>
      <c r="E136" s="598">
        <f t="shared" si="7"/>
        <v>58099</v>
      </c>
      <c r="F136" s="598">
        <v>19593</v>
      </c>
      <c r="G136" s="598">
        <v>14275</v>
      </c>
      <c r="H136" s="598">
        <v>24231</v>
      </c>
      <c r="I136" s="598"/>
      <c r="J136" s="598">
        <v>82</v>
      </c>
      <c r="K136" s="598">
        <v>6306</v>
      </c>
      <c r="L136" s="598">
        <v>8967</v>
      </c>
    </row>
    <row r="137" spans="1:12" s="263" customFormat="1" ht="9" customHeight="1" x14ac:dyDescent="0.25">
      <c r="A137" s="263" t="s">
        <v>35</v>
      </c>
      <c r="B137" s="598">
        <f t="shared" si="6"/>
        <v>386770</v>
      </c>
      <c r="C137" s="598">
        <v>109537</v>
      </c>
      <c r="D137" s="598"/>
      <c r="E137" s="598">
        <f t="shared" si="7"/>
        <v>234570</v>
      </c>
      <c r="F137" s="598">
        <v>57981</v>
      </c>
      <c r="G137" s="598">
        <v>65763</v>
      </c>
      <c r="H137" s="598">
        <v>110826</v>
      </c>
      <c r="I137" s="598"/>
      <c r="J137" s="598">
        <v>429</v>
      </c>
      <c r="K137" s="598">
        <v>38450</v>
      </c>
      <c r="L137" s="598">
        <v>3784</v>
      </c>
    </row>
    <row r="138" spans="1:12" s="263" customFormat="1" ht="9" customHeight="1" x14ac:dyDescent="0.25">
      <c r="A138" s="263" t="s">
        <v>36</v>
      </c>
      <c r="B138" s="598">
        <f t="shared" si="6"/>
        <v>905091</v>
      </c>
      <c r="C138" s="598">
        <v>489131</v>
      </c>
      <c r="D138" s="598"/>
      <c r="E138" s="598">
        <f t="shared" si="7"/>
        <v>354775</v>
      </c>
      <c r="F138" s="598">
        <v>123921</v>
      </c>
      <c r="G138" s="598">
        <v>107737</v>
      </c>
      <c r="H138" s="598">
        <v>123117</v>
      </c>
      <c r="I138" s="598"/>
      <c r="J138" s="598">
        <v>3919</v>
      </c>
      <c r="K138" s="598">
        <v>37684</v>
      </c>
      <c r="L138" s="598">
        <v>19582</v>
      </c>
    </row>
    <row r="139" spans="1:12" s="263" customFormat="1" ht="9" customHeight="1" x14ac:dyDescent="0.25">
      <c r="A139" s="267" t="s">
        <v>37</v>
      </c>
      <c r="B139" s="599">
        <f t="shared" si="6"/>
        <v>162653</v>
      </c>
      <c r="C139" s="599">
        <v>49053</v>
      </c>
      <c r="D139" s="599"/>
      <c r="E139" s="599">
        <f t="shared" si="7"/>
        <v>85082</v>
      </c>
      <c r="F139" s="599">
        <v>26034</v>
      </c>
      <c r="G139" s="599">
        <v>23213</v>
      </c>
      <c r="H139" s="599">
        <v>35835</v>
      </c>
      <c r="I139" s="599"/>
      <c r="J139" s="599">
        <v>158</v>
      </c>
      <c r="K139" s="599">
        <v>26497</v>
      </c>
      <c r="L139" s="599">
        <v>1863</v>
      </c>
    </row>
    <row r="140" spans="1:12" s="263" customFormat="1" ht="9" customHeight="1" x14ac:dyDescent="0.25">
      <c r="A140" s="263" t="s">
        <v>38</v>
      </c>
      <c r="B140" s="598">
        <f t="shared" si="6"/>
        <v>69957</v>
      </c>
      <c r="C140" s="598">
        <v>41568</v>
      </c>
      <c r="D140" s="598"/>
      <c r="E140" s="598">
        <f t="shared" si="7"/>
        <v>22884</v>
      </c>
      <c r="F140" s="598">
        <v>10666</v>
      </c>
      <c r="G140" s="598">
        <v>3771</v>
      </c>
      <c r="H140" s="598">
        <v>8447</v>
      </c>
      <c r="I140" s="598"/>
      <c r="J140" s="598">
        <v>148</v>
      </c>
      <c r="K140" s="598">
        <v>5147</v>
      </c>
      <c r="L140" s="598">
        <v>210</v>
      </c>
    </row>
    <row r="141" spans="1:12" s="263" customFormat="1" ht="9" customHeight="1" x14ac:dyDescent="0.25">
      <c r="A141" s="263" t="s">
        <v>39</v>
      </c>
      <c r="B141" s="598">
        <f t="shared" si="6"/>
        <v>6617</v>
      </c>
      <c r="C141" s="598">
        <v>2154</v>
      </c>
      <c r="D141" s="598"/>
      <c r="E141" s="598">
        <f t="shared" si="7"/>
        <v>3900</v>
      </c>
      <c r="F141" s="598">
        <v>1534</v>
      </c>
      <c r="G141" s="598">
        <v>1207</v>
      </c>
      <c r="H141" s="598">
        <v>1159</v>
      </c>
      <c r="I141" s="598"/>
      <c r="J141" s="598">
        <v>0</v>
      </c>
      <c r="K141" s="598">
        <v>563</v>
      </c>
      <c r="L141" s="598">
        <v>0</v>
      </c>
    </row>
    <row r="142" spans="1:12" s="263" customFormat="1" ht="9" customHeight="1" x14ac:dyDescent="0.25">
      <c r="A142" s="263" t="s">
        <v>40</v>
      </c>
      <c r="B142" s="598">
        <f t="shared" si="6"/>
        <v>964558</v>
      </c>
      <c r="C142" s="598">
        <v>320186</v>
      </c>
      <c r="D142" s="598"/>
      <c r="E142" s="598">
        <f t="shared" si="7"/>
        <v>409835</v>
      </c>
      <c r="F142" s="598">
        <v>78135</v>
      </c>
      <c r="G142" s="598">
        <v>118768</v>
      </c>
      <c r="H142" s="598">
        <v>212932</v>
      </c>
      <c r="I142" s="598"/>
      <c r="J142" s="598">
        <v>2765</v>
      </c>
      <c r="K142" s="598">
        <v>173211</v>
      </c>
      <c r="L142" s="598">
        <v>58561</v>
      </c>
    </row>
    <row r="143" spans="1:12" s="263" customFormat="1" ht="9" customHeight="1" x14ac:dyDescent="0.25">
      <c r="A143" s="267" t="s">
        <v>41</v>
      </c>
      <c r="B143" s="599">
        <f t="shared" si="6"/>
        <v>145547</v>
      </c>
      <c r="C143" s="599">
        <v>51597</v>
      </c>
      <c r="D143" s="599"/>
      <c r="E143" s="599">
        <f t="shared" si="7"/>
        <v>78336</v>
      </c>
      <c r="F143" s="599">
        <v>16545</v>
      </c>
      <c r="G143" s="599">
        <v>19010</v>
      </c>
      <c r="H143" s="599">
        <v>42781</v>
      </c>
      <c r="I143" s="599"/>
      <c r="J143" s="599">
        <v>936</v>
      </c>
      <c r="K143" s="599">
        <v>4176</v>
      </c>
      <c r="L143" s="599">
        <v>10502</v>
      </c>
    </row>
    <row r="144" spans="1:12" s="263" customFormat="1" ht="9" customHeight="1" x14ac:dyDescent="0.25">
      <c r="A144" s="263" t="s">
        <v>42</v>
      </c>
      <c r="B144" s="598">
        <f t="shared" si="6"/>
        <v>167974</v>
      </c>
      <c r="C144" s="598">
        <v>74949</v>
      </c>
      <c r="D144" s="598"/>
      <c r="E144" s="598">
        <f t="shared" si="7"/>
        <v>71159</v>
      </c>
      <c r="F144" s="598">
        <v>15471</v>
      </c>
      <c r="G144" s="598">
        <v>13230</v>
      </c>
      <c r="H144" s="598">
        <v>42458</v>
      </c>
      <c r="I144" s="598"/>
      <c r="J144" s="598">
        <v>1081</v>
      </c>
      <c r="K144" s="598">
        <v>16323</v>
      </c>
      <c r="L144" s="598">
        <v>4462</v>
      </c>
    </row>
    <row r="145" spans="1:12" s="263" customFormat="1" ht="9" customHeight="1" x14ac:dyDescent="0.25">
      <c r="A145" s="263" t="s">
        <v>43</v>
      </c>
      <c r="B145" s="598">
        <f t="shared" si="6"/>
        <v>45200</v>
      </c>
      <c r="C145" s="598">
        <v>17308</v>
      </c>
      <c r="D145" s="598"/>
      <c r="E145" s="598">
        <f t="shared" si="7"/>
        <v>22418</v>
      </c>
      <c r="F145" s="598">
        <v>5862</v>
      </c>
      <c r="G145" s="598">
        <v>5220</v>
      </c>
      <c r="H145" s="598">
        <v>11336</v>
      </c>
      <c r="I145" s="598"/>
      <c r="J145" s="598">
        <v>127</v>
      </c>
      <c r="K145" s="598">
        <v>3632</v>
      </c>
      <c r="L145" s="598">
        <v>1715</v>
      </c>
    </row>
    <row r="146" spans="1:12" s="263" customFormat="1" ht="9" customHeight="1" x14ac:dyDescent="0.25">
      <c r="A146" s="263" t="s">
        <v>44</v>
      </c>
      <c r="B146" s="598">
        <f t="shared" si="6"/>
        <v>130147</v>
      </c>
      <c r="C146" s="598">
        <v>32441</v>
      </c>
      <c r="D146" s="598"/>
      <c r="E146" s="598">
        <f t="shared" si="7"/>
        <v>78716</v>
      </c>
      <c r="F146" s="598">
        <v>19189</v>
      </c>
      <c r="G146" s="598">
        <v>24131</v>
      </c>
      <c r="H146" s="598">
        <v>35396</v>
      </c>
      <c r="I146" s="598"/>
      <c r="J146" s="598">
        <v>857</v>
      </c>
      <c r="K146" s="598">
        <v>11115</v>
      </c>
      <c r="L146" s="598">
        <v>7018</v>
      </c>
    </row>
    <row r="147" spans="1:12" s="263" customFormat="1" ht="9" customHeight="1" x14ac:dyDescent="0.25">
      <c r="A147" s="267" t="s">
        <v>45</v>
      </c>
      <c r="B147" s="599">
        <f t="shared" si="6"/>
        <v>88126</v>
      </c>
      <c r="C147" s="599">
        <v>33877</v>
      </c>
      <c r="D147" s="599"/>
      <c r="E147" s="599">
        <f t="shared" si="7"/>
        <v>40171</v>
      </c>
      <c r="F147" s="599">
        <v>16475</v>
      </c>
      <c r="G147" s="599">
        <v>12075</v>
      </c>
      <c r="H147" s="599">
        <v>11621</v>
      </c>
      <c r="I147" s="599"/>
      <c r="J147" s="599">
        <v>180</v>
      </c>
      <c r="K147" s="599">
        <v>11936</v>
      </c>
      <c r="L147" s="599">
        <v>1962</v>
      </c>
    </row>
    <row r="148" spans="1:12" s="263" customFormat="1" ht="9" customHeight="1" x14ac:dyDescent="0.25">
      <c r="A148" s="263" t="s">
        <v>46</v>
      </c>
      <c r="B148" s="598">
        <f t="shared" si="6"/>
        <v>113924</v>
      </c>
      <c r="C148" s="598">
        <v>37326</v>
      </c>
      <c r="D148" s="598"/>
      <c r="E148" s="598">
        <f t="shared" si="7"/>
        <v>64070</v>
      </c>
      <c r="F148" s="598">
        <v>16566</v>
      </c>
      <c r="G148" s="598">
        <v>14546</v>
      </c>
      <c r="H148" s="598">
        <v>32958</v>
      </c>
      <c r="I148" s="598"/>
      <c r="J148" s="598">
        <v>310</v>
      </c>
      <c r="K148" s="598">
        <v>9994</v>
      </c>
      <c r="L148" s="598">
        <v>2224</v>
      </c>
    </row>
    <row r="149" spans="1:12" s="263" customFormat="1" ht="9" customHeight="1" x14ac:dyDescent="0.25">
      <c r="A149" s="263" t="s">
        <v>47</v>
      </c>
      <c r="B149" s="598">
        <f t="shared" si="6"/>
        <v>84317</v>
      </c>
      <c r="C149" s="598">
        <v>33447</v>
      </c>
      <c r="D149" s="598"/>
      <c r="E149" s="598">
        <f t="shared" si="7"/>
        <v>32275</v>
      </c>
      <c r="F149" s="598">
        <v>7333</v>
      </c>
      <c r="G149" s="598">
        <v>7249</v>
      </c>
      <c r="H149" s="598">
        <v>17693</v>
      </c>
      <c r="I149" s="598"/>
      <c r="J149" s="598">
        <v>122</v>
      </c>
      <c r="K149" s="598">
        <v>14466</v>
      </c>
      <c r="L149" s="598">
        <v>4007</v>
      </c>
    </row>
    <row r="150" spans="1:12" s="263" customFormat="1" ht="9" customHeight="1" x14ac:dyDescent="0.25">
      <c r="A150" s="263" t="s">
        <v>48</v>
      </c>
      <c r="B150" s="598">
        <f t="shared" si="6"/>
        <v>61209</v>
      </c>
      <c r="C150" s="598">
        <v>27129</v>
      </c>
      <c r="D150" s="598"/>
      <c r="E150" s="598">
        <f t="shared" si="7"/>
        <v>24726</v>
      </c>
      <c r="F150" s="598">
        <v>6445</v>
      </c>
      <c r="G150" s="598">
        <v>7974</v>
      </c>
      <c r="H150" s="598">
        <v>10307</v>
      </c>
      <c r="I150" s="598"/>
      <c r="J150" s="598">
        <v>190</v>
      </c>
      <c r="K150" s="598">
        <v>9020</v>
      </c>
      <c r="L150" s="598">
        <v>144</v>
      </c>
    </row>
    <row r="151" spans="1:12" s="263" customFormat="1" ht="9" customHeight="1" x14ac:dyDescent="0.25">
      <c r="A151" s="267" t="s">
        <v>49</v>
      </c>
      <c r="B151" s="599">
        <f t="shared" si="6"/>
        <v>138706</v>
      </c>
      <c r="C151" s="599">
        <v>60975</v>
      </c>
      <c r="D151" s="599"/>
      <c r="E151" s="599">
        <f t="shared" si="7"/>
        <v>49005</v>
      </c>
      <c r="F151" s="599">
        <v>14848</v>
      </c>
      <c r="G151" s="599">
        <v>14096</v>
      </c>
      <c r="H151" s="599">
        <v>20061</v>
      </c>
      <c r="I151" s="599"/>
      <c r="J151" s="599">
        <v>1241</v>
      </c>
      <c r="K151" s="599">
        <v>24588</v>
      </c>
      <c r="L151" s="599">
        <v>2897</v>
      </c>
    </row>
    <row r="152" spans="1:12" s="263" customFormat="1" ht="9" customHeight="1" x14ac:dyDescent="0.25">
      <c r="A152" s="263" t="s">
        <v>50</v>
      </c>
      <c r="B152" s="598">
        <f t="shared" si="6"/>
        <v>63521</v>
      </c>
      <c r="C152" s="598">
        <v>30538</v>
      </c>
      <c r="D152" s="598"/>
      <c r="E152" s="598">
        <f t="shared" si="7"/>
        <v>30759</v>
      </c>
      <c r="F152" s="598">
        <v>6716</v>
      </c>
      <c r="G152" s="598">
        <v>13314</v>
      </c>
      <c r="H152" s="598">
        <v>10729</v>
      </c>
      <c r="I152" s="598"/>
      <c r="J152" s="598">
        <v>0</v>
      </c>
      <c r="K152" s="598">
        <v>967</v>
      </c>
      <c r="L152" s="598">
        <v>1257</v>
      </c>
    </row>
    <row r="153" spans="1:12" s="263" customFormat="1" ht="9" customHeight="1" x14ac:dyDescent="0.25">
      <c r="A153" s="263" t="s">
        <v>51</v>
      </c>
      <c r="B153" s="598">
        <f t="shared" si="6"/>
        <v>197513</v>
      </c>
      <c r="C153" s="598">
        <v>96791</v>
      </c>
      <c r="D153" s="598"/>
      <c r="E153" s="598">
        <f t="shared" si="7"/>
        <v>76281</v>
      </c>
      <c r="F153" s="598">
        <v>28424</v>
      </c>
      <c r="G153" s="598">
        <v>18742</v>
      </c>
      <c r="H153" s="598">
        <v>29115</v>
      </c>
      <c r="I153" s="598"/>
      <c r="J153" s="598">
        <v>1036</v>
      </c>
      <c r="K153" s="598">
        <v>17919</v>
      </c>
      <c r="L153" s="598">
        <v>5486</v>
      </c>
    </row>
    <row r="154" spans="1:12" s="263" customFormat="1" ht="9" customHeight="1" x14ac:dyDescent="0.25">
      <c r="A154" s="263" t="s">
        <v>52</v>
      </c>
      <c r="B154" s="598">
        <f t="shared" si="6"/>
        <v>209841</v>
      </c>
      <c r="C154" s="598">
        <v>33000</v>
      </c>
      <c r="D154" s="598"/>
      <c r="E154" s="598">
        <f t="shared" si="7"/>
        <v>154879</v>
      </c>
      <c r="F154" s="598">
        <v>39225</v>
      </c>
      <c r="G154" s="598">
        <v>46596</v>
      </c>
      <c r="H154" s="598">
        <v>69058</v>
      </c>
      <c r="I154" s="598"/>
      <c r="J154" s="598">
        <v>0</v>
      </c>
      <c r="K154" s="598">
        <v>13783</v>
      </c>
      <c r="L154" s="598">
        <v>8179</v>
      </c>
    </row>
    <row r="155" spans="1:12" s="263" customFormat="1" ht="9" customHeight="1" x14ac:dyDescent="0.25">
      <c r="A155" s="267" t="s">
        <v>53</v>
      </c>
      <c r="B155" s="599">
        <f t="shared" si="6"/>
        <v>50594</v>
      </c>
      <c r="C155" s="599">
        <v>21702</v>
      </c>
      <c r="D155" s="599"/>
      <c r="E155" s="599">
        <f t="shared" si="7"/>
        <v>25310</v>
      </c>
      <c r="F155" s="599">
        <v>6544</v>
      </c>
      <c r="G155" s="599">
        <v>6577</v>
      </c>
      <c r="H155" s="599">
        <v>12189</v>
      </c>
      <c r="I155" s="599"/>
      <c r="J155" s="599">
        <v>200</v>
      </c>
      <c r="K155" s="599">
        <v>2592</v>
      </c>
      <c r="L155" s="599">
        <v>790</v>
      </c>
    </row>
    <row r="156" spans="1:12" s="263" customFormat="1" ht="9" customHeight="1" x14ac:dyDescent="0.25">
      <c r="B156" s="598"/>
      <c r="C156" s="598"/>
      <c r="D156" s="598"/>
      <c r="E156" s="598"/>
      <c r="F156" s="598"/>
      <c r="G156" s="598"/>
      <c r="H156" s="598"/>
      <c r="I156" s="598"/>
      <c r="J156" s="598"/>
      <c r="K156" s="598"/>
      <c r="L156" s="598"/>
    </row>
    <row r="157" spans="1:12" s="263" customFormat="1" ht="9" customHeight="1" x14ac:dyDescent="0.25">
      <c r="A157" s="601">
        <v>1999</v>
      </c>
      <c r="B157" s="632"/>
      <c r="C157" s="550"/>
      <c r="D157" s="550"/>
      <c r="E157" s="632"/>
      <c r="F157" s="550"/>
      <c r="G157" s="550"/>
      <c r="H157" s="550"/>
      <c r="I157" s="550"/>
      <c r="J157" s="550"/>
      <c r="K157" s="550"/>
      <c r="L157" s="550"/>
    </row>
    <row r="158" spans="1:12" s="263" customFormat="1" ht="9" customHeight="1" x14ac:dyDescent="0.25">
      <c r="A158" s="265" t="s">
        <v>21</v>
      </c>
      <c r="B158" s="597">
        <f>SUM(B160:B191)</f>
        <v>8253182</v>
      </c>
      <c r="C158" s="597">
        <f>SUM(C160:C191)</f>
        <v>3033206</v>
      </c>
      <c r="D158" s="597"/>
      <c r="E158" s="597">
        <f>SUM(E160:E191)</f>
        <v>4077837</v>
      </c>
      <c r="F158" s="597">
        <f>SUM(F160:F191)</f>
        <v>956896</v>
      </c>
      <c r="G158" s="597">
        <f>SUM(G160:G191)</f>
        <v>952330</v>
      </c>
      <c r="H158" s="597">
        <f>SUM(H160:H191)</f>
        <v>2168611</v>
      </c>
      <c r="I158" s="597"/>
      <c r="J158" s="597">
        <f>SUM(J160:J191)</f>
        <v>65905</v>
      </c>
      <c r="K158" s="597">
        <f>SUM(K160:K191)</f>
        <v>821172</v>
      </c>
      <c r="L158" s="597">
        <f>SUM(L160:L191)</f>
        <v>255062</v>
      </c>
    </row>
    <row r="159" spans="1:12" s="263" customFormat="1" ht="3.95" customHeight="1" x14ac:dyDescent="0.25">
      <c r="A159" s="265"/>
      <c r="B159" s="597"/>
      <c r="C159" s="597"/>
      <c r="D159" s="597"/>
      <c r="E159" s="597"/>
      <c r="F159" s="597"/>
      <c r="G159" s="597"/>
      <c r="H159" s="597"/>
      <c r="I159" s="597"/>
      <c r="J159" s="597"/>
      <c r="K159" s="597"/>
      <c r="L159" s="597"/>
    </row>
    <row r="160" spans="1:12" s="263" customFormat="1" ht="9" customHeight="1" x14ac:dyDescent="0.25">
      <c r="A160" s="263" t="s">
        <v>23</v>
      </c>
      <c r="B160" s="598">
        <f t="shared" ref="B160:B191" si="8">SUM(C160+E160+J160+K160+L160)</f>
        <v>40818</v>
      </c>
      <c r="C160" s="600">
        <v>11976</v>
      </c>
      <c r="D160" s="598"/>
      <c r="E160" s="598">
        <f t="shared" ref="E160:E191" si="9">SUM(F160:H160)</f>
        <v>17717</v>
      </c>
      <c r="F160" s="600">
        <v>7391</v>
      </c>
      <c r="G160" s="600">
        <v>4191</v>
      </c>
      <c r="H160" s="598">
        <v>6135</v>
      </c>
      <c r="I160" s="598"/>
      <c r="J160" s="600">
        <v>2</v>
      </c>
      <c r="K160" s="600">
        <v>10137</v>
      </c>
      <c r="L160" s="600">
        <v>986</v>
      </c>
    </row>
    <row r="161" spans="1:12" s="263" customFormat="1" ht="9" customHeight="1" x14ac:dyDescent="0.25">
      <c r="A161" s="263" t="s">
        <v>24</v>
      </c>
      <c r="B161" s="598">
        <f t="shared" si="8"/>
        <v>205507</v>
      </c>
      <c r="C161" s="600">
        <v>133329</v>
      </c>
      <c r="D161" s="598"/>
      <c r="E161" s="598">
        <f t="shared" si="9"/>
        <v>57361</v>
      </c>
      <c r="F161" s="600">
        <v>18074</v>
      </c>
      <c r="G161" s="600">
        <v>19652</v>
      </c>
      <c r="H161" s="598">
        <v>19635</v>
      </c>
      <c r="I161" s="598"/>
      <c r="J161" s="600">
        <v>1288</v>
      </c>
      <c r="K161" s="600">
        <v>8728</v>
      </c>
      <c r="L161" s="600">
        <v>4801</v>
      </c>
    </row>
    <row r="162" spans="1:12" s="263" customFormat="1" ht="9" customHeight="1" x14ac:dyDescent="0.25">
      <c r="A162" s="263" t="s">
        <v>25</v>
      </c>
      <c r="B162" s="598">
        <f t="shared" si="8"/>
        <v>23559</v>
      </c>
      <c r="C162" s="600">
        <v>11943</v>
      </c>
      <c r="D162" s="598"/>
      <c r="E162" s="598">
        <f t="shared" si="9"/>
        <v>7039</v>
      </c>
      <c r="F162" s="600">
        <v>3684</v>
      </c>
      <c r="G162" s="600">
        <v>642</v>
      </c>
      <c r="H162" s="598">
        <v>2713</v>
      </c>
      <c r="I162" s="598"/>
      <c r="J162" s="600">
        <v>670</v>
      </c>
      <c r="K162" s="600">
        <v>2626</v>
      </c>
      <c r="L162" s="600">
        <v>1281</v>
      </c>
    </row>
    <row r="163" spans="1:12" s="263" customFormat="1" ht="9" customHeight="1" x14ac:dyDescent="0.25">
      <c r="A163" s="267" t="s">
        <v>26</v>
      </c>
      <c r="B163" s="599">
        <f t="shared" si="8"/>
        <v>23015</v>
      </c>
      <c r="C163" s="604">
        <v>9817</v>
      </c>
      <c r="D163" s="599"/>
      <c r="E163" s="599">
        <f t="shared" si="9"/>
        <v>11604</v>
      </c>
      <c r="F163" s="604">
        <v>5526</v>
      </c>
      <c r="G163" s="604">
        <v>2556</v>
      </c>
      <c r="H163" s="599">
        <v>3522</v>
      </c>
      <c r="I163" s="599"/>
      <c r="J163" s="604">
        <v>0</v>
      </c>
      <c r="K163" s="604">
        <v>1594</v>
      </c>
      <c r="L163" s="604">
        <v>0</v>
      </c>
    </row>
    <row r="164" spans="1:12" s="263" customFormat="1" ht="9" customHeight="1" x14ac:dyDescent="0.25">
      <c r="A164" s="263" t="s">
        <v>27</v>
      </c>
      <c r="B164" s="598">
        <f t="shared" si="8"/>
        <v>130689</v>
      </c>
      <c r="C164" s="600">
        <v>19568</v>
      </c>
      <c r="D164" s="598"/>
      <c r="E164" s="598">
        <f t="shared" si="9"/>
        <v>80456</v>
      </c>
      <c r="F164" s="600">
        <v>23162</v>
      </c>
      <c r="G164" s="600">
        <v>25347</v>
      </c>
      <c r="H164" s="598">
        <v>31947</v>
      </c>
      <c r="I164" s="598"/>
      <c r="J164" s="600">
        <v>91</v>
      </c>
      <c r="K164" s="600">
        <v>27586</v>
      </c>
      <c r="L164" s="600">
        <v>2988</v>
      </c>
    </row>
    <row r="165" spans="1:12" s="263" customFormat="1" ht="9" customHeight="1" x14ac:dyDescent="0.25">
      <c r="A165" s="263" t="s">
        <v>28</v>
      </c>
      <c r="B165" s="598">
        <f t="shared" si="8"/>
        <v>19867</v>
      </c>
      <c r="C165" s="600">
        <v>8860</v>
      </c>
      <c r="D165" s="598"/>
      <c r="E165" s="598">
        <f t="shared" si="9"/>
        <v>8032</v>
      </c>
      <c r="F165" s="600">
        <v>1502</v>
      </c>
      <c r="G165" s="600">
        <v>2689</v>
      </c>
      <c r="H165" s="598">
        <v>3841</v>
      </c>
      <c r="I165" s="598"/>
      <c r="J165" s="600">
        <v>0</v>
      </c>
      <c r="K165" s="600">
        <v>2853</v>
      </c>
      <c r="L165" s="600">
        <v>122</v>
      </c>
    </row>
    <row r="166" spans="1:12" s="263" customFormat="1" ht="9" customHeight="1" x14ac:dyDescent="0.25">
      <c r="A166" s="263" t="s">
        <v>29</v>
      </c>
      <c r="B166" s="598">
        <f t="shared" si="8"/>
        <v>115882</v>
      </c>
      <c r="C166" s="600">
        <v>54311</v>
      </c>
      <c r="D166" s="598"/>
      <c r="E166" s="598">
        <f t="shared" si="9"/>
        <v>54997</v>
      </c>
      <c r="F166" s="600">
        <v>18973</v>
      </c>
      <c r="G166" s="600">
        <v>12565</v>
      </c>
      <c r="H166" s="598">
        <v>23459</v>
      </c>
      <c r="I166" s="598"/>
      <c r="J166" s="600">
        <v>10</v>
      </c>
      <c r="K166" s="600">
        <v>4584</v>
      </c>
      <c r="L166" s="600">
        <v>1980</v>
      </c>
    </row>
    <row r="167" spans="1:12" s="263" customFormat="1" ht="9" customHeight="1" x14ac:dyDescent="0.25">
      <c r="A167" s="267" t="s">
        <v>30</v>
      </c>
      <c r="B167" s="599">
        <f t="shared" si="8"/>
        <v>132581</v>
      </c>
      <c r="C167" s="604">
        <v>68817</v>
      </c>
      <c r="D167" s="599"/>
      <c r="E167" s="599">
        <f t="shared" si="9"/>
        <v>42310</v>
      </c>
      <c r="F167" s="604">
        <v>7223</v>
      </c>
      <c r="G167" s="604">
        <v>23057</v>
      </c>
      <c r="H167" s="599">
        <v>12030</v>
      </c>
      <c r="I167" s="599"/>
      <c r="J167" s="604">
        <v>842</v>
      </c>
      <c r="K167" s="604">
        <v>20305</v>
      </c>
      <c r="L167" s="604">
        <v>307</v>
      </c>
    </row>
    <row r="168" spans="1:12" s="263" customFormat="1" ht="9" customHeight="1" x14ac:dyDescent="0.25">
      <c r="A168" s="263" t="s">
        <v>63</v>
      </c>
      <c r="B168" s="598">
        <f t="shared" si="8"/>
        <v>2283064</v>
      </c>
      <c r="C168" s="600">
        <v>506947</v>
      </c>
      <c r="D168" s="598"/>
      <c r="E168" s="598">
        <f t="shared" si="9"/>
        <v>1418119</v>
      </c>
      <c r="F168" s="600">
        <v>205424</v>
      </c>
      <c r="G168" s="600">
        <v>202117</v>
      </c>
      <c r="H168" s="598">
        <v>1010578</v>
      </c>
      <c r="I168" s="598"/>
      <c r="J168" s="600">
        <v>31418</v>
      </c>
      <c r="K168" s="600">
        <v>246022</v>
      </c>
      <c r="L168" s="600">
        <v>80558</v>
      </c>
    </row>
    <row r="169" spans="1:12" s="263" customFormat="1" ht="9" customHeight="1" x14ac:dyDescent="0.25">
      <c r="A169" s="263" t="s">
        <v>31</v>
      </c>
      <c r="B169" s="598">
        <f t="shared" si="8"/>
        <v>24650</v>
      </c>
      <c r="C169" s="600">
        <v>16784</v>
      </c>
      <c r="D169" s="598"/>
      <c r="E169" s="598">
        <f t="shared" si="9"/>
        <v>6737</v>
      </c>
      <c r="F169" s="600">
        <v>1704</v>
      </c>
      <c r="G169" s="600">
        <v>803</v>
      </c>
      <c r="H169" s="598">
        <v>4230</v>
      </c>
      <c r="I169" s="598"/>
      <c r="J169" s="600">
        <v>0</v>
      </c>
      <c r="K169" s="600">
        <v>522</v>
      </c>
      <c r="L169" s="600">
        <v>607</v>
      </c>
    </row>
    <row r="170" spans="1:12" s="263" customFormat="1" ht="9" customHeight="1" x14ac:dyDescent="0.25">
      <c r="A170" s="263" t="s">
        <v>32</v>
      </c>
      <c r="B170" s="598">
        <f t="shared" si="8"/>
        <v>409015</v>
      </c>
      <c r="C170" s="600">
        <v>197726</v>
      </c>
      <c r="D170" s="598"/>
      <c r="E170" s="598">
        <f t="shared" si="9"/>
        <v>164230</v>
      </c>
      <c r="F170" s="600">
        <v>52076</v>
      </c>
      <c r="G170" s="600">
        <v>52666</v>
      </c>
      <c r="H170" s="598">
        <v>59488</v>
      </c>
      <c r="I170" s="598"/>
      <c r="J170" s="600">
        <v>285</v>
      </c>
      <c r="K170" s="600">
        <v>35909</v>
      </c>
      <c r="L170" s="600">
        <v>10865</v>
      </c>
    </row>
    <row r="171" spans="1:12" s="263" customFormat="1" ht="9" customHeight="1" x14ac:dyDescent="0.25">
      <c r="A171" s="267" t="s">
        <v>33</v>
      </c>
      <c r="B171" s="599">
        <f t="shared" si="8"/>
        <v>135024</v>
      </c>
      <c r="C171" s="604">
        <v>68334</v>
      </c>
      <c r="D171" s="599"/>
      <c r="E171" s="599">
        <f t="shared" si="9"/>
        <v>53718</v>
      </c>
      <c r="F171" s="604">
        <v>13649</v>
      </c>
      <c r="G171" s="604">
        <v>14854</v>
      </c>
      <c r="H171" s="599">
        <v>25215</v>
      </c>
      <c r="I171" s="599"/>
      <c r="J171" s="604">
        <v>431</v>
      </c>
      <c r="K171" s="604">
        <v>9719</v>
      </c>
      <c r="L171" s="604">
        <v>2822</v>
      </c>
    </row>
    <row r="172" spans="1:12" s="263" customFormat="1" ht="9" customHeight="1" x14ac:dyDescent="0.25">
      <c r="A172" s="263" t="s">
        <v>34</v>
      </c>
      <c r="B172" s="598">
        <f t="shared" si="8"/>
        <v>186403</v>
      </c>
      <c r="C172" s="600">
        <v>81921</v>
      </c>
      <c r="D172" s="598"/>
      <c r="E172" s="598">
        <f t="shared" si="9"/>
        <v>84084</v>
      </c>
      <c r="F172" s="600">
        <v>19073</v>
      </c>
      <c r="G172" s="600">
        <v>23262</v>
      </c>
      <c r="H172" s="598">
        <v>41749</v>
      </c>
      <c r="I172" s="598"/>
      <c r="J172" s="600">
        <v>674</v>
      </c>
      <c r="K172" s="600">
        <v>5845</v>
      </c>
      <c r="L172" s="600">
        <v>13879</v>
      </c>
    </row>
    <row r="173" spans="1:12" s="263" customFormat="1" ht="9" customHeight="1" x14ac:dyDescent="0.25">
      <c r="A173" s="263" t="s">
        <v>35</v>
      </c>
      <c r="B173" s="598">
        <f t="shared" si="8"/>
        <v>469292</v>
      </c>
      <c r="C173" s="600">
        <v>128146</v>
      </c>
      <c r="D173" s="598"/>
      <c r="E173" s="598">
        <f t="shared" si="9"/>
        <v>280649</v>
      </c>
      <c r="F173" s="600">
        <v>73982</v>
      </c>
      <c r="G173" s="600">
        <v>85373</v>
      </c>
      <c r="H173" s="598">
        <v>121294</v>
      </c>
      <c r="I173" s="598"/>
      <c r="J173" s="600">
        <v>539</v>
      </c>
      <c r="K173" s="600">
        <v>52867</v>
      </c>
      <c r="L173" s="600">
        <v>7091</v>
      </c>
    </row>
    <row r="174" spans="1:12" s="263" customFormat="1" ht="9" customHeight="1" x14ac:dyDescent="0.25">
      <c r="A174" s="263" t="s">
        <v>36</v>
      </c>
      <c r="B174" s="598">
        <f t="shared" si="8"/>
        <v>1038281</v>
      </c>
      <c r="C174" s="600">
        <v>541146</v>
      </c>
      <c r="D174" s="598"/>
      <c r="E174" s="598">
        <f t="shared" si="9"/>
        <v>424386</v>
      </c>
      <c r="F174" s="600">
        <v>141638</v>
      </c>
      <c r="G174" s="600">
        <v>141260</v>
      </c>
      <c r="H174" s="598">
        <v>141488</v>
      </c>
      <c r="I174" s="598"/>
      <c r="J174" s="600">
        <v>11935</v>
      </c>
      <c r="K174" s="600">
        <v>40417</v>
      </c>
      <c r="L174" s="600">
        <v>20397</v>
      </c>
    </row>
    <row r="175" spans="1:12" s="263" customFormat="1" ht="9" customHeight="1" x14ac:dyDescent="0.25">
      <c r="A175" s="267" t="s">
        <v>37</v>
      </c>
      <c r="B175" s="599">
        <f t="shared" si="8"/>
        <v>172530</v>
      </c>
      <c r="C175" s="604">
        <v>53577</v>
      </c>
      <c r="D175" s="599"/>
      <c r="E175" s="599">
        <f t="shared" si="9"/>
        <v>93987</v>
      </c>
      <c r="F175" s="604">
        <v>27964</v>
      </c>
      <c r="G175" s="604">
        <v>29068</v>
      </c>
      <c r="H175" s="599">
        <v>36955</v>
      </c>
      <c r="I175" s="599"/>
      <c r="J175" s="604">
        <v>722</v>
      </c>
      <c r="K175" s="604">
        <v>23050</v>
      </c>
      <c r="L175" s="604">
        <v>1194</v>
      </c>
    </row>
    <row r="176" spans="1:12" s="263" customFormat="1" ht="9" customHeight="1" x14ac:dyDescent="0.25">
      <c r="A176" s="263" t="s">
        <v>38</v>
      </c>
      <c r="B176" s="598">
        <f t="shared" si="8"/>
        <v>101996</v>
      </c>
      <c r="C176" s="600">
        <v>61387</v>
      </c>
      <c r="D176" s="598"/>
      <c r="E176" s="598">
        <f t="shared" si="9"/>
        <v>32344</v>
      </c>
      <c r="F176" s="600">
        <v>12641</v>
      </c>
      <c r="G176" s="600">
        <v>5987</v>
      </c>
      <c r="H176" s="598">
        <v>13716</v>
      </c>
      <c r="I176" s="598"/>
      <c r="J176" s="600">
        <v>164</v>
      </c>
      <c r="K176" s="600">
        <v>6834</v>
      </c>
      <c r="L176" s="600">
        <v>1267</v>
      </c>
    </row>
    <row r="177" spans="1:12" s="263" customFormat="1" ht="9" customHeight="1" x14ac:dyDescent="0.25">
      <c r="A177" s="263" t="s">
        <v>39</v>
      </c>
      <c r="B177" s="598">
        <f t="shared" si="8"/>
        <v>11064</v>
      </c>
      <c r="C177" s="600">
        <v>3671</v>
      </c>
      <c r="D177" s="598"/>
      <c r="E177" s="598">
        <f t="shared" si="9"/>
        <v>6746</v>
      </c>
      <c r="F177" s="600">
        <v>2324</v>
      </c>
      <c r="G177" s="600">
        <v>1878</v>
      </c>
      <c r="H177" s="598">
        <v>2544</v>
      </c>
      <c r="I177" s="598"/>
      <c r="J177" s="600">
        <v>20</v>
      </c>
      <c r="K177" s="600">
        <v>593</v>
      </c>
      <c r="L177" s="600">
        <v>34</v>
      </c>
    </row>
    <row r="178" spans="1:12" s="263" customFormat="1" ht="9" customHeight="1" x14ac:dyDescent="0.25">
      <c r="A178" s="263" t="s">
        <v>40</v>
      </c>
      <c r="B178" s="598">
        <f t="shared" si="8"/>
        <v>1111134</v>
      </c>
      <c r="C178" s="600">
        <v>456389</v>
      </c>
      <c r="D178" s="598"/>
      <c r="E178" s="598">
        <f t="shared" si="9"/>
        <v>397566</v>
      </c>
      <c r="F178" s="600">
        <v>83666</v>
      </c>
      <c r="G178" s="600">
        <v>96892</v>
      </c>
      <c r="H178" s="598">
        <v>217008</v>
      </c>
      <c r="I178" s="598"/>
      <c r="J178" s="600">
        <v>9690</v>
      </c>
      <c r="K178" s="600">
        <v>194887</v>
      </c>
      <c r="L178" s="600">
        <v>52602</v>
      </c>
    </row>
    <row r="179" spans="1:12" s="263" customFormat="1" ht="9" customHeight="1" x14ac:dyDescent="0.25">
      <c r="A179" s="267" t="s">
        <v>41</v>
      </c>
      <c r="B179" s="599">
        <f t="shared" si="8"/>
        <v>171572</v>
      </c>
      <c r="C179" s="604">
        <v>61309</v>
      </c>
      <c r="D179" s="599"/>
      <c r="E179" s="599">
        <f t="shared" si="9"/>
        <v>90680</v>
      </c>
      <c r="F179" s="604">
        <v>23366</v>
      </c>
      <c r="G179" s="604">
        <v>21067</v>
      </c>
      <c r="H179" s="599">
        <v>46247</v>
      </c>
      <c r="I179" s="599"/>
      <c r="J179" s="604">
        <v>1178</v>
      </c>
      <c r="K179" s="604">
        <v>5061</v>
      </c>
      <c r="L179" s="604">
        <v>13344</v>
      </c>
    </row>
    <row r="180" spans="1:12" s="263" customFormat="1" ht="9" customHeight="1" x14ac:dyDescent="0.25">
      <c r="A180" s="263" t="s">
        <v>42</v>
      </c>
      <c r="B180" s="598">
        <f t="shared" si="8"/>
        <v>193313</v>
      </c>
      <c r="C180" s="600">
        <v>82885</v>
      </c>
      <c r="D180" s="598"/>
      <c r="E180" s="598">
        <f t="shared" si="9"/>
        <v>88339</v>
      </c>
      <c r="F180" s="600">
        <v>24721</v>
      </c>
      <c r="G180" s="600">
        <v>18906</v>
      </c>
      <c r="H180" s="598">
        <v>44712</v>
      </c>
      <c r="I180" s="598"/>
      <c r="J180" s="600">
        <v>583</v>
      </c>
      <c r="K180" s="600">
        <v>17124</v>
      </c>
      <c r="L180" s="600">
        <v>4382</v>
      </c>
    </row>
    <row r="181" spans="1:12" s="263" customFormat="1" ht="9" customHeight="1" x14ac:dyDescent="0.25">
      <c r="A181" s="263" t="s">
        <v>43</v>
      </c>
      <c r="B181" s="598">
        <f t="shared" si="8"/>
        <v>52144</v>
      </c>
      <c r="C181" s="600">
        <v>22934</v>
      </c>
      <c r="D181" s="598"/>
      <c r="E181" s="598">
        <f t="shared" si="9"/>
        <v>24652</v>
      </c>
      <c r="F181" s="600">
        <v>6146</v>
      </c>
      <c r="G181" s="600">
        <v>7170</v>
      </c>
      <c r="H181" s="598">
        <v>11336</v>
      </c>
      <c r="I181" s="598"/>
      <c r="J181" s="600">
        <v>259</v>
      </c>
      <c r="K181" s="600">
        <v>2529</v>
      </c>
      <c r="L181" s="600">
        <v>1770</v>
      </c>
    </row>
    <row r="182" spans="1:12" s="263" customFormat="1" ht="9" customHeight="1" x14ac:dyDescent="0.25">
      <c r="A182" s="263" t="s">
        <v>44</v>
      </c>
      <c r="B182" s="598">
        <f t="shared" si="8"/>
        <v>158007</v>
      </c>
      <c r="C182" s="600">
        <v>40743</v>
      </c>
      <c r="D182" s="598"/>
      <c r="E182" s="598">
        <f t="shared" si="9"/>
        <v>98958</v>
      </c>
      <c r="F182" s="600">
        <v>24809</v>
      </c>
      <c r="G182" s="600">
        <v>26650</v>
      </c>
      <c r="H182" s="598">
        <v>47499</v>
      </c>
      <c r="I182" s="598"/>
      <c r="J182" s="600">
        <v>1570</v>
      </c>
      <c r="K182" s="600">
        <v>9514</v>
      </c>
      <c r="L182" s="600">
        <v>7222</v>
      </c>
    </row>
    <row r="183" spans="1:12" s="263" customFormat="1" ht="9" customHeight="1" x14ac:dyDescent="0.25">
      <c r="A183" s="267" t="s">
        <v>45</v>
      </c>
      <c r="B183" s="599">
        <f t="shared" si="8"/>
        <v>94627</v>
      </c>
      <c r="C183" s="604">
        <v>40976</v>
      </c>
      <c r="D183" s="599"/>
      <c r="E183" s="599">
        <f t="shared" si="9"/>
        <v>33318</v>
      </c>
      <c r="F183" s="604">
        <v>14306</v>
      </c>
      <c r="G183" s="604">
        <v>10297</v>
      </c>
      <c r="H183" s="599">
        <v>8715</v>
      </c>
      <c r="I183" s="599"/>
      <c r="J183" s="604">
        <v>71</v>
      </c>
      <c r="K183" s="604">
        <v>18101</v>
      </c>
      <c r="L183" s="604">
        <v>2161</v>
      </c>
    </row>
    <row r="184" spans="1:12" s="263" customFormat="1" ht="9" customHeight="1" x14ac:dyDescent="0.25">
      <c r="A184" s="263" t="s">
        <v>46</v>
      </c>
      <c r="B184" s="598">
        <f t="shared" si="8"/>
        <v>120345</v>
      </c>
      <c r="C184" s="600">
        <v>34263</v>
      </c>
      <c r="D184" s="598"/>
      <c r="E184" s="598">
        <f t="shared" si="9"/>
        <v>74363</v>
      </c>
      <c r="F184" s="600">
        <v>23449</v>
      </c>
      <c r="G184" s="600">
        <v>16002</v>
      </c>
      <c r="H184" s="598">
        <v>34912</v>
      </c>
      <c r="I184" s="598"/>
      <c r="J184" s="600">
        <v>512</v>
      </c>
      <c r="K184" s="600">
        <v>9367</v>
      </c>
      <c r="L184" s="600">
        <v>1840</v>
      </c>
    </row>
    <row r="185" spans="1:12" s="263" customFormat="1" ht="9" customHeight="1" x14ac:dyDescent="0.25">
      <c r="A185" s="263" t="s">
        <v>47</v>
      </c>
      <c r="B185" s="598">
        <f t="shared" si="8"/>
        <v>80059</v>
      </c>
      <c r="C185" s="600">
        <v>24822</v>
      </c>
      <c r="D185" s="598"/>
      <c r="E185" s="598">
        <f t="shared" si="9"/>
        <v>36907</v>
      </c>
      <c r="F185" s="600">
        <v>8910</v>
      </c>
      <c r="G185" s="600">
        <v>8371</v>
      </c>
      <c r="H185" s="598">
        <v>19626</v>
      </c>
      <c r="I185" s="598"/>
      <c r="J185" s="600">
        <v>450</v>
      </c>
      <c r="K185" s="600">
        <v>15835</v>
      </c>
      <c r="L185" s="600">
        <v>2045</v>
      </c>
    </row>
    <row r="186" spans="1:12" s="263" customFormat="1" ht="9" customHeight="1" x14ac:dyDescent="0.25">
      <c r="A186" s="263" t="s">
        <v>48</v>
      </c>
      <c r="B186" s="598">
        <f t="shared" si="8"/>
        <v>71121</v>
      </c>
      <c r="C186" s="600">
        <v>31984</v>
      </c>
      <c r="D186" s="598"/>
      <c r="E186" s="598">
        <f t="shared" si="9"/>
        <v>26485</v>
      </c>
      <c r="F186" s="600">
        <v>6730</v>
      </c>
      <c r="G186" s="600">
        <v>7432</v>
      </c>
      <c r="H186" s="598">
        <v>12323</v>
      </c>
      <c r="I186" s="598"/>
      <c r="J186" s="600">
        <v>196</v>
      </c>
      <c r="K186" s="600">
        <v>11779</v>
      </c>
      <c r="L186" s="600">
        <v>677</v>
      </c>
    </row>
    <row r="187" spans="1:12" s="263" customFormat="1" ht="9" customHeight="1" x14ac:dyDescent="0.25">
      <c r="A187" s="267" t="s">
        <v>49</v>
      </c>
      <c r="B187" s="599">
        <f t="shared" si="8"/>
        <v>109164</v>
      </c>
      <c r="C187" s="604">
        <v>53426</v>
      </c>
      <c r="D187" s="599"/>
      <c r="E187" s="599">
        <f t="shared" si="9"/>
        <v>45434</v>
      </c>
      <c r="F187" s="604">
        <v>15016</v>
      </c>
      <c r="G187" s="604">
        <v>11416</v>
      </c>
      <c r="H187" s="599">
        <v>19002</v>
      </c>
      <c r="I187" s="599"/>
      <c r="J187" s="604">
        <v>331</v>
      </c>
      <c r="K187" s="604">
        <v>8130</v>
      </c>
      <c r="L187" s="604">
        <v>1843</v>
      </c>
    </row>
    <row r="188" spans="1:12" s="263" customFormat="1" ht="9" customHeight="1" x14ac:dyDescent="0.25">
      <c r="A188" s="263" t="s">
        <v>50</v>
      </c>
      <c r="B188" s="598">
        <f t="shared" si="8"/>
        <v>59321</v>
      </c>
      <c r="C188" s="600">
        <v>35219</v>
      </c>
      <c r="D188" s="598"/>
      <c r="E188" s="598">
        <f t="shared" si="9"/>
        <v>22594</v>
      </c>
      <c r="F188" s="600">
        <v>6962</v>
      </c>
      <c r="G188" s="600">
        <v>7685</v>
      </c>
      <c r="H188" s="598">
        <v>7947</v>
      </c>
      <c r="I188" s="598"/>
      <c r="J188" s="600">
        <v>60</v>
      </c>
      <c r="K188" s="600">
        <v>970</v>
      </c>
      <c r="L188" s="600">
        <v>478</v>
      </c>
    </row>
    <row r="189" spans="1:12" s="263" customFormat="1" ht="9" customHeight="1" x14ac:dyDescent="0.25">
      <c r="A189" s="263" t="s">
        <v>51</v>
      </c>
      <c r="B189" s="598">
        <f t="shared" si="8"/>
        <v>222793</v>
      </c>
      <c r="C189" s="600">
        <v>112807</v>
      </c>
      <c r="D189" s="598"/>
      <c r="E189" s="598">
        <f t="shared" si="9"/>
        <v>93350</v>
      </c>
      <c r="F189" s="600">
        <v>34443</v>
      </c>
      <c r="G189" s="600">
        <v>22174</v>
      </c>
      <c r="H189" s="598">
        <v>36733</v>
      </c>
      <c r="I189" s="598"/>
      <c r="J189" s="600">
        <v>1703</v>
      </c>
      <c r="K189" s="600">
        <v>10062</v>
      </c>
      <c r="L189" s="600">
        <v>4871</v>
      </c>
    </row>
    <row r="190" spans="1:12" s="263" customFormat="1" ht="9" customHeight="1" x14ac:dyDescent="0.25">
      <c r="A190" s="263" t="s">
        <v>52</v>
      </c>
      <c r="B190" s="598">
        <f t="shared" si="8"/>
        <v>238955</v>
      </c>
      <c r="C190" s="600">
        <v>40795</v>
      </c>
      <c r="D190" s="598"/>
      <c r="E190" s="598">
        <f t="shared" si="9"/>
        <v>173793</v>
      </c>
      <c r="F190" s="600">
        <v>40348</v>
      </c>
      <c r="G190" s="600">
        <v>46687</v>
      </c>
      <c r="H190" s="598">
        <v>86758</v>
      </c>
      <c r="I190" s="598"/>
      <c r="J190" s="600">
        <v>8</v>
      </c>
      <c r="K190" s="600">
        <v>14766</v>
      </c>
      <c r="L190" s="600">
        <v>9593</v>
      </c>
    </row>
    <row r="191" spans="1:12" s="263" customFormat="1" ht="9" customHeight="1" x14ac:dyDescent="0.25">
      <c r="A191" s="267" t="s">
        <v>53</v>
      </c>
      <c r="B191" s="599">
        <f t="shared" si="8"/>
        <v>47390</v>
      </c>
      <c r="C191" s="604">
        <v>16394</v>
      </c>
      <c r="D191" s="599"/>
      <c r="E191" s="599">
        <f t="shared" si="9"/>
        <v>26882</v>
      </c>
      <c r="F191" s="604">
        <v>8014</v>
      </c>
      <c r="G191" s="604">
        <v>3614</v>
      </c>
      <c r="H191" s="599">
        <v>15254</v>
      </c>
      <c r="I191" s="599"/>
      <c r="J191" s="604">
        <v>203</v>
      </c>
      <c r="K191" s="604">
        <v>2856</v>
      </c>
      <c r="L191" s="604">
        <v>1055</v>
      </c>
    </row>
    <row r="192" spans="1:12" s="263" customFormat="1" ht="9" customHeight="1" x14ac:dyDescent="0.25">
      <c r="B192" s="598"/>
      <c r="C192" s="266"/>
      <c r="D192" s="266"/>
      <c r="E192" s="598"/>
      <c r="F192" s="266"/>
      <c r="G192" s="266"/>
      <c r="H192" s="266"/>
      <c r="I192" s="266"/>
      <c r="J192" s="266"/>
      <c r="K192" s="266"/>
      <c r="L192" s="266"/>
    </row>
    <row r="193" spans="1:12" s="263" customFormat="1" ht="9" customHeight="1" x14ac:dyDescent="0.25">
      <c r="A193" s="601">
        <v>2000</v>
      </c>
      <c r="B193" s="632"/>
      <c r="C193" s="550"/>
      <c r="D193" s="550"/>
      <c r="E193" s="632"/>
      <c r="F193" s="550"/>
      <c r="G193" s="550"/>
      <c r="H193" s="550"/>
      <c r="I193" s="550"/>
      <c r="J193" s="550"/>
      <c r="K193" s="550"/>
      <c r="L193" s="550"/>
    </row>
    <row r="194" spans="1:12" s="263" customFormat="1" ht="9" customHeight="1" x14ac:dyDescent="0.25">
      <c r="A194" s="265" t="s">
        <v>21</v>
      </c>
      <c r="B194" s="597">
        <f>SUM(B196:B227)</f>
        <v>8761263</v>
      </c>
      <c r="C194" s="597">
        <f>SUM(C196:C227)</f>
        <v>2872470</v>
      </c>
      <c r="D194" s="597"/>
      <c r="E194" s="597">
        <f>SUM(E196:E227)</f>
        <v>4614638</v>
      </c>
      <c r="F194" s="597">
        <f>SUM(F196:F227)</f>
        <v>1052057</v>
      </c>
      <c r="G194" s="597">
        <f>SUM(G196:G227)</f>
        <v>1063098</v>
      </c>
      <c r="H194" s="597">
        <f>SUM(H196:H227)</f>
        <v>2499483</v>
      </c>
      <c r="I194" s="597"/>
      <c r="J194" s="597">
        <f>SUM(J196:J227)</f>
        <v>79470</v>
      </c>
      <c r="K194" s="597">
        <f>SUM(K196:K227)</f>
        <v>903961</v>
      </c>
      <c r="L194" s="597">
        <f>SUM(L196:L227)</f>
        <v>290724</v>
      </c>
    </row>
    <row r="195" spans="1:12" s="263" customFormat="1" ht="3.95" customHeight="1" x14ac:dyDescent="0.25">
      <c r="A195" s="265"/>
      <c r="B195" s="597"/>
      <c r="C195" s="597"/>
      <c r="D195" s="597"/>
      <c r="E195" s="597"/>
      <c r="F195" s="597"/>
      <c r="G195" s="597"/>
      <c r="H195" s="597"/>
      <c r="I195" s="597"/>
      <c r="J195" s="597"/>
      <c r="K195" s="597"/>
      <c r="L195" s="597"/>
    </row>
    <row r="196" spans="1:12" s="263" customFormat="1" ht="9" customHeight="1" x14ac:dyDescent="0.25">
      <c r="A196" s="263" t="s">
        <v>23</v>
      </c>
      <c r="B196" s="598">
        <f t="shared" ref="B196:B227" si="10">SUM(C196+E196+J196+K196+L196)</f>
        <v>55016</v>
      </c>
      <c r="C196" s="600">
        <v>17429</v>
      </c>
      <c r="D196" s="598"/>
      <c r="E196" s="598">
        <f t="shared" ref="E196:E227" si="11">SUM(F196:H196)</f>
        <v>32592</v>
      </c>
      <c r="F196" s="600">
        <v>11343</v>
      </c>
      <c r="G196" s="600">
        <v>8209</v>
      </c>
      <c r="H196" s="598">
        <v>13040</v>
      </c>
      <c r="I196" s="598"/>
      <c r="J196" s="600">
        <v>130</v>
      </c>
      <c r="K196" s="600">
        <v>3622</v>
      </c>
      <c r="L196" s="600">
        <v>1243</v>
      </c>
    </row>
    <row r="197" spans="1:12" s="263" customFormat="1" ht="9" customHeight="1" x14ac:dyDescent="0.25">
      <c r="A197" s="263" t="s">
        <v>24</v>
      </c>
      <c r="B197" s="598">
        <f t="shared" si="10"/>
        <v>205452</v>
      </c>
      <c r="C197" s="600">
        <v>135797</v>
      </c>
      <c r="D197" s="598"/>
      <c r="E197" s="598">
        <f t="shared" si="11"/>
        <v>58790</v>
      </c>
      <c r="F197" s="600">
        <v>19437</v>
      </c>
      <c r="G197" s="600">
        <v>20576</v>
      </c>
      <c r="H197" s="598">
        <v>18777</v>
      </c>
      <c r="I197" s="598"/>
      <c r="J197" s="600">
        <v>1181</v>
      </c>
      <c r="K197" s="600">
        <v>8939</v>
      </c>
      <c r="L197" s="600">
        <v>745</v>
      </c>
    </row>
    <row r="198" spans="1:12" s="263" customFormat="1" ht="9" customHeight="1" x14ac:dyDescent="0.25">
      <c r="A198" s="263" t="s">
        <v>25</v>
      </c>
      <c r="B198" s="598">
        <f t="shared" si="10"/>
        <v>28083</v>
      </c>
      <c r="C198" s="600">
        <v>12508</v>
      </c>
      <c r="D198" s="598"/>
      <c r="E198" s="598">
        <f t="shared" si="11"/>
        <v>10709</v>
      </c>
      <c r="F198" s="600">
        <v>5142</v>
      </c>
      <c r="G198" s="600">
        <v>1262</v>
      </c>
      <c r="H198" s="598">
        <v>4305</v>
      </c>
      <c r="I198" s="598"/>
      <c r="J198" s="600">
        <v>800</v>
      </c>
      <c r="K198" s="600">
        <v>2546</v>
      </c>
      <c r="L198" s="600">
        <v>1520</v>
      </c>
    </row>
    <row r="199" spans="1:12" s="263" customFormat="1" ht="9" customHeight="1" x14ac:dyDescent="0.25">
      <c r="A199" s="267" t="s">
        <v>26</v>
      </c>
      <c r="B199" s="599">
        <f t="shared" si="10"/>
        <v>30995</v>
      </c>
      <c r="C199" s="604">
        <v>15904</v>
      </c>
      <c r="D199" s="599"/>
      <c r="E199" s="599">
        <f t="shared" si="11"/>
        <v>12048</v>
      </c>
      <c r="F199" s="604">
        <v>5533</v>
      </c>
      <c r="G199" s="604">
        <v>1928</v>
      </c>
      <c r="H199" s="599">
        <v>4587</v>
      </c>
      <c r="I199" s="599"/>
      <c r="J199" s="604">
        <v>0</v>
      </c>
      <c r="K199" s="604">
        <v>3005</v>
      </c>
      <c r="L199" s="604">
        <v>38</v>
      </c>
    </row>
    <row r="200" spans="1:12" s="263" customFormat="1" ht="9" customHeight="1" x14ac:dyDescent="0.25">
      <c r="A200" s="263" t="s">
        <v>27</v>
      </c>
      <c r="B200" s="598">
        <f t="shared" si="10"/>
        <v>129239</v>
      </c>
      <c r="C200" s="600">
        <v>19879</v>
      </c>
      <c r="D200" s="598"/>
      <c r="E200" s="598">
        <f t="shared" si="11"/>
        <v>68804</v>
      </c>
      <c r="F200" s="600">
        <v>18209</v>
      </c>
      <c r="G200" s="600">
        <v>19867</v>
      </c>
      <c r="H200" s="598">
        <v>30728</v>
      </c>
      <c r="I200" s="598"/>
      <c r="J200" s="600">
        <v>0</v>
      </c>
      <c r="K200" s="600">
        <v>37761</v>
      </c>
      <c r="L200" s="600">
        <v>2795</v>
      </c>
    </row>
    <row r="201" spans="1:12" s="263" customFormat="1" ht="9" customHeight="1" x14ac:dyDescent="0.25">
      <c r="A201" s="263" t="s">
        <v>28</v>
      </c>
      <c r="B201" s="598">
        <f t="shared" si="10"/>
        <v>16724</v>
      </c>
      <c r="C201" s="600">
        <v>5113</v>
      </c>
      <c r="D201" s="598"/>
      <c r="E201" s="598">
        <f t="shared" si="11"/>
        <v>9629</v>
      </c>
      <c r="F201" s="600">
        <v>1819</v>
      </c>
      <c r="G201" s="600">
        <v>2411</v>
      </c>
      <c r="H201" s="598">
        <v>5399</v>
      </c>
      <c r="I201" s="598"/>
      <c r="J201" s="600">
        <v>0</v>
      </c>
      <c r="K201" s="600">
        <v>1501</v>
      </c>
      <c r="L201" s="600">
        <v>481</v>
      </c>
    </row>
    <row r="202" spans="1:12" s="263" customFormat="1" ht="9" customHeight="1" x14ac:dyDescent="0.25">
      <c r="A202" s="263" t="s">
        <v>29</v>
      </c>
      <c r="B202" s="598">
        <f t="shared" si="10"/>
        <v>127749</v>
      </c>
      <c r="C202" s="600">
        <v>53357</v>
      </c>
      <c r="D202" s="598"/>
      <c r="E202" s="598">
        <f t="shared" si="11"/>
        <v>66433</v>
      </c>
      <c r="F202" s="600">
        <v>21556</v>
      </c>
      <c r="G202" s="600">
        <v>18092</v>
      </c>
      <c r="H202" s="598">
        <v>26785</v>
      </c>
      <c r="I202" s="598"/>
      <c r="J202" s="600">
        <v>20</v>
      </c>
      <c r="K202" s="600">
        <v>6658</v>
      </c>
      <c r="L202" s="600">
        <v>1281</v>
      </c>
    </row>
    <row r="203" spans="1:12" s="263" customFormat="1" ht="9" customHeight="1" x14ac:dyDescent="0.25">
      <c r="A203" s="267" t="s">
        <v>30</v>
      </c>
      <c r="B203" s="599">
        <f t="shared" si="10"/>
        <v>155027</v>
      </c>
      <c r="C203" s="604">
        <v>74819</v>
      </c>
      <c r="D203" s="599"/>
      <c r="E203" s="599">
        <f t="shared" si="11"/>
        <v>52990</v>
      </c>
      <c r="F203" s="604">
        <v>9968</v>
      </c>
      <c r="G203" s="604">
        <v>25115</v>
      </c>
      <c r="H203" s="599">
        <v>17907</v>
      </c>
      <c r="I203" s="599"/>
      <c r="J203" s="604">
        <v>1104</v>
      </c>
      <c r="K203" s="604">
        <v>25815</v>
      </c>
      <c r="L203" s="604">
        <v>299</v>
      </c>
    </row>
    <row r="204" spans="1:12" s="263" customFormat="1" ht="9" customHeight="1" x14ac:dyDescent="0.25">
      <c r="A204" s="263" t="s">
        <v>63</v>
      </c>
      <c r="B204" s="598">
        <f t="shared" si="10"/>
        <v>2357949</v>
      </c>
      <c r="C204" s="600">
        <v>476760</v>
      </c>
      <c r="D204" s="598"/>
      <c r="E204" s="598">
        <f t="shared" si="11"/>
        <v>1504488</v>
      </c>
      <c r="F204" s="600">
        <v>194535</v>
      </c>
      <c r="G204" s="600">
        <v>209529</v>
      </c>
      <c r="H204" s="598">
        <v>1100424</v>
      </c>
      <c r="I204" s="598"/>
      <c r="J204" s="600">
        <v>22982</v>
      </c>
      <c r="K204" s="600">
        <v>272785</v>
      </c>
      <c r="L204" s="600">
        <v>80934</v>
      </c>
    </row>
    <row r="205" spans="1:12" s="263" customFormat="1" ht="9" customHeight="1" x14ac:dyDescent="0.25">
      <c r="A205" s="263" t="s">
        <v>31</v>
      </c>
      <c r="B205" s="598">
        <f t="shared" si="10"/>
        <v>24879</v>
      </c>
      <c r="C205" s="600">
        <v>17531</v>
      </c>
      <c r="D205" s="598"/>
      <c r="E205" s="598">
        <f t="shared" si="11"/>
        <v>6546</v>
      </c>
      <c r="F205" s="600">
        <v>1662</v>
      </c>
      <c r="G205" s="600">
        <v>948</v>
      </c>
      <c r="H205" s="598">
        <v>3936</v>
      </c>
      <c r="I205" s="598"/>
      <c r="J205" s="600">
        <v>4</v>
      </c>
      <c r="K205" s="600">
        <v>548</v>
      </c>
      <c r="L205" s="600">
        <v>250</v>
      </c>
    </row>
    <row r="206" spans="1:12" s="263" customFormat="1" ht="9" customHeight="1" x14ac:dyDescent="0.25">
      <c r="A206" s="263" t="s">
        <v>32</v>
      </c>
      <c r="B206" s="598">
        <f t="shared" si="10"/>
        <v>486715</v>
      </c>
      <c r="C206" s="600">
        <v>196434</v>
      </c>
      <c r="D206" s="598"/>
      <c r="E206" s="598">
        <f t="shared" si="11"/>
        <v>210269</v>
      </c>
      <c r="F206" s="600">
        <v>56257</v>
      </c>
      <c r="G206" s="600">
        <v>62419</v>
      </c>
      <c r="H206" s="598">
        <v>91593</v>
      </c>
      <c r="I206" s="598"/>
      <c r="J206" s="600">
        <v>529</v>
      </c>
      <c r="K206" s="600">
        <v>55788</v>
      </c>
      <c r="L206" s="600">
        <v>23695</v>
      </c>
    </row>
    <row r="207" spans="1:12" s="263" customFormat="1" ht="9" customHeight="1" x14ac:dyDescent="0.25">
      <c r="A207" s="267" t="s">
        <v>33</v>
      </c>
      <c r="B207" s="599">
        <f t="shared" si="10"/>
        <v>146876</v>
      </c>
      <c r="C207" s="604">
        <v>69643</v>
      </c>
      <c r="D207" s="599"/>
      <c r="E207" s="599">
        <f t="shared" si="11"/>
        <v>63726</v>
      </c>
      <c r="F207" s="604">
        <v>18233</v>
      </c>
      <c r="G207" s="604">
        <v>16713</v>
      </c>
      <c r="H207" s="599">
        <v>28780</v>
      </c>
      <c r="I207" s="599"/>
      <c r="J207" s="604">
        <v>646</v>
      </c>
      <c r="K207" s="604">
        <v>9323</v>
      </c>
      <c r="L207" s="604">
        <v>3538</v>
      </c>
    </row>
    <row r="208" spans="1:12" s="263" customFormat="1" ht="9" customHeight="1" x14ac:dyDescent="0.25">
      <c r="A208" s="263" t="s">
        <v>34</v>
      </c>
      <c r="B208" s="598">
        <f t="shared" si="10"/>
        <v>155320</v>
      </c>
      <c r="C208" s="600">
        <v>71469</v>
      </c>
      <c r="D208" s="598"/>
      <c r="E208" s="598">
        <f t="shared" si="11"/>
        <v>68902</v>
      </c>
      <c r="F208" s="600">
        <v>15212</v>
      </c>
      <c r="G208" s="600">
        <v>19772</v>
      </c>
      <c r="H208" s="598">
        <v>33918</v>
      </c>
      <c r="I208" s="598"/>
      <c r="J208" s="600">
        <v>506</v>
      </c>
      <c r="K208" s="600">
        <v>4854</v>
      </c>
      <c r="L208" s="600">
        <v>9589</v>
      </c>
    </row>
    <row r="209" spans="1:12" s="263" customFormat="1" ht="9" customHeight="1" x14ac:dyDescent="0.25">
      <c r="A209" s="263" t="s">
        <v>35</v>
      </c>
      <c r="B209" s="598">
        <f t="shared" si="10"/>
        <v>557031</v>
      </c>
      <c r="C209" s="600">
        <v>120590</v>
      </c>
      <c r="D209" s="598"/>
      <c r="E209" s="598">
        <f t="shared" si="11"/>
        <v>378247</v>
      </c>
      <c r="F209" s="600">
        <v>97291</v>
      </c>
      <c r="G209" s="600">
        <v>101216</v>
      </c>
      <c r="H209" s="598">
        <v>179740</v>
      </c>
      <c r="I209" s="598"/>
      <c r="J209" s="600">
        <v>3957</v>
      </c>
      <c r="K209" s="600">
        <v>46081</v>
      </c>
      <c r="L209" s="600">
        <v>8156</v>
      </c>
    </row>
    <row r="210" spans="1:12" s="263" customFormat="1" ht="9" customHeight="1" x14ac:dyDescent="0.25">
      <c r="A210" s="263" t="s">
        <v>36</v>
      </c>
      <c r="B210" s="598">
        <f t="shared" si="10"/>
        <v>1184397</v>
      </c>
      <c r="C210" s="600">
        <v>593651</v>
      </c>
      <c r="D210" s="598"/>
      <c r="E210" s="598">
        <f t="shared" si="11"/>
        <v>505845</v>
      </c>
      <c r="F210" s="600">
        <v>169569</v>
      </c>
      <c r="G210" s="600">
        <v>159220</v>
      </c>
      <c r="H210" s="598">
        <v>177056</v>
      </c>
      <c r="I210" s="598"/>
      <c r="J210" s="600">
        <v>10102</v>
      </c>
      <c r="K210" s="600">
        <v>51825</v>
      </c>
      <c r="L210" s="600">
        <v>22974</v>
      </c>
    </row>
    <row r="211" spans="1:12" s="263" customFormat="1" ht="9" customHeight="1" x14ac:dyDescent="0.25">
      <c r="A211" s="267" t="s">
        <v>37</v>
      </c>
      <c r="B211" s="599">
        <f t="shared" si="10"/>
        <v>192256</v>
      </c>
      <c r="C211" s="604">
        <v>61440</v>
      </c>
      <c r="D211" s="599"/>
      <c r="E211" s="599">
        <f t="shared" si="11"/>
        <v>104101</v>
      </c>
      <c r="F211" s="604">
        <v>28911</v>
      </c>
      <c r="G211" s="604">
        <v>28889</v>
      </c>
      <c r="H211" s="599">
        <v>46301</v>
      </c>
      <c r="I211" s="599"/>
      <c r="J211" s="604">
        <v>254</v>
      </c>
      <c r="K211" s="604">
        <v>24845</v>
      </c>
      <c r="L211" s="604">
        <v>1616</v>
      </c>
    </row>
    <row r="212" spans="1:12" s="263" customFormat="1" ht="9" customHeight="1" x14ac:dyDescent="0.25">
      <c r="A212" s="263" t="s">
        <v>38</v>
      </c>
      <c r="B212" s="598">
        <f t="shared" si="10"/>
        <v>115785</v>
      </c>
      <c r="C212" s="600">
        <v>59353</v>
      </c>
      <c r="D212" s="598"/>
      <c r="E212" s="598">
        <f t="shared" si="11"/>
        <v>48636</v>
      </c>
      <c r="F212" s="600">
        <v>17219</v>
      </c>
      <c r="G212" s="600">
        <v>8194</v>
      </c>
      <c r="H212" s="598">
        <v>23223</v>
      </c>
      <c r="I212" s="598"/>
      <c r="J212" s="600">
        <v>78</v>
      </c>
      <c r="K212" s="600">
        <v>6198</v>
      </c>
      <c r="L212" s="600">
        <v>1520</v>
      </c>
    </row>
    <row r="213" spans="1:12" s="263" customFormat="1" ht="9" customHeight="1" x14ac:dyDescent="0.25">
      <c r="A213" s="263" t="s">
        <v>39</v>
      </c>
      <c r="B213" s="598">
        <f t="shared" si="10"/>
        <v>8906</v>
      </c>
      <c r="C213" s="600">
        <v>4298</v>
      </c>
      <c r="D213" s="598"/>
      <c r="E213" s="598">
        <f t="shared" si="11"/>
        <v>3822</v>
      </c>
      <c r="F213" s="600">
        <v>1951</v>
      </c>
      <c r="G213" s="600">
        <v>691</v>
      </c>
      <c r="H213" s="598">
        <v>1180</v>
      </c>
      <c r="I213" s="598"/>
      <c r="J213" s="600">
        <v>0</v>
      </c>
      <c r="K213" s="600">
        <v>786</v>
      </c>
      <c r="L213" s="600">
        <v>0</v>
      </c>
    </row>
    <row r="214" spans="1:12" s="263" customFormat="1" ht="9" customHeight="1" x14ac:dyDescent="0.25">
      <c r="A214" s="263" t="s">
        <v>40</v>
      </c>
      <c r="B214" s="598">
        <f t="shared" si="10"/>
        <v>1055086</v>
      </c>
      <c r="C214" s="600">
        <v>217204</v>
      </c>
      <c r="D214" s="598"/>
      <c r="E214" s="598">
        <f t="shared" si="11"/>
        <v>526258</v>
      </c>
      <c r="F214" s="600">
        <v>83319</v>
      </c>
      <c r="G214" s="600">
        <v>139971</v>
      </c>
      <c r="H214" s="598">
        <v>302968</v>
      </c>
      <c r="I214" s="598"/>
      <c r="J214" s="600">
        <v>29341</v>
      </c>
      <c r="K214" s="600">
        <v>206863</v>
      </c>
      <c r="L214" s="600">
        <v>75420</v>
      </c>
    </row>
    <row r="215" spans="1:12" s="263" customFormat="1" ht="9" customHeight="1" x14ac:dyDescent="0.25">
      <c r="A215" s="267" t="s">
        <v>41</v>
      </c>
      <c r="B215" s="599">
        <f t="shared" si="10"/>
        <v>175004</v>
      </c>
      <c r="C215" s="604">
        <v>76379</v>
      </c>
      <c r="D215" s="599"/>
      <c r="E215" s="599">
        <f t="shared" si="11"/>
        <v>80262</v>
      </c>
      <c r="F215" s="604">
        <v>20399</v>
      </c>
      <c r="G215" s="604">
        <v>19131</v>
      </c>
      <c r="H215" s="599">
        <v>40732</v>
      </c>
      <c r="I215" s="599"/>
      <c r="J215" s="604">
        <v>1220</v>
      </c>
      <c r="K215" s="604">
        <v>5055</v>
      </c>
      <c r="L215" s="604">
        <v>12088</v>
      </c>
    </row>
    <row r="216" spans="1:12" s="263" customFormat="1" ht="9" customHeight="1" x14ac:dyDescent="0.25">
      <c r="A216" s="263" t="s">
        <v>42</v>
      </c>
      <c r="B216" s="598">
        <f t="shared" si="10"/>
        <v>210364</v>
      </c>
      <c r="C216" s="600">
        <v>84508</v>
      </c>
      <c r="D216" s="598"/>
      <c r="E216" s="598">
        <f t="shared" si="11"/>
        <v>103037</v>
      </c>
      <c r="F216" s="600">
        <v>32115</v>
      </c>
      <c r="G216" s="600">
        <v>22592</v>
      </c>
      <c r="H216" s="598">
        <v>48330</v>
      </c>
      <c r="I216" s="598"/>
      <c r="J216" s="600">
        <v>430</v>
      </c>
      <c r="K216" s="600">
        <v>16804</v>
      </c>
      <c r="L216" s="600">
        <v>5585</v>
      </c>
    </row>
    <row r="217" spans="1:12" s="263" customFormat="1" ht="9" customHeight="1" x14ac:dyDescent="0.25">
      <c r="A217" s="263" t="s">
        <v>43</v>
      </c>
      <c r="B217" s="598">
        <f t="shared" si="10"/>
        <v>80099</v>
      </c>
      <c r="C217" s="600">
        <v>32184</v>
      </c>
      <c r="D217" s="598"/>
      <c r="E217" s="598">
        <f t="shared" si="11"/>
        <v>37049</v>
      </c>
      <c r="F217" s="600">
        <v>10823</v>
      </c>
      <c r="G217" s="600">
        <v>9605</v>
      </c>
      <c r="H217" s="598">
        <v>16621</v>
      </c>
      <c r="I217" s="598"/>
      <c r="J217" s="600">
        <v>174</v>
      </c>
      <c r="K217" s="600">
        <v>9940</v>
      </c>
      <c r="L217" s="600">
        <v>752</v>
      </c>
    </row>
    <row r="218" spans="1:12" s="263" customFormat="1" ht="9" customHeight="1" x14ac:dyDescent="0.25">
      <c r="A218" s="263" t="s">
        <v>44</v>
      </c>
      <c r="B218" s="598">
        <f t="shared" si="10"/>
        <v>153778</v>
      </c>
      <c r="C218" s="600">
        <v>38454</v>
      </c>
      <c r="D218" s="598"/>
      <c r="E218" s="598">
        <f t="shared" si="11"/>
        <v>99844</v>
      </c>
      <c r="F218" s="600">
        <v>27046</v>
      </c>
      <c r="G218" s="600">
        <v>28130</v>
      </c>
      <c r="H218" s="598">
        <v>44668</v>
      </c>
      <c r="I218" s="598"/>
      <c r="J218" s="600">
        <v>695</v>
      </c>
      <c r="K218" s="600">
        <v>8456</v>
      </c>
      <c r="L218" s="600">
        <v>6329</v>
      </c>
    </row>
    <row r="219" spans="1:12" s="263" customFormat="1" ht="9" customHeight="1" x14ac:dyDescent="0.25">
      <c r="A219" s="267" t="s">
        <v>45</v>
      </c>
      <c r="B219" s="599">
        <f t="shared" si="10"/>
        <v>99943</v>
      </c>
      <c r="C219" s="604">
        <v>45174</v>
      </c>
      <c r="D219" s="599"/>
      <c r="E219" s="599">
        <f t="shared" si="11"/>
        <v>44718</v>
      </c>
      <c r="F219" s="604">
        <v>18911</v>
      </c>
      <c r="G219" s="604">
        <v>12004</v>
      </c>
      <c r="H219" s="599">
        <v>13803</v>
      </c>
      <c r="I219" s="599"/>
      <c r="J219" s="604">
        <v>226</v>
      </c>
      <c r="K219" s="604">
        <v>8551</v>
      </c>
      <c r="L219" s="604">
        <v>1274</v>
      </c>
    </row>
    <row r="220" spans="1:12" s="263" customFormat="1" ht="9" customHeight="1" x14ac:dyDescent="0.25">
      <c r="A220" s="263" t="s">
        <v>46</v>
      </c>
      <c r="B220" s="598">
        <f t="shared" si="10"/>
        <v>142632</v>
      </c>
      <c r="C220" s="600">
        <v>43367</v>
      </c>
      <c r="D220" s="598"/>
      <c r="E220" s="598">
        <f t="shared" si="11"/>
        <v>82300</v>
      </c>
      <c r="F220" s="600">
        <v>25939</v>
      </c>
      <c r="G220" s="600">
        <v>17438</v>
      </c>
      <c r="H220" s="598">
        <v>38923</v>
      </c>
      <c r="I220" s="598"/>
      <c r="J220" s="600">
        <v>639</v>
      </c>
      <c r="K220" s="600">
        <v>14588</v>
      </c>
      <c r="L220" s="600">
        <v>1738</v>
      </c>
    </row>
    <row r="221" spans="1:12" s="263" customFormat="1" ht="9" customHeight="1" x14ac:dyDescent="0.25">
      <c r="A221" s="263" t="s">
        <v>47</v>
      </c>
      <c r="B221" s="598">
        <f t="shared" si="10"/>
        <v>68995</v>
      </c>
      <c r="C221" s="600">
        <v>30719</v>
      </c>
      <c r="D221" s="598"/>
      <c r="E221" s="598">
        <f t="shared" si="11"/>
        <v>24400</v>
      </c>
      <c r="F221" s="600">
        <v>7856</v>
      </c>
      <c r="G221" s="600">
        <v>5543</v>
      </c>
      <c r="H221" s="598">
        <v>11001</v>
      </c>
      <c r="I221" s="598"/>
      <c r="J221" s="600">
        <v>197</v>
      </c>
      <c r="K221" s="600">
        <v>10052</v>
      </c>
      <c r="L221" s="600">
        <v>3627</v>
      </c>
    </row>
    <row r="222" spans="1:12" s="263" customFormat="1" ht="9" customHeight="1" x14ac:dyDescent="0.25">
      <c r="A222" s="263" t="s">
        <v>48</v>
      </c>
      <c r="B222" s="598">
        <f t="shared" si="10"/>
        <v>80755</v>
      </c>
      <c r="C222" s="600">
        <v>34675</v>
      </c>
      <c r="D222" s="598"/>
      <c r="E222" s="598">
        <f t="shared" si="11"/>
        <v>32002</v>
      </c>
      <c r="F222" s="600">
        <v>9310</v>
      </c>
      <c r="G222" s="600">
        <v>10077</v>
      </c>
      <c r="H222" s="598">
        <v>12615</v>
      </c>
      <c r="I222" s="598"/>
      <c r="J222" s="600">
        <v>1539</v>
      </c>
      <c r="K222" s="600">
        <v>11499</v>
      </c>
      <c r="L222" s="600">
        <v>1040</v>
      </c>
    </row>
    <row r="223" spans="1:12" s="263" customFormat="1" ht="9" customHeight="1" x14ac:dyDescent="0.25">
      <c r="A223" s="267" t="s">
        <v>49</v>
      </c>
      <c r="B223" s="599">
        <f t="shared" si="10"/>
        <v>116143</v>
      </c>
      <c r="C223" s="604">
        <v>53995</v>
      </c>
      <c r="D223" s="599"/>
      <c r="E223" s="599">
        <f t="shared" si="11"/>
        <v>50641</v>
      </c>
      <c r="F223" s="604">
        <v>16841</v>
      </c>
      <c r="G223" s="604">
        <v>13299</v>
      </c>
      <c r="H223" s="599">
        <v>20501</v>
      </c>
      <c r="I223" s="599"/>
      <c r="J223" s="604">
        <v>1246</v>
      </c>
      <c r="K223" s="604">
        <v>8725</v>
      </c>
      <c r="L223" s="604">
        <v>1536</v>
      </c>
    </row>
    <row r="224" spans="1:12" s="263" customFormat="1" ht="9" customHeight="1" x14ac:dyDescent="0.25">
      <c r="A224" s="263" t="s">
        <v>50</v>
      </c>
      <c r="B224" s="598">
        <f t="shared" si="10"/>
        <v>63508</v>
      </c>
      <c r="C224" s="600">
        <v>35822</v>
      </c>
      <c r="D224" s="598"/>
      <c r="E224" s="598">
        <f t="shared" si="11"/>
        <v>24847</v>
      </c>
      <c r="F224" s="600">
        <v>8189</v>
      </c>
      <c r="G224" s="600">
        <v>8714</v>
      </c>
      <c r="H224" s="598">
        <v>7944</v>
      </c>
      <c r="I224" s="598"/>
      <c r="J224" s="600">
        <v>178</v>
      </c>
      <c r="K224" s="600">
        <v>2138</v>
      </c>
      <c r="L224" s="600">
        <v>523</v>
      </c>
    </row>
    <row r="225" spans="1:12" s="263" customFormat="1" ht="9" customHeight="1" x14ac:dyDescent="0.25">
      <c r="A225" s="263" t="s">
        <v>51</v>
      </c>
      <c r="B225" s="598">
        <f t="shared" si="10"/>
        <v>255248</v>
      </c>
      <c r="C225" s="600">
        <v>116733</v>
      </c>
      <c r="D225" s="598"/>
      <c r="E225" s="598">
        <f t="shared" si="11"/>
        <v>108621</v>
      </c>
      <c r="F225" s="600">
        <v>45620</v>
      </c>
      <c r="G225" s="600">
        <v>22788</v>
      </c>
      <c r="H225" s="598">
        <v>40213</v>
      </c>
      <c r="I225" s="598"/>
      <c r="J225" s="600">
        <v>1070</v>
      </c>
      <c r="K225" s="600">
        <v>19769</v>
      </c>
      <c r="L225" s="600">
        <v>9055</v>
      </c>
    </row>
    <row r="226" spans="1:12" s="263" customFormat="1" ht="9" customHeight="1" x14ac:dyDescent="0.25">
      <c r="A226" s="263" t="s">
        <v>52</v>
      </c>
      <c r="B226" s="598">
        <f t="shared" si="10"/>
        <v>229916</v>
      </c>
      <c r="C226" s="600">
        <v>42559</v>
      </c>
      <c r="D226" s="598"/>
      <c r="E226" s="598">
        <f t="shared" si="11"/>
        <v>161180</v>
      </c>
      <c r="F226" s="600">
        <v>36691</v>
      </c>
      <c r="G226" s="600">
        <v>44413</v>
      </c>
      <c r="H226" s="598">
        <v>80076</v>
      </c>
      <c r="I226" s="598"/>
      <c r="J226" s="600">
        <v>39</v>
      </c>
      <c r="K226" s="600">
        <v>16103</v>
      </c>
      <c r="L226" s="600">
        <v>10035</v>
      </c>
    </row>
    <row r="227" spans="1:12" s="263" customFormat="1" ht="9" customHeight="1" x14ac:dyDescent="0.25">
      <c r="A227" s="267" t="s">
        <v>53</v>
      </c>
      <c r="B227" s="599">
        <f t="shared" si="10"/>
        <v>51393</v>
      </c>
      <c r="C227" s="604">
        <v>14722</v>
      </c>
      <c r="D227" s="599"/>
      <c r="E227" s="599">
        <f t="shared" si="11"/>
        <v>32902</v>
      </c>
      <c r="F227" s="604">
        <v>15151</v>
      </c>
      <c r="G227" s="604">
        <v>4342</v>
      </c>
      <c r="H227" s="599">
        <v>13409</v>
      </c>
      <c r="I227" s="599"/>
      <c r="J227" s="604">
        <v>183</v>
      </c>
      <c r="K227" s="604">
        <v>2538</v>
      </c>
      <c r="L227" s="604">
        <v>1048</v>
      </c>
    </row>
    <row r="228" spans="1:12" s="263" customFormat="1" ht="9" customHeight="1" x14ac:dyDescent="0.25">
      <c r="B228" s="632"/>
      <c r="C228" s="550"/>
      <c r="D228" s="550"/>
      <c r="E228" s="632"/>
      <c r="F228" s="550"/>
      <c r="G228" s="550"/>
      <c r="H228" s="550"/>
      <c r="I228" s="550"/>
      <c r="J228" s="550"/>
      <c r="K228" s="550"/>
      <c r="L228" s="550"/>
    </row>
    <row r="229" spans="1:12" s="263" customFormat="1" ht="9" customHeight="1" x14ac:dyDescent="0.25">
      <c r="A229" s="601">
        <v>2001</v>
      </c>
      <c r="B229" s="632"/>
      <c r="C229" s="550"/>
      <c r="D229" s="550"/>
      <c r="E229" s="632"/>
      <c r="F229" s="550"/>
      <c r="G229" s="550"/>
      <c r="H229" s="550"/>
      <c r="I229" s="550"/>
      <c r="J229" s="550"/>
      <c r="K229" s="550"/>
      <c r="L229" s="550"/>
    </row>
    <row r="230" spans="1:12" s="263" customFormat="1" ht="9" customHeight="1" x14ac:dyDescent="0.25">
      <c r="A230" s="265" t="s">
        <v>21</v>
      </c>
      <c r="B230" s="597">
        <f>SUM(B232:B263)</f>
        <v>8880415</v>
      </c>
      <c r="C230" s="597">
        <f>SUM(C232:C263)</f>
        <v>3225035</v>
      </c>
      <c r="D230" s="597"/>
      <c r="E230" s="597">
        <f>SUM(E232:E263)</f>
        <v>4328480</v>
      </c>
      <c r="F230" s="597">
        <f>SUM(F232:F263)</f>
        <v>1065474</v>
      </c>
      <c r="G230" s="597">
        <f>SUM(G232:G263)</f>
        <v>1050525</v>
      </c>
      <c r="H230" s="597">
        <f>SUM(H232:H263)</f>
        <v>2212481</v>
      </c>
      <c r="I230" s="597"/>
      <c r="J230" s="597">
        <f>SUM(J232:J263)</f>
        <v>107056</v>
      </c>
      <c r="K230" s="597">
        <f>SUM(K232:K263)</f>
        <v>972279</v>
      </c>
      <c r="L230" s="597">
        <f>SUM(L232:L263)</f>
        <v>247565</v>
      </c>
    </row>
    <row r="231" spans="1:12" s="263" customFormat="1" ht="3.95" customHeight="1" x14ac:dyDescent="0.25">
      <c r="A231" s="265"/>
      <c r="B231" s="597"/>
      <c r="C231" s="597"/>
      <c r="D231" s="597"/>
      <c r="E231" s="597"/>
      <c r="F231" s="597"/>
      <c r="G231" s="597"/>
      <c r="H231" s="597"/>
      <c r="I231" s="597"/>
      <c r="J231" s="597"/>
      <c r="K231" s="597"/>
      <c r="L231" s="597"/>
    </row>
    <row r="232" spans="1:12" s="263" customFormat="1" ht="9" customHeight="1" x14ac:dyDescent="0.25">
      <c r="A232" s="263" t="s">
        <v>23</v>
      </c>
      <c r="B232" s="598">
        <f>SUM(C232+E232+J232+K232+L232)</f>
        <v>64569</v>
      </c>
      <c r="C232" s="600">
        <v>25888</v>
      </c>
      <c r="D232" s="598"/>
      <c r="E232" s="598">
        <f>SUM(F232:H232)</f>
        <v>35555</v>
      </c>
      <c r="F232" s="600">
        <v>5468</v>
      </c>
      <c r="G232" s="600">
        <v>4336</v>
      </c>
      <c r="H232" s="598">
        <v>25751</v>
      </c>
      <c r="I232" s="598"/>
      <c r="J232" s="600">
        <v>2696</v>
      </c>
      <c r="K232" s="600">
        <v>427</v>
      </c>
      <c r="L232" s="600">
        <v>3</v>
      </c>
    </row>
    <row r="233" spans="1:12" s="263" customFormat="1" ht="9" customHeight="1" x14ac:dyDescent="0.25">
      <c r="A233" s="263" t="s">
        <v>24</v>
      </c>
      <c r="B233" s="598" t="s">
        <v>22</v>
      </c>
      <c r="C233" s="598" t="s">
        <v>22</v>
      </c>
      <c r="D233" s="598"/>
      <c r="E233" s="598" t="s">
        <v>22</v>
      </c>
      <c r="F233" s="598" t="s">
        <v>22</v>
      </c>
      <c r="G233" s="598" t="s">
        <v>22</v>
      </c>
      <c r="H233" s="598" t="s">
        <v>22</v>
      </c>
      <c r="I233" s="598"/>
      <c r="J233" s="598" t="s">
        <v>22</v>
      </c>
      <c r="K233" s="598" t="s">
        <v>22</v>
      </c>
      <c r="L233" s="598" t="s">
        <v>22</v>
      </c>
    </row>
    <row r="234" spans="1:12" s="263" customFormat="1" ht="9" customHeight="1" x14ac:dyDescent="0.25">
      <c r="A234" s="263" t="s">
        <v>25</v>
      </c>
      <c r="B234" s="598">
        <f t="shared" ref="B234:B263" si="12">SUM(C234+E234+J234+K234+L234)</f>
        <v>22636</v>
      </c>
      <c r="C234" s="600">
        <v>8572</v>
      </c>
      <c r="D234" s="598"/>
      <c r="E234" s="598">
        <f t="shared" ref="E234:E263" si="13">SUM(F234:H234)</f>
        <v>11310</v>
      </c>
      <c r="F234" s="600">
        <v>1061</v>
      </c>
      <c r="G234" s="600">
        <v>1529</v>
      </c>
      <c r="H234" s="598">
        <v>8720</v>
      </c>
      <c r="I234" s="598"/>
      <c r="J234" s="600">
        <v>0</v>
      </c>
      <c r="K234" s="600">
        <v>2214</v>
      </c>
      <c r="L234" s="600">
        <v>540</v>
      </c>
    </row>
    <row r="235" spans="1:12" s="263" customFormat="1" ht="9" customHeight="1" x14ac:dyDescent="0.25">
      <c r="A235" s="267" t="s">
        <v>26</v>
      </c>
      <c r="B235" s="599">
        <f t="shared" si="12"/>
        <v>17393</v>
      </c>
      <c r="C235" s="604">
        <v>5138</v>
      </c>
      <c r="D235" s="599"/>
      <c r="E235" s="599">
        <f t="shared" si="13"/>
        <v>6567</v>
      </c>
      <c r="F235" s="604">
        <v>2665</v>
      </c>
      <c r="G235" s="604">
        <v>1787</v>
      </c>
      <c r="H235" s="599">
        <v>2115</v>
      </c>
      <c r="I235" s="599"/>
      <c r="J235" s="604">
        <v>0</v>
      </c>
      <c r="K235" s="604">
        <v>5669</v>
      </c>
      <c r="L235" s="604">
        <v>19</v>
      </c>
    </row>
    <row r="236" spans="1:12" s="263" customFormat="1" ht="9" customHeight="1" x14ac:dyDescent="0.25">
      <c r="A236" s="263" t="s">
        <v>27</v>
      </c>
      <c r="B236" s="598">
        <f t="shared" si="12"/>
        <v>125663</v>
      </c>
      <c r="C236" s="600">
        <v>22667</v>
      </c>
      <c r="D236" s="598"/>
      <c r="E236" s="598">
        <f t="shared" si="13"/>
        <v>63894</v>
      </c>
      <c r="F236" s="600">
        <v>17539</v>
      </c>
      <c r="G236" s="600">
        <v>23450</v>
      </c>
      <c r="H236" s="598">
        <v>22905</v>
      </c>
      <c r="I236" s="598"/>
      <c r="J236" s="600">
        <v>936</v>
      </c>
      <c r="K236" s="600">
        <v>34971</v>
      </c>
      <c r="L236" s="600">
        <v>3195</v>
      </c>
    </row>
    <row r="237" spans="1:12" s="263" customFormat="1" ht="9" customHeight="1" x14ac:dyDescent="0.25">
      <c r="A237" s="263" t="s">
        <v>28</v>
      </c>
      <c r="B237" s="598">
        <f t="shared" si="12"/>
        <v>23409</v>
      </c>
      <c r="C237" s="600">
        <v>9509</v>
      </c>
      <c r="D237" s="598"/>
      <c r="E237" s="598">
        <f t="shared" si="13"/>
        <v>12920</v>
      </c>
      <c r="F237" s="600">
        <v>2542</v>
      </c>
      <c r="G237" s="600">
        <v>5241</v>
      </c>
      <c r="H237" s="598">
        <v>5137</v>
      </c>
      <c r="I237" s="598"/>
      <c r="J237" s="600">
        <v>0</v>
      </c>
      <c r="K237" s="600">
        <v>833</v>
      </c>
      <c r="L237" s="600">
        <v>147</v>
      </c>
    </row>
    <row r="238" spans="1:12" s="263" customFormat="1" ht="9" customHeight="1" x14ac:dyDescent="0.25">
      <c r="A238" s="263" t="s">
        <v>29</v>
      </c>
      <c r="B238" s="598">
        <f t="shared" si="12"/>
        <v>102924</v>
      </c>
      <c r="C238" s="600">
        <v>45986</v>
      </c>
      <c r="D238" s="598"/>
      <c r="E238" s="598">
        <f t="shared" si="13"/>
        <v>52138</v>
      </c>
      <c r="F238" s="600">
        <v>17613</v>
      </c>
      <c r="G238" s="600">
        <v>12609</v>
      </c>
      <c r="H238" s="598">
        <v>21916</v>
      </c>
      <c r="I238" s="598"/>
      <c r="J238" s="600">
        <v>114</v>
      </c>
      <c r="K238" s="600">
        <v>4158</v>
      </c>
      <c r="L238" s="600">
        <v>528</v>
      </c>
    </row>
    <row r="239" spans="1:12" s="263" customFormat="1" ht="9" customHeight="1" x14ac:dyDescent="0.25">
      <c r="A239" s="267" t="s">
        <v>30</v>
      </c>
      <c r="B239" s="599">
        <f t="shared" si="12"/>
        <v>139452</v>
      </c>
      <c r="C239" s="604">
        <v>76241</v>
      </c>
      <c r="D239" s="599"/>
      <c r="E239" s="599">
        <f t="shared" si="13"/>
        <v>42486</v>
      </c>
      <c r="F239" s="604">
        <v>9124</v>
      </c>
      <c r="G239" s="604">
        <v>19675</v>
      </c>
      <c r="H239" s="599">
        <v>13687</v>
      </c>
      <c r="I239" s="599"/>
      <c r="J239" s="604">
        <v>77</v>
      </c>
      <c r="K239" s="604">
        <v>19672</v>
      </c>
      <c r="L239" s="604">
        <v>976</v>
      </c>
    </row>
    <row r="240" spans="1:12" s="263" customFormat="1" ht="9" customHeight="1" x14ac:dyDescent="0.25">
      <c r="A240" s="263" t="s">
        <v>63</v>
      </c>
      <c r="B240" s="598">
        <f t="shared" si="12"/>
        <v>2334329</v>
      </c>
      <c r="C240" s="600">
        <v>603579</v>
      </c>
      <c r="D240" s="598"/>
      <c r="E240" s="598">
        <f t="shared" si="13"/>
        <v>1343014</v>
      </c>
      <c r="F240" s="600">
        <v>181566</v>
      </c>
      <c r="G240" s="600">
        <v>201905</v>
      </c>
      <c r="H240" s="598">
        <v>959543</v>
      </c>
      <c r="I240" s="598"/>
      <c r="J240" s="600">
        <v>27445</v>
      </c>
      <c r="K240" s="600">
        <v>301079</v>
      </c>
      <c r="L240" s="600">
        <v>59212</v>
      </c>
    </row>
    <row r="241" spans="1:12" s="263" customFormat="1" ht="9" customHeight="1" x14ac:dyDescent="0.25">
      <c r="A241" s="263" t="s">
        <v>31</v>
      </c>
      <c r="B241" s="598">
        <f t="shared" si="12"/>
        <v>18047</v>
      </c>
      <c r="C241" s="600">
        <v>10991</v>
      </c>
      <c r="D241" s="598"/>
      <c r="E241" s="598">
        <f t="shared" si="13"/>
        <v>5747</v>
      </c>
      <c r="F241" s="600">
        <v>2204</v>
      </c>
      <c r="G241" s="600">
        <v>758</v>
      </c>
      <c r="H241" s="598">
        <v>2785</v>
      </c>
      <c r="I241" s="598"/>
      <c r="J241" s="600">
        <v>264</v>
      </c>
      <c r="K241" s="600">
        <v>746</v>
      </c>
      <c r="L241" s="600">
        <v>299</v>
      </c>
    </row>
    <row r="242" spans="1:12" s="263" customFormat="1" ht="9" customHeight="1" x14ac:dyDescent="0.25">
      <c r="A242" s="263" t="s">
        <v>32</v>
      </c>
      <c r="B242" s="598">
        <f t="shared" si="12"/>
        <v>478138</v>
      </c>
      <c r="C242" s="600">
        <v>234154</v>
      </c>
      <c r="D242" s="598"/>
      <c r="E242" s="598">
        <f t="shared" si="13"/>
        <v>201147</v>
      </c>
      <c r="F242" s="600">
        <v>68417</v>
      </c>
      <c r="G242" s="600">
        <v>59596</v>
      </c>
      <c r="H242" s="598">
        <v>73134</v>
      </c>
      <c r="I242" s="598"/>
      <c r="J242" s="600">
        <v>1784</v>
      </c>
      <c r="K242" s="600">
        <v>28263</v>
      </c>
      <c r="L242" s="600">
        <v>12790</v>
      </c>
    </row>
    <row r="243" spans="1:12" s="263" customFormat="1" ht="9" customHeight="1" x14ac:dyDescent="0.25">
      <c r="A243" s="267" t="s">
        <v>33</v>
      </c>
      <c r="B243" s="599">
        <f t="shared" si="12"/>
        <v>162652</v>
      </c>
      <c r="C243" s="604">
        <v>69366</v>
      </c>
      <c r="D243" s="599"/>
      <c r="E243" s="599">
        <f t="shared" si="13"/>
        <v>76397</v>
      </c>
      <c r="F243" s="604">
        <v>30036</v>
      </c>
      <c r="G243" s="604">
        <v>19372</v>
      </c>
      <c r="H243" s="599">
        <v>26989</v>
      </c>
      <c r="I243" s="599"/>
      <c r="J243" s="604">
        <v>373</v>
      </c>
      <c r="K243" s="604">
        <v>12282</v>
      </c>
      <c r="L243" s="604">
        <v>4234</v>
      </c>
    </row>
    <row r="244" spans="1:12" s="263" customFormat="1" ht="9" customHeight="1" x14ac:dyDescent="0.25">
      <c r="A244" s="263" t="s">
        <v>34</v>
      </c>
      <c r="B244" s="598">
        <f t="shared" si="12"/>
        <v>76300</v>
      </c>
      <c r="C244" s="600">
        <v>41445</v>
      </c>
      <c r="D244" s="598"/>
      <c r="E244" s="598">
        <f t="shared" si="13"/>
        <v>31428</v>
      </c>
      <c r="F244" s="600">
        <v>13172</v>
      </c>
      <c r="G244" s="600">
        <v>9970</v>
      </c>
      <c r="H244" s="598">
        <v>8286</v>
      </c>
      <c r="I244" s="598"/>
      <c r="J244" s="600">
        <v>39</v>
      </c>
      <c r="K244" s="600">
        <v>2999</v>
      </c>
      <c r="L244" s="600">
        <v>389</v>
      </c>
    </row>
    <row r="245" spans="1:12" s="263" customFormat="1" ht="9" customHeight="1" x14ac:dyDescent="0.25">
      <c r="A245" s="263" t="s">
        <v>35</v>
      </c>
      <c r="B245" s="598">
        <f t="shared" si="12"/>
        <v>542412</v>
      </c>
      <c r="C245" s="600">
        <v>149652</v>
      </c>
      <c r="D245" s="598"/>
      <c r="E245" s="598">
        <f t="shared" si="13"/>
        <v>312848</v>
      </c>
      <c r="F245" s="600">
        <v>75318</v>
      </c>
      <c r="G245" s="600">
        <v>78826</v>
      </c>
      <c r="H245" s="598">
        <v>158704</v>
      </c>
      <c r="I245" s="598"/>
      <c r="J245" s="600">
        <v>7275</v>
      </c>
      <c r="K245" s="600">
        <v>58850</v>
      </c>
      <c r="L245" s="600">
        <v>13787</v>
      </c>
    </row>
    <row r="246" spans="1:12" s="263" customFormat="1" ht="9" customHeight="1" x14ac:dyDescent="0.25">
      <c r="A246" s="263" t="s">
        <v>36</v>
      </c>
      <c r="B246" s="598">
        <f t="shared" si="12"/>
        <v>1311719</v>
      </c>
      <c r="C246" s="600">
        <v>704182</v>
      </c>
      <c r="D246" s="598"/>
      <c r="E246" s="598">
        <f t="shared" si="13"/>
        <v>518145</v>
      </c>
      <c r="F246" s="600">
        <v>189460</v>
      </c>
      <c r="G246" s="600">
        <v>176384</v>
      </c>
      <c r="H246" s="598">
        <v>152301</v>
      </c>
      <c r="I246" s="598"/>
      <c r="J246" s="600">
        <v>10367</v>
      </c>
      <c r="K246" s="600">
        <v>53528</v>
      </c>
      <c r="L246" s="600">
        <v>25497</v>
      </c>
    </row>
    <row r="247" spans="1:12" s="263" customFormat="1" ht="9" customHeight="1" x14ac:dyDescent="0.25">
      <c r="A247" s="267" t="s">
        <v>37</v>
      </c>
      <c r="B247" s="599">
        <f t="shared" si="12"/>
        <v>384657</v>
      </c>
      <c r="C247" s="604">
        <v>146391</v>
      </c>
      <c r="D247" s="599"/>
      <c r="E247" s="599">
        <f t="shared" si="13"/>
        <v>191968</v>
      </c>
      <c r="F247" s="604">
        <v>56191</v>
      </c>
      <c r="G247" s="604">
        <v>48311</v>
      </c>
      <c r="H247" s="599">
        <v>87466</v>
      </c>
      <c r="I247" s="599"/>
      <c r="J247" s="604">
        <v>670</v>
      </c>
      <c r="K247" s="604">
        <v>41573</v>
      </c>
      <c r="L247" s="604">
        <v>4055</v>
      </c>
    </row>
    <row r="248" spans="1:12" s="263" customFormat="1" ht="9" customHeight="1" x14ac:dyDescent="0.25">
      <c r="A248" s="263" t="s">
        <v>38</v>
      </c>
      <c r="B248" s="598">
        <f t="shared" si="12"/>
        <v>85025</v>
      </c>
      <c r="C248" s="600">
        <v>48191</v>
      </c>
      <c r="D248" s="598"/>
      <c r="E248" s="598">
        <f t="shared" si="13"/>
        <v>30898</v>
      </c>
      <c r="F248" s="600">
        <v>11976</v>
      </c>
      <c r="G248" s="600">
        <v>4952</v>
      </c>
      <c r="H248" s="598">
        <v>13970</v>
      </c>
      <c r="I248" s="598"/>
      <c r="J248" s="600">
        <v>189</v>
      </c>
      <c r="K248" s="600">
        <v>5213</v>
      </c>
      <c r="L248" s="600">
        <v>534</v>
      </c>
    </row>
    <row r="249" spans="1:12" s="263" customFormat="1" ht="9" customHeight="1" x14ac:dyDescent="0.25">
      <c r="A249" s="263" t="s">
        <v>39</v>
      </c>
      <c r="B249" s="598">
        <f t="shared" si="12"/>
        <v>11428</v>
      </c>
      <c r="C249" s="600">
        <v>4307</v>
      </c>
      <c r="D249" s="598"/>
      <c r="E249" s="598">
        <f t="shared" si="13"/>
        <v>5859</v>
      </c>
      <c r="F249" s="600">
        <v>4359</v>
      </c>
      <c r="G249" s="600">
        <v>495</v>
      </c>
      <c r="H249" s="598">
        <v>1005</v>
      </c>
      <c r="I249" s="598"/>
      <c r="J249" s="600">
        <v>40</v>
      </c>
      <c r="K249" s="600">
        <v>1162</v>
      </c>
      <c r="L249" s="600">
        <v>60</v>
      </c>
    </row>
    <row r="250" spans="1:12" s="263" customFormat="1" ht="9" customHeight="1" x14ac:dyDescent="0.25">
      <c r="A250" s="263" t="s">
        <v>40</v>
      </c>
      <c r="B250" s="598">
        <f t="shared" si="12"/>
        <v>946839</v>
      </c>
      <c r="C250" s="600">
        <v>195154</v>
      </c>
      <c r="D250" s="598"/>
      <c r="E250" s="598">
        <f t="shared" si="13"/>
        <v>443176</v>
      </c>
      <c r="F250" s="600">
        <v>83798</v>
      </c>
      <c r="G250" s="600">
        <v>114108</v>
      </c>
      <c r="H250" s="598">
        <v>245270</v>
      </c>
      <c r="I250" s="598"/>
      <c r="J250" s="600">
        <v>45786</v>
      </c>
      <c r="K250" s="600">
        <v>195697</v>
      </c>
      <c r="L250" s="600">
        <v>67026</v>
      </c>
    </row>
    <row r="251" spans="1:12" s="263" customFormat="1" ht="9" customHeight="1" x14ac:dyDescent="0.25">
      <c r="A251" s="267" t="s">
        <v>41</v>
      </c>
      <c r="B251" s="599">
        <f t="shared" si="12"/>
        <v>212764</v>
      </c>
      <c r="C251" s="604">
        <v>90050</v>
      </c>
      <c r="D251" s="599"/>
      <c r="E251" s="599">
        <f t="shared" si="13"/>
        <v>104055</v>
      </c>
      <c r="F251" s="604">
        <v>30275</v>
      </c>
      <c r="G251" s="604">
        <v>20274</v>
      </c>
      <c r="H251" s="599">
        <v>53506</v>
      </c>
      <c r="I251" s="599"/>
      <c r="J251" s="604">
        <v>1977</v>
      </c>
      <c r="K251" s="604">
        <v>5386</v>
      </c>
      <c r="L251" s="604">
        <v>11296</v>
      </c>
    </row>
    <row r="252" spans="1:12" s="263" customFormat="1" ht="9" customHeight="1" x14ac:dyDescent="0.25">
      <c r="A252" s="263" t="s">
        <v>42</v>
      </c>
      <c r="B252" s="598">
        <f t="shared" si="12"/>
        <v>231220</v>
      </c>
      <c r="C252" s="600">
        <v>100833</v>
      </c>
      <c r="D252" s="598"/>
      <c r="E252" s="598">
        <f t="shared" si="13"/>
        <v>110160</v>
      </c>
      <c r="F252" s="600">
        <v>32274</v>
      </c>
      <c r="G252" s="600">
        <v>25978</v>
      </c>
      <c r="H252" s="598">
        <v>51908</v>
      </c>
      <c r="I252" s="598"/>
      <c r="J252" s="600">
        <v>1092</v>
      </c>
      <c r="K252" s="600">
        <v>14123</v>
      </c>
      <c r="L252" s="600">
        <v>5012</v>
      </c>
    </row>
    <row r="253" spans="1:12" s="263" customFormat="1" ht="9" customHeight="1" x14ac:dyDescent="0.25">
      <c r="A253" s="263" t="s">
        <v>43</v>
      </c>
      <c r="B253" s="598">
        <f t="shared" si="12"/>
        <v>114990</v>
      </c>
      <c r="C253" s="600">
        <v>49403</v>
      </c>
      <c r="D253" s="598"/>
      <c r="E253" s="598">
        <f t="shared" si="13"/>
        <v>44383</v>
      </c>
      <c r="F253" s="600">
        <v>15127</v>
      </c>
      <c r="G253" s="600">
        <v>14308</v>
      </c>
      <c r="H253" s="598">
        <v>14948</v>
      </c>
      <c r="I253" s="598"/>
      <c r="J253" s="600">
        <v>785</v>
      </c>
      <c r="K253" s="600">
        <v>15243</v>
      </c>
      <c r="L253" s="600">
        <v>5176</v>
      </c>
    </row>
    <row r="254" spans="1:12" s="263" customFormat="1" ht="9" customHeight="1" x14ac:dyDescent="0.25">
      <c r="A254" s="263" t="s">
        <v>44</v>
      </c>
      <c r="B254" s="598">
        <f t="shared" si="12"/>
        <v>194416</v>
      </c>
      <c r="C254" s="600">
        <v>61527</v>
      </c>
      <c r="D254" s="598"/>
      <c r="E254" s="598">
        <f t="shared" si="13"/>
        <v>107737</v>
      </c>
      <c r="F254" s="600">
        <v>33861</v>
      </c>
      <c r="G254" s="600">
        <v>34715</v>
      </c>
      <c r="H254" s="598">
        <v>39161</v>
      </c>
      <c r="I254" s="598"/>
      <c r="J254" s="600">
        <v>254</v>
      </c>
      <c r="K254" s="600">
        <v>16165</v>
      </c>
      <c r="L254" s="600">
        <v>8733</v>
      </c>
    </row>
    <row r="255" spans="1:12" s="263" customFormat="1" ht="9" customHeight="1" x14ac:dyDescent="0.25">
      <c r="A255" s="267" t="s">
        <v>45</v>
      </c>
      <c r="B255" s="599">
        <f t="shared" si="12"/>
        <v>148054</v>
      </c>
      <c r="C255" s="604">
        <v>49300</v>
      </c>
      <c r="D255" s="599"/>
      <c r="E255" s="599">
        <f t="shared" si="13"/>
        <v>53326</v>
      </c>
      <c r="F255" s="604">
        <v>22200</v>
      </c>
      <c r="G255" s="604">
        <v>19558</v>
      </c>
      <c r="H255" s="599">
        <v>11568</v>
      </c>
      <c r="I255" s="599"/>
      <c r="J255" s="604">
        <v>370</v>
      </c>
      <c r="K255" s="604">
        <v>44659</v>
      </c>
      <c r="L255" s="604">
        <v>399</v>
      </c>
    </row>
    <row r="256" spans="1:12" s="263" customFormat="1" ht="9" customHeight="1" x14ac:dyDescent="0.25">
      <c r="A256" s="263" t="s">
        <v>46</v>
      </c>
      <c r="B256" s="598">
        <f t="shared" si="12"/>
        <v>143958</v>
      </c>
      <c r="C256" s="600">
        <v>38443</v>
      </c>
      <c r="D256" s="598"/>
      <c r="E256" s="598">
        <f t="shared" si="13"/>
        <v>80634</v>
      </c>
      <c r="F256" s="600">
        <v>20021</v>
      </c>
      <c r="G256" s="600">
        <v>20213</v>
      </c>
      <c r="H256" s="598">
        <v>40400</v>
      </c>
      <c r="I256" s="598"/>
      <c r="J256" s="600">
        <v>668</v>
      </c>
      <c r="K256" s="600">
        <v>21633</v>
      </c>
      <c r="L256" s="600">
        <v>2580</v>
      </c>
    </row>
    <row r="257" spans="1:12" s="263" customFormat="1" ht="9" customHeight="1" x14ac:dyDescent="0.25">
      <c r="A257" s="263" t="s">
        <v>47</v>
      </c>
      <c r="B257" s="598">
        <f t="shared" si="12"/>
        <v>220401</v>
      </c>
      <c r="C257" s="600">
        <v>100573</v>
      </c>
      <c r="D257" s="598"/>
      <c r="E257" s="598">
        <f t="shared" si="13"/>
        <v>87463</v>
      </c>
      <c r="F257" s="600">
        <v>18913</v>
      </c>
      <c r="G257" s="600">
        <v>29487</v>
      </c>
      <c r="H257" s="598">
        <v>39063</v>
      </c>
      <c r="I257" s="598"/>
      <c r="J257" s="600">
        <v>1181</v>
      </c>
      <c r="K257" s="600">
        <v>25762</v>
      </c>
      <c r="L257" s="600">
        <v>5422</v>
      </c>
    </row>
    <row r="258" spans="1:12" s="263" customFormat="1" ht="9" customHeight="1" x14ac:dyDescent="0.25">
      <c r="A258" s="263" t="s">
        <v>48</v>
      </c>
      <c r="B258" s="598">
        <f t="shared" si="12"/>
        <v>66540</v>
      </c>
      <c r="C258" s="600">
        <v>30049</v>
      </c>
      <c r="D258" s="598"/>
      <c r="E258" s="598">
        <f t="shared" si="13"/>
        <v>20031</v>
      </c>
      <c r="F258" s="600">
        <v>7468</v>
      </c>
      <c r="G258" s="600">
        <v>4618</v>
      </c>
      <c r="H258" s="598">
        <v>7945</v>
      </c>
      <c r="I258" s="598"/>
      <c r="J258" s="600">
        <v>367</v>
      </c>
      <c r="K258" s="600">
        <v>15195</v>
      </c>
      <c r="L258" s="600">
        <v>898</v>
      </c>
    </row>
    <row r="259" spans="1:12" s="263" customFormat="1" ht="9" customHeight="1" x14ac:dyDescent="0.25">
      <c r="A259" s="267" t="s">
        <v>49</v>
      </c>
      <c r="B259" s="599">
        <f t="shared" si="12"/>
        <v>173424</v>
      </c>
      <c r="C259" s="604">
        <v>73146</v>
      </c>
      <c r="D259" s="599"/>
      <c r="E259" s="599">
        <f t="shared" si="13"/>
        <v>88307</v>
      </c>
      <c r="F259" s="604">
        <v>27480</v>
      </c>
      <c r="G259" s="604">
        <v>28014</v>
      </c>
      <c r="H259" s="599">
        <v>32813</v>
      </c>
      <c r="I259" s="599"/>
      <c r="J259" s="604">
        <v>116</v>
      </c>
      <c r="K259" s="604">
        <v>8749</v>
      </c>
      <c r="L259" s="604">
        <v>3106</v>
      </c>
    </row>
    <row r="260" spans="1:12" s="263" customFormat="1" ht="9" customHeight="1" x14ac:dyDescent="0.25">
      <c r="A260" s="263" t="s">
        <v>50</v>
      </c>
      <c r="B260" s="598">
        <f t="shared" si="12"/>
        <v>50147</v>
      </c>
      <c r="C260" s="600">
        <v>29477</v>
      </c>
      <c r="D260" s="598"/>
      <c r="E260" s="598">
        <f t="shared" si="13"/>
        <v>18346</v>
      </c>
      <c r="F260" s="600">
        <v>6578</v>
      </c>
      <c r="G260" s="600">
        <v>6631</v>
      </c>
      <c r="H260" s="598">
        <v>5137</v>
      </c>
      <c r="I260" s="598"/>
      <c r="J260" s="600">
        <v>328</v>
      </c>
      <c r="K260" s="600">
        <v>1525</v>
      </c>
      <c r="L260" s="600">
        <v>471</v>
      </c>
    </row>
    <row r="261" spans="1:12" s="263" customFormat="1" ht="9" customHeight="1" x14ac:dyDescent="0.25">
      <c r="A261" s="263" t="s">
        <v>51</v>
      </c>
      <c r="B261" s="598">
        <f t="shared" si="12"/>
        <v>286304</v>
      </c>
      <c r="C261" s="600">
        <v>147781</v>
      </c>
      <c r="D261" s="598"/>
      <c r="E261" s="598">
        <f t="shared" si="13"/>
        <v>116822</v>
      </c>
      <c r="F261" s="600">
        <v>43300</v>
      </c>
      <c r="G261" s="600">
        <v>22950</v>
      </c>
      <c r="H261" s="598">
        <v>50572</v>
      </c>
      <c r="I261" s="598"/>
      <c r="J261" s="600">
        <v>1421</v>
      </c>
      <c r="K261" s="600">
        <v>15550</v>
      </c>
      <c r="L261" s="600">
        <v>4730</v>
      </c>
    </row>
    <row r="262" spans="1:12" s="263" customFormat="1" ht="9" customHeight="1" x14ac:dyDescent="0.25">
      <c r="A262" s="263" t="s">
        <v>52</v>
      </c>
      <c r="B262" s="598">
        <f t="shared" si="12"/>
        <v>140181</v>
      </c>
      <c r="C262" s="600">
        <v>35334</v>
      </c>
      <c r="D262" s="598"/>
      <c r="E262" s="598">
        <f t="shared" si="13"/>
        <v>84705</v>
      </c>
      <c r="F262" s="600">
        <v>28238</v>
      </c>
      <c r="G262" s="600">
        <v>33608</v>
      </c>
      <c r="H262" s="598">
        <v>22859</v>
      </c>
      <c r="I262" s="598"/>
      <c r="J262" s="600">
        <v>120</v>
      </c>
      <c r="K262" s="600">
        <v>15440</v>
      </c>
      <c r="L262" s="600">
        <v>4582</v>
      </c>
    </row>
    <row r="263" spans="1:12" s="263" customFormat="1" ht="9" customHeight="1" x14ac:dyDescent="0.25">
      <c r="A263" s="267" t="s">
        <v>53</v>
      </c>
      <c r="B263" s="599">
        <f t="shared" si="12"/>
        <v>50424</v>
      </c>
      <c r="C263" s="604">
        <v>17706</v>
      </c>
      <c r="D263" s="599"/>
      <c r="E263" s="599">
        <f t="shared" si="13"/>
        <v>27014</v>
      </c>
      <c r="F263" s="604">
        <v>7230</v>
      </c>
      <c r="G263" s="604">
        <v>6867</v>
      </c>
      <c r="H263" s="599">
        <v>12917</v>
      </c>
      <c r="I263" s="599"/>
      <c r="J263" s="604">
        <v>322</v>
      </c>
      <c r="K263" s="604">
        <v>3513</v>
      </c>
      <c r="L263" s="604">
        <v>1869</v>
      </c>
    </row>
    <row r="264" spans="1:12" s="263" customFormat="1" ht="9" customHeight="1" x14ac:dyDescent="0.25">
      <c r="B264" s="598"/>
      <c r="C264" s="600"/>
      <c r="D264" s="598"/>
      <c r="E264" s="598"/>
      <c r="F264" s="600"/>
      <c r="G264" s="600"/>
      <c r="H264" s="598"/>
      <c r="I264" s="598"/>
      <c r="J264" s="600"/>
      <c r="K264" s="600"/>
      <c r="L264" s="600"/>
    </row>
    <row r="265" spans="1:12" s="263" customFormat="1" ht="9" customHeight="1" x14ac:dyDescent="0.25">
      <c r="A265" s="601">
        <v>2002</v>
      </c>
      <c r="B265" s="632"/>
      <c r="C265" s="550"/>
      <c r="D265" s="550"/>
      <c r="E265" s="632"/>
      <c r="F265" s="550"/>
      <c r="G265" s="550"/>
      <c r="H265" s="550"/>
      <c r="I265" s="550"/>
      <c r="J265" s="550"/>
      <c r="K265" s="550"/>
      <c r="L265" s="550"/>
    </row>
    <row r="266" spans="1:12" s="263" customFormat="1" ht="9" customHeight="1" x14ac:dyDescent="0.25">
      <c r="A266" s="265" t="s">
        <v>21</v>
      </c>
      <c r="B266" s="597">
        <f>SUM(B268:B299)</f>
        <v>11740647</v>
      </c>
      <c r="C266" s="597">
        <f>SUM(C268:C299)</f>
        <v>4856680</v>
      </c>
      <c r="D266" s="597"/>
      <c r="E266" s="597">
        <f>SUM(E268:E299)</f>
        <v>5309581</v>
      </c>
      <c r="F266" s="597">
        <f>SUM(F268:F299)</f>
        <v>1416642</v>
      </c>
      <c r="G266" s="597">
        <f>SUM(G268:G299)</f>
        <v>1406329</v>
      </c>
      <c r="H266" s="597">
        <f>SUM(H268:H299)</f>
        <v>2486610</v>
      </c>
      <c r="I266" s="597"/>
      <c r="J266" s="597">
        <f>SUM(J268:J299)</f>
        <v>149428</v>
      </c>
      <c r="K266" s="597">
        <f>SUM(K268:K299)</f>
        <v>1151761</v>
      </c>
      <c r="L266" s="597">
        <f>SUM(L268:L299)</f>
        <v>273197</v>
      </c>
    </row>
    <row r="267" spans="1:12" s="263" customFormat="1" ht="3.95" customHeight="1" x14ac:dyDescent="0.25">
      <c r="A267" s="265"/>
      <c r="B267" s="597"/>
      <c r="C267" s="597"/>
      <c r="D267" s="597"/>
      <c r="E267" s="597"/>
      <c r="F267" s="597"/>
      <c r="G267" s="597"/>
      <c r="H267" s="597"/>
      <c r="I267" s="597"/>
      <c r="J267" s="597"/>
      <c r="K267" s="597"/>
      <c r="L267" s="597"/>
    </row>
    <row r="268" spans="1:12" s="263" customFormat="1" ht="9" customHeight="1" x14ac:dyDescent="0.25">
      <c r="A268" s="263" t="s">
        <v>23</v>
      </c>
      <c r="B268" s="598">
        <f t="shared" ref="B268:B299" si="14">SUM(C268+E268+J268+K268+L268)</f>
        <v>55579</v>
      </c>
      <c r="C268" s="600">
        <v>15008</v>
      </c>
      <c r="D268" s="598"/>
      <c r="E268" s="598">
        <f t="shared" ref="E268:E299" si="15">SUM(F268:H268)</f>
        <v>28441</v>
      </c>
      <c r="F268" s="600">
        <v>7228</v>
      </c>
      <c r="G268" s="600">
        <v>4718</v>
      </c>
      <c r="H268" s="598">
        <v>16495</v>
      </c>
      <c r="I268" s="598"/>
      <c r="J268" s="600">
        <v>137</v>
      </c>
      <c r="K268" s="600">
        <v>8756</v>
      </c>
      <c r="L268" s="600">
        <v>3237</v>
      </c>
    </row>
    <row r="269" spans="1:12" s="263" customFormat="1" ht="9" customHeight="1" x14ac:dyDescent="0.25">
      <c r="A269" s="263" t="s">
        <v>24</v>
      </c>
      <c r="B269" s="598">
        <f t="shared" si="14"/>
        <v>516970</v>
      </c>
      <c r="C269" s="598">
        <v>271673</v>
      </c>
      <c r="D269" s="598"/>
      <c r="E269" s="598">
        <f t="shared" si="15"/>
        <v>204602</v>
      </c>
      <c r="F269" s="598">
        <v>67955</v>
      </c>
      <c r="G269" s="598">
        <v>84055</v>
      </c>
      <c r="H269" s="598">
        <v>52592</v>
      </c>
      <c r="I269" s="598"/>
      <c r="J269" s="598">
        <v>2286</v>
      </c>
      <c r="K269" s="598">
        <v>31872</v>
      </c>
      <c r="L269" s="598">
        <v>6537</v>
      </c>
    </row>
    <row r="270" spans="1:12" s="263" customFormat="1" ht="9" customHeight="1" x14ac:dyDescent="0.25">
      <c r="A270" s="263" t="s">
        <v>25</v>
      </c>
      <c r="B270" s="598">
        <f t="shared" si="14"/>
        <v>31684</v>
      </c>
      <c r="C270" s="600">
        <v>13812</v>
      </c>
      <c r="D270" s="598"/>
      <c r="E270" s="598">
        <f t="shared" si="15"/>
        <v>11325</v>
      </c>
      <c r="F270" s="600">
        <v>1831</v>
      </c>
      <c r="G270" s="600">
        <v>1804</v>
      </c>
      <c r="H270" s="598">
        <v>7690</v>
      </c>
      <c r="I270" s="598"/>
      <c r="J270" s="600">
        <v>224</v>
      </c>
      <c r="K270" s="600">
        <v>5269</v>
      </c>
      <c r="L270" s="600">
        <v>1054</v>
      </c>
    </row>
    <row r="271" spans="1:12" s="263" customFormat="1" ht="9" customHeight="1" x14ac:dyDescent="0.25">
      <c r="A271" s="267" t="s">
        <v>26</v>
      </c>
      <c r="B271" s="599">
        <f t="shared" si="14"/>
        <v>25625</v>
      </c>
      <c r="C271" s="604">
        <v>13878</v>
      </c>
      <c r="D271" s="599"/>
      <c r="E271" s="599">
        <f t="shared" si="15"/>
        <v>5280</v>
      </c>
      <c r="F271" s="604">
        <v>1591</v>
      </c>
      <c r="G271" s="604">
        <v>1468</v>
      </c>
      <c r="H271" s="599">
        <v>2221</v>
      </c>
      <c r="I271" s="599"/>
      <c r="J271" s="604">
        <v>0</v>
      </c>
      <c r="K271" s="604">
        <v>6467</v>
      </c>
      <c r="L271" s="604">
        <v>0</v>
      </c>
    </row>
    <row r="272" spans="1:12" s="263" customFormat="1" ht="9" customHeight="1" x14ac:dyDescent="0.25">
      <c r="A272" s="263" t="s">
        <v>27</v>
      </c>
      <c r="B272" s="598">
        <f t="shared" si="14"/>
        <v>117752</v>
      </c>
      <c r="C272" s="600">
        <v>32261</v>
      </c>
      <c r="D272" s="598"/>
      <c r="E272" s="598">
        <f t="shared" si="15"/>
        <v>54402</v>
      </c>
      <c r="F272" s="600">
        <v>17399</v>
      </c>
      <c r="G272" s="600">
        <v>15940</v>
      </c>
      <c r="H272" s="598">
        <v>21063</v>
      </c>
      <c r="I272" s="598"/>
      <c r="J272" s="600">
        <v>32</v>
      </c>
      <c r="K272" s="600">
        <v>30828</v>
      </c>
      <c r="L272" s="600">
        <v>229</v>
      </c>
    </row>
    <row r="273" spans="1:12" s="263" customFormat="1" ht="9" customHeight="1" x14ac:dyDescent="0.25">
      <c r="A273" s="263" t="s">
        <v>28</v>
      </c>
      <c r="B273" s="598">
        <f t="shared" si="14"/>
        <v>48864</v>
      </c>
      <c r="C273" s="600">
        <v>12155</v>
      </c>
      <c r="D273" s="598"/>
      <c r="E273" s="598">
        <f t="shared" si="15"/>
        <v>33086</v>
      </c>
      <c r="F273" s="600">
        <v>8736</v>
      </c>
      <c r="G273" s="600">
        <v>9097</v>
      </c>
      <c r="H273" s="598">
        <v>15253</v>
      </c>
      <c r="I273" s="598"/>
      <c r="J273" s="600">
        <v>876</v>
      </c>
      <c r="K273" s="600">
        <v>2682</v>
      </c>
      <c r="L273" s="600">
        <v>65</v>
      </c>
    </row>
    <row r="274" spans="1:12" s="263" customFormat="1" ht="9" customHeight="1" x14ac:dyDescent="0.25">
      <c r="A274" s="263" t="s">
        <v>29</v>
      </c>
      <c r="B274" s="598">
        <f t="shared" si="14"/>
        <v>112666</v>
      </c>
      <c r="C274" s="600">
        <v>50122</v>
      </c>
      <c r="D274" s="598"/>
      <c r="E274" s="598">
        <f t="shared" si="15"/>
        <v>55773</v>
      </c>
      <c r="F274" s="600">
        <v>21694</v>
      </c>
      <c r="G274" s="600">
        <v>11455</v>
      </c>
      <c r="H274" s="598">
        <v>22624</v>
      </c>
      <c r="I274" s="598"/>
      <c r="J274" s="600">
        <v>247</v>
      </c>
      <c r="K274" s="600">
        <v>5651</v>
      </c>
      <c r="L274" s="600">
        <v>873</v>
      </c>
    </row>
    <row r="275" spans="1:12" s="263" customFormat="1" ht="9" customHeight="1" x14ac:dyDescent="0.25">
      <c r="A275" s="267" t="s">
        <v>30</v>
      </c>
      <c r="B275" s="599">
        <f t="shared" si="14"/>
        <v>357036</v>
      </c>
      <c r="C275" s="604">
        <v>127367</v>
      </c>
      <c r="D275" s="599"/>
      <c r="E275" s="599">
        <f t="shared" si="15"/>
        <v>150124</v>
      </c>
      <c r="F275" s="604">
        <v>46320</v>
      </c>
      <c r="G275" s="604">
        <v>68687</v>
      </c>
      <c r="H275" s="599">
        <v>35117</v>
      </c>
      <c r="I275" s="599"/>
      <c r="J275" s="604">
        <v>34053</v>
      </c>
      <c r="K275" s="604">
        <v>41993</v>
      </c>
      <c r="L275" s="604">
        <v>3499</v>
      </c>
    </row>
    <row r="276" spans="1:12" s="263" customFormat="1" ht="9" customHeight="1" x14ac:dyDescent="0.25">
      <c r="A276" s="263" t="s">
        <v>63</v>
      </c>
      <c r="B276" s="598">
        <f t="shared" si="14"/>
        <v>3056694</v>
      </c>
      <c r="C276" s="600">
        <v>1208496</v>
      </c>
      <c r="D276" s="598"/>
      <c r="E276" s="598">
        <f t="shared" si="15"/>
        <v>1443285</v>
      </c>
      <c r="F276" s="600">
        <v>207037</v>
      </c>
      <c r="G276" s="600">
        <v>234514</v>
      </c>
      <c r="H276" s="598">
        <v>1001734</v>
      </c>
      <c r="I276" s="598"/>
      <c r="J276" s="600">
        <v>36351</v>
      </c>
      <c r="K276" s="600">
        <v>309635</v>
      </c>
      <c r="L276" s="600">
        <v>58927</v>
      </c>
    </row>
    <row r="277" spans="1:12" s="263" customFormat="1" ht="9" customHeight="1" x14ac:dyDescent="0.25">
      <c r="A277" s="263" t="s">
        <v>31</v>
      </c>
      <c r="B277" s="598">
        <f t="shared" si="14"/>
        <v>29128</v>
      </c>
      <c r="C277" s="600">
        <v>18585</v>
      </c>
      <c r="D277" s="598"/>
      <c r="E277" s="598">
        <f t="shared" si="15"/>
        <v>8806</v>
      </c>
      <c r="F277" s="600">
        <v>2796</v>
      </c>
      <c r="G277" s="600">
        <v>1128</v>
      </c>
      <c r="H277" s="598">
        <v>4882</v>
      </c>
      <c r="I277" s="598"/>
      <c r="J277" s="600">
        <v>780</v>
      </c>
      <c r="K277" s="600">
        <v>831</v>
      </c>
      <c r="L277" s="600">
        <v>126</v>
      </c>
    </row>
    <row r="278" spans="1:12" s="263" customFormat="1" ht="9" customHeight="1" x14ac:dyDescent="0.25">
      <c r="A278" s="263" t="s">
        <v>32</v>
      </c>
      <c r="B278" s="598">
        <f t="shared" si="14"/>
        <v>582025</v>
      </c>
      <c r="C278" s="600">
        <v>246393</v>
      </c>
      <c r="D278" s="598"/>
      <c r="E278" s="598">
        <f t="shared" si="15"/>
        <v>269580</v>
      </c>
      <c r="F278" s="600">
        <v>89776</v>
      </c>
      <c r="G278" s="600">
        <v>85630</v>
      </c>
      <c r="H278" s="598">
        <v>94174</v>
      </c>
      <c r="I278" s="598"/>
      <c r="J278" s="600">
        <v>1810</v>
      </c>
      <c r="K278" s="600">
        <v>46795</v>
      </c>
      <c r="L278" s="600">
        <v>17447</v>
      </c>
    </row>
    <row r="279" spans="1:12" s="263" customFormat="1" ht="9" customHeight="1" x14ac:dyDescent="0.25">
      <c r="A279" s="267" t="s">
        <v>33</v>
      </c>
      <c r="B279" s="599">
        <f t="shared" si="14"/>
        <v>190441</v>
      </c>
      <c r="C279" s="604">
        <v>93638</v>
      </c>
      <c r="D279" s="599"/>
      <c r="E279" s="599">
        <f t="shared" si="15"/>
        <v>85275</v>
      </c>
      <c r="F279" s="604">
        <v>33234</v>
      </c>
      <c r="G279" s="604">
        <v>23064</v>
      </c>
      <c r="H279" s="599">
        <v>28977</v>
      </c>
      <c r="I279" s="599"/>
      <c r="J279" s="604">
        <v>407</v>
      </c>
      <c r="K279" s="604">
        <v>7168</v>
      </c>
      <c r="L279" s="604">
        <v>3953</v>
      </c>
    </row>
    <row r="280" spans="1:12" s="263" customFormat="1" ht="9" customHeight="1" x14ac:dyDescent="0.25">
      <c r="A280" s="263" t="s">
        <v>34</v>
      </c>
      <c r="B280" s="598">
        <f t="shared" si="14"/>
        <v>146765</v>
      </c>
      <c r="C280" s="600">
        <v>77374</v>
      </c>
      <c r="D280" s="598"/>
      <c r="E280" s="598">
        <f t="shared" si="15"/>
        <v>62308</v>
      </c>
      <c r="F280" s="600">
        <v>23182</v>
      </c>
      <c r="G280" s="600">
        <v>19284</v>
      </c>
      <c r="H280" s="598">
        <v>19842</v>
      </c>
      <c r="I280" s="598"/>
      <c r="J280" s="600">
        <v>578</v>
      </c>
      <c r="K280" s="600">
        <v>5505</v>
      </c>
      <c r="L280" s="600">
        <v>1000</v>
      </c>
    </row>
    <row r="281" spans="1:12" s="263" customFormat="1" ht="9" customHeight="1" x14ac:dyDescent="0.25">
      <c r="A281" s="263" t="s">
        <v>35</v>
      </c>
      <c r="B281" s="598">
        <f t="shared" si="14"/>
        <v>722013</v>
      </c>
      <c r="C281" s="600">
        <v>204790</v>
      </c>
      <c r="D281" s="598"/>
      <c r="E281" s="598">
        <f t="shared" si="15"/>
        <v>430459</v>
      </c>
      <c r="F281" s="600">
        <v>114290</v>
      </c>
      <c r="G281" s="600">
        <v>113764</v>
      </c>
      <c r="H281" s="598">
        <v>202405</v>
      </c>
      <c r="I281" s="598"/>
      <c r="J281" s="600">
        <v>3491</v>
      </c>
      <c r="K281" s="600">
        <v>66334</v>
      </c>
      <c r="L281" s="600">
        <v>16939</v>
      </c>
    </row>
    <row r="282" spans="1:12" s="263" customFormat="1" ht="9" customHeight="1" x14ac:dyDescent="0.25">
      <c r="A282" s="263" t="s">
        <v>36</v>
      </c>
      <c r="B282" s="598">
        <f t="shared" si="14"/>
        <v>1768923</v>
      </c>
      <c r="C282" s="600">
        <v>918615</v>
      </c>
      <c r="D282" s="598"/>
      <c r="E282" s="598">
        <f t="shared" si="15"/>
        <v>718750</v>
      </c>
      <c r="F282" s="600">
        <v>254801</v>
      </c>
      <c r="G282" s="600">
        <v>236878</v>
      </c>
      <c r="H282" s="598">
        <v>227071</v>
      </c>
      <c r="I282" s="598"/>
      <c r="J282" s="600">
        <v>15126</v>
      </c>
      <c r="K282" s="600">
        <v>82793</v>
      </c>
      <c r="L282" s="600">
        <v>33639</v>
      </c>
    </row>
    <row r="283" spans="1:12" s="263" customFormat="1" ht="9" customHeight="1" x14ac:dyDescent="0.25">
      <c r="A283" s="267" t="s">
        <v>37</v>
      </c>
      <c r="B283" s="599">
        <f t="shared" si="14"/>
        <v>495819</v>
      </c>
      <c r="C283" s="604">
        <v>185290</v>
      </c>
      <c r="D283" s="599"/>
      <c r="E283" s="599">
        <f t="shared" si="15"/>
        <v>241573</v>
      </c>
      <c r="F283" s="604">
        <v>72042</v>
      </c>
      <c r="G283" s="604">
        <v>63924</v>
      </c>
      <c r="H283" s="599">
        <v>105607</v>
      </c>
      <c r="I283" s="599"/>
      <c r="J283" s="604">
        <v>9242</v>
      </c>
      <c r="K283" s="604">
        <v>55524</v>
      </c>
      <c r="L283" s="604">
        <v>4190</v>
      </c>
    </row>
    <row r="284" spans="1:12" s="263" customFormat="1" ht="9" customHeight="1" x14ac:dyDescent="0.25">
      <c r="A284" s="263" t="s">
        <v>38</v>
      </c>
      <c r="B284" s="598">
        <f t="shared" si="14"/>
        <v>112140</v>
      </c>
      <c r="C284" s="600">
        <v>55659</v>
      </c>
      <c r="D284" s="598"/>
      <c r="E284" s="598">
        <f t="shared" si="15"/>
        <v>48352</v>
      </c>
      <c r="F284" s="600">
        <v>19833</v>
      </c>
      <c r="G284" s="600">
        <v>9207</v>
      </c>
      <c r="H284" s="598">
        <v>19312</v>
      </c>
      <c r="I284" s="598"/>
      <c r="J284" s="600">
        <v>257</v>
      </c>
      <c r="K284" s="600">
        <v>7232</v>
      </c>
      <c r="L284" s="600">
        <v>640</v>
      </c>
    </row>
    <row r="285" spans="1:12" s="263" customFormat="1" ht="9" customHeight="1" x14ac:dyDescent="0.25">
      <c r="A285" s="263" t="s">
        <v>39</v>
      </c>
      <c r="B285" s="598">
        <f t="shared" si="14"/>
        <v>13381</v>
      </c>
      <c r="C285" s="600">
        <v>5315</v>
      </c>
      <c r="D285" s="598"/>
      <c r="E285" s="598">
        <f t="shared" si="15"/>
        <v>5602</v>
      </c>
      <c r="F285" s="600">
        <v>2599</v>
      </c>
      <c r="G285" s="600">
        <v>882</v>
      </c>
      <c r="H285" s="598">
        <v>2121</v>
      </c>
      <c r="I285" s="598"/>
      <c r="J285" s="600">
        <v>0</v>
      </c>
      <c r="K285" s="600">
        <v>2344</v>
      </c>
      <c r="L285" s="600">
        <v>120</v>
      </c>
    </row>
    <row r="286" spans="1:12" s="263" customFormat="1" ht="9" customHeight="1" x14ac:dyDescent="0.25">
      <c r="A286" s="263" t="s">
        <v>40</v>
      </c>
      <c r="B286" s="598">
        <f t="shared" si="14"/>
        <v>963852</v>
      </c>
      <c r="C286" s="600">
        <v>291419</v>
      </c>
      <c r="D286" s="598"/>
      <c r="E286" s="598">
        <f t="shared" si="15"/>
        <v>372499</v>
      </c>
      <c r="F286" s="600">
        <v>94054</v>
      </c>
      <c r="G286" s="600">
        <v>125653</v>
      </c>
      <c r="H286" s="598">
        <v>152792</v>
      </c>
      <c r="I286" s="598"/>
      <c r="J286" s="600">
        <v>34735</v>
      </c>
      <c r="K286" s="600">
        <v>212137</v>
      </c>
      <c r="L286" s="600">
        <v>53062</v>
      </c>
    </row>
    <row r="287" spans="1:12" s="263" customFormat="1" ht="9" customHeight="1" x14ac:dyDescent="0.25">
      <c r="A287" s="267" t="s">
        <v>41</v>
      </c>
      <c r="B287" s="599">
        <f t="shared" si="14"/>
        <v>292760</v>
      </c>
      <c r="C287" s="604">
        <v>137155</v>
      </c>
      <c r="D287" s="599"/>
      <c r="E287" s="599">
        <f t="shared" si="15"/>
        <v>132569</v>
      </c>
      <c r="F287" s="604">
        <v>39697</v>
      </c>
      <c r="G287" s="604">
        <v>31415</v>
      </c>
      <c r="H287" s="599">
        <v>61457</v>
      </c>
      <c r="I287" s="599"/>
      <c r="J287" s="604">
        <v>1004</v>
      </c>
      <c r="K287" s="604">
        <v>7168</v>
      </c>
      <c r="L287" s="604">
        <v>14864</v>
      </c>
    </row>
    <row r="288" spans="1:12" s="263" customFormat="1" ht="9" customHeight="1" x14ac:dyDescent="0.25">
      <c r="A288" s="263" t="s">
        <v>42</v>
      </c>
      <c r="B288" s="598">
        <f t="shared" si="14"/>
        <v>247495</v>
      </c>
      <c r="C288" s="600">
        <v>98903</v>
      </c>
      <c r="D288" s="598"/>
      <c r="E288" s="598">
        <f t="shared" si="15"/>
        <v>123885</v>
      </c>
      <c r="F288" s="600">
        <v>37204</v>
      </c>
      <c r="G288" s="600">
        <v>29272</v>
      </c>
      <c r="H288" s="598">
        <v>57409</v>
      </c>
      <c r="I288" s="598"/>
      <c r="J288" s="600">
        <v>832</v>
      </c>
      <c r="K288" s="600">
        <v>18182</v>
      </c>
      <c r="L288" s="600">
        <v>5693</v>
      </c>
    </row>
    <row r="289" spans="1:13" s="263" customFormat="1" ht="9" customHeight="1" x14ac:dyDescent="0.25">
      <c r="A289" s="263" t="s">
        <v>43</v>
      </c>
      <c r="B289" s="598">
        <f t="shared" si="14"/>
        <v>158824</v>
      </c>
      <c r="C289" s="600">
        <v>64255</v>
      </c>
      <c r="D289" s="598"/>
      <c r="E289" s="598">
        <f t="shared" si="15"/>
        <v>71028</v>
      </c>
      <c r="F289" s="600">
        <v>21366</v>
      </c>
      <c r="G289" s="600">
        <v>17853</v>
      </c>
      <c r="H289" s="598">
        <v>31809</v>
      </c>
      <c r="I289" s="598"/>
      <c r="J289" s="600">
        <v>467</v>
      </c>
      <c r="K289" s="600">
        <v>15587</v>
      </c>
      <c r="L289" s="600">
        <v>7487</v>
      </c>
    </row>
    <row r="290" spans="1:13" s="263" customFormat="1" ht="9" customHeight="1" x14ac:dyDescent="0.25">
      <c r="A290" s="263" t="s">
        <v>44</v>
      </c>
      <c r="B290" s="598">
        <f t="shared" si="14"/>
        <v>211028</v>
      </c>
      <c r="C290" s="600">
        <v>83302</v>
      </c>
      <c r="D290" s="598"/>
      <c r="E290" s="598">
        <f t="shared" si="15"/>
        <v>97256</v>
      </c>
      <c r="F290" s="600">
        <v>33010</v>
      </c>
      <c r="G290" s="600">
        <v>28586</v>
      </c>
      <c r="H290" s="598">
        <v>35660</v>
      </c>
      <c r="I290" s="598"/>
      <c r="J290" s="600">
        <v>14</v>
      </c>
      <c r="K290" s="600">
        <v>21772</v>
      </c>
      <c r="L290" s="600">
        <v>8684</v>
      </c>
    </row>
    <row r="291" spans="1:13" s="263" customFormat="1" ht="9" customHeight="1" x14ac:dyDescent="0.25">
      <c r="A291" s="267" t="s">
        <v>45</v>
      </c>
      <c r="B291" s="599">
        <f t="shared" si="14"/>
        <v>106537</v>
      </c>
      <c r="C291" s="604">
        <v>48190</v>
      </c>
      <c r="D291" s="599"/>
      <c r="E291" s="599">
        <f t="shared" si="15"/>
        <v>38422</v>
      </c>
      <c r="F291" s="604">
        <v>14625</v>
      </c>
      <c r="G291" s="604">
        <v>14121</v>
      </c>
      <c r="H291" s="599">
        <v>9676</v>
      </c>
      <c r="I291" s="599"/>
      <c r="J291" s="604">
        <v>333</v>
      </c>
      <c r="K291" s="604">
        <v>18379</v>
      </c>
      <c r="L291" s="604">
        <v>1213</v>
      </c>
    </row>
    <row r="292" spans="1:13" s="263" customFormat="1" ht="9" customHeight="1" x14ac:dyDescent="0.25">
      <c r="A292" s="263" t="s">
        <v>46</v>
      </c>
      <c r="B292" s="598">
        <f t="shared" si="14"/>
        <v>207324</v>
      </c>
      <c r="C292" s="600">
        <v>64925</v>
      </c>
      <c r="D292" s="598"/>
      <c r="E292" s="598">
        <f t="shared" si="15"/>
        <v>120194</v>
      </c>
      <c r="F292" s="600">
        <v>29158</v>
      </c>
      <c r="G292" s="600">
        <v>24271</v>
      </c>
      <c r="H292" s="598">
        <v>66765</v>
      </c>
      <c r="I292" s="598"/>
      <c r="J292" s="600">
        <v>996</v>
      </c>
      <c r="K292" s="600">
        <v>16970</v>
      </c>
      <c r="L292" s="600">
        <v>4239</v>
      </c>
    </row>
    <row r="293" spans="1:13" s="263" customFormat="1" ht="9" customHeight="1" x14ac:dyDescent="0.25">
      <c r="A293" s="263" t="s">
        <v>47</v>
      </c>
      <c r="B293" s="598">
        <f t="shared" si="14"/>
        <v>227863</v>
      </c>
      <c r="C293" s="600">
        <v>107015</v>
      </c>
      <c r="D293" s="598"/>
      <c r="E293" s="598">
        <f t="shared" si="15"/>
        <v>81402</v>
      </c>
      <c r="F293" s="600">
        <v>14219</v>
      </c>
      <c r="G293" s="600">
        <v>22955</v>
      </c>
      <c r="H293" s="598">
        <v>44228</v>
      </c>
      <c r="I293" s="598"/>
      <c r="J293" s="600">
        <v>768</v>
      </c>
      <c r="K293" s="600">
        <v>32093</v>
      </c>
      <c r="L293" s="600">
        <v>6585</v>
      </c>
    </row>
    <row r="294" spans="1:13" s="263" customFormat="1" ht="9" customHeight="1" x14ac:dyDescent="0.25">
      <c r="A294" s="263" t="s">
        <v>48</v>
      </c>
      <c r="B294" s="598">
        <f t="shared" si="14"/>
        <v>104172</v>
      </c>
      <c r="C294" s="600">
        <v>49897</v>
      </c>
      <c r="D294" s="598"/>
      <c r="E294" s="598">
        <f t="shared" si="15"/>
        <v>35046</v>
      </c>
      <c r="F294" s="600">
        <v>12596</v>
      </c>
      <c r="G294" s="600">
        <v>9955</v>
      </c>
      <c r="H294" s="598">
        <v>12495</v>
      </c>
      <c r="I294" s="598"/>
      <c r="J294" s="600">
        <v>895</v>
      </c>
      <c r="K294" s="600">
        <v>17881</v>
      </c>
      <c r="L294" s="600">
        <v>453</v>
      </c>
    </row>
    <row r="295" spans="1:13" s="263" customFormat="1" ht="9" customHeight="1" x14ac:dyDescent="0.25">
      <c r="A295" s="267" t="s">
        <v>49</v>
      </c>
      <c r="B295" s="599">
        <f t="shared" si="14"/>
        <v>216045</v>
      </c>
      <c r="C295" s="604">
        <v>94447</v>
      </c>
      <c r="D295" s="599"/>
      <c r="E295" s="599">
        <f t="shared" si="15"/>
        <v>90466</v>
      </c>
      <c r="F295" s="604">
        <v>30171</v>
      </c>
      <c r="G295" s="604">
        <v>29235</v>
      </c>
      <c r="H295" s="599">
        <v>31060</v>
      </c>
      <c r="I295" s="599"/>
      <c r="J295" s="604">
        <v>1496</v>
      </c>
      <c r="K295" s="604">
        <v>26136</v>
      </c>
      <c r="L295" s="604">
        <v>3500</v>
      </c>
    </row>
    <row r="296" spans="1:13" s="263" customFormat="1" ht="9" customHeight="1" x14ac:dyDescent="0.25">
      <c r="A296" s="263" t="s">
        <v>50</v>
      </c>
      <c r="B296" s="598">
        <f t="shared" si="14"/>
        <v>66036</v>
      </c>
      <c r="C296" s="600">
        <v>32875</v>
      </c>
      <c r="D296" s="598"/>
      <c r="E296" s="598">
        <f t="shared" si="15"/>
        <v>30108</v>
      </c>
      <c r="F296" s="600">
        <v>10007</v>
      </c>
      <c r="G296" s="600">
        <v>12019</v>
      </c>
      <c r="H296" s="598">
        <v>8082</v>
      </c>
      <c r="I296" s="598"/>
      <c r="J296" s="600">
        <v>136</v>
      </c>
      <c r="K296" s="600">
        <v>2099</v>
      </c>
      <c r="L296" s="600">
        <v>818</v>
      </c>
    </row>
    <row r="297" spans="1:13" s="263" customFormat="1" ht="9" customHeight="1" x14ac:dyDescent="0.25">
      <c r="A297" s="263" t="s">
        <v>51</v>
      </c>
      <c r="B297" s="598">
        <f t="shared" si="14"/>
        <v>334289</v>
      </c>
      <c r="C297" s="600">
        <v>172978</v>
      </c>
      <c r="D297" s="598"/>
      <c r="E297" s="598">
        <f t="shared" si="15"/>
        <v>128812</v>
      </c>
      <c r="F297" s="600">
        <v>47728</v>
      </c>
      <c r="G297" s="600">
        <v>29969</v>
      </c>
      <c r="H297" s="598">
        <v>51115</v>
      </c>
      <c r="I297" s="598"/>
      <c r="J297" s="600">
        <v>1394</v>
      </c>
      <c r="K297" s="600">
        <v>24595</v>
      </c>
      <c r="L297" s="600">
        <v>6510</v>
      </c>
    </row>
    <row r="298" spans="1:13" s="263" customFormat="1" ht="9" customHeight="1" x14ac:dyDescent="0.25">
      <c r="A298" s="263" t="s">
        <v>52</v>
      </c>
      <c r="B298" s="598">
        <f t="shared" si="14"/>
        <v>156030</v>
      </c>
      <c r="C298" s="600">
        <v>36531</v>
      </c>
      <c r="D298" s="598"/>
      <c r="E298" s="598">
        <f t="shared" si="15"/>
        <v>95740</v>
      </c>
      <c r="F298" s="600">
        <v>30677</v>
      </c>
      <c r="G298" s="600">
        <v>37088</v>
      </c>
      <c r="H298" s="598">
        <v>27975</v>
      </c>
      <c r="I298" s="598"/>
      <c r="J298" s="600">
        <v>72</v>
      </c>
      <c r="K298" s="600">
        <v>17861</v>
      </c>
      <c r="L298" s="600">
        <v>5826</v>
      </c>
    </row>
    <row r="299" spans="1:13" s="263" customFormat="1" ht="9" customHeight="1" x14ac:dyDescent="0.25">
      <c r="A299" s="267" t="s">
        <v>53</v>
      </c>
      <c r="B299" s="599">
        <f t="shared" si="14"/>
        <v>64887</v>
      </c>
      <c r="C299" s="604">
        <v>24357</v>
      </c>
      <c r="D299" s="599"/>
      <c r="E299" s="599">
        <f t="shared" si="15"/>
        <v>35131</v>
      </c>
      <c r="F299" s="604">
        <v>9786</v>
      </c>
      <c r="G299" s="604">
        <v>8438</v>
      </c>
      <c r="H299" s="599">
        <v>16907</v>
      </c>
      <c r="I299" s="599"/>
      <c r="J299" s="604">
        <v>389</v>
      </c>
      <c r="K299" s="604">
        <v>3222</v>
      </c>
      <c r="L299" s="604">
        <v>1788</v>
      </c>
    </row>
    <row r="300" spans="1:13" s="263" customFormat="1" ht="9" customHeight="1" x14ac:dyDescent="0.25">
      <c r="A300" s="286"/>
      <c r="B300" s="613"/>
      <c r="C300" s="605"/>
      <c r="D300" s="613"/>
      <c r="E300" s="613"/>
      <c r="F300" s="605"/>
      <c r="G300" s="605"/>
      <c r="H300" s="613"/>
      <c r="I300" s="613"/>
      <c r="J300" s="605"/>
      <c r="K300" s="605"/>
      <c r="L300" s="605"/>
      <c r="M300" s="286"/>
    </row>
    <row r="301" spans="1:13" s="263" customFormat="1" ht="9" customHeight="1" x14ac:dyDescent="0.25">
      <c r="A301" s="601">
        <v>2003</v>
      </c>
      <c r="B301" s="632"/>
      <c r="C301" s="550"/>
      <c r="D301" s="550"/>
      <c r="E301" s="632"/>
      <c r="F301" s="550"/>
      <c r="G301" s="550"/>
      <c r="H301" s="550"/>
      <c r="I301" s="550"/>
      <c r="J301" s="550"/>
      <c r="K301" s="550"/>
      <c r="L301" s="550"/>
    </row>
    <row r="302" spans="1:13" s="263" customFormat="1" ht="9" customHeight="1" x14ac:dyDescent="0.25">
      <c r="A302" s="265" t="s">
        <v>21</v>
      </c>
      <c r="B302" s="597">
        <f>SUM(B304:B335)</f>
        <v>11394613</v>
      </c>
      <c r="C302" s="597">
        <f>SUM(C304:C335)</f>
        <v>4316645</v>
      </c>
      <c r="D302" s="597"/>
      <c r="E302" s="597">
        <f>SUM(E304:E335)</f>
        <v>5410801</v>
      </c>
      <c r="F302" s="597">
        <f>SUM(F304:F335)</f>
        <v>1483127</v>
      </c>
      <c r="G302" s="597">
        <f>SUM(G304:G335)</f>
        <v>1356975</v>
      </c>
      <c r="H302" s="597">
        <f>SUM(H304:H335)</f>
        <v>2570699</v>
      </c>
      <c r="I302" s="597"/>
      <c r="J302" s="597">
        <f>SUM(J304:J335)</f>
        <v>110805</v>
      </c>
      <c r="K302" s="597">
        <f>SUM(K304:K335)</f>
        <v>1285149</v>
      </c>
      <c r="L302" s="597">
        <f>SUM(L304:L335)</f>
        <v>271213</v>
      </c>
    </row>
    <row r="303" spans="1:13" s="263" customFormat="1" ht="3.95" customHeight="1" x14ac:dyDescent="0.25">
      <c r="A303" s="265"/>
      <c r="B303" s="597"/>
      <c r="C303" s="597"/>
      <c r="D303" s="597"/>
      <c r="E303" s="597"/>
      <c r="F303" s="597"/>
      <c r="G303" s="597"/>
      <c r="H303" s="597"/>
      <c r="I303" s="597"/>
      <c r="J303" s="597"/>
      <c r="K303" s="597"/>
      <c r="L303" s="597"/>
    </row>
    <row r="304" spans="1:13" s="263" customFormat="1" ht="9" customHeight="1" x14ac:dyDescent="0.25">
      <c r="A304" s="263" t="s">
        <v>23</v>
      </c>
      <c r="B304" s="598">
        <f t="shared" ref="B304:B335" si="16">SUM(C304+E304+J304+K304+L304)</f>
        <v>81513</v>
      </c>
      <c r="C304" s="600">
        <v>30930</v>
      </c>
      <c r="D304" s="598"/>
      <c r="E304" s="598">
        <f t="shared" ref="E304:E335" si="17">SUM(F304:H304)</f>
        <v>48046</v>
      </c>
      <c r="F304" s="600">
        <v>11496</v>
      </c>
      <c r="G304" s="600">
        <v>8022</v>
      </c>
      <c r="H304" s="598">
        <v>28528</v>
      </c>
      <c r="I304" s="598"/>
      <c r="J304" s="600">
        <v>326</v>
      </c>
      <c r="K304" s="600">
        <v>1005</v>
      </c>
      <c r="L304" s="600">
        <v>1206</v>
      </c>
    </row>
    <row r="305" spans="1:12" s="263" customFormat="1" ht="9" customHeight="1" x14ac:dyDescent="0.25">
      <c r="A305" s="263" t="s">
        <v>24</v>
      </c>
      <c r="B305" s="598">
        <f t="shared" si="16"/>
        <v>556754</v>
      </c>
      <c r="C305" s="598">
        <v>296640</v>
      </c>
      <c r="D305" s="598"/>
      <c r="E305" s="598">
        <f t="shared" si="17"/>
        <v>223643</v>
      </c>
      <c r="F305" s="598">
        <v>71346</v>
      </c>
      <c r="G305" s="598">
        <v>90299</v>
      </c>
      <c r="H305" s="598">
        <v>61998</v>
      </c>
      <c r="I305" s="598"/>
      <c r="J305" s="598">
        <v>1318</v>
      </c>
      <c r="K305" s="598">
        <v>28835</v>
      </c>
      <c r="L305" s="598">
        <v>6318</v>
      </c>
    </row>
    <row r="306" spans="1:12" s="263" customFormat="1" ht="9" customHeight="1" x14ac:dyDescent="0.25">
      <c r="A306" s="263" t="s">
        <v>25</v>
      </c>
      <c r="B306" s="598">
        <f t="shared" si="16"/>
        <v>41816</v>
      </c>
      <c r="C306" s="600">
        <v>19633</v>
      </c>
      <c r="D306" s="598"/>
      <c r="E306" s="598">
        <f t="shared" si="17"/>
        <v>17696</v>
      </c>
      <c r="F306" s="600">
        <v>5012</v>
      </c>
      <c r="G306" s="600">
        <v>3031</v>
      </c>
      <c r="H306" s="598">
        <v>9653</v>
      </c>
      <c r="I306" s="598"/>
      <c r="J306" s="600">
        <v>569</v>
      </c>
      <c r="K306" s="600">
        <v>2605</v>
      </c>
      <c r="L306" s="600">
        <v>1313</v>
      </c>
    </row>
    <row r="307" spans="1:12" s="263" customFormat="1" ht="9" customHeight="1" x14ac:dyDescent="0.25">
      <c r="A307" s="267" t="s">
        <v>26</v>
      </c>
      <c r="B307" s="599">
        <f t="shared" si="16"/>
        <v>19103</v>
      </c>
      <c r="C307" s="604">
        <v>7882</v>
      </c>
      <c r="D307" s="599"/>
      <c r="E307" s="599">
        <f t="shared" si="17"/>
        <v>3872</v>
      </c>
      <c r="F307" s="604">
        <v>1322</v>
      </c>
      <c r="G307" s="604">
        <v>1085</v>
      </c>
      <c r="H307" s="599">
        <v>1465</v>
      </c>
      <c r="I307" s="599"/>
      <c r="J307" s="604">
        <v>0</v>
      </c>
      <c r="K307" s="604">
        <v>7349</v>
      </c>
      <c r="L307" s="604">
        <v>0</v>
      </c>
    </row>
    <row r="308" spans="1:12" s="263" customFormat="1" ht="9" customHeight="1" x14ac:dyDescent="0.25">
      <c r="A308" s="263" t="s">
        <v>27</v>
      </c>
      <c r="B308" s="598">
        <f t="shared" si="16"/>
        <v>138052</v>
      </c>
      <c r="C308" s="600">
        <v>25093</v>
      </c>
      <c r="D308" s="598"/>
      <c r="E308" s="598">
        <f t="shared" si="17"/>
        <v>71405</v>
      </c>
      <c r="F308" s="600">
        <v>21303</v>
      </c>
      <c r="G308" s="600">
        <v>21849</v>
      </c>
      <c r="H308" s="598">
        <v>28253</v>
      </c>
      <c r="I308" s="598"/>
      <c r="J308" s="600">
        <v>476</v>
      </c>
      <c r="K308" s="600">
        <v>39496</v>
      </c>
      <c r="L308" s="600">
        <v>1582</v>
      </c>
    </row>
    <row r="309" spans="1:12" s="263" customFormat="1" ht="9" customHeight="1" x14ac:dyDescent="0.25">
      <c r="A309" s="263" t="s">
        <v>28</v>
      </c>
      <c r="B309" s="598">
        <f t="shared" si="16"/>
        <v>30502</v>
      </c>
      <c r="C309" s="600">
        <v>10003</v>
      </c>
      <c r="D309" s="598"/>
      <c r="E309" s="598">
        <f t="shared" si="17"/>
        <v>17463</v>
      </c>
      <c r="F309" s="600">
        <v>3386</v>
      </c>
      <c r="G309" s="600">
        <v>3111</v>
      </c>
      <c r="H309" s="598">
        <v>10966</v>
      </c>
      <c r="I309" s="598"/>
      <c r="J309" s="600">
        <v>500</v>
      </c>
      <c r="K309" s="600">
        <v>1207</v>
      </c>
      <c r="L309" s="600">
        <v>1329</v>
      </c>
    </row>
    <row r="310" spans="1:12" s="263" customFormat="1" ht="9" customHeight="1" x14ac:dyDescent="0.25">
      <c r="A310" s="263" t="s">
        <v>29</v>
      </c>
      <c r="B310" s="598">
        <f t="shared" si="16"/>
        <v>113556</v>
      </c>
      <c r="C310" s="600">
        <v>47457</v>
      </c>
      <c r="D310" s="598"/>
      <c r="E310" s="598">
        <f t="shared" si="17"/>
        <v>57512</v>
      </c>
      <c r="F310" s="600">
        <v>22097</v>
      </c>
      <c r="G310" s="600">
        <v>10653</v>
      </c>
      <c r="H310" s="598">
        <v>24762</v>
      </c>
      <c r="I310" s="598"/>
      <c r="J310" s="600">
        <v>227</v>
      </c>
      <c r="K310" s="600">
        <v>7479</v>
      </c>
      <c r="L310" s="600">
        <v>881</v>
      </c>
    </row>
    <row r="311" spans="1:12" s="263" customFormat="1" ht="9" customHeight="1" x14ac:dyDescent="0.25">
      <c r="A311" s="267" t="s">
        <v>30</v>
      </c>
      <c r="B311" s="599">
        <f t="shared" si="16"/>
        <v>345041</v>
      </c>
      <c r="C311" s="604">
        <v>124758</v>
      </c>
      <c r="D311" s="599"/>
      <c r="E311" s="599">
        <f t="shared" si="17"/>
        <v>144713</v>
      </c>
      <c r="F311" s="604">
        <v>38474</v>
      </c>
      <c r="G311" s="604">
        <v>68512</v>
      </c>
      <c r="H311" s="599">
        <v>37727</v>
      </c>
      <c r="I311" s="599"/>
      <c r="J311" s="604">
        <v>13262</v>
      </c>
      <c r="K311" s="604">
        <v>58834</v>
      </c>
      <c r="L311" s="604">
        <v>3474</v>
      </c>
    </row>
    <row r="312" spans="1:12" s="263" customFormat="1" ht="9" customHeight="1" x14ac:dyDescent="0.25">
      <c r="A312" s="263" t="s">
        <v>63</v>
      </c>
      <c r="B312" s="598">
        <f t="shared" si="16"/>
        <v>2427747</v>
      </c>
      <c r="C312" s="600">
        <v>622187</v>
      </c>
      <c r="D312" s="598"/>
      <c r="E312" s="598">
        <f t="shared" si="17"/>
        <v>1351101</v>
      </c>
      <c r="F312" s="600">
        <v>236740</v>
      </c>
      <c r="G312" s="600">
        <v>183064</v>
      </c>
      <c r="H312" s="598">
        <v>931297</v>
      </c>
      <c r="I312" s="598"/>
      <c r="J312" s="600">
        <v>30899</v>
      </c>
      <c r="K312" s="600">
        <v>378344</v>
      </c>
      <c r="L312" s="600">
        <v>45216</v>
      </c>
    </row>
    <row r="313" spans="1:12" s="263" customFormat="1" ht="9" customHeight="1" x14ac:dyDescent="0.25">
      <c r="A313" s="263" t="s">
        <v>31</v>
      </c>
      <c r="B313" s="598">
        <f t="shared" si="16"/>
        <v>36867</v>
      </c>
      <c r="C313" s="600">
        <v>22797</v>
      </c>
      <c r="D313" s="598"/>
      <c r="E313" s="598">
        <f t="shared" si="17"/>
        <v>12115</v>
      </c>
      <c r="F313" s="600">
        <v>3437</v>
      </c>
      <c r="G313" s="600">
        <v>2167</v>
      </c>
      <c r="H313" s="598">
        <v>6511</v>
      </c>
      <c r="I313" s="598"/>
      <c r="J313" s="600">
        <v>361</v>
      </c>
      <c r="K313" s="600">
        <v>1054</v>
      </c>
      <c r="L313" s="600">
        <v>540</v>
      </c>
    </row>
    <row r="314" spans="1:12" s="263" customFormat="1" ht="9" customHeight="1" x14ac:dyDescent="0.25">
      <c r="A314" s="263" t="s">
        <v>32</v>
      </c>
      <c r="B314" s="598">
        <f t="shared" si="16"/>
        <v>569296</v>
      </c>
      <c r="C314" s="600">
        <v>275266</v>
      </c>
      <c r="D314" s="598"/>
      <c r="E314" s="598">
        <f t="shared" si="17"/>
        <v>243633</v>
      </c>
      <c r="F314" s="600">
        <v>77267</v>
      </c>
      <c r="G314" s="600">
        <v>76516</v>
      </c>
      <c r="H314" s="598">
        <v>89850</v>
      </c>
      <c r="I314" s="598"/>
      <c r="J314" s="600">
        <v>1548</v>
      </c>
      <c r="K314" s="600">
        <v>36536</v>
      </c>
      <c r="L314" s="600">
        <v>12313</v>
      </c>
    </row>
    <row r="315" spans="1:12" s="263" customFormat="1" ht="9" customHeight="1" x14ac:dyDescent="0.25">
      <c r="A315" s="267" t="s">
        <v>33</v>
      </c>
      <c r="B315" s="599">
        <f t="shared" si="16"/>
        <v>170795</v>
      </c>
      <c r="C315" s="604">
        <v>78505</v>
      </c>
      <c r="D315" s="599"/>
      <c r="E315" s="599">
        <f t="shared" si="17"/>
        <v>76594</v>
      </c>
      <c r="F315" s="604">
        <v>29391</v>
      </c>
      <c r="G315" s="604">
        <v>20951</v>
      </c>
      <c r="H315" s="599">
        <v>26252</v>
      </c>
      <c r="I315" s="599"/>
      <c r="J315" s="604">
        <v>1044</v>
      </c>
      <c r="K315" s="604">
        <v>10592</v>
      </c>
      <c r="L315" s="604">
        <v>4060</v>
      </c>
    </row>
    <row r="316" spans="1:12" s="263" customFormat="1" ht="9" customHeight="1" x14ac:dyDescent="0.25">
      <c r="A316" s="263" t="s">
        <v>34</v>
      </c>
      <c r="B316" s="598">
        <f t="shared" si="16"/>
        <v>226223</v>
      </c>
      <c r="C316" s="600">
        <v>102527</v>
      </c>
      <c r="D316" s="598"/>
      <c r="E316" s="598">
        <f t="shared" si="17"/>
        <v>99805</v>
      </c>
      <c r="F316" s="600">
        <v>30326</v>
      </c>
      <c r="G316" s="600">
        <v>26184</v>
      </c>
      <c r="H316" s="598">
        <v>43295</v>
      </c>
      <c r="I316" s="598"/>
      <c r="J316" s="600">
        <v>522</v>
      </c>
      <c r="K316" s="600">
        <v>9390</v>
      </c>
      <c r="L316" s="600">
        <v>13979</v>
      </c>
    </row>
    <row r="317" spans="1:12" s="263" customFormat="1" ht="9" customHeight="1" x14ac:dyDescent="0.25">
      <c r="A317" s="263" t="s">
        <v>35</v>
      </c>
      <c r="B317" s="598">
        <f t="shared" si="16"/>
        <v>761993</v>
      </c>
      <c r="C317" s="600">
        <v>211665</v>
      </c>
      <c r="D317" s="598"/>
      <c r="E317" s="598">
        <f t="shared" si="17"/>
        <v>465149</v>
      </c>
      <c r="F317" s="600">
        <v>138473</v>
      </c>
      <c r="G317" s="600">
        <v>117719</v>
      </c>
      <c r="H317" s="598">
        <v>208957</v>
      </c>
      <c r="I317" s="598"/>
      <c r="J317" s="600">
        <v>6823</v>
      </c>
      <c r="K317" s="600">
        <v>61294</v>
      </c>
      <c r="L317" s="600">
        <v>17062</v>
      </c>
    </row>
    <row r="318" spans="1:12" s="263" customFormat="1" ht="9" customHeight="1" x14ac:dyDescent="0.25">
      <c r="A318" s="263" t="s">
        <v>36</v>
      </c>
      <c r="B318" s="598">
        <f t="shared" si="16"/>
        <v>1756358</v>
      </c>
      <c r="C318" s="600">
        <v>902802</v>
      </c>
      <c r="D318" s="598"/>
      <c r="E318" s="598">
        <f t="shared" si="17"/>
        <v>719919</v>
      </c>
      <c r="F318" s="600">
        <v>251331</v>
      </c>
      <c r="G318" s="600">
        <v>220252</v>
      </c>
      <c r="H318" s="598">
        <v>248336</v>
      </c>
      <c r="I318" s="598"/>
      <c r="J318" s="600">
        <v>13070</v>
      </c>
      <c r="K318" s="600">
        <v>89619</v>
      </c>
      <c r="L318" s="600">
        <v>30948</v>
      </c>
    </row>
    <row r="319" spans="1:12" s="263" customFormat="1" ht="9" customHeight="1" x14ac:dyDescent="0.25">
      <c r="A319" s="267" t="s">
        <v>37</v>
      </c>
      <c r="B319" s="599">
        <f t="shared" si="16"/>
        <v>505358</v>
      </c>
      <c r="C319" s="604">
        <v>165683</v>
      </c>
      <c r="D319" s="599"/>
      <c r="E319" s="599">
        <f t="shared" si="17"/>
        <v>275558</v>
      </c>
      <c r="F319" s="604">
        <v>82751</v>
      </c>
      <c r="G319" s="604">
        <v>71044</v>
      </c>
      <c r="H319" s="599">
        <v>121763</v>
      </c>
      <c r="I319" s="599"/>
      <c r="J319" s="604">
        <v>2684</v>
      </c>
      <c r="K319" s="604">
        <v>56271</v>
      </c>
      <c r="L319" s="604">
        <v>5162</v>
      </c>
    </row>
    <row r="320" spans="1:12" s="263" customFormat="1" ht="9" customHeight="1" x14ac:dyDescent="0.25">
      <c r="A320" s="263" t="s">
        <v>38</v>
      </c>
      <c r="B320" s="598">
        <f t="shared" si="16"/>
        <v>140572</v>
      </c>
      <c r="C320" s="600">
        <v>65802</v>
      </c>
      <c r="D320" s="598"/>
      <c r="E320" s="598">
        <f t="shared" si="17"/>
        <v>58645</v>
      </c>
      <c r="F320" s="600">
        <v>19520</v>
      </c>
      <c r="G320" s="600">
        <v>10064</v>
      </c>
      <c r="H320" s="598">
        <v>29061</v>
      </c>
      <c r="I320" s="598"/>
      <c r="J320" s="600">
        <v>399</v>
      </c>
      <c r="K320" s="600">
        <v>14721</v>
      </c>
      <c r="L320" s="600">
        <v>1005</v>
      </c>
    </row>
    <row r="321" spans="1:13" s="263" customFormat="1" ht="9" customHeight="1" x14ac:dyDescent="0.25">
      <c r="A321" s="263" t="s">
        <v>39</v>
      </c>
      <c r="B321" s="598">
        <f t="shared" si="16"/>
        <v>12609</v>
      </c>
      <c r="C321" s="600">
        <v>5847</v>
      </c>
      <c r="D321" s="598"/>
      <c r="E321" s="598">
        <f t="shared" si="17"/>
        <v>4896</v>
      </c>
      <c r="F321" s="600">
        <v>2518</v>
      </c>
      <c r="G321" s="600">
        <v>408</v>
      </c>
      <c r="H321" s="598">
        <v>1970</v>
      </c>
      <c r="I321" s="598"/>
      <c r="J321" s="600">
        <v>0</v>
      </c>
      <c r="K321" s="600">
        <v>1844</v>
      </c>
      <c r="L321" s="600">
        <v>22</v>
      </c>
    </row>
    <row r="322" spans="1:13" s="263" customFormat="1" ht="9" customHeight="1" x14ac:dyDescent="0.25">
      <c r="A322" s="263" t="s">
        <v>40</v>
      </c>
      <c r="B322" s="598">
        <f t="shared" si="16"/>
        <v>1065828</v>
      </c>
      <c r="C322" s="600">
        <v>332391</v>
      </c>
      <c r="D322" s="598"/>
      <c r="E322" s="598">
        <f t="shared" si="17"/>
        <v>384105</v>
      </c>
      <c r="F322" s="600">
        <v>96942</v>
      </c>
      <c r="G322" s="600">
        <v>121440</v>
      </c>
      <c r="H322" s="598">
        <v>165723</v>
      </c>
      <c r="I322" s="598"/>
      <c r="J322" s="600">
        <v>27686</v>
      </c>
      <c r="K322" s="600">
        <v>265626</v>
      </c>
      <c r="L322" s="600">
        <v>56020</v>
      </c>
    </row>
    <row r="323" spans="1:13" s="263" customFormat="1" ht="9" customHeight="1" x14ac:dyDescent="0.25">
      <c r="A323" s="267" t="s">
        <v>41</v>
      </c>
      <c r="B323" s="599">
        <f t="shared" si="16"/>
        <v>300128</v>
      </c>
      <c r="C323" s="604">
        <v>140344</v>
      </c>
      <c r="D323" s="599"/>
      <c r="E323" s="599">
        <f t="shared" si="17"/>
        <v>132202</v>
      </c>
      <c r="F323" s="604">
        <v>39110</v>
      </c>
      <c r="G323" s="604">
        <v>33435</v>
      </c>
      <c r="H323" s="599">
        <v>59657</v>
      </c>
      <c r="I323" s="599"/>
      <c r="J323" s="604">
        <v>914</v>
      </c>
      <c r="K323" s="604">
        <v>11069</v>
      </c>
      <c r="L323" s="604">
        <v>15599</v>
      </c>
    </row>
    <row r="324" spans="1:13" s="263" customFormat="1" ht="9" customHeight="1" x14ac:dyDescent="0.25">
      <c r="A324" s="263" t="s">
        <v>42</v>
      </c>
      <c r="B324" s="598">
        <f t="shared" si="16"/>
        <v>250342</v>
      </c>
      <c r="C324" s="600">
        <v>98402</v>
      </c>
      <c r="D324" s="598"/>
      <c r="E324" s="598">
        <f t="shared" si="17"/>
        <v>122915</v>
      </c>
      <c r="F324" s="600">
        <v>28377</v>
      </c>
      <c r="G324" s="600">
        <v>30198</v>
      </c>
      <c r="H324" s="598">
        <v>64340</v>
      </c>
      <c r="I324" s="598"/>
      <c r="J324" s="600">
        <v>660</v>
      </c>
      <c r="K324" s="600">
        <v>22052</v>
      </c>
      <c r="L324" s="600">
        <v>6313</v>
      </c>
    </row>
    <row r="325" spans="1:13" s="263" customFormat="1" ht="9" customHeight="1" x14ac:dyDescent="0.25">
      <c r="A325" s="263" t="s">
        <v>43</v>
      </c>
      <c r="B325" s="598">
        <f t="shared" si="16"/>
        <v>190103</v>
      </c>
      <c r="C325" s="600">
        <v>65252</v>
      </c>
      <c r="D325" s="598"/>
      <c r="E325" s="598">
        <f t="shared" si="17"/>
        <v>95801</v>
      </c>
      <c r="F325" s="600">
        <v>25322</v>
      </c>
      <c r="G325" s="600">
        <v>18599</v>
      </c>
      <c r="H325" s="598">
        <v>51880</v>
      </c>
      <c r="I325" s="598"/>
      <c r="J325" s="600">
        <v>316</v>
      </c>
      <c r="K325" s="600">
        <v>22144</v>
      </c>
      <c r="L325" s="600">
        <v>6590</v>
      </c>
    </row>
    <row r="326" spans="1:13" s="263" customFormat="1" ht="9" customHeight="1" x14ac:dyDescent="0.25">
      <c r="A326" s="263" t="s">
        <v>44</v>
      </c>
      <c r="B326" s="598">
        <f t="shared" si="16"/>
        <v>191425</v>
      </c>
      <c r="C326" s="600">
        <v>60556</v>
      </c>
      <c r="D326" s="598"/>
      <c r="E326" s="598">
        <f t="shared" si="17"/>
        <v>108362</v>
      </c>
      <c r="F326" s="600">
        <v>39211</v>
      </c>
      <c r="G326" s="600">
        <v>28177</v>
      </c>
      <c r="H326" s="598">
        <v>40974</v>
      </c>
      <c r="I326" s="598"/>
      <c r="J326" s="600">
        <v>847</v>
      </c>
      <c r="K326" s="600">
        <v>11790</v>
      </c>
      <c r="L326" s="600">
        <v>9870</v>
      </c>
    </row>
    <row r="327" spans="1:13" s="263" customFormat="1" ht="9" customHeight="1" x14ac:dyDescent="0.25">
      <c r="A327" s="267" t="s">
        <v>45</v>
      </c>
      <c r="B327" s="599">
        <f t="shared" si="16"/>
        <v>119175</v>
      </c>
      <c r="C327" s="604">
        <v>53429</v>
      </c>
      <c r="D327" s="599"/>
      <c r="E327" s="599">
        <f t="shared" si="17"/>
        <v>46558</v>
      </c>
      <c r="F327" s="604">
        <v>17918</v>
      </c>
      <c r="G327" s="604">
        <v>12764</v>
      </c>
      <c r="H327" s="599">
        <v>15876</v>
      </c>
      <c r="I327" s="599"/>
      <c r="J327" s="604">
        <v>561</v>
      </c>
      <c r="K327" s="604">
        <v>16846</v>
      </c>
      <c r="L327" s="604">
        <v>1781</v>
      </c>
    </row>
    <row r="328" spans="1:13" s="263" customFormat="1" ht="9" customHeight="1" x14ac:dyDescent="0.25">
      <c r="A328" s="263" t="s">
        <v>46</v>
      </c>
      <c r="B328" s="598">
        <f t="shared" si="16"/>
        <v>175192</v>
      </c>
      <c r="C328" s="600">
        <v>46251</v>
      </c>
      <c r="D328" s="598"/>
      <c r="E328" s="598">
        <f t="shared" si="17"/>
        <v>110774</v>
      </c>
      <c r="F328" s="600">
        <v>25492</v>
      </c>
      <c r="G328" s="600">
        <v>25243</v>
      </c>
      <c r="H328" s="598">
        <v>60039</v>
      </c>
      <c r="I328" s="598"/>
      <c r="J328" s="600">
        <v>986</v>
      </c>
      <c r="K328" s="600">
        <v>14453</v>
      </c>
      <c r="L328" s="600">
        <v>2728</v>
      </c>
    </row>
    <row r="329" spans="1:13" s="263" customFormat="1" ht="9" customHeight="1" x14ac:dyDescent="0.25">
      <c r="A329" s="263" t="s">
        <v>47</v>
      </c>
      <c r="B329" s="598">
        <f t="shared" si="16"/>
        <v>221903</v>
      </c>
      <c r="C329" s="600">
        <v>107158</v>
      </c>
      <c r="D329" s="598"/>
      <c r="E329" s="598">
        <f t="shared" si="17"/>
        <v>86567</v>
      </c>
      <c r="F329" s="600">
        <v>17763</v>
      </c>
      <c r="G329" s="600">
        <v>24485</v>
      </c>
      <c r="H329" s="598">
        <v>44319</v>
      </c>
      <c r="I329" s="598"/>
      <c r="J329" s="600">
        <v>732</v>
      </c>
      <c r="K329" s="600">
        <v>23597</v>
      </c>
      <c r="L329" s="600">
        <v>3849</v>
      </c>
    </row>
    <row r="330" spans="1:13" s="263" customFormat="1" ht="9" customHeight="1" x14ac:dyDescent="0.25">
      <c r="A330" s="263" t="s">
        <v>48</v>
      </c>
      <c r="B330" s="598">
        <f t="shared" si="16"/>
        <v>115805</v>
      </c>
      <c r="C330" s="600">
        <v>53736</v>
      </c>
      <c r="D330" s="598"/>
      <c r="E330" s="598">
        <f t="shared" si="17"/>
        <v>38940</v>
      </c>
      <c r="F330" s="600">
        <v>12147</v>
      </c>
      <c r="G330" s="600">
        <v>13499</v>
      </c>
      <c r="H330" s="598">
        <v>13294</v>
      </c>
      <c r="I330" s="598"/>
      <c r="J330" s="600">
        <v>996</v>
      </c>
      <c r="K330" s="600">
        <v>21882</v>
      </c>
      <c r="L330" s="600">
        <v>251</v>
      </c>
    </row>
    <row r="331" spans="1:13" s="263" customFormat="1" ht="9" customHeight="1" x14ac:dyDescent="0.25">
      <c r="A331" s="267" t="s">
        <v>49</v>
      </c>
      <c r="B331" s="599">
        <f t="shared" si="16"/>
        <v>203318</v>
      </c>
      <c r="C331" s="604">
        <v>86016</v>
      </c>
      <c r="D331" s="599"/>
      <c r="E331" s="599">
        <f t="shared" si="17"/>
        <v>96940</v>
      </c>
      <c r="F331" s="604">
        <v>32531</v>
      </c>
      <c r="G331" s="604">
        <v>29257</v>
      </c>
      <c r="H331" s="599">
        <v>35152</v>
      </c>
      <c r="I331" s="599"/>
      <c r="J331" s="604">
        <v>792</v>
      </c>
      <c r="K331" s="604">
        <v>16770</v>
      </c>
      <c r="L331" s="604">
        <v>2800</v>
      </c>
    </row>
    <row r="332" spans="1:13" s="263" customFormat="1" ht="9" customHeight="1" x14ac:dyDescent="0.25">
      <c r="A332" s="263" t="s">
        <v>50</v>
      </c>
      <c r="B332" s="598">
        <f t="shared" si="16"/>
        <v>65539</v>
      </c>
      <c r="C332" s="600">
        <v>33223</v>
      </c>
      <c r="D332" s="598"/>
      <c r="E332" s="598">
        <f t="shared" si="17"/>
        <v>29735</v>
      </c>
      <c r="F332" s="600">
        <v>12941</v>
      </c>
      <c r="G332" s="600">
        <v>8743</v>
      </c>
      <c r="H332" s="598">
        <v>8051</v>
      </c>
      <c r="I332" s="598"/>
      <c r="J332" s="600">
        <v>140</v>
      </c>
      <c r="K332" s="600">
        <v>1698</v>
      </c>
      <c r="L332" s="600">
        <v>743</v>
      </c>
    </row>
    <row r="333" spans="1:13" s="263" customFormat="1" ht="9" customHeight="1" x14ac:dyDescent="0.25">
      <c r="A333" s="263" t="s">
        <v>51</v>
      </c>
      <c r="B333" s="598">
        <f t="shared" si="16"/>
        <v>342042</v>
      </c>
      <c r="C333" s="600">
        <v>161151</v>
      </c>
      <c r="D333" s="598"/>
      <c r="E333" s="598">
        <f t="shared" si="17"/>
        <v>141452</v>
      </c>
      <c r="F333" s="600">
        <v>51190</v>
      </c>
      <c r="G333" s="600">
        <v>30886</v>
      </c>
      <c r="H333" s="598">
        <v>59376</v>
      </c>
      <c r="I333" s="598"/>
      <c r="J333" s="600">
        <v>1504</v>
      </c>
      <c r="K333" s="600">
        <v>26616</v>
      </c>
      <c r="L333" s="600">
        <v>11319</v>
      </c>
    </row>
    <row r="334" spans="1:13" s="263" customFormat="1" ht="9" customHeight="1" x14ac:dyDescent="0.25">
      <c r="A334" s="263" t="s">
        <v>52</v>
      </c>
      <c r="B334" s="598">
        <f t="shared" si="16"/>
        <v>159071</v>
      </c>
      <c r="C334" s="600">
        <v>39391</v>
      </c>
      <c r="D334" s="598"/>
      <c r="E334" s="598">
        <f t="shared" si="17"/>
        <v>94184</v>
      </c>
      <c r="F334" s="600">
        <v>30810</v>
      </c>
      <c r="G334" s="600">
        <v>38394</v>
      </c>
      <c r="H334" s="598">
        <v>24980</v>
      </c>
      <c r="I334" s="598"/>
      <c r="J334" s="600">
        <v>13</v>
      </c>
      <c r="K334" s="600">
        <v>20356</v>
      </c>
      <c r="L334" s="600">
        <v>5127</v>
      </c>
    </row>
    <row r="335" spans="1:13" s="263" customFormat="1" ht="9" customHeight="1" x14ac:dyDescent="0.25">
      <c r="A335" s="267" t="s">
        <v>53</v>
      </c>
      <c r="B335" s="599">
        <f t="shared" si="16"/>
        <v>60587</v>
      </c>
      <c r="C335" s="604">
        <v>23868</v>
      </c>
      <c r="D335" s="599"/>
      <c r="E335" s="599">
        <f t="shared" si="17"/>
        <v>30501</v>
      </c>
      <c r="F335" s="604">
        <v>7183</v>
      </c>
      <c r="G335" s="604">
        <v>6924</v>
      </c>
      <c r="H335" s="599">
        <v>16394</v>
      </c>
      <c r="I335" s="599"/>
      <c r="J335" s="604">
        <v>630</v>
      </c>
      <c r="K335" s="604">
        <v>3775</v>
      </c>
      <c r="L335" s="604">
        <v>1813</v>
      </c>
    </row>
    <row r="336" spans="1:13" s="263" customFormat="1" ht="9" customHeight="1" x14ac:dyDescent="0.25">
      <c r="A336" s="286"/>
      <c r="B336" s="613"/>
      <c r="C336" s="605"/>
      <c r="D336" s="613"/>
      <c r="E336" s="613"/>
      <c r="F336" s="605"/>
      <c r="G336" s="605"/>
      <c r="H336" s="613"/>
      <c r="I336" s="613"/>
      <c r="J336" s="605"/>
      <c r="K336" s="605"/>
      <c r="L336" s="605"/>
      <c r="M336" s="286"/>
    </row>
    <row r="337" spans="1:40" s="263" customFormat="1" ht="9" customHeight="1" x14ac:dyDescent="0.25">
      <c r="A337" s="601">
        <v>2004</v>
      </c>
      <c r="B337" s="632"/>
      <c r="C337" s="550"/>
      <c r="D337" s="550"/>
      <c r="E337" s="632"/>
      <c r="F337" s="550"/>
      <c r="G337" s="550"/>
      <c r="H337" s="550"/>
      <c r="I337" s="550"/>
      <c r="J337" s="550"/>
      <c r="K337" s="550"/>
      <c r="L337" s="550"/>
    </row>
    <row r="338" spans="1:40" s="263" customFormat="1" ht="9" customHeight="1" x14ac:dyDescent="0.25">
      <c r="A338" s="265" t="s">
        <v>21</v>
      </c>
      <c r="B338" s="597">
        <f>SUM(B340:B371)</f>
        <v>11349946</v>
      </c>
      <c r="C338" s="597">
        <f>SUM(C340:C371)</f>
        <v>4087165</v>
      </c>
      <c r="D338" s="597"/>
      <c r="E338" s="597">
        <f>SUM(E340:E371)</f>
        <v>5575819</v>
      </c>
      <c r="F338" s="597">
        <f>SUM(F340:F371)</f>
        <v>1464159</v>
      </c>
      <c r="G338" s="597">
        <f>SUM(G340:G371)</f>
        <v>1369798</v>
      </c>
      <c r="H338" s="597">
        <f>SUM(H340:H371)</f>
        <v>2741862</v>
      </c>
      <c r="I338" s="597"/>
      <c r="J338" s="597">
        <f>SUM(J340:J371)</f>
        <v>108146</v>
      </c>
      <c r="K338" s="597">
        <f>SUM(K340:K371)</f>
        <v>1287209</v>
      </c>
      <c r="L338" s="597">
        <f>SUM(L340:L371)</f>
        <v>291607</v>
      </c>
      <c r="Z338" s="600"/>
      <c r="AA338" s="600"/>
      <c r="AB338" s="600"/>
      <c r="AC338" s="600"/>
      <c r="AD338" s="600"/>
      <c r="AE338" s="600"/>
      <c r="AF338" s="600"/>
      <c r="AG338" s="600"/>
      <c r="AH338" s="600"/>
      <c r="AI338" s="600"/>
      <c r="AJ338" s="600"/>
      <c r="AK338" s="600"/>
      <c r="AL338" s="600"/>
      <c r="AM338" s="600"/>
      <c r="AN338" s="600"/>
    </row>
    <row r="339" spans="1:40" s="263" customFormat="1" ht="3.95" customHeight="1" x14ac:dyDescent="0.25">
      <c r="A339" s="265"/>
      <c r="B339" s="597"/>
      <c r="C339" s="597"/>
      <c r="D339" s="597"/>
      <c r="E339" s="597"/>
      <c r="F339" s="597"/>
      <c r="G339" s="597"/>
      <c r="H339" s="597"/>
      <c r="I339" s="597"/>
      <c r="J339" s="597"/>
      <c r="K339" s="597"/>
      <c r="L339" s="597"/>
      <c r="Z339" s="600"/>
      <c r="AA339" s="600"/>
      <c r="AB339" s="600"/>
      <c r="AC339" s="600"/>
      <c r="AD339" s="600"/>
      <c r="AE339" s="600"/>
      <c r="AF339" s="600"/>
      <c r="AG339" s="600"/>
      <c r="AH339" s="600"/>
      <c r="AI339" s="600"/>
      <c r="AJ339" s="600"/>
    </row>
    <row r="340" spans="1:40" s="263" customFormat="1" ht="9" customHeight="1" x14ac:dyDescent="0.25">
      <c r="A340" s="263" t="s">
        <v>23</v>
      </c>
      <c r="B340" s="598">
        <f t="shared" ref="B340:B371" si="18">SUM(C340+E340+J340+K340+L340)</f>
        <v>79487</v>
      </c>
      <c r="C340" s="600">
        <v>29863</v>
      </c>
      <c r="D340" s="598"/>
      <c r="E340" s="598">
        <f t="shared" ref="E340:E371" si="19">SUM(F340:H340)</f>
        <v>39016</v>
      </c>
      <c r="F340" s="600">
        <v>10319</v>
      </c>
      <c r="G340" s="600">
        <v>6966</v>
      </c>
      <c r="H340" s="598">
        <v>21731</v>
      </c>
      <c r="I340" s="598"/>
      <c r="J340" s="600">
        <v>148</v>
      </c>
      <c r="K340" s="600">
        <v>9258</v>
      </c>
      <c r="L340" s="600">
        <v>1202</v>
      </c>
      <c r="Z340" s="600"/>
      <c r="AA340" s="600"/>
      <c r="AB340" s="600"/>
      <c r="AC340" s="600"/>
      <c r="AD340" s="600"/>
      <c r="AE340" s="600"/>
      <c r="AF340" s="600"/>
      <c r="AG340" s="600"/>
      <c r="AH340" s="600"/>
      <c r="AI340" s="600"/>
      <c r="AJ340" s="600"/>
    </row>
    <row r="341" spans="1:40" s="263" customFormat="1" ht="9" customHeight="1" x14ac:dyDescent="0.25">
      <c r="A341" s="263" t="s">
        <v>24</v>
      </c>
      <c r="B341" s="598">
        <f t="shared" si="18"/>
        <v>665059</v>
      </c>
      <c r="C341" s="598">
        <v>308076</v>
      </c>
      <c r="D341" s="598"/>
      <c r="E341" s="598">
        <f t="shared" si="19"/>
        <v>313591</v>
      </c>
      <c r="F341" s="598">
        <v>98230</v>
      </c>
      <c r="G341" s="598">
        <v>114528</v>
      </c>
      <c r="H341" s="598">
        <v>100833</v>
      </c>
      <c r="I341" s="598"/>
      <c r="J341" s="598">
        <v>5515</v>
      </c>
      <c r="K341" s="598">
        <v>28400</v>
      </c>
      <c r="L341" s="598">
        <v>9477</v>
      </c>
      <c r="Z341" s="600"/>
      <c r="AA341" s="600"/>
      <c r="AB341" s="600"/>
      <c r="AC341" s="600"/>
      <c r="AD341" s="600"/>
      <c r="AE341" s="600"/>
      <c r="AF341" s="600"/>
      <c r="AG341" s="600"/>
      <c r="AH341" s="600"/>
      <c r="AI341" s="600"/>
      <c r="AJ341" s="600"/>
    </row>
    <row r="342" spans="1:40" s="263" customFormat="1" ht="9" customHeight="1" x14ac:dyDescent="0.25">
      <c r="A342" s="263" t="s">
        <v>25</v>
      </c>
      <c r="B342" s="598">
        <f t="shared" si="18"/>
        <v>53277</v>
      </c>
      <c r="C342" s="600">
        <v>23680</v>
      </c>
      <c r="D342" s="598"/>
      <c r="E342" s="598">
        <f t="shared" si="19"/>
        <v>23236</v>
      </c>
      <c r="F342" s="600">
        <v>5624</v>
      </c>
      <c r="G342" s="600">
        <v>2396</v>
      </c>
      <c r="H342" s="598">
        <v>15216</v>
      </c>
      <c r="I342" s="598"/>
      <c r="J342" s="600">
        <v>888</v>
      </c>
      <c r="K342" s="600">
        <v>3269</v>
      </c>
      <c r="L342" s="600">
        <v>2204</v>
      </c>
      <c r="Z342" s="600"/>
      <c r="AA342" s="600"/>
      <c r="AB342" s="600"/>
      <c r="AC342" s="600"/>
      <c r="AD342" s="600"/>
      <c r="AE342" s="600"/>
      <c r="AF342" s="600"/>
      <c r="AG342" s="600"/>
      <c r="AH342" s="600"/>
      <c r="AI342" s="600"/>
      <c r="AJ342" s="600"/>
    </row>
    <row r="343" spans="1:40" s="263" customFormat="1" ht="9" customHeight="1" x14ac:dyDescent="0.25">
      <c r="A343" s="267" t="s">
        <v>26</v>
      </c>
      <c r="B343" s="599">
        <f t="shared" si="18"/>
        <v>24891</v>
      </c>
      <c r="C343" s="604">
        <v>11580</v>
      </c>
      <c r="D343" s="599"/>
      <c r="E343" s="599">
        <f t="shared" si="19"/>
        <v>7425</v>
      </c>
      <c r="F343" s="604">
        <v>1660</v>
      </c>
      <c r="G343" s="604">
        <v>1652</v>
      </c>
      <c r="H343" s="599">
        <v>4113</v>
      </c>
      <c r="I343" s="599"/>
      <c r="J343" s="604">
        <v>0</v>
      </c>
      <c r="K343" s="604">
        <v>5884</v>
      </c>
      <c r="L343" s="604">
        <v>2</v>
      </c>
      <c r="Z343" s="600"/>
      <c r="AA343" s="600"/>
      <c r="AB343" s="600"/>
      <c r="AC343" s="600"/>
      <c r="AD343" s="600"/>
      <c r="AE343" s="600"/>
      <c r="AF343" s="600"/>
      <c r="AG343" s="600"/>
      <c r="AH343" s="600"/>
      <c r="AI343" s="600"/>
      <c r="AJ343" s="600"/>
    </row>
    <row r="344" spans="1:40" s="263" customFormat="1" ht="9" customHeight="1" x14ac:dyDescent="0.25">
      <c r="A344" s="263" t="s">
        <v>27</v>
      </c>
      <c r="B344" s="598">
        <f t="shared" si="18"/>
        <v>138121</v>
      </c>
      <c r="C344" s="600">
        <v>19246</v>
      </c>
      <c r="D344" s="598"/>
      <c r="E344" s="598">
        <f t="shared" si="19"/>
        <v>79337</v>
      </c>
      <c r="F344" s="600">
        <v>25331</v>
      </c>
      <c r="G344" s="600">
        <v>25891</v>
      </c>
      <c r="H344" s="598">
        <v>28115</v>
      </c>
      <c r="I344" s="598"/>
      <c r="J344" s="600">
        <v>70</v>
      </c>
      <c r="K344" s="600">
        <v>38892</v>
      </c>
      <c r="L344" s="600">
        <v>576</v>
      </c>
      <c r="Z344" s="600"/>
      <c r="AA344" s="600"/>
      <c r="AB344" s="600"/>
      <c r="AC344" s="600"/>
      <c r="AD344" s="600"/>
      <c r="AE344" s="600"/>
      <c r="AF344" s="600"/>
      <c r="AG344" s="600"/>
      <c r="AH344" s="600"/>
      <c r="AI344" s="600"/>
      <c r="AJ344" s="600"/>
    </row>
    <row r="345" spans="1:40" s="263" customFormat="1" ht="9" customHeight="1" x14ac:dyDescent="0.25">
      <c r="A345" s="263" t="s">
        <v>28</v>
      </c>
      <c r="B345" s="598">
        <f t="shared" si="18"/>
        <v>32108</v>
      </c>
      <c r="C345" s="600">
        <v>12607</v>
      </c>
      <c r="D345" s="598"/>
      <c r="E345" s="598">
        <f t="shared" si="19"/>
        <v>16826</v>
      </c>
      <c r="F345" s="600">
        <v>3500</v>
      </c>
      <c r="G345" s="600">
        <v>4452</v>
      </c>
      <c r="H345" s="598">
        <v>8874</v>
      </c>
      <c r="I345" s="598"/>
      <c r="J345" s="600">
        <v>21</v>
      </c>
      <c r="K345" s="600">
        <v>2601</v>
      </c>
      <c r="L345" s="600">
        <v>53</v>
      </c>
      <c r="Z345" s="600"/>
      <c r="AA345" s="600"/>
      <c r="AB345" s="600"/>
      <c r="AC345" s="600"/>
      <c r="AD345" s="600"/>
      <c r="AE345" s="600"/>
      <c r="AF345" s="600"/>
      <c r="AG345" s="600"/>
      <c r="AH345" s="600"/>
      <c r="AI345" s="600"/>
      <c r="AJ345" s="600"/>
    </row>
    <row r="346" spans="1:40" s="263" customFormat="1" ht="9" customHeight="1" x14ac:dyDescent="0.25">
      <c r="A346" s="263" t="s">
        <v>29</v>
      </c>
      <c r="B346" s="598">
        <f t="shared" si="18"/>
        <v>125987</v>
      </c>
      <c r="C346" s="600">
        <v>53058</v>
      </c>
      <c r="D346" s="598"/>
      <c r="E346" s="598">
        <f t="shared" si="19"/>
        <v>65047</v>
      </c>
      <c r="F346" s="600">
        <v>23127</v>
      </c>
      <c r="G346" s="600">
        <v>11881</v>
      </c>
      <c r="H346" s="598">
        <v>30039</v>
      </c>
      <c r="I346" s="598"/>
      <c r="J346" s="600">
        <v>2249</v>
      </c>
      <c r="K346" s="600">
        <v>4676</v>
      </c>
      <c r="L346" s="600">
        <v>957</v>
      </c>
      <c r="Z346" s="600"/>
      <c r="AA346" s="600"/>
      <c r="AB346" s="600"/>
      <c r="AC346" s="600"/>
      <c r="AD346" s="600"/>
      <c r="AE346" s="600"/>
      <c r="AF346" s="600"/>
      <c r="AG346" s="600"/>
      <c r="AH346" s="600"/>
      <c r="AI346" s="600"/>
      <c r="AJ346" s="600"/>
    </row>
    <row r="347" spans="1:40" s="263" customFormat="1" ht="9" customHeight="1" x14ac:dyDescent="0.25">
      <c r="A347" s="267" t="s">
        <v>30</v>
      </c>
      <c r="B347" s="599">
        <f t="shared" si="18"/>
        <v>395830</v>
      </c>
      <c r="C347" s="604">
        <v>124335</v>
      </c>
      <c r="D347" s="599"/>
      <c r="E347" s="599">
        <f t="shared" si="19"/>
        <v>175517</v>
      </c>
      <c r="F347" s="604">
        <v>50234</v>
      </c>
      <c r="G347" s="604">
        <v>70382</v>
      </c>
      <c r="H347" s="599">
        <v>54901</v>
      </c>
      <c r="I347" s="599"/>
      <c r="J347" s="604">
        <v>20923</v>
      </c>
      <c r="K347" s="604">
        <v>56970</v>
      </c>
      <c r="L347" s="604">
        <v>18085</v>
      </c>
      <c r="Z347" s="600"/>
      <c r="AA347" s="600"/>
      <c r="AB347" s="600"/>
      <c r="AC347" s="600"/>
      <c r="AD347" s="600"/>
      <c r="AE347" s="600"/>
      <c r="AF347" s="600"/>
      <c r="AG347" s="600"/>
      <c r="AH347" s="600"/>
      <c r="AI347" s="600"/>
      <c r="AJ347" s="600"/>
    </row>
    <row r="348" spans="1:40" s="263" customFormat="1" ht="9" customHeight="1" x14ac:dyDescent="0.25">
      <c r="A348" s="263" t="s">
        <v>63</v>
      </c>
      <c r="B348" s="598">
        <f t="shared" si="18"/>
        <v>2377365</v>
      </c>
      <c r="C348" s="600">
        <v>602982</v>
      </c>
      <c r="D348" s="598"/>
      <c r="E348" s="598">
        <f t="shared" si="19"/>
        <v>1361240</v>
      </c>
      <c r="F348" s="600">
        <v>199570</v>
      </c>
      <c r="G348" s="600">
        <v>184366</v>
      </c>
      <c r="H348" s="598">
        <v>977304</v>
      </c>
      <c r="I348" s="598"/>
      <c r="J348" s="600">
        <v>14052</v>
      </c>
      <c r="K348" s="600">
        <v>351343</v>
      </c>
      <c r="L348" s="600">
        <v>47748</v>
      </c>
      <c r="Z348" s="600"/>
      <c r="AA348" s="600"/>
      <c r="AB348" s="600"/>
      <c r="AC348" s="600"/>
      <c r="AD348" s="600"/>
      <c r="AE348" s="600"/>
      <c r="AF348" s="600"/>
      <c r="AG348" s="600"/>
      <c r="AH348" s="600"/>
      <c r="AI348" s="600"/>
      <c r="AJ348" s="600"/>
    </row>
    <row r="349" spans="1:40" s="263" customFormat="1" ht="9" customHeight="1" x14ac:dyDescent="0.25">
      <c r="A349" s="263" t="s">
        <v>31</v>
      </c>
      <c r="B349" s="598">
        <f t="shared" si="18"/>
        <v>32160</v>
      </c>
      <c r="C349" s="600">
        <v>21001</v>
      </c>
      <c r="D349" s="598"/>
      <c r="E349" s="598">
        <f t="shared" si="19"/>
        <v>9877</v>
      </c>
      <c r="F349" s="600">
        <v>3110</v>
      </c>
      <c r="G349" s="600">
        <v>1250</v>
      </c>
      <c r="H349" s="598">
        <v>5517</v>
      </c>
      <c r="I349" s="598"/>
      <c r="J349" s="600">
        <v>11</v>
      </c>
      <c r="K349" s="600">
        <v>1126</v>
      </c>
      <c r="L349" s="600">
        <v>145</v>
      </c>
      <c r="Z349" s="600"/>
      <c r="AA349" s="600"/>
      <c r="AB349" s="600"/>
      <c r="AC349" s="600"/>
      <c r="AD349" s="600"/>
      <c r="AE349" s="600"/>
      <c r="AF349" s="600"/>
      <c r="AG349" s="600"/>
      <c r="AH349" s="600"/>
      <c r="AI349" s="600"/>
      <c r="AJ349" s="600"/>
    </row>
    <row r="350" spans="1:40" s="263" customFormat="1" ht="9" customHeight="1" x14ac:dyDescent="0.25">
      <c r="A350" s="263" t="s">
        <v>32</v>
      </c>
      <c r="B350" s="598">
        <f t="shared" si="18"/>
        <v>483448</v>
      </c>
      <c r="C350" s="600">
        <v>219020</v>
      </c>
      <c r="D350" s="598"/>
      <c r="E350" s="598">
        <f t="shared" si="19"/>
        <v>215454</v>
      </c>
      <c r="F350" s="600">
        <v>65290</v>
      </c>
      <c r="G350" s="600">
        <v>63926</v>
      </c>
      <c r="H350" s="598">
        <v>86238</v>
      </c>
      <c r="I350" s="598"/>
      <c r="J350" s="600">
        <v>1211</v>
      </c>
      <c r="K350" s="600">
        <v>35276</v>
      </c>
      <c r="L350" s="600">
        <v>12487</v>
      </c>
      <c r="Z350" s="600"/>
      <c r="AA350" s="600"/>
      <c r="AB350" s="600"/>
      <c r="AC350" s="600"/>
      <c r="AD350" s="600"/>
      <c r="AE350" s="600"/>
      <c r="AF350" s="600"/>
      <c r="AG350" s="600"/>
      <c r="AH350" s="600"/>
      <c r="AI350" s="600"/>
      <c r="AJ350" s="600"/>
    </row>
    <row r="351" spans="1:40" s="263" customFormat="1" ht="9" customHeight="1" x14ac:dyDescent="0.25">
      <c r="A351" s="267" t="s">
        <v>33</v>
      </c>
      <c r="B351" s="599">
        <f t="shared" si="18"/>
        <v>178527</v>
      </c>
      <c r="C351" s="604">
        <v>79285</v>
      </c>
      <c r="D351" s="599"/>
      <c r="E351" s="599">
        <f t="shared" si="19"/>
        <v>83356</v>
      </c>
      <c r="F351" s="604">
        <v>28661</v>
      </c>
      <c r="G351" s="604">
        <v>21690</v>
      </c>
      <c r="H351" s="599">
        <v>33005</v>
      </c>
      <c r="I351" s="599"/>
      <c r="J351" s="604">
        <v>803</v>
      </c>
      <c r="K351" s="604">
        <v>10488</v>
      </c>
      <c r="L351" s="604">
        <v>4595</v>
      </c>
      <c r="Z351" s="600"/>
      <c r="AA351" s="600"/>
      <c r="AB351" s="600"/>
      <c r="AC351" s="600"/>
      <c r="AD351" s="600"/>
      <c r="AE351" s="600"/>
      <c r="AF351" s="600"/>
      <c r="AG351" s="600"/>
      <c r="AH351" s="600"/>
      <c r="AI351" s="600"/>
      <c r="AJ351" s="600"/>
    </row>
    <row r="352" spans="1:40" s="263" customFormat="1" ht="9" customHeight="1" x14ac:dyDescent="0.25">
      <c r="A352" s="263" t="s">
        <v>34</v>
      </c>
      <c r="B352" s="598">
        <f t="shared" si="18"/>
        <v>204927</v>
      </c>
      <c r="C352" s="600">
        <v>88113</v>
      </c>
      <c r="D352" s="598"/>
      <c r="E352" s="598">
        <f t="shared" si="19"/>
        <v>92353</v>
      </c>
      <c r="F352" s="600">
        <v>26501</v>
      </c>
      <c r="G352" s="600">
        <v>26900</v>
      </c>
      <c r="H352" s="598">
        <v>38952</v>
      </c>
      <c r="I352" s="598"/>
      <c r="J352" s="600">
        <v>1382</v>
      </c>
      <c r="K352" s="600">
        <v>9474</v>
      </c>
      <c r="L352" s="600">
        <v>13605</v>
      </c>
      <c r="Z352" s="600"/>
      <c r="AA352" s="600"/>
      <c r="AB352" s="600"/>
      <c r="AC352" s="600"/>
      <c r="AD352" s="600"/>
      <c r="AE352" s="600"/>
      <c r="AF352" s="600"/>
      <c r="AG352" s="600"/>
      <c r="AH352" s="600"/>
      <c r="AI352" s="600"/>
      <c r="AJ352" s="600"/>
    </row>
    <row r="353" spans="1:36" s="263" customFormat="1" ht="9" customHeight="1" x14ac:dyDescent="0.25">
      <c r="A353" s="263" t="s">
        <v>35</v>
      </c>
      <c r="B353" s="598">
        <f t="shared" si="18"/>
        <v>801517</v>
      </c>
      <c r="C353" s="600">
        <v>224527</v>
      </c>
      <c r="D353" s="598"/>
      <c r="E353" s="598">
        <f t="shared" si="19"/>
        <v>496309</v>
      </c>
      <c r="F353" s="600">
        <v>127272</v>
      </c>
      <c r="G353" s="600">
        <v>116660</v>
      </c>
      <c r="H353" s="598">
        <v>252377</v>
      </c>
      <c r="I353" s="598"/>
      <c r="J353" s="600">
        <v>3739</v>
      </c>
      <c r="K353" s="600">
        <v>56026</v>
      </c>
      <c r="L353" s="600">
        <v>20916</v>
      </c>
      <c r="Z353" s="600"/>
      <c r="AA353" s="600"/>
      <c r="AB353" s="600"/>
      <c r="AC353" s="600"/>
      <c r="AD353" s="600"/>
      <c r="AE353" s="600"/>
      <c r="AF353" s="600"/>
      <c r="AG353" s="600"/>
      <c r="AH353" s="600"/>
      <c r="AI353" s="600"/>
      <c r="AJ353" s="600"/>
    </row>
    <row r="354" spans="1:36" s="263" customFormat="1" ht="9" customHeight="1" x14ac:dyDescent="0.25">
      <c r="A354" s="263" t="s">
        <v>36</v>
      </c>
      <c r="B354" s="598">
        <f t="shared" si="18"/>
        <v>1638483</v>
      </c>
      <c r="C354" s="600">
        <v>810828</v>
      </c>
      <c r="D354" s="598"/>
      <c r="E354" s="598">
        <f t="shared" si="19"/>
        <v>669236</v>
      </c>
      <c r="F354" s="600">
        <v>242498</v>
      </c>
      <c r="G354" s="600">
        <v>217354</v>
      </c>
      <c r="H354" s="598">
        <v>209384</v>
      </c>
      <c r="I354" s="598"/>
      <c r="J354" s="600">
        <v>16000</v>
      </c>
      <c r="K354" s="600">
        <v>107922</v>
      </c>
      <c r="L354" s="600">
        <v>34497</v>
      </c>
      <c r="Z354" s="600"/>
      <c r="AA354" s="600"/>
      <c r="AB354" s="600"/>
      <c r="AC354" s="600"/>
      <c r="AD354" s="600"/>
      <c r="AE354" s="600"/>
      <c r="AF354" s="600"/>
      <c r="AG354" s="600"/>
      <c r="AH354" s="600"/>
      <c r="AI354" s="600"/>
      <c r="AJ354" s="600"/>
    </row>
    <row r="355" spans="1:36" s="263" customFormat="1" ht="9" customHeight="1" x14ac:dyDescent="0.25">
      <c r="A355" s="267" t="s">
        <v>37</v>
      </c>
      <c r="B355" s="599">
        <f t="shared" si="18"/>
        <v>484590</v>
      </c>
      <c r="C355" s="604">
        <v>172668</v>
      </c>
      <c r="D355" s="599"/>
      <c r="E355" s="599">
        <f t="shared" si="19"/>
        <v>251183</v>
      </c>
      <c r="F355" s="604">
        <v>81809</v>
      </c>
      <c r="G355" s="604">
        <v>63574</v>
      </c>
      <c r="H355" s="599">
        <v>105800</v>
      </c>
      <c r="I355" s="599"/>
      <c r="J355" s="604">
        <v>2672</v>
      </c>
      <c r="K355" s="604">
        <v>53953</v>
      </c>
      <c r="L355" s="604">
        <v>4114</v>
      </c>
      <c r="Z355" s="600"/>
      <c r="AA355" s="600"/>
      <c r="AB355" s="600"/>
      <c r="AC355" s="600"/>
      <c r="AD355" s="600"/>
      <c r="AE355" s="600"/>
      <c r="AF355" s="600"/>
      <c r="AG355" s="600"/>
      <c r="AH355" s="600"/>
      <c r="AI355" s="600"/>
      <c r="AJ355" s="600"/>
    </row>
    <row r="356" spans="1:36" s="263" customFormat="1" ht="9" customHeight="1" x14ac:dyDescent="0.25">
      <c r="A356" s="263" t="s">
        <v>38</v>
      </c>
      <c r="B356" s="598">
        <f t="shared" si="18"/>
        <v>118043</v>
      </c>
      <c r="C356" s="600">
        <v>57225</v>
      </c>
      <c r="D356" s="598"/>
      <c r="E356" s="598">
        <f t="shared" si="19"/>
        <v>49448</v>
      </c>
      <c r="F356" s="600">
        <v>20379</v>
      </c>
      <c r="G356" s="600">
        <v>9359</v>
      </c>
      <c r="H356" s="598">
        <v>19710</v>
      </c>
      <c r="I356" s="598"/>
      <c r="J356" s="600">
        <v>309</v>
      </c>
      <c r="K356" s="600">
        <v>9880</v>
      </c>
      <c r="L356" s="600">
        <v>1181</v>
      </c>
      <c r="Z356" s="600"/>
      <c r="AA356" s="600"/>
      <c r="AB356" s="600"/>
      <c r="AC356" s="600"/>
      <c r="AD356" s="600"/>
      <c r="AE356" s="600"/>
      <c r="AF356" s="600"/>
      <c r="AG356" s="600"/>
      <c r="AH356" s="600"/>
      <c r="AI356" s="600"/>
      <c r="AJ356" s="600"/>
    </row>
    <row r="357" spans="1:36" s="263" customFormat="1" ht="9" customHeight="1" x14ac:dyDescent="0.25">
      <c r="A357" s="263" t="s">
        <v>39</v>
      </c>
      <c r="B357" s="598">
        <f t="shared" si="18"/>
        <v>16509</v>
      </c>
      <c r="C357" s="600">
        <v>5628</v>
      </c>
      <c r="D357" s="598"/>
      <c r="E357" s="598">
        <f t="shared" si="19"/>
        <v>8503</v>
      </c>
      <c r="F357" s="600">
        <v>4081</v>
      </c>
      <c r="G357" s="600">
        <v>1238</v>
      </c>
      <c r="H357" s="598">
        <v>3184</v>
      </c>
      <c r="I357" s="598"/>
      <c r="J357" s="600">
        <v>100</v>
      </c>
      <c r="K357" s="600">
        <v>2278</v>
      </c>
      <c r="L357" s="600">
        <v>0</v>
      </c>
      <c r="Z357" s="600"/>
      <c r="AA357" s="600"/>
      <c r="AB357" s="600"/>
      <c r="AC357" s="600"/>
      <c r="AD357" s="600"/>
      <c r="AE357" s="600"/>
      <c r="AF357" s="600"/>
      <c r="AG357" s="600"/>
      <c r="AH357" s="600"/>
      <c r="AI357" s="600"/>
      <c r="AJ357" s="600"/>
    </row>
    <row r="358" spans="1:36" s="263" customFormat="1" ht="9" customHeight="1" x14ac:dyDescent="0.25">
      <c r="A358" s="263" t="s">
        <v>40</v>
      </c>
      <c r="B358" s="598">
        <f t="shared" si="18"/>
        <v>1072355</v>
      </c>
      <c r="C358" s="600">
        <v>272655</v>
      </c>
      <c r="D358" s="598"/>
      <c r="E358" s="598">
        <f t="shared" si="19"/>
        <v>470890</v>
      </c>
      <c r="F358" s="600">
        <v>112064</v>
      </c>
      <c r="G358" s="600">
        <v>141339</v>
      </c>
      <c r="H358" s="598">
        <v>217487</v>
      </c>
      <c r="I358" s="598"/>
      <c r="J358" s="600">
        <v>25262</v>
      </c>
      <c r="K358" s="600">
        <v>245297</v>
      </c>
      <c r="L358" s="600">
        <v>58251</v>
      </c>
      <c r="Z358" s="600"/>
      <c r="AA358" s="600"/>
      <c r="AB358" s="600"/>
      <c r="AC358" s="600"/>
      <c r="AD358" s="600"/>
      <c r="AE358" s="600"/>
      <c r="AF358" s="600"/>
      <c r="AG358" s="600"/>
      <c r="AH358" s="600"/>
      <c r="AI358" s="600"/>
      <c r="AJ358" s="600"/>
    </row>
    <row r="359" spans="1:36" s="263" customFormat="1" ht="9" customHeight="1" x14ac:dyDescent="0.25">
      <c r="A359" s="267" t="s">
        <v>41</v>
      </c>
      <c r="B359" s="599">
        <f t="shared" si="18"/>
        <v>307516</v>
      </c>
      <c r="C359" s="604">
        <v>145152</v>
      </c>
      <c r="D359" s="599"/>
      <c r="E359" s="599">
        <f t="shared" si="19"/>
        <v>134338</v>
      </c>
      <c r="F359" s="604">
        <v>39439</v>
      </c>
      <c r="G359" s="604">
        <v>27495</v>
      </c>
      <c r="H359" s="599">
        <v>67404</v>
      </c>
      <c r="I359" s="599"/>
      <c r="J359" s="604">
        <v>890</v>
      </c>
      <c r="K359" s="604">
        <v>11630</v>
      </c>
      <c r="L359" s="604">
        <v>15506</v>
      </c>
      <c r="Z359" s="600"/>
      <c r="AA359" s="600"/>
      <c r="AB359" s="600"/>
      <c r="AC359" s="600"/>
      <c r="AD359" s="600"/>
      <c r="AE359" s="600"/>
      <c r="AF359" s="600"/>
      <c r="AG359" s="600"/>
      <c r="AH359" s="600"/>
      <c r="AI359" s="600"/>
      <c r="AJ359" s="600"/>
    </row>
    <row r="360" spans="1:36" s="263" customFormat="1" ht="9" customHeight="1" x14ac:dyDescent="0.25">
      <c r="A360" s="263" t="s">
        <v>42</v>
      </c>
      <c r="B360" s="598">
        <f t="shared" si="18"/>
        <v>238672</v>
      </c>
      <c r="C360" s="600">
        <v>85780</v>
      </c>
      <c r="D360" s="598"/>
      <c r="E360" s="598">
        <f t="shared" si="19"/>
        <v>126344</v>
      </c>
      <c r="F360" s="600">
        <v>28385</v>
      </c>
      <c r="G360" s="600">
        <v>34775</v>
      </c>
      <c r="H360" s="598">
        <v>63184</v>
      </c>
      <c r="I360" s="598"/>
      <c r="J360" s="600">
        <v>985</v>
      </c>
      <c r="K360" s="600">
        <v>19854</v>
      </c>
      <c r="L360" s="600">
        <v>5709</v>
      </c>
      <c r="Z360" s="600"/>
      <c r="AA360" s="600"/>
      <c r="AB360" s="600"/>
      <c r="AC360" s="600"/>
      <c r="AD360" s="600"/>
      <c r="AE360" s="600"/>
      <c r="AF360" s="600"/>
      <c r="AG360" s="600"/>
      <c r="AH360" s="600"/>
      <c r="AI360" s="600"/>
      <c r="AJ360" s="600"/>
    </row>
    <row r="361" spans="1:36" s="263" customFormat="1" ht="9" customHeight="1" x14ac:dyDescent="0.25">
      <c r="A361" s="263" t="s">
        <v>43</v>
      </c>
      <c r="B361" s="598">
        <f t="shared" si="18"/>
        <v>217310</v>
      </c>
      <c r="C361" s="600">
        <v>82900</v>
      </c>
      <c r="D361" s="598"/>
      <c r="E361" s="598">
        <f t="shared" si="19"/>
        <v>108286</v>
      </c>
      <c r="F361" s="600">
        <v>23393</v>
      </c>
      <c r="G361" s="600">
        <v>17904</v>
      </c>
      <c r="H361" s="598">
        <v>66989</v>
      </c>
      <c r="I361" s="598"/>
      <c r="J361" s="600">
        <v>165</v>
      </c>
      <c r="K361" s="600">
        <v>23666</v>
      </c>
      <c r="L361" s="600">
        <v>2293</v>
      </c>
      <c r="Z361" s="600"/>
      <c r="AA361" s="600"/>
      <c r="AB361" s="600"/>
      <c r="AC361" s="600"/>
      <c r="AD361" s="600"/>
      <c r="AE361" s="600"/>
      <c r="AF361" s="600"/>
      <c r="AG361" s="600"/>
      <c r="AH361" s="600"/>
      <c r="AI361" s="600"/>
      <c r="AJ361" s="600"/>
    </row>
    <row r="362" spans="1:36" s="263" customFormat="1" ht="9" customHeight="1" x14ac:dyDescent="0.25">
      <c r="A362" s="263" t="s">
        <v>44</v>
      </c>
      <c r="B362" s="598">
        <f t="shared" si="18"/>
        <v>159512</v>
      </c>
      <c r="C362" s="600">
        <v>50944</v>
      </c>
      <c r="D362" s="598"/>
      <c r="E362" s="598">
        <f t="shared" si="19"/>
        <v>91535</v>
      </c>
      <c r="F362" s="600">
        <v>36429</v>
      </c>
      <c r="G362" s="600">
        <v>17894</v>
      </c>
      <c r="H362" s="598">
        <v>37212</v>
      </c>
      <c r="I362" s="598"/>
      <c r="J362" s="600">
        <v>155</v>
      </c>
      <c r="K362" s="600">
        <v>10111</v>
      </c>
      <c r="L362" s="600">
        <v>6767</v>
      </c>
      <c r="Z362" s="600"/>
      <c r="AA362" s="600"/>
      <c r="AB362" s="600"/>
      <c r="AC362" s="600"/>
      <c r="AD362" s="600"/>
      <c r="AE362" s="600"/>
      <c r="AF362" s="600"/>
      <c r="AG362" s="600"/>
      <c r="AH362" s="600"/>
      <c r="AI362" s="600"/>
      <c r="AJ362" s="600"/>
    </row>
    <row r="363" spans="1:36" s="263" customFormat="1" ht="9" customHeight="1" x14ac:dyDescent="0.25">
      <c r="A363" s="267" t="s">
        <v>45</v>
      </c>
      <c r="B363" s="599">
        <f t="shared" si="18"/>
        <v>109028</v>
      </c>
      <c r="C363" s="604">
        <v>43155</v>
      </c>
      <c r="D363" s="599"/>
      <c r="E363" s="599">
        <f t="shared" si="19"/>
        <v>39582</v>
      </c>
      <c r="F363" s="604">
        <v>14677</v>
      </c>
      <c r="G363" s="604">
        <v>9906</v>
      </c>
      <c r="H363" s="599">
        <v>14999</v>
      </c>
      <c r="I363" s="599"/>
      <c r="J363" s="604">
        <v>412</v>
      </c>
      <c r="K363" s="604">
        <v>24425</v>
      </c>
      <c r="L363" s="604">
        <v>1454</v>
      </c>
      <c r="Z363" s="600"/>
      <c r="AA363" s="600"/>
      <c r="AB363" s="600"/>
      <c r="AC363" s="600"/>
      <c r="AD363" s="600"/>
      <c r="AE363" s="600"/>
      <c r="AF363" s="600"/>
      <c r="AG363" s="600"/>
      <c r="AH363" s="600"/>
      <c r="AI363" s="600"/>
      <c r="AJ363" s="600"/>
    </row>
    <row r="364" spans="1:36" s="263" customFormat="1" ht="9" customHeight="1" x14ac:dyDescent="0.25">
      <c r="A364" s="263" t="s">
        <v>46</v>
      </c>
      <c r="B364" s="598">
        <f t="shared" si="18"/>
        <v>197683</v>
      </c>
      <c r="C364" s="600">
        <v>43688</v>
      </c>
      <c r="D364" s="598"/>
      <c r="E364" s="598">
        <f t="shared" si="19"/>
        <v>135741</v>
      </c>
      <c r="F364" s="600">
        <v>32134</v>
      </c>
      <c r="G364" s="600">
        <v>28214</v>
      </c>
      <c r="H364" s="598">
        <v>75393</v>
      </c>
      <c r="I364" s="598"/>
      <c r="J364" s="600">
        <v>1404</v>
      </c>
      <c r="K364" s="600">
        <v>14406</v>
      </c>
      <c r="L364" s="600">
        <v>2444</v>
      </c>
      <c r="Z364" s="600"/>
      <c r="AA364" s="600"/>
      <c r="AB364" s="600"/>
      <c r="AC364" s="600"/>
      <c r="AD364" s="600"/>
      <c r="AE364" s="600"/>
      <c r="AF364" s="600"/>
      <c r="AG364" s="600"/>
      <c r="AH364" s="600"/>
      <c r="AI364" s="600"/>
      <c r="AJ364" s="600"/>
    </row>
    <row r="365" spans="1:36" s="263" customFormat="1" ht="9" customHeight="1" x14ac:dyDescent="0.25">
      <c r="A365" s="263" t="s">
        <v>47</v>
      </c>
      <c r="B365" s="598">
        <f t="shared" si="18"/>
        <v>241158</v>
      </c>
      <c r="C365" s="600">
        <v>111292</v>
      </c>
      <c r="D365" s="598"/>
      <c r="E365" s="598">
        <f t="shared" si="19"/>
        <v>94829</v>
      </c>
      <c r="F365" s="600">
        <v>21317</v>
      </c>
      <c r="G365" s="600">
        <v>24775</v>
      </c>
      <c r="H365" s="598">
        <v>48737</v>
      </c>
      <c r="I365" s="598"/>
      <c r="J365" s="600">
        <v>1356</v>
      </c>
      <c r="K365" s="600">
        <v>28836</v>
      </c>
      <c r="L365" s="600">
        <v>4845</v>
      </c>
      <c r="Z365" s="600"/>
      <c r="AA365" s="600"/>
      <c r="AB365" s="600"/>
      <c r="AC365" s="600"/>
      <c r="AD365" s="600"/>
      <c r="AE365" s="600"/>
      <c r="AF365" s="600"/>
      <c r="AG365" s="600"/>
      <c r="AH365" s="600"/>
      <c r="AI365" s="600"/>
      <c r="AJ365" s="600"/>
    </row>
    <row r="366" spans="1:36" s="263" customFormat="1" ht="9" customHeight="1" x14ac:dyDescent="0.25">
      <c r="A366" s="263" t="s">
        <v>48</v>
      </c>
      <c r="B366" s="598">
        <f t="shared" si="18"/>
        <v>108931</v>
      </c>
      <c r="C366" s="600">
        <v>46488</v>
      </c>
      <c r="D366" s="598"/>
      <c r="E366" s="598">
        <f t="shared" si="19"/>
        <v>33982</v>
      </c>
      <c r="F366" s="600">
        <v>12001</v>
      </c>
      <c r="G366" s="600">
        <v>8400</v>
      </c>
      <c r="H366" s="598">
        <v>13581</v>
      </c>
      <c r="I366" s="598"/>
      <c r="J366" s="600">
        <v>1150</v>
      </c>
      <c r="K366" s="600">
        <v>27061</v>
      </c>
      <c r="L366" s="600">
        <v>250</v>
      </c>
      <c r="Z366" s="600"/>
      <c r="AA366" s="600"/>
      <c r="AB366" s="600"/>
      <c r="AC366" s="600"/>
      <c r="AD366" s="600"/>
      <c r="AE366" s="600"/>
      <c r="AF366" s="600"/>
      <c r="AG366" s="600"/>
      <c r="AH366" s="600"/>
      <c r="AI366" s="600"/>
      <c r="AJ366" s="600"/>
    </row>
    <row r="367" spans="1:36" s="263" customFormat="1" ht="9" customHeight="1" x14ac:dyDescent="0.25">
      <c r="A367" s="267" t="s">
        <v>49</v>
      </c>
      <c r="B367" s="599">
        <f t="shared" si="18"/>
        <v>137658</v>
      </c>
      <c r="C367" s="604">
        <v>62698</v>
      </c>
      <c r="D367" s="599"/>
      <c r="E367" s="599">
        <f t="shared" si="19"/>
        <v>48748</v>
      </c>
      <c r="F367" s="604">
        <v>15121</v>
      </c>
      <c r="G367" s="604">
        <v>17052</v>
      </c>
      <c r="H367" s="599">
        <v>16575</v>
      </c>
      <c r="I367" s="599"/>
      <c r="J367" s="604">
        <v>3678</v>
      </c>
      <c r="K367" s="604">
        <v>20035</v>
      </c>
      <c r="L367" s="604">
        <v>2499</v>
      </c>
      <c r="Z367" s="600"/>
      <c r="AA367" s="600"/>
      <c r="AB367" s="600"/>
      <c r="AC367" s="600"/>
      <c r="AD367" s="600"/>
      <c r="AE367" s="600"/>
      <c r="AF367" s="600"/>
      <c r="AG367" s="600"/>
      <c r="AH367" s="600"/>
      <c r="AI367" s="600"/>
      <c r="AJ367" s="600"/>
    </row>
    <row r="368" spans="1:36" s="263" customFormat="1" ht="9" customHeight="1" x14ac:dyDescent="0.25">
      <c r="A368" s="263" t="s">
        <v>50</v>
      </c>
      <c r="B368" s="598">
        <f t="shared" si="18"/>
        <v>72367</v>
      </c>
      <c r="C368" s="600">
        <v>30279</v>
      </c>
      <c r="D368" s="598"/>
      <c r="E368" s="598">
        <f t="shared" si="19"/>
        <v>39472</v>
      </c>
      <c r="F368" s="600">
        <v>14276</v>
      </c>
      <c r="G368" s="600">
        <v>14770</v>
      </c>
      <c r="H368" s="598">
        <v>10426</v>
      </c>
      <c r="I368" s="598"/>
      <c r="J368" s="600">
        <v>78</v>
      </c>
      <c r="K368" s="600">
        <v>1898</v>
      </c>
      <c r="L368" s="600">
        <v>640</v>
      </c>
      <c r="Z368" s="600"/>
      <c r="AA368" s="600"/>
      <c r="AB368" s="600"/>
      <c r="AC368" s="600"/>
      <c r="AD368" s="600"/>
      <c r="AE368" s="600"/>
      <c r="AF368" s="600"/>
      <c r="AG368" s="600"/>
      <c r="AH368" s="600"/>
      <c r="AI368" s="600"/>
      <c r="AJ368" s="600"/>
    </row>
    <row r="369" spans="1:36" s="263" customFormat="1" ht="9" customHeight="1" x14ac:dyDescent="0.25">
      <c r="A369" s="263" t="s">
        <v>51</v>
      </c>
      <c r="B369" s="598">
        <f t="shared" si="18"/>
        <v>407618</v>
      </c>
      <c r="C369" s="600">
        <v>184248</v>
      </c>
      <c r="D369" s="598"/>
      <c r="E369" s="598">
        <f t="shared" si="19"/>
        <v>163486</v>
      </c>
      <c r="F369" s="600">
        <v>57966</v>
      </c>
      <c r="G369" s="600">
        <v>36461</v>
      </c>
      <c r="H369" s="598">
        <v>69059</v>
      </c>
      <c r="I369" s="598"/>
      <c r="J369" s="600">
        <v>1838</v>
      </c>
      <c r="K369" s="600">
        <v>48102</v>
      </c>
      <c r="L369" s="600">
        <v>9944</v>
      </c>
      <c r="Z369" s="600"/>
      <c r="AA369" s="600"/>
      <c r="AB369" s="600"/>
      <c r="AC369" s="600"/>
      <c r="AD369" s="600"/>
      <c r="AE369" s="600"/>
      <c r="AF369" s="600"/>
      <c r="AG369" s="600"/>
      <c r="AH369" s="600"/>
      <c r="AI369" s="600"/>
      <c r="AJ369" s="600"/>
    </row>
    <row r="370" spans="1:36" s="263" customFormat="1" ht="9" customHeight="1" x14ac:dyDescent="0.25">
      <c r="A370" s="263" t="s">
        <v>52</v>
      </c>
      <c r="B370" s="598">
        <f t="shared" si="18"/>
        <v>172166</v>
      </c>
      <c r="C370" s="600">
        <v>44859</v>
      </c>
      <c r="D370" s="598"/>
      <c r="E370" s="598">
        <f t="shared" si="19"/>
        <v>99514</v>
      </c>
      <c r="F370" s="600">
        <v>31839</v>
      </c>
      <c r="G370" s="600">
        <v>39277</v>
      </c>
      <c r="H370" s="598">
        <v>28398</v>
      </c>
      <c r="I370" s="598"/>
      <c r="J370" s="600">
        <v>76</v>
      </c>
      <c r="K370" s="600">
        <v>21098</v>
      </c>
      <c r="L370" s="600">
        <v>6619</v>
      </c>
      <c r="Z370" s="600"/>
      <c r="AA370" s="600"/>
      <c r="AB370" s="600"/>
      <c r="AC370" s="600"/>
      <c r="AD370" s="600"/>
      <c r="AE370" s="600"/>
      <c r="AF370" s="600"/>
      <c r="AG370" s="600"/>
      <c r="AH370" s="600"/>
      <c r="AI370" s="600"/>
      <c r="AJ370" s="600"/>
    </row>
    <row r="371" spans="1:36" s="263" customFormat="1" ht="9" customHeight="1" x14ac:dyDescent="0.25">
      <c r="A371" s="267" t="s">
        <v>53</v>
      </c>
      <c r="B371" s="599">
        <f t="shared" si="18"/>
        <v>57643</v>
      </c>
      <c r="C371" s="604">
        <v>19305</v>
      </c>
      <c r="D371" s="599"/>
      <c r="E371" s="599">
        <f t="shared" si="19"/>
        <v>32118</v>
      </c>
      <c r="F371" s="604">
        <v>7922</v>
      </c>
      <c r="G371" s="604">
        <v>7071</v>
      </c>
      <c r="H371" s="599">
        <v>17125</v>
      </c>
      <c r="I371" s="599"/>
      <c r="J371" s="604">
        <v>604</v>
      </c>
      <c r="K371" s="604">
        <v>3074</v>
      </c>
      <c r="L371" s="604">
        <v>2542</v>
      </c>
      <c r="Z371" s="600"/>
      <c r="AA371" s="600"/>
      <c r="AB371" s="600"/>
      <c r="AC371" s="600"/>
      <c r="AD371" s="600"/>
      <c r="AE371" s="600"/>
      <c r="AF371" s="600"/>
      <c r="AG371" s="600"/>
      <c r="AH371" s="600"/>
      <c r="AI371" s="600"/>
      <c r="AJ371" s="600"/>
    </row>
    <row r="372" spans="1:36" s="263" customFormat="1" ht="9" customHeight="1" x14ac:dyDescent="0.25">
      <c r="A372" s="286"/>
      <c r="B372" s="613"/>
      <c r="C372" s="605"/>
      <c r="D372" s="613"/>
      <c r="E372" s="613"/>
      <c r="F372" s="605"/>
      <c r="G372" s="605"/>
      <c r="H372" s="613"/>
      <c r="I372" s="613"/>
      <c r="J372" s="605"/>
      <c r="K372" s="605"/>
      <c r="L372" s="605"/>
      <c r="M372" s="286"/>
      <c r="Z372" s="600"/>
      <c r="AA372" s="600"/>
      <c r="AB372" s="600"/>
      <c r="AC372" s="600"/>
      <c r="AD372" s="600"/>
      <c r="AE372" s="600"/>
      <c r="AF372" s="600"/>
      <c r="AG372" s="600"/>
      <c r="AH372" s="600"/>
      <c r="AI372" s="600"/>
      <c r="AJ372" s="600"/>
    </row>
    <row r="373" spans="1:36" s="263" customFormat="1" ht="9" customHeight="1" x14ac:dyDescent="0.25">
      <c r="A373" s="601">
        <v>2005</v>
      </c>
      <c r="B373" s="632"/>
      <c r="C373" s="550"/>
      <c r="D373" s="550"/>
      <c r="E373" s="632"/>
      <c r="F373" s="550"/>
      <c r="G373" s="550"/>
      <c r="H373" s="550"/>
      <c r="I373" s="550"/>
      <c r="J373" s="550"/>
      <c r="K373" s="550"/>
      <c r="L373" s="550"/>
      <c r="Z373" s="600"/>
      <c r="AA373" s="600"/>
      <c r="AB373" s="600"/>
      <c r="AC373" s="600"/>
      <c r="AD373" s="600"/>
      <c r="AE373" s="600"/>
      <c r="AF373" s="600"/>
      <c r="AG373" s="600"/>
      <c r="AH373" s="600"/>
      <c r="AI373" s="600"/>
      <c r="AJ373" s="600"/>
    </row>
    <row r="374" spans="1:36" s="263" customFormat="1" ht="9" customHeight="1" x14ac:dyDescent="0.25">
      <c r="A374" s="265" t="s">
        <v>21</v>
      </c>
      <c r="B374" s="597">
        <f>SUM(B376:B407)</f>
        <v>12076886</v>
      </c>
      <c r="C374" s="597">
        <f>SUM(C376:C407)</f>
        <v>4386229</v>
      </c>
      <c r="D374" s="597"/>
      <c r="E374" s="597">
        <f>SUM(E376:E407)</f>
        <v>5894247</v>
      </c>
      <c r="F374" s="597">
        <f>SUM(F376:F407)</f>
        <v>1522058</v>
      </c>
      <c r="G374" s="597">
        <f>SUM(G376:G407)</f>
        <v>1410316</v>
      </c>
      <c r="H374" s="597">
        <f>SUM(H376:H407)</f>
        <v>2961873</v>
      </c>
      <c r="I374" s="597"/>
      <c r="J374" s="597">
        <f>SUM(J376:J407)</f>
        <v>137089</v>
      </c>
      <c r="K374" s="597">
        <f>SUM(K376:K407)</f>
        <v>1363050</v>
      </c>
      <c r="L374" s="597">
        <f>SUM(L376:L407)</f>
        <v>296271</v>
      </c>
      <c r="Z374" s="600"/>
      <c r="AA374" s="600"/>
      <c r="AB374" s="600"/>
      <c r="AC374" s="600"/>
      <c r="AD374" s="600"/>
      <c r="AE374" s="600"/>
      <c r="AF374" s="600"/>
      <c r="AG374" s="600"/>
      <c r="AH374" s="600"/>
      <c r="AI374" s="600"/>
      <c r="AJ374" s="600"/>
    </row>
    <row r="375" spans="1:36" s="263" customFormat="1" ht="3.95" customHeight="1" x14ac:dyDescent="0.25">
      <c r="A375" s="265"/>
      <c r="B375" s="597"/>
      <c r="C375" s="597"/>
      <c r="D375" s="597"/>
      <c r="E375" s="597"/>
      <c r="F375" s="597"/>
      <c r="G375" s="597"/>
      <c r="H375" s="597"/>
      <c r="I375" s="597"/>
      <c r="J375" s="597"/>
      <c r="K375" s="597"/>
      <c r="L375" s="597"/>
      <c r="Z375" s="600"/>
      <c r="AA375" s="600"/>
      <c r="AB375" s="600"/>
      <c r="AC375" s="600"/>
      <c r="AD375" s="600"/>
      <c r="AE375" s="600"/>
      <c r="AF375" s="600"/>
      <c r="AG375" s="600"/>
      <c r="AH375" s="600"/>
      <c r="AI375" s="600"/>
      <c r="AJ375" s="600"/>
    </row>
    <row r="376" spans="1:36" s="263" customFormat="1" ht="9" customHeight="1" x14ac:dyDescent="0.25">
      <c r="A376" s="550" t="s">
        <v>23</v>
      </c>
      <c r="B376" s="638">
        <f t="shared" ref="B376:B407" si="20">SUM(C376+E376+J376+K376+L376)</f>
        <v>75069</v>
      </c>
      <c r="C376" s="632">
        <v>28767</v>
      </c>
      <c r="D376" s="638"/>
      <c r="E376" s="638">
        <f t="shared" ref="E376:E407" si="21">SUM(F376:H376)</f>
        <v>41129</v>
      </c>
      <c r="F376" s="632">
        <v>11792</v>
      </c>
      <c r="G376" s="632">
        <v>8166</v>
      </c>
      <c r="H376" s="638">
        <v>21171</v>
      </c>
      <c r="I376" s="638"/>
      <c r="J376" s="632">
        <v>132</v>
      </c>
      <c r="K376" s="632">
        <v>3920</v>
      </c>
      <c r="L376" s="632">
        <v>1121</v>
      </c>
      <c r="Z376" s="600"/>
      <c r="AA376" s="600"/>
      <c r="AB376" s="600"/>
      <c r="AC376" s="600"/>
      <c r="AD376" s="600"/>
      <c r="AE376" s="600"/>
      <c r="AF376" s="600"/>
      <c r="AG376" s="600"/>
      <c r="AH376" s="600"/>
      <c r="AI376" s="600"/>
      <c r="AJ376" s="600"/>
    </row>
    <row r="377" spans="1:36" s="263" customFormat="1" ht="9" customHeight="1" x14ac:dyDescent="0.25">
      <c r="A377" s="550" t="s">
        <v>24</v>
      </c>
      <c r="B377" s="638">
        <f t="shared" si="20"/>
        <v>697732</v>
      </c>
      <c r="C377" s="638">
        <v>284862</v>
      </c>
      <c r="D377" s="638"/>
      <c r="E377" s="638">
        <f t="shared" si="21"/>
        <v>368364</v>
      </c>
      <c r="F377" s="638">
        <v>83693</v>
      </c>
      <c r="G377" s="638">
        <v>108636</v>
      </c>
      <c r="H377" s="638">
        <v>176035</v>
      </c>
      <c r="I377" s="638"/>
      <c r="J377" s="638">
        <v>1948</v>
      </c>
      <c r="K377" s="638">
        <v>37292</v>
      </c>
      <c r="L377" s="638">
        <v>5266</v>
      </c>
      <c r="Z377" s="600"/>
      <c r="AA377" s="600"/>
      <c r="AB377" s="600"/>
      <c r="AC377" s="600"/>
      <c r="AD377" s="600"/>
      <c r="AE377" s="600"/>
      <c r="AF377" s="600"/>
      <c r="AG377" s="600"/>
      <c r="AH377" s="600"/>
      <c r="AI377" s="600"/>
      <c r="AJ377" s="600"/>
    </row>
    <row r="378" spans="1:36" s="263" customFormat="1" ht="9" customHeight="1" x14ac:dyDescent="0.25">
      <c r="A378" s="550" t="s">
        <v>25</v>
      </c>
      <c r="B378" s="638">
        <f t="shared" si="20"/>
        <v>49259</v>
      </c>
      <c r="C378" s="632">
        <v>23357</v>
      </c>
      <c r="D378" s="638"/>
      <c r="E378" s="638">
        <f t="shared" si="21"/>
        <v>18452</v>
      </c>
      <c r="F378" s="632">
        <v>3716</v>
      </c>
      <c r="G378" s="632">
        <v>2694</v>
      </c>
      <c r="H378" s="638">
        <v>12042</v>
      </c>
      <c r="I378" s="638"/>
      <c r="J378" s="632">
        <v>943</v>
      </c>
      <c r="K378" s="632">
        <v>3783</v>
      </c>
      <c r="L378" s="632">
        <v>2724</v>
      </c>
      <c r="Z378" s="600"/>
      <c r="AA378" s="600"/>
      <c r="AB378" s="600"/>
      <c r="AC378" s="600"/>
      <c r="AD378" s="600"/>
      <c r="AE378" s="600"/>
      <c r="AF378" s="600"/>
      <c r="AG378" s="600"/>
      <c r="AH378" s="600"/>
      <c r="AI378" s="600"/>
      <c r="AJ378" s="600"/>
    </row>
    <row r="379" spans="1:36" s="263" customFormat="1" ht="9" customHeight="1" x14ac:dyDescent="0.25">
      <c r="A379" s="603" t="s">
        <v>26</v>
      </c>
      <c r="B379" s="640">
        <f t="shared" si="20"/>
        <v>17872</v>
      </c>
      <c r="C379" s="634">
        <v>5784</v>
      </c>
      <c r="D379" s="640"/>
      <c r="E379" s="640">
        <f t="shared" si="21"/>
        <v>6805</v>
      </c>
      <c r="F379" s="634">
        <v>2513</v>
      </c>
      <c r="G379" s="634">
        <v>2622</v>
      </c>
      <c r="H379" s="640">
        <v>1670</v>
      </c>
      <c r="I379" s="640"/>
      <c r="J379" s="634">
        <v>140</v>
      </c>
      <c r="K379" s="634">
        <v>5143</v>
      </c>
      <c r="L379" s="634">
        <v>0</v>
      </c>
      <c r="Z379" s="600"/>
      <c r="AA379" s="600"/>
      <c r="AB379" s="600"/>
      <c r="AC379" s="600"/>
      <c r="AD379" s="600"/>
      <c r="AE379" s="600"/>
      <c r="AF379" s="600"/>
      <c r="AG379" s="600"/>
      <c r="AH379" s="600"/>
      <c r="AI379" s="600"/>
      <c r="AJ379" s="600"/>
    </row>
    <row r="380" spans="1:36" s="263" customFormat="1" ht="9" customHeight="1" x14ac:dyDescent="0.25">
      <c r="A380" s="550" t="s">
        <v>27</v>
      </c>
      <c r="B380" s="638">
        <f t="shared" si="20"/>
        <v>132945</v>
      </c>
      <c r="C380" s="632">
        <v>26983</v>
      </c>
      <c r="D380" s="638"/>
      <c r="E380" s="638">
        <f t="shared" si="21"/>
        <v>74468</v>
      </c>
      <c r="F380" s="632">
        <v>21505</v>
      </c>
      <c r="G380" s="632">
        <v>21954</v>
      </c>
      <c r="H380" s="638">
        <v>31009</v>
      </c>
      <c r="I380" s="638"/>
      <c r="J380" s="632">
        <v>1153</v>
      </c>
      <c r="K380" s="632">
        <v>29467</v>
      </c>
      <c r="L380" s="632">
        <v>874</v>
      </c>
      <c r="Z380" s="600"/>
      <c r="AA380" s="600"/>
      <c r="AB380" s="600"/>
      <c r="AC380" s="600"/>
      <c r="AD380" s="600"/>
      <c r="AE380" s="600"/>
      <c r="AF380" s="600"/>
      <c r="AG380" s="600"/>
      <c r="AH380" s="600"/>
      <c r="AI380" s="600"/>
      <c r="AJ380" s="600"/>
    </row>
    <row r="381" spans="1:36" s="263" customFormat="1" ht="9" customHeight="1" x14ac:dyDescent="0.25">
      <c r="A381" s="550" t="s">
        <v>28</v>
      </c>
      <c r="B381" s="638">
        <f t="shared" si="20"/>
        <v>27145</v>
      </c>
      <c r="C381" s="632">
        <v>12967</v>
      </c>
      <c r="D381" s="638"/>
      <c r="E381" s="638">
        <f t="shared" si="21"/>
        <v>12611</v>
      </c>
      <c r="F381" s="632">
        <v>2945</v>
      </c>
      <c r="G381" s="632">
        <v>5175</v>
      </c>
      <c r="H381" s="638">
        <v>4491</v>
      </c>
      <c r="I381" s="638"/>
      <c r="J381" s="632">
        <v>34</v>
      </c>
      <c r="K381" s="632">
        <v>1451</v>
      </c>
      <c r="L381" s="632">
        <v>82</v>
      </c>
      <c r="Z381" s="600"/>
      <c r="AA381" s="600"/>
      <c r="AB381" s="600"/>
      <c r="AC381" s="600"/>
      <c r="AD381" s="600"/>
      <c r="AE381" s="600"/>
      <c r="AF381" s="600"/>
      <c r="AG381" s="600"/>
      <c r="AH381" s="600"/>
      <c r="AI381" s="600"/>
      <c r="AJ381" s="600"/>
    </row>
    <row r="382" spans="1:36" s="263" customFormat="1" ht="9" customHeight="1" x14ac:dyDescent="0.25">
      <c r="A382" s="550" t="s">
        <v>29</v>
      </c>
      <c r="B382" s="638">
        <f t="shared" si="20"/>
        <v>189810</v>
      </c>
      <c r="C382" s="632">
        <v>90376</v>
      </c>
      <c r="D382" s="638"/>
      <c r="E382" s="638">
        <f t="shared" si="21"/>
        <v>74596</v>
      </c>
      <c r="F382" s="632">
        <v>26187</v>
      </c>
      <c r="G382" s="632">
        <v>16300</v>
      </c>
      <c r="H382" s="638">
        <v>32109</v>
      </c>
      <c r="I382" s="638"/>
      <c r="J382" s="632">
        <v>15610</v>
      </c>
      <c r="K382" s="632">
        <v>8377</v>
      </c>
      <c r="L382" s="632">
        <v>851</v>
      </c>
      <c r="Z382" s="600"/>
      <c r="AA382" s="600"/>
      <c r="AB382" s="600"/>
      <c r="AC382" s="600"/>
      <c r="AD382" s="600"/>
      <c r="AE382" s="600"/>
      <c r="AF382" s="600"/>
      <c r="AG382" s="600"/>
      <c r="AH382" s="600"/>
      <c r="AI382" s="600"/>
      <c r="AJ382" s="600"/>
    </row>
    <row r="383" spans="1:36" s="263" customFormat="1" ht="9" customHeight="1" x14ac:dyDescent="0.25">
      <c r="A383" s="603" t="s">
        <v>30</v>
      </c>
      <c r="B383" s="640">
        <f t="shared" si="20"/>
        <v>454574</v>
      </c>
      <c r="C383" s="634">
        <v>171680</v>
      </c>
      <c r="D383" s="640"/>
      <c r="E383" s="640">
        <f t="shared" si="21"/>
        <v>175807</v>
      </c>
      <c r="F383" s="634">
        <v>51876</v>
      </c>
      <c r="G383" s="634">
        <v>66273</v>
      </c>
      <c r="H383" s="640">
        <v>57658</v>
      </c>
      <c r="I383" s="640"/>
      <c r="J383" s="634">
        <v>33036</v>
      </c>
      <c r="K383" s="634">
        <v>69178</v>
      </c>
      <c r="L383" s="634">
        <v>4873</v>
      </c>
      <c r="Z383" s="600"/>
      <c r="AA383" s="600"/>
      <c r="AB383" s="600"/>
      <c r="AC383" s="600"/>
      <c r="AD383" s="600"/>
      <c r="AE383" s="600"/>
      <c r="AF383" s="600"/>
      <c r="AG383" s="600"/>
      <c r="AH383" s="600"/>
      <c r="AI383" s="600"/>
      <c r="AJ383" s="600"/>
    </row>
    <row r="384" spans="1:36" s="263" customFormat="1" ht="9" customHeight="1" x14ac:dyDescent="0.25">
      <c r="A384" s="550" t="s">
        <v>63</v>
      </c>
      <c r="B384" s="638">
        <f t="shared" si="20"/>
        <v>2465930</v>
      </c>
      <c r="C384" s="632">
        <v>611097</v>
      </c>
      <c r="D384" s="638"/>
      <c r="E384" s="638">
        <f t="shared" si="21"/>
        <v>1435086</v>
      </c>
      <c r="F384" s="632">
        <v>205652</v>
      </c>
      <c r="G384" s="632">
        <v>192233</v>
      </c>
      <c r="H384" s="638">
        <v>1037201</v>
      </c>
      <c r="I384" s="638"/>
      <c r="J384" s="632">
        <v>19441</v>
      </c>
      <c r="K384" s="632">
        <v>346894</v>
      </c>
      <c r="L384" s="632">
        <v>53412</v>
      </c>
      <c r="Z384" s="600"/>
      <c r="AA384" s="600"/>
      <c r="AB384" s="600"/>
      <c r="AC384" s="600"/>
      <c r="AD384" s="600"/>
      <c r="AE384" s="600"/>
      <c r="AF384" s="600"/>
      <c r="AG384" s="600"/>
      <c r="AH384" s="600"/>
      <c r="AI384" s="600"/>
      <c r="AJ384" s="600"/>
    </row>
    <row r="385" spans="1:36" s="263" customFormat="1" ht="9" customHeight="1" x14ac:dyDescent="0.25">
      <c r="A385" s="550" t="s">
        <v>31</v>
      </c>
      <c r="B385" s="638">
        <f t="shared" si="20"/>
        <v>39282</v>
      </c>
      <c r="C385" s="632">
        <v>22542</v>
      </c>
      <c r="D385" s="638"/>
      <c r="E385" s="638">
        <f t="shared" si="21"/>
        <v>13917</v>
      </c>
      <c r="F385" s="632">
        <v>4002</v>
      </c>
      <c r="G385" s="632">
        <v>2622</v>
      </c>
      <c r="H385" s="638">
        <v>7293</v>
      </c>
      <c r="I385" s="638"/>
      <c r="J385" s="632">
        <v>498</v>
      </c>
      <c r="K385" s="632">
        <v>2169</v>
      </c>
      <c r="L385" s="632">
        <v>156</v>
      </c>
      <c r="Z385" s="600"/>
      <c r="AA385" s="600"/>
      <c r="AB385" s="600"/>
      <c r="AC385" s="600"/>
      <c r="AD385" s="600"/>
      <c r="AE385" s="600"/>
      <c r="AF385" s="600"/>
      <c r="AG385" s="600"/>
      <c r="AH385" s="600"/>
      <c r="AI385" s="600"/>
      <c r="AJ385" s="600"/>
    </row>
    <row r="386" spans="1:36" s="263" customFormat="1" ht="9" customHeight="1" x14ac:dyDescent="0.25">
      <c r="A386" s="550" t="s">
        <v>32</v>
      </c>
      <c r="B386" s="638">
        <f t="shared" si="20"/>
        <v>523229</v>
      </c>
      <c r="C386" s="632">
        <v>242460</v>
      </c>
      <c r="D386" s="638"/>
      <c r="E386" s="638">
        <f t="shared" si="21"/>
        <v>229865</v>
      </c>
      <c r="F386" s="632">
        <v>73155</v>
      </c>
      <c r="G386" s="632">
        <v>64672</v>
      </c>
      <c r="H386" s="638">
        <v>92038</v>
      </c>
      <c r="I386" s="638"/>
      <c r="J386" s="632">
        <v>1770</v>
      </c>
      <c r="K386" s="632">
        <v>33580</v>
      </c>
      <c r="L386" s="632">
        <v>15554</v>
      </c>
      <c r="Z386" s="600"/>
      <c r="AA386" s="600"/>
      <c r="AB386" s="600"/>
      <c r="AC386" s="600"/>
      <c r="AD386" s="600"/>
      <c r="AE386" s="600"/>
      <c r="AF386" s="600"/>
      <c r="AG386" s="600"/>
      <c r="AH386" s="600"/>
      <c r="AI386" s="600"/>
      <c r="AJ386" s="600"/>
    </row>
    <row r="387" spans="1:36" s="263" customFormat="1" ht="9" customHeight="1" x14ac:dyDescent="0.25">
      <c r="A387" s="603" t="s">
        <v>33</v>
      </c>
      <c r="B387" s="640">
        <f t="shared" si="20"/>
        <v>201645</v>
      </c>
      <c r="C387" s="634">
        <v>93907</v>
      </c>
      <c r="D387" s="640"/>
      <c r="E387" s="640">
        <f t="shared" si="21"/>
        <v>91717</v>
      </c>
      <c r="F387" s="634">
        <v>26254</v>
      </c>
      <c r="G387" s="634">
        <v>27644</v>
      </c>
      <c r="H387" s="640">
        <v>37819</v>
      </c>
      <c r="I387" s="640"/>
      <c r="J387" s="634">
        <v>1504</v>
      </c>
      <c r="K387" s="634">
        <v>9449</v>
      </c>
      <c r="L387" s="634">
        <v>5068</v>
      </c>
      <c r="Z387" s="600"/>
      <c r="AA387" s="600"/>
      <c r="AB387" s="600"/>
      <c r="AC387" s="600"/>
      <c r="AD387" s="600"/>
      <c r="AE387" s="600"/>
      <c r="AF387" s="600"/>
      <c r="AG387" s="600"/>
      <c r="AH387" s="600"/>
      <c r="AI387" s="600"/>
      <c r="AJ387" s="600"/>
    </row>
    <row r="388" spans="1:36" s="263" customFormat="1" ht="9" customHeight="1" x14ac:dyDescent="0.25">
      <c r="A388" s="550" t="s">
        <v>34</v>
      </c>
      <c r="B388" s="638">
        <f t="shared" si="20"/>
        <v>198295</v>
      </c>
      <c r="C388" s="632">
        <v>91999</v>
      </c>
      <c r="D388" s="638"/>
      <c r="E388" s="638">
        <f t="shared" si="21"/>
        <v>85999</v>
      </c>
      <c r="F388" s="632">
        <v>24683</v>
      </c>
      <c r="G388" s="632">
        <v>21954</v>
      </c>
      <c r="H388" s="638">
        <v>39362</v>
      </c>
      <c r="I388" s="638"/>
      <c r="J388" s="632">
        <v>615</v>
      </c>
      <c r="K388" s="632">
        <v>10921</v>
      </c>
      <c r="L388" s="632">
        <v>8761</v>
      </c>
      <c r="Z388" s="600"/>
      <c r="AA388" s="600"/>
      <c r="AB388" s="600"/>
      <c r="AC388" s="600"/>
      <c r="AD388" s="600"/>
      <c r="AE388" s="600"/>
      <c r="AF388" s="600"/>
      <c r="AG388" s="600"/>
      <c r="AH388" s="600"/>
      <c r="AI388" s="600"/>
      <c r="AJ388" s="600"/>
    </row>
    <row r="389" spans="1:36" s="263" customFormat="1" ht="9" customHeight="1" x14ac:dyDescent="0.25">
      <c r="A389" s="550" t="s">
        <v>35</v>
      </c>
      <c r="B389" s="638">
        <f t="shared" si="20"/>
        <v>720264</v>
      </c>
      <c r="C389" s="632">
        <v>217597</v>
      </c>
      <c r="D389" s="638"/>
      <c r="E389" s="638">
        <f t="shared" si="21"/>
        <v>440484</v>
      </c>
      <c r="F389" s="632">
        <v>116159</v>
      </c>
      <c r="G389" s="632">
        <v>102025</v>
      </c>
      <c r="H389" s="638">
        <v>222300</v>
      </c>
      <c r="I389" s="638"/>
      <c r="J389" s="632">
        <v>2192</v>
      </c>
      <c r="K389" s="632">
        <v>50869</v>
      </c>
      <c r="L389" s="632">
        <v>9122</v>
      </c>
      <c r="Z389" s="600"/>
      <c r="AA389" s="600"/>
      <c r="AB389" s="600"/>
      <c r="AC389" s="600"/>
      <c r="AD389" s="600"/>
      <c r="AE389" s="600"/>
      <c r="AF389" s="600"/>
      <c r="AG389" s="600"/>
      <c r="AH389" s="600"/>
      <c r="AI389" s="600"/>
      <c r="AJ389" s="600"/>
    </row>
    <row r="390" spans="1:36" s="263" customFormat="1" ht="9" customHeight="1" x14ac:dyDescent="0.25">
      <c r="A390" s="550" t="s">
        <v>36</v>
      </c>
      <c r="B390" s="638">
        <f t="shared" si="20"/>
        <v>1826940</v>
      </c>
      <c r="C390" s="632">
        <v>942711</v>
      </c>
      <c r="D390" s="638"/>
      <c r="E390" s="638">
        <f t="shared" si="21"/>
        <v>724484</v>
      </c>
      <c r="F390" s="632">
        <v>261817</v>
      </c>
      <c r="G390" s="632">
        <v>241964</v>
      </c>
      <c r="H390" s="638">
        <v>220703</v>
      </c>
      <c r="I390" s="638"/>
      <c r="J390" s="632">
        <v>16505</v>
      </c>
      <c r="K390" s="632">
        <v>111509</v>
      </c>
      <c r="L390" s="632">
        <v>31731</v>
      </c>
      <c r="Z390" s="600"/>
      <c r="AA390" s="600"/>
      <c r="AB390" s="600"/>
      <c r="AC390" s="600"/>
      <c r="AD390" s="600"/>
      <c r="AE390" s="600"/>
      <c r="AF390" s="600"/>
      <c r="AG390" s="600"/>
      <c r="AH390" s="600"/>
      <c r="AI390" s="600"/>
      <c r="AJ390" s="600"/>
    </row>
    <row r="391" spans="1:36" s="263" customFormat="1" ht="9" customHeight="1" x14ac:dyDescent="0.25">
      <c r="A391" s="603" t="s">
        <v>37</v>
      </c>
      <c r="B391" s="640">
        <f t="shared" si="20"/>
        <v>461364</v>
      </c>
      <c r="C391" s="634">
        <v>169002</v>
      </c>
      <c r="D391" s="640"/>
      <c r="E391" s="640">
        <f t="shared" si="21"/>
        <v>227238</v>
      </c>
      <c r="F391" s="634">
        <v>71767</v>
      </c>
      <c r="G391" s="634">
        <v>61574</v>
      </c>
      <c r="H391" s="640">
        <v>93897</v>
      </c>
      <c r="I391" s="640"/>
      <c r="J391" s="634">
        <v>3506</v>
      </c>
      <c r="K391" s="634">
        <v>57542</v>
      </c>
      <c r="L391" s="634">
        <v>4076</v>
      </c>
      <c r="Z391" s="600"/>
      <c r="AA391" s="600"/>
      <c r="AB391" s="600"/>
      <c r="AC391" s="600"/>
      <c r="AD391" s="600"/>
      <c r="AE391" s="600"/>
      <c r="AF391" s="600"/>
      <c r="AG391" s="600"/>
      <c r="AH391" s="600"/>
      <c r="AI391" s="600"/>
      <c r="AJ391" s="600"/>
    </row>
    <row r="392" spans="1:36" s="263" customFormat="1" ht="9" customHeight="1" x14ac:dyDescent="0.25">
      <c r="A392" s="550" t="s">
        <v>38</v>
      </c>
      <c r="B392" s="638">
        <f t="shared" si="20"/>
        <v>127828</v>
      </c>
      <c r="C392" s="632">
        <v>63151</v>
      </c>
      <c r="D392" s="638"/>
      <c r="E392" s="638">
        <f t="shared" si="21"/>
        <v>53284</v>
      </c>
      <c r="F392" s="632">
        <v>19333</v>
      </c>
      <c r="G392" s="632">
        <v>10124</v>
      </c>
      <c r="H392" s="638">
        <v>23827</v>
      </c>
      <c r="I392" s="638"/>
      <c r="J392" s="632">
        <v>203</v>
      </c>
      <c r="K392" s="632">
        <v>10461</v>
      </c>
      <c r="L392" s="632">
        <v>729</v>
      </c>
      <c r="Z392" s="600"/>
      <c r="AA392" s="600"/>
      <c r="AB392" s="600"/>
      <c r="AC392" s="600"/>
      <c r="AD392" s="600"/>
      <c r="AE392" s="600"/>
      <c r="AF392" s="600"/>
      <c r="AG392" s="600"/>
      <c r="AH392" s="600"/>
      <c r="AI392" s="600"/>
      <c r="AJ392" s="600"/>
    </row>
    <row r="393" spans="1:36" s="263" customFormat="1" ht="9" customHeight="1" x14ac:dyDescent="0.25">
      <c r="A393" s="550" t="s">
        <v>39</v>
      </c>
      <c r="B393" s="638">
        <f t="shared" si="20"/>
        <v>11564</v>
      </c>
      <c r="C393" s="632">
        <v>6033</v>
      </c>
      <c r="D393" s="638"/>
      <c r="E393" s="638">
        <f t="shared" si="21"/>
        <v>4894</v>
      </c>
      <c r="F393" s="632">
        <v>2292</v>
      </c>
      <c r="G393" s="632">
        <v>846</v>
      </c>
      <c r="H393" s="638">
        <v>1756</v>
      </c>
      <c r="I393" s="638"/>
      <c r="J393" s="632">
        <v>0</v>
      </c>
      <c r="K393" s="632">
        <v>544</v>
      </c>
      <c r="L393" s="632">
        <v>93</v>
      </c>
      <c r="Z393" s="600"/>
      <c r="AA393" s="600"/>
      <c r="AB393" s="600"/>
      <c r="AC393" s="600"/>
      <c r="AD393" s="600"/>
      <c r="AE393" s="600"/>
      <c r="AF393" s="600"/>
      <c r="AG393" s="600"/>
      <c r="AH393" s="600"/>
      <c r="AI393" s="600"/>
      <c r="AJ393" s="600"/>
    </row>
    <row r="394" spans="1:36" s="263" customFormat="1" ht="9" customHeight="1" x14ac:dyDescent="0.25">
      <c r="A394" s="550" t="s">
        <v>40</v>
      </c>
      <c r="B394" s="638">
        <f t="shared" si="20"/>
        <v>1105620</v>
      </c>
      <c r="C394" s="632">
        <v>269344</v>
      </c>
      <c r="D394" s="638"/>
      <c r="E394" s="638">
        <f t="shared" si="21"/>
        <v>491567</v>
      </c>
      <c r="F394" s="632">
        <v>98959</v>
      </c>
      <c r="G394" s="632">
        <v>131916</v>
      </c>
      <c r="H394" s="638">
        <v>260692</v>
      </c>
      <c r="I394" s="638"/>
      <c r="J394" s="632">
        <v>24751</v>
      </c>
      <c r="K394" s="632">
        <v>259627</v>
      </c>
      <c r="L394" s="632">
        <v>60331</v>
      </c>
      <c r="Z394" s="600"/>
      <c r="AA394" s="600"/>
      <c r="AB394" s="600"/>
      <c r="AC394" s="600"/>
      <c r="AD394" s="600"/>
      <c r="AE394" s="600"/>
      <c r="AF394" s="600"/>
      <c r="AG394" s="600"/>
      <c r="AH394" s="600"/>
      <c r="AI394" s="600"/>
      <c r="AJ394" s="600"/>
    </row>
    <row r="395" spans="1:36" s="263" customFormat="1" ht="9" customHeight="1" x14ac:dyDescent="0.25">
      <c r="A395" s="603" t="s">
        <v>41</v>
      </c>
      <c r="B395" s="640">
        <f t="shared" si="20"/>
        <v>328857</v>
      </c>
      <c r="C395" s="634">
        <v>140187</v>
      </c>
      <c r="D395" s="640"/>
      <c r="E395" s="640">
        <f t="shared" si="21"/>
        <v>136228</v>
      </c>
      <c r="F395" s="634">
        <v>38837</v>
      </c>
      <c r="G395" s="634">
        <v>30517</v>
      </c>
      <c r="H395" s="640">
        <v>66874</v>
      </c>
      <c r="I395" s="640"/>
      <c r="J395" s="634">
        <v>738</v>
      </c>
      <c r="K395" s="634">
        <v>10998</v>
      </c>
      <c r="L395" s="634">
        <v>40706</v>
      </c>
      <c r="Z395" s="600"/>
      <c r="AA395" s="600"/>
      <c r="AB395" s="600"/>
      <c r="AC395" s="600"/>
      <c r="AD395" s="600"/>
      <c r="AE395" s="600"/>
      <c r="AF395" s="600"/>
      <c r="AG395" s="600"/>
      <c r="AH395" s="600"/>
      <c r="AI395" s="600"/>
      <c r="AJ395" s="600"/>
    </row>
    <row r="396" spans="1:36" s="263" customFormat="1" ht="9" customHeight="1" x14ac:dyDescent="0.25">
      <c r="A396" s="550" t="s">
        <v>42</v>
      </c>
      <c r="B396" s="638">
        <f t="shared" si="20"/>
        <v>352341</v>
      </c>
      <c r="C396" s="632">
        <v>130144</v>
      </c>
      <c r="D396" s="638"/>
      <c r="E396" s="638">
        <f t="shared" si="21"/>
        <v>191223</v>
      </c>
      <c r="F396" s="632">
        <v>69547</v>
      </c>
      <c r="G396" s="632">
        <v>39973</v>
      </c>
      <c r="H396" s="638">
        <v>81703</v>
      </c>
      <c r="I396" s="638"/>
      <c r="J396" s="632">
        <v>3818</v>
      </c>
      <c r="K396" s="632">
        <v>21801</v>
      </c>
      <c r="L396" s="632">
        <v>5355</v>
      </c>
      <c r="Z396" s="600"/>
      <c r="AA396" s="600"/>
      <c r="AB396" s="600"/>
      <c r="AC396" s="600"/>
      <c r="AD396" s="600"/>
      <c r="AE396" s="600"/>
      <c r="AF396" s="600"/>
      <c r="AG396" s="600"/>
      <c r="AH396" s="600"/>
      <c r="AI396" s="600"/>
      <c r="AJ396" s="600"/>
    </row>
    <row r="397" spans="1:36" s="263" customFormat="1" ht="9" customHeight="1" x14ac:dyDescent="0.25">
      <c r="A397" s="550" t="s">
        <v>43</v>
      </c>
      <c r="B397" s="638">
        <f t="shared" si="20"/>
        <v>218603</v>
      </c>
      <c r="C397" s="632">
        <v>84589</v>
      </c>
      <c r="D397" s="638"/>
      <c r="E397" s="638">
        <f t="shared" si="21"/>
        <v>106671</v>
      </c>
      <c r="F397" s="632">
        <v>23013</v>
      </c>
      <c r="G397" s="632">
        <v>23664</v>
      </c>
      <c r="H397" s="638">
        <v>59994</v>
      </c>
      <c r="I397" s="638"/>
      <c r="J397" s="632">
        <v>487</v>
      </c>
      <c r="K397" s="632">
        <v>24718</v>
      </c>
      <c r="L397" s="632">
        <v>2138</v>
      </c>
      <c r="Z397" s="600"/>
      <c r="AA397" s="600"/>
      <c r="AB397" s="600"/>
      <c r="AC397" s="600"/>
      <c r="AD397" s="600"/>
      <c r="AE397" s="600"/>
      <c r="AF397" s="600"/>
      <c r="AG397" s="600"/>
      <c r="AH397" s="600"/>
      <c r="AI397" s="600"/>
      <c r="AJ397" s="600"/>
    </row>
    <row r="398" spans="1:36" s="263" customFormat="1" ht="9" customHeight="1" x14ac:dyDescent="0.25">
      <c r="A398" s="550" t="s">
        <v>44</v>
      </c>
      <c r="B398" s="638">
        <f t="shared" si="20"/>
        <v>216119</v>
      </c>
      <c r="C398" s="632">
        <v>50099</v>
      </c>
      <c r="D398" s="638"/>
      <c r="E398" s="638">
        <f t="shared" si="21"/>
        <v>138172</v>
      </c>
      <c r="F398" s="632">
        <v>44439</v>
      </c>
      <c r="G398" s="632">
        <v>26283</v>
      </c>
      <c r="H398" s="638">
        <v>67450</v>
      </c>
      <c r="I398" s="638"/>
      <c r="J398" s="632">
        <v>37</v>
      </c>
      <c r="K398" s="632">
        <v>15807</v>
      </c>
      <c r="L398" s="632">
        <v>12004</v>
      </c>
      <c r="Z398" s="600"/>
      <c r="AA398" s="600"/>
      <c r="AB398" s="600"/>
      <c r="AC398" s="600"/>
      <c r="AD398" s="600"/>
      <c r="AE398" s="600"/>
      <c r="AF398" s="600"/>
      <c r="AG398" s="600"/>
      <c r="AH398" s="600"/>
      <c r="AI398" s="600"/>
      <c r="AJ398" s="600"/>
    </row>
    <row r="399" spans="1:36" s="263" customFormat="1" ht="9" customHeight="1" x14ac:dyDescent="0.25">
      <c r="A399" s="603" t="s">
        <v>45</v>
      </c>
      <c r="B399" s="640">
        <f t="shared" si="20"/>
        <v>126887</v>
      </c>
      <c r="C399" s="634">
        <v>45267</v>
      </c>
      <c r="D399" s="640"/>
      <c r="E399" s="640">
        <f t="shared" si="21"/>
        <v>51421</v>
      </c>
      <c r="F399" s="634">
        <v>23031</v>
      </c>
      <c r="G399" s="634">
        <v>12961</v>
      </c>
      <c r="H399" s="640">
        <v>15429</v>
      </c>
      <c r="I399" s="640"/>
      <c r="J399" s="634">
        <v>826</v>
      </c>
      <c r="K399" s="634">
        <v>28342</v>
      </c>
      <c r="L399" s="634">
        <v>1031</v>
      </c>
      <c r="Z399" s="600"/>
      <c r="AA399" s="600"/>
      <c r="AB399" s="600"/>
      <c r="AC399" s="600"/>
      <c r="AD399" s="600"/>
      <c r="AE399" s="600"/>
      <c r="AF399" s="600"/>
      <c r="AG399" s="600"/>
      <c r="AH399" s="600"/>
      <c r="AI399" s="600"/>
      <c r="AJ399" s="600"/>
    </row>
    <row r="400" spans="1:36" s="263" customFormat="1" ht="9" customHeight="1" x14ac:dyDescent="0.25">
      <c r="A400" s="550" t="s">
        <v>46</v>
      </c>
      <c r="B400" s="638">
        <f t="shared" si="20"/>
        <v>205796</v>
      </c>
      <c r="C400" s="632">
        <v>49195</v>
      </c>
      <c r="D400" s="638"/>
      <c r="E400" s="638">
        <f t="shared" si="21"/>
        <v>138875</v>
      </c>
      <c r="F400" s="632">
        <v>39189</v>
      </c>
      <c r="G400" s="632">
        <v>28866</v>
      </c>
      <c r="H400" s="638">
        <v>70820</v>
      </c>
      <c r="I400" s="638"/>
      <c r="J400" s="632">
        <v>1330</v>
      </c>
      <c r="K400" s="632">
        <v>14247</v>
      </c>
      <c r="L400" s="632">
        <v>2149</v>
      </c>
      <c r="Z400" s="600"/>
      <c r="AA400" s="600"/>
      <c r="AB400" s="600"/>
      <c r="AC400" s="600"/>
      <c r="AD400" s="600"/>
      <c r="AE400" s="600"/>
      <c r="AF400" s="600"/>
      <c r="AG400" s="600"/>
      <c r="AH400" s="600"/>
      <c r="AI400" s="600"/>
      <c r="AJ400" s="600"/>
    </row>
    <row r="401" spans="1:36" s="263" customFormat="1" ht="9" customHeight="1" x14ac:dyDescent="0.25">
      <c r="A401" s="550" t="s">
        <v>47</v>
      </c>
      <c r="B401" s="638">
        <f t="shared" si="20"/>
        <v>292123</v>
      </c>
      <c r="C401" s="632">
        <v>132214</v>
      </c>
      <c r="D401" s="638"/>
      <c r="E401" s="638">
        <f t="shared" si="21"/>
        <v>100113</v>
      </c>
      <c r="F401" s="632">
        <v>26594</v>
      </c>
      <c r="G401" s="632">
        <v>27000</v>
      </c>
      <c r="H401" s="638">
        <v>46519</v>
      </c>
      <c r="I401" s="638"/>
      <c r="J401" s="632">
        <v>1804</v>
      </c>
      <c r="K401" s="632">
        <v>49821</v>
      </c>
      <c r="L401" s="632">
        <v>8171</v>
      </c>
      <c r="Z401" s="600"/>
      <c r="AA401" s="600"/>
      <c r="AB401" s="600"/>
      <c r="AC401" s="600"/>
      <c r="AD401" s="600"/>
      <c r="AE401" s="600"/>
      <c r="AF401" s="600"/>
      <c r="AG401" s="600"/>
      <c r="AH401" s="600"/>
      <c r="AI401" s="600"/>
      <c r="AJ401" s="600"/>
    </row>
    <row r="402" spans="1:36" s="263" customFormat="1" ht="9" customHeight="1" x14ac:dyDescent="0.25">
      <c r="A402" s="550" t="s">
        <v>48</v>
      </c>
      <c r="B402" s="638">
        <f>SUM(C402+E402+J402+K402+L402)</f>
        <v>122495</v>
      </c>
      <c r="C402" s="632">
        <v>39105</v>
      </c>
      <c r="D402" s="638"/>
      <c r="E402" s="638">
        <f>SUM(F402:H402)</f>
        <v>41686</v>
      </c>
      <c r="F402" s="632">
        <v>13748</v>
      </c>
      <c r="G402" s="632">
        <v>10265</v>
      </c>
      <c r="H402" s="638">
        <v>17673</v>
      </c>
      <c r="I402" s="638"/>
      <c r="J402" s="632">
        <v>1153</v>
      </c>
      <c r="K402" s="632">
        <v>40358</v>
      </c>
      <c r="L402" s="632">
        <v>193</v>
      </c>
      <c r="Z402" s="600"/>
      <c r="AA402" s="600"/>
      <c r="AB402" s="600"/>
      <c r="AC402" s="600"/>
      <c r="AD402" s="600"/>
      <c r="AE402" s="600"/>
      <c r="AF402" s="600"/>
      <c r="AG402" s="600"/>
      <c r="AH402" s="600"/>
      <c r="AI402" s="600"/>
      <c r="AJ402" s="600"/>
    </row>
    <row r="403" spans="1:36" s="263" customFormat="1" ht="9" customHeight="1" x14ac:dyDescent="0.25">
      <c r="A403" s="603" t="s">
        <v>49</v>
      </c>
      <c r="B403" s="640">
        <f t="shared" si="20"/>
        <v>226015</v>
      </c>
      <c r="C403" s="634">
        <v>78357</v>
      </c>
      <c r="D403" s="640"/>
      <c r="E403" s="640">
        <f t="shared" si="21"/>
        <v>110429</v>
      </c>
      <c r="F403" s="634">
        <v>26300</v>
      </c>
      <c r="G403" s="634">
        <v>29762</v>
      </c>
      <c r="H403" s="640">
        <v>54367</v>
      </c>
      <c r="I403" s="640"/>
      <c r="J403" s="634">
        <v>1381</v>
      </c>
      <c r="K403" s="634">
        <v>31654</v>
      </c>
      <c r="L403" s="634">
        <v>4194</v>
      </c>
      <c r="Z403" s="600"/>
      <c r="AA403" s="600"/>
      <c r="AB403" s="600"/>
      <c r="AC403" s="600"/>
      <c r="AD403" s="600"/>
      <c r="AE403" s="600"/>
      <c r="AF403" s="600"/>
      <c r="AG403" s="600"/>
      <c r="AH403" s="600"/>
      <c r="AI403" s="600"/>
      <c r="AJ403" s="600"/>
    </row>
    <row r="404" spans="1:36" s="263" customFormat="1" ht="9" customHeight="1" x14ac:dyDescent="0.25">
      <c r="A404" s="550" t="s">
        <v>50</v>
      </c>
      <c r="B404" s="638">
        <f t="shared" si="20"/>
        <v>63558</v>
      </c>
      <c r="C404" s="632">
        <v>35151</v>
      </c>
      <c r="D404" s="638"/>
      <c r="E404" s="638">
        <f t="shared" si="21"/>
        <v>25864</v>
      </c>
      <c r="F404" s="632">
        <v>10729</v>
      </c>
      <c r="G404" s="632">
        <v>6887</v>
      </c>
      <c r="H404" s="638">
        <v>8248</v>
      </c>
      <c r="I404" s="638"/>
      <c r="J404" s="632">
        <v>160</v>
      </c>
      <c r="K404" s="632">
        <v>1625</v>
      </c>
      <c r="L404" s="632">
        <v>758</v>
      </c>
      <c r="Z404" s="600"/>
      <c r="AA404" s="600"/>
      <c r="AB404" s="600"/>
      <c r="AC404" s="600"/>
      <c r="AD404" s="600"/>
      <c r="AE404" s="600"/>
      <c r="AF404" s="600"/>
      <c r="AG404" s="600"/>
      <c r="AH404" s="600"/>
      <c r="AI404" s="600"/>
      <c r="AJ404" s="600"/>
    </row>
    <row r="405" spans="1:36" s="263" customFormat="1" ht="9" customHeight="1" x14ac:dyDescent="0.25">
      <c r="A405" s="550" t="s">
        <v>51</v>
      </c>
      <c r="B405" s="638">
        <f t="shared" si="20"/>
        <v>359434</v>
      </c>
      <c r="C405" s="632">
        <v>160344</v>
      </c>
      <c r="D405" s="638"/>
      <c r="E405" s="638">
        <f t="shared" si="21"/>
        <v>148951</v>
      </c>
      <c r="F405" s="632">
        <v>57422</v>
      </c>
      <c r="G405" s="632">
        <v>39820</v>
      </c>
      <c r="H405" s="638">
        <v>51709</v>
      </c>
      <c r="I405" s="638"/>
      <c r="J405" s="632">
        <v>1300</v>
      </c>
      <c r="K405" s="632">
        <v>40600</v>
      </c>
      <c r="L405" s="632">
        <v>8239</v>
      </c>
      <c r="Z405" s="600"/>
      <c r="AA405" s="600"/>
      <c r="AB405" s="600"/>
      <c r="AC405" s="600"/>
      <c r="AD405" s="600"/>
      <c r="AE405" s="600"/>
      <c r="AF405" s="600"/>
      <c r="AG405" s="600"/>
      <c r="AH405" s="600"/>
      <c r="AI405" s="600"/>
      <c r="AJ405" s="600"/>
    </row>
    <row r="406" spans="1:36" s="263" customFormat="1" ht="9" customHeight="1" x14ac:dyDescent="0.25">
      <c r="A406" s="550" t="s">
        <v>52</v>
      </c>
      <c r="B406" s="638">
        <f t="shared" si="20"/>
        <v>189699</v>
      </c>
      <c r="C406" s="632">
        <v>50988</v>
      </c>
      <c r="D406" s="638"/>
      <c r="E406" s="638">
        <f t="shared" si="21"/>
        <v>107106</v>
      </c>
      <c r="F406" s="632">
        <v>33498</v>
      </c>
      <c r="G406" s="632">
        <v>38061</v>
      </c>
      <c r="H406" s="638">
        <v>35547</v>
      </c>
      <c r="I406" s="638"/>
      <c r="J406" s="632">
        <v>0</v>
      </c>
      <c r="K406" s="632">
        <v>27016</v>
      </c>
      <c r="L406" s="632">
        <v>4589</v>
      </c>
      <c r="Z406" s="600"/>
      <c r="AA406" s="600"/>
      <c r="AB406" s="600"/>
      <c r="AC406" s="600"/>
      <c r="AD406" s="600"/>
      <c r="AE406" s="600"/>
      <c r="AF406" s="600"/>
      <c r="AG406" s="600"/>
      <c r="AH406" s="600"/>
      <c r="AI406" s="600"/>
      <c r="AJ406" s="600"/>
    </row>
    <row r="407" spans="1:36" s="263" customFormat="1" ht="9" customHeight="1" x14ac:dyDescent="0.25">
      <c r="A407" s="267" t="s">
        <v>53</v>
      </c>
      <c r="B407" s="599">
        <f t="shared" si="20"/>
        <v>48592</v>
      </c>
      <c r="C407" s="604">
        <v>15970</v>
      </c>
      <c r="D407" s="599"/>
      <c r="E407" s="599">
        <f t="shared" si="21"/>
        <v>26741</v>
      </c>
      <c r="F407" s="604">
        <v>7411</v>
      </c>
      <c r="G407" s="604">
        <v>6863</v>
      </c>
      <c r="H407" s="599">
        <v>12467</v>
      </c>
      <c r="I407" s="599"/>
      <c r="J407" s="604">
        <v>74</v>
      </c>
      <c r="K407" s="604">
        <v>3887</v>
      </c>
      <c r="L407" s="604">
        <v>1920</v>
      </c>
      <c r="Z407" s="600"/>
      <c r="AA407" s="600"/>
      <c r="AB407" s="600"/>
      <c r="AC407" s="600"/>
      <c r="AD407" s="600"/>
      <c r="AE407" s="600"/>
      <c r="AF407" s="600"/>
      <c r="AG407" s="600"/>
      <c r="AH407" s="600"/>
      <c r="AI407" s="600"/>
      <c r="AJ407" s="600"/>
    </row>
    <row r="408" spans="1:36" s="263" customFormat="1" ht="9" customHeight="1" x14ac:dyDescent="0.25">
      <c r="A408" s="286"/>
      <c r="B408" s="613"/>
      <c r="C408" s="605"/>
      <c r="D408" s="613"/>
      <c r="E408" s="613"/>
      <c r="F408" s="605"/>
      <c r="G408" s="605"/>
      <c r="H408" s="613"/>
      <c r="I408" s="613"/>
      <c r="J408" s="605"/>
      <c r="K408" s="605"/>
      <c r="L408" s="605"/>
      <c r="M408" s="286"/>
      <c r="Z408" s="600"/>
      <c r="AA408" s="600"/>
      <c r="AB408" s="600"/>
      <c r="AC408" s="600"/>
      <c r="AD408" s="600"/>
      <c r="AE408" s="600"/>
      <c r="AF408" s="600"/>
      <c r="AG408" s="600"/>
      <c r="AH408" s="600"/>
      <c r="AI408" s="600"/>
      <c r="AJ408" s="600"/>
    </row>
    <row r="409" spans="1:36" s="263" customFormat="1" ht="9" customHeight="1" x14ac:dyDescent="0.25">
      <c r="A409" s="601">
        <v>2006</v>
      </c>
      <c r="B409" s="597"/>
      <c r="C409" s="597"/>
      <c r="D409" s="597"/>
      <c r="E409" s="597"/>
      <c r="F409" s="597"/>
      <c r="G409" s="597"/>
      <c r="H409" s="597"/>
      <c r="I409" s="597"/>
      <c r="J409" s="597"/>
      <c r="K409" s="597"/>
      <c r="L409" s="597"/>
      <c r="Z409" s="600"/>
      <c r="AA409" s="600"/>
      <c r="AB409" s="600"/>
      <c r="AC409" s="600"/>
      <c r="AD409" s="600"/>
      <c r="AE409" s="600"/>
      <c r="AF409" s="600"/>
      <c r="AG409" s="600"/>
      <c r="AH409" s="600"/>
      <c r="AI409" s="600"/>
      <c r="AJ409" s="600"/>
    </row>
    <row r="410" spans="1:36" s="263" customFormat="1" ht="9" customHeight="1" x14ac:dyDescent="0.25">
      <c r="A410" s="265" t="s">
        <v>21</v>
      </c>
      <c r="B410" s="597">
        <f>SUM(B412:B443)</f>
        <v>12081272</v>
      </c>
      <c r="C410" s="597">
        <f>SUM(C412:C443)</f>
        <v>4376104</v>
      </c>
      <c r="D410" s="597"/>
      <c r="E410" s="597">
        <f>SUM(E412:E443)</f>
        <v>5934351</v>
      </c>
      <c r="F410" s="597">
        <f>SUM(F412:F443)</f>
        <v>1606838</v>
      </c>
      <c r="G410" s="597">
        <f>SUM(G412:G443)</f>
        <v>1381107</v>
      </c>
      <c r="H410" s="597">
        <f>SUM(H412:H443)</f>
        <v>2946406</v>
      </c>
      <c r="I410" s="597"/>
      <c r="J410" s="597">
        <f>SUM(J412:J443)</f>
        <v>131238</v>
      </c>
      <c r="K410" s="597">
        <f>SUM(K412:K443)</f>
        <v>1362116</v>
      </c>
      <c r="L410" s="597">
        <f>SUM(L412:L443)</f>
        <v>277463</v>
      </c>
      <c r="Z410" s="600"/>
      <c r="AA410" s="600"/>
      <c r="AB410" s="600"/>
      <c r="AC410" s="600"/>
      <c r="AD410" s="600"/>
      <c r="AE410" s="600"/>
      <c r="AF410" s="600"/>
      <c r="AG410" s="600"/>
      <c r="AH410" s="600"/>
      <c r="AI410" s="600"/>
      <c r="AJ410" s="600"/>
    </row>
    <row r="411" spans="1:36" s="263" customFormat="1" ht="3.95" customHeight="1" x14ac:dyDescent="0.25">
      <c r="A411" s="265"/>
      <c r="B411" s="597"/>
      <c r="C411" s="597"/>
      <c r="D411" s="597"/>
      <c r="E411" s="597"/>
      <c r="F411" s="597"/>
      <c r="G411" s="597"/>
      <c r="H411" s="597"/>
      <c r="I411" s="597"/>
      <c r="J411" s="597"/>
      <c r="K411" s="597"/>
      <c r="L411" s="597"/>
      <c r="Z411" s="600"/>
      <c r="AA411" s="600"/>
      <c r="AB411" s="600"/>
      <c r="AC411" s="600"/>
      <c r="AD411" s="600"/>
      <c r="AE411" s="600"/>
      <c r="AF411" s="600"/>
      <c r="AG411" s="600"/>
      <c r="AH411" s="600"/>
      <c r="AI411" s="600"/>
      <c r="AJ411" s="600"/>
    </row>
    <row r="412" spans="1:36" s="263" customFormat="1" ht="9" customHeight="1" x14ac:dyDescent="0.25">
      <c r="A412" s="550" t="s">
        <v>23</v>
      </c>
      <c r="B412" s="638">
        <f t="shared" ref="B412:B443" si="22">SUM(C412+E412+J412+K412+L412)</f>
        <v>78088</v>
      </c>
      <c r="C412" s="632">
        <v>32436</v>
      </c>
      <c r="D412" s="638"/>
      <c r="E412" s="638">
        <f t="shared" ref="E412:E443" si="23">SUM(F412:H412)</f>
        <v>42579</v>
      </c>
      <c r="F412" s="632">
        <v>13671</v>
      </c>
      <c r="G412" s="632">
        <v>9401</v>
      </c>
      <c r="H412" s="638">
        <v>19507</v>
      </c>
      <c r="I412" s="638"/>
      <c r="J412" s="632">
        <v>29</v>
      </c>
      <c r="K412" s="632">
        <v>1890</v>
      </c>
      <c r="L412" s="632">
        <v>1154</v>
      </c>
      <c r="Z412" s="600"/>
      <c r="AA412" s="600"/>
      <c r="AB412" s="600"/>
      <c r="AC412" s="600"/>
      <c r="AD412" s="600"/>
      <c r="AE412" s="600"/>
      <c r="AF412" s="600"/>
      <c r="AG412" s="600"/>
      <c r="AH412" s="600"/>
      <c r="AI412" s="600"/>
      <c r="AJ412" s="600"/>
    </row>
    <row r="413" spans="1:36" s="263" customFormat="1" ht="9" customHeight="1" x14ac:dyDescent="0.25">
      <c r="A413" s="550" t="s">
        <v>24</v>
      </c>
      <c r="B413" s="638">
        <f t="shared" si="22"/>
        <v>656411</v>
      </c>
      <c r="C413" s="638">
        <v>301989</v>
      </c>
      <c r="D413" s="638"/>
      <c r="E413" s="638">
        <f t="shared" si="23"/>
        <v>307572</v>
      </c>
      <c r="F413" s="638">
        <v>92334</v>
      </c>
      <c r="G413" s="638">
        <v>98613</v>
      </c>
      <c r="H413" s="638">
        <v>116625</v>
      </c>
      <c r="I413" s="638"/>
      <c r="J413" s="638">
        <v>6568</v>
      </c>
      <c r="K413" s="638">
        <v>34732</v>
      </c>
      <c r="L413" s="638">
        <v>5550</v>
      </c>
      <c r="Z413" s="600"/>
      <c r="AA413" s="600"/>
      <c r="AB413" s="600"/>
      <c r="AC413" s="600"/>
      <c r="AD413" s="600"/>
      <c r="AE413" s="600"/>
      <c r="AF413" s="600"/>
      <c r="AG413" s="600"/>
      <c r="AH413" s="600"/>
      <c r="AI413" s="600"/>
      <c r="AJ413" s="600"/>
    </row>
    <row r="414" spans="1:36" s="263" customFormat="1" ht="9" customHeight="1" x14ac:dyDescent="0.25">
      <c r="A414" s="550" t="s">
        <v>25</v>
      </c>
      <c r="B414" s="638">
        <f t="shared" si="22"/>
        <v>34343</v>
      </c>
      <c r="C414" s="632">
        <v>15456</v>
      </c>
      <c r="D414" s="638"/>
      <c r="E414" s="638">
        <f t="shared" si="23"/>
        <v>14019</v>
      </c>
      <c r="F414" s="632">
        <v>1816</v>
      </c>
      <c r="G414" s="632">
        <v>1608</v>
      </c>
      <c r="H414" s="638">
        <v>10595</v>
      </c>
      <c r="I414" s="638"/>
      <c r="J414" s="632">
        <v>814</v>
      </c>
      <c r="K414" s="632">
        <v>2082</v>
      </c>
      <c r="L414" s="632">
        <v>1972</v>
      </c>
      <c r="Z414" s="600"/>
      <c r="AA414" s="600"/>
      <c r="AB414" s="600"/>
      <c r="AC414" s="600"/>
      <c r="AD414" s="600"/>
      <c r="AE414" s="600"/>
      <c r="AF414" s="600"/>
      <c r="AG414" s="600"/>
      <c r="AH414" s="600"/>
      <c r="AI414" s="600"/>
      <c r="AJ414" s="600"/>
    </row>
    <row r="415" spans="1:36" s="263" customFormat="1" ht="9" customHeight="1" x14ac:dyDescent="0.25">
      <c r="A415" s="603" t="s">
        <v>26</v>
      </c>
      <c r="B415" s="640">
        <f t="shared" si="22"/>
        <v>26695</v>
      </c>
      <c r="C415" s="634">
        <v>4225</v>
      </c>
      <c r="D415" s="640"/>
      <c r="E415" s="640">
        <f t="shared" si="23"/>
        <v>14609</v>
      </c>
      <c r="F415" s="634">
        <v>3810</v>
      </c>
      <c r="G415" s="634">
        <v>4361</v>
      </c>
      <c r="H415" s="640">
        <v>6438</v>
      </c>
      <c r="I415" s="640"/>
      <c r="J415" s="634">
        <v>583</v>
      </c>
      <c r="K415" s="634">
        <v>7278</v>
      </c>
      <c r="L415" s="634">
        <v>0</v>
      </c>
      <c r="Z415" s="600"/>
      <c r="AA415" s="600"/>
      <c r="AB415" s="600"/>
      <c r="AC415" s="600"/>
      <c r="AD415" s="600"/>
      <c r="AE415" s="600"/>
      <c r="AF415" s="600"/>
      <c r="AG415" s="600"/>
      <c r="AH415" s="600"/>
      <c r="AI415" s="600"/>
      <c r="AJ415" s="600"/>
    </row>
    <row r="416" spans="1:36" s="263" customFormat="1" ht="9" customHeight="1" x14ac:dyDescent="0.25">
      <c r="A416" s="550" t="s">
        <v>27</v>
      </c>
      <c r="B416" s="638">
        <f t="shared" si="22"/>
        <v>150382</v>
      </c>
      <c r="C416" s="632">
        <v>25641</v>
      </c>
      <c r="D416" s="638"/>
      <c r="E416" s="638">
        <f t="shared" si="23"/>
        <v>85450</v>
      </c>
      <c r="F416" s="632">
        <v>21996</v>
      </c>
      <c r="G416" s="632">
        <v>22379</v>
      </c>
      <c r="H416" s="638">
        <v>41075</v>
      </c>
      <c r="I416" s="638"/>
      <c r="J416" s="632">
        <v>916</v>
      </c>
      <c r="K416" s="632">
        <v>37917</v>
      </c>
      <c r="L416" s="632">
        <v>458</v>
      </c>
      <c r="Z416" s="600"/>
      <c r="AA416" s="600"/>
      <c r="AB416" s="600"/>
      <c r="AC416" s="600"/>
      <c r="AD416" s="600"/>
      <c r="AE416" s="600"/>
      <c r="AF416" s="600"/>
      <c r="AG416" s="600"/>
      <c r="AH416" s="600"/>
      <c r="AI416" s="600"/>
      <c r="AJ416" s="600"/>
    </row>
    <row r="417" spans="1:36" s="263" customFormat="1" ht="9" customHeight="1" x14ac:dyDescent="0.25">
      <c r="A417" s="550" t="s">
        <v>28</v>
      </c>
      <c r="B417" s="638">
        <f t="shared" si="22"/>
        <v>28910</v>
      </c>
      <c r="C417" s="632">
        <v>13713</v>
      </c>
      <c r="D417" s="638"/>
      <c r="E417" s="638">
        <f t="shared" si="23"/>
        <v>13104</v>
      </c>
      <c r="F417" s="632">
        <v>3917</v>
      </c>
      <c r="G417" s="632">
        <v>4549</v>
      </c>
      <c r="H417" s="638">
        <v>4638</v>
      </c>
      <c r="I417" s="638"/>
      <c r="J417" s="632">
        <v>0</v>
      </c>
      <c r="K417" s="632">
        <v>1929</v>
      </c>
      <c r="L417" s="632">
        <v>164</v>
      </c>
      <c r="Z417" s="600"/>
      <c r="AA417" s="600"/>
      <c r="AB417" s="600"/>
      <c r="AC417" s="600"/>
      <c r="AD417" s="600"/>
      <c r="AE417" s="600"/>
      <c r="AF417" s="600"/>
      <c r="AG417" s="600"/>
      <c r="AH417" s="600"/>
      <c r="AI417" s="600"/>
      <c r="AJ417" s="600"/>
    </row>
    <row r="418" spans="1:36" s="263" customFormat="1" ht="9" customHeight="1" x14ac:dyDescent="0.25">
      <c r="A418" s="550" t="s">
        <v>29</v>
      </c>
      <c r="B418" s="638">
        <f t="shared" si="22"/>
        <v>168531</v>
      </c>
      <c r="C418" s="632">
        <v>84240</v>
      </c>
      <c r="D418" s="638"/>
      <c r="E418" s="638">
        <f t="shared" si="23"/>
        <v>73345</v>
      </c>
      <c r="F418" s="632">
        <v>28846</v>
      </c>
      <c r="G418" s="632">
        <v>16217</v>
      </c>
      <c r="H418" s="638">
        <v>28282</v>
      </c>
      <c r="I418" s="638"/>
      <c r="J418" s="632">
        <v>3378</v>
      </c>
      <c r="K418" s="632">
        <v>6458</v>
      </c>
      <c r="L418" s="632">
        <v>1110</v>
      </c>
      <c r="Z418" s="600"/>
      <c r="AA418" s="600"/>
      <c r="AB418" s="600"/>
      <c r="AC418" s="600"/>
      <c r="AD418" s="600"/>
      <c r="AE418" s="600"/>
      <c r="AF418" s="600"/>
      <c r="AG418" s="600"/>
      <c r="AH418" s="600"/>
      <c r="AI418" s="600"/>
      <c r="AJ418" s="600"/>
    </row>
    <row r="419" spans="1:36" s="263" customFormat="1" ht="9" customHeight="1" x14ac:dyDescent="0.25">
      <c r="A419" s="603" t="s">
        <v>30</v>
      </c>
      <c r="B419" s="640">
        <f t="shared" si="22"/>
        <v>404377</v>
      </c>
      <c r="C419" s="634">
        <v>164120</v>
      </c>
      <c r="D419" s="640"/>
      <c r="E419" s="640">
        <f t="shared" si="23"/>
        <v>159073</v>
      </c>
      <c r="F419" s="634">
        <v>46356</v>
      </c>
      <c r="G419" s="634">
        <v>58781</v>
      </c>
      <c r="H419" s="640">
        <v>53936</v>
      </c>
      <c r="I419" s="640"/>
      <c r="J419" s="634">
        <v>25527</v>
      </c>
      <c r="K419" s="634">
        <v>50660</v>
      </c>
      <c r="L419" s="634">
        <v>4997</v>
      </c>
      <c r="Z419" s="600"/>
      <c r="AA419" s="600"/>
      <c r="AB419" s="600"/>
      <c r="AC419" s="600"/>
      <c r="AD419" s="600"/>
      <c r="AE419" s="600"/>
      <c r="AF419" s="600"/>
      <c r="AG419" s="600"/>
      <c r="AH419" s="600"/>
      <c r="AI419" s="600"/>
      <c r="AJ419" s="600"/>
    </row>
    <row r="420" spans="1:36" s="263" customFormat="1" ht="9" customHeight="1" x14ac:dyDescent="0.25">
      <c r="A420" s="550" t="s">
        <v>63</v>
      </c>
      <c r="B420" s="638">
        <f t="shared" si="22"/>
        <v>2508618</v>
      </c>
      <c r="C420" s="632">
        <v>610943</v>
      </c>
      <c r="D420" s="638"/>
      <c r="E420" s="638">
        <f t="shared" si="23"/>
        <v>1467897</v>
      </c>
      <c r="F420" s="632">
        <v>216641</v>
      </c>
      <c r="G420" s="632">
        <v>184837</v>
      </c>
      <c r="H420" s="638">
        <v>1066419</v>
      </c>
      <c r="I420" s="638"/>
      <c r="J420" s="632">
        <v>21673</v>
      </c>
      <c r="K420" s="632">
        <v>352722</v>
      </c>
      <c r="L420" s="632">
        <v>55383</v>
      </c>
      <c r="Z420" s="600"/>
      <c r="AA420" s="600"/>
      <c r="AB420" s="600"/>
      <c r="AC420" s="600"/>
      <c r="AD420" s="600"/>
      <c r="AE420" s="600"/>
      <c r="AF420" s="600"/>
      <c r="AG420" s="600"/>
      <c r="AH420" s="600"/>
      <c r="AI420" s="600"/>
      <c r="AJ420" s="600"/>
    </row>
    <row r="421" spans="1:36" s="263" customFormat="1" ht="9" customHeight="1" x14ac:dyDescent="0.25">
      <c r="A421" s="550" t="s">
        <v>31</v>
      </c>
      <c r="B421" s="638">
        <f t="shared" si="22"/>
        <v>36053</v>
      </c>
      <c r="C421" s="632">
        <v>21863</v>
      </c>
      <c r="D421" s="638"/>
      <c r="E421" s="638">
        <f t="shared" si="23"/>
        <v>12650</v>
      </c>
      <c r="F421" s="632">
        <v>3169</v>
      </c>
      <c r="G421" s="632">
        <v>1965</v>
      </c>
      <c r="H421" s="638">
        <v>7516</v>
      </c>
      <c r="I421" s="638"/>
      <c r="J421" s="632">
        <v>117</v>
      </c>
      <c r="K421" s="632">
        <v>1231</v>
      </c>
      <c r="L421" s="632">
        <v>192</v>
      </c>
      <c r="Z421" s="600"/>
      <c r="AA421" s="600"/>
      <c r="AB421" s="600"/>
      <c r="AC421" s="600"/>
      <c r="AD421" s="600"/>
      <c r="AE421" s="600"/>
      <c r="AF421" s="600"/>
      <c r="AG421" s="600"/>
      <c r="AH421" s="600"/>
      <c r="AI421" s="600"/>
      <c r="AJ421" s="600"/>
    </row>
    <row r="422" spans="1:36" s="263" customFormat="1" ht="9" customHeight="1" x14ac:dyDescent="0.25">
      <c r="A422" s="550" t="s">
        <v>32</v>
      </c>
      <c r="B422" s="638">
        <f t="shared" si="22"/>
        <v>537399</v>
      </c>
      <c r="C422" s="632">
        <v>242079</v>
      </c>
      <c r="D422" s="638"/>
      <c r="E422" s="638">
        <f t="shared" si="23"/>
        <v>238092</v>
      </c>
      <c r="F422" s="632">
        <v>74310</v>
      </c>
      <c r="G422" s="632">
        <v>70097</v>
      </c>
      <c r="H422" s="638">
        <v>93685</v>
      </c>
      <c r="I422" s="638"/>
      <c r="J422" s="632">
        <v>3652</v>
      </c>
      <c r="K422" s="632">
        <v>37096</v>
      </c>
      <c r="L422" s="632">
        <v>16480</v>
      </c>
      <c r="Z422" s="600"/>
      <c r="AA422" s="600"/>
      <c r="AB422" s="600"/>
      <c r="AC422" s="600"/>
      <c r="AD422" s="600"/>
      <c r="AE422" s="600"/>
      <c r="AF422" s="600"/>
      <c r="AG422" s="600"/>
      <c r="AH422" s="600"/>
      <c r="AI422" s="600"/>
      <c r="AJ422" s="600"/>
    </row>
    <row r="423" spans="1:36" s="263" customFormat="1" ht="9" customHeight="1" x14ac:dyDescent="0.25">
      <c r="A423" s="603" t="s">
        <v>33</v>
      </c>
      <c r="B423" s="640">
        <f t="shared" si="22"/>
        <v>210581</v>
      </c>
      <c r="C423" s="634">
        <v>93602</v>
      </c>
      <c r="D423" s="640"/>
      <c r="E423" s="640">
        <f t="shared" si="23"/>
        <v>100878</v>
      </c>
      <c r="F423" s="634">
        <v>33079</v>
      </c>
      <c r="G423" s="634">
        <v>26708</v>
      </c>
      <c r="H423" s="640">
        <v>41091</v>
      </c>
      <c r="I423" s="640"/>
      <c r="J423" s="634">
        <v>876</v>
      </c>
      <c r="K423" s="634">
        <v>9444</v>
      </c>
      <c r="L423" s="634">
        <v>5781</v>
      </c>
      <c r="Z423" s="600"/>
      <c r="AA423" s="600"/>
      <c r="AB423" s="600"/>
      <c r="AC423" s="600"/>
      <c r="AD423" s="600"/>
      <c r="AE423" s="600"/>
      <c r="AF423" s="600"/>
      <c r="AG423" s="600"/>
      <c r="AH423" s="600"/>
      <c r="AI423" s="600"/>
      <c r="AJ423" s="600"/>
    </row>
    <row r="424" spans="1:36" s="263" customFormat="1" ht="9" customHeight="1" x14ac:dyDescent="0.25">
      <c r="A424" s="550" t="s">
        <v>34</v>
      </c>
      <c r="B424" s="638">
        <f t="shared" si="22"/>
        <v>210324</v>
      </c>
      <c r="C424" s="632">
        <v>101426</v>
      </c>
      <c r="D424" s="638"/>
      <c r="E424" s="638">
        <f t="shared" si="23"/>
        <v>83323</v>
      </c>
      <c r="F424" s="632">
        <v>26434</v>
      </c>
      <c r="G424" s="632">
        <v>22959</v>
      </c>
      <c r="H424" s="638">
        <v>33930</v>
      </c>
      <c r="I424" s="638"/>
      <c r="J424" s="632">
        <v>1190</v>
      </c>
      <c r="K424" s="632">
        <v>9743</v>
      </c>
      <c r="L424" s="632">
        <v>14642</v>
      </c>
      <c r="Z424" s="600"/>
      <c r="AA424" s="600"/>
      <c r="AB424" s="600"/>
      <c r="AC424" s="600"/>
      <c r="AD424" s="600"/>
      <c r="AE424" s="600"/>
      <c r="AF424" s="600"/>
      <c r="AG424" s="600"/>
      <c r="AH424" s="600"/>
      <c r="AI424" s="600"/>
      <c r="AJ424" s="600"/>
    </row>
    <row r="425" spans="1:36" s="263" customFormat="1" ht="9" customHeight="1" x14ac:dyDescent="0.25">
      <c r="A425" s="550" t="s">
        <v>35</v>
      </c>
      <c r="B425" s="638">
        <f t="shared" si="22"/>
        <v>667738</v>
      </c>
      <c r="C425" s="632">
        <v>221842</v>
      </c>
      <c r="D425" s="638"/>
      <c r="E425" s="638">
        <f t="shared" si="23"/>
        <v>375265</v>
      </c>
      <c r="F425" s="632">
        <v>99593</v>
      </c>
      <c r="G425" s="632">
        <v>99678</v>
      </c>
      <c r="H425" s="638">
        <v>175994</v>
      </c>
      <c r="I425" s="638"/>
      <c r="J425" s="632">
        <v>1627</v>
      </c>
      <c r="K425" s="632">
        <v>60289</v>
      </c>
      <c r="L425" s="632">
        <v>8715</v>
      </c>
      <c r="Z425" s="600"/>
      <c r="AA425" s="600"/>
      <c r="AB425" s="600"/>
      <c r="AC425" s="600"/>
      <c r="AD425" s="600"/>
      <c r="AE425" s="600"/>
      <c r="AF425" s="600"/>
      <c r="AG425" s="600"/>
      <c r="AH425" s="600"/>
      <c r="AI425" s="600"/>
      <c r="AJ425" s="600"/>
    </row>
    <row r="426" spans="1:36" s="263" customFormat="1" ht="9" customHeight="1" x14ac:dyDescent="0.25">
      <c r="A426" s="550" t="s">
        <v>36</v>
      </c>
      <c r="B426" s="638">
        <f t="shared" si="22"/>
        <v>1768118</v>
      </c>
      <c r="C426" s="632">
        <v>853358</v>
      </c>
      <c r="D426" s="638"/>
      <c r="E426" s="638">
        <f t="shared" si="23"/>
        <v>758304</v>
      </c>
      <c r="F426" s="632">
        <v>295073</v>
      </c>
      <c r="G426" s="632">
        <v>227216</v>
      </c>
      <c r="H426" s="638">
        <v>236015</v>
      </c>
      <c r="I426" s="638"/>
      <c r="J426" s="632">
        <v>16413</v>
      </c>
      <c r="K426" s="632">
        <v>109320</v>
      </c>
      <c r="L426" s="632">
        <v>30723</v>
      </c>
      <c r="Z426" s="600"/>
      <c r="AA426" s="600"/>
      <c r="AB426" s="600"/>
      <c r="AC426" s="600"/>
      <c r="AD426" s="600"/>
      <c r="AE426" s="600"/>
      <c r="AF426" s="600"/>
      <c r="AG426" s="600"/>
      <c r="AH426" s="600"/>
      <c r="AI426" s="600"/>
      <c r="AJ426" s="600"/>
    </row>
    <row r="427" spans="1:36" s="263" customFormat="1" ht="9" customHeight="1" x14ac:dyDescent="0.25">
      <c r="A427" s="603" t="s">
        <v>37</v>
      </c>
      <c r="B427" s="640">
        <f t="shared" si="22"/>
        <v>536976</v>
      </c>
      <c r="C427" s="634">
        <v>168833</v>
      </c>
      <c r="D427" s="640"/>
      <c r="E427" s="640">
        <f t="shared" si="23"/>
        <v>304446</v>
      </c>
      <c r="F427" s="634">
        <v>85040</v>
      </c>
      <c r="G427" s="634">
        <v>67790</v>
      </c>
      <c r="H427" s="640">
        <v>151616</v>
      </c>
      <c r="I427" s="640"/>
      <c r="J427" s="634">
        <v>4646</v>
      </c>
      <c r="K427" s="634">
        <v>55966</v>
      </c>
      <c r="L427" s="634">
        <v>3085</v>
      </c>
      <c r="Z427" s="600"/>
      <c r="AA427" s="600"/>
      <c r="AB427" s="600"/>
      <c r="AC427" s="600"/>
      <c r="AD427" s="600"/>
      <c r="AE427" s="600"/>
      <c r="AF427" s="600"/>
      <c r="AG427" s="600"/>
      <c r="AH427" s="600"/>
      <c r="AI427" s="600"/>
      <c r="AJ427" s="600"/>
    </row>
    <row r="428" spans="1:36" s="263" customFormat="1" ht="9" customHeight="1" x14ac:dyDescent="0.25">
      <c r="A428" s="550" t="s">
        <v>38</v>
      </c>
      <c r="B428" s="638">
        <f t="shared" si="22"/>
        <v>118647</v>
      </c>
      <c r="C428" s="632">
        <v>60853</v>
      </c>
      <c r="D428" s="638"/>
      <c r="E428" s="638">
        <f t="shared" si="23"/>
        <v>42363</v>
      </c>
      <c r="F428" s="632">
        <v>19537</v>
      </c>
      <c r="G428" s="632">
        <v>5492</v>
      </c>
      <c r="H428" s="638">
        <v>17334</v>
      </c>
      <c r="I428" s="638"/>
      <c r="J428" s="632">
        <v>196</v>
      </c>
      <c r="K428" s="632">
        <v>14400</v>
      </c>
      <c r="L428" s="632">
        <v>835</v>
      </c>
      <c r="Z428" s="600"/>
      <c r="AA428" s="600"/>
      <c r="AB428" s="600"/>
      <c r="AC428" s="600"/>
      <c r="AD428" s="600"/>
      <c r="AE428" s="600"/>
      <c r="AF428" s="600"/>
      <c r="AG428" s="600"/>
      <c r="AH428" s="600"/>
      <c r="AI428" s="600"/>
      <c r="AJ428" s="600"/>
    </row>
    <row r="429" spans="1:36" s="263" customFormat="1" ht="9" customHeight="1" x14ac:dyDescent="0.25">
      <c r="A429" s="550" t="s">
        <v>39</v>
      </c>
      <c r="B429" s="638">
        <f t="shared" si="22"/>
        <v>10114</v>
      </c>
      <c r="C429" s="632">
        <v>5638</v>
      </c>
      <c r="D429" s="638"/>
      <c r="E429" s="638">
        <f t="shared" si="23"/>
        <v>4174</v>
      </c>
      <c r="F429" s="632">
        <v>2366</v>
      </c>
      <c r="G429" s="632">
        <v>331</v>
      </c>
      <c r="H429" s="638">
        <v>1477</v>
      </c>
      <c r="I429" s="638"/>
      <c r="J429" s="632">
        <v>0</v>
      </c>
      <c r="K429" s="632">
        <v>277</v>
      </c>
      <c r="L429" s="632">
        <v>25</v>
      </c>
      <c r="Z429" s="600"/>
      <c r="AA429" s="600"/>
      <c r="AB429" s="600"/>
      <c r="AC429" s="600"/>
      <c r="AD429" s="600"/>
      <c r="AE429" s="600"/>
      <c r="AF429" s="600"/>
      <c r="AG429" s="600"/>
      <c r="AH429" s="600"/>
      <c r="AI429" s="600"/>
      <c r="AJ429" s="600"/>
    </row>
    <row r="430" spans="1:36" s="263" customFormat="1" ht="9" customHeight="1" x14ac:dyDescent="0.25">
      <c r="A430" s="550" t="s">
        <v>40</v>
      </c>
      <c r="B430" s="638">
        <f t="shared" si="22"/>
        <v>1224567</v>
      </c>
      <c r="C430" s="632">
        <v>274137</v>
      </c>
      <c r="D430" s="638"/>
      <c r="E430" s="638">
        <f t="shared" si="23"/>
        <v>584876</v>
      </c>
      <c r="F430" s="632">
        <v>134613</v>
      </c>
      <c r="G430" s="632">
        <v>154628</v>
      </c>
      <c r="H430" s="638">
        <v>295635</v>
      </c>
      <c r="I430" s="638"/>
      <c r="J430" s="632">
        <v>24953</v>
      </c>
      <c r="K430" s="632">
        <v>277874</v>
      </c>
      <c r="L430" s="632">
        <v>62727</v>
      </c>
      <c r="Z430" s="600"/>
      <c r="AA430" s="600"/>
      <c r="AB430" s="600"/>
      <c r="AC430" s="600"/>
      <c r="AD430" s="600"/>
      <c r="AE430" s="600"/>
      <c r="AF430" s="600"/>
      <c r="AG430" s="600"/>
      <c r="AH430" s="600"/>
      <c r="AI430" s="600"/>
      <c r="AJ430" s="600"/>
    </row>
    <row r="431" spans="1:36" s="263" customFormat="1" ht="9" customHeight="1" x14ac:dyDescent="0.25">
      <c r="A431" s="603" t="s">
        <v>41</v>
      </c>
      <c r="B431" s="640">
        <f t="shared" si="22"/>
        <v>309143</v>
      </c>
      <c r="C431" s="634">
        <v>134624</v>
      </c>
      <c r="D431" s="640"/>
      <c r="E431" s="640">
        <f t="shared" si="23"/>
        <v>146756</v>
      </c>
      <c r="F431" s="634">
        <v>40069</v>
      </c>
      <c r="G431" s="634">
        <v>35836</v>
      </c>
      <c r="H431" s="640">
        <v>70851</v>
      </c>
      <c r="I431" s="640"/>
      <c r="J431" s="634">
        <v>5691</v>
      </c>
      <c r="K431" s="634">
        <v>10111</v>
      </c>
      <c r="L431" s="634">
        <v>11961</v>
      </c>
      <c r="Z431" s="600"/>
      <c r="AA431" s="600"/>
      <c r="AB431" s="600"/>
      <c r="AC431" s="600"/>
      <c r="AD431" s="600"/>
      <c r="AE431" s="600"/>
      <c r="AF431" s="600"/>
      <c r="AG431" s="600"/>
      <c r="AH431" s="600"/>
      <c r="AI431" s="600"/>
      <c r="AJ431" s="600"/>
    </row>
    <row r="432" spans="1:36" s="263" customFormat="1" ht="9" customHeight="1" x14ac:dyDescent="0.25">
      <c r="A432" s="550" t="s">
        <v>42</v>
      </c>
      <c r="B432" s="638">
        <f t="shared" si="22"/>
        <v>392211</v>
      </c>
      <c r="C432" s="632">
        <v>155699</v>
      </c>
      <c r="D432" s="638"/>
      <c r="E432" s="638">
        <f t="shared" si="23"/>
        <v>196881</v>
      </c>
      <c r="F432" s="632">
        <v>76293</v>
      </c>
      <c r="G432" s="632">
        <v>36571</v>
      </c>
      <c r="H432" s="638">
        <v>84017</v>
      </c>
      <c r="I432" s="638"/>
      <c r="J432" s="632">
        <v>3543</v>
      </c>
      <c r="K432" s="632">
        <v>30550</v>
      </c>
      <c r="L432" s="632">
        <v>5538</v>
      </c>
      <c r="Z432" s="600"/>
      <c r="AA432" s="600"/>
      <c r="AB432" s="600"/>
      <c r="AC432" s="600"/>
      <c r="AD432" s="600"/>
      <c r="AE432" s="600"/>
      <c r="AF432" s="600"/>
      <c r="AG432" s="600"/>
      <c r="AH432" s="600"/>
      <c r="AI432" s="600"/>
      <c r="AJ432" s="600"/>
    </row>
    <row r="433" spans="1:36" s="263" customFormat="1" ht="9" customHeight="1" x14ac:dyDescent="0.25">
      <c r="A433" s="550" t="s">
        <v>43</v>
      </c>
      <c r="B433" s="638">
        <f t="shared" si="22"/>
        <v>203052</v>
      </c>
      <c r="C433" s="632">
        <v>79566</v>
      </c>
      <c r="D433" s="638"/>
      <c r="E433" s="638">
        <f t="shared" si="23"/>
        <v>98995</v>
      </c>
      <c r="F433" s="632">
        <v>25455</v>
      </c>
      <c r="G433" s="632">
        <v>23322</v>
      </c>
      <c r="H433" s="638">
        <v>50218</v>
      </c>
      <c r="I433" s="638"/>
      <c r="J433" s="632">
        <v>425</v>
      </c>
      <c r="K433" s="632">
        <v>22110</v>
      </c>
      <c r="L433" s="632">
        <v>1956</v>
      </c>
      <c r="Z433" s="600"/>
      <c r="AA433" s="600"/>
      <c r="AB433" s="600"/>
      <c r="AC433" s="600"/>
      <c r="AD433" s="600"/>
      <c r="AE433" s="600"/>
      <c r="AF433" s="600"/>
      <c r="AG433" s="600"/>
      <c r="AH433" s="600"/>
      <c r="AI433" s="600"/>
      <c r="AJ433" s="600"/>
    </row>
    <row r="434" spans="1:36" s="263" customFormat="1" ht="9" customHeight="1" x14ac:dyDescent="0.25">
      <c r="A434" s="550" t="s">
        <v>44</v>
      </c>
      <c r="B434" s="638">
        <f t="shared" si="22"/>
        <v>248583</v>
      </c>
      <c r="C434" s="632">
        <v>75238</v>
      </c>
      <c r="D434" s="638"/>
      <c r="E434" s="638">
        <f t="shared" si="23"/>
        <v>137441</v>
      </c>
      <c r="F434" s="632">
        <v>53434</v>
      </c>
      <c r="G434" s="632">
        <v>25089</v>
      </c>
      <c r="H434" s="638">
        <v>58918</v>
      </c>
      <c r="I434" s="638"/>
      <c r="J434" s="632">
        <v>531</v>
      </c>
      <c r="K434" s="632">
        <v>19318</v>
      </c>
      <c r="L434" s="632">
        <v>16055</v>
      </c>
      <c r="Z434" s="600"/>
      <c r="AA434" s="600"/>
      <c r="AB434" s="600"/>
      <c r="AC434" s="600"/>
      <c r="AD434" s="600"/>
      <c r="AE434" s="600"/>
      <c r="AF434" s="600"/>
      <c r="AG434" s="600"/>
      <c r="AH434" s="600"/>
      <c r="AI434" s="600"/>
      <c r="AJ434" s="600"/>
    </row>
    <row r="435" spans="1:36" s="263" customFormat="1" ht="9" customHeight="1" x14ac:dyDescent="0.25">
      <c r="A435" s="603" t="s">
        <v>45</v>
      </c>
      <c r="B435" s="640">
        <f t="shared" si="22"/>
        <v>127190</v>
      </c>
      <c r="C435" s="634">
        <v>47083</v>
      </c>
      <c r="D435" s="640"/>
      <c r="E435" s="640">
        <f t="shared" si="23"/>
        <v>51377</v>
      </c>
      <c r="F435" s="634">
        <v>19371</v>
      </c>
      <c r="G435" s="634">
        <v>14804</v>
      </c>
      <c r="H435" s="640">
        <v>17202</v>
      </c>
      <c r="I435" s="640"/>
      <c r="J435" s="634">
        <v>859</v>
      </c>
      <c r="K435" s="634">
        <v>26148</v>
      </c>
      <c r="L435" s="634">
        <v>1723</v>
      </c>
      <c r="Z435" s="600"/>
      <c r="AA435" s="600"/>
      <c r="AB435" s="600"/>
      <c r="AC435" s="600"/>
      <c r="AD435" s="600"/>
      <c r="AE435" s="600"/>
      <c r="AF435" s="600"/>
      <c r="AG435" s="600"/>
      <c r="AH435" s="600"/>
      <c r="AI435" s="600"/>
      <c r="AJ435" s="600"/>
    </row>
    <row r="436" spans="1:36" s="263" customFormat="1" ht="9" customHeight="1" x14ac:dyDescent="0.25">
      <c r="A436" s="550" t="s">
        <v>46</v>
      </c>
      <c r="B436" s="638">
        <f t="shared" si="22"/>
        <v>172070</v>
      </c>
      <c r="C436" s="632">
        <v>46932</v>
      </c>
      <c r="D436" s="638"/>
      <c r="E436" s="638">
        <f t="shared" si="23"/>
        <v>109641</v>
      </c>
      <c r="F436" s="632">
        <v>30121</v>
      </c>
      <c r="G436" s="632">
        <v>23116</v>
      </c>
      <c r="H436" s="638">
        <v>56404</v>
      </c>
      <c r="I436" s="638"/>
      <c r="J436" s="632">
        <v>1136</v>
      </c>
      <c r="K436" s="632">
        <v>13103</v>
      </c>
      <c r="L436" s="632">
        <v>1258</v>
      </c>
      <c r="Z436" s="600"/>
      <c r="AA436" s="600"/>
      <c r="AB436" s="600"/>
      <c r="AC436" s="600"/>
      <c r="AD436" s="600"/>
      <c r="AE436" s="600"/>
      <c r="AF436" s="600"/>
      <c r="AG436" s="600"/>
      <c r="AH436" s="600"/>
      <c r="AI436" s="600"/>
      <c r="AJ436" s="600"/>
    </row>
    <row r="437" spans="1:36" s="263" customFormat="1" ht="9" customHeight="1" x14ac:dyDescent="0.25">
      <c r="A437" s="550" t="s">
        <v>47</v>
      </c>
      <c r="B437" s="638">
        <f t="shared" si="22"/>
        <v>260417</v>
      </c>
      <c r="C437" s="632">
        <v>123484</v>
      </c>
      <c r="D437" s="638"/>
      <c r="E437" s="638">
        <f t="shared" si="23"/>
        <v>79317</v>
      </c>
      <c r="F437" s="632">
        <v>18371</v>
      </c>
      <c r="G437" s="632">
        <v>20204</v>
      </c>
      <c r="H437" s="638">
        <v>40742</v>
      </c>
      <c r="I437" s="638"/>
      <c r="J437" s="632">
        <v>1450</v>
      </c>
      <c r="K437" s="632">
        <v>51051</v>
      </c>
      <c r="L437" s="632">
        <v>5115</v>
      </c>
      <c r="Z437" s="600"/>
      <c r="AA437" s="600"/>
      <c r="AB437" s="600"/>
      <c r="AC437" s="600"/>
      <c r="AD437" s="600"/>
      <c r="AE437" s="600"/>
      <c r="AF437" s="600"/>
      <c r="AG437" s="600"/>
      <c r="AH437" s="600"/>
      <c r="AI437" s="600"/>
      <c r="AJ437" s="600"/>
    </row>
    <row r="438" spans="1:36" s="263" customFormat="1" ht="9" customHeight="1" x14ac:dyDescent="0.25">
      <c r="A438" s="550" t="s">
        <v>48</v>
      </c>
      <c r="B438" s="638">
        <f t="shared" si="22"/>
        <v>116595</v>
      </c>
      <c r="C438" s="632">
        <v>52072</v>
      </c>
      <c r="D438" s="638"/>
      <c r="E438" s="638">
        <f t="shared" si="23"/>
        <v>36520</v>
      </c>
      <c r="F438" s="632">
        <v>12843</v>
      </c>
      <c r="G438" s="632">
        <v>10343</v>
      </c>
      <c r="H438" s="638">
        <v>13334</v>
      </c>
      <c r="I438" s="638"/>
      <c r="J438" s="632">
        <v>1068</v>
      </c>
      <c r="K438" s="632">
        <v>26688</v>
      </c>
      <c r="L438" s="632">
        <v>247</v>
      </c>
      <c r="Z438" s="600"/>
      <c r="AA438" s="600"/>
      <c r="AB438" s="600"/>
      <c r="AC438" s="600"/>
      <c r="AD438" s="600"/>
      <c r="AE438" s="600"/>
      <c r="AF438" s="600"/>
      <c r="AG438" s="600"/>
      <c r="AH438" s="600"/>
      <c r="AI438" s="600"/>
      <c r="AJ438" s="600"/>
    </row>
    <row r="439" spans="1:36" s="263" customFormat="1" ht="9" customHeight="1" x14ac:dyDescent="0.25">
      <c r="A439" s="603" t="s">
        <v>49</v>
      </c>
      <c r="B439" s="640">
        <f t="shared" si="22"/>
        <v>199495</v>
      </c>
      <c r="C439" s="634">
        <v>83306</v>
      </c>
      <c r="D439" s="640"/>
      <c r="E439" s="640">
        <f t="shared" si="23"/>
        <v>87603</v>
      </c>
      <c r="F439" s="634">
        <v>20009</v>
      </c>
      <c r="G439" s="634">
        <v>24852</v>
      </c>
      <c r="H439" s="640">
        <v>42742</v>
      </c>
      <c r="I439" s="640"/>
      <c r="J439" s="634">
        <v>2630</v>
      </c>
      <c r="K439" s="634">
        <v>21072</v>
      </c>
      <c r="L439" s="634">
        <v>4884</v>
      </c>
      <c r="Z439" s="600"/>
      <c r="AA439" s="600"/>
      <c r="AB439" s="600"/>
      <c r="AC439" s="600"/>
      <c r="AD439" s="600"/>
      <c r="AE439" s="600"/>
      <c r="AF439" s="600"/>
      <c r="AG439" s="600"/>
      <c r="AH439" s="600"/>
      <c r="AI439" s="600"/>
      <c r="AJ439" s="600"/>
    </row>
    <row r="440" spans="1:36" s="263" customFormat="1" ht="9" customHeight="1" x14ac:dyDescent="0.25">
      <c r="A440" s="550" t="s">
        <v>50</v>
      </c>
      <c r="B440" s="638">
        <f t="shared" si="22"/>
        <v>69266</v>
      </c>
      <c r="C440" s="632">
        <v>38752</v>
      </c>
      <c r="D440" s="638"/>
      <c r="E440" s="638">
        <f t="shared" si="23"/>
        <v>27021</v>
      </c>
      <c r="F440" s="632">
        <v>10705</v>
      </c>
      <c r="G440" s="632">
        <v>7654</v>
      </c>
      <c r="H440" s="638">
        <v>8662</v>
      </c>
      <c r="I440" s="638"/>
      <c r="J440" s="632">
        <v>67</v>
      </c>
      <c r="K440" s="632">
        <v>2224</v>
      </c>
      <c r="L440" s="632">
        <v>1202</v>
      </c>
      <c r="Z440" s="600"/>
      <c r="AA440" s="600"/>
      <c r="AB440" s="600"/>
      <c r="AC440" s="600"/>
      <c r="AD440" s="600"/>
      <c r="AE440" s="600"/>
      <c r="AF440" s="600"/>
      <c r="AG440" s="600"/>
      <c r="AH440" s="600"/>
      <c r="AI440" s="600"/>
      <c r="AJ440" s="600"/>
    </row>
    <row r="441" spans="1:36" s="263" customFormat="1" ht="9" customHeight="1" x14ac:dyDescent="0.25">
      <c r="A441" s="550" t="s">
        <v>51</v>
      </c>
      <c r="B441" s="638">
        <f t="shared" si="22"/>
        <v>334593</v>
      </c>
      <c r="C441" s="632">
        <v>153275</v>
      </c>
      <c r="D441" s="638"/>
      <c r="E441" s="638">
        <f t="shared" si="23"/>
        <v>135721</v>
      </c>
      <c r="F441" s="632">
        <v>52397</v>
      </c>
      <c r="G441" s="632">
        <v>33069</v>
      </c>
      <c r="H441" s="638">
        <v>50255</v>
      </c>
      <c r="I441" s="638"/>
      <c r="J441" s="632">
        <v>618</v>
      </c>
      <c r="K441" s="632">
        <v>39302</v>
      </c>
      <c r="L441" s="632">
        <v>5677</v>
      </c>
      <c r="Z441" s="600"/>
      <c r="AA441" s="600"/>
      <c r="AB441" s="600"/>
      <c r="AC441" s="600"/>
      <c r="AD441" s="600"/>
      <c r="AE441" s="600"/>
      <c r="AF441" s="600"/>
      <c r="AG441" s="600"/>
      <c r="AH441" s="600"/>
      <c r="AI441" s="600"/>
      <c r="AJ441" s="600"/>
    </row>
    <row r="442" spans="1:36" s="263" customFormat="1" ht="9" customHeight="1" x14ac:dyDescent="0.25">
      <c r="A442" s="550" t="s">
        <v>52</v>
      </c>
      <c r="B442" s="638">
        <f t="shared" si="22"/>
        <v>205853</v>
      </c>
      <c r="C442" s="632">
        <v>63167</v>
      </c>
      <c r="D442" s="638"/>
      <c r="E442" s="638">
        <f t="shared" si="23"/>
        <v>111282</v>
      </c>
      <c r="F442" s="632">
        <v>33085</v>
      </c>
      <c r="G442" s="632">
        <v>41092</v>
      </c>
      <c r="H442" s="638">
        <v>37105</v>
      </c>
      <c r="I442" s="638"/>
      <c r="J442" s="632">
        <v>0</v>
      </c>
      <c r="K442" s="632">
        <v>25853</v>
      </c>
      <c r="L442" s="632">
        <v>5551</v>
      </c>
      <c r="Z442" s="600"/>
      <c r="AA442" s="600"/>
      <c r="AB442" s="600"/>
      <c r="AC442" s="600"/>
      <c r="AD442" s="600"/>
      <c r="AE442" s="600"/>
      <c r="AF442" s="600"/>
      <c r="AG442" s="600"/>
      <c r="AH442" s="600"/>
      <c r="AI442" s="600"/>
      <c r="AJ442" s="600"/>
    </row>
    <row r="443" spans="1:36" s="263" customFormat="1" ht="9" customHeight="1" x14ac:dyDescent="0.25">
      <c r="A443" s="267" t="s">
        <v>53</v>
      </c>
      <c r="B443" s="599">
        <f t="shared" si="22"/>
        <v>65932</v>
      </c>
      <c r="C443" s="604">
        <v>26512</v>
      </c>
      <c r="D443" s="599"/>
      <c r="E443" s="599">
        <f t="shared" si="23"/>
        <v>33777</v>
      </c>
      <c r="F443" s="604">
        <v>12084</v>
      </c>
      <c r="G443" s="604">
        <v>7545</v>
      </c>
      <c r="H443" s="599">
        <v>14148</v>
      </c>
      <c r="I443" s="599"/>
      <c r="J443" s="604">
        <v>62</v>
      </c>
      <c r="K443" s="604">
        <v>3278</v>
      </c>
      <c r="L443" s="604">
        <v>2303</v>
      </c>
      <c r="Z443" s="600"/>
      <c r="AA443" s="600"/>
      <c r="AB443" s="600"/>
      <c r="AC443" s="600"/>
      <c r="AD443" s="600"/>
      <c r="AE443" s="600"/>
      <c r="AF443" s="600"/>
      <c r="AG443" s="600"/>
      <c r="AH443" s="600"/>
      <c r="AI443" s="600"/>
      <c r="AJ443" s="600"/>
    </row>
    <row r="444" spans="1:36" s="263" customFormat="1" ht="9" customHeight="1" x14ac:dyDescent="0.25">
      <c r="A444" s="286"/>
      <c r="B444" s="613"/>
      <c r="C444" s="605"/>
      <c r="D444" s="613"/>
      <c r="E444" s="613"/>
      <c r="F444" s="605"/>
      <c r="G444" s="605"/>
      <c r="H444" s="613"/>
      <c r="I444" s="613"/>
      <c r="J444" s="605"/>
      <c r="K444" s="605"/>
      <c r="L444" s="605"/>
      <c r="M444" s="286"/>
      <c r="Z444" s="600"/>
      <c r="AA444" s="600"/>
      <c r="AB444" s="600"/>
      <c r="AC444" s="600"/>
      <c r="AD444" s="600"/>
      <c r="AE444" s="600"/>
      <c r="AF444" s="600"/>
      <c r="AG444" s="600"/>
      <c r="AH444" s="600"/>
      <c r="AI444" s="600"/>
      <c r="AJ444" s="600"/>
    </row>
    <row r="445" spans="1:36" s="263" customFormat="1" ht="9" customHeight="1" x14ac:dyDescent="0.25">
      <c r="A445" s="601">
        <v>2007</v>
      </c>
      <c r="B445" s="597"/>
      <c r="C445" s="597"/>
      <c r="D445" s="597"/>
      <c r="E445" s="597"/>
      <c r="F445" s="597"/>
      <c r="G445" s="597"/>
      <c r="H445" s="597"/>
      <c r="I445" s="597"/>
      <c r="J445" s="597"/>
      <c r="K445" s="597"/>
      <c r="L445" s="597"/>
      <c r="Z445" s="600"/>
      <c r="AA445" s="600"/>
      <c r="AB445" s="600"/>
      <c r="AC445" s="600"/>
      <c r="AD445" s="600"/>
      <c r="AE445" s="600"/>
      <c r="AF445" s="600"/>
      <c r="AG445" s="600"/>
      <c r="AH445" s="600"/>
      <c r="AI445" s="600"/>
      <c r="AJ445" s="600"/>
    </row>
    <row r="446" spans="1:36" s="263" customFormat="1" ht="9" customHeight="1" x14ac:dyDescent="0.25">
      <c r="A446" s="265" t="s">
        <v>21</v>
      </c>
      <c r="B446" s="597">
        <f>SUM(B448:B479)</f>
        <v>11980174</v>
      </c>
      <c r="C446" s="597">
        <f>SUM(C448:C479)</f>
        <v>4304848</v>
      </c>
      <c r="D446" s="597"/>
      <c r="E446" s="597">
        <f>SUM(E448:E479)</f>
        <v>5830963</v>
      </c>
      <c r="F446" s="597">
        <f>SUM(F448:F479)</f>
        <v>1556554</v>
      </c>
      <c r="G446" s="597">
        <f>SUM(G448:G479)</f>
        <v>1338605</v>
      </c>
      <c r="H446" s="597">
        <f>SUM(H448:H479)</f>
        <v>2935804</v>
      </c>
      <c r="I446" s="597"/>
      <c r="J446" s="597">
        <f>SUM(J448:J479)</f>
        <v>117480</v>
      </c>
      <c r="K446" s="597">
        <f>SUM(K448:K479)</f>
        <v>1473172</v>
      </c>
      <c r="L446" s="597">
        <f>SUM(L448:L479)</f>
        <v>253711</v>
      </c>
      <c r="Z446" s="600"/>
      <c r="AA446" s="600"/>
      <c r="AB446" s="600"/>
      <c r="AC446" s="600"/>
      <c r="AD446" s="600"/>
      <c r="AE446" s="600"/>
      <c r="AF446" s="600"/>
      <c r="AG446" s="600"/>
      <c r="AH446" s="600"/>
      <c r="AI446" s="600"/>
      <c r="AJ446" s="600"/>
    </row>
    <row r="447" spans="1:36" s="263" customFormat="1" ht="3.95" customHeight="1" x14ac:dyDescent="0.25">
      <c r="A447" s="265"/>
      <c r="B447" s="597"/>
      <c r="C447" s="597"/>
      <c r="D447" s="597"/>
      <c r="E447" s="597"/>
      <c r="F447" s="597"/>
      <c r="G447" s="597"/>
      <c r="H447" s="597"/>
      <c r="I447" s="597"/>
      <c r="J447" s="597"/>
      <c r="K447" s="597"/>
      <c r="L447" s="597"/>
      <c r="Z447" s="600"/>
      <c r="AA447" s="600"/>
      <c r="AB447" s="600"/>
      <c r="AC447" s="600"/>
      <c r="AD447" s="600"/>
      <c r="AE447" s="600"/>
      <c r="AF447" s="600"/>
      <c r="AG447" s="600"/>
      <c r="AH447" s="600"/>
      <c r="AI447" s="600"/>
      <c r="AJ447" s="600"/>
    </row>
    <row r="448" spans="1:36" s="263" customFormat="1" ht="9" customHeight="1" x14ac:dyDescent="0.25">
      <c r="A448" s="550" t="s">
        <v>23</v>
      </c>
      <c r="B448" s="638">
        <f t="shared" ref="B448:B479" si="24">SUM(C448+E448+J448+K448+L448)</f>
        <v>81383</v>
      </c>
      <c r="C448" s="632">
        <v>43421</v>
      </c>
      <c r="D448" s="638"/>
      <c r="E448" s="638">
        <f t="shared" ref="E448:E479" si="25">SUM(F448:H448)</f>
        <v>35581</v>
      </c>
      <c r="F448" s="632">
        <v>15459</v>
      </c>
      <c r="G448" s="632">
        <v>7305</v>
      </c>
      <c r="H448" s="638">
        <v>12817</v>
      </c>
      <c r="I448" s="638"/>
      <c r="J448" s="632">
        <v>191</v>
      </c>
      <c r="K448" s="632">
        <v>1611</v>
      </c>
      <c r="L448" s="632">
        <v>579</v>
      </c>
      <c r="Z448" s="600"/>
      <c r="AA448" s="600"/>
      <c r="AB448" s="600"/>
      <c r="AC448" s="600"/>
      <c r="AD448" s="600"/>
      <c r="AE448" s="600"/>
      <c r="AF448" s="600"/>
      <c r="AG448" s="600"/>
      <c r="AH448" s="600"/>
      <c r="AI448" s="600"/>
      <c r="AJ448" s="600"/>
    </row>
    <row r="449" spans="1:36" s="263" customFormat="1" ht="9" customHeight="1" x14ac:dyDescent="0.25">
      <c r="A449" s="550" t="s">
        <v>24</v>
      </c>
      <c r="B449" s="638">
        <f t="shared" si="24"/>
        <v>565753</v>
      </c>
      <c r="C449" s="638">
        <v>243467</v>
      </c>
      <c r="D449" s="638"/>
      <c r="E449" s="638">
        <f t="shared" si="25"/>
        <v>285704</v>
      </c>
      <c r="F449" s="638">
        <v>79090</v>
      </c>
      <c r="G449" s="638">
        <v>91135</v>
      </c>
      <c r="H449" s="638">
        <v>115479</v>
      </c>
      <c r="I449" s="638"/>
      <c r="J449" s="638">
        <v>1015</v>
      </c>
      <c r="K449" s="638">
        <v>28255</v>
      </c>
      <c r="L449" s="638">
        <v>7312</v>
      </c>
      <c r="Z449" s="600"/>
      <c r="AA449" s="600"/>
      <c r="AB449" s="600"/>
      <c r="AC449" s="600"/>
      <c r="AD449" s="600"/>
      <c r="AE449" s="600"/>
      <c r="AF449" s="600"/>
      <c r="AG449" s="600"/>
      <c r="AH449" s="600"/>
      <c r="AI449" s="600"/>
      <c r="AJ449" s="600"/>
    </row>
    <row r="450" spans="1:36" s="263" customFormat="1" ht="9" customHeight="1" x14ac:dyDescent="0.25">
      <c r="A450" s="550" t="s">
        <v>25</v>
      </c>
      <c r="B450" s="638">
        <f t="shared" si="24"/>
        <v>43819</v>
      </c>
      <c r="C450" s="632">
        <v>28406</v>
      </c>
      <c r="D450" s="638"/>
      <c r="E450" s="638">
        <f t="shared" si="25"/>
        <v>10643</v>
      </c>
      <c r="F450" s="632">
        <v>2685</v>
      </c>
      <c r="G450" s="632">
        <v>1083</v>
      </c>
      <c r="H450" s="638">
        <v>6875</v>
      </c>
      <c r="I450" s="638"/>
      <c r="J450" s="632">
        <v>1188</v>
      </c>
      <c r="K450" s="632">
        <v>2499</v>
      </c>
      <c r="L450" s="632">
        <v>1083</v>
      </c>
      <c r="Z450" s="600"/>
      <c r="AA450" s="600"/>
      <c r="AB450" s="600"/>
      <c r="AC450" s="600"/>
      <c r="AD450" s="600"/>
      <c r="AE450" s="600"/>
      <c r="AF450" s="600"/>
      <c r="AG450" s="600"/>
      <c r="AH450" s="600"/>
      <c r="AI450" s="600"/>
      <c r="AJ450" s="600"/>
    </row>
    <row r="451" spans="1:36" s="263" customFormat="1" ht="9" customHeight="1" x14ac:dyDescent="0.25">
      <c r="A451" s="603" t="s">
        <v>26</v>
      </c>
      <c r="B451" s="640">
        <f t="shared" si="24"/>
        <v>21111</v>
      </c>
      <c r="C451" s="634">
        <v>5231</v>
      </c>
      <c r="D451" s="640"/>
      <c r="E451" s="640">
        <f t="shared" si="25"/>
        <v>9232</v>
      </c>
      <c r="F451" s="634">
        <v>3195</v>
      </c>
      <c r="G451" s="634">
        <v>4085</v>
      </c>
      <c r="H451" s="640">
        <v>1952</v>
      </c>
      <c r="I451" s="640"/>
      <c r="J451" s="634">
        <v>0</v>
      </c>
      <c r="K451" s="634">
        <v>6639</v>
      </c>
      <c r="L451" s="634">
        <v>9</v>
      </c>
      <c r="Z451" s="600"/>
      <c r="AA451" s="600"/>
      <c r="AB451" s="600"/>
      <c r="AC451" s="600"/>
      <c r="AD451" s="600"/>
      <c r="AE451" s="600"/>
      <c r="AF451" s="600"/>
      <c r="AG451" s="600"/>
      <c r="AH451" s="600"/>
      <c r="AI451" s="600"/>
      <c r="AJ451" s="600"/>
    </row>
    <row r="452" spans="1:36" s="263" customFormat="1" ht="9" customHeight="1" x14ac:dyDescent="0.25">
      <c r="A452" s="550" t="s">
        <v>27</v>
      </c>
      <c r="B452" s="638">
        <f t="shared" si="24"/>
        <v>167754</v>
      </c>
      <c r="C452" s="632">
        <v>18777</v>
      </c>
      <c r="D452" s="638"/>
      <c r="E452" s="638">
        <f t="shared" si="25"/>
        <v>87919</v>
      </c>
      <c r="F452" s="632">
        <v>25032</v>
      </c>
      <c r="G452" s="632">
        <v>21625</v>
      </c>
      <c r="H452" s="638">
        <v>41262</v>
      </c>
      <c r="I452" s="638"/>
      <c r="J452" s="632">
        <v>30</v>
      </c>
      <c r="K452" s="632">
        <v>60541</v>
      </c>
      <c r="L452" s="632">
        <v>487</v>
      </c>
      <c r="Z452" s="600"/>
      <c r="AA452" s="600"/>
      <c r="AB452" s="600"/>
      <c r="AC452" s="600"/>
      <c r="AD452" s="600"/>
      <c r="AE452" s="600"/>
      <c r="AF452" s="600"/>
      <c r="AG452" s="600"/>
      <c r="AH452" s="600"/>
      <c r="AI452" s="600"/>
      <c r="AJ452" s="600"/>
    </row>
    <row r="453" spans="1:36" s="263" customFormat="1" ht="9" customHeight="1" x14ac:dyDescent="0.25">
      <c r="A453" s="550" t="s">
        <v>28</v>
      </c>
      <c r="B453" s="638">
        <f t="shared" si="24"/>
        <v>38397</v>
      </c>
      <c r="C453" s="632">
        <v>12115</v>
      </c>
      <c r="D453" s="638"/>
      <c r="E453" s="638">
        <f t="shared" si="25"/>
        <v>20696</v>
      </c>
      <c r="F453" s="632">
        <v>4873</v>
      </c>
      <c r="G453" s="632">
        <v>8013</v>
      </c>
      <c r="H453" s="638">
        <v>7810</v>
      </c>
      <c r="I453" s="638"/>
      <c r="J453" s="632">
        <v>0</v>
      </c>
      <c r="K453" s="632">
        <v>5437</v>
      </c>
      <c r="L453" s="632">
        <v>149</v>
      </c>
      <c r="Z453" s="600"/>
      <c r="AA453" s="600"/>
      <c r="AB453" s="600"/>
      <c r="AC453" s="600"/>
      <c r="AD453" s="600"/>
      <c r="AE453" s="600"/>
      <c r="AF453" s="600"/>
      <c r="AG453" s="600"/>
      <c r="AH453" s="600"/>
      <c r="AI453" s="600"/>
      <c r="AJ453" s="600"/>
    </row>
    <row r="454" spans="1:36" s="263" customFormat="1" ht="9" customHeight="1" x14ac:dyDescent="0.25">
      <c r="A454" s="550" t="s">
        <v>29</v>
      </c>
      <c r="B454" s="638">
        <f t="shared" si="24"/>
        <v>159207</v>
      </c>
      <c r="C454" s="632">
        <v>76870</v>
      </c>
      <c r="D454" s="638"/>
      <c r="E454" s="638">
        <f t="shared" si="25"/>
        <v>72250</v>
      </c>
      <c r="F454" s="632">
        <v>30012</v>
      </c>
      <c r="G454" s="632">
        <v>14062</v>
      </c>
      <c r="H454" s="638">
        <v>28176</v>
      </c>
      <c r="I454" s="638"/>
      <c r="J454" s="632">
        <v>265</v>
      </c>
      <c r="K454" s="632">
        <v>8485</v>
      </c>
      <c r="L454" s="632">
        <v>1337</v>
      </c>
      <c r="Z454" s="600"/>
      <c r="AA454" s="600"/>
      <c r="AB454" s="600"/>
      <c r="AC454" s="600"/>
      <c r="AD454" s="600"/>
      <c r="AE454" s="600"/>
      <c r="AF454" s="600"/>
      <c r="AG454" s="600"/>
      <c r="AH454" s="600"/>
      <c r="AI454" s="600"/>
      <c r="AJ454" s="600"/>
    </row>
    <row r="455" spans="1:36" s="263" customFormat="1" ht="9" customHeight="1" x14ac:dyDescent="0.25">
      <c r="A455" s="603" t="s">
        <v>30</v>
      </c>
      <c r="B455" s="640">
        <f t="shared" si="24"/>
        <v>530409</v>
      </c>
      <c r="C455" s="634">
        <v>259112</v>
      </c>
      <c r="D455" s="640"/>
      <c r="E455" s="640">
        <f t="shared" si="25"/>
        <v>150208</v>
      </c>
      <c r="F455" s="634">
        <v>54462</v>
      </c>
      <c r="G455" s="634">
        <v>53605</v>
      </c>
      <c r="H455" s="640">
        <v>42141</v>
      </c>
      <c r="I455" s="640"/>
      <c r="J455" s="634">
        <v>23415</v>
      </c>
      <c r="K455" s="634">
        <v>93607</v>
      </c>
      <c r="L455" s="634">
        <v>4067</v>
      </c>
      <c r="Z455" s="600"/>
      <c r="AA455" s="600"/>
      <c r="AB455" s="600"/>
      <c r="AC455" s="600"/>
      <c r="AD455" s="600"/>
      <c r="AE455" s="600"/>
      <c r="AF455" s="600"/>
      <c r="AG455" s="600"/>
      <c r="AH455" s="600"/>
      <c r="AI455" s="600"/>
      <c r="AJ455" s="600"/>
    </row>
    <row r="456" spans="1:36" s="263" customFormat="1" ht="9" customHeight="1" x14ac:dyDescent="0.25">
      <c r="A456" s="550" t="s">
        <v>63</v>
      </c>
      <c r="B456" s="638">
        <f t="shared" si="24"/>
        <v>2586615</v>
      </c>
      <c r="C456" s="632">
        <v>633254</v>
      </c>
      <c r="D456" s="638"/>
      <c r="E456" s="638">
        <f t="shared" si="25"/>
        <v>1492421</v>
      </c>
      <c r="F456" s="632">
        <v>233512</v>
      </c>
      <c r="G456" s="632">
        <v>190128</v>
      </c>
      <c r="H456" s="638">
        <v>1068781</v>
      </c>
      <c r="I456" s="638"/>
      <c r="J456" s="632">
        <v>29070</v>
      </c>
      <c r="K456" s="632">
        <v>378875</v>
      </c>
      <c r="L456" s="632">
        <v>52995</v>
      </c>
      <c r="Z456" s="600"/>
      <c r="AA456" s="600"/>
      <c r="AB456" s="600"/>
      <c r="AC456" s="600"/>
      <c r="AD456" s="600"/>
      <c r="AE456" s="600"/>
      <c r="AF456" s="600"/>
      <c r="AG456" s="600"/>
      <c r="AH456" s="600"/>
      <c r="AI456" s="600"/>
      <c r="AJ456" s="600"/>
    </row>
    <row r="457" spans="1:36" s="263" customFormat="1" ht="9" customHeight="1" x14ac:dyDescent="0.25">
      <c r="A457" s="550" t="s">
        <v>31</v>
      </c>
      <c r="B457" s="638">
        <f t="shared" si="24"/>
        <v>42976</v>
      </c>
      <c r="C457" s="632">
        <v>26026</v>
      </c>
      <c r="D457" s="638"/>
      <c r="E457" s="638">
        <f t="shared" si="25"/>
        <v>14776</v>
      </c>
      <c r="F457" s="632">
        <v>3869</v>
      </c>
      <c r="G457" s="632">
        <v>2376</v>
      </c>
      <c r="H457" s="638">
        <v>8531</v>
      </c>
      <c r="I457" s="638"/>
      <c r="J457" s="632">
        <v>301</v>
      </c>
      <c r="K457" s="632">
        <v>1671</v>
      </c>
      <c r="L457" s="632">
        <v>202</v>
      </c>
      <c r="Z457" s="600"/>
      <c r="AA457" s="600"/>
      <c r="AB457" s="600"/>
      <c r="AC457" s="600"/>
      <c r="AD457" s="600"/>
      <c r="AE457" s="600"/>
      <c r="AF457" s="600"/>
      <c r="AG457" s="600"/>
      <c r="AH457" s="600"/>
      <c r="AI457" s="600"/>
      <c r="AJ457" s="600"/>
    </row>
    <row r="458" spans="1:36" s="263" customFormat="1" ht="9" customHeight="1" x14ac:dyDescent="0.25">
      <c r="A458" s="550" t="s">
        <v>32</v>
      </c>
      <c r="B458" s="638">
        <f t="shared" si="24"/>
        <v>564057</v>
      </c>
      <c r="C458" s="632">
        <v>236545</v>
      </c>
      <c r="D458" s="638"/>
      <c r="E458" s="638">
        <f t="shared" si="25"/>
        <v>267707</v>
      </c>
      <c r="F458" s="632">
        <v>85548</v>
      </c>
      <c r="G458" s="632">
        <v>78019</v>
      </c>
      <c r="H458" s="638">
        <v>104140</v>
      </c>
      <c r="I458" s="638"/>
      <c r="J458" s="632">
        <v>2249</v>
      </c>
      <c r="K458" s="632">
        <v>40575</v>
      </c>
      <c r="L458" s="632">
        <v>16981</v>
      </c>
      <c r="Z458" s="600"/>
      <c r="AA458" s="600"/>
      <c r="AB458" s="600"/>
      <c r="AC458" s="600"/>
      <c r="AD458" s="600"/>
      <c r="AE458" s="600"/>
      <c r="AF458" s="600"/>
      <c r="AG458" s="600"/>
      <c r="AH458" s="600"/>
      <c r="AI458" s="600"/>
      <c r="AJ458" s="600"/>
    </row>
    <row r="459" spans="1:36" s="263" customFormat="1" ht="9" customHeight="1" x14ac:dyDescent="0.25">
      <c r="A459" s="603" t="s">
        <v>33</v>
      </c>
      <c r="B459" s="640">
        <f t="shared" si="24"/>
        <v>192002</v>
      </c>
      <c r="C459" s="634">
        <v>81006</v>
      </c>
      <c r="D459" s="640"/>
      <c r="E459" s="640">
        <f t="shared" si="25"/>
        <v>96853</v>
      </c>
      <c r="F459" s="634">
        <v>29601</v>
      </c>
      <c r="G459" s="634">
        <v>26969</v>
      </c>
      <c r="H459" s="640">
        <v>40283</v>
      </c>
      <c r="I459" s="640"/>
      <c r="J459" s="634">
        <v>678</v>
      </c>
      <c r="K459" s="634">
        <v>8492</v>
      </c>
      <c r="L459" s="634">
        <v>4973</v>
      </c>
      <c r="Z459" s="600"/>
      <c r="AA459" s="600"/>
      <c r="AB459" s="600"/>
      <c r="AC459" s="600"/>
      <c r="AD459" s="600"/>
      <c r="AE459" s="600"/>
      <c r="AF459" s="600"/>
      <c r="AG459" s="600"/>
      <c r="AH459" s="600"/>
      <c r="AI459" s="600"/>
      <c r="AJ459" s="600"/>
    </row>
    <row r="460" spans="1:36" s="263" customFormat="1" ht="9" customHeight="1" x14ac:dyDescent="0.25">
      <c r="A460" s="550" t="s">
        <v>34</v>
      </c>
      <c r="B460" s="638">
        <f t="shared" si="24"/>
        <v>205865</v>
      </c>
      <c r="C460" s="632">
        <v>99304</v>
      </c>
      <c r="D460" s="638"/>
      <c r="E460" s="638">
        <f t="shared" si="25"/>
        <v>77547</v>
      </c>
      <c r="F460" s="632">
        <v>21736</v>
      </c>
      <c r="G460" s="632">
        <v>19771</v>
      </c>
      <c r="H460" s="638">
        <v>36040</v>
      </c>
      <c r="I460" s="638"/>
      <c r="J460" s="632">
        <v>1531</v>
      </c>
      <c r="K460" s="632">
        <v>12426</v>
      </c>
      <c r="L460" s="632">
        <v>15057</v>
      </c>
      <c r="Z460" s="600"/>
      <c r="AA460" s="600"/>
      <c r="AB460" s="600"/>
      <c r="AC460" s="600"/>
      <c r="AD460" s="600"/>
      <c r="AE460" s="600"/>
      <c r="AF460" s="600"/>
      <c r="AG460" s="600"/>
      <c r="AH460" s="600"/>
      <c r="AI460" s="600"/>
      <c r="AJ460" s="600"/>
    </row>
    <row r="461" spans="1:36" s="263" customFormat="1" ht="9" customHeight="1" x14ac:dyDescent="0.25">
      <c r="A461" s="550" t="s">
        <v>35</v>
      </c>
      <c r="B461" s="638">
        <f t="shared" si="24"/>
        <v>778366</v>
      </c>
      <c r="C461" s="632">
        <v>229090</v>
      </c>
      <c r="D461" s="638"/>
      <c r="E461" s="638">
        <f t="shared" si="25"/>
        <v>450940</v>
      </c>
      <c r="F461" s="632">
        <v>117924</v>
      </c>
      <c r="G461" s="632">
        <v>96614</v>
      </c>
      <c r="H461" s="638">
        <v>236402</v>
      </c>
      <c r="I461" s="638"/>
      <c r="J461" s="632">
        <v>2301</v>
      </c>
      <c r="K461" s="632">
        <v>88610</v>
      </c>
      <c r="L461" s="632">
        <v>7425</v>
      </c>
      <c r="Z461" s="600"/>
      <c r="AA461" s="600"/>
      <c r="AB461" s="600"/>
      <c r="AC461" s="600"/>
      <c r="AD461" s="600"/>
      <c r="AE461" s="600"/>
      <c r="AF461" s="600"/>
      <c r="AG461" s="600"/>
      <c r="AH461" s="600"/>
      <c r="AI461" s="600"/>
      <c r="AJ461" s="600"/>
    </row>
    <row r="462" spans="1:36" s="263" customFormat="1" ht="9" customHeight="1" x14ac:dyDescent="0.25">
      <c r="A462" s="550" t="s">
        <v>36</v>
      </c>
      <c r="B462" s="638">
        <f t="shared" si="24"/>
        <v>1239555</v>
      </c>
      <c r="C462" s="632">
        <v>634843</v>
      </c>
      <c r="D462" s="638"/>
      <c r="E462" s="638">
        <f t="shared" si="25"/>
        <v>511718</v>
      </c>
      <c r="F462" s="632">
        <v>198428</v>
      </c>
      <c r="G462" s="632">
        <v>165929</v>
      </c>
      <c r="H462" s="638">
        <v>147361</v>
      </c>
      <c r="I462" s="638"/>
      <c r="J462" s="632">
        <v>10879</v>
      </c>
      <c r="K462" s="632">
        <v>64223</v>
      </c>
      <c r="L462" s="632">
        <v>17892</v>
      </c>
      <c r="Z462" s="600"/>
      <c r="AA462" s="600"/>
      <c r="AB462" s="600"/>
      <c r="AC462" s="600"/>
      <c r="AD462" s="600"/>
      <c r="AE462" s="600"/>
      <c r="AF462" s="600"/>
      <c r="AG462" s="600"/>
      <c r="AH462" s="600"/>
      <c r="AI462" s="600"/>
      <c r="AJ462" s="600"/>
    </row>
    <row r="463" spans="1:36" s="263" customFormat="1" ht="9" customHeight="1" x14ac:dyDescent="0.25">
      <c r="A463" s="603" t="s">
        <v>37</v>
      </c>
      <c r="B463" s="640">
        <f t="shared" si="24"/>
        <v>501654</v>
      </c>
      <c r="C463" s="634">
        <v>145464</v>
      </c>
      <c r="D463" s="640"/>
      <c r="E463" s="640">
        <f t="shared" si="25"/>
        <v>304349</v>
      </c>
      <c r="F463" s="634">
        <v>82597</v>
      </c>
      <c r="G463" s="634">
        <v>67019</v>
      </c>
      <c r="H463" s="640">
        <v>154733</v>
      </c>
      <c r="I463" s="640"/>
      <c r="J463" s="634">
        <v>3013</v>
      </c>
      <c r="K463" s="634">
        <v>45702</v>
      </c>
      <c r="L463" s="634">
        <v>3126</v>
      </c>
      <c r="Z463" s="600"/>
      <c r="AA463" s="600"/>
      <c r="AB463" s="600"/>
      <c r="AC463" s="600"/>
      <c r="AD463" s="600"/>
      <c r="AE463" s="600"/>
      <c r="AF463" s="600"/>
      <c r="AG463" s="600"/>
      <c r="AH463" s="600"/>
      <c r="AI463" s="600"/>
      <c r="AJ463" s="600"/>
    </row>
    <row r="464" spans="1:36" s="263" customFormat="1" ht="9" customHeight="1" x14ac:dyDescent="0.25">
      <c r="A464" s="550" t="s">
        <v>38</v>
      </c>
      <c r="B464" s="638">
        <f t="shared" si="24"/>
        <v>123799</v>
      </c>
      <c r="C464" s="632">
        <v>65902</v>
      </c>
      <c r="D464" s="638"/>
      <c r="E464" s="638">
        <f t="shared" si="25"/>
        <v>46212</v>
      </c>
      <c r="F464" s="632">
        <v>21531</v>
      </c>
      <c r="G464" s="632">
        <v>7147</v>
      </c>
      <c r="H464" s="638">
        <v>17534</v>
      </c>
      <c r="I464" s="638"/>
      <c r="J464" s="632">
        <v>603</v>
      </c>
      <c r="K464" s="632">
        <v>9997</v>
      </c>
      <c r="L464" s="632">
        <v>1085</v>
      </c>
      <c r="Z464" s="600"/>
      <c r="AA464" s="600"/>
      <c r="AB464" s="600"/>
      <c r="AC464" s="600"/>
      <c r="AD464" s="600"/>
      <c r="AE464" s="600"/>
      <c r="AF464" s="600"/>
      <c r="AG464" s="600"/>
      <c r="AH464" s="600"/>
      <c r="AI464" s="600"/>
      <c r="AJ464" s="600"/>
    </row>
    <row r="465" spans="1:36" s="263" customFormat="1" ht="9" customHeight="1" x14ac:dyDescent="0.25">
      <c r="A465" s="550" t="s">
        <v>39</v>
      </c>
      <c r="B465" s="638">
        <f t="shared" si="24"/>
        <v>10009</v>
      </c>
      <c r="C465" s="632">
        <v>6169</v>
      </c>
      <c r="D465" s="638"/>
      <c r="E465" s="638">
        <f t="shared" si="25"/>
        <v>3726</v>
      </c>
      <c r="F465" s="632">
        <v>2172</v>
      </c>
      <c r="G465" s="632">
        <v>318</v>
      </c>
      <c r="H465" s="638">
        <v>1236</v>
      </c>
      <c r="I465" s="638"/>
      <c r="J465" s="632">
        <v>0</v>
      </c>
      <c r="K465" s="632">
        <v>104</v>
      </c>
      <c r="L465" s="632">
        <v>10</v>
      </c>
      <c r="Z465" s="600"/>
      <c r="AA465" s="600"/>
      <c r="AB465" s="600"/>
      <c r="AC465" s="600"/>
      <c r="AD465" s="600"/>
      <c r="AE465" s="600"/>
      <c r="AF465" s="600"/>
      <c r="AG465" s="600"/>
      <c r="AH465" s="600"/>
      <c r="AI465" s="600"/>
      <c r="AJ465" s="600"/>
    </row>
    <row r="466" spans="1:36" s="263" customFormat="1" ht="9" customHeight="1" x14ac:dyDescent="0.25">
      <c r="A466" s="550" t="s">
        <v>40</v>
      </c>
      <c r="B466" s="638">
        <f t="shared" si="24"/>
        <v>1364568</v>
      </c>
      <c r="C466" s="632">
        <v>373026</v>
      </c>
      <c r="D466" s="638"/>
      <c r="E466" s="638">
        <f t="shared" si="25"/>
        <v>623230</v>
      </c>
      <c r="F466" s="632">
        <v>145256</v>
      </c>
      <c r="G466" s="632">
        <v>177765</v>
      </c>
      <c r="H466" s="638">
        <v>300209</v>
      </c>
      <c r="I466" s="638"/>
      <c r="J466" s="632">
        <v>22954</v>
      </c>
      <c r="K466" s="632">
        <v>284844</v>
      </c>
      <c r="L466" s="632">
        <v>60514</v>
      </c>
      <c r="Z466" s="600"/>
      <c r="AA466" s="600"/>
      <c r="AB466" s="600"/>
      <c r="AC466" s="600"/>
      <c r="AD466" s="600"/>
      <c r="AE466" s="600"/>
      <c r="AF466" s="600"/>
      <c r="AG466" s="600"/>
      <c r="AH466" s="600"/>
      <c r="AI466" s="600"/>
      <c r="AJ466" s="600"/>
    </row>
    <row r="467" spans="1:36" s="263" customFormat="1" ht="9" customHeight="1" x14ac:dyDescent="0.25">
      <c r="A467" s="603" t="s">
        <v>41</v>
      </c>
      <c r="B467" s="640">
        <f t="shared" si="24"/>
        <v>311241</v>
      </c>
      <c r="C467" s="634">
        <v>130996</v>
      </c>
      <c r="D467" s="640"/>
      <c r="E467" s="640">
        <f t="shared" si="25"/>
        <v>147129</v>
      </c>
      <c r="F467" s="634">
        <v>42329</v>
      </c>
      <c r="G467" s="634">
        <v>38879</v>
      </c>
      <c r="H467" s="640">
        <v>65921</v>
      </c>
      <c r="I467" s="640"/>
      <c r="J467" s="634">
        <v>7078</v>
      </c>
      <c r="K467" s="634">
        <v>10141</v>
      </c>
      <c r="L467" s="634">
        <v>15897</v>
      </c>
      <c r="Z467" s="600"/>
      <c r="AA467" s="600"/>
      <c r="AB467" s="600"/>
      <c r="AC467" s="600"/>
      <c r="AD467" s="600"/>
      <c r="AE467" s="600"/>
      <c r="AF467" s="600"/>
      <c r="AG467" s="600"/>
      <c r="AH467" s="600"/>
      <c r="AI467" s="600"/>
      <c r="AJ467" s="600"/>
    </row>
    <row r="468" spans="1:36" s="263" customFormat="1" ht="9" customHeight="1" x14ac:dyDescent="0.25">
      <c r="A468" s="550" t="s">
        <v>42</v>
      </c>
      <c r="B468" s="638">
        <f t="shared" si="24"/>
        <v>328428</v>
      </c>
      <c r="C468" s="632">
        <v>127447</v>
      </c>
      <c r="D468" s="638"/>
      <c r="E468" s="638">
        <f t="shared" si="25"/>
        <v>165411</v>
      </c>
      <c r="F468" s="632">
        <v>57817</v>
      </c>
      <c r="G468" s="632">
        <v>35557</v>
      </c>
      <c r="H468" s="638">
        <v>72037</v>
      </c>
      <c r="I468" s="638"/>
      <c r="J468" s="632">
        <v>1926</v>
      </c>
      <c r="K468" s="632">
        <v>28587</v>
      </c>
      <c r="L468" s="632">
        <v>5057</v>
      </c>
      <c r="Z468" s="600"/>
      <c r="AA468" s="600"/>
      <c r="AB468" s="600"/>
      <c r="AC468" s="600"/>
      <c r="AD468" s="600"/>
      <c r="AE468" s="600"/>
      <c r="AF468" s="600"/>
      <c r="AG468" s="600"/>
      <c r="AH468" s="600"/>
      <c r="AI468" s="600"/>
      <c r="AJ468" s="600"/>
    </row>
    <row r="469" spans="1:36" s="263" customFormat="1" ht="9" customHeight="1" x14ac:dyDescent="0.25">
      <c r="A469" s="550" t="s">
        <v>43</v>
      </c>
      <c r="B469" s="638">
        <f t="shared" si="24"/>
        <v>257566</v>
      </c>
      <c r="C469" s="632">
        <v>107172</v>
      </c>
      <c r="D469" s="638"/>
      <c r="E469" s="638">
        <f t="shared" si="25"/>
        <v>114833</v>
      </c>
      <c r="F469" s="632">
        <v>30324</v>
      </c>
      <c r="G469" s="632">
        <v>24955</v>
      </c>
      <c r="H469" s="638">
        <v>59554</v>
      </c>
      <c r="I469" s="638"/>
      <c r="J469" s="632">
        <v>367</v>
      </c>
      <c r="K469" s="632">
        <v>30711</v>
      </c>
      <c r="L469" s="632">
        <v>4483</v>
      </c>
      <c r="Z469" s="600"/>
      <c r="AA469" s="600"/>
      <c r="AB469" s="600"/>
      <c r="AC469" s="600"/>
      <c r="AD469" s="600"/>
      <c r="AE469" s="600"/>
      <c r="AF469" s="600"/>
      <c r="AG469" s="600"/>
      <c r="AH469" s="600"/>
      <c r="AI469" s="600"/>
      <c r="AJ469" s="600"/>
    </row>
    <row r="470" spans="1:36" s="263" customFormat="1" ht="9" customHeight="1" x14ac:dyDescent="0.25">
      <c r="A470" s="550" t="s">
        <v>44</v>
      </c>
      <c r="B470" s="638">
        <f t="shared" si="24"/>
        <v>238652</v>
      </c>
      <c r="C470" s="632">
        <v>84088</v>
      </c>
      <c r="D470" s="638"/>
      <c r="E470" s="638">
        <f t="shared" si="25"/>
        <v>117550</v>
      </c>
      <c r="F470" s="632">
        <v>36335</v>
      </c>
      <c r="G470" s="632">
        <v>24709</v>
      </c>
      <c r="H470" s="638">
        <v>56506</v>
      </c>
      <c r="I470" s="638"/>
      <c r="J470" s="632">
        <v>216</v>
      </c>
      <c r="K470" s="632">
        <v>27147</v>
      </c>
      <c r="L470" s="632">
        <v>9651</v>
      </c>
      <c r="Z470" s="600"/>
      <c r="AA470" s="600"/>
      <c r="AB470" s="600"/>
      <c r="AC470" s="600"/>
      <c r="AD470" s="600"/>
      <c r="AE470" s="600"/>
      <c r="AF470" s="600"/>
      <c r="AG470" s="600"/>
      <c r="AH470" s="600"/>
      <c r="AI470" s="600"/>
      <c r="AJ470" s="600"/>
    </row>
    <row r="471" spans="1:36" s="263" customFormat="1" ht="9" customHeight="1" x14ac:dyDescent="0.25">
      <c r="A471" s="603" t="s">
        <v>45</v>
      </c>
      <c r="B471" s="640">
        <f t="shared" si="24"/>
        <v>136920</v>
      </c>
      <c r="C471" s="634">
        <v>48639</v>
      </c>
      <c r="D471" s="640"/>
      <c r="E471" s="640">
        <f t="shared" si="25"/>
        <v>56912</v>
      </c>
      <c r="F471" s="634">
        <v>20828</v>
      </c>
      <c r="G471" s="634">
        <v>16969</v>
      </c>
      <c r="H471" s="640">
        <v>19115</v>
      </c>
      <c r="I471" s="640"/>
      <c r="J471" s="634">
        <v>1024</v>
      </c>
      <c r="K471" s="634">
        <v>28435</v>
      </c>
      <c r="L471" s="634">
        <v>1910</v>
      </c>
      <c r="Z471" s="600"/>
      <c r="AA471" s="600"/>
      <c r="AB471" s="600"/>
      <c r="AC471" s="600"/>
      <c r="AD471" s="600"/>
      <c r="AE471" s="600"/>
      <c r="AF471" s="600"/>
      <c r="AG471" s="600"/>
      <c r="AH471" s="600"/>
      <c r="AI471" s="600"/>
      <c r="AJ471" s="600"/>
    </row>
    <row r="472" spans="1:36" s="263" customFormat="1" ht="9" customHeight="1" x14ac:dyDescent="0.25">
      <c r="A472" s="550" t="s">
        <v>46</v>
      </c>
      <c r="B472" s="638">
        <f t="shared" si="24"/>
        <v>171395</v>
      </c>
      <c r="C472" s="632">
        <v>42044</v>
      </c>
      <c r="D472" s="638"/>
      <c r="E472" s="638">
        <f t="shared" si="25"/>
        <v>112391</v>
      </c>
      <c r="F472" s="632">
        <v>31926</v>
      </c>
      <c r="G472" s="632">
        <v>21727</v>
      </c>
      <c r="H472" s="638">
        <v>58738</v>
      </c>
      <c r="I472" s="638"/>
      <c r="J472" s="632">
        <v>1044</v>
      </c>
      <c r="K472" s="632">
        <v>14982</v>
      </c>
      <c r="L472" s="632">
        <v>934</v>
      </c>
      <c r="Z472" s="600"/>
      <c r="AA472" s="600"/>
      <c r="AB472" s="600"/>
      <c r="AC472" s="600"/>
      <c r="AD472" s="600"/>
      <c r="AE472" s="600"/>
      <c r="AF472" s="600"/>
      <c r="AG472" s="600"/>
      <c r="AH472" s="600"/>
      <c r="AI472" s="600"/>
      <c r="AJ472" s="600"/>
    </row>
    <row r="473" spans="1:36" s="263" customFormat="1" ht="9" customHeight="1" x14ac:dyDescent="0.25">
      <c r="A473" s="550" t="s">
        <v>47</v>
      </c>
      <c r="B473" s="638">
        <f t="shared" si="24"/>
        <v>294575</v>
      </c>
      <c r="C473" s="632">
        <v>123295</v>
      </c>
      <c r="D473" s="638"/>
      <c r="E473" s="638">
        <f t="shared" si="25"/>
        <v>97132</v>
      </c>
      <c r="F473" s="632">
        <v>27705</v>
      </c>
      <c r="G473" s="632">
        <v>19328</v>
      </c>
      <c r="H473" s="638">
        <v>50099</v>
      </c>
      <c r="I473" s="638"/>
      <c r="J473" s="632">
        <v>2385</v>
      </c>
      <c r="K473" s="632">
        <v>67500</v>
      </c>
      <c r="L473" s="632">
        <v>4263</v>
      </c>
      <c r="Z473" s="600"/>
      <c r="AA473" s="600"/>
      <c r="AB473" s="600"/>
      <c r="AC473" s="600"/>
      <c r="AD473" s="600"/>
      <c r="AE473" s="600"/>
      <c r="AF473" s="600"/>
      <c r="AG473" s="600"/>
      <c r="AH473" s="600"/>
      <c r="AI473" s="600"/>
      <c r="AJ473" s="600"/>
    </row>
    <row r="474" spans="1:36" s="263" customFormat="1" ht="9" customHeight="1" x14ac:dyDescent="0.25">
      <c r="A474" s="550" t="s">
        <v>48</v>
      </c>
      <c r="B474" s="638">
        <f t="shared" si="24"/>
        <v>121966</v>
      </c>
      <c r="C474" s="632">
        <v>50344</v>
      </c>
      <c r="D474" s="638"/>
      <c r="E474" s="638">
        <f t="shared" si="25"/>
        <v>41368</v>
      </c>
      <c r="F474" s="632">
        <v>12781</v>
      </c>
      <c r="G474" s="632">
        <v>9879</v>
      </c>
      <c r="H474" s="638">
        <v>18708</v>
      </c>
      <c r="I474" s="638"/>
      <c r="J474" s="632">
        <v>580</v>
      </c>
      <c r="K474" s="632">
        <v>29413</v>
      </c>
      <c r="L474" s="632">
        <v>261</v>
      </c>
      <c r="Z474" s="600"/>
      <c r="AA474" s="600"/>
      <c r="AB474" s="600"/>
      <c r="AC474" s="600"/>
      <c r="AD474" s="600"/>
      <c r="AE474" s="600"/>
      <c r="AF474" s="600"/>
      <c r="AG474" s="600"/>
      <c r="AH474" s="600"/>
      <c r="AI474" s="600"/>
      <c r="AJ474" s="600"/>
    </row>
    <row r="475" spans="1:36" s="263" customFormat="1" ht="9" customHeight="1" x14ac:dyDescent="0.25">
      <c r="A475" s="603" t="s">
        <v>49</v>
      </c>
      <c r="B475" s="640">
        <f t="shared" si="24"/>
        <v>182161</v>
      </c>
      <c r="C475" s="634">
        <v>79652</v>
      </c>
      <c r="D475" s="640"/>
      <c r="E475" s="640">
        <f t="shared" si="25"/>
        <v>81065</v>
      </c>
      <c r="F475" s="634">
        <v>20266</v>
      </c>
      <c r="G475" s="634">
        <v>22113</v>
      </c>
      <c r="H475" s="640">
        <v>38686</v>
      </c>
      <c r="I475" s="640"/>
      <c r="J475" s="634">
        <v>1579</v>
      </c>
      <c r="K475" s="634">
        <v>16183</v>
      </c>
      <c r="L475" s="634">
        <v>3682</v>
      </c>
      <c r="Z475" s="600"/>
      <c r="AA475" s="600"/>
      <c r="AB475" s="600"/>
      <c r="AC475" s="600"/>
      <c r="AD475" s="600"/>
      <c r="AE475" s="600"/>
      <c r="AF475" s="600"/>
      <c r="AG475" s="600"/>
      <c r="AH475" s="600"/>
      <c r="AI475" s="600"/>
      <c r="AJ475" s="600"/>
    </row>
    <row r="476" spans="1:36" s="263" customFormat="1" ht="9" customHeight="1" x14ac:dyDescent="0.25">
      <c r="A476" s="550" t="s">
        <v>50</v>
      </c>
      <c r="B476" s="638">
        <f t="shared" si="24"/>
        <v>71812</v>
      </c>
      <c r="C476" s="632">
        <v>39251</v>
      </c>
      <c r="D476" s="638"/>
      <c r="E476" s="638">
        <f t="shared" si="25"/>
        <v>28369</v>
      </c>
      <c r="F476" s="632">
        <v>10820</v>
      </c>
      <c r="G476" s="632">
        <v>9742</v>
      </c>
      <c r="H476" s="638">
        <v>7807</v>
      </c>
      <c r="I476" s="638"/>
      <c r="J476" s="632">
        <v>409</v>
      </c>
      <c r="K476" s="632">
        <v>2911</v>
      </c>
      <c r="L476" s="632">
        <v>872</v>
      </c>
      <c r="Z476" s="600"/>
      <c r="AA476" s="600"/>
      <c r="AB476" s="600"/>
      <c r="AC476" s="600"/>
      <c r="AD476" s="600"/>
      <c r="AE476" s="600"/>
      <c r="AF476" s="600"/>
      <c r="AG476" s="600"/>
      <c r="AH476" s="600"/>
      <c r="AI476" s="600"/>
      <c r="AJ476" s="600"/>
    </row>
    <row r="477" spans="1:36" s="263" customFormat="1" ht="9" customHeight="1" x14ac:dyDescent="0.25">
      <c r="A477" s="550" t="s">
        <v>51</v>
      </c>
      <c r="B477" s="638">
        <f t="shared" si="24"/>
        <v>413420</v>
      </c>
      <c r="C477" s="632">
        <v>179418</v>
      </c>
      <c r="D477" s="638"/>
      <c r="E477" s="638">
        <f t="shared" si="25"/>
        <v>184359</v>
      </c>
      <c r="F477" s="632">
        <v>73305</v>
      </c>
      <c r="G477" s="632">
        <v>40804</v>
      </c>
      <c r="H477" s="638">
        <v>70250</v>
      </c>
      <c r="I477" s="638"/>
      <c r="J477" s="632">
        <v>1030</v>
      </c>
      <c r="K477" s="632">
        <v>42014</v>
      </c>
      <c r="L477" s="632">
        <v>6599</v>
      </c>
      <c r="Z477" s="600"/>
      <c r="AA477" s="600"/>
      <c r="AB477" s="600"/>
      <c r="AC477" s="600"/>
      <c r="AD477" s="600"/>
      <c r="AE477" s="600"/>
      <c r="AF477" s="600"/>
      <c r="AG477" s="600"/>
      <c r="AH477" s="600"/>
      <c r="AI477" s="600"/>
      <c r="AJ477" s="600"/>
    </row>
    <row r="478" spans="1:36" s="263" customFormat="1" ht="9" customHeight="1" x14ac:dyDescent="0.25">
      <c r="A478" s="550" t="s">
        <v>52</v>
      </c>
      <c r="B478" s="638">
        <f t="shared" si="24"/>
        <v>173379</v>
      </c>
      <c r="C478" s="632">
        <v>49810</v>
      </c>
      <c r="D478" s="638"/>
      <c r="E478" s="638">
        <f t="shared" si="25"/>
        <v>89083</v>
      </c>
      <c r="F478" s="632">
        <v>23099</v>
      </c>
      <c r="G478" s="632">
        <v>32392</v>
      </c>
      <c r="H478" s="638">
        <v>33592</v>
      </c>
      <c r="I478" s="638"/>
      <c r="J478" s="632">
        <v>20</v>
      </c>
      <c r="K478" s="632">
        <v>30084</v>
      </c>
      <c r="L478" s="632">
        <v>4382</v>
      </c>
      <c r="Z478" s="600"/>
      <c r="AA478" s="600"/>
      <c r="AB478" s="600"/>
      <c r="AC478" s="600"/>
      <c r="AD478" s="600"/>
      <c r="AE478" s="600"/>
      <c r="AF478" s="600"/>
      <c r="AG478" s="600"/>
      <c r="AH478" s="600"/>
      <c r="AI478" s="600"/>
      <c r="AJ478" s="600"/>
    </row>
    <row r="479" spans="1:36" s="263" customFormat="1" ht="9" customHeight="1" x14ac:dyDescent="0.25">
      <c r="A479" s="267" t="s">
        <v>53</v>
      </c>
      <c r="B479" s="599">
        <f t="shared" si="24"/>
        <v>61360</v>
      </c>
      <c r="C479" s="604">
        <v>24664</v>
      </c>
      <c r="D479" s="599"/>
      <c r="E479" s="599">
        <f t="shared" si="25"/>
        <v>33649</v>
      </c>
      <c r="F479" s="604">
        <v>12037</v>
      </c>
      <c r="G479" s="604">
        <v>8583</v>
      </c>
      <c r="H479" s="599">
        <v>13029</v>
      </c>
      <c r="I479" s="599"/>
      <c r="J479" s="604">
        <v>139</v>
      </c>
      <c r="K479" s="604">
        <v>2471</v>
      </c>
      <c r="L479" s="604">
        <v>437</v>
      </c>
      <c r="Z479" s="600"/>
      <c r="AA479" s="600"/>
      <c r="AB479" s="600"/>
      <c r="AC479" s="600"/>
      <c r="AD479" s="600"/>
      <c r="AE479" s="600"/>
      <c r="AF479" s="600"/>
      <c r="AG479" s="600"/>
      <c r="AH479" s="600"/>
      <c r="AI479" s="600"/>
      <c r="AJ479" s="600"/>
    </row>
    <row r="480" spans="1:36" s="263" customFormat="1" ht="9" customHeight="1" x14ac:dyDescent="0.25">
      <c r="A480" s="286"/>
      <c r="B480" s="613"/>
      <c r="C480" s="605"/>
      <c r="D480" s="613"/>
      <c r="E480" s="613"/>
      <c r="F480" s="605"/>
      <c r="G480" s="605"/>
      <c r="H480" s="613"/>
      <c r="I480" s="613"/>
      <c r="J480" s="605"/>
      <c r="K480" s="605"/>
      <c r="L480" s="605"/>
      <c r="M480" s="286"/>
      <c r="Z480" s="600"/>
      <c r="AA480" s="600"/>
      <c r="AB480" s="600"/>
      <c r="AC480" s="600"/>
      <c r="AD480" s="600"/>
      <c r="AE480" s="600"/>
      <c r="AF480" s="600"/>
      <c r="AG480" s="600"/>
      <c r="AH480" s="600"/>
      <c r="AI480" s="600"/>
      <c r="AJ480" s="600"/>
    </row>
    <row r="481" spans="1:36" s="263" customFormat="1" ht="9" customHeight="1" x14ac:dyDescent="0.25">
      <c r="A481" s="601">
        <v>2008</v>
      </c>
      <c r="B481" s="597"/>
      <c r="C481" s="597"/>
      <c r="D481" s="597"/>
      <c r="E481" s="597"/>
      <c r="F481" s="597"/>
      <c r="G481" s="597"/>
      <c r="H481" s="597"/>
      <c r="I481" s="597"/>
      <c r="J481" s="597"/>
      <c r="K481" s="597"/>
      <c r="L481" s="597"/>
      <c r="Z481" s="600"/>
      <c r="AA481" s="600"/>
      <c r="AB481" s="600"/>
      <c r="AC481" s="600"/>
      <c r="AD481" s="600"/>
      <c r="AE481" s="600"/>
      <c r="AF481" s="600"/>
      <c r="AG481" s="600"/>
      <c r="AH481" s="600"/>
      <c r="AI481" s="600"/>
      <c r="AJ481" s="600"/>
    </row>
    <row r="482" spans="1:36" s="263" customFormat="1" ht="9" customHeight="1" x14ac:dyDescent="0.25">
      <c r="A482" s="265" t="s">
        <v>21</v>
      </c>
      <c r="B482" s="597">
        <f>SUM(B484:B515)</f>
        <v>12160264</v>
      </c>
      <c r="C482" s="597">
        <f>SUM(C484:C515)</f>
        <v>4331819</v>
      </c>
      <c r="D482" s="597"/>
      <c r="E482" s="597">
        <f>SUM(E484:E515)</f>
        <v>5887128</v>
      </c>
      <c r="F482" s="597">
        <f>SUM(F484:F515)</f>
        <v>1590964</v>
      </c>
      <c r="G482" s="597">
        <f>SUM(G484:G515)</f>
        <v>1295123</v>
      </c>
      <c r="H482" s="597">
        <f>SUM(H484:H515)</f>
        <v>3001041</v>
      </c>
      <c r="I482" s="597"/>
      <c r="J482" s="597">
        <f>SUM(J484:J515)</f>
        <v>109528</v>
      </c>
      <c r="K482" s="597">
        <f>SUM(K484:K515)</f>
        <v>1578307</v>
      </c>
      <c r="L482" s="597">
        <f>SUM(L484:L515)</f>
        <v>253482</v>
      </c>
      <c r="Z482" s="600"/>
      <c r="AA482" s="600"/>
      <c r="AB482" s="600"/>
      <c r="AC482" s="600"/>
      <c r="AD482" s="600"/>
      <c r="AE482" s="600"/>
      <c r="AF482" s="600"/>
      <c r="AG482" s="600"/>
      <c r="AH482" s="600"/>
      <c r="AI482" s="600"/>
      <c r="AJ482" s="600"/>
    </row>
    <row r="483" spans="1:36" s="263" customFormat="1" ht="3.95" customHeight="1" x14ac:dyDescent="0.25">
      <c r="A483" s="265"/>
      <c r="B483" s="597"/>
      <c r="C483" s="597"/>
      <c r="D483" s="597"/>
      <c r="E483" s="597"/>
      <c r="F483" s="597"/>
      <c r="G483" s="597"/>
      <c r="H483" s="597"/>
      <c r="I483" s="597"/>
      <c r="J483" s="597"/>
      <c r="K483" s="597"/>
      <c r="L483" s="597"/>
      <c r="Z483" s="600"/>
      <c r="AA483" s="600"/>
      <c r="AB483" s="600"/>
      <c r="AC483" s="600"/>
      <c r="AD483" s="600"/>
      <c r="AE483" s="600"/>
      <c r="AF483" s="600"/>
      <c r="AG483" s="600"/>
      <c r="AH483" s="600"/>
      <c r="AI483" s="600"/>
      <c r="AJ483" s="600"/>
    </row>
    <row r="484" spans="1:36" s="263" customFormat="1" ht="9" customHeight="1" x14ac:dyDescent="0.25">
      <c r="A484" s="550" t="s">
        <v>23</v>
      </c>
      <c r="B484" s="638">
        <f t="shared" ref="B484:B515" si="26">SUM(C484+E484+J484+K484+L484)</f>
        <v>59254</v>
      </c>
      <c r="C484" s="632">
        <v>36008</v>
      </c>
      <c r="D484" s="638"/>
      <c r="E484" s="638">
        <f>SUM(F484:H484)</f>
        <v>22003</v>
      </c>
      <c r="F484" s="632">
        <v>14539</v>
      </c>
      <c r="G484" s="632">
        <v>3396</v>
      </c>
      <c r="H484" s="638">
        <v>4068</v>
      </c>
      <c r="I484" s="638"/>
      <c r="J484" s="632">
        <v>5</v>
      </c>
      <c r="K484" s="632">
        <v>1238</v>
      </c>
      <c r="L484" s="632">
        <v>0</v>
      </c>
      <c r="Z484" s="600"/>
      <c r="AA484" s="600"/>
      <c r="AB484" s="600"/>
      <c r="AC484" s="600"/>
      <c r="AD484" s="600"/>
      <c r="AE484" s="600"/>
      <c r="AF484" s="600"/>
      <c r="AG484" s="600"/>
      <c r="AH484" s="600"/>
      <c r="AI484" s="600"/>
      <c r="AJ484" s="600"/>
    </row>
    <row r="485" spans="1:36" s="263" customFormat="1" ht="9" customHeight="1" x14ac:dyDescent="0.25">
      <c r="A485" s="550" t="s">
        <v>24</v>
      </c>
      <c r="B485" s="638">
        <f t="shared" si="26"/>
        <v>429278</v>
      </c>
      <c r="C485" s="638">
        <v>206665</v>
      </c>
      <c r="D485" s="638"/>
      <c r="E485" s="638">
        <f t="shared" ref="E485:E515" si="27">SUM(F485:H485)</f>
        <v>187548</v>
      </c>
      <c r="F485" s="638">
        <v>54239</v>
      </c>
      <c r="G485" s="638">
        <v>56401</v>
      </c>
      <c r="H485" s="638">
        <v>76908</v>
      </c>
      <c r="I485" s="638"/>
      <c r="J485" s="638">
        <v>1520</v>
      </c>
      <c r="K485" s="638">
        <v>28354</v>
      </c>
      <c r="L485" s="638">
        <v>5191</v>
      </c>
      <c r="Z485" s="600"/>
      <c r="AA485" s="600"/>
      <c r="AB485" s="600"/>
      <c r="AC485" s="600"/>
      <c r="AD485" s="600"/>
      <c r="AE485" s="600"/>
      <c r="AF485" s="600"/>
      <c r="AG485" s="600"/>
      <c r="AH485" s="600"/>
      <c r="AI485" s="600"/>
      <c r="AJ485" s="600"/>
    </row>
    <row r="486" spans="1:36" s="263" customFormat="1" ht="9" customHeight="1" x14ac:dyDescent="0.25">
      <c r="A486" s="550" t="s">
        <v>25</v>
      </c>
      <c r="B486" s="638">
        <f t="shared" si="26"/>
        <v>42266</v>
      </c>
      <c r="C486" s="632">
        <v>26484</v>
      </c>
      <c r="D486" s="638"/>
      <c r="E486" s="638">
        <f t="shared" si="27"/>
        <v>12333</v>
      </c>
      <c r="F486" s="632">
        <v>2766</v>
      </c>
      <c r="G486" s="632">
        <v>1272</v>
      </c>
      <c r="H486" s="638">
        <v>8295</v>
      </c>
      <c r="I486" s="638"/>
      <c r="J486" s="632">
        <v>648</v>
      </c>
      <c r="K486" s="632">
        <v>2153</v>
      </c>
      <c r="L486" s="632">
        <v>648</v>
      </c>
      <c r="Z486" s="600"/>
      <c r="AA486" s="600"/>
      <c r="AB486" s="600"/>
      <c r="AC486" s="600"/>
      <c r="AD486" s="600"/>
      <c r="AE486" s="600"/>
      <c r="AF486" s="600"/>
      <c r="AG486" s="600"/>
      <c r="AH486" s="600"/>
      <c r="AI486" s="600"/>
      <c r="AJ486" s="600"/>
    </row>
    <row r="487" spans="1:36" s="263" customFormat="1" ht="9" customHeight="1" x14ac:dyDescent="0.25">
      <c r="A487" s="603" t="s">
        <v>26</v>
      </c>
      <c r="B487" s="640">
        <f t="shared" si="26"/>
        <v>22080</v>
      </c>
      <c r="C487" s="634">
        <v>7277</v>
      </c>
      <c r="D487" s="640"/>
      <c r="E487" s="640">
        <f t="shared" si="27"/>
        <v>9147</v>
      </c>
      <c r="F487" s="634">
        <v>3013</v>
      </c>
      <c r="G487" s="634">
        <v>3629</v>
      </c>
      <c r="H487" s="640">
        <v>2505</v>
      </c>
      <c r="I487" s="640"/>
      <c r="J487" s="634">
        <v>124</v>
      </c>
      <c r="K487" s="634">
        <v>5532</v>
      </c>
      <c r="L487" s="634">
        <v>0</v>
      </c>
      <c r="Z487" s="600"/>
      <c r="AA487" s="600"/>
      <c r="AB487" s="600"/>
      <c r="AC487" s="600"/>
      <c r="AD487" s="600"/>
      <c r="AE487" s="600"/>
      <c r="AF487" s="600"/>
      <c r="AG487" s="600"/>
      <c r="AH487" s="600"/>
      <c r="AI487" s="600"/>
      <c r="AJ487" s="600"/>
    </row>
    <row r="488" spans="1:36" s="263" customFormat="1" ht="9" customHeight="1" x14ac:dyDescent="0.25">
      <c r="A488" s="550" t="s">
        <v>27</v>
      </c>
      <c r="B488" s="638">
        <f t="shared" si="26"/>
        <v>174585</v>
      </c>
      <c r="C488" s="632">
        <v>27829</v>
      </c>
      <c r="D488" s="638"/>
      <c r="E488" s="638">
        <f t="shared" si="27"/>
        <v>85510</v>
      </c>
      <c r="F488" s="632">
        <v>21040</v>
      </c>
      <c r="G488" s="632">
        <v>18697</v>
      </c>
      <c r="H488" s="638">
        <v>45773</v>
      </c>
      <c r="I488" s="638"/>
      <c r="J488" s="632">
        <v>130</v>
      </c>
      <c r="K488" s="632">
        <v>60745</v>
      </c>
      <c r="L488" s="632">
        <v>371</v>
      </c>
      <c r="Z488" s="600"/>
      <c r="AA488" s="600"/>
      <c r="AB488" s="600"/>
      <c r="AC488" s="600"/>
      <c r="AD488" s="600"/>
      <c r="AE488" s="600"/>
      <c r="AF488" s="600"/>
      <c r="AG488" s="600"/>
      <c r="AH488" s="600"/>
      <c r="AI488" s="600"/>
      <c r="AJ488" s="600"/>
    </row>
    <row r="489" spans="1:36" s="263" customFormat="1" ht="9" customHeight="1" x14ac:dyDescent="0.25">
      <c r="A489" s="550" t="s">
        <v>28</v>
      </c>
      <c r="B489" s="638">
        <f t="shared" si="26"/>
        <v>88750</v>
      </c>
      <c r="C489" s="632">
        <v>23102</v>
      </c>
      <c r="D489" s="638"/>
      <c r="E489" s="638">
        <f t="shared" si="27"/>
        <v>48451</v>
      </c>
      <c r="F489" s="632">
        <v>8121</v>
      </c>
      <c r="G489" s="632">
        <v>16814</v>
      </c>
      <c r="H489" s="638">
        <v>23516</v>
      </c>
      <c r="I489" s="638"/>
      <c r="J489" s="632">
        <v>2457</v>
      </c>
      <c r="K489" s="632">
        <v>11724</v>
      </c>
      <c r="L489" s="632">
        <v>3016</v>
      </c>
      <c r="Z489" s="600"/>
      <c r="AA489" s="600"/>
      <c r="AB489" s="600"/>
      <c r="AC489" s="600"/>
      <c r="AD489" s="600"/>
      <c r="AE489" s="600"/>
      <c r="AF489" s="600"/>
      <c r="AG489" s="600"/>
      <c r="AH489" s="600"/>
      <c r="AI489" s="600"/>
      <c r="AJ489" s="600"/>
    </row>
    <row r="490" spans="1:36" s="263" customFormat="1" ht="9" customHeight="1" x14ac:dyDescent="0.25">
      <c r="A490" s="550" t="s">
        <v>29</v>
      </c>
      <c r="B490" s="638">
        <f t="shared" si="26"/>
        <v>139231</v>
      </c>
      <c r="C490" s="632">
        <v>61977</v>
      </c>
      <c r="D490" s="638"/>
      <c r="E490" s="638">
        <f t="shared" si="27"/>
        <v>64021</v>
      </c>
      <c r="F490" s="632">
        <v>27465</v>
      </c>
      <c r="G490" s="632">
        <v>13774</v>
      </c>
      <c r="H490" s="638">
        <v>22782</v>
      </c>
      <c r="I490" s="638"/>
      <c r="J490" s="632">
        <v>999</v>
      </c>
      <c r="K490" s="632">
        <v>10845</v>
      </c>
      <c r="L490" s="632">
        <v>1389</v>
      </c>
      <c r="Z490" s="600"/>
      <c r="AA490" s="600"/>
      <c r="AB490" s="600"/>
      <c r="AC490" s="600"/>
      <c r="AD490" s="600"/>
      <c r="AE490" s="600"/>
      <c r="AF490" s="600"/>
      <c r="AG490" s="600"/>
      <c r="AH490" s="600"/>
      <c r="AI490" s="600"/>
      <c r="AJ490" s="600"/>
    </row>
    <row r="491" spans="1:36" s="263" customFormat="1" ht="9" customHeight="1" x14ac:dyDescent="0.25">
      <c r="A491" s="603" t="s">
        <v>30</v>
      </c>
      <c r="B491" s="640">
        <f t="shared" si="26"/>
        <v>405055</v>
      </c>
      <c r="C491" s="634">
        <v>163521</v>
      </c>
      <c r="D491" s="640"/>
      <c r="E491" s="640">
        <f t="shared" si="27"/>
        <v>145945</v>
      </c>
      <c r="F491" s="634">
        <v>63269</v>
      </c>
      <c r="G491" s="634">
        <v>40443</v>
      </c>
      <c r="H491" s="640">
        <v>42233</v>
      </c>
      <c r="I491" s="640"/>
      <c r="J491" s="634">
        <v>10166</v>
      </c>
      <c r="K491" s="634">
        <v>81611</v>
      </c>
      <c r="L491" s="634">
        <v>3812</v>
      </c>
      <c r="Z491" s="600"/>
      <c r="AA491" s="600"/>
      <c r="AB491" s="600"/>
      <c r="AC491" s="600"/>
      <c r="AD491" s="600"/>
      <c r="AE491" s="600"/>
      <c r="AF491" s="600"/>
      <c r="AG491" s="600"/>
      <c r="AH491" s="600"/>
      <c r="AI491" s="600"/>
      <c r="AJ491" s="600"/>
    </row>
    <row r="492" spans="1:36" s="263" customFormat="1" ht="9" customHeight="1" x14ac:dyDescent="0.25">
      <c r="A492" s="550" t="s">
        <v>63</v>
      </c>
      <c r="B492" s="638">
        <f t="shared" si="26"/>
        <v>2527931</v>
      </c>
      <c r="C492" s="632">
        <v>661634</v>
      </c>
      <c r="D492" s="638"/>
      <c r="E492" s="638">
        <f t="shared" si="27"/>
        <v>1416848</v>
      </c>
      <c r="F492" s="632">
        <v>193407</v>
      </c>
      <c r="G492" s="632">
        <v>179258</v>
      </c>
      <c r="H492" s="638">
        <v>1044183</v>
      </c>
      <c r="I492" s="638"/>
      <c r="J492" s="632">
        <v>22853</v>
      </c>
      <c r="K492" s="632">
        <v>379115</v>
      </c>
      <c r="L492" s="632">
        <v>47481</v>
      </c>
      <c r="Z492" s="600"/>
      <c r="AA492" s="600"/>
      <c r="AB492" s="600"/>
      <c r="AC492" s="600"/>
      <c r="AD492" s="600"/>
      <c r="AE492" s="600"/>
      <c r="AF492" s="600"/>
      <c r="AG492" s="600"/>
      <c r="AH492" s="600"/>
      <c r="AI492" s="600"/>
      <c r="AJ492" s="600"/>
    </row>
    <row r="493" spans="1:36" s="263" customFormat="1" ht="9" customHeight="1" x14ac:dyDescent="0.25">
      <c r="A493" s="550" t="s">
        <v>31</v>
      </c>
      <c r="B493" s="638">
        <f t="shared" si="26"/>
        <v>42959</v>
      </c>
      <c r="C493" s="632">
        <v>24493</v>
      </c>
      <c r="D493" s="638"/>
      <c r="E493" s="638">
        <f t="shared" si="27"/>
        <v>15498</v>
      </c>
      <c r="F493" s="632">
        <v>4243</v>
      </c>
      <c r="G493" s="632">
        <v>1614</v>
      </c>
      <c r="H493" s="638">
        <v>9641</v>
      </c>
      <c r="I493" s="638"/>
      <c r="J493" s="632">
        <v>441</v>
      </c>
      <c r="K493" s="632">
        <v>2151</v>
      </c>
      <c r="L493" s="632">
        <v>376</v>
      </c>
      <c r="Z493" s="600"/>
      <c r="AA493" s="600"/>
      <c r="AB493" s="600"/>
      <c r="AC493" s="600"/>
      <c r="AD493" s="600"/>
      <c r="AE493" s="600"/>
      <c r="AF493" s="600"/>
      <c r="AG493" s="600"/>
      <c r="AH493" s="600"/>
      <c r="AI493" s="600"/>
      <c r="AJ493" s="600"/>
    </row>
    <row r="494" spans="1:36" s="263" customFormat="1" ht="9" customHeight="1" x14ac:dyDescent="0.25">
      <c r="A494" s="550" t="s">
        <v>32</v>
      </c>
      <c r="B494" s="638">
        <f t="shared" si="26"/>
        <v>494333</v>
      </c>
      <c r="C494" s="632">
        <v>209759</v>
      </c>
      <c r="D494" s="638"/>
      <c r="E494" s="638">
        <f t="shared" si="27"/>
        <v>234751</v>
      </c>
      <c r="F494" s="632">
        <v>73357</v>
      </c>
      <c r="G494" s="632">
        <v>63409</v>
      </c>
      <c r="H494" s="638">
        <v>97985</v>
      </c>
      <c r="I494" s="638"/>
      <c r="J494" s="632">
        <v>1629</v>
      </c>
      <c r="K494" s="632">
        <v>37076</v>
      </c>
      <c r="L494" s="632">
        <v>11118</v>
      </c>
      <c r="Z494" s="600"/>
      <c r="AA494" s="600"/>
      <c r="AB494" s="600"/>
      <c r="AC494" s="600"/>
      <c r="AD494" s="600"/>
      <c r="AE494" s="600"/>
      <c r="AF494" s="600"/>
      <c r="AG494" s="600"/>
      <c r="AH494" s="600"/>
      <c r="AI494" s="600"/>
      <c r="AJ494" s="600"/>
    </row>
    <row r="495" spans="1:36" s="263" customFormat="1" ht="9" customHeight="1" x14ac:dyDescent="0.25">
      <c r="A495" s="603" t="s">
        <v>33</v>
      </c>
      <c r="B495" s="640">
        <f t="shared" si="26"/>
        <v>195379</v>
      </c>
      <c r="C495" s="634">
        <v>79759</v>
      </c>
      <c r="D495" s="640"/>
      <c r="E495" s="640">
        <f t="shared" si="27"/>
        <v>98144</v>
      </c>
      <c r="F495" s="634">
        <v>29528</v>
      </c>
      <c r="G495" s="634">
        <v>24128</v>
      </c>
      <c r="H495" s="640">
        <v>44488</v>
      </c>
      <c r="I495" s="640"/>
      <c r="J495" s="634">
        <v>1361</v>
      </c>
      <c r="K495" s="634">
        <v>12433</v>
      </c>
      <c r="L495" s="634">
        <v>3682</v>
      </c>
      <c r="Z495" s="600"/>
      <c r="AA495" s="600"/>
      <c r="AB495" s="600"/>
      <c r="AC495" s="600"/>
      <c r="AD495" s="600"/>
      <c r="AE495" s="600"/>
      <c r="AF495" s="600"/>
      <c r="AG495" s="600"/>
      <c r="AH495" s="600"/>
      <c r="AI495" s="600"/>
      <c r="AJ495" s="600"/>
    </row>
    <row r="496" spans="1:36" s="263" customFormat="1" ht="9" customHeight="1" x14ac:dyDescent="0.25">
      <c r="A496" s="550" t="s">
        <v>34</v>
      </c>
      <c r="B496" s="638">
        <f t="shared" si="26"/>
        <v>184188</v>
      </c>
      <c r="C496" s="632">
        <v>88653</v>
      </c>
      <c r="D496" s="638"/>
      <c r="E496" s="638">
        <f t="shared" si="27"/>
        <v>71189</v>
      </c>
      <c r="F496" s="632">
        <v>19159</v>
      </c>
      <c r="G496" s="632">
        <v>19197</v>
      </c>
      <c r="H496" s="638">
        <v>32833</v>
      </c>
      <c r="I496" s="638"/>
      <c r="J496" s="632">
        <v>1073</v>
      </c>
      <c r="K496" s="632">
        <v>9944</v>
      </c>
      <c r="L496" s="632">
        <v>13329</v>
      </c>
      <c r="Z496" s="600"/>
      <c r="AA496" s="600"/>
      <c r="AB496" s="600"/>
      <c r="AC496" s="600"/>
      <c r="AD496" s="600"/>
      <c r="AE496" s="600"/>
      <c r="AF496" s="600"/>
      <c r="AG496" s="600"/>
      <c r="AH496" s="600"/>
      <c r="AI496" s="600"/>
      <c r="AJ496" s="600"/>
    </row>
    <row r="497" spans="1:36" s="263" customFormat="1" ht="9" customHeight="1" x14ac:dyDescent="0.25">
      <c r="A497" s="550" t="s">
        <v>35</v>
      </c>
      <c r="B497" s="638">
        <f t="shared" si="26"/>
        <v>834251</v>
      </c>
      <c r="C497" s="632">
        <v>238367</v>
      </c>
      <c r="D497" s="638"/>
      <c r="E497" s="638">
        <f t="shared" si="27"/>
        <v>479541</v>
      </c>
      <c r="F497" s="632">
        <v>125212</v>
      </c>
      <c r="G497" s="632">
        <v>98328</v>
      </c>
      <c r="H497" s="638">
        <v>256001</v>
      </c>
      <c r="I497" s="638"/>
      <c r="J497" s="632">
        <v>2789</v>
      </c>
      <c r="K497" s="632">
        <v>107526</v>
      </c>
      <c r="L497" s="632">
        <v>6028</v>
      </c>
      <c r="Z497" s="600"/>
      <c r="AA497" s="600"/>
      <c r="AB497" s="600"/>
      <c r="AC497" s="600"/>
      <c r="AD497" s="600"/>
      <c r="AE497" s="600"/>
      <c r="AF497" s="600"/>
      <c r="AG497" s="600"/>
      <c r="AH497" s="600"/>
      <c r="AI497" s="600"/>
      <c r="AJ497" s="600"/>
    </row>
    <row r="498" spans="1:36" s="263" customFormat="1" ht="9" customHeight="1" x14ac:dyDescent="0.25">
      <c r="A498" s="550" t="s">
        <v>36</v>
      </c>
      <c r="B498" s="638">
        <f t="shared" si="26"/>
        <v>1785997</v>
      </c>
      <c r="C498" s="632">
        <v>880717</v>
      </c>
      <c r="D498" s="638"/>
      <c r="E498" s="638">
        <f t="shared" si="27"/>
        <v>760592</v>
      </c>
      <c r="F498" s="632">
        <v>308849</v>
      </c>
      <c r="G498" s="632">
        <v>225095</v>
      </c>
      <c r="H498" s="638">
        <v>226648</v>
      </c>
      <c r="I498" s="638"/>
      <c r="J498" s="632">
        <v>14384</v>
      </c>
      <c r="K498" s="632">
        <v>97804</v>
      </c>
      <c r="L498" s="632">
        <v>32500</v>
      </c>
      <c r="Z498" s="600"/>
      <c r="AA498" s="600"/>
      <c r="AB498" s="600"/>
      <c r="AC498" s="600"/>
      <c r="AD498" s="600"/>
      <c r="AE498" s="600"/>
      <c r="AF498" s="600"/>
      <c r="AG498" s="600"/>
      <c r="AH498" s="600"/>
      <c r="AI498" s="600"/>
      <c r="AJ498" s="600"/>
    </row>
    <row r="499" spans="1:36" s="263" customFormat="1" ht="9" customHeight="1" x14ac:dyDescent="0.25">
      <c r="A499" s="603" t="s">
        <v>37</v>
      </c>
      <c r="B499" s="640">
        <f t="shared" si="26"/>
        <v>477899</v>
      </c>
      <c r="C499" s="634">
        <v>146934</v>
      </c>
      <c r="D499" s="640"/>
      <c r="E499" s="640">
        <f t="shared" si="27"/>
        <v>268032</v>
      </c>
      <c r="F499" s="634">
        <v>80766</v>
      </c>
      <c r="G499" s="634">
        <v>62535</v>
      </c>
      <c r="H499" s="640">
        <v>124731</v>
      </c>
      <c r="I499" s="640"/>
      <c r="J499" s="634">
        <v>4792</v>
      </c>
      <c r="K499" s="634">
        <v>51359</v>
      </c>
      <c r="L499" s="634">
        <v>6782</v>
      </c>
      <c r="Z499" s="600"/>
      <c r="AA499" s="600"/>
      <c r="AB499" s="600"/>
      <c r="AC499" s="600"/>
      <c r="AD499" s="600"/>
      <c r="AE499" s="600"/>
      <c r="AF499" s="600"/>
      <c r="AG499" s="600"/>
      <c r="AH499" s="600"/>
      <c r="AI499" s="600"/>
      <c r="AJ499" s="600"/>
    </row>
    <row r="500" spans="1:36" s="263" customFormat="1" ht="9" customHeight="1" x14ac:dyDescent="0.25">
      <c r="A500" s="550" t="s">
        <v>38</v>
      </c>
      <c r="B500" s="638">
        <f t="shared" si="26"/>
        <v>116597</v>
      </c>
      <c r="C500" s="632">
        <v>54831</v>
      </c>
      <c r="D500" s="638"/>
      <c r="E500" s="638">
        <f t="shared" si="27"/>
        <v>48554</v>
      </c>
      <c r="F500" s="632">
        <v>17391</v>
      </c>
      <c r="G500" s="632">
        <v>9054</v>
      </c>
      <c r="H500" s="638">
        <v>22109</v>
      </c>
      <c r="I500" s="638"/>
      <c r="J500" s="632">
        <v>215</v>
      </c>
      <c r="K500" s="632">
        <v>11335</v>
      </c>
      <c r="L500" s="632">
        <v>1662</v>
      </c>
      <c r="Z500" s="600"/>
      <c r="AA500" s="600"/>
      <c r="AB500" s="600"/>
      <c r="AC500" s="600"/>
      <c r="AD500" s="600"/>
      <c r="AE500" s="600"/>
      <c r="AF500" s="600"/>
      <c r="AG500" s="600"/>
      <c r="AH500" s="600"/>
      <c r="AI500" s="600"/>
      <c r="AJ500" s="600"/>
    </row>
    <row r="501" spans="1:36" s="263" customFormat="1" ht="9" customHeight="1" x14ac:dyDescent="0.25">
      <c r="A501" s="550" t="s">
        <v>39</v>
      </c>
      <c r="B501" s="638">
        <f t="shared" si="26"/>
        <v>14922</v>
      </c>
      <c r="C501" s="632">
        <v>10210</v>
      </c>
      <c r="D501" s="638"/>
      <c r="E501" s="638">
        <f t="shared" si="27"/>
        <v>4440</v>
      </c>
      <c r="F501" s="632">
        <v>1838</v>
      </c>
      <c r="G501" s="632">
        <v>208</v>
      </c>
      <c r="H501" s="638">
        <v>2394</v>
      </c>
      <c r="I501" s="638"/>
      <c r="J501" s="632">
        <v>0</v>
      </c>
      <c r="K501" s="632">
        <v>272</v>
      </c>
      <c r="L501" s="632">
        <v>0</v>
      </c>
      <c r="Z501" s="600"/>
      <c r="AA501" s="600"/>
      <c r="AB501" s="600"/>
      <c r="AC501" s="600"/>
      <c r="AD501" s="600"/>
      <c r="AE501" s="600"/>
      <c r="AF501" s="600"/>
      <c r="AG501" s="600"/>
      <c r="AH501" s="600"/>
      <c r="AI501" s="600"/>
      <c r="AJ501" s="600"/>
    </row>
    <row r="502" spans="1:36" s="263" customFormat="1" ht="9" customHeight="1" x14ac:dyDescent="0.25">
      <c r="A502" s="550" t="s">
        <v>40</v>
      </c>
      <c r="B502" s="638">
        <f t="shared" si="26"/>
        <v>1437689</v>
      </c>
      <c r="C502" s="632">
        <v>354922</v>
      </c>
      <c r="D502" s="638"/>
      <c r="E502" s="638">
        <f t="shared" si="27"/>
        <v>689181</v>
      </c>
      <c r="F502" s="632">
        <v>162282</v>
      </c>
      <c r="G502" s="632">
        <v>176121</v>
      </c>
      <c r="H502" s="638">
        <v>350778</v>
      </c>
      <c r="I502" s="638"/>
      <c r="J502" s="632">
        <v>29767</v>
      </c>
      <c r="K502" s="632">
        <v>298260</v>
      </c>
      <c r="L502" s="632">
        <v>65559</v>
      </c>
      <c r="Z502" s="600"/>
      <c r="AA502" s="600"/>
      <c r="AB502" s="600"/>
      <c r="AC502" s="600"/>
      <c r="AD502" s="600"/>
      <c r="AE502" s="600"/>
      <c r="AF502" s="600"/>
      <c r="AG502" s="600"/>
      <c r="AH502" s="600"/>
      <c r="AI502" s="600"/>
      <c r="AJ502" s="600"/>
    </row>
    <row r="503" spans="1:36" s="263" customFormat="1" ht="9" customHeight="1" x14ac:dyDescent="0.25">
      <c r="A503" s="603" t="s">
        <v>41</v>
      </c>
      <c r="B503" s="640">
        <f t="shared" si="26"/>
        <v>309897</v>
      </c>
      <c r="C503" s="634">
        <v>145146</v>
      </c>
      <c r="D503" s="640"/>
      <c r="E503" s="640">
        <f t="shared" si="27"/>
        <v>137249</v>
      </c>
      <c r="F503" s="634">
        <v>42814</v>
      </c>
      <c r="G503" s="634">
        <v>25716</v>
      </c>
      <c r="H503" s="640">
        <v>68719</v>
      </c>
      <c r="I503" s="640"/>
      <c r="J503" s="634">
        <v>3447</v>
      </c>
      <c r="K503" s="634">
        <v>9755</v>
      </c>
      <c r="L503" s="634">
        <v>14300</v>
      </c>
      <c r="Z503" s="600"/>
      <c r="AA503" s="600"/>
      <c r="AB503" s="600"/>
      <c r="AC503" s="600"/>
      <c r="AD503" s="600"/>
      <c r="AE503" s="600"/>
      <c r="AF503" s="600"/>
      <c r="AG503" s="600"/>
      <c r="AH503" s="600"/>
      <c r="AI503" s="600"/>
      <c r="AJ503" s="600"/>
    </row>
    <row r="504" spans="1:36" s="263" customFormat="1" ht="9" customHeight="1" x14ac:dyDescent="0.25">
      <c r="A504" s="550" t="s">
        <v>42</v>
      </c>
      <c r="B504" s="638">
        <f t="shared" si="26"/>
        <v>332835</v>
      </c>
      <c r="C504" s="632">
        <v>114606</v>
      </c>
      <c r="D504" s="638"/>
      <c r="E504" s="638">
        <f t="shared" si="27"/>
        <v>182268</v>
      </c>
      <c r="F504" s="632">
        <v>59404</v>
      </c>
      <c r="G504" s="632">
        <v>35735</v>
      </c>
      <c r="H504" s="638">
        <v>87129</v>
      </c>
      <c r="I504" s="638"/>
      <c r="J504" s="632">
        <v>2230</v>
      </c>
      <c r="K504" s="632">
        <v>29706</v>
      </c>
      <c r="L504" s="632">
        <v>4025</v>
      </c>
      <c r="Z504" s="600"/>
      <c r="AA504" s="600"/>
      <c r="AB504" s="600"/>
      <c r="AC504" s="600"/>
      <c r="AD504" s="600"/>
      <c r="AE504" s="600"/>
      <c r="AF504" s="600"/>
      <c r="AG504" s="600"/>
      <c r="AH504" s="600"/>
      <c r="AI504" s="600"/>
      <c r="AJ504" s="600"/>
    </row>
    <row r="505" spans="1:36" s="263" customFormat="1" ht="9" customHeight="1" x14ac:dyDescent="0.25">
      <c r="A505" s="550" t="s">
        <v>43</v>
      </c>
      <c r="B505" s="638">
        <f t="shared" si="26"/>
        <v>257584</v>
      </c>
      <c r="C505" s="632">
        <v>109222</v>
      </c>
      <c r="D505" s="638"/>
      <c r="E505" s="638">
        <f t="shared" si="27"/>
        <v>106660</v>
      </c>
      <c r="F505" s="632">
        <v>24461</v>
      </c>
      <c r="G505" s="632">
        <v>26116</v>
      </c>
      <c r="H505" s="638">
        <v>56083</v>
      </c>
      <c r="I505" s="638"/>
      <c r="J505" s="632">
        <v>1307</v>
      </c>
      <c r="K505" s="632">
        <v>34417</v>
      </c>
      <c r="L505" s="632">
        <v>5978</v>
      </c>
      <c r="Z505" s="600"/>
      <c r="AA505" s="600"/>
      <c r="AB505" s="600"/>
      <c r="AC505" s="600"/>
      <c r="AD505" s="600"/>
      <c r="AE505" s="600"/>
      <c r="AF505" s="600"/>
      <c r="AG505" s="600"/>
      <c r="AH505" s="600"/>
      <c r="AI505" s="600"/>
      <c r="AJ505" s="600"/>
    </row>
    <row r="506" spans="1:36" s="263" customFormat="1" ht="9" customHeight="1" x14ac:dyDescent="0.25">
      <c r="A506" s="550" t="s">
        <v>44</v>
      </c>
      <c r="B506" s="638">
        <f t="shared" si="26"/>
        <v>197542</v>
      </c>
      <c r="C506" s="632">
        <v>58115</v>
      </c>
      <c r="D506" s="638"/>
      <c r="E506" s="638">
        <f t="shared" si="27"/>
        <v>107045</v>
      </c>
      <c r="F506" s="632">
        <v>34261</v>
      </c>
      <c r="G506" s="632">
        <v>23759</v>
      </c>
      <c r="H506" s="638">
        <v>49025</v>
      </c>
      <c r="I506" s="638"/>
      <c r="J506" s="632">
        <v>20</v>
      </c>
      <c r="K506" s="632">
        <v>24157</v>
      </c>
      <c r="L506" s="632">
        <v>8205</v>
      </c>
      <c r="Z506" s="600"/>
      <c r="AA506" s="600"/>
      <c r="AB506" s="600"/>
      <c r="AC506" s="600"/>
      <c r="AD506" s="600"/>
      <c r="AE506" s="600"/>
      <c r="AF506" s="600"/>
      <c r="AG506" s="600"/>
      <c r="AH506" s="600"/>
      <c r="AI506" s="600"/>
      <c r="AJ506" s="600"/>
    </row>
    <row r="507" spans="1:36" s="263" customFormat="1" ht="9" customHeight="1" x14ac:dyDescent="0.25">
      <c r="A507" s="603" t="s">
        <v>45</v>
      </c>
      <c r="B507" s="640">
        <f t="shared" si="26"/>
        <v>114441</v>
      </c>
      <c r="C507" s="634">
        <v>41490</v>
      </c>
      <c r="D507" s="640"/>
      <c r="E507" s="640">
        <f t="shared" si="27"/>
        <v>50886</v>
      </c>
      <c r="F507" s="634">
        <v>19369</v>
      </c>
      <c r="G507" s="634">
        <v>13203</v>
      </c>
      <c r="H507" s="640">
        <v>18314</v>
      </c>
      <c r="I507" s="640"/>
      <c r="J507" s="634">
        <v>1067</v>
      </c>
      <c r="K507" s="634">
        <v>19964</v>
      </c>
      <c r="L507" s="634">
        <v>1034</v>
      </c>
      <c r="Z507" s="600"/>
      <c r="AA507" s="600"/>
      <c r="AB507" s="600"/>
      <c r="AC507" s="600"/>
      <c r="AD507" s="600"/>
      <c r="AE507" s="600"/>
      <c r="AF507" s="600"/>
      <c r="AG507" s="600"/>
      <c r="AH507" s="600"/>
      <c r="AI507" s="600"/>
      <c r="AJ507" s="600"/>
    </row>
    <row r="508" spans="1:36" s="263" customFormat="1" ht="9" customHeight="1" x14ac:dyDescent="0.25">
      <c r="A508" s="550" t="s">
        <v>46</v>
      </c>
      <c r="B508" s="638">
        <f t="shared" si="26"/>
        <v>191563</v>
      </c>
      <c r="C508" s="632">
        <v>44773</v>
      </c>
      <c r="D508" s="638"/>
      <c r="E508" s="638">
        <f t="shared" si="27"/>
        <v>129428</v>
      </c>
      <c r="F508" s="632">
        <v>34117</v>
      </c>
      <c r="G508" s="632">
        <v>27728</v>
      </c>
      <c r="H508" s="638">
        <v>67583</v>
      </c>
      <c r="I508" s="638"/>
      <c r="J508" s="632">
        <v>819</v>
      </c>
      <c r="K508" s="632">
        <v>15911</v>
      </c>
      <c r="L508" s="632">
        <v>632</v>
      </c>
      <c r="Z508" s="600"/>
      <c r="AA508" s="600"/>
      <c r="AB508" s="600"/>
      <c r="AC508" s="600"/>
      <c r="AD508" s="600"/>
      <c r="AE508" s="600"/>
      <c r="AF508" s="600"/>
      <c r="AG508" s="600"/>
      <c r="AH508" s="600"/>
      <c r="AI508" s="600"/>
      <c r="AJ508" s="600"/>
    </row>
    <row r="509" spans="1:36" s="263" customFormat="1" ht="9" customHeight="1" x14ac:dyDescent="0.25">
      <c r="A509" s="550" t="s">
        <v>47</v>
      </c>
      <c r="B509" s="638">
        <f t="shared" si="26"/>
        <v>255586</v>
      </c>
      <c r="C509" s="632">
        <v>80709</v>
      </c>
      <c r="D509" s="638"/>
      <c r="E509" s="638">
        <f t="shared" si="27"/>
        <v>100650</v>
      </c>
      <c r="F509" s="632">
        <v>24020</v>
      </c>
      <c r="G509" s="632">
        <v>20560</v>
      </c>
      <c r="H509" s="638">
        <v>56070</v>
      </c>
      <c r="I509" s="638"/>
      <c r="J509" s="632">
        <v>1012</v>
      </c>
      <c r="K509" s="632">
        <v>70244</v>
      </c>
      <c r="L509" s="632">
        <v>2971</v>
      </c>
      <c r="Z509" s="600"/>
      <c r="AA509" s="600"/>
      <c r="AB509" s="600"/>
      <c r="AC509" s="600"/>
      <c r="AD509" s="600"/>
      <c r="AE509" s="600"/>
      <c r="AF509" s="600"/>
      <c r="AG509" s="600"/>
      <c r="AH509" s="600"/>
      <c r="AI509" s="600"/>
      <c r="AJ509" s="600"/>
    </row>
    <row r="510" spans="1:36" s="263" customFormat="1" ht="9" customHeight="1" x14ac:dyDescent="0.25">
      <c r="A510" s="550" t="s">
        <v>48</v>
      </c>
      <c r="B510" s="638">
        <f t="shared" si="26"/>
        <v>120728</v>
      </c>
      <c r="C510" s="632">
        <v>49316</v>
      </c>
      <c r="D510" s="638"/>
      <c r="E510" s="638">
        <f t="shared" si="27"/>
        <v>34562</v>
      </c>
      <c r="F510" s="632">
        <v>11192</v>
      </c>
      <c r="G510" s="632">
        <v>8528</v>
      </c>
      <c r="H510" s="638">
        <v>14842</v>
      </c>
      <c r="I510" s="638"/>
      <c r="J510" s="632">
        <v>436</v>
      </c>
      <c r="K510" s="632">
        <v>36381</v>
      </c>
      <c r="L510" s="632">
        <v>33</v>
      </c>
      <c r="Z510" s="600"/>
      <c r="AA510" s="600"/>
      <c r="AB510" s="600"/>
      <c r="AC510" s="600"/>
      <c r="AD510" s="600"/>
      <c r="AE510" s="600"/>
      <c r="AF510" s="600"/>
      <c r="AG510" s="600"/>
      <c r="AH510" s="600"/>
      <c r="AI510" s="600"/>
      <c r="AJ510" s="600"/>
    </row>
    <row r="511" spans="1:36" s="263" customFormat="1" ht="9" customHeight="1" x14ac:dyDescent="0.25">
      <c r="A511" s="603" t="s">
        <v>49</v>
      </c>
      <c r="B511" s="640">
        <f t="shared" si="26"/>
        <v>169018</v>
      </c>
      <c r="C511" s="634">
        <v>78811</v>
      </c>
      <c r="D511" s="640"/>
      <c r="E511" s="640">
        <f t="shared" si="27"/>
        <v>56267</v>
      </c>
      <c r="F511" s="634">
        <v>14181</v>
      </c>
      <c r="G511" s="634">
        <v>19823</v>
      </c>
      <c r="H511" s="640">
        <v>22263</v>
      </c>
      <c r="I511" s="640"/>
      <c r="J511" s="634">
        <v>1759</v>
      </c>
      <c r="K511" s="634">
        <v>30041</v>
      </c>
      <c r="L511" s="634">
        <v>2140</v>
      </c>
      <c r="Z511" s="600"/>
      <c r="AA511" s="600"/>
      <c r="AB511" s="600"/>
      <c r="AC511" s="600"/>
      <c r="AD511" s="600"/>
      <c r="AE511" s="600"/>
      <c r="AF511" s="600"/>
      <c r="AG511" s="600"/>
      <c r="AH511" s="600"/>
      <c r="AI511" s="600"/>
      <c r="AJ511" s="600"/>
    </row>
    <row r="512" spans="1:36" s="263" customFormat="1" ht="9" customHeight="1" x14ac:dyDescent="0.25">
      <c r="A512" s="550" t="s">
        <v>50</v>
      </c>
      <c r="B512" s="638">
        <f t="shared" si="26"/>
        <v>79017</v>
      </c>
      <c r="C512" s="632">
        <v>46629</v>
      </c>
      <c r="D512" s="638"/>
      <c r="E512" s="638">
        <f t="shared" si="27"/>
        <v>29368</v>
      </c>
      <c r="F512" s="632">
        <v>10679</v>
      </c>
      <c r="G512" s="632">
        <v>8794</v>
      </c>
      <c r="H512" s="638">
        <v>9895</v>
      </c>
      <c r="I512" s="638"/>
      <c r="J512" s="632">
        <v>92</v>
      </c>
      <c r="K512" s="632">
        <v>1929</v>
      </c>
      <c r="L512" s="632">
        <v>999</v>
      </c>
      <c r="Z512" s="600"/>
      <c r="AA512" s="600"/>
      <c r="AB512" s="600"/>
      <c r="AC512" s="600"/>
      <c r="AD512" s="600"/>
      <c r="AE512" s="600"/>
      <c r="AF512" s="600"/>
      <c r="AG512" s="600"/>
      <c r="AH512" s="600"/>
      <c r="AI512" s="600"/>
      <c r="AJ512" s="600"/>
    </row>
    <row r="513" spans="1:36" s="263" customFormat="1" ht="9" customHeight="1" x14ac:dyDescent="0.25">
      <c r="A513" s="550" t="s">
        <v>51</v>
      </c>
      <c r="B513" s="638">
        <f t="shared" si="26"/>
        <v>378266</v>
      </c>
      <c r="C513" s="632">
        <v>164891</v>
      </c>
      <c r="D513" s="638"/>
      <c r="E513" s="638">
        <f t="shared" si="27"/>
        <v>169953</v>
      </c>
      <c r="F513" s="632">
        <v>69455</v>
      </c>
      <c r="G513" s="632">
        <v>38129</v>
      </c>
      <c r="H513" s="638">
        <v>62369</v>
      </c>
      <c r="I513" s="638"/>
      <c r="J513" s="632">
        <v>1702</v>
      </c>
      <c r="K513" s="632">
        <v>36061</v>
      </c>
      <c r="L513" s="632">
        <v>5659</v>
      </c>
      <c r="Z513" s="600"/>
      <c r="AA513" s="600"/>
      <c r="AB513" s="600"/>
      <c r="AC513" s="600"/>
      <c r="AD513" s="600"/>
      <c r="AE513" s="600"/>
      <c r="AF513" s="600"/>
      <c r="AG513" s="600"/>
      <c r="AH513" s="600"/>
      <c r="AI513" s="600"/>
      <c r="AJ513" s="600"/>
    </row>
    <row r="514" spans="1:36" s="263" customFormat="1" ht="9" customHeight="1" x14ac:dyDescent="0.25">
      <c r="A514" s="550" t="s">
        <v>52</v>
      </c>
      <c r="B514" s="638">
        <f t="shared" si="26"/>
        <v>221323</v>
      </c>
      <c r="C514" s="632">
        <v>70426</v>
      </c>
      <c r="D514" s="638"/>
      <c r="E514" s="638">
        <f t="shared" si="27"/>
        <v>92163</v>
      </c>
      <c r="F514" s="632">
        <v>26616</v>
      </c>
      <c r="G514" s="632">
        <v>27568</v>
      </c>
      <c r="H514" s="638">
        <v>37979</v>
      </c>
      <c r="I514" s="638"/>
      <c r="J514" s="632">
        <v>0</v>
      </c>
      <c r="K514" s="632">
        <v>54689</v>
      </c>
      <c r="L514" s="632">
        <v>4045</v>
      </c>
      <c r="Z514" s="600"/>
      <c r="AA514" s="600"/>
      <c r="AB514" s="600"/>
      <c r="AC514" s="600"/>
      <c r="AD514" s="600"/>
      <c r="AE514" s="600"/>
      <c r="AF514" s="600"/>
      <c r="AG514" s="600"/>
      <c r="AH514" s="600"/>
      <c r="AI514" s="600"/>
      <c r="AJ514" s="600"/>
    </row>
    <row r="515" spans="1:36" s="263" customFormat="1" ht="9" customHeight="1" x14ac:dyDescent="0.25">
      <c r="A515" s="267" t="s">
        <v>53</v>
      </c>
      <c r="B515" s="599">
        <f t="shared" si="26"/>
        <v>59820</v>
      </c>
      <c r="C515" s="604">
        <v>24543</v>
      </c>
      <c r="D515" s="599"/>
      <c r="E515" s="599">
        <f t="shared" si="27"/>
        <v>28901</v>
      </c>
      <c r="F515" s="604">
        <v>9911</v>
      </c>
      <c r="G515" s="604">
        <v>6091</v>
      </c>
      <c r="H515" s="599">
        <v>12899</v>
      </c>
      <c r="I515" s="599"/>
      <c r="J515" s="604">
        <v>284</v>
      </c>
      <c r="K515" s="604">
        <v>5575</v>
      </c>
      <c r="L515" s="604">
        <v>517</v>
      </c>
      <c r="Z515" s="600"/>
      <c r="AA515" s="600"/>
      <c r="AB515" s="600"/>
      <c r="AC515" s="600"/>
      <c r="AD515" s="600"/>
      <c r="AE515" s="600"/>
      <c r="AF515" s="600"/>
      <c r="AG515" s="600"/>
      <c r="AH515" s="600"/>
      <c r="AI515" s="600"/>
      <c r="AJ515" s="600"/>
    </row>
    <row r="516" spans="1:36" s="263" customFormat="1" ht="9" customHeight="1" x14ac:dyDescent="0.25">
      <c r="A516" s="286"/>
      <c r="B516" s="613"/>
      <c r="C516" s="605"/>
      <c r="D516" s="613"/>
      <c r="E516" s="613"/>
      <c r="F516" s="605"/>
      <c r="G516" s="605"/>
      <c r="H516" s="613"/>
      <c r="I516" s="613"/>
      <c r="J516" s="605"/>
      <c r="K516" s="605"/>
      <c r="L516" s="605"/>
      <c r="M516" s="286"/>
      <c r="Z516" s="600"/>
      <c r="AA516" s="600"/>
      <c r="AB516" s="600"/>
      <c r="AC516" s="600"/>
      <c r="AD516" s="600"/>
      <c r="AE516" s="600"/>
      <c r="AF516" s="600"/>
      <c r="AG516" s="600"/>
      <c r="AH516" s="600"/>
      <c r="AI516" s="600"/>
      <c r="AJ516" s="600"/>
    </row>
    <row r="517" spans="1:36" s="263" customFormat="1" ht="9" customHeight="1" x14ac:dyDescent="0.25">
      <c r="A517" s="601">
        <v>2009</v>
      </c>
      <c r="B517" s="597"/>
      <c r="C517" s="597"/>
      <c r="D517" s="597"/>
      <c r="E517" s="597"/>
      <c r="F517" s="597"/>
      <c r="G517" s="597"/>
      <c r="H517" s="597"/>
      <c r="I517" s="597"/>
      <c r="J517" s="597"/>
      <c r="K517" s="597"/>
      <c r="L517" s="597"/>
      <c r="Z517" s="600"/>
      <c r="AA517" s="600"/>
      <c r="AB517" s="600"/>
      <c r="AC517" s="600"/>
      <c r="AD517" s="600"/>
      <c r="AE517" s="600"/>
      <c r="AF517" s="600"/>
      <c r="AG517" s="600"/>
      <c r="AH517" s="600"/>
      <c r="AI517" s="600"/>
      <c r="AJ517" s="600"/>
    </row>
    <row r="518" spans="1:36" s="263" customFormat="1" ht="9" customHeight="1" x14ac:dyDescent="0.25">
      <c r="A518" s="265" t="s">
        <v>21</v>
      </c>
      <c r="B518" s="597">
        <f>SUM(B520:B551)</f>
        <v>11834500</v>
      </c>
      <c r="C518" s="597">
        <f>SUM(C520:C551)</f>
        <v>4165633</v>
      </c>
      <c r="D518" s="597"/>
      <c r="E518" s="597">
        <f>SUM(E520:E551)</f>
        <v>5617733</v>
      </c>
      <c r="F518" s="597">
        <f>SUM(F520:F551)</f>
        <v>1529582</v>
      </c>
      <c r="G518" s="597">
        <f>SUM(G520:G551)</f>
        <v>1264765</v>
      </c>
      <c r="H518" s="597">
        <f>SUM(H520:H551)</f>
        <v>2823386</v>
      </c>
      <c r="I518" s="597"/>
      <c r="J518" s="597">
        <f>SUM(J520:J551)</f>
        <v>102104</v>
      </c>
      <c r="K518" s="597">
        <f>SUM(K520:K551)</f>
        <v>1705467</v>
      </c>
      <c r="L518" s="597">
        <f>SUM(L520:L551)</f>
        <v>243563</v>
      </c>
      <c r="Z518" s="600"/>
      <c r="AA518" s="600"/>
      <c r="AB518" s="600"/>
      <c r="AC518" s="600"/>
      <c r="AD518" s="600"/>
      <c r="AE518" s="600"/>
      <c r="AF518" s="600"/>
      <c r="AG518" s="600"/>
      <c r="AH518" s="600"/>
      <c r="AI518" s="600"/>
      <c r="AJ518" s="600"/>
    </row>
    <row r="519" spans="1:36" s="263" customFormat="1" ht="3.95" customHeight="1" x14ac:dyDescent="0.25">
      <c r="A519" s="265"/>
      <c r="B519" s="597"/>
      <c r="C519" s="597"/>
      <c r="D519" s="597"/>
      <c r="E519" s="597"/>
      <c r="F519" s="597"/>
      <c r="G519" s="597"/>
      <c r="H519" s="597"/>
      <c r="I519" s="597"/>
      <c r="J519" s="597"/>
      <c r="K519" s="597"/>
      <c r="L519" s="597"/>
      <c r="Z519" s="600"/>
      <c r="AA519" s="600"/>
      <c r="AB519" s="600"/>
      <c r="AC519" s="600"/>
      <c r="AD519" s="600"/>
      <c r="AE519" s="600"/>
      <c r="AF519" s="600"/>
      <c r="AG519" s="600"/>
      <c r="AH519" s="600"/>
      <c r="AI519" s="600"/>
      <c r="AJ519" s="600"/>
    </row>
    <row r="520" spans="1:36" s="263" customFormat="1" ht="9" customHeight="1" x14ac:dyDescent="0.25">
      <c r="A520" s="550" t="s">
        <v>23</v>
      </c>
      <c r="B520" s="638">
        <f t="shared" ref="B520:B551" si="28">SUM(C520+E520+J520+K520+L520)</f>
        <v>121962</v>
      </c>
      <c r="C520" s="632">
        <v>82485</v>
      </c>
      <c r="D520" s="638"/>
      <c r="E520" s="638">
        <f>SUM(F520:H520)</f>
        <v>37530</v>
      </c>
      <c r="F520" s="632">
        <v>24085</v>
      </c>
      <c r="G520" s="632">
        <v>6805</v>
      </c>
      <c r="H520" s="638">
        <v>6640</v>
      </c>
      <c r="I520" s="638"/>
      <c r="J520" s="632">
        <v>0</v>
      </c>
      <c r="K520" s="632">
        <v>1941</v>
      </c>
      <c r="L520" s="632">
        <v>6</v>
      </c>
      <c r="Z520" s="600"/>
      <c r="AA520" s="600"/>
      <c r="AB520" s="600"/>
      <c r="AC520" s="600"/>
      <c r="AD520" s="600"/>
      <c r="AE520" s="600"/>
      <c r="AF520" s="600"/>
      <c r="AG520" s="600"/>
      <c r="AH520" s="600"/>
      <c r="AI520" s="600"/>
      <c r="AJ520" s="600"/>
    </row>
    <row r="521" spans="1:36" s="263" customFormat="1" ht="9" customHeight="1" x14ac:dyDescent="0.25">
      <c r="A521" s="550" t="s">
        <v>24</v>
      </c>
      <c r="B521" s="638">
        <f t="shared" si="28"/>
        <v>425223</v>
      </c>
      <c r="C521" s="638">
        <v>196537</v>
      </c>
      <c r="D521" s="638"/>
      <c r="E521" s="638">
        <f t="shared" ref="E521:E551" si="29">SUM(F521:H521)</f>
        <v>197259</v>
      </c>
      <c r="F521" s="638">
        <v>62495</v>
      </c>
      <c r="G521" s="638">
        <v>54350</v>
      </c>
      <c r="H521" s="638">
        <v>80414</v>
      </c>
      <c r="I521" s="638"/>
      <c r="J521" s="638">
        <v>560</v>
      </c>
      <c r="K521" s="638">
        <v>23754</v>
      </c>
      <c r="L521" s="638">
        <v>7113</v>
      </c>
      <c r="Z521" s="600"/>
      <c r="AA521" s="600"/>
      <c r="AB521" s="600"/>
      <c r="AC521" s="600"/>
      <c r="AD521" s="600"/>
      <c r="AE521" s="600"/>
      <c r="AF521" s="600"/>
      <c r="AG521" s="600"/>
      <c r="AH521" s="600"/>
      <c r="AI521" s="600"/>
      <c r="AJ521" s="600"/>
    </row>
    <row r="522" spans="1:36" s="263" customFormat="1" ht="9" customHeight="1" x14ac:dyDescent="0.25">
      <c r="A522" s="550" t="s">
        <v>25</v>
      </c>
      <c r="B522" s="638">
        <f t="shared" si="28"/>
        <v>33609</v>
      </c>
      <c r="C522" s="632">
        <v>15780</v>
      </c>
      <c r="D522" s="638"/>
      <c r="E522" s="638">
        <f t="shared" si="29"/>
        <v>12826</v>
      </c>
      <c r="F522" s="632">
        <v>2170</v>
      </c>
      <c r="G522" s="632">
        <v>1573</v>
      </c>
      <c r="H522" s="638">
        <v>9083</v>
      </c>
      <c r="I522" s="638"/>
      <c r="J522" s="632">
        <v>589</v>
      </c>
      <c r="K522" s="632">
        <v>2960</v>
      </c>
      <c r="L522" s="632">
        <v>1454</v>
      </c>
      <c r="Z522" s="600"/>
      <c r="AA522" s="600"/>
      <c r="AB522" s="600"/>
      <c r="AC522" s="600"/>
      <c r="AD522" s="600"/>
      <c r="AE522" s="600"/>
      <c r="AF522" s="600"/>
      <c r="AG522" s="600"/>
      <c r="AH522" s="600"/>
      <c r="AI522" s="600"/>
      <c r="AJ522" s="600"/>
    </row>
    <row r="523" spans="1:36" s="263" customFormat="1" ht="9" customHeight="1" x14ac:dyDescent="0.25">
      <c r="A523" s="603" t="s">
        <v>26</v>
      </c>
      <c r="B523" s="640">
        <f t="shared" si="28"/>
        <v>22440</v>
      </c>
      <c r="C523" s="634">
        <v>8244</v>
      </c>
      <c r="D523" s="640"/>
      <c r="E523" s="640">
        <f t="shared" si="29"/>
        <v>6626</v>
      </c>
      <c r="F523" s="634">
        <v>2826</v>
      </c>
      <c r="G523" s="634">
        <v>2709</v>
      </c>
      <c r="H523" s="640">
        <v>1091</v>
      </c>
      <c r="I523" s="640"/>
      <c r="J523" s="634">
        <v>0</v>
      </c>
      <c r="K523" s="634">
        <v>7539</v>
      </c>
      <c r="L523" s="634">
        <v>31</v>
      </c>
      <c r="Z523" s="600"/>
      <c r="AA523" s="600"/>
      <c r="AB523" s="600"/>
      <c r="AC523" s="600"/>
      <c r="AD523" s="600"/>
      <c r="AE523" s="600"/>
      <c r="AF523" s="600"/>
      <c r="AG523" s="600"/>
      <c r="AH523" s="600"/>
      <c r="AI523" s="600"/>
      <c r="AJ523" s="600"/>
    </row>
    <row r="524" spans="1:36" s="263" customFormat="1" ht="9" customHeight="1" x14ac:dyDescent="0.25">
      <c r="A524" s="550" t="s">
        <v>27</v>
      </c>
      <c r="B524" s="638">
        <f t="shared" si="28"/>
        <v>195509</v>
      </c>
      <c r="C524" s="632">
        <v>12364</v>
      </c>
      <c r="D524" s="638"/>
      <c r="E524" s="638">
        <f t="shared" si="29"/>
        <v>75507</v>
      </c>
      <c r="F524" s="632">
        <v>16798</v>
      </c>
      <c r="G524" s="632">
        <v>15027</v>
      </c>
      <c r="H524" s="638">
        <v>43682</v>
      </c>
      <c r="I524" s="638"/>
      <c r="J524" s="632">
        <v>74</v>
      </c>
      <c r="K524" s="632">
        <v>107103</v>
      </c>
      <c r="L524" s="632">
        <v>461</v>
      </c>
      <c r="Z524" s="600"/>
      <c r="AA524" s="600"/>
      <c r="AB524" s="600"/>
      <c r="AC524" s="600"/>
      <c r="AD524" s="600"/>
      <c r="AE524" s="600"/>
      <c r="AF524" s="600"/>
      <c r="AG524" s="600"/>
      <c r="AH524" s="600"/>
      <c r="AI524" s="600"/>
      <c r="AJ524" s="600"/>
    </row>
    <row r="525" spans="1:36" s="263" customFormat="1" ht="9" customHeight="1" x14ac:dyDescent="0.25">
      <c r="A525" s="550" t="s">
        <v>28</v>
      </c>
      <c r="B525" s="638">
        <f t="shared" si="28"/>
        <v>77257</v>
      </c>
      <c r="C525" s="632">
        <v>21059</v>
      </c>
      <c r="D525" s="638"/>
      <c r="E525" s="638">
        <f t="shared" si="29"/>
        <v>46737</v>
      </c>
      <c r="F525" s="632">
        <v>7141</v>
      </c>
      <c r="G525" s="632">
        <v>14782</v>
      </c>
      <c r="H525" s="638">
        <v>24814</v>
      </c>
      <c r="I525" s="638"/>
      <c r="J525" s="632">
        <v>0</v>
      </c>
      <c r="K525" s="632">
        <v>9196</v>
      </c>
      <c r="L525" s="632">
        <v>265</v>
      </c>
      <c r="Z525" s="600"/>
      <c r="AA525" s="600"/>
      <c r="AB525" s="600"/>
      <c r="AC525" s="600"/>
      <c r="AD525" s="600"/>
      <c r="AE525" s="600"/>
      <c r="AF525" s="600"/>
      <c r="AG525" s="600"/>
      <c r="AH525" s="600"/>
      <c r="AI525" s="600"/>
      <c r="AJ525" s="600"/>
    </row>
    <row r="526" spans="1:36" s="263" customFormat="1" ht="9" customHeight="1" x14ac:dyDescent="0.25">
      <c r="A526" s="550" t="s">
        <v>29</v>
      </c>
      <c r="B526" s="638">
        <f t="shared" si="28"/>
        <v>153248</v>
      </c>
      <c r="C526" s="632">
        <v>66809</v>
      </c>
      <c r="D526" s="638"/>
      <c r="E526" s="638">
        <f t="shared" si="29"/>
        <v>67870</v>
      </c>
      <c r="F526" s="632">
        <v>21912</v>
      </c>
      <c r="G526" s="632">
        <v>14748</v>
      </c>
      <c r="H526" s="638">
        <v>31210</v>
      </c>
      <c r="I526" s="638"/>
      <c r="J526" s="632">
        <v>6838</v>
      </c>
      <c r="K526" s="632">
        <v>10297</v>
      </c>
      <c r="L526" s="632">
        <v>1434</v>
      </c>
      <c r="Z526" s="600"/>
      <c r="AA526" s="600"/>
      <c r="AB526" s="600"/>
      <c r="AC526" s="600"/>
      <c r="AD526" s="600"/>
      <c r="AE526" s="600"/>
      <c r="AF526" s="600"/>
      <c r="AG526" s="600"/>
      <c r="AH526" s="600"/>
      <c r="AI526" s="600"/>
      <c r="AJ526" s="600"/>
    </row>
    <row r="527" spans="1:36" s="263" customFormat="1" ht="9" customHeight="1" x14ac:dyDescent="0.25">
      <c r="A527" s="603" t="s">
        <v>30</v>
      </c>
      <c r="B527" s="640">
        <f t="shared" si="28"/>
        <v>294255</v>
      </c>
      <c r="C527" s="634">
        <v>137285</v>
      </c>
      <c r="D527" s="640"/>
      <c r="E527" s="640">
        <f t="shared" si="29"/>
        <v>112730</v>
      </c>
      <c r="F527" s="634">
        <v>48912</v>
      </c>
      <c r="G527" s="634">
        <v>26683</v>
      </c>
      <c r="H527" s="640">
        <v>37135</v>
      </c>
      <c r="I527" s="640"/>
      <c r="J527" s="634">
        <v>1078</v>
      </c>
      <c r="K527" s="634">
        <v>40386</v>
      </c>
      <c r="L527" s="634">
        <v>2776</v>
      </c>
      <c r="Z527" s="600"/>
      <c r="AA527" s="600"/>
      <c r="AB527" s="600"/>
      <c r="AC527" s="600"/>
      <c r="AD527" s="600"/>
      <c r="AE527" s="600"/>
      <c r="AF527" s="600"/>
      <c r="AG527" s="600"/>
      <c r="AH527" s="600"/>
      <c r="AI527" s="600"/>
      <c r="AJ527" s="600"/>
    </row>
    <row r="528" spans="1:36" s="263" customFormat="1" ht="9" customHeight="1" x14ac:dyDescent="0.25">
      <c r="A528" s="550" t="s">
        <v>63</v>
      </c>
      <c r="B528" s="638">
        <f t="shared" si="28"/>
        <v>2387339</v>
      </c>
      <c r="C528" s="632">
        <v>639898</v>
      </c>
      <c r="D528" s="638"/>
      <c r="E528" s="638">
        <f t="shared" si="29"/>
        <v>1292633</v>
      </c>
      <c r="F528" s="632">
        <v>182650</v>
      </c>
      <c r="G528" s="632">
        <v>172066</v>
      </c>
      <c r="H528" s="638">
        <v>937917</v>
      </c>
      <c r="I528" s="638"/>
      <c r="J528" s="632">
        <v>30966</v>
      </c>
      <c r="K528" s="632">
        <v>375614</v>
      </c>
      <c r="L528" s="632">
        <v>48228</v>
      </c>
      <c r="Z528" s="600"/>
      <c r="AA528" s="600"/>
      <c r="AB528" s="600"/>
      <c r="AC528" s="600"/>
      <c r="AD528" s="600"/>
      <c r="AE528" s="600"/>
      <c r="AF528" s="600"/>
      <c r="AG528" s="600"/>
      <c r="AH528" s="600"/>
      <c r="AI528" s="600"/>
      <c r="AJ528" s="600"/>
    </row>
    <row r="529" spans="1:36" s="263" customFormat="1" ht="9" customHeight="1" x14ac:dyDescent="0.25">
      <c r="A529" s="550" t="s">
        <v>31</v>
      </c>
      <c r="B529" s="638">
        <f t="shared" si="28"/>
        <v>45997</v>
      </c>
      <c r="C529" s="632">
        <v>22608</v>
      </c>
      <c r="D529" s="638"/>
      <c r="E529" s="638">
        <f t="shared" si="29"/>
        <v>20134</v>
      </c>
      <c r="F529" s="632">
        <v>5733</v>
      </c>
      <c r="G529" s="632">
        <v>3437</v>
      </c>
      <c r="H529" s="638">
        <v>10964</v>
      </c>
      <c r="I529" s="638"/>
      <c r="J529" s="632">
        <v>276</v>
      </c>
      <c r="K529" s="632">
        <v>2594</v>
      </c>
      <c r="L529" s="632">
        <v>385</v>
      </c>
      <c r="Z529" s="600"/>
      <c r="AA529" s="600"/>
      <c r="AB529" s="600"/>
      <c r="AC529" s="600"/>
      <c r="AD529" s="600"/>
      <c r="AE529" s="600"/>
      <c r="AF529" s="600"/>
      <c r="AG529" s="600"/>
      <c r="AH529" s="600"/>
      <c r="AI529" s="600"/>
      <c r="AJ529" s="600"/>
    </row>
    <row r="530" spans="1:36" s="263" customFormat="1" ht="9" customHeight="1" x14ac:dyDescent="0.25">
      <c r="A530" s="550" t="s">
        <v>32</v>
      </c>
      <c r="B530" s="638">
        <f t="shared" si="28"/>
        <v>437673</v>
      </c>
      <c r="C530" s="632">
        <v>190571</v>
      </c>
      <c r="D530" s="638"/>
      <c r="E530" s="638">
        <f t="shared" si="29"/>
        <v>202961</v>
      </c>
      <c r="F530" s="632">
        <v>62771</v>
      </c>
      <c r="G530" s="632">
        <v>54680</v>
      </c>
      <c r="H530" s="638">
        <v>85510</v>
      </c>
      <c r="I530" s="638"/>
      <c r="J530" s="632">
        <v>3020</v>
      </c>
      <c r="K530" s="632">
        <v>27262</v>
      </c>
      <c r="L530" s="632">
        <v>13859</v>
      </c>
      <c r="Z530" s="600"/>
      <c r="AA530" s="600"/>
      <c r="AB530" s="600"/>
      <c r="AC530" s="600"/>
      <c r="AD530" s="600"/>
      <c r="AE530" s="600"/>
      <c r="AF530" s="600"/>
      <c r="AG530" s="600"/>
      <c r="AH530" s="600"/>
      <c r="AI530" s="600"/>
      <c r="AJ530" s="600"/>
    </row>
    <row r="531" spans="1:36" s="263" customFormat="1" ht="9" customHeight="1" x14ac:dyDescent="0.25">
      <c r="A531" s="603" t="s">
        <v>33</v>
      </c>
      <c r="B531" s="640">
        <f t="shared" si="28"/>
        <v>182717</v>
      </c>
      <c r="C531" s="634">
        <v>76658</v>
      </c>
      <c r="D531" s="640"/>
      <c r="E531" s="640">
        <f t="shared" si="29"/>
        <v>94158</v>
      </c>
      <c r="F531" s="634">
        <v>28563</v>
      </c>
      <c r="G531" s="634">
        <v>20972</v>
      </c>
      <c r="H531" s="640">
        <v>44623</v>
      </c>
      <c r="I531" s="640"/>
      <c r="J531" s="634">
        <v>399</v>
      </c>
      <c r="K531" s="634">
        <v>9339</v>
      </c>
      <c r="L531" s="634">
        <v>2163</v>
      </c>
      <c r="Z531" s="600"/>
      <c r="AA531" s="600"/>
      <c r="AB531" s="600"/>
      <c r="AC531" s="600"/>
      <c r="AD531" s="600"/>
      <c r="AE531" s="600"/>
      <c r="AF531" s="600"/>
      <c r="AG531" s="600"/>
      <c r="AH531" s="600"/>
      <c r="AI531" s="600"/>
      <c r="AJ531" s="600"/>
    </row>
    <row r="532" spans="1:36" s="263" customFormat="1" ht="9" customHeight="1" x14ac:dyDescent="0.25">
      <c r="A532" s="550" t="s">
        <v>34</v>
      </c>
      <c r="B532" s="638">
        <f t="shared" si="28"/>
        <v>224614</v>
      </c>
      <c r="C532" s="632">
        <v>103056</v>
      </c>
      <c r="D532" s="638"/>
      <c r="E532" s="638">
        <f t="shared" si="29"/>
        <v>95254</v>
      </c>
      <c r="F532" s="632">
        <v>29353</v>
      </c>
      <c r="G532" s="632">
        <v>23012</v>
      </c>
      <c r="H532" s="638">
        <v>42889</v>
      </c>
      <c r="I532" s="638"/>
      <c r="J532" s="632">
        <v>1416</v>
      </c>
      <c r="K532" s="632">
        <v>10193</v>
      </c>
      <c r="L532" s="632">
        <v>14695</v>
      </c>
      <c r="Z532" s="600"/>
      <c r="AA532" s="600"/>
      <c r="AB532" s="600"/>
      <c r="AC532" s="600"/>
      <c r="AD532" s="600"/>
      <c r="AE532" s="600"/>
      <c r="AF532" s="600"/>
      <c r="AG532" s="600"/>
      <c r="AH532" s="600"/>
      <c r="AI532" s="600"/>
      <c r="AJ532" s="600"/>
    </row>
    <row r="533" spans="1:36" s="263" customFormat="1" ht="9" customHeight="1" x14ac:dyDescent="0.25">
      <c r="A533" s="550" t="s">
        <v>35</v>
      </c>
      <c r="B533" s="638">
        <f t="shared" si="28"/>
        <v>849435</v>
      </c>
      <c r="C533" s="632">
        <v>255320</v>
      </c>
      <c r="D533" s="638"/>
      <c r="E533" s="638">
        <f t="shared" si="29"/>
        <v>461379</v>
      </c>
      <c r="F533" s="632">
        <v>118846</v>
      </c>
      <c r="G533" s="632">
        <v>101760</v>
      </c>
      <c r="H533" s="638">
        <v>240773</v>
      </c>
      <c r="I533" s="638"/>
      <c r="J533" s="632">
        <v>3206</v>
      </c>
      <c r="K533" s="632">
        <v>124263</v>
      </c>
      <c r="L533" s="632">
        <v>5267</v>
      </c>
      <c r="Z533" s="600"/>
      <c r="AA533" s="600"/>
      <c r="AB533" s="600"/>
      <c r="AC533" s="600"/>
      <c r="AD533" s="600"/>
      <c r="AE533" s="600"/>
      <c r="AF533" s="600"/>
      <c r="AG533" s="600"/>
      <c r="AH533" s="600"/>
      <c r="AI533" s="600"/>
      <c r="AJ533" s="600"/>
    </row>
    <row r="534" spans="1:36" s="263" customFormat="1" ht="9" customHeight="1" x14ac:dyDescent="0.25">
      <c r="A534" s="550" t="s">
        <v>36</v>
      </c>
      <c r="B534" s="638">
        <f t="shared" si="28"/>
        <v>1775052</v>
      </c>
      <c r="C534" s="632">
        <v>858724</v>
      </c>
      <c r="D534" s="638"/>
      <c r="E534" s="638">
        <f t="shared" si="29"/>
        <v>747654</v>
      </c>
      <c r="F534" s="632">
        <v>291666</v>
      </c>
      <c r="G534" s="632">
        <v>235133</v>
      </c>
      <c r="H534" s="638">
        <v>220855</v>
      </c>
      <c r="I534" s="638"/>
      <c r="J534" s="632">
        <v>16168</v>
      </c>
      <c r="K534" s="632">
        <v>123451</v>
      </c>
      <c r="L534" s="632">
        <v>29055</v>
      </c>
      <c r="Z534" s="600"/>
      <c r="AA534" s="600"/>
      <c r="AB534" s="600"/>
      <c r="AC534" s="600"/>
      <c r="AD534" s="600"/>
      <c r="AE534" s="600"/>
      <c r="AF534" s="600"/>
      <c r="AG534" s="600"/>
      <c r="AH534" s="600"/>
      <c r="AI534" s="600"/>
      <c r="AJ534" s="600"/>
    </row>
    <row r="535" spans="1:36" s="263" customFormat="1" ht="9" customHeight="1" x14ac:dyDescent="0.25">
      <c r="A535" s="603" t="s">
        <v>37</v>
      </c>
      <c r="B535" s="640">
        <f t="shared" si="28"/>
        <v>452117</v>
      </c>
      <c r="C535" s="634">
        <v>140733</v>
      </c>
      <c r="D535" s="640"/>
      <c r="E535" s="640">
        <f t="shared" si="29"/>
        <v>234937</v>
      </c>
      <c r="F535" s="634">
        <v>73416</v>
      </c>
      <c r="G535" s="634">
        <v>51326</v>
      </c>
      <c r="H535" s="640">
        <v>110195</v>
      </c>
      <c r="I535" s="640"/>
      <c r="J535" s="634">
        <v>3275</v>
      </c>
      <c r="K535" s="634">
        <v>69189</v>
      </c>
      <c r="L535" s="634">
        <v>3983</v>
      </c>
      <c r="Z535" s="600"/>
      <c r="AA535" s="600"/>
      <c r="AB535" s="600"/>
      <c r="AC535" s="600"/>
      <c r="AD535" s="600"/>
      <c r="AE535" s="600"/>
      <c r="AF535" s="600"/>
      <c r="AG535" s="600"/>
      <c r="AH535" s="600"/>
      <c r="AI535" s="600"/>
      <c r="AJ535" s="600"/>
    </row>
    <row r="536" spans="1:36" s="263" customFormat="1" ht="9" customHeight="1" x14ac:dyDescent="0.25">
      <c r="A536" s="550" t="s">
        <v>38</v>
      </c>
      <c r="B536" s="638">
        <f t="shared" si="28"/>
        <v>105788</v>
      </c>
      <c r="C536" s="632">
        <v>46346</v>
      </c>
      <c r="D536" s="638"/>
      <c r="E536" s="638">
        <f t="shared" si="29"/>
        <v>46843</v>
      </c>
      <c r="F536" s="632">
        <v>16982</v>
      </c>
      <c r="G536" s="632">
        <v>9550</v>
      </c>
      <c r="H536" s="638">
        <v>20311</v>
      </c>
      <c r="I536" s="638"/>
      <c r="J536" s="632">
        <v>251</v>
      </c>
      <c r="K536" s="632">
        <v>11181</v>
      </c>
      <c r="L536" s="632">
        <v>1167</v>
      </c>
      <c r="Z536" s="600"/>
      <c r="AA536" s="600"/>
      <c r="AB536" s="600"/>
      <c r="AC536" s="600"/>
      <c r="AD536" s="600"/>
      <c r="AE536" s="600"/>
      <c r="AF536" s="600"/>
      <c r="AG536" s="600"/>
      <c r="AH536" s="600"/>
      <c r="AI536" s="600"/>
      <c r="AJ536" s="600"/>
    </row>
    <row r="537" spans="1:36" s="263" customFormat="1" ht="9" customHeight="1" x14ac:dyDescent="0.25">
      <c r="A537" s="550" t="s">
        <v>39</v>
      </c>
      <c r="B537" s="638">
        <f t="shared" si="28"/>
        <v>12421</v>
      </c>
      <c r="C537" s="632">
        <v>7487</v>
      </c>
      <c r="D537" s="638"/>
      <c r="E537" s="638">
        <f t="shared" si="29"/>
        <v>4649</v>
      </c>
      <c r="F537" s="632">
        <v>1559</v>
      </c>
      <c r="G537" s="632">
        <v>355</v>
      </c>
      <c r="H537" s="638">
        <v>2735</v>
      </c>
      <c r="I537" s="638"/>
      <c r="J537" s="632">
        <v>2</v>
      </c>
      <c r="K537" s="632">
        <v>283</v>
      </c>
      <c r="L537" s="632">
        <v>0</v>
      </c>
      <c r="Z537" s="600"/>
      <c r="AA537" s="600"/>
      <c r="AB537" s="600"/>
      <c r="AC537" s="600"/>
      <c r="AD537" s="600"/>
      <c r="AE537" s="600"/>
      <c r="AF537" s="600"/>
      <c r="AG537" s="600"/>
      <c r="AH537" s="600"/>
      <c r="AI537" s="600"/>
      <c r="AJ537" s="600"/>
    </row>
    <row r="538" spans="1:36" s="263" customFormat="1" ht="9" customHeight="1" x14ac:dyDescent="0.25">
      <c r="A538" s="550" t="s">
        <v>40</v>
      </c>
      <c r="B538" s="638">
        <f t="shared" si="28"/>
        <v>1512524</v>
      </c>
      <c r="C538" s="632">
        <v>346914</v>
      </c>
      <c r="D538" s="638"/>
      <c r="E538" s="638">
        <f t="shared" si="29"/>
        <v>705566</v>
      </c>
      <c r="F538" s="632">
        <v>155634</v>
      </c>
      <c r="G538" s="632">
        <v>200271</v>
      </c>
      <c r="H538" s="638">
        <v>349661</v>
      </c>
      <c r="I538" s="638"/>
      <c r="J538" s="632">
        <v>18790</v>
      </c>
      <c r="K538" s="632">
        <v>381866</v>
      </c>
      <c r="L538" s="632">
        <v>59388</v>
      </c>
      <c r="Z538" s="600"/>
      <c r="AA538" s="600"/>
      <c r="AB538" s="600"/>
      <c r="AC538" s="600"/>
      <c r="AD538" s="600"/>
      <c r="AE538" s="600"/>
      <c r="AF538" s="600"/>
      <c r="AG538" s="600"/>
      <c r="AH538" s="600"/>
      <c r="AI538" s="600"/>
      <c r="AJ538" s="600"/>
    </row>
    <row r="539" spans="1:36" s="263" customFormat="1" ht="9" customHeight="1" x14ac:dyDescent="0.25">
      <c r="A539" s="603" t="s">
        <v>41</v>
      </c>
      <c r="B539" s="640">
        <f t="shared" si="28"/>
        <v>295241</v>
      </c>
      <c r="C539" s="634">
        <v>138984</v>
      </c>
      <c r="D539" s="640"/>
      <c r="E539" s="640">
        <f t="shared" si="29"/>
        <v>128850</v>
      </c>
      <c r="F539" s="634">
        <v>43621</v>
      </c>
      <c r="G539" s="634">
        <v>26969</v>
      </c>
      <c r="H539" s="640">
        <v>58260</v>
      </c>
      <c r="I539" s="640"/>
      <c r="J539" s="634">
        <v>3991</v>
      </c>
      <c r="K539" s="634">
        <v>8841</v>
      </c>
      <c r="L539" s="634">
        <v>14575</v>
      </c>
      <c r="Z539" s="600"/>
      <c r="AA539" s="600"/>
      <c r="AB539" s="600"/>
      <c r="AC539" s="600"/>
      <c r="AD539" s="600"/>
      <c r="AE539" s="600"/>
      <c r="AF539" s="600"/>
      <c r="AG539" s="600"/>
      <c r="AH539" s="600"/>
      <c r="AI539" s="600"/>
      <c r="AJ539" s="600"/>
    </row>
    <row r="540" spans="1:36" s="263" customFormat="1" ht="9" customHeight="1" x14ac:dyDescent="0.25">
      <c r="A540" s="550" t="s">
        <v>42</v>
      </c>
      <c r="B540" s="638">
        <f t="shared" si="28"/>
        <v>308652</v>
      </c>
      <c r="C540" s="632">
        <v>92931</v>
      </c>
      <c r="D540" s="638"/>
      <c r="E540" s="638">
        <f t="shared" si="29"/>
        <v>188055</v>
      </c>
      <c r="F540" s="632">
        <v>71247</v>
      </c>
      <c r="G540" s="632">
        <v>31134</v>
      </c>
      <c r="H540" s="638">
        <v>85674</v>
      </c>
      <c r="I540" s="638"/>
      <c r="J540" s="632">
        <v>1325</v>
      </c>
      <c r="K540" s="632">
        <v>22604</v>
      </c>
      <c r="L540" s="632">
        <v>3737</v>
      </c>
      <c r="Z540" s="600"/>
      <c r="AA540" s="600"/>
      <c r="AB540" s="600"/>
      <c r="AC540" s="600"/>
      <c r="AD540" s="600"/>
      <c r="AE540" s="600"/>
      <c r="AF540" s="600"/>
      <c r="AG540" s="600"/>
      <c r="AH540" s="600"/>
      <c r="AI540" s="600"/>
      <c r="AJ540" s="600"/>
    </row>
    <row r="541" spans="1:36" s="263" customFormat="1" ht="9" customHeight="1" x14ac:dyDescent="0.25">
      <c r="A541" s="550" t="s">
        <v>43</v>
      </c>
      <c r="B541" s="638">
        <f t="shared" si="28"/>
        <v>282630</v>
      </c>
      <c r="C541" s="632">
        <v>121158</v>
      </c>
      <c r="D541" s="638"/>
      <c r="E541" s="638">
        <f t="shared" si="29"/>
        <v>107363</v>
      </c>
      <c r="F541" s="632">
        <v>28068</v>
      </c>
      <c r="G541" s="632">
        <v>23996</v>
      </c>
      <c r="H541" s="638">
        <v>55299</v>
      </c>
      <c r="I541" s="638"/>
      <c r="J541" s="632">
        <v>2164</v>
      </c>
      <c r="K541" s="632">
        <v>45194</v>
      </c>
      <c r="L541" s="632">
        <v>6751</v>
      </c>
      <c r="Z541" s="600"/>
      <c r="AA541" s="600"/>
      <c r="AB541" s="600"/>
      <c r="AC541" s="600"/>
      <c r="AD541" s="600"/>
      <c r="AE541" s="600"/>
      <c r="AF541" s="600"/>
      <c r="AG541" s="600"/>
      <c r="AH541" s="600"/>
      <c r="AI541" s="600"/>
      <c r="AJ541" s="600"/>
    </row>
    <row r="542" spans="1:36" s="263" customFormat="1" ht="9" customHeight="1" x14ac:dyDescent="0.25">
      <c r="A542" s="550" t="s">
        <v>44</v>
      </c>
      <c r="B542" s="638">
        <f t="shared" si="28"/>
        <v>153848</v>
      </c>
      <c r="C542" s="632">
        <v>46823</v>
      </c>
      <c r="D542" s="638"/>
      <c r="E542" s="638">
        <f t="shared" si="29"/>
        <v>78217</v>
      </c>
      <c r="F542" s="632">
        <v>24085</v>
      </c>
      <c r="G542" s="632">
        <v>18563</v>
      </c>
      <c r="H542" s="638">
        <v>35569</v>
      </c>
      <c r="I542" s="638"/>
      <c r="J542" s="632">
        <v>92</v>
      </c>
      <c r="K542" s="632">
        <v>21260</v>
      </c>
      <c r="L542" s="632">
        <v>7456</v>
      </c>
      <c r="Z542" s="600"/>
      <c r="AA542" s="600"/>
      <c r="AB542" s="600"/>
      <c r="AC542" s="600"/>
      <c r="AD542" s="600"/>
      <c r="AE542" s="600"/>
      <c r="AF542" s="600"/>
      <c r="AG542" s="600"/>
      <c r="AH542" s="600"/>
      <c r="AI542" s="600"/>
      <c r="AJ542" s="600"/>
    </row>
    <row r="543" spans="1:36" s="263" customFormat="1" ht="9" customHeight="1" x14ac:dyDescent="0.25">
      <c r="A543" s="603" t="s">
        <v>45</v>
      </c>
      <c r="B543" s="640">
        <f t="shared" si="28"/>
        <v>98311</v>
      </c>
      <c r="C543" s="634">
        <v>33059</v>
      </c>
      <c r="D543" s="640"/>
      <c r="E543" s="640">
        <f t="shared" si="29"/>
        <v>48346</v>
      </c>
      <c r="F543" s="634">
        <v>15805</v>
      </c>
      <c r="G543" s="634">
        <v>11689</v>
      </c>
      <c r="H543" s="640">
        <v>20852</v>
      </c>
      <c r="I543" s="640"/>
      <c r="J543" s="634">
        <v>1268</v>
      </c>
      <c r="K543" s="634">
        <v>14875</v>
      </c>
      <c r="L543" s="634">
        <v>763</v>
      </c>
      <c r="Z543" s="600"/>
      <c r="AA543" s="600"/>
      <c r="AB543" s="600"/>
      <c r="AC543" s="600"/>
      <c r="AD543" s="600"/>
      <c r="AE543" s="600"/>
      <c r="AF543" s="600"/>
      <c r="AG543" s="600"/>
      <c r="AH543" s="600"/>
      <c r="AI543" s="600"/>
      <c r="AJ543" s="600"/>
    </row>
    <row r="544" spans="1:36" s="263" customFormat="1" ht="9" customHeight="1" x14ac:dyDescent="0.25">
      <c r="A544" s="550" t="s">
        <v>46</v>
      </c>
      <c r="B544" s="638">
        <f t="shared" si="28"/>
        <v>164631</v>
      </c>
      <c r="C544" s="632">
        <v>42539</v>
      </c>
      <c r="D544" s="638"/>
      <c r="E544" s="638">
        <f t="shared" si="29"/>
        <v>105062</v>
      </c>
      <c r="F544" s="632">
        <v>32965</v>
      </c>
      <c r="G544" s="632">
        <v>22976</v>
      </c>
      <c r="H544" s="638">
        <v>49121</v>
      </c>
      <c r="I544" s="638"/>
      <c r="J544" s="632">
        <v>786</v>
      </c>
      <c r="K544" s="632">
        <v>14294</v>
      </c>
      <c r="L544" s="632">
        <v>1950</v>
      </c>
      <c r="Z544" s="600"/>
      <c r="AA544" s="600"/>
      <c r="AB544" s="600"/>
      <c r="AC544" s="600"/>
      <c r="AD544" s="600"/>
      <c r="AE544" s="600"/>
      <c r="AF544" s="600"/>
      <c r="AG544" s="600"/>
      <c r="AH544" s="600"/>
      <c r="AI544" s="600"/>
      <c r="AJ544" s="600"/>
    </row>
    <row r="545" spans="1:36" s="263" customFormat="1" ht="9" customHeight="1" x14ac:dyDescent="0.25">
      <c r="A545" s="550" t="s">
        <v>47</v>
      </c>
      <c r="B545" s="638">
        <f t="shared" si="28"/>
        <v>236727</v>
      </c>
      <c r="C545" s="632">
        <v>64818</v>
      </c>
      <c r="D545" s="638"/>
      <c r="E545" s="638">
        <f t="shared" si="29"/>
        <v>111883</v>
      </c>
      <c r="F545" s="632">
        <v>27354</v>
      </c>
      <c r="G545" s="632">
        <v>27845</v>
      </c>
      <c r="H545" s="638">
        <v>56684</v>
      </c>
      <c r="I545" s="638"/>
      <c r="J545" s="632">
        <v>800</v>
      </c>
      <c r="K545" s="632">
        <v>54873</v>
      </c>
      <c r="L545" s="632">
        <v>4353</v>
      </c>
      <c r="Z545" s="600"/>
      <c r="AA545" s="600"/>
      <c r="AB545" s="600"/>
      <c r="AC545" s="600"/>
      <c r="AD545" s="600"/>
      <c r="AE545" s="600"/>
      <c r="AF545" s="600"/>
      <c r="AG545" s="600"/>
      <c r="AH545" s="600"/>
      <c r="AI545" s="600"/>
      <c r="AJ545" s="600"/>
    </row>
    <row r="546" spans="1:36" s="263" customFormat="1" ht="9" customHeight="1" x14ac:dyDescent="0.25">
      <c r="A546" s="550" t="s">
        <v>48</v>
      </c>
      <c r="B546" s="638">
        <f t="shared" si="28"/>
        <v>120281</v>
      </c>
      <c r="C546" s="632">
        <v>32660</v>
      </c>
      <c r="D546" s="638"/>
      <c r="E546" s="638">
        <f t="shared" si="29"/>
        <v>36026</v>
      </c>
      <c r="F546" s="632">
        <v>12588</v>
      </c>
      <c r="G546" s="632">
        <v>8650</v>
      </c>
      <c r="H546" s="638">
        <v>14788</v>
      </c>
      <c r="I546" s="638"/>
      <c r="J546" s="632">
        <v>395</v>
      </c>
      <c r="K546" s="632">
        <v>51200</v>
      </c>
      <c r="L546" s="632">
        <v>0</v>
      </c>
      <c r="Z546" s="600"/>
      <c r="AA546" s="600"/>
      <c r="AB546" s="600"/>
      <c r="AC546" s="600"/>
      <c r="AD546" s="600"/>
      <c r="AE546" s="600"/>
      <c r="AF546" s="600"/>
      <c r="AG546" s="600"/>
      <c r="AH546" s="600"/>
      <c r="AI546" s="600"/>
      <c r="AJ546" s="600"/>
    </row>
    <row r="547" spans="1:36" s="263" customFormat="1" ht="9" customHeight="1" x14ac:dyDescent="0.25">
      <c r="A547" s="603" t="s">
        <v>49</v>
      </c>
      <c r="B547" s="640">
        <f t="shared" si="28"/>
        <v>173398</v>
      </c>
      <c r="C547" s="634">
        <v>74495</v>
      </c>
      <c r="D547" s="640"/>
      <c r="E547" s="640">
        <f t="shared" si="29"/>
        <v>63108</v>
      </c>
      <c r="F547" s="634">
        <v>16234</v>
      </c>
      <c r="G547" s="634">
        <v>19811</v>
      </c>
      <c r="H547" s="640">
        <v>27063</v>
      </c>
      <c r="I547" s="640"/>
      <c r="J547" s="634">
        <v>2041</v>
      </c>
      <c r="K547" s="634">
        <v>30647</v>
      </c>
      <c r="L547" s="634">
        <v>3107</v>
      </c>
      <c r="Z547" s="600"/>
      <c r="AA547" s="600"/>
      <c r="AB547" s="600"/>
      <c r="AC547" s="600"/>
      <c r="AD547" s="600"/>
      <c r="AE547" s="600"/>
      <c r="AF547" s="600"/>
      <c r="AG547" s="600"/>
      <c r="AH547" s="600"/>
      <c r="AI547" s="600"/>
      <c r="AJ547" s="600"/>
    </row>
    <row r="548" spans="1:36" s="263" customFormat="1" ht="9" customHeight="1" x14ac:dyDescent="0.25">
      <c r="A548" s="550" t="s">
        <v>50</v>
      </c>
      <c r="B548" s="638">
        <f t="shared" si="28"/>
        <v>73230</v>
      </c>
      <c r="C548" s="632">
        <v>42938</v>
      </c>
      <c r="D548" s="638"/>
      <c r="E548" s="638">
        <f t="shared" si="29"/>
        <v>27449</v>
      </c>
      <c r="F548" s="632">
        <v>9325</v>
      </c>
      <c r="G548" s="632">
        <v>10567</v>
      </c>
      <c r="H548" s="638">
        <v>7557</v>
      </c>
      <c r="I548" s="638"/>
      <c r="J548" s="632">
        <v>46</v>
      </c>
      <c r="K548" s="632">
        <v>2201</v>
      </c>
      <c r="L548" s="632">
        <v>596</v>
      </c>
      <c r="Z548" s="600"/>
      <c r="AA548" s="600"/>
      <c r="AB548" s="600"/>
      <c r="AC548" s="600"/>
      <c r="AD548" s="600"/>
      <c r="AE548" s="600"/>
      <c r="AF548" s="600"/>
      <c r="AG548" s="600"/>
      <c r="AH548" s="600"/>
      <c r="AI548" s="600"/>
      <c r="AJ548" s="600"/>
    </row>
    <row r="549" spans="1:36" s="263" customFormat="1" ht="9" customHeight="1" x14ac:dyDescent="0.25">
      <c r="A549" s="550" t="s">
        <v>51</v>
      </c>
      <c r="B549" s="638">
        <f t="shared" si="28"/>
        <v>380077</v>
      </c>
      <c r="C549" s="632">
        <v>164428</v>
      </c>
      <c r="D549" s="638"/>
      <c r="E549" s="638">
        <f t="shared" si="29"/>
        <v>162652</v>
      </c>
      <c r="F549" s="632">
        <v>64729</v>
      </c>
      <c r="G549" s="632">
        <v>34091</v>
      </c>
      <c r="H549" s="638">
        <v>63832</v>
      </c>
      <c r="I549" s="638"/>
      <c r="J549" s="632">
        <v>2138</v>
      </c>
      <c r="K549" s="632">
        <v>44727</v>
      </c>
      <c r="L549" s="632">
        <v>6132</v>
      </c>
      <c r="Z549" s="600"/>
      <c r="AA549" s="600"/>
      <c r="AB549" s="600"/>
      <c r="AC549" s="600"/>
      <c r="AD549" s="600"/>
      <c r="AE549" s="600"/>
      <c r="AF549" s="600"/>
      <c r="AG549" s="600"/>
      <c r="AH549" s="600"/>
      <c r="AI549" s="600"/>
      <c r="AJ549" s="600"/>
    </row>
    <row r="550" spans="1:36" s="263" customFormat="1" ht="9" customHeight="1" x14ac:dyDescent="0.25">
      <c r="A550" s="550" t="s">
        <v>52</v>
      </c>
      <c r="B550" s="638">
        <f t="shared" si="28"/>
        <v>159803</v>
      </c>
      <c r="C550" s="632">
        <v>54980</v>
      </c>
      <c r="D550" s="638"/>
      <c r="E550" s="638">
        <f t="shared" si="29"/>
        <v>60093</v>
      </c>
      <c r="F550" s="632">
        <v>18391</v>
      </c>
      <c r="G550" s="632">
        <v>14403</v>
      </c>
      <c r="H550" s="638">
        <v>27299</v>
      </c>
      <c r="I550" s="638"/>
      <c r="J550" s="632">
        <v>0</v>
      </c>
      <c r="K550" s="632">
        <v>42764</v>
      </c>
      <c r="L550" s="632">
        <v>1966</v>
      </c>
      <c r="Z550" s="600"/>
      <c r="AA550" s="600"/>
      <c r="AB550" s="600"/>
      <c r="AC550" s="600"/>
      <c r="AD550" s="600"/>
      <c r="AE550" s="600"/>
      <c r="AF550" s="600"/>
      <c r="AG550" s="600"/>
      <c r="AH550" s="600"/>
      <c r="AI550" s="600"/>
      <c r="AJ550" s="600"/>
    </row>
    <row r="551" spans="1:36" s="263" customFormat="1" ht="9" customHeight="1" x14ac:dyDescent="0.25">
      <c r="A551" s="267" t="s">
        <v>53</v>
      </c>
      <c r="B551" s="599">
        <f t="shared" si="28"/>
        <v>78491</v>
      </c>
      <c r="C551" s="604">
        <v>26942</v>
      </c>
      <c r="D551" s="599"/>
      <c r="E551" s="599">
        <f t="shared" si="29"/>
        <v>37376</v>
      </c>
      <c r="F551" s="604">
        <v>11658</v>
      </c>
      <c r="G551" s="604">
        <v>4832</v>
      </c>
      <c r="H551" s="599">
        <v>20886</v>
      </c>
      <c r="I551" s="599"/>
      <c r="J551" s="604">
        <v>150</v>
      </c>
      <c r="K551" s="604">
        <v>13576</v>
      </c>
      <c r="L551" s="604">
        <v>447</v>
      </c>
      <c r="Z551" s="600"/>
      <c r="AA551" s="600"/>
      <c r="AB551" s="600"/>
      <c r="AC551" s="600"/>
      <c r="AD551" s="600"/>
      <c r="AE551" s="600"/>
      <c r="AF551" s="600"/>
      <c r="AG551" s="600"/>
      <c r="AH551" s="600"/>
      <c r="AI551" s="600"/>
      <c r="AJ551" s="600"/>
    </row>
    <row r="552" spans="1:36" s="263" customFormat="1" ht="9" customHeight="1" x14ac:dyDescent="0.25">
      <c r="A552" s="286"/>
      <c r="B552" s="613"/>
      <c r="C552" s="605"/>
      <c r="D552" s="613"/>
      <c r="E552" s="613"/>
      <c r="F552" s="605"/>
      <c r="G552" s="605"/>
      <c r="H552" s="613"/>
      <c r="I552" s="613"/>
      <c r="J552" s="605"/>
      <c r="K552" s="605"/>
      <c r="L552" s="605"/>
      <c r="M552" s="286"/>
      <c r="Z552" s="600"/>
      <c r="AA552" s="600"/>
      <c r="AB552" s="600"/>
      <c r="AC552" s="600"/>
      <c r="AD552" s="600"/>
      <c r="AE552" s="600"/>
      <c r="AF552" s="600"/>
      <c r="AG552" s="600"/>
      <c r="AH552" s="600"/>
      <c r="AI552" s="600"/>
      <c r="AJ552" s="600"/>
    </row>
    <row r="553" spans="1:36" s="263" customFormat="1" ht="9" customHeight="1" x14ac:dyDescent="0.25">
      <c r="A553" s="601">
        <v>2010</v>
      </c>
      <c r="B553" s="597"/>
      <c r="C553" s="597"/>
      <c r="D553" s="597"/>
      <c r="E553" s="597"/>
      <c r="F553" s="597"/>
      <c r="G553" s="597"/>
      <c r="H553" s="597"/>
      <c r="I553" s="597"/>
      <c r="J553" s="597"/>
      <c r="K553" s="597"/>
      <c r="L553" s="597"/>
      <c r="Z553" s="600"/>
      <c r="AA553" s="600"/>
      <c r="AB553" s="600"/>
      <c r="AC553" s="600"/>
      <c r="AD553" s="600"/>
      <c r="AE553" s="600"/>
      <c r="AF553" s="600"/>
      <c r="AG553" s="600"/>
      <c r="AH553" s="600"/>
      <c r="AI553" s="600"/>
      <c r="AJ553" s="600"/>
    </row>
    <row r="554" spans="1:36" s="263" customFormat="1" ht="9" customHeight="1" x14ac:dyDescent="0.25">
      <c r="A554" s="265" t="s">
        <v>21</v>
      </c>
      <c r="B554" s="597">
        <f>SUM(B556:B587)</f>
        <v>12084805</v>
      </c>
      <c r="C554" s="597">
        <f>SUM(C556:C587)</f>
        <v>4249625</v>
      </c>
      <c r="D554" s="597"/>
      <c r="E554" s="597">
        <f>SUM(E556:E587)</f>
        <v>5683224</v>
      </c>
      <c r="F554" s="597">
        <f>SUM(F556:F587)</f>
        <v>1545869</v>
      </c>
      <c r="G554" s="597">
        <f>SUM(G556:G587)</f>
        <v>1211573</v>
      </c>
      <c r="H554" s="597">
        <f>SUM(H556:H587)</f>
        <v>2925782</v>
      </c>
      <c r="I554" s="597"/>
      <c r="J554" s="597">
        <f>SUM(J556:J587)</f>
        <v>112109</v>
      </c>
      <c r="K554" s="597">
        <f>SUM(K556:K587)</f>
        <v>1795562</v>
      </c>
      <c r="L554" s="597">
        <f>SUM(L556:L587)</f>
        <v>244285</v>
      </c>
      <c r="Z554" s="600"/>
      <c r="AA554" s="600"/>
      <c r="AB554" s="600"/>
      <c r="AC554" s="600"/>
      <c r="AD554" s="600"/>
      <c r="AE554" s="600"/>
      <c r="AF554" s="600"/>
      <c r="AG554" s="600"/>
      <c r="AH554" s="600"/>
      <c r="AI554" s="600"/>
      <c r="AJ554" s="600"/>
    </row>
    <row r="555" spans="1:36" s="263" customFormat="1" ht="3.95" customHeight="1" x14ac:dyDescent="0.25">
      <c r="A555" s="265"/>
      <c r="B555" s="597"/>
      <c r="C555" s="597"/>
      <c r="D555" s="597"/>
      <c r="E555" s="597"/>
      <c r="F555" s="597"/>
      <c r="G555" s="597"/>
      <c r="H555" s="597"/>
      <c r="I555" s="597"/>
      <c r="J555" s="597"/>
      <c r="K555" s="597"/>
      <c r="L555" s="597"/>
      <c r="Z555" s="600"/>
      <c r="AA555" s="600"/>
      <c r="AB555" s="600"/>
      <c r="AC555" s="600"/>
      <c r="AD555" s="600"/>
      <c r="AE555" s="600"/>
      <c r="AF555" s="600"/>
      <c r="AG555" s="600"/>
      <c r="AH555" s="600"/>
      <c r="AI555" s="600"/>
      <c r="AJ555" s="600"/>
    </row>
    <row r="556" spans="1:36" s="263" customFormat="1" ht="9" customHeight="1" x14ac:dyDescent="0.25">
      <c r="A556" s="550" t="s">
        <v>23</v>
      </c>
      <c r="B556" s="638">
        <f t="shared" ref="B556:B587" si="30">SUM(C556+E556+J556+K556+L556)</f>
        <v>10449</v>
      </c>
      <c r="C556" s="632">
        <v>4485</v>
      </c>
      <c r="D556" s="638"/>
      <c r="E556" s="638">
        <f>SUM(F556:H556)</f>
        <v>5307</v>
      </c>
      <c r="F556" s="632">
        <v>4000</v>
      </c>
      <c r="G556" s="632">
        <v>399</v>
      </c>
      <c r="H556" s="638">
        <v>908</v>
      </c>
      <c r="I556" s="638"/>
      <c r="J556" s="632">
        <v>3</v>
      </c>
      <c r="K556" s="632">
        <v>654</v>
      </c>
      <c r="L556" s="632">
        <v>0</v>
      </c>
      <c r="Z556" s="600"/>
      <c r="AA556" s="600"/>
      <c r="AB556" s="600"/>
      <c r="AC556" s="600"/>
      <c r="AD556" s="600"/>
      <c r="AE556" s="600"/>
      <c r="AF556" s="600"/>
      <c r="AG556" s="600"/>
      <c r="AH556" s="600"/>
      <c r="AI556" s="600"/>
      <c r="AJ556" s="600"/>
    </row>
    <row r="557" spans="1:36" s="263" customFormat="1" ht="9" customHeight="1" x14ac:dyDescent="0.25">
      <c r="A557" s="550" t="s">
        <v>24</v>
      </c>
      <c r="B557" s="638">
        <f t="shared" si="30"/>
        <v>414556</v>
      </c>
      <c r="C557" s="638">
        <v>226967</v>
      </c>
      <c r="D557" s="638"/>
      <c r="E557" s="638">
        <f t="shared" ref="E557:E587" si="31">SUM(F557:H557)</f>
        <v>155970</v>
      </c>
      <c r="F557" s="638">
        <v>60637</v>
      </c>
      <c r="G557" s="638">
        <v>40930</v>
      </c>
      <c r="H557" s="638">
        <v>54403</v>
      </c>
      <c r="I557" s="638"/>
      <c r="J557" s="638">
        <v>3249</v>
      </c>
      <c r="K557" s="638">
        <v>20458</v>
      </c>
      <c r="L557" s="638">
        <v>7912</v>
      </c>
      <c r="Z557" s="600"/>
      <c r="AA557" s="600"/>
      <c r="AB557" s="600"/>
      <c r="AC557" s="600"/>
      <c r="AD557" s="600"/>
      <c r="AE557" s="600"/>
      <c r="AF557" s="600"/>
      <c r="AG557" s="600"/>
      <c r="AH557" s="600"/>
      <c r="AI557" s="600"/>
      <c r="AJ557" s="600"/>
    </row>
    <row r="558" spans="1:36" s="263" customFormat="1" ht="9" customHeight="1" x14ac:dyDescent="0.25">
      <c r="A558" s="550" t="s">
        <v>25</v>
      </c>
      <c r="B558" s="638">
        <f t="shared" si="30"/>
        <v>27088</v>
      </c>
      <c r="C558" s="632">
        <v>17265</v>
      </c>
      <c r="D558" s="638"/>
      <c r="E558" s="638">
        <f t="shared" si="31"/>
        <v>6465</v>
      </c>
      <c r="F558" s="632">
        <v>1080</v>
      </c>
      <c r="G558" s="632">
        <v>846</v>
      </c>
      <c r="H558" s="638">
        <v>4539</v>
      </c>
      <c r="I558" s="638"/>
      <c r="J558" s="632">
        <v>228</v>
      </c>
      <c r="K558" s="632">
        <v>2454</v>
      </c>
      <c r="L558" s="632">
        <v>676</v>
      </c>
      <c r="Z558" s="600"/>
      <c r="AA558" s="600"/>
      <c r="AB558" s="600"/>
      <c r="AC558" s="600"/>
      <c r="AD558" s="600"/>
      <c r="AE558" s="600"/>
      <c r="AF558" s="600"/>
      <c r="AG558" s="600"/>
      <c r="AH558" s="600"/>
      <c r="AI558" s="600"/>
      <c r="AJ558" s="600"/>
    </row>
    <row r="559" spans="1:36" s="263" customFormat="1" ht="9" customHeight="1" x14ac:dyDescent="0.25">
      <c r="A559" s="603" t="s">
        <v>26</v>
      </c>
      <c r="B559" s="640">
        <f t="shared" si="30"/>
        <v>24689</v>
      </c>
      <c r="C559" s="634">
        <v>8313</v>
      </c>
      <c r="D559" s="640"/>
      <c r="E559" s="640">
        <f t="shared" si="31"/>
        <v>7921</v>
      </c>
      <c r="F559" s="634">
        <v>3413</v>
      </c>
      <c r="G559" s="634">
        <v>3294</v>
      </c>
      <c r="H559" s="640">
        <v>1214</v>
      </c>
      <c r="I559" s="640"/>
      <c r="J559" s="634">
        <v>13</v>
      </c>
      <c r="K559" s="634">
        <v>8156</v>
      </c>
      <c r="L559" s="634">
        <v>286</v>
      </c>
      <c r="Z559" s="600"/>
      <c r="AA559" s="600"/>
      <c r="AB559" s="600"/>
      <c r="AC559" s="600"/>
      <c r="AD559" s="600"/>
      <c r="AE559" s="600"/>
      <c r="AF559" s="600"/>
      <c r="AG559" s="600"/>
      <c r="AH559" s="600"/>
      <c r="AI559" s="600"/>
      <c r="AJ559" s="600"/>
    </row>
    <row r="560" spans="1:36" s="263" customFormat="1" ht="9" customHeight="1" x14ac:dyDescent="0.25">
      <c r="A560" s="550" t="s">
        <v>27</v>
      </c>
      <c r="B560" s="638">
        <f t="shared" si="30"/>
        <v>165950</v>
      </c>
      <c r="C560" s="632">
        <v>16163</v>
      </c>
      <c r="D560" s="638"/>
      <c r="E560" s="638">
        <f t="shared" si="31"/>
        <v>83818</v>
      </c>
      <c r="F560" s="632">
        <v>24624</v>
      </c>
      <c r="G560" s="632">
        <v>15735</v>
      </c>
      <c r="H560" s="638">
        <v>43459</v>
      </c>
      <c r="I560" s="638"/>
      <c r="J560" s="632">
        <v>67</v>
      </c>
      <c r="K560" s="632">
        <v>65078</v>
      </c>
      <c r="L560" s="632">
        <v>824</v>
      </c>
      <c r="Z560" s="600"/>
      <c r="AA560" s="600"/>
      <c r="AB560" s="600"/>
      <c r="AC560" s="600"/>
      <c r="AD560" s="600"/>
      <c r="AE560" s="600"/>
      <c r="AF560" s="600"/>
      <c r="AG560" s="600"/>
      <c r="AH560" s="600"/>
      <c r="AI560" s="600"/>
      <c r="AJ560" s="600"/>
    </row>
    <row r="561" spans="1:36" s="263" customFormat="1" ht="9" customHeight="1" x14ac:dyDescent="0.25">
      <c r="A561" s="550" t="s">
        <v>28</v>
      </c>
      <c r="B561" s="638">
        <f t="shared" si="30"/>
        <v>88342</v>
      </c>
      <c r="C561" s="632">
        <v>20986</v>
      </c>
      <c r="D561" s="638"/>
      <c r="E561" s="638">
        <f t="shared" si="31"/>
        <v>61162</v>
      </c>
      <c r="F561" s="632">
        <v>23335</v>
      </c>
      <c r="G561" s="632">
        <v>15598</v>
      </c>
      <c r="H561" s="638">
        <v>22229</v>
      </c>
      <c r="I561" s="638"/>
      <c r="J561" s="632">
        <v>0</v>
      </c>
      <c r="K561" s="632">
        <v>5988</v>
      </c>
      <c r="L561" s="632">
        <v>206</v>
      </c>
      <c r="Z561" s="600"/>
      <c r="AA561" s="600"/>
      <c r="AB561" s="600"/>
      <c r="AC561" s="600"/>
      <c r="AD561" s="600"/>
      <c r="AE561" s="600"/>
      <c r="AF561" s="600"/>
      <c r="AG561" s="600"/>
      <c r="AH561" s="600"/>
      <c r="AI561" s="600"/>
      <c r="AJ561" s="600"/>
    </row>
    <row r="562" spans="1:36" s="263" customFormat="1" ht="9" customHeight="1" x14ac:dyDescent="0.25">
      <c r="A562" s="550" t="s">
        <v>29</v>
      </c>
      <c r="B562" s="638">
        <f t="shared" si="30"/>
        <v>132607</v>
      </c>
      <c r="C562" s="632">
        <v>61433</v>
      </c>
      <c r="D562" s="638"/>
      <c r="E562" s="638">
        <f t="shared" si="31"/>
        <v>60569</v>
      </c>
      <c r="F562" s="632">
        <v>20991</v>
      </c>
      <c r="G562" s="632">
        <v>12330</v>
      </c>
      <c r="H562" s="638">
        <v>27248</v>
      </c>
      <c r="I562" s="638"/>
      <c r="J562" s="632">
        <v>2441</v>
      </c>
      <c r="K562" s="632">
        <v>7228</v>
      </c>
      <c r="L562" s="632">
        <v>936</v>
      </c>
      <c r="Z562" s="600"/>
      <c r="AA562" s="600"/>
      <c r="AB562" s="600"/>
      <c r="AC562" s="600"/>
      <c r="AD562" s="600"/>
      <c r="AE562" s="600"/>
      <c r="AF562" s="600"/>
      <c r="AG562" s="600"/>
      <c r="AH562" s="600"/>
      <c r="AI562" s="600"/>
      <c r="AJ562" s="600"/>
    </row>
    <row r="563" spans="1:36" s="263" customFormat="1" ht="9" customHeight="1" x14ac:dyDescent="0.25">
      <c r="A563" s="603" t="s">
        <v>30</v>
      </c>
      <c r="B563" s="640">
        <f t="shared" si="30"/>
        <v>278813</v>
      </c>
      <c r="C563" s="634">
        <v>124664</v>
      </c>
      <c r="D563" s="640"/>
      <c r="E563" s="640">
        <f t="shared" si="31"/>
        <v>110820</v>
      </c>
      <c r="F563" s="634">
        <v>55564</v>
      </c>
      <c r="G563" s="634">
        <v>28423</v>
      </c>
      <c r="H563" s="640">
        <v>26833</v>
      </c>
      <c r="I563" s="640"/>
      <c r="J563" s="634">
        <v>4727</v>
      </c>
      <c r="K563" s="634">
        <v>37115</v>
      </c>
      <c r="L563" s="634">
        <v>1487</v>
      </c>
      <c r="Z563" s="600"/>
      <c r="AA563" s="600"/>
      <c r="AB563" s="600"/>
      <c r="AC563" s="600"/>
      <c r="AD563" s="600"/>
      <c r="AE563" s="600"/>
      <c r="AF563" s="600"/>
      <c r="AG563" s="600"/>
      <c r="AH563" s="600"/>
      <c r="AI563" s="600"/>
      <c r="AJ563" s="600"/>
    </row>
    <row r="564" spans="1:36" s="263" customFormat="1" ht="9" customHeight="1" x14ac:dyDescent="0.25">
      <c r="A564" s="550" t="s">
        <v>63</v>
      </c>
      <c r="B564" s="638">
        <f t="shared" si="30"/>
        <v>2584864</v>
      </c>
      <c r="C564" s="632">
        <v>732521</v>
      </c>
      <c r="D564" s="638"/>
      <c r="E564" s="638">
        <f t="shared" si="31"/>
        <v>1296425</v>
      </c>
      <c r="F564" s="632">
        <v>168648</v>
      </c>
      <c r="G564" s="632">
        <v>160445</v>
      </c>
      <c r="H564" s="638">
        <v>967332</v>
      </c>
      <c r="I564" s="638"/>
      <c r="J564" s="632">
        <v>35783</v>
      </c>
      <c r="K564" s="632">
        <v>469606</v>
      </c>
      <c r="L564" s="632">
        <v>50529</v>
      </c>
      <c r="Z564" s="600"/>
      <c r="AA564" s="600"/>
      <c r="AB564" s="600"/>
      <c r="AC564" s="600"/>
      <c r="AD564" s="600"/>
      <c r="AE564" s="600"/>
      <c r="AF564" s="600"/>
      <c r="AG564" s="600"/>
      <c r="AH564" s="600"/>
      <c r="AI564" s="600"/>
      <c r="AJ564" s="600"/>
    </row>
    <row r="565" spans="1:36" s="263" customFormat="1" ht="9" customHeight="1" x14ac:dyDescent="0.25">
      <c r="A565" s="550" t="s">
        <v>31</v>
      </c>
      <c r="B565" s="638">
        <f t="shared" si="30"/>
        <v>51061</v>
      </c>
      <c r="C565" s="632">
        <v>20088</v>
      </c>
      <c r="D565" s="638"/>
      <c r="E565" s="638">
        <f t="shared" si="31"/>
        <v>28177</v>
      </c>
      <c r="F565" s="632">
        <v>7963</v>
      </c>
      <c r="G565" s="632">
        <v>3300</v>
      </c>
      <c r="H565" s="638">
        <v>16914</v>
      </c>
      <c r="I565" s="638"/>
      <c r="J565" s="632">
        <v>116</v>
      </c>
      <c r="K565" s="632">
        <v>2114</v>
      </c>
      <c r="L565" s="632">
        <v>566</v>
      </c>
      <c r="Z565" s="600"/>
      <c r="AA565" s="600"/>
      <c r="AB565" s="600"/>
      <c r="AC565" s="600"/>
      <c r="AD565" s="600"/>
      <c r="AE565" s="600"/>
      <c r="AF565" s="600"/>
      <c r="AG565" s="600"/>
      <c r="AH565" s="600"/>
      <c r="AI565" s="600"/>
      <c r="AJ565" s="600"/>
    </row>
    <row r="566" spans="1:36" s="263" customFormat="1" ht="9" customHeight="1" x14ac:dyDescent="0.25">
      <c r="A566" s="550" t="s">
        <v>32</v>
      </c>
      <c r="B566" s="638">
        <f t="shared" si="30"/>
        <v>473657</v>
      </c>
      <c r="C566" s="632">
        <v>211243</v>
      </c>
      <c r="D566" s="638"/>
      <c r="E566" s="638">
        <f t="shared" si="31"/>
        <v>204254</v>
      </c>
      <c r="F566" s="632">
        <v>64446</v>
      </c>
      <c r="G566" s="632">
        <v>49396</v>
      </c>
      <c r="H566" s="638">
        <v>90412</v>
      </c>
      <c r="I566" s="638"/>
      <c r="J566" s="632">
        <v>3071</v>
      </c>
      <c r="K566" s="632">
        <v>42384</v>
      </c>
      <c r="L566" s="632">
        <v>12705</v>
      </c>
      <c r="Z566" s="600"/>
      <c r="AA566" s="600"/>
      <c r="AB566" s="600"/>
      <c r="AC566" s="600"/>
      <c r="AD566" s="600"/>
      <c r="AE566" s="600"/>
      <c r="AF566" s="600"/>
      <c r="AG566" s="600"/>
      <c r="AH566" s="600"/>
      <c r="AI566" s="600"/>
      <c r="AJ566" s="600"/>
    </row>
    <row r="567" spans="1:36" s="263" customFormat="1" ht="9" customHeight="1" x14ac:dyDescent="0.25">
      <c r="A567" s="603" t="s">
        <v>33</v>
      </c>
      <c r="B567" s="640">
        <f t="shared" si="30"/>
        <v>173749</v>
      </c>
      <c r="C567" s="634">
        <v>75778</v>
      </c>
      <c r="D567" s="640"/>
      <c r="E567" s="640">
        <f t="shared" si="31"/>
        <v>84830</v>
      </c>
      <c r="F567" s="634">
        <v>27709</v>
      </c>
      <c r="G567" s="634">
        <v>19030</v>
      </c>
      <c r="H567" s="640">
        <v>38091</v>
      </c>
      <c r="I567" s="640"/>
      <c r="J567" s="634">
        <v>281</v>
      </c>
      <c r="K567" s="634">
        <v>10162</v>
      </c>
      <c r="L567" s="634">
        <v>2698</v>
      </c>
      <c r="Z567" s="600"/>
      <c r="AA567" s="600"/>
      <c r="AB567" s="600"/>
      <c r="AC567" s="600"/>
      <c r="AD567" s="600"/>
      <c r="AE567" s="600"/>
      <c r="AF567" s="600"/>
      <c r="AG567" s="600"/>
      <c r="AH567" s="600"/>
      <c r="AI567" s="600"/>
      <c r="AJ567" s="600"/>
    </row>
    <row r="568" spans="1:36" s="263" customFormat="1" ht="9" customHeight="1" x14ac:dyDescent="0.25">
      <c r="A568" s="550" t="s">
        <v>34</v>
      </c>
      <c r="B568" s="638">
        <f t="shared" si="30"/>
        <v>246845</v>
      </c>
      <c r="C568" s="632">
        <v>116367</v>
      </c>
      <c r="D568" s="638"/>
      <c r="E568" s="638">
        <f t="shared" si="31"/>
        <v>106129</v>
      </c>
      <c r="F568" s="632">
        <v>30234</v>
      </c>
      <c r="G568" s="632">
        <v>24420</v>
      </c>
      <c r="H568" s="638">
        <v>51475</v>
      </c>
      <c r="I568" s="638"/>
      <c r="J568" s="632">
        <v>932</v>
      </c>
      <c r="K568" s="632">
        <v>9523</v>
      </c>
      <c r="L568" s="632">
        <v>13894</v>
      </c>
      <c r="Z568" s="600"/>
      <c r="AA568" s="600"/>
      <c r="AB568" s="600"/>
      <c r="AC568" s="600"/>
      <c r="AD568" s="600"/>
      <c r="AE568" s="600"/>
      <c r="AF568" s="600"/>
      <c r="AG568" s="600"/>
      <c r="AH568" s="600"/>
      <c r="AI568" s="600"/>
      <c r="AJ568" s="600"/>
    </row>
    <row r="569" spans="1:36" s="263" customFormat="1" ht="9" customHeight="1" x14ac:dyDescent="0.25">
      <c r="A569" s="550" t="s">
        <v>35</v>
      </c>
      <c r="B569" s="638">
        <f t="shared" si="30"/>
        <v>936127</v>
      </c>
      <c r="C569" s="632">
        <v>276767</v>
      </c>
      <c r="D569" s="638"/>
      <c r="E569" s="638">
        <f t="shared" si="31"/>
        <v>522436</v>
      </c>
      <c r="F569" s="632">
        <v>132905</v>
      </c>
      <c r="G569" s="632">
        <v>101705</v>
      </c>
      <c r="H569" s="638">
        <v>287826</v>
      </c>
      <c r="I569" s="638"/>
      <c r="J569" s="632">
        <v>2918</v>
      </c>
      <c r="K569" s="632">
        <v>126346</v>
      </c>
      <c r="L569" s="632">
        <v>7660</v>
      </c>
      <c r="Z569" s="600"/>
      <c r="AA569" s="600"/>
      <c r="AB569" s="600"/>
      <c r="AC569" s="600"/>
      <c r="AD569" s="600"/>
      <c r="AE569" s="600"/>
      <c r="AF569" s="600"/>
      <c r="AG569" s="600"/>
      <c r="AH569" s="600"/>
      <c r="AI569" s="600"/>
      <c r="AJ569" s="600"/>
    </row>
    <row r="570" spans="1:36" s="263" customFormat="1" ht="9" customHeight="1" x14ac:dyDescent="0.25">
      <c r="A570" s="550" t="s">
        <v>36</v>
      </c>
      <c r="B570" s="638">
        <f t="shared" si="30"/>
        <v>1743906</v>
      </c>
      <c r="C570" s="632">
        <v>832117</v>
      </c>
      <c r="D570" s="638"/>
      <c r="E570" s="638">
        <f t="shared" si="31"/>
        <v>743385</v>
      </c>
      <c r="F570" s="632">
        <v>281953</v>
      </c>
      <c r="G570" s="632">
        <v>230176</v>
      </c>
      <c r="H570" s="638">
        <v>231256</v>
      </c>
      <c r="I570" s="638"/>
      <c r="J570" s="632">
        <v>16206</v>
      </c>
      <c r="K570" s="632">
        <v>121357</v>
      </c>
      <c r="L570" s="632">
        <v>30841</v>
      </c>
      <c r="Z570" s="600"/>
      <c r="AA570" s="600"/>
      <c r="AB570" s="600"/>
      <c r="AC570" s="600"/>
      <c r="AD570" s="600"/>
      <c r="AE570" s="600"/>
      <c r="AF570" s="600"/>
      <c r="AG570" s="600"/>
      <c r="AH570" s="600"/>
      <c r="AI570" s="600"/>
      <c r="AJ570" s="600"/>
    </row>
    <row r="571" spans="1:36" s="263" customFormat="1" ht="9" customHeight="1" x14ac:dyDescent="0.25">
      <c r="A571" s="603" t="s">
        <v>37</v>
      </c>
      <c r="B571" s="640">
        <f t="shared" si="30"/>
        <v>428723</v>
      </c>
      <c r="C571" s="634">
        <v>150740</v>
      </c>
      <c r="D571" s="640"/>
      <c r="E571" s="640">
        <f t="shared" si="31"/>
        <v>224850</v>
      </c>
      <c r="F571" s="634">
        <v>73465</v>
      </c>
      <c r="G571" s="634">
        <v>48898</v>
      </c>
      <c r="H571" s="640">
        <v>102487</v>
      </c>
      <c r="I571" s="640"/>
      <c r="J571" s="634">
        <v>2434</v>
      </c>
      <c r="K571" s="634">
        <v>47214</v>
      </c>
      <c r="L571" s="634">
        <v>3485</v>
      </c>
      <c r="Z571" s="600"/>
      <c r="AA571" s="600"/>
      <c r="AB571" s="600"/>
      <c r="AC571" s="600"/>
      <c r="AD571" s="600"/>
      <c r="AE571" s="600"/>
      <c r="AF571" s="600"/>
      <c r="AG571" s="600"/>
      <c r="AH571" s="600"/>
      <c r="AI571" s="600"/>
      <c r="AJ571" s="600"/>
    </row>
    <row r="572" spans="1:36" s="263" customFormat="1" ht="9" customHeight="1" x14ac:dyDescent="0.25">
      <c r="A572" s="550" t="s">
        <v>38</v>
      </c>
      <c r="B572" s="638">
        <f t="shared" si="30"/>
        <v>83681</v>
      </c>
      <c r="C572" s="632">
        <v>42077</v>
      </c>
      <c r="D572" s="638"/>
      <c r="E572" s="638">
        <f t="shared" si="31"/>
        <v>33642</v>
      </c>
      <c r="F572" s="632">
        <v>13042</v>
      </c>
      <c r="G572" s="632">
        <v>5654</v>
      </c>
      <c r="H572" s="638">
        <v>14946</v>
      </c>
      <c r="I572" s="638"/>
      <c r="J572" s="632">
        <v>389</v>
      </c>
      <c r="K572" s="632">
        <v>6975</v>
      </c>
      <c r="L572" s="632">
        <v>598</v>
      </c>
      <c r="Z572" s="600"/>
      <c r="AA572" s="600"/>
      <c r="AB572" s="600"/>
      <c r="AC572" s="600"/>
      <c r="AD572" s="600"/>
      <c r="AE572" s="600"/>
      <c r="AF572" s="600"/>
      <c r="AG572" s="600"/>
      <c r="AH572" s="600"/>
      <c r="AI572" s="600"/>
      <c r="AJ572" s="600"/>
    </row>
    <row r="573" spans="1:36" s="263" customFormat="1" ht="9" customHeight="1" x14ac:dyDescent="0.25">
      <c r="A573" s="550" t="s">
        <v>39</v>
      </c>
      <c r="B573" s="638">
        <f t="shared" si="30"/>
        <v>11498</v>
      </c>
      <c r="C573" s="632">
        <v>6137</v>
      </c>
      <c r="D573" s="638"/>
      <c r="E573" s="638">
        <f t="shared" si="31"/>
        <v>5183</v>
      </c>
      <c r="F573" s="632">
        <v>1777</v>
      </c>
      <c r="G573" s="632">
        <v>943</v>
      </c>
      <c r="H573" s="638">
        <v>2463</v>
      </c>
      <c r="I573" s="638"/>
      <c r="J573" s="632">
        <v>0</v>
      </c>
      <c r="K573" s="632">
        <v>178</v>
      </c>
      <c r="L573" s="632">
        <v>0</v>
      </c>
      <c r="Z573" s="600"/>
      <c r="AA573" s="600"/>
      <c r="AB573" s="600"/>
      <c r="AC573" s="600"/>
      <c r="AD573" s="600"/>
      <c r="AE573" s="600"/>
      <c r="AF573" s="600"/>
      <c r="AG573" s="600"/>
      <c r="AH573" s="600"/>
      <c r="AI573" s="600"/>
      <c r="AJ573" s="600"/>
    </row>
    <row r="574" spans="1:36" s="263" customFormat="1" ht="9" customHeight="1" x14ac:dyDescent="0.25">
      <c r="A574" s="550" t="s">
        <v>40</v>
      </c>
      <c r="B574" s="638">
        <f t="shared" si="30"/>
        <v>1578497</v>
      </c>
      <c r="C574" s="632">
        <v>362622</v>
      </c>
      <c r="D574" s="638"/>
      <c r="E574" s="638">
        <f t="shared" si="31"/>
        <v>751900</v>
      </c>
      <c r="F574" s="632">
        <v>162458</v>
      </c>
      <c r="G574" s="632">
        <v>198790</v>
      </c>
      <c r="H574" s="638">
        <v>390652</v>
      </c>
      <c r="I574" s="638"/>
      <c r="J574" s="632">
        <v>21636</v>
      </c>
      <c r="K574" s="632">
        <v>382749</v>
      </c>
      <c r="L574" s="632">
        <v>59590</v>
      </c>
      <c r="Z574" s="600"/>
      <c r="AA574" s="600"/>
      <c r="AB574" s="600"/>
      <c r="AC574" s="600"/>
      <c r="AD574" s="600"/>
      <c r="AE574" s="600"/>
      <c r="AF574" s="600"/>
      <c r="AG574" s="600"/>
      <c r="AH574" s="600"/>
      <c r="AI574" s="600"/>
      <c r="AJ574" s="600"/>
    </row>
    <row r="575" spans="1:36" s="263" customFormat="1" ht="9" customHeight="1" x14ac:dyDescent="0.25">
      <c r="A575" s="603" t="s">
        <v>41</v>
      </c>
      <c r="B575" s="640">
        <f t="shared" si="30"/>
        <v>335233</v>
      </c>
      <c r="C575" s="634">
        <v>155631</v>
      </c>
      <c r="D575" s="640"/>
      <c r="E575" s="640">
        <f t="shared" si="31"/>
        <v>152114</v>
      </c>
      <c r="F575" s="634">
        <v>48149</v>
      </c>
      <c r="G575" s="634">
        <v>31551</v>
      </c>
      <c r="H575" s="640">
        <v>72414</v>
      </c>
      <c r="I575" s="640"/>
      <c r="J575" s="634">
        <v>3870</v>
      </c>
      <c r="K575" s="634">
        <v>10618</v>
      </c>
      <c r="L575" s="634">
        <v>13000</v>
      </c>
      <c r="Z575" s="600"/>
      <c r="AA575" s="600"/>
      <c r="AB575" s="600"/>
      <c r="AC575" s="600"/>
      <c r="AD575" s="600"/>
      <c r="AE575" s="600"/>
      <c r="AF575" s="600"/>
      <c r="AG575" s="600"/>
      <c r="AH575" s="600"/>
      <c r="AI575" s="600"/>
      <c r="AJ575" s="600"/>
    </row>
    <row r="576" spans="1:36" s="263" customFormat="1" ht="9" customHeight="1" x14ac:dyDescent="0.25">
      <c r="A576" s="550" t="s">
        <v>42</v>
      </c>
      <c r="B576" s="638">
        <f t="shared" si="30"/>
        <v>336720</v>
      </c>
      <c r="C576" s="632">
        <v>99244</v>
      </c>
      <c r="D576" s="638"/>
      <c r="E576" s="638">
        <f t="shared" si="31"/>
        <v>167761</v>
      </c>
      <c r="F576" s="632">
        <v>59384</v>
      </c>
      <c r="G576" s="632">
        <v>29313</v>
      </c>
      <c r="H576" s="638">
        <v>79064</v>
      </c>
      <c r="I576" s="638"/>
      <c r="J576" s="632">
        <v>1705</v>
      </c>
      <c r="K576" s="632">
        <v>64444</v>
      </c>
      <c r="L576" s="632">
        <v>3566</v>
      </c>
      <c r="Z576" s="600"/>
      <c r="AA576" s="600"/>
      <c r="AB576" s="600"/>
      <c r="AC576" s="600"/>
      <c r="AD576" s="600"/>
      <c r="AE576" s="600"/>
      <c r="AF576" s="600"/>
      <c r="AG576" s="600"/>
      <c r="AH576" s="600"/>
      <c r="AI576" s="600"/>
      <c r="AJ576" s="600"/>
    </row>
    <row r="577" spans="1:36" s="263" customFormat="1" ht="9" customHeight="1" x14ac:dyDescent="0.25">
      <c r="A577" s="550" t="s">
        <v>43</v>
      </c>
      <c r="B577" s="638">
        <f t="shared" si="30"/>
        <v>228993</v>
      </c>
      <c r="C577" s="632">
        <v>92422</v>
      </c>
      <c r="D577" s="638"/>
      <c r="E577" s="638">
        <f t="shared" si="31"/>
        <v>96676</v>
      </c>
      <c r="F577" s="632">
        <v>25429</v>
      </c>
      <c r="G577" s="632">
        <v>23066</v>
      </c>
      <c r="H577" s="638">
        <v>48181</v>
      </c>
      <c r="I577" s="638"/>
      <c r="J577" s="632">
        <v>1544</v>
      </c>
      <c r="K577" s="632">
        <v>32221</v>
      </c>
      <c r="L577" s="632">
        <v>6130</v>
      </c>
      <c r="Z577" s="600"/>
      <c r="AA577" s="600"/>
      <c r="AB577" s="600"/>
      <c r="AC577" s="600"/>
      <c r="AD577" s="600"/>
      <c r="AE577" s="600"/>
      <c r="AF577" s="600"/>
      <c r="AG577" s="600"/>
      <c r="AH577" s="600"/>
      <c r="AI577" s="600"/>
      <c r="AJ577" s="600"/>
    </row>
    <row r="578" spans="1:36" s="263" customFormat="1" ht="9" customHeight="1" x14ac:dyDescent="0.25">
      <c r="A578" s="550" t="s">
        <v>44</v>
      </c>
      <c r="B578" s="638">
        <f t="shared" si="30"/>
        <v>164544</v>
      </c>
      <c r="C578" s="632">
        <v>38561</v>
      </c>
      <c r="D578" s="638"/>
      <c r="E578" s="638">
        <f t="shared" si="31"/>
        <v>90231</v>
      </c>
      <c r="F578" s="632">
        <v>30917</v>
      </c>
      <c r="G578" s="632">
        <v>19247</v>
      </c>
      <c r="H578" s="638">
        <v>40067</v>
      </c>
      <c r="I578" s="638"/>
      <c r="J578" s="632">
        <v>2412</v>
      </c>
      <c r="K578" s="632">
        <v>27240</v>
      </c>
      <c r="L578" s="632">
        <v>6100</v>
      </c>
      <c r="Z578" s="600"/>
      <c r="AA578" s="600"/>
      <c r="AB578" s="600"/>
      <c r="AC578" s="600"/>
      <c r="AD578" s="600"/>
      <c r="AE578" s="600"/>
      <c r="AF578" s="600"/>
      <c r="AG578" s="600"/>
      <c r="AH578" s="600"/>
      <c r="AI578" s="600"/>
      <c r="AJ578" s="600"/>
    </row>
    <row r="579" spans="1:36" s="263" customFormat="1" ht="9" customHeight="1" x14ac:dyDescent="0.25">
      <c r="A579" s="603" t="s">
        <v>45</v>
      </c>
      <c r="B579" s="640">
        <f t="shared" si="30"/>
        <v>107963</v>
      </c>
      <c r="C579" s="634">
        <v>39555</v>
      </c>
      <c r="D579" s="640"/>
      <c r="E579" s="640">
        <f t="shared" si="31"/>
        <v>41789</v>
      </c>
      <c r="F579" s="634">
        <v>14551</v>
      </c>
      <c r="G579" s="634">
        <v>11648</v>
      </c>
      <c r="H579" s="640">
        <v>15590</v>
      </c>
      <c r="I579" s="640"/>
      <c r="J579" s="634">
        <v>1305</v>
      </c>
      <c r="K579" s="634">
        <v>24751</v>
      </c>
      <c r="L579" s="634">
        <v>563</v>
      </c>
      <c r="Z579" s="600"/>
      <c r="AA579" s="600"/>
      <c r="AB579" s="600"/>
      <c r="AC579" s="600"/>
      <c r="AD579" s="600"/>
      <c r="AE579" s="600"/>
      <c r="AF579" s="600"/>
      <c r="AG579" s="600"/>
      <c r="AH579" s="600"/>
      <c r="AI579" s="600"/>
      <c r="AJ579" s="600"/>
    </row>
    <row r="580" spans="1:36" s="263" customFormat="1" ht="9" customHeight="1" x14ac:dyDescent="0.25">
      <c r="A580" s="550" t="s">
        <v>46</v>
      </c>
      <c r="B580" s="638">
        <f t="shared" si="30"/>
        <v>206958</v>
      </c>
      <c r="C580" s="632">
        <v>45883</v>
      </c>
      <c r="D580" s="638"/>
      <c r="E580" s="638">
        <f t="shared" si="31"/>
        <v>126473</v>
      </c>
      <c r="F580" s="632">
        <v>42722</v>
      </c>
      <c r="G580" s="632">
        <v>25013</v>
      </c>
      <c r="H580" s="638">
        <v>58738</v>
      </c>
      <c r="I580" s="638"/>
      <c r="J580" s="632">
        <v>1378</v>
      </c>
      <c r="K580" s="632">
        <v>31411</v>
      </c>
      <c r="L580" s="632">
        <v>1813</v>
      </c>
      <c r="Z580" s="600"/>
      <c r="AA580" s="600"/>
      <c r="AB580" s="600"/>
      <c r="AC580" s="600"/>
      <c r="AD580" s="600"/>
      <c r="AE580" s="600"/>
      <c r="AF580" s="600"/>
      <c r="AG580" s="600"/>
      <c r="AH580" s="600"/>
      <c r="AI580" s="600"/>
      <c r="AJ580" s="600"/>
    </row>
    <row r="581" spans="1:36" s="263" customFormat="1" ht="9" customHeight="1" x14ac:dyDescent="0.25">
      <c r="A581" s="550" t="s">
        <v>47</v>
      </c>
      <c r="B581" s="638">
        <f t="shared" si="30"/>
        <v>246424</v>
      </c>
      <c r="C581" s="632">
        <v>74159</v>
      </c>
      <c r="D581" s="638"/>
      <c r="E581" s="638">
        <f t="shared" si="31"/>
        <v>101281</v>
      </c>
      <c r="F581" s="632">
        <v>18317</v>
      </c>
      <c r="G581" s="632">
        <v>26637</v>
      </c>
      <c r="H581" s="638">
        <v>56327</v>
      </c>
      <c r="I581" s="638"/>
      <c r="J581" s="632">
        <v>442</v>
      </c>
      <c r="K581" s="632">
        <v>65899</v>
      </c>
      <c r="L581" s="632">
        <v>4643</v>
      </c>
      <c r="Z581" s="600"/>
      <c r="AA581" s="600"/>
      <c r="AB581" s="600"/>
      <c r="AC581" s="600"/>
      <c r="AD581" s="600"/>
      <c r="AE581" s="600"/>
      <c r="AF581" s="600"/>
      <c r="AG581" s="600"/>
      <c r="AH581" s="600"/>
      <c r="AI581" s="600"/>
      <c r="AJ581" s="600"/>
    </row>
    <row r="582" spans="1:36" s="263" customFormat="1" ht="9" customHeight="1" x14ac:dyDescent="0.25">
      <c r="A582" s="550" t="s">
        <v>48</v>
      </c>
      <c r="B582" s="638">
        <f t="shared" si="30"/>
        <v>114490</v>
      </c>
      <c r="C582" s="632">
        <v>43714</v>
      </c>
      <c r="D582" s="638"/>
      <c r="E582" s="638">
        <f t="shared" si="31"/>
        <v>32509</v>
      </c>
      <c r="F582" s="632">
        <v>11059</v>
      </c>
      <c r="G582" s="632">
        <v>6736</v>
      </c>
      <c r="H582" s="638">
        <v>14714</v>
      </c>
      <c r="I582" s="638"/>
      <c r="J582" s="632">
        <v>337</v>
      </c>
      <c r="K582" s="632">
        <v>37930</v>
      </c>
      <c r="L582" s="632">
        <v>0</v>
      </c>
      <c r="Z582" s="600"/>
      <c r="AA582" s="600"/>
      <c r="AB582" s="600"/>
      <c r="AC582" s="600"/>
      <c r="AD582" s="600"/>
      <c r="AE582" s="600"/>
      <c r="AF582" s="600"/>
      <c r="AG582" s="600"/>
      <c r="AH582" s="600"/>
      <c r="AI582" s="600"/>
      <c r="AJ582" s="600"/>
    </row>
    <row r="583" spans="1:36" s="263" customFormat="1" ht="9" customHeight="1" x14ac:dyDescent="0.25">
      <c r="A583" s="603" t="s">
        <v>49</v>
      </c>
      <c r="B583" s="640">
        <f t="shared" si="30"/>
        <v>156827</v>
      </c>
      <c r="C583" s="634">
        <v>66781</v>
      </c>
      <c r="D583" s="640"/>
      <c r="E583" s="640">
        <f t="shared" si="31"/>
        <v>56761</v>
      </c>
      <c r="F583" s="634">
        <v>15436</v>
      </c>
      <c r="G583" s="634">
        <v>15351</v>
      </c>
      <c r="H583" s="640">
        <v>25974</v>
      </c>
      <c r="I583" s="640"/>
      <c r="J583" s="634">
        <v>1652</v>
      </c>
      <c r="K583" s="634">
        <v>28863</v>
      </c>
      <c r="L583" s="634">
        <v>2770</v>
      </c>
      <c r="Z583" s="600"/>
      <c r="AA583" s="600"/>
      <c r="AB583" s="600"/>
      <c r="AC583" s="600"/>
      <c r="AD583" s="600"/>
      <c r="AE583" s="600"/>
      <c r="AF583" s="600"/>
      <c r="AG583" s="600"/>
      <c r="AH583" s="600"/>
      <c r="AI583" s="600"/>
      <c r="AJ583" s="600"/>
    </row>
    <row r="584" spans="1:36" s="263" customFormat="1" ht="9" customHeight="1" x14ac:dyDescent="0.25">
      <c r="A584" s="550" t="s">
        <v>50</v>
      </c>
      <c r="B584" s="638">
        <f t="shared" si="30"/>
        <v>86909</v>
      </c>
      <c r="C584" s="632">
        <v>44680</v>
      </c>
      <c r="D584" s="638"/>
      <c r="E584" s="638">
        <f t="shared" si="31"/>
        <v>38181</v>
      </c>
      <c r="F584" s="632">
        <v>13988</v>
      </c>
      <c r="G584" s="632">
        <v>10094</v>
      </c>
      <c r="H584" s="638">
        <v>14099</v>
      </c>
      <c r="I584" s="638"/>
      <c r="J584" s="632">
        <v>855</v>
      </c>
      <c r="K584" s="632">
        <v>2717</v>
      </c>
      <c r="L584" s="632">
        <v>476</v>
      </c>
      <c r="Z584" s="600"/>
      <c r="AA584" s="600"/>
      <c r="AB584" s="600"/>
      <c r="AC584" s="600"/>
      <c r="AD584" s="600"/>
      <c r="AE584" s="600"/>
      <c r="AF584" s="600"/>
      <c r="AG584" s="600"/>
      <c r="AH584" s="600"/>
      <c r="AI584" s="600"/>
      <c r="AJ584" s="600"/>
    </row>
    <row r="585" spans="1:36" s="263" customFormat="1" ht="9" customHeight="1" x14ac:dyDescent="0.25">
      <c r="A585" s="550" t="s">
        <v>51</v>
      </c>
      <c r="B585" s="638">
        <f t="shared" si="30"/>
        <v>413844</v>
      </c>
      <c r="C585" s="632">
        <v>167619</v>
      </c>
      <c r="D585" s="638"/>
      <c r="E585" s="638">
        <f t="shared" si="31"/>
        <v>188722</v>
      </c>
      <c r="F585" s="632">
        <v>73325</v>
      </c>
      <c r="G585" s="632">
        <v>35738</v>
      </c>
      <c r="H585" s="638">
        <v>79659</v>
      </c>
      <c r="I585" s="638"/>
      <c r="J585" s="632">
        <v>2115</v>
      </c>
      <c r="K585" s="632">
        <v>46709</v>
      </c>
      <c r="L585" s="632">
        <v>8679</v>
      </c>
      <c r="Z585" s="600"/>
      <c r="AA585" s="600"/>
      <c r="AB585" s="600"/>
      <c r="AC585" s="600"/>
      <c r="AD585" s="600"/>
      <c r="AE585" s="600"/>
      <c r="AF585" s="600"/>
      <c r="AG585" s="600"/>
      <c r="AH585" s="600"/>
      <c r="AI585" s="600"/>
      <c r="AJ585" s="600"/>
    </row>
    <row r="586" spans="1:36" s="263" customFormat="1" ht="9" customHeight="1" x14ac:dyDescent="0.25">
      <c r="A586" s="550" t="s">
        <v>52</v>
      </c>
      <c r="B586" s="638">
        <f t="shared" si="30"/>
        <v>166430</v>
      </c>
      <c r="C586" s="632">
        <v>52598</v>
      </c>
      <c r="D586" s="638"/>
      <c r="E586" s="638">
        <f t="shared" si="31"/>
        <v>64874</v>
      </c>
      <c r="F586" s="632">
        <v>23397</v>
      </c>
      <c r="G586" s="632">
        <v>9726</v>
      </c>
      <c r="H586" s="638">
        <v>31751</v>
      </c>
      <c r="I586" s="638"/>
      <c r="J586" s="632">
        <v>0</v>
      </c>
      <c r="K586" s="632">
        <v>47533</v>
      </c>
      <c r="L586" s="632">
        <v>1425</v>
      </c>
      <c r="Z586" s="600"/>
      <c r="AA586" s="600"/>
      <c r="AB586" s="600"/>
      <c r="AC586" s="600"/>
      <c r="AD586" s="600"/>
      <c r="AE586" s="600"/>
      <c r="AF586" s="600"/>
      <c r="AG586" s="600"/>
      <c r="AH586" s="600"/>
      <c r="AI586" s="600"/>
      <c r="AJ586" s="600"/>
    </row>
    <row r="587" spans="1:36" s="263" customFormat="1" ht="9" customHeight="1" x14ac:dyDescent="0.25">
      <c r="A587" s="267" t="s">
        <v>53</v>
      </c>
      <c r="B587" s="599">
        <f t="shared" si="30"/>
        <v>64368</v>
      </c>
      <c r="C587" s="604">
        <v>22045</v>
      </c>
      <c r="D587" s="599"/>
      <c r="E587" s="599">
        <f t="shared" si="31"/>
        <v>32609</v>
      </c>
      <c r="F587" s="604">
        <v>10951</v>
      </c>
      <c r="G587" s="604">
        <v>7141</v>
      </c>
      <c r="H587" s="599">
        <v>14517</v>
      </c>
      <c r="I587" s="599"/>
      <c r="J587" s="604">
        <v>0</v>
      </c>
      <c r="K587" s="604">
        <v>9487</v>
      </c>
      <c r="L587" s="604">
        <v>227</v>
      </c>
      <c r="Z587" s="600"/>
      <c r="AA587" s="600"/>
      <c r="AB587" s="600"/>
      <c r="AC587" s="600"/>
      <c r="AD587" s="600"/>
      <c r="AE587" s="600"/>
      <c r="AF587" s="600"/>
      <c r="AG587" s="600"/>
      <c r="AH587" s="600"/>
      <c r="AI587" s="600"/>
      <c r="AJ587" s="600"/>
    </row>
    <row r="588" spans="1:36" s="263" customFormat="1" ht="9" customHeight="1" x14ac:dyDescent="0.25">
      <c r="A588" s="286"/>
      <c r="B588" s="613"/>
      <c r="C588" s="605"/>
      <c r="D588" s="613"/>
      <c r="E588" s="613"/>
      <c r="F588" s="605"/>
      <c r="G588" s="605"/>
      <c r="H588" s="613"/>
      <c r="I588" s="613"/>
      <c r="J588" s="605"/>
      <c r="K588" s="605"/>
      <c r="L588" s="605"/>
      <c r="M588" s="286"/>
      <c r="Z588" s="600"/>
      <c r="AA588" s="600"/>
      <c r="AB588" s="600"/>
      <c r="AC588" s="600"/>
      <c r="AD588" s="600"/>
      <c r="AE588" s="600"/>
      <c r="AF588" s="600"/>
      <c r="AG588" s="600"/>
      <c r="AH588" s="600"/>
      <c r="AI588" s="600"/>
      <c r="AJ588" s="600"/>
    </row>
    <row r="589" spans="1:36" s="263" customFormat="1" ht="9" customHeight="1" x14ac:dyDescent="0.25">
      <c r="A589" s="601">
        <v>2011</v>
      </c>
      <c r="B589" s="597"/>
      <c r="C589" s="597"/>
      <c r="D589" s="597"/>
      <c r="E589" s="597"/>
      <c r="F589" s="597"/>
      <c r="G589" s="597"/>
      <c r="H589" s="597"/>
      <c r="I589" s="597"/>
      <c r="J589" s="597"/>
      <c r="K589" s="597"/>
      <c r="L589" s="597"/>
      <c r="Z589" s="600"/>
      <c r="AA589" s="600"/>
      <c r="AB589" s="600"/>
      <c r="AC589" s="600"/>
      <c r="AD589" s="600"/>
      <c r="AE589" s="600"/>
      <c r="AF589" s="600"/>
      <c r="AG589" s="600"/>
      <c r="AH589" s="600"/>
      <c r="AI589" s="600"/>
      <c r="AJ589" s="600"/>
    </row>
    <row r="590" spans="1:36" s="263" customFormat="1" ht="9" customHeight="1" x14ac:dyDescent="0.25">
      <c r="A590" s="265" t="s">
        <v>21</v>
      </c>
      <c r="B590" s="597">
        <f>SUM(B592:B623)</f>
        <v>11851295</v>
      </c>
      <c r="C590" s="597">
        <f>SUM(C592:C623)</f>
        <v>4080376</v>
      </c>
      <c r="D590" s="597"/>
      <c r="E590" s="597">
        <f>SUM(E592:E623)</f>
        <v>5797289</v>
      </c>
      <c r="F590" s="597">
        <f>SUM(F592:F623)</f>
        <v>1568941</v>
      </c>
      <c r="G590" s="597">
        <f>SUM(G592:G623)</f>
        <v>1199274</v>
      </c>
      <c r="H590" s="597">
        <f>SUM(H592:H623)</f>
        <v>3029074</v>
      </c>
      <c r="I590" s="597"/>
      <c r="J590" s="597">
        <f>SUM(J592:J623)</f>
        <v>101769</v>
      </c>
      <c r="K590" s="597">
        <f>SUM(K592:K623)</f>
        <v>1628366</v>
      </c>
      <c r="L590" s="597">
        <f>SUM(L592:L623)</f>
        <v>243495</v>
      </c>
      <c r="Z590" s="600"/>
      <c r="AA590" s="600"/>
      <c r="AB590" s="600"/>
      <c r="AC590" s="600"/>
      <c r="AD590" s="600"/>
      <c r="AE590" s="600"/>
      <c r="AF590" s="600"/>
      <c r="AG590" s="600"/>
      <c r="AH590" s="600"/>
      <c r="AI590" s="600"/>
      <c r="AJ590" s="600"/>
    </row>
    <row r="591" spans="1:36" s="263" customFormat="1" ht="3.95" customHeight="1" x14ac:dyDescent="0.25">
      <c r="A591" s="265"/>
      <c r="B591" s="597"/>
      <c r="C591" s="597"/>
      <c r="D591" s="597"/>
      <c r="E591" s="597"/>
      <c r="F591" s="597"/>
      <c r="G591" s="597"/>
      <c r="H591" s="597"/>
      <c r="I591" s="597"/>
      <c r="J591" s="597"/>
      <c r="K591" s="597"/>
      <c r="L591" s="597"/>
      <c r="Z591" s="600"/>
      <c r="AA591" s="600"/>
      <c r="AB591" s="600"/>
      <c r="AC591" s="600"/>
      <c r="AD591" s="600"/>
      <c r="AE591" s="600"/>
      <c r="AF591" s="600"/>
      <c r="AG591" s="600"/>
      <c r="AH591" s="600"/>
      <c r="AI591" s="600"/>
      <c r="AJ591" s="600"/>
    </row>
    <row r="592" spans="1:36" s="263" customFormat="1" ht="9" customHeight="1" x14ac:dyDescent="0.25">
      <c r="A592" s="550" t="s">
        <v>23</v>
      </c>
      <c r="B592" s="638">
        <f t="shared" ref="B592:B623" si="32">SUM(C592+E592+J592+K592+L592)</f>
        <v>8831</v>
      </c>
      <c r="C592" s="632">
        <v>4182</v>
      </c>
      <c r="D592" s="638"/>
      <c r="E592" s="638">
        <f>SUM(F592:H592)</f>
        <v>4029</v>
      </c>
      <c r="F592" s="632">
        <v>1603</v>
      </c>
      <c r="G592" s="632">
        <v>616</v>
      </c>
      <c r="H592" s="638">
        <v>1810</v>
      </c>
      <c r="I592" s="638"/>
      <c r="J592" s="632">
        <v>0</v>
      </c>
      <c r="K592" s="632">
        <v>620</v>
      </c>
      <c r="L592" s="632">
        <v>0</v>
      </c>
      <c r="Z592" s="600"/>
      <c r="AA592" s="600"/>
      <c r="AB592" s="600"/>
      <c r="AC592" s="600"/>
      <c r="AD592" s="600"/>
      <c r="AE592" s="600"/>
      <c r="AF592" s="600"/>
      <c r="AG592" s="600"/>
      <c r="AH592" s="600"/>
      <c r="AI592" s="600"/>
      <c r="AJ592" s="600"/>
    </row>
    <row r="593" spans="1:36" s="263" customFormat="1" ht="9" customHeight="1" x14ac:dyDescent="0.25">
      <c r="A593" s="550" t="s">
        <v>24</v>
      </c>
      <c r="B593" s="638">
        <f t="shared" si="32"/>
        <v>399097</v>
      </c>
      <c r="C593" s="638">
        <v>221053</v>
      </c>
      <c r="D593" s="638"/>
      <c r="E593" s="638">
        <f t="shared" ref="E593:E623" si="33">SUM(F593:H593)</f>
        <v>134248</v>
      </c>
      <c r="F593" s="638">
        <v>56201</v>
      </c>
      <c r="G593" s="638">
        <v>34325</v>
      </c>
      <c r="H593" s="638">
        <v>43722</v>
      </c>
      <c r="I593" s="638"/>
      <c r="J593" s="638">
        <v>1034</v>
      </c>
      <c r="K593" s="638">
        <v>36226</v>
      </c>
      <c r="L593" s="638">
        <v>6536</v>
      </c>
      <c r="Z593" s="600"/>
      <c r="AA593" s="600"/>
      <c r="AB593" s="600"/>
      <c r="AC593" s="600"/>
      <c r="AD593" s="600"/>
      <c r="AE593" s="600"/>
      <c r="AF593" s="600"/>
      <c r="AG593" s="600"/>
      <c r="AH593" s="600"/>
      <c r="AI593" s="600"/>
      <c r="AJ593" s="600"/>
    </row>
    <row r="594" spans="1:36" s="263" customFormat="1" ht="9" customHeight="1" x14ac:dyDescent="0.25">
      <c r="A594" s="550" t="s">
        <v>25</v>
      </c>
      <c r="B594" s="638">
        <f t="shared" si="32"/>
        <v>33076</v>
      </c>
      <c r="C594" s="632">
        <v>15510</v>
      </c>
      <c r="D594" s="638"/>
      <c r="E594" s="638">
        <f t="shared" si="33"/>
        <v>9656</v>
      </c>
      <c r="F594" s="632">
        <v>1389</v>
      </c>
      <c r="G594" s="632">
        <v>1583</v>
      </c>
      <c r="H594" s="638">
        <v>6684</v>
      </c>
      <c r="I594" s="638"/>
      <c r="J594" s="632">
        <v>229</v>
      </c>
      <c r="K594" s="632">
        <v>6467</v>
      </c>
      <c r="L594" s="632">
        <v>1214</v>
      </c>
      <c r="Z594" s="600"/>
      <c r="AA594" s="600"/>
      <c r="AB594" s="600"/>
      <c r="AC594" s="600"/>
      <c r="AD594" s="600"/>
      <c r="AE594" s="600"/>
      <c r="AF594" s="600"/>
      <c r="AG594" s="600"/>
      <c r="AH594" s="600"/>
      <c r="AI594" s="600"/>
      <c r="AJ594" s="600"/>
    </row>
    <row r="595" spans="1:36" s="263" customFormat="1" ht="9" customHeight="1" x14ac:dyDescent="0.25">
      <c r="A595" s="603" t="s">
        <v>26</v>
      </c>
      <c r="B595" s="640">
        <f t="shared" si="32"/>
        <v>76596</v>
      </c>
      <c r="C595" s="634">
        <v>14202</v>
      </c>
      <c r="D595" s="640"/>
      <c r="E595" s="640">
        <f t="shared" si="33"/>
        <v>47182</v>
      </c>
      <c r="F595" s="634">
        <v>14301</v>
      </c>
      <c r="G595" s="634">
        <v>12311</v>
      </c>
      <c r="H595" s="640">
        <v>20570</v>
      </c>
      <c r="I595" s="640"/>
      <c r="J595" s="634">
        <v>1291</v>
      </c>
      <c r="K595" s="634">
        <v>12339</v>
      </c>
      <c r="L595" s="634">
        <v>1582</v>
      </c>
      <c r="Z595" s="600"/>
      <c r="AA595" s="600"/>
      <c r="AB595" s="600"/>
      <c r="AC595" s="600"/>
      <c r="AD595" s="600"/>
      <c r="AE595" s="600"/>
      <c r="AF595" s="600"/>
      <c r="AG595" s="600"/>
      <c r="AH595" s="600"/>
      <c r="AI595" s="600"/>
      <c r="AJ595" s="600"/>
    </row>
    <row r="596" spans="1:36" s="263" customFormat="1" ht="9" customHeight="1" x14ac:dyDescent="0.25">
      <c r="A596" s="550" t="s">
        <v>27</v>
      </c>
      <c r="B596" s="638">
        <f t="shared" si="32"/>
        <v>158178</v>
      </c>
      <c r="C596" s="632">
        <v>15671</v>
      </c>
      <c r="D596" s="638"/>
      <c r="E596" s="638">
        <f t="shared" si="33"/>
        <v>84971</v>
      </c>
      <c r="F596" s="632">
        <v>24739</v>
      </c>
      <c r="G596" s="632">
        <v>15318</v>
      </c>
      <c r="H596" s="638">
        <v>44914</v>
      </c>
      <c r="I596" s="638"/>
      <c r="J596" s="632">
        <v>80</v>
      </c>
      <c r="K596" s="632">
        <v>56938</v>
      </c>
      <c r="L596" s="632">
        <v>518</v>
      </c>
      <c r="Z596" s="600"/>
      <c r="AA596" s="600"/>
      <c r="AB596" s="600"/>
      <c r="AC596" s="600"/>
      <c r="AD596" s="600"/>
      <c r="AE596" s="600"/>
      <c r="AF596" s="600"/>
      <c r="AG596" s="600"/>
      <c r="AH596" s="600"/>
      <c r="AI596" s="600"/>
      <c r="AJ596" s="600"/>
    </row>
    <row r="597" spans="1:36" s="263" customFormat="1" ht="9" customHeight="1" x14ac:dyDescent="0.25">
      <c r="A597" s="550" t="s">
        <v>28</v>
      </c>
      <c r="B597" s="638">
        <f t="shared" si="32"/>
        <v>78512</v>
      </c>
      <c r="C597" s="632">
        <v>18544</v>
      </c>
      <c r="D597" s="638"/>
      <c r="E597" s="638">
        <f t="shared" si="33"/>
        <v>51258</v>
      </c>
      <c r="F597" s="632">
        <v>20683</v>
      </c>
      <c r="G597" s="632">
        <v>15177</v>
      </c>
      <c r="H597" s="638">
        <v>15398</v>
      </c>
      <c r="I597" s="638"/>
      <c r="J597" s="632">
        <v>23</v>
      </c>
      <c r="K597" s="632">
        <v>8376</v>
      </c>
      <c r="L597" s="632">
        <v>311</v>
      </c>
      <c r="Z597" s="600"/>
      <c r="AA597" s="600"/>
      <c r="AB597" s="600"/>
      <c r="AC597" s="600"/>
      <c r="AD597" s="600"/>
      <c r="AE597" s="600"/>
      <c r="AF597" s="600"/>
      <c r="AG597" s="600"/>
      <c r="AH597" s="600"/>
      <c r="AI597" s="600"/>
      <c r="AJ597" s="600"/>
    </row>
    <row r="598" spans="1:36" s="263" customFormat="1" ht="9" customHeight="1" x14ac:dyDescent="0.25">
      <c r="A598" s="550" t="s">
        <v>29</v>
      </c>
      <c r="B598" s="638">
        <f t="shared" si="32"/>
        <v>138067</v>
      </c>
      <c r="C598" s="632">
        <v>61602</v>
      </c>
      <c r="D598" s="638"/>
      <c r="E598" s="638">
        <f t="shared" si="33"/>
        <v>69809</v>
      </c>
      <c r="F598" s="632">
        <v>27173</v>
      </c>
      <c r="G598" s="632">
        <v>12856</v>
      </c>
      <c r="H598" s="638">
        <v>29780</v>
      </c>
      <c r="I598" s="638"/>
      <c r="J598" s="632">
        <v>41</v>
      </c>
      <c r="K598" s="632">
        <v>5956</v>
      </c>
      <c r="L598" s="632">
        <v>659</v>
      </c>
      <c r="Z598" s="600"/>
      <c r="AA598" s="600"/>
      <c r="AB598" s="600"/>
      <c r="AC598" s="600"/>
      <c r="AD598" s="600"/>
      <c r="AE598" s="600"/>
      <c r="AF598" s="600"/>
      <c r="AG598" s="600"/>
      <c r="AH598" s="600"/>
      <c r="AI598" s="600"/>
      <c r="AJ598" s="600"/>
    </row>
    <row r="599" spans="1:36" s="263" customFormat="1" ht="9" customHeight="1" x14ac:dyDescent="0.25">
      <c r="A599" s="603" t="s">
        <v>30</v>
      </c>
      <c r="B599" s="640">
        <f t="shared" si="32"/>
        <v>306781</v>
      </c>
      <c r="C599" s="634">
        <v>116267</v>
      </c>
      <c r="D599" s="640"/>
      <c r="E599" s="640">
        <f t="shared" si="33"/>
        <v>132750</v>
      </c>
      <c r="F599" s="634">
        <v>62838</v>
      </c>
      <c r="G599" s="634">
        <v>37479</v>
      </c>
      <c r="H599" s="640">
        <v>32433</v>
      </c>
      <c r="I599" s="640"/>
      <c r="J599" s="634">
        <v>12702</v>
      </c>
      <c r="K599" s="634">
        <v>43454</v>
      </c>
      <c r="L599" s="634">
        <v>1608</v>
      </c>
      <c r="Z599" s="600"/>
      <c r="AA599" s="600"/>
      <c r="AB599" s="600"/>
      <c r="AC599" s="600"/>
      <c r="AD599" s="600"/>
      <c r="AE599" s="600"/>
      <c r="AF599" s="600"/>
      <c r="AG599" s="600"/>
      <c r="AH599" s="600"/>
      <c r="AI599" s="600"/>
      <c r="AJ599" s="600"/>
    </row>
    <row r="600" spans="1:36" s="263" customFormat="1" ht="9" customHeight="1" x14ac:dyDescent="0.25">
      <c r="A600" s="550" t="s">
        <v>63</v>
      </c>
      <c r="B600" s="638">
        <f t="shared" si="32"/>
        <v>2574138</v>
      </c>
      <c r="C600" s="632">
        <v>705892</v>
      </c>
      <c r="D600" s="638"/>
      <c r="E600" s="638">
        <f t="shared" si="33"/>
        <v>1387388</v>
      </c>
      <c r="F600" s="632">
        <v>192145</v>
      </c>
      <c r="G600" s="632">
        <v>157996</v>
      </c>
      <c r="H600" s="638">
        <v>1037247</v>
      </c>
      <c r="I600" s="638"/>
      <c r="J600" s="632">
        <v>23037</v>
      </c>
      <c r="K600" s="632">
        <v>405289</v>
      </c>
      <c r="L600" s="632">
        <v>52532</v>
      </c>
      <c r="Z600" s="600"/>
      <c r="AA600" s="600"/>
      <c r="AB600" s="600"/>
      <c r="AC600" s="600"/>
      <c r="AD600" s="600"/>
      <c r="AE600" s="600"/>
      <c r="AF600" s="600"/>
      <c r="AG600" s="600"/>
      <c r="AH600" s="600"/>
      <c r="AI600" s="600"/>
      <c r="AJ600" s="600"/>
    </row>
    <row r="601" spans="1:36" s="263" customFormat="1" ht="9" customHeight="1" x14ac:dyDescent="0.25">
      <c r="A601" s="550" t="s">
        <v>31</v>
      </c>
      <c r="B601" s="638">
        <f t="shared" si="32"/>
        <v>63875</v>
      </c>
      <c r="C601" s="632">
        <v>29490</v>
      </c>
      <c r="D601" s="638"/>
      <c r="E601" s="638">
        <f t="shared" si="33"/>
        <v>32448</v>
      </c>
      <c r="F601" s="632">
        <v>6458</v>
      </c>
      <c r="G601" s="632">
        <v>4216</v>
      </c>
      <c r="H601" s="638">
        <v>21774</v>
      </c>
      <c r="I601" s="638"/>
      <c r="J601" s="632">
        <v>80</v>
      </c>
      <c r="K601" s="632">
        <v>1053</v>
      </c>
      <c r="L601" s="632">
        <v>804</v>
      </c>
      <c r="Z601" s="600"/>
      <c r="AA601" s="600"/>
      <c r="AB601" s="600"/>
      <c r="AC601" s="600"/>
      <c r="AD601" s="600"/>
      <c r="AE601" s="600"/>
      <c r="AF601" s="600"/>
      <c r="AG601" s="600"/>
      <c r="AH601" s="600"/>
      <c r="AI601" s="600"/>
      <c r="AJ601" s="600"/>
    </row>
    <row r="602" spans="1:36" s="263" customFormat="1" ht="9" customHeight="1" x14ac:dyDescent="0.25">
      <c r="A602" s="550" t="s">
        <v>32</v>
      </c>
      <c r="B602" s="638">
        <f t="shared" si="32"/>
        <v>486036</v>
      </c>
      <c r="C602" s="632">
        <v>196238</v>
      </c>
      <c r="D602" s="638"/>
      <c r="E602" s="638">
        <f t="shared" si="33"/>
        <v>208566</v>
      </c>
      <c r="F602" s="632">
        <v>69932</v>
      </c>
      <c r="G602" s="632">
        <v>52903</v>
      </c>
      <c r="H602" s="638">
        <v>85731</v>
      </c>
      <c r="I602" s="638"/>
      <c r="J602" s="632">
        <v>2105</v>
      </c>
      <c r="K602" s="632">
        <v>70119</v>
      </c>
      <c r="L602" s="632">
        <v>9008</v>
      </c>
      <c r="Z602" s="600"/>
      <c r="AA602" s="600"/>
      <c r="AB602" s="600"/>
      <c r="AC602" s="600"/>
      <c r="AD602" s="600"/>
      <c r="AE602" s="600"/>
      <c r="AF602" s="600"/>
      <c r="AG602" s="600"/>
      <c r="AH602" s="600"/>
      <c r="AI602" s="600"/>
      <c r="AJ602" s="600"/>
    </row>
    <row r="603" spans="1:36" s="263" customFormat="1" ht="9" customHeight="1" x14ac:dyDescent="0.25">
      <c r="A603" s="603" t="s">
        <v>33</v>
      </c>
      <c r="B603" s="640">
        <f t="shared" si="32"/>
        <v>202759</v>
      </c>
      <c r="C603" s="634">
        <v>73350</v>
      </c>
      <c r="D603" s="640"/>
      <c r="E603" s="640">
        <f t="shared" si="33"/>
        <v>113557</v>
      </c>
      <c r="F603" s="634">
        <v>32573</v>
      </c>
      <c r="G603" s="634">
        <v>19887</v>
      </c>
      <c r="H603" s="640">
        <v>61097</v>
      </c>
      <c r="I603" s="640"/>
      <c r="J603" s="634">
        <v>261</v>
      </c>
      <c r="K603" s="634">
        <v>13293</v>
      </c>
      <c r="L603" s="634">
        <v>2298</v>
      </c>
      <c r="Z603" s="600"/>
      <c r="AA603" s="600"/>
      <c r="AB603" s="600"/>
      <c r="AC603" s="600"/>
      <c r="AD603" s="600"/>
      <c r="AE603" s="600"/>
      <c r="AF603" s="600"/>
      <c r="AG603" s="600"/>
      <c r="AH603" s="600"/>
      <c r="AI603" s="600"/>
      <c r="AJ603" s="600"/>
    </row>
    <row r="604" spans="1:36" s="263" customFormat="1" ht="9" customHeight="1" x14ac:dyDescent="0.25">
      <c r="A604" s="550" t="s">
        <v>34</v>
      </c>
      <c r="B604" s="638">
        <f t="shared" si="32"/>
        <v>268773</v>
      </c>
      <c r="C604" s="632">
        <v>120542</v>
      </c>
      <c r="D604" s="638"/>
      <c r="E604" s="638">
        <f t="shared" si="33"/>
        <v>116461</v>
      </c>
      <c r="F604" s="632">
        <v>37421</v>
      </c>
      <c r="G604" s="632">
        <v>26112</v>
      </c>
      <c r="H604" s="638">
        <v>52928</v>
      </c>
      <c r="I604" s="638"/>
      <c r="J604" s="632">
        <v>1381</v>
      </c>
      <c r="K604" s="632">
        <v>13051</v>
      </c>
      <c r="L604" s="632">
        <v>17338</v>
      </c>
      <c r="Z604" s="600"/>
      <c r="AA604" s="600"/>
      <c r="AB604" s="600"/>
      <c r="AC604" s="600"/>
      <c r="AD604" s="600"/>
      <c r="AE604" s="600"/>
      <c r="AF604" s="600"/>
      <c r="AG604" s="600"/>
      <c r="AH604" s="600"/>
      <c r="AI604" s="600"/>
      <c r="AJ604" s="600"/>
    </row>
    <row r="605" spans="1:36" s="263" customFormat="1" ht="9" customHeight="1" x14ac:dyDescent="0.25">
      <c r="A605" s="550" t="s">
        <v>35</v>
      </c>
      <c r="B605" s="638">
        <f t="shared" si="32"/>
        <v>879285</v>
      </c>
      <c r="C605" s="632">
        <v>243588</v>
      </c>
      <c r="D605" s="638"/>
      <c r="E605" s="638">
        <f t="shared" si="33"/>
        <v>507747</v>
      </c>
      <c r="F605" s="632">
        <v>145468</v>
      </c>
      <c r="G605" s="632">
        <v>97752</v>
      </c>
      <c r="H605" s="638">
        <v>264527</v>
      </c>
      <c r="I605" s="638"/>
      <c r="J605" s="632">
        <v>2897</v>
      </c>
      <c r="K605" s="632">
        <v>119249</v>
      </c>
      <c r="L605" s="632">
        <v>5804</v>
      </c>
      <c r="Z605" s="600"/>
      <c r="AA605" s="600"/>
      <c r="AB605" s="600"/>
      <c r="AC605" s="600"/>
      <c r="AD605" s="600"/>
      <c r="AE605" s="600"/>
      <c r="AF605" s="600"/>
      <c r="AG605" s="600"/>
      <c r="AH605" s="600"/>
      <c r="AI605" s="600"/>
      <c r="AJ605" s="600"/>
    </row>
    <row r="606" spans="1:36" s="263" customFormat="1" ht="9" customHeight="1" x14ac:dyDescent="0.25">
      <c r="A606" s="550" t="s">
        <v>36</v>
      </c>
      <c r="B606" s="638">
        <f t="shared" si="32"/>
        <v>1752550</v>
      </c>
      <c r="C606" s="632">
        <v>834869</v>
      </c>
      <c r="D606" s="638"/>
      <c r="E606" s="638">
        <f t="shared" si="33"/>
        <v>763918</v>
      </c>
      <c r="F606" s="632">
        <v>271291</v>
      </c>
      <c r="G606" s="632">
        <v>223075</v>
      </c>
      <c r="H606" s="638">
        <v>269552</v>
      </c>
      <c r="I606" s="638"/>
      <c r="J606" s="632">
        <v>17464</v>
      </c>
      <c r="K606" s="632">
        <v>102140</v>
      </c>
      <c r="L606" s="632">
        <v>34159</v>
      </c>
      <c r="Z606" s="600"/>
      <c r="AA606" s="600"/>
      <c r="AB606" s="600"/>
      <c r="AC606" s="600"/>
      <c r="AD606" s="600"/>
      <c r="AE606" s="600"/>
      <c r="AF606" s="600"/>
      <c r="AG606" s="600"/>
      <c r="AH606" s="600"/>
      <c r="AI606" s="600"/>
      <c r="AJ606" s="600"/>
    </row>
    <row r="607" spans="1:36" s="263" customFormat="1" ht="9" customHeight="1" x14ac:dyDescent="0.25">
      <c r="A607" s="603" t="s">
        <v>37</v>
      </c>
      <c r="B607" s="640">
        <f t="shared" si="32"/>
        <v>393810</v>
      </c>
      <c r="C607" s="634">
        <v>132884</v>
      </c>
      <c r="D607" s="640"/>
      <c r="E607" s="640">
        <f t="shared" si="33"/>
        <v>220409</v>
      </c>
      <c r="F607" s="634">
        <v>68286</v>
      </c>
      <c r="G607" s="634">
        <v>46582</v>
      </c>
      <c r="H607" s="640">
        <v>105541</v>
      </c>
      <c r="I607" s="640"/>
      <c r="J607" s="634">
        <v>1764</v>
      </c>
      <c r="K607" s="634">
        <v>35071</v>
      </c>
      <c r="L607" s="634">
        <v>3682</v>
      </c>
      <c r="Z607" s="600"/>
      <c r="AA607" s="600"/>
      <c r="AB607" s="600"/>
      <c r="AC607" s="600"/>
      <c r="AD607" s="600"/>
      <c r="AE607" s="600"/>
      <c r="AF607" s="600"/>
      <c r="AG607" s="600"/>
      <c r="AH607" s="600"/>
      <c r="AI607" s="600"/>
      <c r="AJ607" s="600"/>
    </row>
    <row r="608" spans="1:36" s="263" customFormat="1" ht="9" customHeight="1" x14ac:dyDescent="0.25">
      <c r="A608" s="550" t="s">
        <v>38</v>
      </c>
      <c r="B608" s="638">
        <f t="shared" si="32"/>
        <v>100281</v>
      </c>
      <c r="C608" s="632">
        <v>48358</v>
      </c>
      <c r="D608" s="638"/>
      <c r="E608" s="638">
        <f t="shared" si="33"/>
        <v>43310</v>
      </c>
      <c r="F608" s="632">
        <v>16670</v>
      </c>
      <c r="G608" s="632">
        <v>9040</v>
      </c>
      <c r="H608" s="638">
        <v>17600</v>
      </c>
      <c r="I608" s="638"/>
      <c r="J608" s="632">
        <v>336</v>
      </c>
      <c r="K608" s="632">
        <v>7973</v>
      </c>
      <c r="L608" s="632">
        <v>304</v>
      </c>
      <c r="Z608" s="600"/>
      <c r="AA608" s="600"/>
      <c r="AB608" s="600"/>
      <c r="AC608" s="600"/>
      <c r="AD608" s="600"/>
      <c r="AE608" s="600"/>
      <c r="AF608" s="600"/>
      <c r="AG608" s="600"/>
      <c r="AH608" s="600"/>
      <c r="AI608" s="600"/>
      <c r="AJ608" s="600"/>
    </row>
    <row r="609" spans="1:36" s="263" customFormat="1" ht="9" customHeight="1" x14ac:dyDescent="0.25">
      <c r="A609" s="550" t="s">
        <v>39</v>
      </c>
      <c r="B609" s="638">
        <f t="shared" si="32"/>
        <v>10429</v>
      </c>
      <c r="C609" s="632">
        <v>4617</v>
      </c>
      <c r="D609" s="638"/>
      <c r="E609" s="638">
        <f t="shared" si="33"/>
        <v>5706</v>
      </c>
      <c r="F609" s="632">
        <v>1577</v>
      </c>
      <c r="G609" s="632">
        <v>1355</v>
      </c>
      <c r="H609" s="638">
        <v>2774</v>
      </c>
      <c r="I609" s="638"/>
      <c r="J609" s="632">
        <v>0</v>
      </c>
      <c r="K609" s="632">
        <v>106</v>
      </c>
      <c r="L609" s="632">
        <v>0</v>
      </c>
      <c r="Z609" s="600"/>
      <c r="AA609" s="600"/>
      <c r="AB609" s="600"/>
      <c r="AC609" s="600"/>
      <c r="AD609" s="600"/>
      <c r="AE609" s="600"/>
      <c r="AF609" s="600"/>
      <c r="AG609" s="600"/>
      <c r="AH609" s="600"/>
      <c r="AI609" s="600"/>
      <c r="AJ609" s="600"/>
    </row>
    <row r="610" spans="1:36" s="263" customFormat="1" ht="9" customHeight="1" x14ac:dyDescent="0.25">
      <c r="A610" s="550" t="s">
        <v>40</v>
      </c>
      <c r="B610" s="638">
        <f t="shared" si="32"/>
        <v>1443986</v>
      </c>
      <c r="C610" s="632">
        <v>338853</v>
      </c>
      <c r="D610" s="638"/>
      <c r="E610" s="638">
        <f t="shared" si="33"/>
        <v>713515</v>
      </c>
      <c r="F610" s="632">
        <v>143907</v>
      </c>
      <c r="G610" s="632">
        <v>185043</v>
      </c>
      <c r="H610" s="638">
        <v>384565</v>
      </c>
      <c r="I610" s="638"/>
      <c r="J610" s="632">
        <v>21704</v>
      </c>
      <c r="K610" s="632">
        <v>306929</v>
      </c>
      <c r="L610" s="632">
        <v>62985</v>
      </c>
      <c r="Z610" s="600"/>
      <c r="AA610" s="600"/>
      <c r="AB610" s="600"/>
      <c r="AC610" s="600"/>
      <c r="AD610" s="600"/>
      <c r="AE610" s="600"/>
      <c r="AF610" s="600"/>
      <c r="AG610" s="600"/>
      <c r="AH610" s="600"/>
      <c r="AI610" s="600"/>
      <c r="AJ610" s="600"/>
    </row>
    <row r="611" spans="1:36" s="263" customFormat="1" ht="9" customHeight="1" x14ac:dyDescent="0.25">
      <c r="A611" s="603" t="s">
        <v>41</v>
      </c>
      <c r="B611" s="640">
        <f t="shared" si="32"/>
        <v>275291</v>
      </c>
      <c r="C611" s="634">
        <v>119354</v>
      </c>
      <c r="D611" s="640"/>
      <c r="E611" s="640">
        <f t="shared" si="33"/>
        <v>129626</v>
      </c>
      <c r="F611" s="634">
        <v>40744</v>
      </c>
      <c r="G611" s="634">
        <v>25592</v>
      </c>
      <c r="H611" s="640">
        <v>63290</v>
      </c>
      <c r="I611" s="640"/>
      <c r="J611" s="634">
        <v>4056</v>
      </c>
      <c r="K611" s="634">
        <v>12325</v>
      </c>
      <c r="L611" s="634">
        <v>9930</v>
      </c>
      <c r="Z611" s="600"/>
      <c r="AA611" s="600"/>
      <c r="AB611" s="600"/>
      <c r="AC611" s="600"/>
      <c r="AD611" s="600"/>
      <c r="AE611" s="600"/>
      <c r="AF611" s="600"/>
      <c r="AG611" s="600"/>
      <c r="AH611" s="600"/>
      <c r="AI611" s="600"/>
      <c r="AJ611" s="600"/>
    </row>
    <row r="612" spans="1:36" s="263" customFormat="1" ht="9" customHeight="1" x14ac:dyDescent="0.25">
      <c r="A612" s="550" t="s">
        <v>42</v>
      </c>
      <c r="B612" s="638">
        <f t="shared" si="32"/>
        <v>280615</v>
      </c>
      <c r="C612" s="632">
        <v>100878</v>
      </c>
      <c r="D612" s="638"/>
      <c r="E612" s="638">
        <f t="shared" si="33"/>
        <v>139353</v>
      </c>
      <c r="F612" s="632">
        <v>53877</v>
      </c>
      <c r="G612" s="632">
        <v>29049</v>
      </c>
      <c r="H612" s="638">
        <v>56427</v>
      </c>
      <c r="I612" s="638"/>
      <c r="J612" s="632">
        <v>1603</v>
      </c>
      <c r="K612" s="632">
        <v>35168</v>
      </c>
      <c r="L612" s="632">
        <v>3613</v>
      </c>
      <c r="Z612" s="600"/>
      <c r="AA612" s="600"/>
      <c r="AB612" s="600"/>
      <c r="AC612" s="600"/>
      <c r="AD612" s="600"/>
      <c r="AE612" s="600"/>
      <c r="AF612" s="600"/>
      <c r="AG612" s="600"/>
      <c r="AH612" s="600"/>
      <c r="AI612" s="600"/>
      <c r="AJ612" s="600"/>
    </row>
    <row r="613" spans="1:36" s="263" customFormat="1" ht="9" customHeight="1" x14ac:dyDescent="0.25">
      <c r="A613" s="550" t="s">
        <v>43</v>
      </c>
      <c r="B613" s="638">
        <f t="shared" si="32"/>
        <v>237418</v>
      </c>
      <c r="C613" s="632">
        <v>92300</v>
      </c>
      <c r="D613" s="638"/>
      <c r="E613" s="638">
        <f t="shared" si="33"/>
        <v>108134</v>
      </c>
      <c r="F613" s="632">
        <v>26720</v>
      </c>
      <c r="G613" s="632">
        <v>19269</v>
      </c>
      <c r="H613" s="638">
        <v>62145</v>
      </c>
      <c r="I613" s="638"/>
      <c r="J613" s="632">
        <v>1202</v>
      </c>
      <c r="K613" s="632">
        <v>31656</v>
      </c>
      <c r="L613" s="632">
        <v>4126</v>
      </c>
      <c r="Z613" s="600"/>
      <c r="AA613" s="600"/>
      <c r="AB613" s="600"/>
      <c r="AC613" s="600"/>
      <c r="AD613" s="600"/>
      <c r="AE613" s="600"/>
      <c r="AF613" s="600"/>
      <c r="AG613" s="600"/>
      <c r="AH613" s="600"/>
      <c r="AI613" s="600"/>
      <c r="AJ613" s="600"/>
    </row>
    <row r="614" spans="1:36" s="263" customFormat="1" ht="9" customHeight="1" x14ac:dyDescent="0.25">
      <c r="A614" s="550" t="s">
        <v>44</v>
      </c>
      <c r="B614" s="638">
        <f t="shared" si="32"/>
        <v>159856</v>
      </c>
      <c r="C614" s="632">
        <v>37475</v>
      </c>
      <c r="D614" s="638"/>
      <c r="E614" s="638">
        <f t="shared" si="33"/>
        <v>98188</v>
      </c>
      <c r="F614" s="632">
        <v>33294</v>
      </c>
      <c r="G614" s="632">
        <v>23216</v>
      </c>
      <c r="H614" s="638">
        <v>41678</v>
      </c>
      <c r="I614" s="638"/>
      <c r="J614" s="632">
        <v>400</v>
      </c>
      <c r="K614" s="632">
        <v>16888</v>
      </c>
      <c r="L614" s="632">
        <v>6905</v>
      </c>
      <c r="Z614" s="600"/>
      <c r="AA614" s="600"/>
      <c r="AB614" s="600"/>
      <c r="AC614" s="600"/>
      <c r="AD614" s="600"/>
      <c r="AE614" s="600"/>
      <c r="AF614" s="600"/>
      <c r="AG614" s="600"/>
      <c r="AH614" s="600"/>
      <c r="AI614" s="600"/>
      <c r="AJ614" s="600"/>
    </row>
    <row r="615" spans="1:36" s="263" customFormat="1" ht="9" customHeight="1" x14ac:dyDescent="0.25">
      <c r="A615" s="603" t="s">
        <v>45</v>
      </c>
      <c r="B615" s="640">
        <f t="shared" si="32"/>
        <v>123808</v>
      </c>
      <c r="C615" s="634">
        <v>51469</v>
      </c>
      <c r="D615" s="640"/>
      <c r="E615" s="640">
        <f t="shared" si="33"/>
        <v>38168</v>
      </c>
      <c r="F615" s="634">
        <v>14461</v>
      </c>
      <c r="G615" s="634">
        <v>10340</v>
      </c>
      <c r="H615" s="640">
        <v>13367</v>
      </c>
      <c r="I615" s="640"/>
      <c r="J615" s="634">
        <v>1358</v>
      </c>
      <c r="K615" s="634">
        <v>32186</v>
      </c>
      <c r="L615" s="634">
        <v>627</v>
      </c>
      <c r="Z615" s="600"/>
      <c r="AA615" s="600"/>
      <c r="AB615" s="600"/>
      <c r="AC615" s="600"/>
      <c r="AD615" s="600"/>
      <c r="AE615" s="600"/>
      <c r="AF615" s="600"/>
      <c r="AG615" s="600"/>
      <c r="AH615" s="600"/>
      <c r="AI615" s="600"/>
      <c r="AJ615" s="600"/>
    </row>
    <row r="616" spans="1:36" s="263" customFormat="1" ht="9" customHeight="1" x14ac:dyDescent="0.25">
      <c r="A616" s="550" t="s">
        <v>46</v>
      </c>
      <c r="B616" s="638">
        <f t="shared" si="32"/>
        <v>174020</v>
      </c>
      <c r="C616" s="632">
        <v>42317</v>
      </c>
      <c r="D616" s="638"/>
      <c r="E616" s="638">
        <f t="shared" si="33"/>
        <v>114593</v>
      </c>
      <c r="F616" s="632">
        <v>40379</v>
      </c>
      <c r="G616" s="632">
        <v>28683</v>
      </c>
      <c r="H616" s="638">
        <v>45531</v>
      </c>
      <c r="I616" s="638"/>
      <c r="J616" s="632">
        <v>1651</v>
      </c>
      <c r="K616" s="632">
        <v>14104</v>
      </c>
      <c r="L616" s="632">
        <v>1355</v>
      </c>
      <c r="Z616" s="600"/>
      <c r="AA616" s="600"/>
      <c r="AB616" s="600"/>
      <c r="AC616" s="600"/>
      <c r="AD616" s="600"/>
      <c r="AE616" s="600"/>
      <c r="AF616" s="600"/>
      <c r="AG616" s="600"/>
      <c r="AH616" s="600"/>
      <c r="AI616" s="600"/>
      <c r="AJ616" s="600"/>
    </row>
    <row r="617" spans="1:36" s="263" customFormat="1" ht="9" customHeight="1" x14ac:dyDescent="0.25">
      <c r="A617" s="550" t="s">
        <v>47</v>
      </c>
      <c r="B617" s="638">
        <f t="shared" si="32"/>
        <v>314587</v>
      </c>
      <c r="C617" s="632">
        <v>95701</v>
      </c>
      <c r="D617" s="638"/>
      <c r="E617" s="638">
        <f t="shared" si="33"/>
        <v>138000</v>
      </c>
      <c r="F617" s="632">
        <v>25993</v>
      </c>
      <c r="G617" s="632">
        <v>28217</v>
      </c>
      <c r="H617" s="638">
        <v>83790</v>
      </c>
      <c r="I617" s="638"/>
      <c r="J617" s="632">
        <v>1649</v>
      </c>
      <c r="K617" s="632">
        <v>74416</v>
      </c>
      <c r="L617" s="632">
        <v>4821</v>
      </c>
      <c r="Z617" s="600"/>
      <c r="AA617" s="600"/>
      <c r="AB617" s="600"/>
      <c r="AC617" s="600"/>
      <c r="AD617" s="600"/>
      <c r="AE617" s="600"/>
      <c r="AF617" s="600"/>
      <c r="AG617" s="600"/>
      <c r="AH617" s="600"/>
      <c r="AI617" s="600"/>
      <c r="AJ617" s="600"/>
    </row>
    <row r="618" spans="1:36" s="263" customFormat="1" ht="9" customHeight="1" x14ac:dyDescent="0.25">
      <c r="A618" s="550" t="s">
        <v>48</v>
      </c>
      <c r="B618" s="638">
        <f t="shared" si="32"/>
        <v>95992</v>
      </c>
      <c r="C618" s="632">
        <v>34860</v>
      </c>
      <c r="D618" s="638"/>
      <c r="E618" s="638">
        <f t="shared" si="33"/>
        <v>27299</v>
      </c>
      <c r="F618" s="632">
        <v>12376</v>
      </c>
      <c r="G618" s="632">
        <v>5302</v>
      </c>
      <c r="H618" s="638">
        <v>9621</v>
      </c>
      <c r="I618" s="638"/>
      <c r="J618" s="632">
        <v>323</v>
      </c>
      <c r="K618" s="632">
        <v>33509</v>
      </c>
      <c r="L618" s="632">
        <v>1</v>
      </c>
      <c r="Z618" s="600"/>
      <c r="AA618" s="600"/>
      <c r="AB618" s="600"/>
      <c r="AC618" s="600"/>
      <c r="AD618" s="600"/>
      <c r="AE618" s="600"/>
      <c r="AF618" s="600"/>
      <c r="AG618" s="600"/>
      <c r="AH618" s="600"/>
      <c r="AI618" s="600"/>
      <c r="AJ618" s="600"/>
    </row>
    <row r="619" spans="1:36" s="263" customFormat="1" ht="9" customHeight="1" x14ac:dyDescent="0.25">
      <c r="A619" s="603" t="s">
        <v>49</v>
      </c>
      <c r="B619" s="640">
        <f t="shared" si="32"/>
        <v>135126</v>
      </c>
      <c r="C619" s="634">
        <v>58097</v>
      </c>
      <c r="D619" s="640"/>
      <c r="E619" s="640">
        <f t="shared" si="33"/>
        <v>47841</v>
      </c>
      <c r="F619" s="634">
        <v>11983</v>
      </c>
      <c r="G619" s="634">
        <v>11142</v>
      </c>
      <c r="H619" s="640">
        <v>24716</v>
      </c>
      <c r="I619" s="640"/>
      <c r="J619" s="634">
        <v>1209</v>
      </c>
      <c r="K619" s="634">
        <v>26313</v>
      </c>
      <c r="L619" s="634">
        <v>1666</v>
      </c>
      <c r="Z619" s="600"/>
      <c r="AA619" s="600"/>
      <c r="AB619" s="600"/>
      <c r="AC619" s="600"/>
      <c r="AD619" s="600"/>
      <c r="AE619" s="600"/>
      <c r="AF619" s="600"/>
      <c r="AG619" s="600"/>
      <c r="AH619" s="600"/>
      <c r="AI619" s="600"/>
      <c r="AJ619" s="600"/>
    </row>
    <row r="620" spans="1:36" s="263" customFormat="1" ht="9" customHeight="1" x14ac:dyDescent="0.25">
      <c r="A620" s="550" t="s">
        <v>50</v>
      </c>
      <c r="B620" s="638">
        <f t="shared" si="32"/>
        <v>89698</v>
      </c>
      <c r="C620" s="632">
        <v>44668</v>
      </c>
      <c r="D620" s="638"/>
      <c r="E620" s="638">
        <f t="shared" si="33"/>
        <v>41893</v>
      </c>
      <c r="F620" s="632">
        <v>12829</v>
      </c>
      <c r="G620" s="632">
        <v>15471</v>
      </c>
      <c r="H620" s="638">
        <v>13593</v>
      </c>
      <c r="I620" s="638"/>
      <c r="J620" s="632">
        <v>33</v>
      </c>
      <c r="K620" s="632">
        <v>2334</v>
      </c>
      <c r="L620" s="632">
        <v>770</v>
      </c>
      <c r="Z620" s="600"/>
      <c r="AA620" s="600"/>
      <c r="AB620" s="600"/>
      <c r="AC620" s="600"/>
      <c r="AD620" s="600"/>
      <c r="AE620" s="600"/>
      <c r="AF620" s="600"/>
      <c r="AG620" s="600"/>
      <c r="AH620" s="600"/>
      <c r="AI620" s="600"/>
      <c r="AJ620" s="600"/>
    </row>
    <row r="621" spans="1:36" s="263" customFormat="1" ht="9" customHeight="1" x14ac:dyDescent="0.25">
      <c r="A621" s="550" t="s">
        <v>51</v>
      </c>
      <c r="B621" s="638">
        <f t="shared" si="32"/>
        <v>396442</v>
      </c>
      <c r="C621" s="632">
        <v>163040</v>
      </c>
      <c r="D621" s="638"/>
      <c r="E621" s="638">
        <f t="shared" si="33"/>
        <v>178577</v>
      </c>
      <c r="F621" s="632">
        <v>70616</v>
      </c>
      <c r="G621" s="632">
        <v>32230</v>
      </c>
      <c r="H621" s="638">
        <v>75731</v>
      </c>
      <c r="I621" s="638"/>
      <c r="J621" s="632">
        <v>1836</v>
      </c>
      <c r="K621" s="632">
        <v>46092</v>
      </c>
      <c r="L621" s="632">
        <v>6897</v>
      </c>
      <c r="Z621" s="600"/>
      <c r="AA621" s="600"/>
      <c r="AB621" s="600"/>
      <c r="AC621" s="600"/>
      <c r="AD621" s="600"/>
      <c r="AE621" s="600"/>
      <c r="AF621" s="600"/>
      <c r="AG621" s="600"/>
      <c r="AH621" s="600"/>
      <c r="AI621" s="600"/>
      <c r="AJ621" s="600"/>
    </row>
    <row r="622" spans="1:36" s="263" customFormat="1" ht="9" customHeight="1" x14ac:dyDescent="0.25">
      <c r="A622" s="550" t="s">
        <v>52</v>
      </c>
      <c r="B622" s="638">
        <f t="shared" si="32"/>
        <v>135660</v>
      </c>
      <c r="C622" s="632">
        <v>25465</v>
      </c>
      <c r="D622" s="638"/>
      <c r="E622" s="638">
        <f t="shared" si="33"/>
        <v>54609</v>
      </c>
      <c r="F622" s="632">
        <v>20003</v>
      </c>
      <c r="G622" s="632">
        <v>11067</v>
      </c>
      <c r="H622" s="638">
        <v>23539</v>
      </c>
      <c r="I622" s="638"/>
      <c r="J622" s="632">
        <v>0</v>
      </c>
      <c r="K622" s="632">
        <v>54383</v>
      </c>
      <c r="L622" s="632">
        <v>1203</v>
      </c>
      <c r="Z622" s="600"/>
      <c r="AA622" s="600"/>
      <c r="AB622" s="600"/>
      <c r="AC622" s="600"/>
      <c r="AD622" s="600"/>
      <c r="AE622" s="600"/>
      <c r="AF622" s="600"/>
      <c r="AG622" s="600"/>
      <c r="AH622" s="600"/>
      <c r="AI622" s="600"/>
      <c r="AJ622" s="600"/>
    </row>
    <row r="623" spans="1:36" s="263" customFormat="1" ht="9" customHeight="1" x14ac:dyDescent="0.25">
      <c r="A623" s="267" t="s">
        <v>53</v>
      </c>
      <c r="B623" s="599">
        <f t="shared" si="32"/>
        <v>57722</v>
      </c>
      <c r="C623" s="604">
        <v>19040</v>
      </c>
      <c r="D623" s="599"/>
      <c r="E623" s="599">
        <f t="shared" si="33"/>
        <v>34080</v>
      </c>
      <c r="F623" s="604">
        <v>11011</v>
      </c>
      <c r="G623" s="604">
        <v>6070</v>
      </c>
      <c r="H623" s="599">
        <v>16999</v>
      </c>
      <c r="I623" s="599"/>
      <c r="J623" s="604">
        <v>20</v>
      </c>
      <c r="K623" s="604">
        <v>4343</v>
      </c>
      <c r="L623" s="604">
        <v>239</v>
      </c>
      <c r="Z623" s="600"/>
      <c r="AA623" s="600"/>
      <c r="AB623" s="600"/>
      <c r="AC623" s="600"/>
      <c r="AD623" s="600"/>
      <c r="AE623" s="600"/>
      <c r="AF623" s="600"/>
      <c r="AG623" s="600"/>
      <c r="AH623" s="600"/>
      <c r="AI623" s="600"/>
      <c r="AJ623" s="600"/>
    </row>
    <row r="624" spans="1:36" s="263" customFormat="1" ht="9" customHeight="1" x14ac:dyDescent="0.25">
      <c r="A624" s="286"/>
      <c r="B624" s="613"/>
      <c r="C624" s="605"/>
      <c r="D624" s="613"/>
      <c r="E624" s="613"/>
      <c r="F624" s="605"/>
      <c r="G624" s="605"/>
      <c r="H624" s="613"/>
      <c r="I624" s="613"/>
      <c r="J624" s="605"/>
      <c r="K624" s="605"/>
      <c r="L624" s="605"/>
      <c r="M624" s="286"/>
      <c r="Z624" s="600"/>
      <c r="AA624" s="600"/>
      <c r="AB624" s="600"/>
      <c r="AC624" s="600"/>
      <c r="AD624" s="600"/>
      <c r="AE624" s="600"/>
      <c r="AF624" s="600"/>
      <c r="AG624" s="600"/>
      <c r="AH624" s="600"/>
      <c r="AI624" s="600"/>
      <c r="AJ624" s="600"/>
    </row>
    <row r="625" spans="1:36" s="263" customFormat="1" ht="9" customHeight="1" x14ac:dyDescent="0.25">
      <c r="A625" s="601">
        <v>2012</v>
      </c>
      <c r="B625" s="597"/>
      <c r="C625" s="597"/>
      <c r="D625" s="597"/>
      <c r="E625" s="597"/>
      <c r="F625" s="597"/>
      <c r="G625" s="597"/>
      <c r="H625" s="597"/>
      <c r="I625" s="597"/>
      <c r="J625" s="597"/>
      <c r="K625" s="597"/>
      <c r="L625" s="597"/>
      <c r="Z625" s="600"/>
      <c r="AA625" s="600"/>
      <c r="AB625" s="600"/>
      <c r="AC625" s="600"/>
      <c r="AD625" s="600"/>
      <c r="AE625" s="600"/>
      <c r="AF625" s="600"/>
      <c r="AG625" s="600"/>
      <c r="AH625" s="600"/>
      <c r="AI625" s="600"/>
      <c r="AJ625" s="600"/>
    </row>
    <row r="626" spans="1:36" s="263" customFormat="1" ht="9" customHeight="1" x14ac:dyDescent="0.25">
      <c r="A626" s="265" t="s">
        <v>21</v>
      </c>
      <c r="B626" s="597">
        <f>SUM(B628:B659)</f>
        <v>12177408</v>
      </c>
      <c r="C626" s="597">
        <f>SUM(C628:C659)</f>
        <v>4182000</v>
      </c>
      <c r="D626" s="597"/>
      <c r="E626" s="597">
        <f>SUM(E628:E659)</f>
        <v>6038251</v>
      </c>
      <c r="F626" s="597">
        <f>SUM(F628:F659)</f>
        <v>1632662</v>
      </c>
      <c r="G626" s="597">
        <f>SUM(G628:G659)</f>
        <v>1243187</v>
      </c>
      <c r="H626" s="597">
        <f>SUM(H628:H659)</f>
        <v>3162402</v>
      </c>
      <c r="I626" s="597"/>
      <c r="J626" s="597">
        <f>SUM(J628:J659)</f>
        <v>119402</v>
      </c>
      <c r="K626" s="597">
        <f>SUM(K628:K659)</f>
        <v>1594605</v>
      </c>
      <c r="L626" s="597">
        <f>SUM(L628:L659)</f>
        <v>243150</v>
      </c>
      <c r="Z626" s="600"/>
      <c r="AA626" s="600"/>
      <c r="AB626" s="600"/>
      <c r="AC626" s="600"/>
      <c r="AD626" s="600"/>
      <c r="AE626" s="600"/>
      <c r="AF626" s="600"/>
      <c r="AG626" s="600"/>
      <c r="AH626" s="600"/>
      <c r="AI626" s="600"/>
      <c r="AJ626" s="600"/>
    </row>
    <row r="627" spans="1:36" s="263" customFormat="1" ht="3.95" customHeight="1" x14ac:dyDescent="0.25">
      <c r="A627" s="265"/>
      <c r="B627" s="597"/>
      <c r="C627" s="597"/>
      <c r="D627" s="597"/>
      <c r="E627" s="597"/>
      <c r="F627" s="597"/>
      <c r="G627" s="597"/>
      <c r="H627" s="597"/>
      <c r="I627" s="597"/>
      <c r="J627" s="597"/>
      <c r="K627" s="597"/>
      <c r="L627" s="597"/>
      <c r="Z627" s="600"/>
      <c r="AA627" s="600"/>
      <c r="AB627" s="600"/>
      <c r="AC627" s="600"/>
      <c r="AD627" s="600"/>
      <c r="AE627" s="600"/>
      <c r="AF627" s="600"/>
      <c r="AG627" s="600"/>
      <c r="AH627" s="600"/>
      <c r="AI627" s="600"/>
      <c r="AJ627" s="600"/>
    </row>
    <row r="628" spans="1:36" s="263" customFormat="1" ht="9" customHeight="1" x14ac:dyDescent="0.25">
      <c r="A628" s="550" t="s">
        <v>23</v>
      </c>
      <c r="B628" s="638">
        <f t="shared" ref="B628:B659" si="34">SUM(C628+E628+J628+K628+L628)</f>
        <v>18449</v>
      </c>
      <c r="C628" s="632">
        <v>9697</v>
      </c>
      <c r="D628" s="638"/>
      <c r="E628" s="638">
        <f>SUM(F628:H628)</f>
        <v>7937</v>
      </c>
      <c r="F628" s="632">
        <v>3769</v>
      </c>
      <c r="G628" s="632">
        <v>531</v>
      </c>
      <c r="H628" s="638">
        <v>3637</v>
      </c>
      <c r="I628" s="638"/>
      <c r="J628" s="632">
        <v>0</v>
      </c>
      <c r="K628" s="632">
        <v>815</v>
      </c>
      <c r="L628" s="632">
        <v>0</v>
      </c>
      <c r="Z628" s="600"/>
      <c r="AA628" s="600"/>
      <c r="AB628" s="600"/>
      <c r="AC628" s="600"/>
      <c r="AD628" s="600"/>
      <c r="AE628" s="600"/>
      <c r="AF628" s="600"/>
      <c r="AG628" s="600"/>
      <c r="AH628" s="600"/>
      <c r="AI628" s="600"/>
      <c r="AJ628" s="600"/>
    </row>
    <row r="629" spans="1:36" s="263" customFormat="1" ht="9" customHeight="1" x14ac:dyDescent="0.25">
      <c r="A629" s="550" t="s">
        <v>24</v>
      </c>
      <c r="B629" s="638">
        <f t="shared" si="34"/>
        <v>424693</v>
      </c>
      <c r="C629" s="638">
        <v>219681</v>
      </c>
      <c r="D629" s="638"/>
      <c r="E629" s="638">
        <f t="shared" ref="E629:E659" si="35">SUM(F629:H629)</f>
        <v>147693</v>
      </c>
      <c r="F629" s="638">
        <v>61230</v>
      </c>
      <c r="G629" s="638">
        <v>35137</v>
      </c>
      <c r="H629" s="638">
        <v>51326</v>
      </c>
      <c r="I629" s="638"/>
      <c r="J629" s="638">
        <v>695</v>
      </c>
      <c r="K629" s="638">
        <v>49653</v>
      </c>
      <c r="L629" s="638">
        <v>6971</v>
      </c>
      <c r="Z629" s="600"/>
      <c r="AA629" s="600"/>
      <c r="AB629" s="600"/>
      <c r="AC629" s="600"/>
      <c r="AD629" s="600"/>
      <c r="AE629" s="600"/>
      <c r="AF629" s="600"/>
      <c r="AG629" s="600"/>
      <c r="AH629" s="600"/>
      <c r="AI629" s="600"/>
      <c r="AJ629" s="600"/>
    </row>
    <row r="630" spans="1:36" s="263" customFormat="1" ht="9" customHeight="1" x14ac:dyDescent="0.25">
      <c r="A630" s="550" t="s">
        <v>25</v>
      </c>
      <c r="B630" s="638">
        <f t="shared" si="34"/>
        <v>22534</v>
      </c>
      <c r="C630" s="632">
        <v>12918</v>
      </c>
      <c r="D630" s="638"/>
      <c r="E630" s="638">
        <f t="shared" si="35"/>
        <v>4625</v>
      </c>
      <c r="F630" s="632">
        <v>1205</v>
      </c>
      <c r="G630" s="632">
        <v>495</v>
      </c>
      <c r="H630" s="638">
        <v>2925</v>
      </c>
      <c r="I630" s="638"/>
      <c r="J630" s="632">
        <v>0</v>
      </c>
      <c r="K630" s="632">
        <v>4285</v>
      </c>
      <c r="L630" s="632">
        <v>706</v>
      </c>
      <c r="Z630" s="600"/>
      <c r="AA630" s="600"/>
      <c r="AB630" s="600"/>
      <c r="AC630" s="600"/>
      <c r="AD630" s="600"/>
      <c r="AE630" s="600"/>
      <c r="AF630" s="600"/>
      <c r="AG630" s="600"/>
      <c r="AH630" s="600"/>
      <c r="AI630" s="600"/>
      <c r="AJ630" s="600"/>
    </row>
    <row r="631" spans="1:36" s="263" customFormat="1" ht="9" customHeight="1" x14ac:dyDescent="0.25">
      <c r="A631" s="603" t="s">
        <v>26</v>
      </c>
      <c r="B631" s="640">
        <f t="shared" si="34"/>
        <v>97116</v>
      </c>
      <c r="C631" s="634">
        <v>13686</v>
      </c>
      <c r="D631" s="640"/>
      <c r="E631" s="640">
        <f t="shared" si="35"/>
        <v>65008</v>
      </c>
      <c r="F631" s="634">
        <v>15288</v>
      </c>
      <c r="G631" s="634">
        <v>9468</v>
      </c>
      <c r="H631" s="640">
        <v>40252</v>
      </c>
      <c r="I631" s="640"/>
      <c r="J631" s="634">
        <v>2094</v>
      </c>
      <c r="K631" s="634">
        <v>14803</v>
      </c>
      <c r="L631" s="634">
        <v>1525</v>
      </c>
      <c r="Z631" s="600"/>
      <c r="AA631" s="600"/>
      <c r="AB631" s="600"/>
      <c r="AC631" s="600"/>
      <c r="AD631" s="600"/>
      <c r="AE631" s="600"/>
      <c r="AF631" s="600"/>
      <c r="AG631" s="600"/>
      <c r="AH631" s="600"/>
      <c r="AI631" s="600"/>
      <c r="AJ631" s="600"/>
    </row>
    <row r="632" spans="1:36" s="263" customFormat="1" ht="9" customHeight="1" x14ac:dyDescent="0.25">
      <c r="A632" s="550" t="s">
        <v>27</v>
      </c>
      <c r="B632" s="638">
        <f t="shared" si="34"/>
        <v>162923</v>
      </c>
      <c r="C632" s="632">
        <v>15023</v>
      </c>
      <c r="D632" s="638"/>
      <c r="E632" s="638">
        <f t="shared" si="35"/>
        <v>72849</v>
      </c>
      <c r="F632" s="632">
        <v>17336</v>
      </c>
      <c r="G632" s="632">
        <v>10914</v>
      </c>
      <c r="H632" s="638">
        <v>44599</v>
      </c>
      <c r="I632" s="638"/>
      <c r="J632" s="632">
        <v>94</v>
      </c>
      <c r="K632" s="632">
        <v>74648</v>
      </c>
      <c r="L632" s="632">
        <v>309</v>
      </c>
      <c r="Z632" s="600"/>
      <c r="AA632" s="600"/>
      <c r="AB632" s="600"/>
      <c r="AC632" s="600"/>
      <c r="AD632" s="600"/>
      <c r="AE632" s="600"/>
      <c r="AF632" s="600"/>
      <c r="AG632" s="600"/>
      <c r="AH632" s="600"/>
      <c r="AI632" s="600"/>
      <c r="AJ632" s="600"/>
    </row>
    <row r="633" spans="1:36" s="263" customFormat="1" ht="9" customHeight="1" x14ac:dyDescent="0.25">
      <c r="A633" s="550" t="s">
        <v>28</v>
      </c>
      <c r="B633" s="638">
        <f t="shared" si="34"/>
        <v>142516</v>
      </c>
      <c r="C633" s="632">
        <v>34293</v>
      </c>
      <c r="D633" s="638"/>
      <c r="E633" s="638">
        <f t="shared" si="35"/>
        <v>98297</v>
      </c>
      <c r="F633" s="632">
        <v>41585</v>
      </c>
      <c r="G633" s="632">
        <v>30405</v>
      </c>
      <c r="H633" s="638">
        <v>26307</v>
      </c>
      <c r="I633" s="638"/>
      <c r="J633" s="632">
        <v>251</v>
      </c>
      <c r="K633" s="632">
        <v>8976</v>
      </c>
      <c r="L633" s="632">
        <v>699</v>
      </c>
      <c r="Z633" s="600"/>
      <c r="AA633" s="600"/>
      <c r="AB633" s="600"/>
      <c r="AC633" s="600"/>
      <c r="AD633" s="600"/>
      <c r="AE633" s="600"/>
      <c r="AF633" s="600"/>
      <c r="AG633" s="600"/>
      <c r="AH633" s="600"/>
      <c r="AI633" s="600"/>
      <c r="AJ633" s="600"/>
    </row>
    <row r="634" spans="1:36" s="263" customFormat="1" ht="9" customHeight="1" x14ac:dyDescent="0.25">
      <c r="A634" s="550" t="s">
        <v>29</v>
      </c>
      <c r="B634" s="638">
        <f t="shared" si="34"/>
        <v>131848</v>
      </c>
      <c r="C634" s="632">
        <v>53742</v>
      </c>
      <c r="D634" s="638"/>
      <c r="E634" s="638">
        <f t="shared" si="35"/>
        <v>71361</v>
      </c>
      <c r="F634" s="632">
        <v>25773</v>
      </c>
      <c r="G634" s="632">
        <v>16703</v>
      </c>
      <c r="H634" s="638">
        <v>28885</v>
      </c>
      <c r="I634" s="638"/>
      <c r="J634" s="632">
        <v>28</v>
      </c>
      <c r="K634" s="632">
        <v>5876</v>
      </c>
      <c r="L634" s="632">
        <v>841</v>
      </c>
      <c r="Z634" s="600"/>
      <c r="AA634" s="600"/>
      <c r="AB634" s="600"/>
      <c r="AC634" s="600"/>
      <c r="AD634" s="600"/>
      <c r="AE634" s="600"/>
      <c r="AF634" s="600"/>
      <c r="AG634" s="600"/>
      <c r="AH634" s="600"/>
      <c r="AI634" s="600"/>
      <c r="AJ634" s="600"/>
    </row>
    <row r="635" spans="1:36" s="263" customFormat="1" ht="9" customHeight="1" x14ac:dyDescent="0.25">
      <c r="A635" s="603" t="s">
        <v>30</v>
      </c>
      <c r="B635" s="640">
        <f t="shared" si="34"/>
        <v>253770</v>
      </c>
      <c r="C635" s="634">
        <v>134483</v>
      </c>
      <c r="D635" s="640"/>
      <c r="E635" s="640">
        <f t="shared" si="35"/>
        <v>90369</v>
      </c>
      <c r="F635" s="634">
        <v>37128</v>
      </c>
      <c r="G635" s="634">
        <v>27880</v>
      </c>
      <c r="H635" s="640">
        <v>25361</v>
      </c>
      <c r="I635" s="640"/>
      <c r="J635" s="634">
        <v>3625</v>
      </c>
      <c r="K635" s="634">
        <v>22661</v>
      </c>
      <c r="L635" s="634">
        <v>2632</v>
      </c>
      <c r="Z635" s="600"/>
      <c r="AA635" s="600"/>
      <c r="AB635" s="600"/>
      <c r="AC635" s="600"/>
      <c r="AD635" s="600"/>
      <c r="AE635" s="600"/>
      <c r="AF635" s="600"/>
      <c r="AG635" s="600"/>
      <c r="AH635" s="600"/>
      <c r="AI635" s="600"/>
      <c r="AJ635" s="600"/>
    </row>
    <row r="636" spans="1:36" s="263" customFormat="1" ht="9" customHeight="1" x14ac:dyDescent="0.25">
      <c r="A636" s="550" t="s">
        <v>63</v>
      </c>
      <c r="B636" s="638">
        <f t="shared" si="34"/>
        <v>2596569</v>
      </c>
      <c r="C636" s="632">
        <v>648457</v>
      </c>
      <c r="D636" s="638"/>
      <c r="E636" s="638">
        <f t="shared" si="35"/>
        <v>1484039</v>
      </c>
      <c r="F636" s="632">
        <v>230990</v>
      </c>
      <c r="G636" s="632">
        <v>213407</v>
      </c>
      <c r="H636" s="638">
        <v>1039642</v>
      </c>
      <c r="I636" s="638"/>
      <c r="J636" s="632">
        <v>23548</v>
      </c>
      <c r="K636" s="632">
        <v>380350</v>
      </c>
      <c r="L636" s="632">
        <v>60175</v>
      </c>
      <c r="Z636" s="600"/>
      <c r="AA636" s="600"/>
      <c r="AB636" s="600"/>
      <c r="AC636" s="600"/>
      <c r="AD636" s="600"/>
      <c r="AE636" s="600"/>
      <c r="AF636" s="600"/>
      <c r="AG636" s="600"/>
      <c r="AH636" s="600"/>
      <c r="AI636" s="600"/>
      <c r="AJ636" s="600"/>
    </row>
    <row r="637" spans="1:36" s="263" customFormat="1" ht="9" customHeight="1" x14ac:dyDescent="0.25">
      <c r="A637" s="550" t="s">
        <v>31</v>
      </c>
      <c r="B637" s="638">
        <f t="shared" si="34"/>
        <v>42084</v>
      </c>
      <c r="C637" s="632">
        <v>15492</v>
      </c>
      <c r="D637" s="638"/>
      <c r="E637" s="638">
        <f t="shared" si="35"/>
        <v>23787</v>
      </c>
      <c r="F637" s="632">
        <v>6412</v>
      </c>
      <c r="G637" s="632">
        <v>2569</v>
      </c>
      <c r="H637" s="638">
        <v>14806</v>
      </c>
      <c r="I637" s="638"/>
      <c r="J637" s="632">
        <v>112</v>
      </c>
      <c r="K637" s="632">
        <v>2206</v>
      </c>
      <c r="L637" s="632">
        <v>487</v>
      </c>
      <c r="Z637" s="600"/>
      <c r="AA637" s="600"/>
      <c r="AB637" s="600"/>
      <c r="AC637" s="600"/>
      <c r="AD637" s="600"/>
      <c r="AE637" s="600"/>
      <c r="AF637" s="600"/>
      <c r="AG637" s="600"/>
      <c r="AH637" s="600"/>
      <c r="AI637" s="600"/>
      <c r="AJ637" s="600"/>
    </row>
    <row r="638" spans="1:36" s="263" customFormat="1" ht="9" customHeight="1" x14ac:dyDescent="0.25">
      <c r="A638" s="550" t="s">
        <v>32</v>
      </c>
      <c r="B638" s="638">
        <f t="shared" si="34"/>
        <v>510511</v>
      </c>
      <c r="C638" s="632">
        <v>195993</v>
      </c>
      <c r="D638" s="638"/>
      <c r="E638" s="638">
        <f t="shared" si="35"/>
        <v>224139</v>
      </c>
      <c r="F638" s="632">
        <v>72108</v>
      </c>
      <c r="G638" s="632">
        <v>60282</v>
      </c>
      <c r="H638" s="638">
        <v>91749</v>
      </c>
      <c r="I638" s="638"/>
      <c r="J638" s="632">
        <v>3217</v>
      </c>
      <c r="K638" s="632">
        <v>75920</v>
      </c>
      <c r="L638" s="632">
        <v>11242</v>
      </c>
      <c r="Z638" s="600"/>
      <c r="AA638" s="600"/>
      <c r="AB638" s="600"/>
      <c r="AC638" s="600"/>
      <c r="AD638" s="600"/>
      <c r="AE638" s="600"/>
      <c r="AF638" s="600"/>
      <c r="AG638" s="600"/>
      <c r="AH638" s="600"/>
      <c r="AI638" s="600"/>
      <c r="AJ638" s="600"/>
    </row>
    <row r="639" spans="1:36" s="263" customFormat="1" ht="9" customHeight="1" x14ac:dyDescent="0.25">
      <c r="A639" s="603" t="s">
        <v>33</v>
      </c>
      <c r="B639" s="640">
        <f t="shared" si="34"/>
        <v>167905</v>
      </c>
      <c r="C639" s="634">
        <v>74500</v>
      </c>
      <c r="D639" s="640"/>
      <c r="E639" s="640">
        <f t="shared" si="35"/>
        <v>83419</v>
      </c>
      <c r="F639" s="634">
        <v>27771</v>
      </c>
      <c r="G639" s="634">
        <v>18645</v>
      </c>
      <c r="H639" s="640">
        <v>37003</v>
      </c>
      <c r="I639" s="640"/>
      <c r="J639" s="634">
        <v>602</v>
      </c>
      <c r="K639" s="634">
        <v>7565</v>
      </c>
      <c r="L639" s="634">
        <v>1819</v>
      </c>
      <c r="Z639" s="600"/>
      <c r="AA639" s="600"/>
      <c r="AB639" s="600"/>
      <c r="AC639" s="600"/>
      <c r="AD639" s="600"/>
      <c r="AE639" s="600"/>
      <c r="AF639" s="600"/>
      <c r="AG639" s="600"/>
      <c r="AH639" s="600"/>
      <c r="AI639" s="600"/>
      <c r="AJ639" s="600"/>
    </row>
    <row r="640" spans="1:36" s="263" customFormat="1" ht="9" customHeight="1" x14ac:dyDescent="0.25">
      <c r="A640" s="550" t="s">
        <v>34</v>
      </c>
      <c r="B640" s="638">
        <f t="shared" si="34"/>
        <v>270698</v>
      </c>
      <c r="C640" s="632">
        <v>124798</v>
      </c>
      <c r="D640" s="638"/>
      <c r="E640" s="638">
        <f t="shared" si="35"/>
        <v>115154</v>
      </c>
      <c r="F640" s="632">
        <v>31144</v>
      </c>
      <c r="G640" s="632">
        <v>29910</v>
      </c>
      <c r="H640" s="638">
        <v>54100</v>
      </c>
      <c r="I640" s="638"/>
      <c r="J640" s="632">
        <v>2217</v>
      </c>
      <c r="K640" s="632">
        <v>15056</v>
      </c>
      <c r="L640" s="632">
        <v>13473</v>
      </c>
      <c r="Z640" s="600"/>
      <c r="AA640" s="600"/>
      <c r="AB640" s="600"/>
      <c r="AC640" s="600"/>
      <c r="AD640" s="600"/>
      <c r="AE640" s="600"/>
      <c r="AF640" s="600"/>
      <c r="AG640" s="600"/>
      <c r="AH640" s="600"/>
      <c r="AI640" s="600"/>
      <c r="AJ640" s="600"/>
    </row>
    <row r="641" spans="1:36" s="263" customFormat="1" ht="9" customHeight="1" x14ac:dyDescent="0.25">
      <c r="A641" s="550" t="s">
        <v>35</v>
      </c>
      <c r="B641" s="638">
        <f t="shared" si="34"/>
        <v>1007299</v>
      </c>
      <c r="C641" s="632">
        <v>271725</v>
      </c>
      <c r="D641" s="638"/>
      <c r="E641" s="638">
        <f t="shared" si="35"/>
        <v>580061</v>
      </c>
      <c r="F641" s="632">
        <v>170049</v>
      </c>
      <c r="G641" s="632">
        <v>105204</v>
      </c>
      <c r="H641" s="638">
        <v>304808</v>
      </c>
      <c r="I641" s="638"/>
      <c r="J641" s="632">
        <v>3247</v>
      </c>
      <c r="K641" s="632">
        <v>147056</v>
      </c>
      <c r="L641" s="632">
        <v>5210</v>
      </c>
      <c r="Z641" s="600"/>
      <c r="AA641" s="600"/>
      <c r="AB641" s="600"/>
      <c r="AC641" s="600"/>
      <c r="AD641" s="600"/>
      <c r="AE641" s="600"/>
      <c r="AF641" s="600"/>
      <c r="AG641" s="600"/>
      <c r="AH641" s="600"/>
      <c r="AI641" s="600"/>
      <c r="AJ641" s="600"/>
    </row>
    <row r="642" spans="1:36" s="263" customFormat="1" ht="9" customHeight="1" x14ac:dyDescent="0.25">
      <c r="A642" s="550" t="s">
        <v>36</v>
      </c>
      <c r="B642" s="638">
        <f t="shared" si="34"/>
        <v>1778915</v>
      </c>
      <c r="C642" s="632">
        <v>878677</v>
      </c>
      <c r="D642" s="638"/>
      <c r="E642" s="638">
        <f t="shared" si="35"/>
        <v>714731</v>
      </c>
      <c r="F642" s="632">
        <v>258027</v>
      </c>
      <c r="G642" s="632">
        <v>213271</v>
      </c>
      <c r="H642" s="638">
        <v>243433</v>
      </c>
      <c r="I642" s="638"/>
      <c r="J642" s="632">
        <v>35197</v>
      </c>
      <c r="K642" s="632">
        <v>121962</v>
      </c>
      <c r="L642" s="632">
        <v>28348</v>
      </c>
      <c r="Z642" s="600"/>
      <c r="AA642" s="600"/>
      <c r="AB642" s="600"/>
      <c r="AC642" s="600"/>
      <c r="AD642" s="600"/>
      <c r="AE642" s="600"/>
      <c r="AF642" s="600"/>
      <c r="AG642" s="600"/>
      <c r="AH642" s="600"/>
      <c r="AI642" s="600"/>
      <c r="AJ642" s="600"/>
    </row>
    <row r="643" spans="1:36" s="263" customFormat="1" ht="9" customHeight="1" x14ac:dyDescent="0.25">
      <c r="A643" s="603" t="s">
        <v>37</v>
      </c>
      <c r="B643" s="640">
        <f t="shared" si="34"/>
        <v>398853</v>
      </c>
      <c r="C643" s="634">
        <v>172071</v>
      </c>
      <c r="D643" s="640"/>
      <c r="E643" s="640">
        <f t="shared" si="35"/>
        <v>196447</v>
      </c>
      <c r="F643" s="634">
        <v>61804</v>
      </c>
      <c r="G643" s="634">
        <v>42094</v>
      </c>
      <c r="H643" s="640">
        <v>92549</v>
      </c>
      <c r="I643" s="640"/>
      <c r="J643" s="634">
        <v>1578</v>
      </c>
      <c r="K643" s="634">
        <v>26586</v>
      </c>
      <c r="L643" s="634">
        <v>2171</v>
      </c>
      <c r="Z643" s="600"/>
      <c r="AA643" s="600"/>
      <c r="AB643" s="600"/>
      <c r="AC643" s="600"/>
      <c r="AD643" s="600"/>
      <c r="AE643" s="600"/>
      <c r="AF643" s="600"/>
      <c r="AG643" s="600"/>
      <c r="AH643" s="600"/>
      <c r="AI643" s="600"/>
      <c r="AJ643" s="600"/>
    </row>
    <row r="644" spans="1:36" s="263" customFormat="1" ht="9" customHeight="1" x14ac:dyDescent="0.25">
      <c r="A644" s="550" t="s">
        <v>38</v>
      </c>
      <c r="B644" s="638">
        <f t="shared" si="34"/>
        <v>87557</v>
      </c>
      <c r="C644" s="632">
        <v>44384</v>
      </c>
      <c r="D644" s="638"/>
      <c r="E644" s="638">
        <f t="shared" si="35"/>
        <v>36205</v>
      </c>
      <c r="F644" s="632">
        <v>15254</v>
      </c>
      <c r="G644" s="632">
        <v>7262</v>
      </c>
      <c r="H644" s="638">
        <v>13689</v>
      </c>
      <c r="I644" s="638"/>
      <c r="J644" s="632">
        <v>117</v>
      </c>
      <c r="K644" s="632">
        <v>6172</v>
      </c>
      <c r="L644" s="632">
        <v>679</v>
      </c>
      <c r="Z644" s="600"/>
      <c r="AA644" s="600"/>
      <c r="AB644" s="600"/>
      <c r="AC644" s="600"/>
      <c r="AD644" s="600"/>
      <c r="AE644" s="600"/>
      <c r="AF644" s="600"/>
      <c r="AG644" s="600"/>
      <c r="AH644" s="600"/>
      <c r="AI644" s="600"/>
      <c r="AJ644" s="600"/>
    </row>
    <row r="645" spans="1:36" s="263" customFormat="1" ht="9" customHeight="1" x14ac:dyDescent="0.25">
      <c r="A645" s="550" t="s">
        <v>39</v>
      </c>
      <c r="B645" s="638">
        <f t="shared" si="34"/>
        <v>14162</v>
      </c>
      <c r="C645" s="632">
        <v>5421</v>
      </c>
      <c r="D645" s="638"/>
      <c r="E645" s="638">
        <f t="shared" si="35"/>
        <v>8422</v>
      </c>
      <c r="F645" s="632">
        <v>2828</v>
      </c>
      <c r="G645" s="632">
        <v>2226</v>
      </c>
      <c r="H645" s="638">
        <v>3368</v>
      </c>
      <c r="I645" s="638"/>
      <c r="J645" s="632">
        <v>0</v>
      </c>
      <c r="K645" s="632">
        <v>313</v>
      </c>
      <c r="L645" s="632">
        <v>6</v>
      </c>
      <c r="Z645" s="600"/>
      <c r="AA645" s="600"/>
      <c r="AB645" s="600"/>
      <c r="AC645" s="600"/>
      <c r="AD645" s="600"/>
      <c r="AE645" s="600"/>
      <c r="AF645" s="600"/>
      <c r="AG645" s="600"/>
      <c r="AH645" s="600"/>
      <c r="AI645" s="600"/>
      <c r="AJ645" s="600"/>
    </row>
    <row r="646" spans="1:36" s="263" customFormat="1" ht="9" customHeight="1" x14ac:dyDescent="0.25">
      <c r="A646" s="550" t="s">
        <v>40</v>
      </c>
      <c r="B646" s="638">
        <f t="shared" si="34"/>
        <v>1377123</v>
      </c>
      <c r="C646" s="632">
        <v>339666</v>
      </c>
      <c r="D646" s="638"/>
      <c r="E646" s="638">
        <f t="shared" si="35"/>
        <v>707147</v>
      </c>
      <c r="F646" s="632">
        <v>146312</v>
      </c>
      <c r="G646" s="632">
        <v>178531</v>
      </c>
      <c r="H646" s="638">
        <v>382304</v>
      </c>
      <c r="I646" s="638"/>
      <c r="J646" s="632">
        <v>22009</v>
      </c>
      <c r="K646" s="632">
        <v>246621</v>
      </c>
      <c r="L646" s="632">
        <v>61680</v>
      </c>
      <c r="Z646" s="600"/>
      <c r="AA646" s="600"/>
      <c r="AB646" s="600"/>
      <c r="AC646" s="600"/>
      <c r="AD646" s="600"/>
      <c r="AE646" s="600"/>
      <c r="AF646" s="600"/>
      <c r="AG646" s="600"/>
      <c r="AH646" s="600"/>
      <c r="AI646" s="600"/>
      <c r="AJ646" s="600"/>
    </row>
    <row r="647" spans="1:36" s="263" customFormat="1" ht="9" customHeight="1" x14ac:dyDescent="0.25">
      <c r="A647" s="603" t="s">
        <v>41</v>
      </c>
      <c r="B647" s="640">
        <f t="shared" si="34"/>
        <v>290622</v>
      </c>
      <c r="C647" s="634">
        <v>124228</v>
      </c>
      <c r="D647" s="640"/>
      <c r="E647" s="640">
        <f t="shared" si="35"/>
        <v>141687</v>
      </c>
      <c r="F647" s="634">
        <v>47983</v>
      </c>
      <c r="G647" s="634">
        <v>26930</v>
      </c>
      <c r="H647" s="640">
        <v>66774</v>
      </c>
      <c r="I647" s="640"/>
      <c r="J647" s="634">
        <v>3812</v>
      </c>
      <c r="K647" s="634">
        <v>11212</v>
      </c>
      <c r="L647" s="634">
        <v>9683</v>
      </c>
      <c r="Z647" s="600"/>
      <c r="AA647" s="600"/>
      <c r="AB647" s="600"/>
      <c r="AC647" s="600"/>
      <c r="AD647" s="600"/>
      <c r="AE647" s="600"/>
      <c r="AF647" s="600"/>
      <c r="AG647" s="600"/>
      <c r="AH647" s="600"/>
      <c r="AI647" s="600"/>
      <c r="AJ647" s="600"/>
    </row>
    <row r="648" spans="1:36" s="263" customFormat="1" ht="9" customHeight="1" x14ac:dyDescent="0.25">
      <c r="A648" s="550" t="s">
        <v>42</v>
      </c>
      <c r="B648" s="638">
        <f t="shared" si="34"/>
        <v>278443</v>
      </c>
      <c r="C648" s="632">
        <v>95908</v>
      </c>
      <c r="D648" s="638"/>
      <c r="E648" s="638">
        <f t="shared" si="35"/>
        <v>137729</v>
      </c>
      <c r="F648" s="632">
        <v>57400</v>
      </c>
      <c r="G648" s="632">
        <v>25597</v>
      </c>
      <c r="H648" s="638">
        <v>54732</v>
      </c>
      <c r="I648" s="638"/>
      <c r="J648" s="632">
        <v>1748</v>
      </c>
      <c r="K648" s="632">
        <v>39415</v>
      </c>
      <c r="L648" s="632">
        <v>3643</v>
      </c>
      <c r="Z648" s="600"/>
      <c r="AA648" s="600"/>
      <c r="AB648" s="600"/>
      <c r="AC648" s="600"/>
      <c r="AD648" s="600"/>
      <c r="AE648" s="600"/>
      <c r="AF648" s="600"/>
      <c r="AG648" s="600"/>
      <c r="AH648" s="600"/>
      <c r="AI648" s="600"/>
      <c r="AJ648" s="600"/>
    </row>
    <row r="649" spans="1:36" s="263" customFormat="1" ht="9" customHeight="1" x14ac:dyDescent="0.25">
      <c r="A649" s="550" t="s">
        <v>43</v>
      </c>
      <c r="B649" s="638">
        <f t="shared" si="34"/>
        <v>232548</v>
      </c>
      <c r="C649" s="632">
        <v>101530</v>
      </c>
      <c r="D649" s="638"/>
      <c r="E649" s="638">
        <f t="shared" si="35"/>
        <v>93550</v>
      </c>
      <c r="F649" s="632">
        <v>24595</v>
      </c>
      <c r="G649" s="632">
        <v>17141</v>
      </c>
      <c r="H649" s="638">
        <v>51814</v>
      </c>
      <c r="I649" s="638"/>
      <c r="J649" s="632">
        <v>1745</v>
      </c>
      <c r="K649" s="632">
        <v>30348</v>
      </c>
      <c r="L649" s="632">
        <v>5375</v>
      </c>
      <c r="Z649" s="600"/>
      <c r="AA649" s="600"/>
      <c r="AB649" s="600"/>
      <c r="AC649" s="600"/>
      <c r="AD649" s="600"/>
      <c r="AE649" s="600"/>
      <c r="AF649" s="600"/>
      <c r="AG649" s="600"/>
      <c r="AH649" s="600"/>
      <c r="AI649" s="600"/>
      <c r="AJ649" s="600"/>
    </row>
    <row r="650" spans="1:36" s="263" customFormat="1" ht="9" customHeight="1" x14ac:dyDescent="0.25">
      <c r="A650" s="550" t="s">
        <v>44</v>
      </c>
      <c r="B650" s="638">
        <f t="shared" si="34"/>
        <v>143296</v>
      </c>
      <c r="C650" s="632">
        <v>37821</v>
      </c>
      <c r="D650" s="638"/>
      <c r="E650" s="638">
        <f t="shared" si="35"/>
        <v>85463</v>
      </c>
      <c r="F650" s="632">
        <v>34161</v>
      </c>
      <c r="G650" s="632">
        <v>17026</v>
      </c>
      <c r="H650" s="638">
        <v>34276</v>
      </c>
      <c r="I650" s="638"/>
      <c r="J650" s="632">
        <v>109</v>
      </c>
      <c r="K650" s="632">
        <v>15372</v>
      </c>
      <c r="L650" s="632">
        <v>4531</v>
      </c>
      <c r="Z650" s="600"/>
      <c r="AA650" s="600"/>
      <c r="AB650" s="600"/>
      <c r="AC650" s="600"/>
      <c r="AD650" s="600"/>
      <c r="AE650" s="600"/>
      <c r="AF650" s="600"/>
      <c r="AG650" s="600"/>
      <c r="AH650" s="600"/>
      <c r="AI650" s="600"/>
      <c r="AJ650" s="600"/>
    </row>
    <row r="651" spans="1:36" s="263" customFormat="1" ht="9" customHeight="1" x14ac:dyDescent="0.25">
      <c r="A651" s="603" t="s">
        <v>45</v>
      </c>
      <c r="B651" s="640">
        <f t="shared" si="34"/>
        <v>128334</v>
      </c>
      <c r="C651" s="634">
        <v>47399</v>
      </c>
      <c r="D651" s="640"/>
      <c r="E651" s="640">
        <f t="shared" si="35"/>
        <v>42878</v>
      </c>
      <c r="F651" s="634">
        <v>15545</v>
      </c>
      <c r="G651" s="634">
        <v>10155</v>
      </c>
      <c r="H651" s="640">
        <v>17178</v>
      </c>
      <c r="I651" s="640"/>
      <c r="J651" s="634">
        <v>1420</v>
      </c>
      <c r="K651" s="634">
        <v>35896</v>
      </c>
      <c r="L651" s="634">
        <v>741</v>
      </c>
      <c r="Z651" s="600"/>
      <c r="AA651" s="600"/>
      <c r="AB651" s="600"/>
      <c r="AC651" s="600"/>
      <c r="AD651" s="600"/>
      <c r="AE651" s="600"/>
      <c r="AF651" s="600"/>
      <c r="AG651" s="600"/>
      <c r="AH651" s="600"/>
      <c r="AI651" s="600"/>
      <c r="AJ651" s="600"/>
    </row>
    <row r="652" spans="1:36" s="263" customFormat="1" ht="9" customHeight="1" x14ac:dyDescent="0.25">
      <c r="A652" s="550" t="s">
        <v>46</v>
      </c>
      <c r="B652" s="638">
        <f t="shared" si="34"/>
        <v>158370</v>
      </c>
      <c r="C652" s="632">
        <v>40169</v>
      </c>
      <c r="D652" s="638"/>
      <c r="E652" s="638">
        <f t="shared" si="35"/>
        <v>100984</v>
      </c>
      <c r="F652" s="632">
        <v>36103</v>
      </c>
      <c r="G652" s="632">
        <v>21700</v>
      </c>
      <c r="H652" s="638">
        <v>43181</v>
      </c>
      <c r="I652" s="638"/>
      <c r="J652" s="632">
        <v>1980</v>
      </c>
      <c r="K652" s="632">
        <v>14401</v>
      </c>
      <c r="L652" s="632">
        <v>836</v>
      </c>
      <c r="Z652" s="600"/>
      <c r="AA652" s="600"/>
      <c r="AB652" s="600"/>
      <c r="AC652" s="600"/>
      <c r="AD652" s="600"/>
      <c r="AE652" s="600"/>
      <c r="AF652" s="600"/>
      <c r="AG652" s="600"/>
      <c r="AH652" s="600"/>
      <c r="AI652" s="600"/>
      <c r="AJ652" s="600"/>
    </row>
    <row r="653" spans="1:36" s="263" customFormat="1" ht="9" customHeight="1" x14ac:dyDescent="0.25">
      <c r="A653" s="550" t="s">
        <v>47</v>
      </c>
      <c r="B653" s="638">
        <f t="shared" si="34"/>
        <v>320387</v>
      </c>
      <c r="C653" s="632">
        <v>92189</v>
      </c>
      <c r="D653" s="638"/>
      <c r="E653" s="638">
        <f t="shared" si="35"/>
        <v>140940</v>
      </c>
      <c r="F653" s="632">
        <v>30093</v>
      </c>
      <c r="G653" s="632">
        <v>25565</v>
      </c>
      <c r="H653" s="638">
        <v>85282</v>
      </c>
      <c r="I653" s="638"/>
      <c r="J653" s="632">
        <v>3383</v>
      </c>
      <c r="K653" s="632">
        <v>78541</v>
      </c>
      <c r="L653" s="632">
        <v>5334</v>
      </c>
      <c r="Z653" s="600"/>
      <c r="AA653" s="600"/>
      <c r="AB653" s="600"/>
      <c r="AC653" s="600"/>
      <c r="AD653" s="600"/>
      <c r="AE653" s="600"/>
      <c r="AF653" s="600"/>
      <c r="AG653" s="600"/>
      <c r="AH653" s="600"/>
      <c r="AI653" s="600"/>
      <c r="AJ653" s="600"/>
    </row>
    <row r="654" spans="1:36" s="263" customFormat="1" ht="9" customHeight="1" x14ac:dyDescent="0.25">
      <c r="A654" s="550" t="s">
        <v>48</v>
      </c>
      <c r="B654" s="638">
        <f t="shared" si="34"/>
        <v>141574</v>
      </c>
      <c r="C654" s="632">
        <v>34846</v>
      </c>
      <c r="D654" s="638"/>
      <c r="E654" s="638">
        <f t="shared" si="35"/>
        <v>69727</v>
      </c>
      <c r="F654" s="632">
        <v>17114</v>
      </c>
      <c r="G654" s="632">
        <v>11918</v>
      </c>
      <c r="H654" s="638">
        <v>40695</v>
      </c>
      <c r="I654" s="638"/>
      <c r="J654" s="632">
        <v>371</v>
      </c>
      <c r="K654" s="632">
        <v>36597</v>
      </c>
      <c r="L654" s="632">
        <v>33</v>
      </c>
      <c r="Z654" s="600"/>
      <c r="AA654" s="600"/>
      <c r="AB654" s="600"/>
      <c r="AC654" s="600"/>
      <c r="AD654" s="600"/>
      <c r="AE654" s="600"/>
      <c r="AF654" s="600"/>
      <c r="AG654" s="600"/>
      <c r="AH654" s="600"/>
      <c r="AI654" s="600"/>
      <c r="AJ654" s="600"/>
    </row>
    <row r="655" spans="1:36" s="263" customFormat="1" ht="9" customHeight="1" x14ac:dyDescent="0.25">
      <c r="A655" s="603" t="s">
        <v>49</v>
      </c>
      <c r="B655" s="640">
        <f t="shared" si="34"/>
        <v>298318</v>
      </c>
      <c r="C655" s="634">
        <v>71960</v>
      </c>
      <c r="D655" s="640"/>
      <c r="E655" s="640">
        <f t="shared" si="35"/>
        <v>193020</v>
      </c>
      <c r="F655" s="634">
        <v>27889</v>
      </c>
      <c r="G655" s="634">
        <v>23550</v>
      </c>
      <c r="H655" s="640">
        <v>141581</v>
      </c>
      <c r="I655" s="640"/>
      <c r="J655" s="634">
        <v>3840</v>
      </c>
      <c r="K655" s="634">
        <v>22155</v>
      </c>
      <c r="L655" s="634">
        <v>7343</v>
      </c>
      <c r="Z655" s="600"/>
      <c r="AA655" s="600"/>
      <c r="AB655" s="600"/>
      <c r="AC655" s="600"/>
      <c r="AD655" s="600"/>
      <c r="AE655" s="600"/>
      <c r="AF655" s="600"/>
      <c r="AG655" s="600"/>
      <c r="AH655" s="600"/>
      <c r="AI655" s="600"/>
      <c r="AJ655" s="600"/>
    </row>
    <row r="656" spans="1:36" s="263" customFormat="1" ht="9" customHeight="1" x14ac:dyDescent="0.25">
      <c r="A656" s="550" t="s">
        <v>50</v>
      </c>
      <c r="B656" s="638">
        <f t="shared" si="34"/>
        <v>86594</v>
      </c>
      <c r="C656" s="632">
        <v>48918</v>
      </c>
      <c r="D656" s="638"/>
      <c r="E656" s="638">
        <f t="shared" si="35"/>
        <v>34679</v>
      </c>
      <c r="F656" s="632">
        <v>11920</v>
      </c>
      <c r="G656" s="632">
        <v>12056</v>
      </c>
      <c r="H656" s="638">
        <v>10703</v>
      </c>
      <c r="I656" s="638"/>
      <c r="J656" s="632">
        <v>537</v>
      </c>
      <c r="K656" s="632">
        <v>2143</v>
      </c>
      <c r="L656" s="632">
        <v>317</v>
      </c>
      <c r="Z656" s="600"/>
      <c r="AA656" s="600"/>
      <c r="AB656" s="600"/>
      <c r="AC656" s="600"/>
      <c r="AD656" s="600"/>
      <c r="AE656" s="600"/>
      <c r="AF656" s="600"/>
      <c r="AG656" s="600"/>
      <c r="AH656" s="600"/>
      <c r="AI656" s="600"/>
      <c r="AJ656" s="600"/>
    </row>
    <row r="657" spans="1:36" s="263" customFormat="1" ht="9" customHeight="1" x14ac:dyDescent="0.25">
      <c r="A657" s="550" t="s">
        <v>51</v>
      </c>
      <c r="B657" s="638">
        <f t="shared" si="34"/>
        <v>407878</v>
      </c>
      <c r="C657" s="632">
        <v>172803</v>
      </c>
      <c r="D657" s="638"/>
      <c r="E657" s="638">
        <f t="shared" si="35"/>
        <v>181192</v>
      </c>
      <c r="F657" s="632">
        <v>73762</v>
      </c>
      <c r="G657" s="632">
        <v>31071</v>
      </c>
      <c r="H657" s="638">
        <v>76359</v>
      </c>
      <c r="I657" s="638"/>
      <c r="J657" s="632">
        <v>1666</v>
      </c>
      <c r="K657" s="632">
        <v>46815</v>
      </c>
      <c r="L657" s="632">
        <v>5402</v>
      </c>
      <c r="Z657" s="600"/>
      <c r="AA657" s="600"/>
      <c r="AB657" s="600"/>
      <c r="AC657" s="600"/>
      <c r="AD657" s="600"/>
      <c r="AE657" s="600"/>
      <c r="AF657" s="600"/>
      <c r="AG657" s="600"/>
      <c r="AH657" s="600"/>
      <c r="AI657" s="600"/>
      <c r="AJ657" s="600"/>
    </row>
    <row r="658" spans="1:36" s="263" customFormat="1" ht="9" customHeight="1" x14ac:dyDescent="0.25">
      <c r="A658" s="550" t="s">
        <v>52</v>
      </c>
      <c r="B658" s="638">
        <f t="shared" si="34"/>
        <v>126836</v>
      </c>
      <c r="C658" s="632">
        <v>29826</v>
      </c>
      <c r="D658" s="638"/>
      <c r="E658" s="638">
        <f t="shared" si="35"/>
        <v>50865</v>
      </c>
      <c r="F658" s="632">
        <v>18283</v>
      </c>
      <c r="G658" s="632">
        <v>10202</v>
      </c>
      <c r="H658" s="638">
        <v>22380</v>
      </c>
      <c r="I658" s="638"/>
      <c r="J658" s="632">
        <v>0</v>
      </c>
      <c r="K658" s="632">
        <v>45427</v>
      </c>
      <c r="L658" s="632">
        <v>718</v>
      </c>
      <c r="Z658" s="600"/>
      <c r="AA658" s="600"/>
      <c r="AB658" s="600"/>
      <c r="AC658" s="600"/>
      <c r="AD658" s="600"/>
      <c r="AE658" s="600"/>
      <c r="AF658" s="600"/>
      <c r="AG658" s="600"/>
      <c r="AH658" s="600"/>
      <c r="AI658" s="600"/>
      <c r="AJ658" s="600"/>
    </row>
    <row r="659" spans="1:36" s="263" customFormat="1" ht="11.25" customHeight="1" x14ac:dyDescent="0.25">
      <c r="A659" s="267" t="s">
        <v>53</v>
      </c>
      <c r="B659" s="599">
        <f t="shared" si="34"/>
        <v>58683</v>
      </c>
      <c r="C659" s="604">
        <v>19696</v>
      </c>
      <c r="D659" s="599"/>
      <c r="E659" s="599">
        <f t="shared" si="35"/>
        <v>33847</v>
      </c>
      <c r="F659" s="604">
        <v>11801</v>
      </c>
      <c r="G659" s="604">
        <v>5342</v>
      </c>
      <c r="H659" s="599">
        <v>16704</v>
      </c>
      <c r="I659" s="599"/>
      <c r="J659" s="604">
        <v>160</v>
      </c>
      <c r="K659" s="604">
        <v>4759</v>
      </c>
      <c r="L659" s="604">
        <v>221</v>
      </c>
      <c r="Z659" s="600"/>
      <c r="AA659" s="600"/>
      <c r="AB659" s="600"/>
      <c r="AC659" s="600"/>
      <c r="AD659" s="600"/>
      <c r="AE659" s="600"/>
      <c r="AF659" s="600"/>
      <c r="AG659" s="600"/>
      <c r="AH659" s="600"/>
      <c r="AI659" s="600"/>
      <c r="AJ659" s="600"/>
    </row>
    <row r="660" spans="1:36" s="263" customFormat="1" ht="9" customHeight="1" x14ac:dyDescent="0.25">
      <c r="A660" s="286"/>
      <c r="B660" s="613"/>
      <c r="C660" s="605"/>
      <c r="D660" s="613"/>
      <c r="E660" s="613"/>
      <c r="F660" s="605"/>
      <c r="G660" s="605"/>
      <c r="H660" s="613"/>
      <c r="I660" s="613"/>
      <c r="J660" s="605"/>
      <c r="K660" s="605"/>
      <c r="L660" s="605"/>
      <c r="M660" s="286"/>
      <c r="Z660" s="600"/>
      <c r="AA660" s="600"/>
      <c r="AB660" s="600"/>
      <c r="AC660" s="600"/>
      <c r="AD660" s="600"/>
      <c r="AE660" s="600"/>
      <c r="AF660" s="600"/>
      <c r="AG660" s="600"/>
      <c r="AH660" s="600"/>
      <c r="AI660" s="600"/>
      <c r="AJ660" s="600"/>
    </row>
    <row r="661" spans="1:36" s="263" customFormat="1" ht="9" customHeight="1" x14ac:dyDescent="0.25">
      <c r="A661" s="601">
        <v>2013</v>
      </c>
      <c r="B661" s="597"/>
      <c r="C661" s="597"/>
      <c r="D661" s="597"/>
      <c r="E661" s="597"/>
      <c r="F661" s="597"/>
      <c r="G661" s="597"/>
      <c r="H661" s="597"/>
      <c r="I661" s="597"/>
      <c r="J661" s="597"/>
      <c r="K661" s="597"/>
      <c r="L661" s="597"/>
      <c r="Z661" s="600"/>
      <c r="AA661" s="600"/>
      <c r="AB661" s="600"/>
      <c r="AC661" s="600"/>
      <c r="AD661" s="600"/>
      <c r="AE661" s="600"/>
      <c r="AF661" s="600"/>
      <c r="AG661" s="600"/>
      <c r="AH661" s="600"/>
      <c r="AI661" s="600"/>
      <c r="AJ661" s="600"/>
    </row>
    <row r="662" spans="1:36" s="263" customFormat="1" ht="9" customHeight="1" x14ac:dyDescent="0.25">
      <c r="A662" s="265" t="s">
        <v>21</v>
      </c>
      <c r="B662" s="597">
        <f>SUM(B664:B695)</f>
        <v>12288820</v>
      </c>
      <c r="C662" s="597">
        <f>SUM(C664:C695)</f>
        <v>4465739</v>
      </c>
      <c r="D662" s="597"/>
      <c r="E662" s="597">
        <f>SUM(E664:E695)</f>
        <v>5862094</v>
      </c>
      <c r="F662" s="597">
        <f>SUM(F664:F695)</f>
        <v>1587783</v>
      </c>
      <c r="G662" s="597">
        <f>SUM(G664:G695)</f>
        <v>1235747</v>
      </c>
      <c r="H662" s="597">
        <f>SUM(H664:H695)</f>
        <v>3038564</v>
      </c>
      <c r="I662" s="597"/>
      <c r="J662" s="597">
        <f>SUM(J664:J695)</f>
        <v>100574</v>
      </c>
      <c r="K662" s="597">
        <f>SUM(K664:K695)</f>
        <v>1620944</v>
      </c>
      <c r="L662" s="597">
        <f>SUM(L664:L695)</f>
        <v>239469</v>
      </c>
      <c r="Z662" s="600"/>
      <c r="AA662" s="600"/>
      <c r="AB662" s="600"/>
      <c r="AC662" s="600"/>
      <c r="AD662" s="600"/>
      <c r="AE662" s="600"/>
      <c r="AF662" s="600"/>
      <c r="AG662" s="600"/>
      <c r="AH662" s="600"/>
      <c r="AI662" s="600"/>
      <c r="AJ662" s="600"/>
    </row>
    <row r="663" spans="1:36" s="263" customFormat="1" ht="3.95" customHeight="1" x14ac:dyDescent="0.25">
      <c r="A663" s="265"/>
      <c r="B663" s="597"/>
      <c r="C663" s="597"/>
      <c r="D663" s="597"/>
      <c r="E663" s="597"/>
      <c r="F663" s="597"/>
      <c r="G663" s="597"/>
      <c r="H663" s="597"/>
      <c r="I663" s="597"/>
      <c r="J663" s="597"/>
      <c r="K663" s="597"/>
      <c r="L663" s="597"/>
      <c r="Z663" s="600"/>
      <c r="AA663" s="600"/>
      <c r="AB663" s="600"/>
      <c r="AC663" s="600"/>
      <c r="AD663" s="600"/>
      <c r="AE663" s="600"/>
      <c r="AF663" s="600"/>
      <c r="AG663" s="600"/>
      <c r="AH663" s="600"/>
      <c r="AI663" s="600"/>
      <c r="AJ663" s="600"/>
    </row>
    <row r="664" spans="1:36" s="263" customFormat="1" ht="9" customHeight="1" x14ac:dyDescent="0.25">
      <c r="A664" s="550" t="s">
        <v>23</v>
      </c>
      <c r="B664" s="638">
        <f t="shared" ref="B664:B695" si="36">SUM(C664+E664+J664+K664+L664)</f>
        <v>8605</v>
      </c>
      <c r="C664" s="632">
        <v>2521</v>
      </c>
      <c r="D664" s="638"/>
      <c r="E664" s="638">
        <f>SUM(F664:H664)</f>
        <v>5507</v>
      </c>
      <c r="F664" s="632">
        <v>2028</v>
      </c>
      <c r="G664" s="632">
        <v>407</v>
      </c>
      <c r="H664" s="638">
        <v>3072</v>
      </c>
      <c r="I664" s="638"/>
      <c r="J664" s="632">
        <v>0</v>
      </c>
      <c r="K664" s="632">
        <v>577</v>
      </c>
      <c r="L664" s="632">
        <v>0</v>
      </c>
      <c r="Z664" s="600"/>
      <c r="AA664" s="600"/>
      <c r="AB664" s="600"/>
      <c r="AC664" s="600"/>
      <c r="AD664" s="600"/>
      <c r="AE664" s="600"/>
      <c r="AF664" s="600"/>
      <c r="AG664" s="600"/>
      <c r="AH664" s="600"/>
      <c r="AI664" s="600"/>
      <c r="AJ664" s="600"/>
    </row>
    <row r="665" spans="1:36" s="263" customFormat="1" ht="9" customHeight="1" x14ac:dyDescent="0.25">
      <c r="A665" s="550" t="s">
        <v>24</v>
      </c>
      <c r="B665" s="638">
        <f t="shared" si="36"/>
        <v>557075</v>
      </c>
      <c r="C665" s="638">
        <v>268840</v>
      </c>
      <c r="D665" s="638"/>
      <c r="E665" s="638">
        <f t="shared" ref="E665:E695" si="37">SUM(F665:H665)</f>
        <v>224951</v>
      </c>
      <c r="F665" s="638">
        <v>74804</v>
      </c>
      <c r="G665" s="638">
        <v>60644</v>
      </c>
      <c r="H665" s="638">
        <v>89503</v>
      </c>
      <c r="I665" s="638"/>
      <c r="J665" s="638">
        <v>1831</v>
      </c>
      <c r="K665" s="638">
        <v>56719</v>
      </c>
      <c r="L665" s="638">
        <v>4734</v>
      </c>
      <c r="Z665" s="600"/>
      <c r="AA665" s="600"/>
      <c r="AB665" s="600"/>
      <c r="AC665" s="600"/>
      <c r="AD665" s="600"/>
      <c r="AE665" s="600"/>
      <c r="AF665" s="600"/>
      <c r="AG665" s="600"/>
      <c r="AH665" s="600"/>
      <c r="AI665" s="600"/>
      <c r="AJ665" s="600"/>
    </row>
    <row r="666" spans="1:36" s="263" customFormat="1" ht="9" customHeight="1" x14ac:dyDescent="0.25">
      <c r="A666" s="550" t="s">
        <v>25</v>
      </c>
      <c r="B666" s="638">
        <f t="shared" si="36"/>
        <v>28139</v>
      </c>
      <c r="C666" s="632">
        <v>19998</v>
      </c>
      <c r="D666" s="638"/>
      <c r="E666" s="638">
        <f t="shared" si="37"/>
        <v>2948</v>
      </c>
      <c r="F666" s="632">
        <v>1109</v>
      </c>
      <c r="G666" s="632">
        <v>332</v>
      </c>
      <c r="H666" s="638">
        <v>1507</v>
      </c>
      <c r="I666" s="638"/>
      <c r="J666" s="632">
        <v>12</v>
      </c>
      <c r="K666" s="632">
        <v>4175</v>
      </c>
      <c r="L666" s="632">
        <v>1006</v>
      </c>
      <c r="Z666" s="600"/>
      <c r="AA666" s="600"/>
      <c r="AB666" s="600"/>
      <c r="AC666" s="600"/>
      <c r="AD666" s="600"/>
      <c r="AE666" s="600"/>
      <c r="AF666" s="600"/>
      <c r="AG666" s="600"/>
      <c r="AH666" s="600"/>
      <c r="AI666" s="600"/>
      <c r="AJ666" s="600"/>
    </row>
    <row r="667" spans="1:36" s="263" customFormat="1" ht="9" customHeight="1" x14ac:dyDescent="0.25">
      <c r="A667" s="603" t="s">
        <v>26</v>
      </c>
      <c r="B667" s="640">
        <f t="shared" si="36"/>
        <v>59807</v>
      </c>
      <c r="C667" s="634">
        <v>12566</v>
      </c>
      <c r="D667" s="640"/>
      <c r="E667" s="640">
        <f t="shared" si="37"/>
        <v>29772</v>
      </c>
      <c r="F667" s="634">
        <v>7939</v>
      </c>
      <c r="G667" s="634">
        <v>7017</v>
      </c>
      <c r="H667" s="640">
        <v>14816</v>
      </c>
      <c r="I667" s="640"/>
      <c r="J667" s="634">
        <v>509</v>
      </c>
      <c r="K667" s="634">
        <v>15176</v>
      </c>
      <c r="L667" s="634">
        <v>1784</v>
      </c>
      <c r="Z667" s="600"/>
      <c r="AA667" s="600"/>
      <c r="AB667" s="600"/>
      <c r="AC667" s="600"/>
      <c r="AD667" s="600"/>
      <c r="AE667" s="600"/>
      <c r="AF667" s="600"/>
      <c r="AG667" s="600"/>
      <c r="AH667" s="600"/>
      <c r="AI667" s="600"/>
      <c r="AJ667" s="600"/>
    </row>
    <row r="668" spans="1:36" s="263" customFormat="1" ht="9" customHeight="1" x14ac:dyDescent="0.25">
      <c r="A668" s="550" t="s">
        <v>27</v>
      </c>
      <c r="B668" s="638">
        <f t="shared" si="36"/>
        <v>170792</v>
      </c>
      <c r="C668" s="632">
        <v>19512</v>
      </c>
      <c r="D668" s="638"/>
      <c r="E668" s="638">
        <f t="shared" si="37"/>
        <v>85263</v>
      </c>
      <c r="F668" s="632">
        <v>21306</v>
      </c>
      <c r="G668" s="632">
        <v>15178</v>
      </c>
      <c r="H668" s="638">
        <v>48779</v>
      </c>
      <c r="I668" s="638"/>
      <c r="J668" s="632">
        <v>72</v>
      </c>
      <c r="K668" s="632">
        <v>65421</v>
      </c>
      <c r="L668" s="632">
        <v>524</v>
      </c>
      <c r="Z668" s="600"/>
      <c r="AA668" s="600"/>
      <c r="AB668" s="600"/>
      <c r="AC668" s="600"/>
      <c r="AD668" s="600"/>
      <c r="AE668" s="600"/>
      <c r="AF668" s="600"/>
      <c r="AG668" s="600"/>
      <c r="AH668" s="600"/>
      <c r="AI668" s="600"/>
      <c r="AJ668" s="600"/>
    </row>
    <row r="669" spans="1:36" s="263" customFormat="1" ht="9" customHeight="1" x14ac:dyDescent="0.25">
      <c r="A669" s="550" t="s">
        <v>28</v>
      </c>
      <c r="B669" s="638">
        <f t="shared" si="36"/>
        <v>73150</v>
      </c>
      <c r="C669" s="632">
        <v>28125</v>
      </c>
      <c r="D669" s="638"/>
      <c r="E669" s="638">
        <f t="shared" si="37"/>
        <v>39423</v>
      </c>
      <c r="F669" s="632">
        <v>17004</v>
      </c>
      <c r="G669" s="632">
        <v>10570</v>
      </c>
      <c r="H669" s="638">
        <v>11849</v>
      </c>
      <c r="I669" s="638"/>
      <c r="J669" s="632">
        <v>98</v>
      </c>
      <c r="K669" s="632">
        <v>5249</v>
      </c>
      <c r="L669" s="632">
        <v>255</v>
      </c>
      <c r="Z669" s="600"/>
      <c r="AA669" s="600"/>
      <c r="AB669" s="600"/>
      <c r="AC669" s="600"/>
      <c r="AD669" s="600"/>
      <c r="AE669" s="600"/>
      <c r="AF669" s="600"/>
      <c r="AG669" s="600"/>
      <c r="AH669" s="600"/>
      <c r="AI669" s="600"/>
      <c r="AJ669" s="600"/>
    </row>
    <row r="670" spans="1:36" s="263" customFormat="1" ht="9" customHeight="1" x14ac:dyDescent="0.25">
      <c r="A670" s="550" t="s">
        <v>29</v>
      </c>
      <c r="B670" s="638">
        <f t="shared" si="36"/>
        <v>135188</v>
      </c>
      <c r="C670" s="632">
        <v>61849</v>
      </c>
      <c r="D670" s="638"/>
      <c r="E670" s="638">
        <f t="shared" si="37"/>
        <v>65847</v>
      </c>
      <c r="F670" s="632">
        <v>23086</v>
      </c>
      <c r="G670" s="632">
        <v>18111</v>
      </c>
      <c r="H670" s="638">
        <v>24650</v>
      </c>
      <c r="I670" s="638"/>
      <c r="J670" s="632">
        <v>180</v>
      </c>
      <c r="K670" s="632">
        <v>6005</v>
      </c>
      <c r="L670" s="632">
        <v>1307</v>
      </c>
      <c r="Z670" s="600"/>
      <c r="AA670" s="600"/>
      <c r="AB670" s="600"/>
      <c r="AC670" s="600"/>
      <c r="AD670" s="600"/>
      <c r="AE670" s="600"/>
      <c r="AF670" s="600"/>
      <c r="AG670" s="600"/>
      <c r="AH670" s="600"/>
      <c r="AI670" s="600"/>
      <c r="AJ670" s="600"/>
    </row>
    <row r="671" spans="1:36" s="263" customFormat="1" ht="9" customHeight="1" x14ac:dyDescent="0.25">
      <c r="A671" s="603" t="s">
        <v>30</v>
      </c>
      <c r="B671" s="640">
        <f t="shared" si="36"/>
        <v>266478</v>
      </c>
      <c r="C671" s="634">
        <v>117975</v>
      </c>
      <c r="D671" s="640"/>
      <c r="E671" s="640">
        <f t="shared" si="37"/>
        <v>104776</v>
      </c>
      <c r="F671" s="634">
        <v>47963</v>
      </c>
      <c r="G671" s="634">
        <v>29994</v>
      </c>
      <c r="H671" s="640">
        <v>26819</v>
      </c>
      <c r="I671" s="640"/>
      <c r="J671" s="634">
        <v>4676</v>
      </c>
      <c r="K671" s="634">
        <v>37242</v>
      </c>
      <c r="L671" s="634">
        <v>1809</v>
      </c>
      <c r="Z671" s="600"/>
      <c r="AA671" s="600"/>
      <c r="AB671" s="600"/>
      <c r="AC671" s="600"/>
      <c r="AD671" s="600"/>
      <c r="AE671" s="600"/>
      <c r="AF671" s="600"/>
      <c r="AG671" s="600"/>
      <c r="AH671" s="600"/>
      <c r="AI671" s="600"/>
      <c r="AJ671" s="600"/>
    </row>
    <row r="672" spans="1:36" s="263" customFormat="1" ht="9" customHeight="1" x14ac:dyDescent="0.25">
      <c r="A672" s="550" t="s">
        <v>63</v>
      </c>
      <c r="B672" s="638">
        <f t="shared" si="36"/>
        <v>2762957</v>
      </c>
      <c r="C672" s="632">
        <v>893376</v>
      </c>
      <c r="D672" s="638"/>
      <c r="E672" s="638">
        <f t="shared" si="37"/>
        <v>1393969</v>
      </c>
      <c r="F672" s="632">
        <v>201211</v>
      </c>
      <c r="G672" s="632">
        <v>182322</v>
      </c>
      <c r="H672" s="638">
        <v>1010436</v>
      </c>
      <c r="I672" s="638"/>
      <c r="J672" s="632">
        <v>21860</v>
      </c>
      <c r="K672" s="632">
        <v>397384</v>
      </c>
      <c r="L672" s="632">
        <v>56368</v>
      </c>
      <c r="Z672" s="600"/>
      <c r="AA672" s="600"/>
      <c r="AB672" s="600"/>
      <c r="AC672" s="600"/>
      <c r="AD672" s="600"/>
      <c r="AE672" s="600"/>
      <c r="AF672" s="600"/>
      <c r="AG672" s="600"/>
      <c r="AH672" s="600"/>
      <c r="AI672" s="600"/>
      <c r="AJ672" s="600"/>
    </row>
    <row r="673" spans="1:36" s="263" customFormat="1" ht="9" customHeight="1" x14ac:dyDescent="0.25">
      <c r="A673" s="550" t="s">
        <v>31</v>
      </c>
      <c r="B673" s="638">
        <f t="shared" si="36"/>
        <v>44693</v>
      </c>
      <c r="C673" s="632">
        <v>14648</v>
      </c>
      <c r="D673" s="638"/>
      <c r="E673" s="638">
        <f t="shared" si="37"/>
        <v>24599</v>
      </c>
      <c r="F673" s="632">
        <v>5794</v>
      </c>
      <c r="G673" s="632">
        <v>2670</v>
      </c>
      <c r="H673" s="638">
        <v>16135</v>
      </c>
      <c r="I673" s="638"/>
      <c r="J673" s="632">
        <v>85</v>
      </c>
      <c r="K673" s="632">
        <v>5154</v>
      </c>
      <c r="L673" s="632">
        <v>207</v>
      </c>
      <c r="Z673" s="600"/>
      <c r="AA673" s="600"/>
      <c r="AB673" s="600"/>
      <c r="AC673" s="600"/>
      <c r="AD673" s="600"/>
      <c r="AE673" s="600"/>
      <c r="AF673" s="600"/>
      <c r="AG673" s="600"/>
      <c r="AH673" s="600"/>
      <c r="AI673" s="600"/>
      <c r="AJ673" s="600"/>
    </row>
    <row r="674" spans="1:36" s="263" customFormat="1" ht="9" customHeight="1" x14ac:dyDescent="0.25">
      <c r="A674" s="550" t="s">
        <v>32</v>
      </c>
      <c r="B674" s="638">
        <f t="shared" si="36"/>
        <v>513794</v>
      </c>
      <c r="C674" s="632">
        <v>201908</v>
      </c>
      <c r="D674" s="638"/>
      <c r="E674" s="638">
        <f t="shared" si="37"/>
        <v>228885</v>
      </c>
      <c r="F674" s="632">
        <v>70193</v>
      </c>
      <c r="G674" s="632">
        <v>59430</v>
      </c>
      <c r="H674" s="638">
        <v>99262</v>
      </c>
      <c r="I674" s="638"/>
      <c r="J674" s="632">
        <v>2471</v>
      </c>
      <c r="K674" s="632">
        <v>70508</v>
      </c>
      <c r="L674" s="632">
        <v>10022</v>
      </c>
      <c r="Z674" s="600"/>
      <c r="AA674" s="600"/>
      <c r="AB674" s="600"/>
      <c r="AC674" s="600"/>
      <c r="AD674" s="600"/>
      <c r="AE674" s="600"/>
      <c r="AF674" s="600"/>
      <c r="AG674" s="600"/>
      <c r="AH674" s="600"/>
      <c r="AI674" s="600"/>
      <c r="AJ674" s="600"/>
    </row>
    <row r="675" spans="1:36" s="263" customFormat="1" ht="9" customHeight="1" x14ac:dyDescent="0.25">
      <c r="A675" s="603" t="s">
        <v>33</v>
      </c>
      <c r="B675" s="640">
        <f t="shared" si="36"/>
        <v>163108</v>
      </c>
      <c r="C675" s="634">
        <v>70764</v>
      </c>
      <c r="D675" s="640"/>
      <c r="E675" s="640">
        <f t="shared" si="37"/>
        <v>80444</v>
      </c>
      <c r="F675" s="634">
        <v>25534</v>
      </c>
      <c r="G675" s="634">
        <v>19507</v>
      </c>
      <c r="H675" s="640">
        <v>35403</v>
      </c>
      <c r="I675" s="640"/>
      <c r="J675" s="634">
        <v>184</v>
      </c>
      <c r="K675" s="634">
        <v>9596</v>
      </c>
      <c r="L675" s="634">
        <v>2120</v>
      </c>
      <c r="Z675" s="600"/>
      <c r="AA675" s="600"/>
      <c r="AB675" s="600"/>
      <c r="AC675" s="600"/>
      <c r="AD675" s="600"/>
      <c r="AE675" s="600"/>
      <c r="AF675" s="600"/>
      <c r="AG675" s="600"/>
      <c r="AH675" s="600"/>
      <c r="AI675" s="600"/>
      <c r="AJ675" s="600"/>
    </row>
    <row r="676" spans="1:36" s="263" customFormat="1" ht="9" customHeight="1" x14ac:dyDescent="0.25">
      <c r="A676" s="550" t="s">
        <v>34</v>
      </c>
      <c r="B676" s="638">
        <f t="shared" si="36"/>
        <v>288355</v>
      </c>
      <c r="C676" s="632">
        <v>132936</v>
      </c>
      <c r="D676" s="638"/>
      <c r="E676" s="638">
        <f t="shared" si="37"/>
        <v>123721</v>
      </c>
      <c r="F676" s="632">
        <v>35937</v>
      </c>
      <c r="G676" s="632">
        <v>31529</v>
      </c>
      <c r="H676" s="638">
        <v>56255</v>
      </c>
      <c r="I676" s="638"/>
      <c r="J676" s="632">
        <v>770</v>
      </c>
      <c r="K676" s="632">
        <v>16607</v>
      </c>
      <c r="L676" s="632">
        <v>14321</v>
      </c>
      <c r="Z676" s="600"/>
      <c r="AA676" s="600"/>
      <c r="AB676" s="600"/>
      <c r="AC676" s="600"/>
      <c r="AD676" s="600"/>
      <c r="AE676" s="600"/>
      <c r="AF676" s="600"/>
      <c r="AG676" s="600"/>
      <c r="AH676" s="600"/>
      <c r="AI676" s="600"/>
      <c r="AJ676" s="600"/>
    </row>
    <row r="677" spans="1:36" s="263" customFormat="1" ht="9" customHeight="1" x14ac:dyDescent="0.25">
      <c r="A677" s="550" t="s">
        <v>35</v>
      </c>
      <c r="B677" s="638">
        <f t="shared" si="36"/>
        <v>922283</v>
      </c>
      <c r="C677" s="632">
        <v>261178</v>
      </c>
      <c r="D677" s="638"/>
      <c r="E677" s="638">
        <f t="shared" si="37"/>
        <v>500653</v>
      </c>
      <c r="F677" s="632">
        <v>145042</v>
      </c>
      <c r="G677" s="632">
        <v>93843</v>
      </c>
      <c r="H677" s="638">
        <v>261768</v>
      </c>
      <c r="I677" s="638"/>
      <c r="J677" s="632">
        <v>5547</v>
      </c>
      <c r="K677" s="632">
        <v>149576</v>
      </c>
      <c r="L677" s="632">
        <v>5329</v>
      </c>
      <c r="Z677" s="600"/>
      <c r="AA677" s="600"/>
      <c r="AB677" s="600"/>
      <c r="AC677" s="600"/>
      <c r="AD677" s="600"/>
      <c r="AE677" s="600"/>
      <c r="AF677" s="600"/>
      <c r="AG677" s="600"/>
      <c r="AH677" s="600"/>
      <c r="AI677" s="600"/>
      <c r="AJ677" s="600"/>
    </row>
    <row r="678" spans="1:36" s="263" customFormat="1" ht="9" customHeight="1" x14ac:dyDescent="0.25">
      <c r="A678" s="550" t="s">
        <v>36</v>
      </c>
      <c r="B678" s="638">
        <f t="shared" si="36"/>
        <v>1642503</v>
      </c>
      <c r="C678" s="632">
        <v>831261</v>
      </c>
      <c r="D678" s="638"/>
      <c r="E678" s="638">
        <f t="shared" si="37"/>
        <v>664641</v>
      </c>
      <c r="F678" s="632">
        <v>248650</v>
      </c>
      <c r="G678" s="632">
        <v>201808</v>
      </c>
      <c r="H678" s="638">
        <v>214183</v>
      </c>
      <c r="I678" s="638"/>
      <c r="J678" s="632">
        <v>13625</v>
      </c>
      <c r="K678" s="632">
        <v>102952</v>
      </c>
      <c r="L678" s="632">
        <v>30024</v>
      </c>
      <c r="Z678" s="600"/>
      <c r="AA678" s="600"/>
      <c r="AB678" s="600"/>
      <c r="AC678" s="600"/>
      <c r="AD678" s="600"/>
      <c r="AE678" s="600"/>
      <c r="AF678" s="600"/>
      <c r="AG678" s="600"/>
      <c r="AH678" s="600"/>
      <c r="AI678" s="600"/>
      <c r="AJ678" s="600"/>
    </row>
    <row r="679" spans="1:36" s="263" customFormat="1" ht="9" customHeight="1" x14ac:dyDescent="0.25">
      <c r="A679" s="603" t="s">
        <v>37</v>
      </c>
      <c r="B679" s="640">
        <f t="shared" si="36"/>
        <v>312596</v>
      </c>
      <c r="C679" s="634">
        <v>109661</v>
      </c>
      <c r="D679" s="640"/>
      <c r="E679" s="640">
        <f t="shared" si="37"/>
        <v>172185</v>
      </c>
      <c r="F679" s="634">
        <v>47907</v>
      </c>
      <c r="G679" s="634">
        <v>32661</v>
      </c>
      <c r="H679" s="640">
        <v>91617</v>
      </c>
      <c r="I679" s="640"/>
      <c r="J679" s="634">
        <v>459</v>
      </c>
      <c r="K679" s="634">
        <v>26914</v>
      </c>
      <c r="L679" s="634">
        <v>3377</v>
      </c>
      <c r="Z679" s="600"/>
      <c r="AA679" s="600"/>
      <c r="AB679" s="600"/>
      <c r="AC679" s="600"/>
      <c r="AD679" s="600"/>
      <c r="AE679" s="600"/>
      <c r="AF679" s="600"/>
      <c r="AG679" s="600"/>
      <c r="AH679" s="600"/>
      <c r="AI679" s="600"/>
      <c r="AJ679" s="600"/>
    </row>
    <row r="680" spans="1:36" s="263" customFormat="1" ht="9" customHeight="1" x14ac:dyDescent="0.25">
      <c r="A680" s="550" t="s">
        <v>38</v>
      </c>
      <c r="B680" s="638">
        <f t="shared" si="36"/>
        <v>84883</v>
      </c>
      <c r="C680" s="632">
        <v>42091</v>
      </c>
      <c r="D680" s="638"/>
      <c r="E680" s="638">
        <f t="shared" si="37"/>
        <v>38502</v>
      </c>
      <c r="F680" s="632">
        <v>15344</v>
      </c>
      <c r="G680" s="632">
        <v>5611</v>
      </c>
      <c r="H680" s="638">
        <v>17547</v>
      </c>
      <c r="I680" s="638"/>
      <c r="J680" s="632">
        <v>144</v>
      </c>
      <c r="K680" s="632">
        <v>3782</v>
      </c>
      <c r="L680" s="632">
        <v>364</v>
      </c>
      <c r="Z680" s="600"/>
      <c r="AA680" s="600"/>
      <c r="AB680" s="600"/>
      <c r="AC680" s="600"/>
      <c r="AD680" s="600"/>
      <c r="AE680" s="600"/>
      <c r="AF680" s="600"/>
      <c r="AG680" s="600"/>
      <c r="AH680" s="600"/>
      <c r="AI680" s="600"/>
      <c r="AJ680" s="600"/>
    </row>
    <row r="681" spans="1:36" s="263" customFormat="1" ht="9" customHeight="1" x14ac:dyDescent="0.25">
      <c r="A681" s="550" t="s">
        <v>39</v>
      </c>
      <c r="B681" s="638">
        <f t="shared" si="36"/>
        <v>13236</v>
      </c>
      <c r="C681" s="632">
        <v>6340</v>
      </c>
      <c r="D681" s="638"/>
      <c r="E681" s="638">
        <f t="shared" si="37"/>
        <v>6825</v>
      </c>
      <c r="F681" s="632">
        <v>2651</v>
      </c>
      <c r="G681" s="632">
        <v>683</v>
      </c>
      <c r="H681" s="638">
        <v>3491</v>
      </c>
      <c r="I681" s="638"/>
      <c r="J681" s="632">
        <v>0</v>
      </c>
      <c r="K681" s="632">
        <v>61</v>
      </c>
      <c r="L681" s="632">
        <v>10</v>
      </c>
      <c r="Z681" s="600"/>
      <c r="AA681" s="600"/>
      <c r="AB681" s="600"/>
      <c r="AC681" s="600"/>
      <c r="AD681" s="600"/>
      <c r="AE681" s="600"/>
      <c r="AF681" s="600"/>
      <c r="AG681" s="600"/>
      <c r="AH681" s="600"/>
      <c r="AI681" s="600"/>
      <c r="AJ681" s="600"/>
    </row>
    <row r="682" spans="1:36" s="263" customFormat="1" ht="9" customHeight="1" x14ac:dyDescent="0.25">
      <c r="A682" s="550" t="s">
        <v>40</v>
      </c>
      <c r="B682" s="638">
        <f t="shared" si="36"/>
        <v>1518851</v>
      </c>
      <c r="C682" s="632">
        <v>417814</v>
      </c>
      <c r="D682" s="638"/>
      <c r="E682" s="638">
        <f t="shared" si="37"/>
        <v>737839</v>
      </c>
      <c r="F682" s="632">
        <v>168287</v>
      </c>
      <c r="G682" s="632">
        <v>212058</v>
      </c>
      <c r="H682" s="638">
        <v>357494</v>
      </c>
      <c r="I682" s="638"/>
      <c r="J682" s="632">
        <v>28867</v>
      </c>
      <c r="K682" s="632">
        <v>277154</v>
      </c>
      <c r="L682" s="632">
        <v>57177</v>
      </c>
      <c r="Z682" s="600"/>
      <c r="AA682" s="600"/>
      <c r="AB682" s="600"/>
      <c r="AC682" s="600"/>
      <c r="AD682" s="600"/>
      <c r="AE682" s="600"/>
      <c r="AF682" s="600"/>
      <c r="AG682" s="600"/>
      <c r="AH682" s="600"/>
      <c r="AI682" s="600"/>
      <c r="AJ682" s="600"/>
    </row>
    <row r="683" spans="1:36" s="263" customFormat="1" ht="9" customHeight="1" x14ac:dyDescent="0.25">
      <c r="A683" s="603" t="s">
        <v>41</v>
      </c>
      <c r="B683" s="640">
        <f t="shared" si="36"/>
        <v>297675</v>
      </c>
      <c r="C683" s="634">
        <v>120995</v>
      </c>
      <c r="D683" s="640"/>
      <c r="E683" s="640">
        <f t="shared" si="37"/>
        <v>150839</v>
      </c>
      <c r="F683" s="634">
        <v>47592</v>
      </c>
      <c r="G683" s="634">
        <v>28523</v>
      </c>
      <c r="H683" s="640">
        <v>74724</v>
      </c>
      <c r="I683" s="640"/>
      <c r="J683" s="634">
        <v>3337</v>
      </c>
      <c r="K683" s="634">
        <v>9005</v>
      </c>
      <c r="L683" s="634">
        <v>13499</v>
      </c>
      <c r="Z683" s="600"/>
      <c r="AA683" s="600"/>
      <c r="AB683" s="600"/>
      <c r="AC683" s="600"/>
      <c r="AD683" s="600"/>
      <c r="AE683" s="600"/>
      <c r="AF683" s="600"/>
      <c r="AG683" s="600"/>
      <c r="AH683" s="600"/>
      <c r="AI683" s="600"/>
      <c r="AJ683" s="600"/>
    </row>
    <row r="684" spans="1:36" s="263" customFormat="1" ht="9" customHeight="1" x14ac:dyDescent="0.25">
      <c r="A684" s="550" t="s">
        <v>42</v>
      </c>
      <c r="B684" s="638">
        <f t="shared" si="36"/>
        <v>291495</v>
      </c>
      <c r="C684" s="632">
        <v>103914</v>
      </c>
      <c r="D684" s="638"/>
      <c r="E684" s="638">
        <f t="shared" si="37"/>
        <v>144321</v>
      </c>
      <c r="F684" s="632">
        <v>56830</v>
      </c>
      <c r="G684" s="632">
        <v>26781</v>
      </c>
      <c r="H684" s="638">
        <v>60710</v>
      </c>
      <c r="I684" s="638"/>
      <c r="J684" s="632">
        <v>1521</v>
      </c>
      <c r="K684" s="632">
        <v>38512</v>
      </c>
      <c r="L684" s="632">
        <v>3227</v>
      </c>
      <c r="Z684" s="600"/>
      <c r="AA684" s="600"/>
      <c r="AB684" s="600"/>
      <c r="AC684" s="600"/>
      <c r="AD684" s="600"/>
      <c r="AE684" s="600"/>
      <c r="AF684" s="600"/>
      <c r="AG684" s="600"/>
      <c r="AH684" s="600"/>
      <c r="AI684" s="600"/>
      <c r="AJ684" s="600"/>
    </row>
    <row r="685" spans="1:36" s="263" customFormat="1" ht="9" customHeight="1" x14ac:dyDescent="0.25">
      <c r="A685" s="550" t="s">
        <v>43</v>
      </c>
      <c r="B685" s="638">
        <f t="shared" si="36"/>
        <v>277351</v>
      </c>
      <c r="C685" s="632">
        <v>128319</v>
      </c>
      <c r="D685" s="638"/>
      <c r="E685" s="638">
        <f t="shared" si="37"/>
        <v>102536</v>
      </c>
      <c r="F685" s="632">
        <v>34213</v>
      </c>
      <c r="G685" s="632">
        <v>21004</v>
      </c>
      <c r="H685" s="638">
        <v>47319</v>
      </c>
      <c r="I685" s="638"/>
      <c r="J685" s="632">
        <v>1934</v>
      </c>
      <c r="K685" s="632">
        <v>39285</v>
      </c>
      <c r="L685" s="632">
        <v>5277</v>
      </c>
      <c r="Z685" s="600"/>
      <c r="AA685" s="600"/>
      <c r="AB685" s="600"/>
      <c r="AC685" s="600"/>
      <c r="AD685" s="600"/>
      <c r="AE685" s="600"/>
      <c r="AF685" s="600"/>
      <c r="AG685" s="600"/>
      <c r="AH685" s="600"/>
      <c r="AI685" s="600"/>
      <c r="AJ685" s="600"/>
    </row>
    <row r="686" spans="1:36" s="263" customFormat="1" ht="9" customHeight="1" x14ac:dyDescent="0.25">
      <c r="A686" s="550" t="s">
        <v>44</v>
      </c>
      <c r="B686" s="638">
        <f t="shared" si="36"/>
        <v>146107</v>
      </c>
      <c r="C686" s="632">
        <v>40866</v>
      </c>
      <c r="D686" s="638"/>
      <c r="E686" s="638">
        <f t="shared" si="37"/>
        <v>84343</v>
      </c>
      <c r="F686" s="632">
        <v>34030</v>
      </c>
      <c r="G686" s="632">
        <v>20088</v>
      </c>
      <c r="H686" s="638">
        <v>30225</v>
      </c>
      <c r="I686" s="638"/>
      <c r="J686" s="632">
        <v>451</v>
      </c>
      <c r="K686" s="632">
        <v>14740</v>
      </c>
      <c r="L686" s="632">
        <v>5707</v>
      </c>
      <c r="Z686" s="600"/>
      <c r="AA686" s="600"/>
      <c r="AB686" s="600"/>
      <c r="AC686" s="600"/>
      <c r="AD686" s="600"/>
      <c r="AE686" s="600"/>
      <c r="AF686" s="600"/>
      <c r="AG686" s="600"/>
      <c r="AH686" s="600"/>
      <c r="AI686" s="600"/>
      <c r="AJ686" s="600"/>
    </row>
    <row r="687" spans="1:36" s="263" customFormat="1" ht="9" customHeight="1" x14ac:dyDescent="0.25">
      <c r="A687" s="603" t="s">
        <v>45</v>
      </c>
      <c r="B687" s="640">
        <f t="shared" si="36"/>
        <v>114800</v>
      </c>
      <c r="C687" s="634">
        <v>34748</v>
      </c>
      <c r="D687" s="640"/>
      <c r="E687" s="640">
        <f t="shared" si="37"/>
        <v>40560</v>
      </c>
      <c r="F687" s="634">
        <v>12470</v>
      </c>
      <c r="G687" s="634">
        <v>10962</v>
      </c>
      <c r="H687" s="640">
        <v>17128</v>
      </c>
      <c r="I687" s="640"/>
      <c r="J687" s="634">
        <v>1357</v>
      </c>
      <c r="K687" s="634">
        <v>37373</v>
      </c>
      <c r="L687" s="634">
        <v>762</v>
      </c>
      <c r="Z687" s="600"/>
      <c r="AA687" s="600"/>
      <c r="AB687" s="600"/>
      <c r="AC687" s="600"/>
      <c r="AD687" s="600"/>
      <c r="AE687" s="600"/>
      <c r="AF687" s="600"/>
      <c r="AG687" s="600"/>
      <c r="AH687" s="600"/>
      <c r="AI687" s="600"/>
      <c r="AJ687" s="600"/>
    </row>
    <row r="688" spans="1:36" s="263" customFormat="1" ht="9" customHeight="1" x14ac:dyDescent="0.25">
      <c r="A688" s="550" t="s">
        <v>46</v>
      </c>
      <c r="B688" s="638">
        <f t="shared" si="36"/>
        <v>159889</v>
      </c>
      <c r="C688" s="632">
        <v>41963</v>
      </c>
      <c r="D688" s="638"/>
      <c r="E688" s="638">
        <f t="shared" si="37"/>
        <v>104140</v>
      </c>
      <c r="F688" s="632">
        <v>39820</v>
      </c>
      <c r="G688" s="632">
        <v>19850</v>
      </c>
      <c r="H688" s="638">
        <v>44470</v>
      </c>
      <c r="I688" s="638"/>
      <c r="J688" s="632">
        <v>1892</v>
      </c>
      <c r="K688" s="632">
        <v>10741</v>
      </c>
      <c r="L688" s="632">
        <v>1153</v>
      </c>
      <c r="Z688" s="600"/>
      <c r="AA688" s="600"/>
      <c r="AB688" s="600"/>
      <c r="AC688" s="600"/>
      <c r="AD688" s="600"/>
      <c r="AE688" s="600"/>
      <c r="AF688" s="600"/>
      <c r="AG688" s="600"/>
      <c r="AH688" s="600"/>
      <c r="AI688" s="600"/>
      <c r="AJ688" s="600"/>
    </row>
    <row r="689" spans="1:36" s="263" customFormat="1" ht="9" customHeight="1" x14ac:dyDescent="0.25">
      <c r="A689" s="550" t="s">
        <v>47</v>
      </c>
      <c r="B689" s="638">
        <f t="shared" si="36"/>
        <v>286889</v>
      </c>
      <c r="C689" s="632">
        <v>93228</v>
      </c>
      <c r="D689" s="638"/>
      <c r="E689" s="638">
        <f t="shared" si="37"/>
        <v>118448</v>
      </c>
      <c r="F689" s="632">
        <v>25135</v>
      </c>
      <c r="G689" s="632">
        <v>24188</v>
      </c>
      <c r="H689" s="638">
        <v>69125</v>
      </c>
      <c r="I689" s="638"/>
      <c r="J689" s="632">
        <v>2207</v>
      </c>
      <c r="K689" s="632">
        <v>67643</v>
      </c>
      <c r="L689" s="632">
        <v>5363</v>
      </c>
      <c r="Z689" s="600"/>
      <c r="AA689" s="600"/>
      <c r="AB689" s="600"/>
      <c r="AC689" s="600"/>
      <c r="AD689" s="600"/>
      <c r="AE689" s="600"/>
      <c r="AF689" s="600"/>
      <c r="AG689" s="600"/>
      <c r="AH689" s="600"/>
      <c r="AI689" s="600"/>
      <c r="AJ689" s="600"/>
    </row>
    <row r="690" spans="1:36" s="263" customFormat="1" ht="9" customHeight="1" x14ac:dyDescent="0.25">
      <c r="A690" s="550" t="s">
        <v>48</v>
      </c>
      <c r="B690" s="638">
        <f t="shared" si="36"/>
        <v>128656</v>
      </c>
      <c r="C690" s="632">
        <v>44194</v>
      </c>
      <c r="D690" s="638"/>
      <c r="E690" s="638">
        <f t="shared" si="37"/>
        <v>56088</v>
      </c>
      <c r="F690" s="632">
        <v>20976</v>
      </c>
      <c r="G690" s="632">
        <v>6066</v>
      </c>
      <c r="H690" s="638">
        <v>29046</v>
      </c>
      <c r="I690" s="638"/>
      <c r="J690" s="632">
        <v>220</v>
      </c>
      <c r="K690" s="632">
        <v>28059</v>
      </c>
      <c r="L690" s="632">
        <v>95</v>
      </c>
      <c r="Z690" s="600"/>
      <c r="AA690" s="600"/>
      <c r="AB690" s="600"/>
      <c r="AC690" s="600"/>
      <c r="AD690" s="600"/>
      <c r="AE690" s="600"/>
      <c r="AF690" s="600"/>
      <c r="AG690" s="600"/>
      <c r="AH690" s="600"/>
      <c r="AI690" s="600"/>
      <c r="AJ690" s="600"/>
    </row>
    <row r="691" spans="1:36" s="263" customFormat="1" ht="9" customHeight="1" x14ac:dyDescent="0.25">
      <c r="A691" s="603" t="s">
        <v>49</v>
      </c>
      <c r="B691" s="640">
        <f t="shared" si="36"/>
        <v>285130</v>
      </c>
      <c r="C691" s="634">
        <v>62146</v>
      </c>
      <c r="D691" s="640"/>
      <c r="E691" s="640">
        <f t="shared" si="37"/>
        <v>193384</v>
      </c>
      <c r="F691" s="634">
        <v>30135</v>
      </c>
      <c r="G691" s="634">
        <v>23470</v>
      </c>
      <c r="H691" s="640">
        <v>139779</v>
      </c>
      <c r="I691" s="640"/>
      <c r="J691" s="634">
        <v>4148</v>
      </c>
      <c r="K691" s="634">
        <v>19109</v>
      </c>
      <c r="L691" s="634">
        <v>6343</v>
      </c>
      <c r="Z691" s="600"/>
      <c r="AA691" s="600"/>
      <c r="AB691" s="600"/>
      <c r="AC691" s="600"/>
      <c r="AD691" s="600"/>
      <c r="AE691" s="600"/>
      <c r="AF691" s="600"/>
      <c r="AG691" s="600"/>
      <c r="AH691" s="600"/>
      <c r="AI691" s="600"/>
      <c r="AJ691" s="600"/>
    </row>
    <row r="692" spans="1:36" s="263" customFormat="1" ht="9" customHeight="1" x14ac:dyDescent="0.25">
      <c r="A692" s="550" t="s">
        <v>50</v>
      </c>
      <c r="B692" s="638">
        <f t="shared" si="36"/>
        <v>92940</v>
      </c>
      <c r="C692" s="632">
        <v>46456</v>
      </c>
      <c r="D692" s="638"/>
      <c r="E692" s="638">
        <f t="shared" si="37"/>
        <v>42707</v>
      </c>
      <c r="F692" s="632">
        <v>12295</v>
      </c>
      <c r="G692" s="632">
        <v>16862</v>
      </c>
      <c r="H692" s="638">
        <v>13550</v>
      </c>
      <c r="I692" s="638"/>
      <c r="J692" s="632">
        <v>285</v>
      </c>
      <c r="K692" s="632">
        <v>2745</v>
      </c>
      <c r="L692" s="632">
        <v>747</v>
      </c>
      <c r="Z692" s="600"/>
      <c r="AA692" s="600"/>
      <c r="AB692" s="600"/>
      <c r="AC692" s="600"/>
      <c r="AD692" s="600"/>
      <c r="AE692" s="600"/>
      <c r="AF692" s="600"/>
      <c r="AG692" s="600"/>
      <c r="AH692" s="600"/>
      <c r="AI692" s="600"/>
      <c r="AJ692" s="600"/>
    </row>
    <row r="693" spans="1:36" s="263" customFormat="1" ht="9" customHeight="1" x14ac:dyDescent="0.25">
      <c r="A693" s="550" t="s">
        <v>51</v>
      </c>
      <c r="B693" s="638">
        <f t="shared" si="36"/>
        <v>424886</v>
      </c>
      <c r="C693" s="632">
        <v>177082</v>
      </c>
      <c r="D693" s="638"/>
      <c r="E693" s="638">
        <f t="shared" si="37"/>
        <v>191591</v>
      </c>
      <c r="F693" s="632">
        <v>73904</v>
      </c>
      <c r="G693" s="632">
        <v>35277</v>
      </c>
      <c r="H693" s="638">
        <v>82410</v>
      </c>
      <c r="I693" s="638"/>
      <c r="J693" s="632">
        <v>1769</v>
      </c>
      <c r="K693" s="632">
        <v>48995</v>
      </c>
      <c r="L693" s="632">
        <v>5449</v>
      </c>
      <c r="Z693" s="600"/>
      <c r="AA693" s="600"/>
      <c r="AB693" s="600"/>
      <c r="AC693" s="600"/>
      <c r="AD693" s="600"/>
      <c r="AE693" s="600"/>
      <c r="AF693" s="600"/>
      <c r="AG693" s="600"/>
      <c r="AH693" s="600"/>
      <c r="AI693" s="600"/>
      <c r="AJ693" s="600"/>
    </row>
    <row r="694" spans="1:36" s="263" customFormat="1" ht="9" customHeight="1" x14ac:dyDescent="0.25">
      <c r="A694" s="550" t="s">
        <v>52</v>
      </c>
      <c r="B694" s="638">
        <f t="shared" si="36"/>
        <v>152245</v>
      </c>
      <c r="C694" s="632">
        <v>40317</v>
      </c>
      <c r="D694" s="638"/>
      <c r="E694" s="638">
        <f t="shared" si="37"/>
        <v>63619</v>
      </c>
      <c r="F694" s="632">
        <v>25729</v>
      </c>
      <c r="G694" s="632">
        <v>11957</v>
      </c>
      <c r="H694" s="638">
        <v>25933</v>
      </c>
      <c r="I694" s="638"/>
      <c r="J694" s="632">
        <v>0</v>
      </c>
      <c r="K694" s="632">
        <v>47509</v>
      </c>
      <c r="L694" s="632">
        <v>800</v>
      </c>
      <c r="Z694" s="600"/>
      <c r="AA694" s="600"/>
      <c r="AB694" s="600"/>
      <c r="AC694" s="600"/>
      <c r="AD694" s="600"/>
      <c r="AE694" s="600"/>
      <c r="AF694" s="600"/>
      <c r="AG694" s="600"/>
      <c r="AH694" s="600"/>
      <c r="AI694" s="600"/>
      <c r="AJ694" s="600"/>
    </row>
    <row r="695" spans="1:36" s="263" customFormat="1" ht="9" customHeight="1" x14ac:dyDescent="0.25">
      <c r="A695" s="267" t="s">
        <v>53</v>
      </c>
      <c r="B695" s="599">
        <f t="shared" si="36"/>
        <v>64264</v>
      </c>
      <c r="C695" s="604">
        <v>18148</v>
      </c>
      <c r="D695" s="599"/>
      <c r="E695" s="599">
        <f t="shared" si="37"/>
        <v>38768</v>
      </c>
      <c r="F695" s="604">
        <v>12865</v>
      </c>
      <c r="G695" s="604">
        <v>6344</v>
      </c>
      <c r="H695" s="599">
        <v>19559</v>
      </c>
      <c r="I695" s="599"/>
      <c r="J695" s="604">
        <v>63</v>
      </c>
      <c r="K695" s="604">
        <v>6976</v>
      </c>
      <c r="L695" s="604">
        <v>309</v>
      </c>
      <c r="Z695" s="600"/>
      <c r="AA695" s="600"/>
      <c r="AB695" s="600"/>
      <c r="AC695" s="600"/>
      <c r="AD695" s="600"/>
      <c r="AE695" s="600"/>
      <c r="AF695" s="600"/>
      <c r="AG695" s="600"/>
      <c r="AH695" s="600"/>
      <c r="AI695" s="600"/>
      <c r="AJ695" s="600"/>
    </row>
    <row r="696" spans="1:36" s="263" customFormat="1" ht="9" customHeight="1" x14ac:dyDescent="0.25">
      <c r="A696" s="286"/>
      <c r="B696" s="613"/>
      <c r="C696" s="605"/>
      <c r="D696" s="613"/>
      <c r="E696" s="613"/>
      <c r="F696" s="605"/>
      <c r="G696" s="605"/>
      <c r="H696" s="613"/>
      <c r="I696" s="613"/>
      <c r="J696" s="605"/>
      <c r="K696" s="605"/>
      <c r="L696" s="605"/>
      <c r="M696" s="286"/>
      <c r="Z696" s="600"/>
      <c r="AA696" s="600"/>
      <c r="AB696" s="600"/>
      <c r="AC696" s="600"/>
      <c r="AD696" s="600"/>
      <c r="AE696" s="600"/>
      <c r="AF696" s="600"/>
      <c r="AG696" s="600"/>
      <c r="AH696" s="600"/>
      <c r="AI696" s="600"/>
      <c r="AJ696" s="600"/>
    </row>
    <row r="697" spans="1:36" s="263" customFormat="1" ht="9" customHeight="1" x14ac:dyDescent="0.25">
      <c r="A697" s="601">
        <v>2014</v>
      </c>
      <c r="B697" s="597"/>
      <c r="C697" s="597"/>
      <c r="D697" s="597"/>
      <c r="E697" s="597"/>
      <c r="F697" s="597"/>
      <c r="G697" s="597"/>
      <c r="H697" s="597"/>
      <c r="I697" s="597"/>
      <c r="J697" s="597"/>
      <c r="K697" s="597"/>
      <c r="L697" s="597"/>
      <c r="Z697" s="600"/>
      <c r="AA697" s="600"/>
      <c r="AB697" s="600"/>
      <c r="AC697" s="600"/>
      <c r="AD697" s="600"/>
      <c r="AE697" s="600"/>
      <c r="AF697" s="600"/>
      <c r="AG697" s="600"/>
      <c r="AH697" s="600"/>
      <c r="AI697" s="600"/>
      <c r="AJ697" s="600"/>
    </row>
    <row r="698" spans="1:36" s="263" customFormat="1" ht="9" customHeight="1" x14ac:dyDescent="0.25">
      <c r="A698" s="265" t="s">
        <v>21</v>
      </c>
      <c r="B698" s="597">
        <f>SUM(B700:B731)</f>
        <v>11890395</v>
      </c>
      <c r="C698" s="597">
        <f>SUM(C700:C731)</f>
        <v>4475650</v>
      </c>
      <c r="D698" s="597"/>
      <c r="E698" s="597">
        <f>SUM(E700:E731)</f>
        <v>5360799</v>
      </c>
      <c r="F698" s="597">
        <f>SUM(F700:F731)</f>
        <v>1479842</v>
      </c>
      <c r="G698" s="597">
        <f>SUM(G700:G731)</f>
        <v>1158867</v>
      </c>
      <c r="H698" s="597">
        <f>SUM(H700:H731)</f>
        <v>2722090</v>
      </c>
      <c r="I698" s="597"/>
      <c r="J698" s="597">
        <f>SUM(J700:J731)</f>
        <v>109465</v>
      </c>
      <c r="K698" s="597">
        <f>SUM(K700:K731)</f>
        <v>1728995</v>
      </c>
      <c r="L698" s="597">
        <f>SUM(L700:L731)</f>
        <v>215486</v>
      </c>
      <c r="Z698" s="600"/>
      <c r="AA698" s="600"/>
      <c r="AB698" s="600"/>
      <c r="AC698" s="600"/>
      <c r="AD698" s="600"/>
      <c r="AE698" s="600"/>
      <c r="AF698" s="600"/>
      <c r="AG698" s="600"/>
      <c r="AH698" s="600"/>
      <c r="AI698" s="600"/>
      <c r="AJ698" s="600"/>
    </row>
    <row r="699" spans="1:36" s="263" customFormat="1" ht="3.95" customHeight="1" x14ac:dyDescent="0.25">
      <c r="A699" s="265"/>
      <c r="B699" s="597"/>
      <c r="C699" s="597"/>
      <c r="D699" s="597"/>
      <c r="E699" s="597"/>
      <c r="F699" s="597"/>
      <c r="G699" s="597"/>
      <c r="H699" s="597"/>
      <c r="I699" s="597"/>
      <c r="J699" s="597"/>
      <c r="K699" s="597"/>
      <c r="L699" s="597"/>
      <c r="Z699" s="600"/>
      <c r="AA699" s="600"/>
      <c r="AB699" s="600"/>
      <c r="AC699" s="600"/>
      <c r="AD699" s="600"/>
      <c r="AE699" s="600"/>
      <c r="AF699" s="600"/>
      <c r="AG699" s="600"/>
      <c r="AH699" s="600"/>
      <c r="AI699" s="600"/>
      <c r="AJ699" s="600"/>
    </row>
    <row r="700" spans="1:36" s="263" customFormat="1" ht="9" customHeight="1" x14ac:dyDescent="0.25">
      <c r="A700" s="550" t="s">
        <v>23</v>
      </c>
      <c r="B700" s="638">
        <f t="shared" ref="B700:B731" si="38">SUM(C700+E700+J700+K700+L700)</f>
        <v>11034</v>
      </c>
      <c r="C700" s="632">
        <v>1599</v>
      </c>
      <c r="D700" s="638"/>
      <c r="E700" s="638">
        <f>SUM(F700:H700)</f>
        <v>8267</v>
      </c>
      <c r="F700" s="632">
        <v>4156</v>
      </c>
      <c r="G700" s="632">
        <v>1076</v>
      </c>
      <c r="H700" s="638">
        <v>3035</v>
      </c>
      <c r="I700" s="638"/>
      <c r="J700" s="632">
        <v>125</v>
      </c>
      <c r="K700" s="632">
        <v>1043</v>
      </c>
      <c r="L700" s="632">
        <v>0</v>
      </c>
      <c r="Z700" s="600"/>
      <c r="AA700" s="600"/>
      <c r="AB700" s="600"/>
      <c r="AC700" s="600"/>
      <c r="AD700" s="600"/>
      <c r="AE700" s="600"/>
      <c r="AF700" s="600"/>
      <c r="AG700" s="600"/>
      <c r="AH700" s="600"/>
      <c r="AI700" s="600"/>
      <c r="AJ700" s="600"/>
    </row>
    <row r="701" spans="1:36" s="263" customFormat="1" ht="9" customHeight="1" x14ac:dyDescent="0.25">
      <c r="A701" s="550" t="s">
        <v>24</v>
      </c>
      <c r="B701" s="638">
        <f t="shared" si="38"/>
        <v>618249</v>
      </c>
      <c r="C701" s="638">
        <v>346460</v>
      </c>
      <c r="D701" s="638"/>
      <c r="E701" s="638">
        <f t="shared" ref="E701:E731" si="39">SUM(F701:H701)</f>
        <v>210261</v>
      </c>
      <c r="F701" s="638">
        <v>71575</v>
      </c>
      <c r="G701" s="638">
        <v>58152</v>
      </c>
      <c r="H701" s="638">
        <v>80534</v>
      </c>
      <c r="I701" s="638"/>
      <c r="J701" s="638">
        <v>1500</v>
      </c>
      <c r="K701" s="638">
        <v>55994</v>
      </c>
      <c r="L701" s="638">
        <v>4034</v>
      </c>
      <c r="Z701" s="600"/>
      <c r="AA701" s="600"/>
      <c r="AB701" s="600"/>
      <c r="AC701" s="600"/>
      <c r="AD701" s="600"/>
      <c r="AE701" s="600"/>
      <c r="AF701" s="600"/>
      <c r="AG701" s="600"/>
      <c r="AH701" s="600"/>
      <c r="AI701" s="600"/>
      <c r="AJ701" s="600"/>
    </row>
    <row r="702" spans="1:36" s="263" customFormat="1" ht="9" customHeight="1" x14ac:dyDescent="0.25">
      <c r="A702" s="550" t="s">
        <v>25</v>
      </c>
      <c r="B702" s="638">
        <f t="shared" si="38"/>
        <v>26829</v>
      </c>
      <c r="C702" s="632">
        <v>19349</v>
      </c>
      <c r="D702" s="638"/>
      <c r="E702" s="638">
        <f t="shared" si="39"/>
        <v>4142</v>
      </c>
      <c r="F702" s="632">
        <v>1269</v>
      </c>
      <c r="G702" s="632">
        <v>450</v>
      </c>
      <c r="H702" s="638">
        <v>2423</v>
      </c>
      <c r="I702" s="638"/>
      <c r="J702" s="632">
        <v>173</v>
      </c>
      <c r="K702" s="632">
        <v>2579</v>
      </c>
      <c r="L702" s="632">
        <v>586</v>
      </c>
      <c r="Z702" s="600"/>
      <c r="AA702" s="600"/>
      <c r="AB702" s="600"/>
      <c r="AC702" s="600"/>
      <c r="AD702" s="600"/>
      <c r="AE702" s="600"/>
      <c r="AF702" s="600"/>
      <c r="AG702" s="600"/>
      <c r="AH702" s="600"/>
      <c r="AI702" s="600"/>
      <c r="AJ702" s="600"/>
    </row>
    <row r="703" spans="1:36" s="263" customFormat="1" ht="9" customHeight="1" x14ac:dyDescent="0.25">
      <c r="A703" s="603" t="s">
        <v>26</v>
      </c>
      <c r="B703" s="640">
        <f t="shared" si="38"/>
        <v>53234</v>
      </c>
      <c r="C703" s="634">
        <v>15294</v>
      </c>
      <c r="D703" s="640"/>
      <c r="E703" s="640">
        <f t="shared" si="39"/>
        <v>20182</v>
      </c>
      <c r="F703" s="634">
        <v>5523</v>
      </c>
      <c r="G703" s="634">
        <v>4715</v>
      </c>
      <c r="H703" s="640">
        <v>9944</v>
      </c>
      <c r="I703" s="640"/>
      <c r="J703" s="634">
        <v>1118</v>
      </c>
      <c r="K703" s="634">
        <v>15181</v>
      </c>
      <c r="L703" s="634">
        <v>1459</v>
      </c>
      <c r="Z703" s="600"/>
      <c r="AA703" s="600"/>
      <c r="AB703" s="600"/>
      <c r="AC703" s="600"/>
      <c r="AD703" s="600"/>
      <c r="AE703" s="600"/>
      <c r="AF703" s="600"/>
      <c r="AG703" s="600"/>
      <c r="AH703" s="600"/>
      <c r="AI703" s="600"/>
      <c r="AJ703" s="600"/>
    </row>
    <row r="704" spans="1:36" s="263" customFormat="1" ht="9" customHeight="1" x14ac:dyDescent="0.25">
      <c r="A704" s="550" t="s">
        <v>27</v>
      </c>
      <c r="B704" s="638">
        <f t="shared" si="38"/>
        <v>182676</v>
      </c>
      <c r="C704" s="632">
        <v>17336</v>
      </c>
      <c r="D704" s="638"/>
      <c r="E704" s="638">
        <f t="shared" si="39"/>
        <v>79247</v>
      </c>
      <c r="F704" s="632">
        <v>20051</v>
      </c>
      <c r="G704" s="632">
        <v>15505</v>
      </c>
      <c r="H704" s="638">
        <v>43691</v>
      </c>
      <c r="I704" s="638"/>
      <c r="J704" s="632">
        <v>76</v>
      </c>
      <c r="K704" s="632">
        <v>85666</v>
      </c>
      <c r="L704" s="632">
        <v>351</v>
      </c>
      <c r="Z704" s="600"/>
      <c r="AA704" s="600"/>
      <c r="AB704" s="600"/>
      <c r="AC704" s="600"/>
      <c r="AD704" s="600"/>
      <c r="AE704" s="600"/>
      <c r="AF704" s="600"/>
      <c r="AG704" s="600"/>
      <c r="AH704" s="600"/>
      <c r="AI704" s="600"/>
      <c r="AJ704" s="600"/>
    </row>
    <row r="705" spans="1:36" s="263" customFormat="1" ht="9" customHeight="1" x14ac:dyDescent="0.25">
      <c r="A705" s="550" t="s">
        <v>28</v>
      </c>
      <c r="B705" s="638">
        <f t="shared" si="38"/>
        <v>34627</v>
      </c>
      <c r="C705" s="632">
        <v>17086</v>
      </c>
      <c r="D705" s="638"/>
      <c r="E705" s="638">
        <f t="shared" si="39"/>
        <v>14522</v>
      </c>
      <c r="F705" s="632">
        <v>3499</v>
      </c>
      <c r="G705" s="632">
        <v>4181</v>
      </c>
      <c r="H705" s="638">
        <v>6842</v>
      </c>
      <c r="I705" s="638"/>
      <c r="J705" s="632">
        <v>0</v>
      </c>
      <c r="K705" s="632">
        <v>2879</v>
      </c>
      <c r="L705" s="632">
        <v>140</v>
      </c>
      <c r="Z705" s="600"/>
      <c r="AA705" s="600"/>
      <c r="AB705" s="600"/>
      <c r="AC705" s="600"/>
      <c r="AD705" s="600"/>
      <c r="AE705" s="600"/>
      <c r="AF705" s="600"/>
      <c r="AG705" s="600"/>
      <c r="AH705" s="600"/>
      <c r="AI705" s="600"/>
      <c r="AJ705" s="600"/>
    </row>
    <row r="706" spans="1:36" s="263" customFormat="1" ht="9" customHeight="1" x14ac:dyDescent="0.25">
      <c r="A706" s="550" t="s">
        <v>29</v>
      </c>
      <c r="B706" s="638">
        <f t="shared" si="38"/>
        <v>151567</v>
      </c>
      <c r="C706" s="632">
        <v>70751</v>
      </c>
      <c r="D706" s="638"/>
      <c r="E706" s="638">
        <f t="shared" si="39"/>
        <v>70895</v>
      </c>
      <c r="F706" s="632">
        <v>24314</v>
      </c>
      <c r="G706" s="632">
        <v>18925</v>
      </c>
      <c r="H706" s="638">
        <v>27656</v>
      </c>
      <c r="I706" s="638"/>
      <c r="J706" s="632">
        <v>227</v>
      </c>
      <c r="K706" s="632">
        <v>7964</v>
      </c>
      <c r="L706" s="632">
        <v>1730</v>
      </c>
      <c r="Z706" s="600"/>
      <c r="AA706" s="600"/>
      <c r="AB706" s="600"/>
      <c r="AC706" s="600"/>
      <c r="AD706" s="600"/>
      <c r="AE706" s="600"/>
      <c r="AF706" s="600"/>
      <c r="AG706" s="600"/>
      <c r="AH706" s="600"/>
      <c r="AI706" s="600"/>
      <c r="AJ706" s="600"/>
    </row>
    <row r="707" spans="1:36" s="263" customFormat="1" ht="9" customHeight="1" x14ac:dyDescent="0.25">
      <c r="A707" s="603" t="s">
        <v>30</v>
      </c>
      <c r="B707" s="640">
        <f t="shared" si="38"/>
        <v>237886</v>
      </c>
      <c r="C707" s="634">
        <v>108025</v>
      </c>
      <c r="D707" s="640"/>
      <c r="E707" s="640">
        <f t="shared" si="39"/>
        <v>89404</v>
      </c>
      <c r="F707" s="634">
        <v>38436</v>
      </c>
      <c r="G707" s="634">
        <v>28921</v>
      </c>
      <c r="H707" s="640">
        <v>22047</v>
      </c>
      <c r="I707" s="640"/>
      <c r="J707" s="634">
        <v>1223</v>
      </c>
      <c r="K707" s="634">
        <v>37026</v>
      </c>
      <c r="L707" s="634">
        <v>2208</v>
      </c>
      <c r="Z707" s="600"/>
      <c r="AA707" s="600"/>
      <c r="AB707" s="600"/>
      <c r="AC707" s="600"/>
      <c r="AD707" s="600"/>
      <c r="AE707" s="600"/>
      <c r="AF707" s="600"/>
      <c r="AG707" s="600"/>
      <c r="AH707" s="600"/>
      <c r="AI707" s="600"/>
      <c r="AJ707" s="600"/>
    </row>
    <row r="708" spans="1:36" s="263" customFormat="1" ht="9" customHeight="1" x14ac:dyDescent="0.25">
      <c r="A708" s="550" t="s">
        <v>63</v>
      </c>
      <c r="B708" s="638">
        <f t="shared" si="38"/>
        <v>2497783</v>
      </c>
      <c r="C708" s="632">
        <v>824456</v>
      </c>
      <c r="D708" s="638"/>
      <c r="E708" s="638">
        <f t="shared" si="39"/>
        <v>1206119</v>
      </c>
      <c r="F708" s="632">
        <v>188568</v>
      </c>
      <c r="G708" s="632">
        <v>151649</v>
      </c>
      <c r="H708" s="638">
        <v>865902</v>
      </c>
      <c r="I708" s="638"/>
      <c r="J708" s="632">
        <v>18500</v>
      </c>
      <c r="K708" s="632">
        <v>406737</v>
      </c>
      <c r="L708" s="632">
        <v>41971</v>
      </c>
      <c r="Z708" s="600"/>
      <c r="AA708" s="600"/>
      <c r="AB708" s="600"/>
      <c r="AC708" s="600"/>
      <c r="AD708" s="600"/>
      <c r="AE708" s="600"/>
      <c r="AF708" s="600"/>
      <c r="AG708" s="600"/>
      <c r="AH708" s="600"/>
      <c r="AI708" s="600"/>
      <c r="AJ708" s="600"/>
    </row>
    <row r="709" spans="1:36" s="263" customFormat="1" ht="9" customHeight="1" x14ac:dyDescent="0.25">
      <c r="A709" s="550" t="s">
        <v>31</v>
      </c>
      <c r="B709" s="638">
        <f t="shared" si="38"/>
        <v>32428</v>
      </c>
      <c r="C709" s="632">
        <v>16751</v>
      </c>
      <c r="D709" s="638"/>
      <c r="E709" s="638">
        <f t="shared" si="39"/>
        <v>14346</v>
      </c>
      <c r="F709" s="632">
        <v>3335</v>
      </c>
      <c r="G709" s="632">
        <v>2189</v>
      </c>
      <c r="H709" s="638">
        <v>8822</v>
      </c>
      <c r="I709" s="638"/>
      <c r="J709" s="632">
        <v>61</v>
      </c>
      <c r="K709" s="632">
        <v>1050</v>
      </c>
      <c r="L709" s="632">
        <v>220</v>
      </c>
      <c r="Z709" s="600"/>
      <c r="AA709" s="600"/>
      <c r="AB709" s="600"/>
      <c r="AC709" s="600"/>
      <c r="AD709" s="600"/>
      <c r="AE709" s="600"/>
      <c r="AF709" s="600"/>
      <c r="AG709" s="600"/>
      <c r="AH709" s="600"/>
      <c r="AI709" s="600"/>
      <c r="AJ709" s="600"/>
    </row>
    <row r="710" spans="1:36" s="263" customFormat="1" ht="9" customHeight="1" x14ac:dyDescent="0.25">
      <c r="A710" s="550" t="s">
        <v>32</v>
      </c>
      <c r="B710" s="638">
        <f t="shared" si="38"/>
        <v>514845</v>
      </c>
      <c r="C710" s="632">
        <v>220688</v>
      </c>
      <c r="D710" s="638"/>
      <c r="E710" s="638">
        <f t="shared" si="39"/>
        <v>213717</v>
      </c>
      <c r="F710" s="632">
        <v>66875</v>
      </c>
      <c r="G710" s="632">
        <v>57087</v>
      </c>
      <c r="H710" s="638">
        <v>89755</v>
      </c>
      <c r="I710" s="638"/>
      <c r="J710" s="632">
        <v>3635</v>
      </c>
      <c r="K710" s="632">
        <v>66979</v>
      </c>
      <c r="L710" s="632">
        <v>9826</v>
      </c>
      <c r="Z710" s="600"/>
      <c r="AA710" s="600"/>
      <c r="AB710" s="600"/>
      <c r="AC710" s="600"/>
      <c r="AD710" s="600"/>
      <c r="AE710" s="600"/>
      <c r="AF710" s="600"/>
      <c r="AG710" s="600"/>
      <c r="AH710" s="600"/>
      <c r="AI710" s="600"/>
      <c r="AJ710" s="600"/>
    </row>
    <row r="711" spans="1:36" s="263" customFormat="1" ht="9" customHeight="1" x14ac:dyDescent="0.25">
      <c r="A711" s="603" t="s">
        <v>33</v>
      </c>
      <c r="B711" s="640">
        <f t="shared" si="38"/>
        <v>169054</v>
      </c>
      <c r="C711" s="634">
        <v>68154</v>
      </c>
      <c r="D711" s="640"/>
      <c r="E711" s="640">
        <f t="shared" si="39"/>
        <v>84748</v>
      </c>
      <c r="F711" s="634">
        <v>25636</v>
      </c>
      <c r="G711" s="634">
        <v>21265</v>
      </c>
      <c r="H711" s="640">
        <v>37847</v>
      </c>
      <c r="I711" s="640"/>
      <c r="J711" s="634">
        <v>178</v>
      </c>
      <c r="K711" s="634">
        <v>14105</v>
      </c>
      <c r="L711" s="634">
        <v>1869</v>
      </c>
      <c r="Z711" s="600"/>
      <c r="AA711" s="600"/>
      <c r="AB711" s="600"/>
      <c r="AC711" s="600"/>
      <c r="AD711" s="600"/>
      <c r="AE711" s="600"/>
      <c r="AF711" s="600"/>
      <c r="AG711" s="600"/>
      <c r="AH711" s="600"/>
      <c r="AI711" s="600"/>
      <c r="AJ711" s="600"/>
    </row>
    <row r="712" spans="1:36" s="263" customFormat="1" ht="9" customHeight="1" x14ac:dyDescent="0.25">
      <c r="A712" s="550" t="s">
        <v>34</v>
      </c>
      <c r="B712" s="638">
        <f t="shared" si="38"/>
        <v>282965</v>
      </c>
      <c r="C712" s="632">
        <v>134108</v>
      </c>
      <c r="D712" s="638"/>
      <c r="E712" s="638">
        <f t="shared" si="39"/>
        <v>120142</v>
      </c>
      <c r="F712" s="632">
        <v>31780</v>
      </c>
      <c r="G712" s="632">
        <v>26079</v>
      </c>
      <c r="H712" s="638">
        <v>62283</v>
      </c>
      <c r="I712" s="638"/>
      <c r="J712" s="632">
        <v>635</v>
      </c>
      <c r="K712" s="632">
        <v>16821</v>
      </c>
      <c r="L712" s="632">
        <v>11259</v>
      </c>
      <c r="Z712" s="600"/>
      <c r="AA712" s="600"/>
      <c r="AB712" s="600"/>
      <c r="AC712" s="600"/>
      <c r="AD712" s="600"/>
      <c r="AE712" s="600"/>
      <c r="AF712" s="600"/>
      <c r="AG712" s="600"/>
      <c r="AH712" s="600"/>
      <c r="AI712" s="600"/>
      <c r="AJ712" s="600"/>
    </row>
    <row r="713" spans="1:36" s="263" customFormat="1" ht="9" customHeight="1" x14ac:dyDescent="0.25">
      <c r="A713" s="550" t="s">
        <v>35</v>
      </c>
      <c r="B713" s="638">
        <f t="shared" si="38"/>
        <v>903772</v>
      </c>
      <c r="C713" s="632">
        <v>220740</v>
      </c>
      <c r="D713" s="638"/>
      <c r="E713" s="638">
        <f t="shared" si="39"/>
        <v>505897</v>
      </c>
      <c r="F713" s="632">
        <v>141861</v>
      </c>
      <c r="G713" s="632">
        <v>93445</v>
      </c>
      <c r="H713" s="638">
        <v>270591</v>
      </c>
      <c r="I713" s="638"/>
      <c r="J713" s="632">
        <v>6954</v>
      </c>
      <c r="K713" s="632">
        <v>163105</v>
      </c>
      <c r="L713" s="632">
        <v>7076</v>
      </c>
      <c r="Z713" s="600"/>
      <c r="AA713" s="600"/>
      <c r="AB713" s="600"/>
      <c r="AC713" s="600"/>
      <c r="AD713" s="600"/>
      <c r="AE713" s="600"/>
      <c r="AF713" s="600"/>
      <c r="AG713" s="600"/>
      <c r="AH713" s="600"/>
      <c r="AI713" s="600"/>
      <c r="AJ713" s="600"/>
    </row>
    <row r="714" spans="1:36" s="263" customFormat="1" ht="9" customHeight="1" x14ac:dyDescent="0.25">
      <c r="A714" s="550" t="s">
        <v>36</v>
      </c>
      <c r="B714" s="638">
        <f t="shared" si="38"/>
        <v>1572382</v>
      </c>
      <c r="C714" s="632">
        <v>835818</v>
      </c>
      <c r="D714" s="638"/>
      <c r="E714" s="638">
        <f t="shared" si="39"/>
        <v>591543</v>
      </c>
      <c r="F714" s="632">
        <v>215217</v>
      </c>
      <c r="G714" s="632">
        <v>184754</v>
      </c>
      <c r="H714" s="638">
        <v>191572</v>
      </c>
      <c r="I714" s="638"/>
      <c r="J714" s="632">
        <v>13024</v>
      </c>
      <c r="K714" s="632">
        <v>103025</v>
      </c>
      <c r="L714" s="632">
        <v>28972</v>
      </c>
      <c r="Z714" s="600"/>
      <c r="AA714" s="600"/>
      <c r="AB714" s="600"/>
      <c r="AC714" s="600"/>
      <c r="AD714" s="600"/>
      <c r="AE714" s="600"/>
      <c r="AF714" s="600"/>
      <c r="AG714" s="600"/>
      <c r="AH714" s="600"/>
      <c r="AI714" s="600"/>
      <c r="AJ714" s="600"/>
    </row>
    <row r="715" spans="1:36" s="263" customFormat="1" ht="9" customHeight="1" x14ac:dyDescent="0.25">
      <c r="A715" s="603" t="s">
        <v>37</v>
      </c>
      <c r="B715" s="640">
        <f t="shared" si="38"/>
        <v>356443</v>
      </c>
      <c r="C715" s="634">
        <v>145205</v>
      </c>
      <c r="D715" s="640"/>
      <c r="E715" s="640">
        <f t="shared" si="39"/>
        <v>185141</v>
      </c>
      <c r="F715" s="634">
        <v>58044</v>
      </c>
      <c r="G715" s="634">
        <v>39055</v>
      </c>
      <c r="H715" s="640">
        <v>88042</v>
      </c>
      <c r="I715" s="640"/>
      <c r="J715" s="634">
        <v>468</v>
      </c>
      <c r="K715" s="634">
        <v>24018</v>
      </c>
      <c r="L715" s="634">
        <v>1611</v>
      </c>
      <c r="Z715" s="600"/>
      <c r="AA715" s="600"/>
      <c r="AB715" s="600"/>
      <c r="AC715" s="600"/>
      <c r="AD715" s="600"/>
      <c r="AE715" s="600"/>
      <c r="AF715" s="600"/>
      <c r="AG715" s="600"/>
      <c r="AH715" s="600"/>
      <c r="AI715" s="600"/>
      <c r="AJ715" s="600"/>
    </row>
    <row r="716" spans="1:36" s="263" customFormat="1" ht="9" customHeight="1" x14ac:dyDescent="0.25">
      <c r="A716" s="550" t="s">
        <v>38</v>
      </c>
      <c r="B716" s="638">
        <f t="shared" si="38"/>
        <v>90405</v>
      </c>
      <c r="C716" s="632">
        <v>47999</v>
      </c>
      <c r="D716" s="638"/>
      <c r="E716" s="638">
        <f t="shared" si="39"/>
        <v>38032</v>
      </c>
      <c r="F716" s="632">
        <v>14892</v>
      </c>
      <c r="G716" s="632">
        <v>5261</v>
      </c>
      <c r="H716" s="638">
        <v>17879</v>
      </c>
      <c r="I716" s="638"/>
      <c r="J716" s="632">
        <v>126</v>
      </c>
      <c r="K716" s="632">
        <v>3726</v>
      </c>
      <c r="L716" s="632">
        <v>522</v>
      </c>
      <c r="Z716" s="600"/>
      <c r="AA716" s="600"/>
      <c r="AB716" s="600"/>
      <c r="AC716" s="600"/>
      <c r="AD716" s="600"/>
      <c r="AE716" s="600"/>
      <c r="AF716" s="600"/>
      <c r="AG716" s="600"/>
      <c r="AH716" s="600"/>
      <c r="AI716" s="600"/>
      <c r="AJ716" s="600"/>
    </row>
    <row r="717" spans="1:36" s="263" customFormat="1" ht="9" customHeight="1" x14ac:dyDescent="0.25">
      <c r="A717" s="550" t="s">
        <v>39</v>
      </c>
      <c r="B717" s="638">
        <f t="shared" si="38"/>
        <v>9946</v>
      </c>
      <c r="C717" s="632">
        <v>3626</v>
      </c>
      <c r="D717" s="638"/>
      <c r="E717" s="638">
        <f t="shared" si="39"/>
        <v>6038</v>
      </c>
      <c r="F717" s="632">
        <v>2088</v>
      </c>
      <c r="G717" s="632">
        <v>308</v>
      </c>
      <c r="H717" s="638">
        <v>3642</v>
      </c>
      <c r="I717" s="638"/>
      <c r="J717" s="632">
        <v>0</v>
      </c>
      <c r="K717" s="632">
        <v>282</v>
      </c>
      <c r="L717" s="632">
        <v>0</v>
      </c>
      <c r="Z717" s="600"/>
      <c r="AA717" s="600"/>
      <c r="AB717" s="600"/>
      <c r="AC717" s="600"/>
      <c r="AD717" s="600"/>
      <c r="AE717" s="600"/>
      <c r="AF717" s="600"/>
      <c r="AG717" s="600"/>
      <c r="AH717" s="600"/>
      <c r="AI717" s="600"/>
      <c r="AJ717" s="600"/>
    </row>
    <row r="718" spans="1:36" s="263" customFormat="1" ht="9" customHeight="1" x14ac:dyDescent="0.25">
      <c r="A718" s="550" t="s">
        <v>40</v>
      </c>
      <c r="B718" s="638">
        <f t="shared" si="38"/>
        <v>1555136</v>
      </c>
      <c r="C718" s="632">
        <v>415141</v>
      </c>
      <c r="D718" s="638"/>
      <c r="E718" s="638">
        <f t="shared" si="39"/>
        <v>727736</v>
      </c>
      <c r="F718" s="632">
        <v>180516</v>
      </c>
      <c r="G718" s="632">
        <v>208714</v>
      </c>
      <c r="H718" s="638">
        <v>338506</v>
      </c>
      <c r="I718" s="638"/>
      <c r="J718" s="632">
        <v>44781</v>
      </c>
      <c r="K718" s="632">
        <v>313029</v>
      </c>
      <c r="L718" s="632">
        <v>54449</v>
      </c>
      <c r="Z718" s="600"/>
      <c r="AA718" s="600"/>
      <c r="AB718" s="600"/>
      <c r="AC718" s="600"/>
      <c r="AD718" s="600"/>
      <c r="AE718" s="600"/>
      <c r="AF718" s="600"/>
      <c r="AG718" s="600"/>
      <c r="AH718" s="600"/>
      <c r="AI718" s="600"/>
      <c r="AJ718" s="600"/>
    </row>
    <row r="719" spans="1:36" s="263" customFormat="1" ht="9" customHeight="1" x14ac:dyDescent="0.25">
      <c r="A719" s="603" t="s">
        <v>41</v>
      </c>
      <c r="B719" s="640">
        <f t="shared" si="38"/>
        <v>329412</v>
      </c>
      <c r="C719" s="634">
        <v>126933</v>
      </c>
      <c r="D719" s="640"/>
      <c r="E719" s="640">
        <f t="shared" si="39"/>
        <v>173124</v>
      </c>
      <c r="F719" s="634">
        <v>48394</v>
      </c>
      <c r="G719" s="634">
        <v>29308</v>
      </c>
      <c r="H719" s="640">
        <v>95422</v>
      </c>
      <c r="I719" s="640"/>
      <c r="J719" s="634">
        <v>2656</v>
      </c>
      <c r="K719" s="634">
        <v>8432</v>
      </c>
      <c r="L719" s="634">
        <v>18267</v>
      </c>
      <c r="Z719" s="600"/>
      <c r="AA719" s="600"/>
      <c r="AB719" s="600"/>
      <c r="AC719" s="600"/>
      <c r="AD719" s="600"/>
      <c r="AE719" s="600"/>
      <c r="AF719" s="600"/>
      <c r="AG719" s="600"/>
      <c r="AH719" s="600"/>
      <c r="AI719" s="600"/>
      <c r="AJ719" s="600"/>
    </row>
    <row r="720" spans="1:36" s="263" customFormat="1" ht="9" customHeight="1" x14ac:dyDescent="0.25">
      <c r="A720" s="550" t="s">
        <v>42</v>
      </c>
      <c r="B720" s="638">
        <f t="shared" si="38"/>
        <v>302539</v>
      </c>
      <c r="C720" s="632">
        <v>109663</v>
      </c>
      <c r="D720" s="638"/>
      <c r="E720" s="638">
        <f t="shared" si="39"/>
        <v>140912</v>
      </c>
      <c r="F720" s="632">
        <v>55553</v>
      </c>
      <c r="G720" s="632">
        <v>28617</v>
      </c>
      <c r="H720" s="638">
        <v>56742</v>
      </c>
      <c r="I720" s="638"/>
      <c r="J720" s="632">
        <v>2287</v>
      </c>
      <c r="K720" s="632">
        <v>46176</v>
      </c>
      <c r="L720" s="632">
        <v>3501</v>
      </c>
      <c r="Z720" s="600"/>
      <c r="AA720" s="600"/>
      <c r="AB720" s="600"/>
      <c r="AC720" s="600"/>
      <c r="AD720" s="600"/>
      <c r="AE720" s="600"/>
      <c r="AF720" s="600"/>
      <c r="AG720" s="600"/>
      <c r="AH720" s="600"/>
      <c r="AI720" s="600"/>
      <c r="AJ720" s="600"/>
    </row>
    <row r="721" spans="1:36" s="263" customFormat="1" ht="9" customHeight="1" x14ac:dyDescent="0.25">
      <c r="A721" s="550" t="s">
        <v>43</v>
      </c>
      <c r="B721" s="638">
        <f t="shared" si="38"/>
        <v>259844</v>
      </c>
      <c r="C721" s="632">
        <v>119672</v>
      </c>
      <c r="D721" s="638"/>
      <c r="E721" s="638">
        <f t="shared" si="39"/>
        <v>100518</v>
      </c>
      <c r="F721" s="632">
        <v>36226</v>
      </c>
      <c r="G721" s="632">
        <v>18044</v>
      </c>
      <c r="H721" s="638">
        <v>46248</v>
      </c>
      <c r="I721" s="638"/>
      <c r="J721" s="632">
        <v>1523</v>
      </c>
      <c r="K721" s="632">
        <v>33295</v>
      </c>
      <c r="L721" s="632">
        <v>4836</v>
      </c>
      <c r="Z721" s="600"/>
      <c r="AA721" s="600"/>
      <c r="AB721" s="600"/>
      <c r="AC721" s="600"/>
      <c r="AD721" s="600"/>
      <c r="AE721" s="600"/>
      <c r="AF721" s="600"/>
      <c r="AG721" s="600"/>
      <c r="AH721" s="600"/>
      <c r="AI721" s="600"/>
      <c r="AJ721" s="600"/>
    </row>
    <row r="722" spans="1:36" s="263" customFormat="1" ht="9" customHeight="1" x14ac:dyDescent="0.25">
      <c r="A722" s="550" t="s">
        <v>44</v>
      </c>
      <c r="B722" s="638">
        <f t="shared" si="38"/>
        <v>158558</v>
      </c>
      <c r="C722" s="632">
        <v>49276</v>
      </c>
      <c r="D722" s="638"/>
      <c r="E722" s="638">
        <f t="shared" si="39"/>
        <v>79834</v>
      </c>
      <c r="F722" s="632">
        <v>32449</v>
      </c>
      <c r="G722" s="632">
        <v>16166</v>
      </c>
      <c r="H722" s="638">
        <v>31219</v>
      </c>
      <c r="I722" s="638"/>
      <c r="J722" s="632">
        <v>38</v>
      </c>
      <c r="K722" s="632">
        <v>24324</v>
      </c>
      <c r="L722" s="632">
        <v>5086</v>
      </c>
      <c r="Z722" s="600"/>
      <c r="AA722" s="600"/>
      <c r="AB722" s="600"/>
      <c r="AC722" s="600"/>
      <c r="AD722" s="600"/>
      <c r="AE722" s="600"/>
      <c r="AF722" s="600"/>
      <c r="AG722" s="600"/>
      <c r="AH722" s="600"/>
      <c r="AI722" s="600"/>
      <c r="AJ722" s="600"/>
    </row>
    <row r="723" spans="1:36" s="263" customFormat="1" ht="9" customHeight="1" x14ac:dyDescent="0.25">
      <c r="A723" s="603" t="s">
        <v>45</v>
      </c>
      <c r="B723" s="640">
        <f t="shared" si="38"/>
        <v>125543</v>
      </c>
      <c r="C723" s="634">
        <v>35199</v>
      </c>
      <c r="D723" s="640"/>
      <c r="E723" s="640">
        <f t="shared" si="39"/>
        <v>42238</v>
      </c>
      <c r="F723" s="634">
        <v>13187</v>
      </c>
      <c r="G723" s="634">
        <v>10690</v>
      </c>
      <c r="H723" s="640">
        <v>18361</v>
      </c>
      <c r="I723" s="640"/>
      <c r="J723" s="634">
        <v>1380</v>
      </c>
      <c r="K723" s="634">
        <v>45821</v>
      </c>
      <c r="L723" s="634">
        <v>905</v>
      </c>
      <c r="Z723" s="600"/>
      <c r="AA723" s="600"/>
      <c r="AB723" s="600"/>
      <c r="AC723" s="600"/>
      <c r="AD723" s="600"/>
      <c r="AE723" s="600"/>
      <c r="AF723" s="600"/>
      <c r="AG723" s="600"/>
      <c r="AH723" s="600"/>
      <c r="AI723" s="600"/>
      <c r="AJ723" s="600"/>
    </row>
    <row r="724" spans="1:36" s="263" customFormat="1" ht="9" customHeight="1" x14ac:dyDescent="0.25">
      <c r="A724" s="550" t="s">
        <v>46</v>
      </c>
      <c r="B724" s="638">
        <f t="shared" si="38"/>
        <v>167927</v>
      </c>
      <c r="C724" s="632">
        <v>47314</v>
      </c>
      <c r="D724" s="638"/>
      <c r="E724" s="638">
        <f t="shared" si="39"/>
        <v>107179</v>
      </c>
      <c r="F724" s="632">
        <v>33274</v>
      </c>
      <c r="G724" s="632">
        <v>23869</v>
      </c>
      <c r="H724" s="638">
        <v>50036</v>
      </c>
      <c r="I724" s="638"/>
      <c r="J724" s="632">
        <v>1725</v>
      </c>
      <c r="K724" s="632">
        <v>11112</v>
      </c>
      <c r="L724" s="632">
        <v>597</v>
      </c>
      <c r="Z724" s="600"/>
      <c r="AA724" s="600"/>
      <c r="AB724" s="600"/>
      <c r="AC724" s="600"/>
      <c r="AD724" s="600"/>
      <c r="AE724" s="600"/>
      <c r="AF724" s="600"/>
      <c r="AG724" s="600"/>
      <c r="AH724" s="600"/>
      <c r="AI724" s="600"/>
      <c r="AJ724" s="600"/>
    </row>
    <row r="725" spans="1:36" s="263" customFormat="1" ht="9" customHeight="1" x14ac:dyDescent="0.25">
      <c r="A725" s="550" t="s">
        <v>47</v>
      </c>
      <c r="B725" s="638">
        <f t="shared" si="38"/>
        <v>254142</v>
      </c>
      <c r="C725" s="632">
        <v>67693</v>
      </c>
      <c r="D725" s="638"/>
      <c r="E725" s="638">
        <f t="shared" si="39"/>
        <v>109205</v>
      </c>
      <c r="F725" s="632">
        <v>21522</v>
      </c>
      <c r="G725" s="632">
        <v>21410</v>
      </c>
      <c r="H725" s="638">
        <v>66273</v>
      </c>
      <c r="I725" s="638"/>
      <c r="J725" s="632">
        <v>742</v>
      </c>
      <c r="K725" s="632">
        <v>72811</v>
      </c>
      <c r="L725" s="632">
        <v>3691</v>
      </c>
      <c r="Z725" s="600"/>
      <c r="AA725" s="600"/>
      <c r="AB725" s="600"/>
      <c r="AC725" s="600"/>
      <c r="AD725" s="600"/>
      <c r="AE725" s="600"/>
      <c r="AF725" s="600"/>
      <c r="AG725" s="600"/>
      <c r="AH725" s="600"/>
      <c r="AI725" s="600"/>
      <c r="AJ725" s="600"/>
    </row>
    <row r="726" spans="1:36" s="263" customFormat="1" ht="9" customHeight="1" x14ac:dyDescent="0.25">
      <c r="A726" s="550" t="s">
        <v>48</v>
      </c>
      <c r="B726" s="638">
        <f t="shared" si="38"/>
        <v>136562</v>
      </c>
      <c r="C726" s="632">
        <v>46589</v>
      </c>
      <c r="D726" s="638"/>
      <c r="E726" s="638">
        <f t="shared" si="39"/>
        <v>64725</v>
      </c>
      <c r="F726" s="632">
        <v>20525</v>
      </c>
      <c r="G726" s="632">
        <v>10946</v>
      </c>
      <c r="H726" s="638">
        <v>33254</v>
      </c>
      <c r="I726" s="638"/>
      <c r="J726" s="632">
        <v>288</v>
      </c>
      <c r="K726" s="632">
        <v>24960</v>
      </c>
      <c r="L726" s="632">
        <v>0</v>
      </c>
      <c r="Z726" s="600"/>
      <c r="AA726" s="600"/>
      <c r="AB726" s="600"/>
      <c r="AC726" s="600"/>
      <c r="AD726" s="600"/>
      <c r="AE726" s="600"/>
      <c r="AF726" s="600"/>
      <c r="AG726" s="600"/>
      <c r="AH726" s="600"/>
      <c r="AI726" s="600"/>
      <c r="AJ726" s="600"/>
    </row>
    <row r="727" spans="1:36" s="263" customFormat="1" ht="9" customHeight="1" x14ac:dyDescent="0.25">
      <c r="A727" s="603" t="s">
        <v>49</v>
      </c>
      <c r="B727" s="640">
        <f t="shared" si="38"/>
        <v>123025</v>
      </c>
      <c r="C727" s="634">
        <v>61215</v>
      </c>
      <c r="D727" s="640"/>
      <c r="E727" s="640">
        <f t="shared" si="39"/>
        <v>41115</v>
      </c>
      <c r="F727" s="634">
        <v>9315</v>
      </c>
      <c r="G727" s="634">
        <v>11557</v>
      </c>
      <c r="H727" s="640">
        <v>20243</v>
      </c>
      <c r="I727" s="640"/>
      <c r="J727" s="634">
        <v>385</v>
      </c>
      <c r="K727" s="634">
        <v>19246</v>
      </c>
      <c r="L727" s="634">
        <v>1064</v>
      </c>
      <c r="Z727" s="600"/>
      <c r="AA727" s="600"/>
      <c r="AB727" s="600"/>
      <c r="AC727" s="600"/>
      <c r="AD727" s="600"/>
      <c r="AE727" s="600"/>
      <c r="AF727" s="600"/>
      <c r="AG727" s="600"/>
      <c r="AH727" s="600"/>
      <c r="AI727" s="600"/>
      <c r="AJ727" s="600"/>
    </row>
    <row r="728" spans="1:36" s="263" customFormat="1" ht="9" customHeight="1" x14ac:dyDescent="0.25">
      <c r="A728" s="550" t="s">
        <v>50</v>
      </c>
      <c r="B728" s="638">
        <f t="shared" si="38"/>
        <v>122544</v>
      </c>
      <c r="C728" s="632">
        <v>65876</v>
      </c>
      <c r="D728" s="638"/>
      <c r="E728" s="638">
        <f t="shared" si="39"/>
        <v>49968</v>
      </c>
      <c r="F728" s="632">
        <v>11030</v>
      </c>
      <c r="G728" s="632">
        <v>20200</v>
      </c>
      <c r="H728" s="638">
        <v>18738</v>
      </c>
      <c r="I728" s="638"/>
      <c r="J728" s="632">
        <v>3204</v>
      </c>
      <c r="K728" s="632">
        <v>2255</v>
      </c>
      <c r="L728" s="632">
        <v>1241</v>
      </c>
      <c r="Z728" s="600"/>
      <c r="AA728" s="600"/>
      <c r="AB728" s="600"/>
      <c r="AC728" s="600"/>
      <c r="AD728" s="600"/>
      <c r="AE728" s="600"/>
      <c r="AF728" s="600"/>
      <c r="AG728" s="600"/>
      <c r="AH728" s="600"/>
      <c r="AI728" s="600"/>
      <c r="AJ728" s="600"/>
    </row>
    <row r="729" spans="1:36" s="263" customFormat="1" ht="9" customHeight="1" x14ac:dyDescent="0.25">
      <c r="A729" s="550" t="s">
        <v>51</v>
      </c>
      <c r="B729" s="638">
        <f t="shared" si="38"/>
        <v>399861</v>
      </c>
      <c r="C729" s="632">
        <v>171174</v>
      </c>
      <c r="D729" s="638"/>
      <c r="E729" s="638">
        <f t="shared" si="39"/>
        <v>174662</v>
      </c>
      <c r="F729" s="632">
        <v>66850</v>
      </c>
      <c r="G729" s="632">
        <v>31726</v>
      </c>
      <c r="H729" s="638">
        <v>76086</v>
      </c>
      <c r="I729" s="638"/>
      <c r="J729" s="632">
        <v>2134</v>
      </c>
      <c r="K729" s="632">
        <v>44915</v>
      </c>
      <c r="L729" s="632">
        <v>6976</v>
      </c>
      <c r="Z729" s="600"/>
      <c r="AA729" s="600"/>
      <c r="AB729" s="600"/>
      <c r="AC729" s="600"/>
      <c r="AD729" s="600"/>
      <c r="AE729" s="600"/>
      <c r="AF729" s="600"/>
      <c r="AG729" s="600"/>
      <c r="AH729" s="600"/>
      <c r="AI729" s="600"/>
      <c r="AJ729" s="600"/>
    </row>
    <row r="730" spans="1:36" s="263" customFormat="1" ht="9" customHeight="1" x14ac:dyDescent="0.25">
      <c r="A730" s="550" t="s">
        <v>52</v>
      </c>
      <c r="B730" s="638">
        <f t="shared" si="38"/>
        <v>148431</v>
      </c>
      <c r="C730" s="632">
        <v>29981</v>
      </c>
      <c r="D730" s="638"/>
      <c r="E730" s="638">
        <f t="shared" si="39"/>
        <v>52260</v>
      </c>
      <c r="F730" s="632">
        <v>23646</v>
      </c>
      <c r="G730" s="632">
        <v>7769</v>
      </c>
      <c r="H730" s="638">
        <v>20845</v>
      </c>
      <c r="I730" s="638"/>
      <c r="J730" s="632">
        <v>70</v>
      </c>
      <c r="K730" s="632">
        <v>65485</v>
      </c>
      <c r="L730" s="632">
        <v>635</v>
      </c>
      <c r="Z730" s="600"/>
      <c r="AA730" s="600"/>
      <c r="AB730" s="600"/>
      <c r="AC730" s="600"/>
      <c r="AD730" s="600"/>
      <c r="AE730" s="600"/>
      <c r="AF730" s="600"/>
      <c r="AG730" s="600"/>
      <c r="AH730" s="600"/>
      <c r="AI730" s="600"/>
      <c r="AJ730" s="600"/>
    </row>
    <row r="731" spans="1:36" s="263" customFormat="1" ht="9" customHeight="1" x14ac:dyDescent="0.25">
      <c r="A731" s="267" t="s">
        <v>53</v>
      </c>
      <c r="B731" s="599">
        <f t="shared" si="38"/>
        <v>60746</v>
      </c>
      <c r="C731" s="604">
        <v>16479</v>
      </c>
      <c r="D731" s="599"/>
      <c r="E731" s="599">
        <f t="shared" si="39"/>
        <v>34680</v>
      </c>
      <c r="F731" s="604">
        <v>10236</v>
      </c>
      <c r="G731" s="604">
        <v>6834</v>
      </c>
      <c r="H731" s="599">
        <v>17610</v>
      </c>
      <c r="I731" s="599"/>
      <c r="J731" s="604">
        <v>229</v>
      </c>
      <c r="K731" s="604">
        <v>8954</v>
      </c>
      <c r="L731" s="604">
        <v>404</v>
      </c>
      <c r="Z731" s="600"/>
      <c r="AA731" s="600"/>
      <c r="AB731" s="600"/>
      <c r="AC731" s="600"/>
      <c r="AD731" s="600"/>
      <c r="AE731" s="600"/>
      <c r="AF731" s="600"/>
      <c r="AG731" s="600"/>
      <c r="AH731" s="600"/>
      <c r="AI731" s="600"/>
      <c r="AJ731" s="600"/>
    </row>
    <row r="732" spans="1:36" s="263" customFormat="1" ht="9" customHeight="1" x14ac:dyDescent="0.25">
      <c r="A732" s="286"/>
      <c r="B732" s="613"/>
      <c r="C732" s="605"/>
      <c r="D732" s="613"/>
      <c r="E732" s="613"/>
      <c r="F732" s="605"/>
      <c r="G732" s="605"/>
      <c r="H732" s="613"/>
      <c r="I732" s="613"/>
      <c r="J732" s="605"/>
      <c r="K732" s="605"/>
      <c r="L732" s="605"/>
      <c r="M732" s="286"/>
    </row>
    <row r="733" spans="1:36" s="263" customFormat="1" ht="9" customHeight="1" x14ac:dyDescent="0.25">
      <c r="A733" s="601">
        <v>2015</v>
      </c>
      <c r="B733" s="597"/>
      <c r="C733" s="597"/>
      <c r="D733" s="597"/>
      <c r="E733" s="597"/>
      <c r="F733" s="597"/>
      <c r="G733" s="597"/>
      <c r="H733" s="597"/>
      <c r="I733" s="597"/>
      <c r="J733" s="597"/>
      <c r="K733" s="597"/>
      <c r="L733" s="597"/>
      <c r="O733" s="606"/>
    </row>
    <row r="734" spans="1:36" s="263" customFormat="1" ht="9" customHeight="1" x14ac:dyDescent="0.25">
      <c r="A734" s="265" t="s">
        <v>21</v>
      </c>
      <c r="B734" s="597">
        <f>SUM(B736:B767)</f>
        <v>12223897</v>
      </c>
      <c r="C734" s="597">
        <f>SUM(C736:C767)</f>
        <v>4582553</v>
      </c>
      <c r="D734" s="597"/>
      <c r="E734" s="597">
        <f>SUM(E736:E767)</f>
        <v>5442018</v>
      </c>
      <c r="F734" s="597">
        <f>SUM(F736:F767)</f>
        <v>1498964</v>
      </c>
      <c r="G734" s="597">
        <f>SUM(G736:G767)</f>
        <v>1119751</v>
      </c>
      <c r="H734" s="597">
        <f>SUM(H736:H767)</f>
        <v>2823303</v>
      </c>
      <c r="I734" s="597"/>
      <c r="J734" s="597">
        <f>SUM(J736:J767)</f>
        <v>137068</v>
      </c>
      <c r="K734" s="597">
        <f>SUM(K736:K767)</f>
        <v>1850937</v>
      </c>
      <c r="L734" s="597">
        <f>SUM(L736:L767)</f>
        <v>211321</v>
      </c>
      <c r="O734" s="600"/>
    </row>
    <row r="735" spans="1:36" s="263" customFormat="1" ht="3.95" customHeight="1" x14ac:dyDescent="0.25">
      <c r="A735" s="265"/>
      <c r="B735" s="597"/>
      <c r="C735" s="597"/>
      <c r="D735" s="597"/>
      <c r="E735" s="597"/>
      <c r="F735" s="597"/>
      <c r="G735" s="597"/>
      <c r="H735" s="597"/>
      <c r="I735" s="597"/>
      <c r="J735" s="597"/>
      <c r="K735" s="597"/>
      <c r="L735" s="597"/>
      <c r="O735" s="600"/>
    </row>
    <row r="736" spans="1:36" s="263" customFormat="1" ht="9" customHeight="1" x14ac:dyDescent="0.25">
      <c r="A736" s="550" t="s">
        <v>23</v>
      </c>
      <c r="B736" s="638">
        <f t="shared" ref="B736:B767" si="40">SUM(C736+E736+J736+K736+L736)</f>
        <v>11963</v>
      </c>
      <c r="C736" s="632">
        <v>2814</v>
      </c>
      <c r="D736" s="638"/>
      <c r="E736" s="638">
        <f>SUM(F736:H736)</f>
        <v>8957</v>
      </c>
      <c r="F736" s="632">
        <v>2002</v>
      </c>
      <c r="G736" s="632">
        <v>1056</v>
      </c>
      <c r="H736" s="638">
        <v>5899</v>
      </c>
      <c r="I736" s="638"/>
      <c r="J736" s="632">
        <v>0</v>
      </c>
      <c r="K736" s="632">
        <v>192</v>
      </c>
      <c r="L736" s="632">
        <v>0</v>
      </c>
      <c r="O736" s="600"/>
    </row>
    <row r="737" spans="1:15" s="263" customFormat="1" ht="9" customHeight="1" x14ac:dyDescent="0.25">
      <c r="A737" s="550" t="s">
        <v>24</v>
      </c>
      <c r="B737" s="638">
        <f t="shared" si="40"/>
        <v>610795</v>
      </c>
      <c r="C737" s="638">
        <v>329272</v>
      </c>
      <c r="D737" s="638"/>
      <c r="E737" s="638">
        <f t="shared" ref="E737:E767" si="41">SUM(F737:H737)</f>
        <v>210699</v>
      </c>
      <c r="F737" s="638">
        <v>77713</v>
      </c>
      <c r="G737" s="638">
        <v>58758</v>
      </c>
      <c r="H737" s="638">
        <v>74228</v>
      </c>
      <c r="I737" s="638"/>
      <c r="J737" s="638">
        <v>3442</v>
      </c>
      <c r="K737" s="638">
        <v>62507</v>
      </c>
      <c r="L737" s="638">
        <v>4875</v>
      </c>
      <c r="O737" s="600"/>
    </row>
    <row r="738" spans="1:15" s="263" customFormat="1" ht="9" customHeight="1" x14ac:dyDescent="0.25">
      <c r="A738" s="550" t="s">
        <v>25</v>
      </c>
      <c r="B738" s="638">
        <f t="shared" si="40"/>
        <v>23438</v>
      </c>
      <c r="C738" s="632">
        <v>17092</v>
      </c>
      <c r="D738" s="638"/>
      <c r="E738" s="638">
        <f t="shared" si="41"/>
        <v>4282</v>
      </c>
      <c r="F738" s="632">
        <v>1385</v>
      </c>
      <c r="G738" s="632">
        <v>833</v>
      </c>
      <c r="H738" s="638">
        <v>2064</v>
      </c>
      <c r="I738" s="638"/>
      <c r="J738" s="632">
        <v>163</v>
      </c>
      <c r="K738" s="632">
        <v>1345</v>
      </c>
      <c r="L738" s="632">
        <v>556</v>
      </c>
      <c r="O738" s="600"/>
    </row>
    <row r="739" spans="1:15" s="263" customFormat="1" ht="9" customHeight="1" x14ac:dyDescent="0.25">
      <c r="A739" s="603" t="s">
        <v>26</v>
      </c>
      <c r="B739" s="640">
        <f t="shared" si="40"/>
        <v>66041</v>
      </c>
      <c r="C739" s="634">
        <v>16595</v>
      </c>
      <c r="D739" s="640"/>
      <c r="E739" s="640">
        <f t="shared" si="41"/>
        <v>34011</v>
      </c>
      <c r="F739" s="634">
        <v>12011</v>
      </c>
      <c r="G739" s="634">
        <v>7534</v>
      </c>
      <c r="H739" s="640">
        <v>14466</v>
      </c>
      <c r="I739" s="640"/>
      <c r="J739" s="634">
        <v>341</v>
      </c>
      <c r="K739" s="634">
        <v>14317</v>
      </c>
      <c r="L739" s="634">
        <v>777</v>
      </c>
      <c r="O739" s="600"/>
    </row>
    <row r="740" spans="1:15" s="263" customFormat="1" ht="9" customHeight="1" x14ac:dyDescent="0.25">
      <c r="A740" s="550" t="s">
        <v>27</v>
      </c>
      <c r="B740" s="638">
        <f t="shared" si="40"/>
        <v>243712</v>
      </c>
      <c r="C740" s="632">
        <v>67132</v>
      </c>
      <c r="D740" s="638"/>
      <c r="E740" s="638">
        <f t="shared" si="41"/>
        <v>91311</v>
      </c>
      <c r="F740" s="632">
        <v>23997</v>
      </c>
      <c r="G740" s="632">
        <v>17070</v>
      </c>
      <c r="H740" s="638">
        <v>50244</v>
      </c>
      <c r="I740" s="638"/>
      <c r="J740" s="632">
        <v>1618</v>
      </c>
      <c r="K740" s="632">
        <v>83272</v>
      </c>
      <c r="L740" s="632">
        <v>379</v>
      </c>
      <c r="O740" s="600"/>
    </row>
    <row r="741" spans="1:15" s="263" customFormat="1" ht="9" customHeight="1" x14ac:dyDescent="0.25">
      <c r="A741" s="550" t="s">
        <v>28</v>
      </c>
      <c r="B741" s="638">
        <f t="shared" si="40"/>
        <v>21910</v>
      </c>
      <c r="C741" s="632">
        <v>15704</v>
      </c>
      <c r="D741" s="638"/>
      <c r="E741" s="638">
        <f t="shared" si="41"/>
        <v>5896</v>
      </c>
      <c r="F741" s="632">
        <v>1761</v>
      </c>
      <c r="G741" s="632">
        <v>841</v>
      </c>
      <c r="H741" s="638">
        <v>3294</v>
      </c>
      <c r="I741" s="638"/>
      <c r="J741" s="632">
        <v>0</v>
      </c>
      <c r="K741" s="632">
        <v>310</v>
      </c>
      <c r="L741" s="632">
        <v>0</v>
      </c>
      <c r="O741" s="600"/>
    </row>
    <row r="742" spans="1:15" s="263" customFormat="1" ht="9" customHeight="1" x14ac:dyDescent="0.25">
      <c r="A742" s="550" t="s">
        <v>29</v>
      </c>
      <c r="B742" s="638">
        <f t="shared" si="40"/>
        <v>180309</v>
      </c>
      <c r="C742" s="632">
        <v>78653</v>
      </c>
      <c r="D742" s="638"/>
      <c r="E742" s="638">
        <f t="shared" si="41"/>
        <v>88486</v>
      </c>
      <c r="F742" s="632">
        <v>30934</v>
      </c>
      <c r="G742" s="632">
        <v>26946</v>
      </c>
      <c r="H742" s="638">
        <v>30606</v>
      </c>
      <c r="I742" s="638"/>
      <c r="J742" s="632">
        <v>755</v>
      </c>
      <c r="K742" s="632">
        <v>10669</v>
      </c>
      <c r="L742" s="632">
        <v>1746</v>
      </c>
      <c r="O742" s="600"/>
    </row>
    <row r="743" spans="1:15" s="263" customFormat="1" ht="9" customHeight="1" x14ac:dyDescent="0.25">
      <c r="A743" s="603" t="s">
        <v>30</v>
      </c>
      <c r="B743" s="640">
        <f t="shared" si="40"/>
        <v>174196</v>
      </c>
      <c r="C743" s="634">
        <v>97257</v>
      </c>
      <c r="D743" s="640"/>
      <c r="E743" s="640">
        <f t="shared" si="41"/>
        <v>39389</v>
      </c>
      <c r="F743" s="634">
        <v>18825</v>
      </c>
      <c r="G743" s="634">
        <v>11076</v>
      </c>
      <c r="H743" s="640">
        <v>9488</v>
      </c>
      <c r="I743" s="640"/>
      <c r="J743" s="634">
        <v>678</v>
      </c>
      <c r="K743" s="634">
        <v>35152</v>
      </c>
      <c r="L743" s="634">
        <v>1720</v>
      </c>
      <c r="O743" s="600"/>
    </row>
    <row r="744" spans="1:15" s="263" customFormat="1" ht="9" customHeight="1" x14ac:dyDescent="0.25">
      <c r="A744" s="550" t="s">
        <v>63</v>
      </c>
      <c r="B744" s="638">
        <f t="shared" si="40"/>
        <v>2597097</v>
      </c>
      <c r="C744" s="632">
        <v>840562</v>
      </c>
      <c r="D744" s="638"/>
      <c r="E744" s="638">
        <f t="shared" si="41"/>
        <v>1271800</v>
      </c>
      <c r="F744" s="632">
        <v>195743</v>
      </c>
      <c r="G744" s="632">
        <v>162698</v>
      </c>
      <c r="H744" s="638">
        <v>913359</v>
      </c>
      <c r="I744" s="638"/>
      <c r="J744" s="632">
        <v>16878</v>
      </c>
      <c r="K744" s="632">
        <v>432733</v>
      </c>
      <c r="L744" s="632">
        <v>35124</v>
      </c>
      <c r="O744" s="600"/>
    </row>
    <row r="745" spans="1:15" s="263" customFormat="1" ht="9" customHeight="1" x14ac:dyDescent="0.25">
      <c r="A745" s="550" t="s">
        <v>31</v>
      </c>
      <c r="B745" s="638">
        <f t="shared" si="40"/>
        <v>44331</v>
      </c>
      <c r="C745" s="632">
        <v>16133</v>
      </c>
      <c r="D745" s="638"/>
      <c r="E745" s="638">
        <f t="shared" si="41"/>
        <v>22541</v>
      </c>
      <c r="F745" s="632">
        <v>5579</v>
      </c>
      <c r="G745" s="632">
        <v>2110</v>
      </c>
      <c r="H745" s="638">
        <v>14852</v>
      </c>
      <c r="I745" s="638"/>
      <c r="J745" s="632">
        <v>55</v>
      </c>
      <c r="K745" s="632">
        <v>5388</v>
      </c>
      <c r="L745" s="632">
        <v>214</v>
      </c>
      <c r="O745" s="600"/>
    </row>
    <row r="746" spans="1:15" s="263" customFormat="1" ht="9" customHeight="1" x14ac:dyDescent="0.25">
      <c r="A746" s="550" t="s">
        <v>32</v>
      </c>
      <c r="B746" s="638">
        <f t="shared" si="40"/>
        <v>631992</v>
      </c>
      <c r="C746" s="632">
        <v>280269</v>
      </c>
      <c r="D746" s="638"/>
      <c r="E746" s="638">
        <f t="shared" si="41"/>
        <v>233627</v>
      </c>
      <c r="F746" s="632">
        <v>79939</v>
      </c>
      <c r="G746" s="632">
        <v>50646</v>
      </c>
      <c r="H746" s="638">
        <v>103042</v>
      </c>
      <c r="I746" s="638"/>
      <c r="J746" s="632">
        <v>4573</v>
      </c>
      <c r="K746" s="632">
        <v>104037</v>
      </c>
      <c r="L746" s="632">
        <v>9486</v>
      </c>
      <c r="O746" s="600"/>
    </row>
    <row r="747" spans="1:15" s="263" customFormat="1" ht="9" customHeight="1" x14ac:dyDescent="0.25">
      <c r="A747" s="603" t="s">
        <v>33</v>
      </c>
      <c r="B747" s="640">
        <f t="shared" si="40"/>
        <v>190857</v>
      </c>
      <c r="C747" s="634">
        <v>95175</v>
      </c>
      <c r="D747" s="640"/>
      <c r="E747" s="640">
        <f t="shared" si="41"/>
        <v>75471</v>
      </c>
      <c r="F747" s="634">
        <v>24662</v>
      </c>
      <c r="G747" s="634">
        <v>17755</v>
      </c>
      <c r="H747" s="640">
        <v>33054</v>
      </c>
      <c r="I747" s="640"/>
      <c r="J747" s="634">
        <v>147</v>
      </c>
      <c r="K747" s="634">
        <v>17767</v>
      </c>
      <c r="L747" s="634">
        <v>2297</v>
      </c>
      <c r="O747" s="600"/>
    </row>
    <row r="748" spans="1:15" s="263" customFormat="1" ht="9" customHeight="1" x14ac:dyDescent="0.25">
      <c r="A748" s="550" t="s">
        <v>34</v>
      </c>
      <c r="B748" s="638">
        <f t="shared" si="40"/>
        <v>290682</v>
      </c>
      <c r="C748" s="632">
        <v>139369</v>
      </c>
      <c r="D748" s="638"/>
      <c r="E748" s="638">
        <f t="shared" si="41"/>
        <v>119832</v>
      </c>
      <c r="F748" s="632">
        <v>32821</v>
      </c>
      <c r="G748" s="632">
        <v>28036</v>
      </c>
      <c r="H748" s="638">
        <v>58975</v>
      </c>
      <c r="I748" s="638"/>
      <c r="J748" s="632">
        <v>2130</v>
      </c>
      <c r="K748" s="632">
        <v>19890</v>
      </c>
      <c r="L748" s="632">
        <v>9461</v>
      </c>
      <c r="O748" s="600"/>
    </row>
    <row r="749" spans="1:15" s="263" customFormat="1" ht="9" customHeight="1" x14ac:dyDescent="0.25">
      <c r="A749" s="550" t="s">
        <v>35</v>
      </c>
      <c r="B749" s="638">
        <f t="shared" si="40"/>
        <v>943340</v>
      </c>
      <c r="C749" s="632">
        <v>266476</v>
      </c>
      <c r="D749" s="638"/>
      <c r="E749" s="638">
        <f t="shared" si="41"/>
        <v>491103</v>
      </c>
      <c r="F749" s="632">
        <v>133867</v>
      </c>
      <c r="G749" s="632">
        <v>89140</v>
      </c>
      <c r="H749" s="638">
        <v>268096</v>
      </c>
      <c r="I749" s="638"/>
      <c r="J749" s="632">
        <v>2965</v>
      </c>
      <c r="K749" s="632">
        <v>177224</v>
      </c>
      <c r="L749" s="632">
        <v>5572</v>
      </c>
      <c r="O749" s="600"/>
    </row>
    <row r="750" spans="1:15" s="263" customFormat="1" ht="9" customHeight="1" x14ac:dyDescent="0.25">
      <c r="A750" s="550" t="s">
        <v>36</v>
      </c>
      <c r="B750" s="638">
        <f t="shared" si="40"/>
        <v>1559672</v>
      </c>
      <c r="C750" s="632">
        <v>826877</v>
      </c>
      <c r="D750" s="638"/>
      <c r="E750" s="638">
        <f t="shared" si="41"/>
        <v>568086</v>
      </c>
      <c r="F750" s="632">
        <v>203623</v>
      </c>
      <c r="G750" s="632">
        <v>176143</v>
      </c>
      <c r="H750" s="638">
        <v>188320</v>
      </c>
      <c r="I750" s="638"/>
      <c r="J750" s="632">
        <v>35197</v>
      </c>
      <c r="K750" s="632">
        <v>98642</v>
      </c>
      <c r="L750" s="632">
        <v>30870</v>
      </c>
      <c r="O750" s="600"/>
    </row>
    <row r="751" spans="1:15" s="263" customFormat="1" ht="9" customHeight="1" x14ac:dyDescent="0.25">
      <c r="A751" s="603" t="s">
        <v>37</v>
      </c>
      <c r="B751" s="640">
        <f t="shared" si="40"/>
        <v>396003</v>
      </c>
      <c r="C751" s="634">
        <v>132554</v>
      </c>
      <c r="D751" s="640"/>
      <c r="E751" s="640">
        <f t="shared" si="41"/>
        <v>226433</v>
      </c>
      <c r="F751" s="634">
        <v>60435</v>
      </c>
      <c r="G751" s="634">
        <v>37952</v>
      </c>
      <c r="H751" s="640">
        <v>128046</v>
      </c>
      <c r="I751" s="640"/>
      <c r="J751" s="634">
        <v>1066</v>
      </c>
      <c r="K751" s="634">
        <v>32588</v>
      </c>
      <c r="L751" s="634">
        <v>3362</v>
      </c>
      <c r="O751" s="600"/>
    </row>
    <row r="752" spans="1:15" s="263" customFormat="1" ht="9" customHeight="1" x14ac:dyDescent="0.25">
      <c r="A752" s="550" t="s">
        <v>38</v>
      </c>
      <c r="B752" s="638">
        <f t="shared" si="40"/>
        <v>137286</v>
      </c>
      <c r="C752" s="632">
        <v>49348</v>
      </c>
      <c r="D752" s="638"/>
      <c r="E752" s="638">
        <f t="shared" si="41"/>
        <v>78580</v>
      </c>
      <c r="F752" s="632">
        <v>23593</v>
      </c>
      <c r="G752" s="632">
        <v>5869</v>
      </c>
      <c r="H752" s="638">
        <v>49118</v>
      </c>
      <c r="I752" s="638"/>
      <c r="J752" s="632">
        <v>152</v>
      </c>
      <c r="K752" s="632">
        <v>8648</v>
      </c>
      <c r="L752" s="632">
        <v>558</v>
      </c>
      <c r="O752" s="600"/>
    </row>
    <row r="753" spans="1:15" s="263" customFormat="1" ht="9" customHeight="1" x14ac:dyDescent="0.25">
      <c r="A753" s="550" t="s">
        <v>39</v>
      </c>
      <c r="B753" s="638">
        <f t="shared" si="40"/>
        <v>9861</v>
      </c>
      <c r="C753" s="632">
        <v>4025</v>
      </c>
      <c r="D753" s="638"/>
      <c r="E753" s="638">
        <f t="shared" si="41"/>
        <v>5766</v>
      </c>
      <c r="F753" s="632">
        <v>1583</v>
      </c>
      <c r="G753" s="632">
        <v>496</v>
      </c>
      <c r="H753" s="638">
        <v>3687</v>
      </c>
      <c r="I753" s="638"/>
      <c r="J753" s="632">
        <v>0</v>
      </c>
      <c r="K753" s="632">
        <v>70</v>
      </c>
      <c r="L753" s="632">
        <v>0</v>
      </c>
      <c r="O753" s="600"/>
    </row>
    <row r="754" spans="1:15" s="263" customFormat="1" ht="9" customHeight="1" x14ac:dyDescent="0.25">
      <c r="A754" s="550" t="s">
        <v>40</v>
      </c>
      <c r="B754" s="638">
        <f t="shared" si="40"/>
        <v>1603178</v>
      </c>
      <c r="C754" s="632">
        <v>410645</v>
      </c>
      <c r="D754" s="638"/>
      <c r="E754" s="638">
        <f t="shared" si="41"/>
        <v>761112</v>
      </c>
      <c r="F754" s="632">
        <v>191450</v>
      </c>
      <c r="G754" s="632">
        <v>209087</v>
      </c>
      <c r="H754" s="638">
        <v>360575</v>
      </c>
      <c r="I754" s="638"/>
      <c r="J754" s="632">
        <v>47188</v>
      </c>
      <c r="K754" s="632">
        <v>325109</v>
      </c>
      <c r="L754" s="632">
        <v>59124</v>
      </c>
      <c r="O754" s="600"/>
    </row>
    <row r="755" spans="1:15" s="263" customFormat="1" ht="9" customHeight="1" x14ac:dyDescent="0.25">
      <c r="A755" s="603" t="s">
        <v>41</v>
      </c>
      <c r="B755" s="640">
        <f t="shared" si="40"/>
        <v>270595</v>
      </c>
      <c r="C755" s="634">
        <v>100205</v>
      </c>
      <c r="D755" s="640"/>
      <c r="E755" s="640">
        <f t="shared" si="41"/>
        <v>150748</v>
      </c>
      <c r="F755" s="634">
        <v>43608</v>
      </c>
      <c r="G755" s="634">
        <v>27319</v>
      </c>
      <c r="H755" s="640">
        <v>79821</v>
      </c>
      <c r="I755" s="640"/>
      <c r="J755" s="634">
        <v>1777</v>
      </c>
      <c r="K755" s="634">
        <v>8815</v>
      </c>
      <c r="L755" s="634">
        <v>9050</v>
      </c>
      <c r="O755" s="600"/>
    </row>
    <row r="756" spans="1:15" s="263" customFormat="1" ht="9" customHeight="1" x14ac:dyDescent="0.25">
      <c r="A756" s="550" t="s">
        <v>42</v>
      </c>
      <c r="B756" s="638">
        <f t="shared" si="40"/>
        <v>306470</v>
      </c>
      <c r="C756" s="632">
        <v>118461</v>
      </c>
      <c r="D756" s="638"/>
      <c r="E756" s="638">
        <f t="shared" si="41"/>
        <v>140897</v>
      </c>
      <c r="F756" s="632">
        <v>56501</v>
      </c>
      <c r="G756" s="632">
        <v>29034</v>
      </c>
      <c r="H756" s="638">
        <v>55362</v>
      </c>
      <c r="I756" s="638"/>
      <c r="J756" s="632">
        <v>4451</v>
      </c>
      <c r="K756" s="632">
        <v>39367</v>
      </c>
      <c r="L756" s="632">
        <v>3294</v>
      </c>
      <c r="O756" s="600"/>
    </row>
    <row r="757" spans="1:15" s="263" customFormat="1" ht="9" customHeight="1" x14ac:dyDescent="0.25">
      <c r="A757" s="550" t="s">
        <v>43</v>
      </c>
      <c r="B757" s="638">
        <f t="shared" si="40"/>
        <v>267487</v>
      </c>
      <c r="C757" s="632">
        <v>119311</v>
      </c>
      <c r="D757" s="638"/>
      <c r="E757" s="638">
        <f t="shared" si="41"/>
        <v>103852</v>
      </c>
      <c r="F757" s="632">
        <v>37438</v>
      </c>
      <c r="G757" s="632">
        <v>18616</v>
      </c>
      <c r="H757" s="638">
        <v>47798</v>
      </c>
      <c r="I757" s="638"/>
      <c r="J757" s="632">
        <v>1601</v>
      </c>
      <c r="K757" s="632">
        <v>38449</v>
      </c>
      <c r="L757" s="632">
        <v>4274</v>
      </c>
      <c r="O757" s="600"/>
    </row>
    <row r="758" spans="1:15" s="263" customFormat="1" ht="9" customHeight="1" x14ac:dyDescent="0.25">
      <c r="A758" s="550" t="s">
        <v>44</v>
      </c>
      <c r="B758" s="638">
        <f t="shared" si="40"/>
        <v>171612</v>
      </c>
      <c r="C758" s="632">
        <v>36395</v>
      </c>
      <c r="D758" s="638"/>
      <c r="E758" s="638">
        <f t="shared" si="41"/>
        <v>99164</v>
      </c>
      <c r="F758" s="632">
        <v>39980</v>
      </c>
      <c r="G758" s="632">
        <v>20581</v>
      </c>
      <c r="H758" s="638">
        <v>38603</v>
      </c>
      <c r="I758" s="638"/>
      <c r="J758" s="632">
        <v>32</v>
      </c>
      <c r="K758" s="632">
        <v>28223</v>
      </c>
      <c r="L758" s="632">
        <v>7798</v>
      </c>
      <c r="O758" s="600"/>
    </row>
    <row r="759" spans="1:15" s="263" customFormat="1" ht="9" customHeight="1" x14ac:dyDescent="0.25">
      <c r="A759" s="603" t="s">
        <v>45</v>
      </c>
      <c r="B759" s="640">
        <f t="shared" si="40"/>
        <v>129389</v>
      </c>
      <c r="C759" s="634">
        <v>34560</v>
      </c>
      <c r="D759" s="640"/>
      <c r="E759" s="640">
        <f t="shared" si="41"/>
        <v>46427</v>
      </c>
      <c r="F759" s="634">
        <v>13923</v>
      </c>
      <c r="G759" s="634">
        <v>11305</v>
      </c>
      <c r="H759" s="640">
        <v>21199</v>
      </c>
      <c r="I759" s="640"/>
      <c r="J759" s="634">
        <v>1342</v>
      </c>
      <c r="K759" s="634">
        <v>45924</v>
      </c>
      <c r="L759" s="634">
        <v>1136</v>
      </c>
      <c r="O759" s="600"/>
    </row>
    <row r="760" spans="1:15" s="263" customFormat="1" ht="9" customHeight="1" x14ac:dyDescent="0.25">
      <c r="A760" s="550" t="s">
        <v>46</v>
      </c>
      <c r="B760" s="638">
        <f t="shared" si="40"/>
        <v>134864</v>
      </c>
      <c r="C760" s="632">
        <v>41721</v>
      </c>
      <c r="D760" s="638"/>
      <c r="E760" s="638">
        <f t="shared" si="41"/>
        <v>80491</v>
      </c>
      <c r="F760" s="632">
        <v>30047</v>
      </c>
      <c r="G760" s="632">
        <v>17391</v>
      </c>
      <c r="H760" s="638">
        <v>33053</v>
      </c>
      <c r="I760" s="638"/>
      <c r="J760" s="632">
        <v>509</v>
      </c>
      <c r="K760" s="632">
        <v>11011</v>
      </c>
      <c r="L760" s="632">
        <v>1132</v>
      </c>
      <c r="O760" s="600"/>
    </row>
    <row r="761" spans="1:15" s="263" customFormat="1" ht="9" customHeight="1" x14ac:dyDescent="0.25">
      <c r="A761" s="550" t="s">
        <v>47</v>
      </c>
      <c r="B761" s="638">
        <f t="shared" si="40"/>
        <v>242031</v>
      </c>
      <c r="C761" s="632">
        <v>67812</v>
      </c>
      <c r="D761" s="638"/>
      <c r="E761" s="638">
        <f t="shared" si="41"/>
        <v>92502</v>
      </c>
      <c r="F761" s="632">
        <v>15770</v>
      </c>
      <c r="G761" s="632">
        <v>14328</v>
      </c>
      <c r="H761" s="638">
        <v>62404</v>
      </c>
      <c r="I761" s="638"/>
      <c r="J761" s="632">
        <v>3393</v>
      </c>
      <c r="K761" s="632">
        <v>71022</v>
      </c>
      <c r="L761" s="632">
        <v>7302</v>
      </c>
      <c r="O761" s="600"/>
    </row>
    <row r="762" spans="1:15" s="263" customFormat="1" ht="9" customHeight="1" x14ac:dyDescent="0.25">
      <c r="A762" s="550" t="s">
        <v>48</v>
      </c>
      <c r="B762" s="638">
        <f t="shared" si="40"/>
        <v>93231</v>
      </c>
      <c r="C762" s="632">
        <v>39895</v>
      </c>
      <c r="D762" s="638"/>
      <c r="E762" s="638">
        <f t="shared" si="41"/>
        <v>27772</v>
      </c>
      <c r="F762" s="632">
        <v>10871</v>
      </c>
      <c r="G762" s="632">
        <v>3893</v>
      </c>
      <c r="H762" s="638">
        <v>13008</v>
      </c>
      <c r="I762" s="638"/>
      <c r="J762" s="632">
        <v>118</v>
      </c>
      <c r="K762" s="632">
        <v>25266</v>
      </c>
      <c r="L762" s="632">
        <v>180</v>
      </c>
      <c r="O762" s="600"/>
    </row>
    <row r="763" spans="1:15" s="263" customFormat="1" ht="9" customHeight="1" x14ac:dyDescent="0.25">
      <c r="A763" s="603" t="s">
        <v>49</v>
      </c>
      <c r="B763" s="640">
        <f t="shared" si="40"/>
        <v>143800</v>
      </c>
      <c r="C763" s="634">
        <v>67775</v>
      </c>
      <c r="D763" s="640"/>
      <c r="E763" s="640">
        <f t="shared" si="41"/>
        <v>43929</v>
      </c>
      <c r="F763" s="634">
        <v>10247</v>
      </c>
      <c r="G763" s="634">
        <v>10197</v>
      </c>
      <c r="H763" s="640">
        <v>23485</v>
      </c>
      <c r="I763" s="640"/>
      <c r="J763" s="634">
        <v>939</v>
      </c>
      <c r="K763" s="634">
        <v>28992</v>
      </c>
      <c r="L763" s="634">
        <v>2165</v>
      </c>
      <c r="O763" s="600"/>
    </row>
    <row r="764" spans="1:15" s="263" customFormat="1" ht="9" customHeight="1" x14ac:dyDescent="0.25">
      <c r="A764" s="550" t="s">
        <v>50</v>
      </c>
      <c r="B764" s="638">
        <f t="shared" si="40"/>
        <v>100540</v>
      </c>
      <c r="C764" s="632">
        <v>51748</v>
      </c>
      <c r="D764" s="638"/>
      <c r="E764" s="638">
        <f t="shared" si="41"/>
        <v>42188</v>
      </c>
      <c r="F764" s="632">
        <v>10363</v>
      </c>
      <c r="G764" s="632">
        <v>14990</v>
      </c>
      <c r="H764" s="638">
        <v>16835</v>
      </c>
      <c r="I764" s="638"/>
      <c r="J764" s="632">
        <v>3136</v>
      </c>
      <c r="K764" s="632">
        <v>2286</v>
      </c>
      <c r="L764" s="632">
        <v>1182</v>
      </c>
      <c r="O764" s="600"/>
    </row>
    <row r="765" spans="1:15" s="263" customFormat="1" ht="9" customHeight="1" x14ac:dyDescent="0.25">
      <c r="A765" s="550" t="s">
        <v>51</v>
      </c>
      <c r="B765" s="638">
        <f t="shared" si="40"/>
        <v>419202</v>
      </c>
      <c r="C765" s="632">
        <v>174577</v>
      </c>
      <c r="D765" s="638"/>
      <c r="E765" s="638">
        <f t="shared" si="41"/>
        <v>196437</v>
      </c>
      <c r="F765" s="632">
        <v>75194</v>
      </c>
      <c r="G765" s="632">
        <v>35313</v>
      </c>
      <c r="H765" s="638">
        <v>85930</v>
      </c>
      <c r="I765" s="638"/>
      <c r="J765" s="632">
        <v>2361</v>
      </c>
      <c r="K765" s="632">
        <v>39114</v>
      </c>
      <c r="L765" s="632">
        <v>6713</v>
      </c>
      <c r="O765" s="600"/>
    </row>
    <row r="766" spans="1:15" s="263" customFormat="1" ht="9" customHeight="1" x14ac:dyDescent="0.25">
      <c r="A766" s="550" t="s">
        <v>52</v>
      </c>
      <c r="B766" s="638">
        <f t="shared" si="40"/>
        <v>148764</v>
      </c>
      <c r="C766" s="632">
        <v>28678</v>
      </c>
      <c r="D766" s="638"/>
      <c r="E766" s="638">
        <f t="shared" si="41"/>
        <v>44725</v>
      </c>
      <c r="F766" s="632">
        <v>21923</v>
      </c>
      <c r="G766" s="632">
        <v>7091</v>
      </c>
      <c r="H766" s="638">
        <v>15711</v>
      </c>
      <c r="I766" s="638"/>
      <c r="J766" s="632">
        <v>0</v>
      </c>
      <c r="K766" s="632">
        <v>74588</v>
      </c>
      <c r="L766" s="632">
        <v>773</v>
      </c>
      <c r="O766" s="600"/>
    </row>
    <row r="767" spans="1:15" s="263" customFormat="1" ht="9" customHeight="1" x14ac:dyDescent="0.25">
      <c r="A767" s="267" t="s">
        <v>53</v>
      </c>
      <c r="B767" s="599">
        <f t="shared" si="40"/>
        <v>59249</v>
      </c>
      <c r="C767" s="604">
        <v>15463</v>
      </c>
      <c r="D767" s="599"/>
      <c r="E767" s="599">
        <f t="shared" si="41"/>
        <v>35504</v>
      </c>
      <c r="F767" s="604">
        <v>11176</v>
      </c>
      <c r="G767" s="604">
        <v>5647</v>
      </c>
      <c r="H767" s="599">
        <v>18681</v>
      </c>
      <c r="I767" s="599"/>
      <c r="J767" s="604">
        <v>61</v>
      </c>
      <c r="K767" s="604">
        <v>8020</v>
      </c>
      <c r="L767" s="604">
        <v>201</v>
      </c>
      <c r="O767" s="600"/>
    </row>
    <row r="768" spans="1:15" s="263" customFormat="1" ht="9" customHeight="1" x14ac:dyDescent="0.25">
      <c r="A768" s="286"/>
      <c r="B768" s="613"/>
      <c r="C768" s="605"/>
      <c r="D768" s="613"/>
      <c r="E768" s="613"/>
      <c r="F768" s="605"/>
      <c r="G768" s="605"/>
      <c r="H768" s="613"/>
      <c r="I768" s="613"/>
      <c r="J768" s="605"/>
      <c r="K768" s="605"/>
      <c r="L768" s="605"/>
      <c r="M768" s="286"/>
    </row>
    <row r="769" spans="1:16" s="263" customFormat="1" ht="9" customHeight="1" x14ac:dyDescent="0.25">
      <c r="A769" s="601">
        <v>2016</v>
      </c>
      <c r="B769" s="597"/>
      <c r="C769" s="597"/>
      <c r="D769" s="597"/>
      <c r="E769" s="597"/>
      <c r="F769" s="597"/>
      <c r="G769" s="597"/>
      <c r="H769" s="597"/>
      <c r="I769" s="597"/>
      <c r="J769" s="597"/>
      <c r="K769" s="597"/>
      <c r="L769" s="597"/>
      <c r="O769" s="606"/>
    </row>
    <row r="770" spans="1:16" s="263" customFormat="1" ht="9" customHeight="1" x14ac:dyDescent="0.25">
      <c r="A770" s="265" t="s">
        <v>21</v>
      </c>
      <c r="B770" s="597">
        <f>SUM(B772:B803)</f>
        <v>12927076</v>
      </c>
      <c r="C770" s="597">
        <f>SUM(C772:C803)</f>
        <v>4729598</v>
      </c>
      <c r="D770" s="597"/>
      <c r="E770" s="597">
        <f>SUM(E772:E803)</f>
        <v>5921614</v>
      </c>
      <c r="F770" s="597">
        <f>SUM(F772:F803)</f>
        <v>1631489</v>
      </c>
      <c r="G770" s="597">
        <f>SUM(G772:G803)</f>
        <v>1175438</v>
      </c>
      <c r="H770" s="597">
        <f>SUM(H772:H803)</f>
        <v>3114687</v>
      </c>
      <c r="I770" s="597"/>
      <c r="J770" s="597">
        <f>SUM(J772:J803)</f>
        <v>104262</v>
      </c>
      <c r="K770" s="597">
        <f>SUM(K772:K803)</f>
        <v>1938390</v>
      </c>
      <c r="L770" s="597">
        <f>SUM(L772:L803)</f>
        <v>233212</v>
      </c>
      <c r="O770" s="600"/>
    </row>
    <row r="771" spans="1:16" s="263" customFormat="1" ht="3.95" customHeight="1" x14ac:dyDescent="0.25">
      <c r="A771" s="265"/>
      <c r="B771" s="597"/>
      <c r="C771" s="597"/>
      <c r="D771" s="597"/>
      <c r="E771" s="597"/>
      <c r="F771" s="597"/>
      <c r="G771" s="597"/>
      <c r="H771" s="597"/>
      <c r="I771" s="597"/>
      <c r="J771" s="597"/>
      <c r="K771" s="597"/>
      <c r="L771" s="597"/>
      <c r="O771" s="600"/>
    </row>
    <row r="772" spans="1:16" s="263" customFormat="1" ht="9" customHeight="1" x14ac:dyDescent="0.25">
      <c r="A772" s="550" t="s">
        <v>23</v>
      </c>
      <c r="B772" s="638">
        <f t="shared" ref="B772:B803" si="42">SUM(C772+E772+J772+K772+L772)</f>
        <v>14530</v>
      </c>
      <c r="C772" s="632">
        <v>2968</v>
      </c>
      <c r="D772" s="638"/>
      <c r="E772" s="638">
        <f>SUM(F772:H772)</f>
        <v>10817</v>
      </c>
      <c r="F772" s="632">
        <v>5305</v>
      </c>
      <c r="G772" s="632">
        <v>1952</v>
      </c>
      <c r="H772" s="638">
        <v>3560</v>
      </c>
      <c r="I772" s="638"/>
      <c r="J772" s="632">
        <v>0</v>
      </c>
      <c r="K772" s="632">
        <v>745</v>
      </c>
      <c r="L772" s="632">
        <v>0</v>
      </c>
      <c r="O772" s="600"/>
      <c r="P772" s="600"/>
    </row>
    <row r="773" spans="1:16" s="263" customFormat="1" ht="9" customHeight="1" x14ac:dyDescent="0.25">
      <c r="A773" s="550" t="s">
        <v>24</v>
      </c>
      <c r="B773" s="638">
        <f t="shared" si="42"/>
        <v>399001</v>
      </c>
      <c r="C773" s="638">
        <v>178105</v>
      </c>
      <c r="D773" s="638"/>
      <c r="E773" s="638">
        <f t="shared" ref="E773:E803" si="43">SUM(F773:H773)</f>
        <v>144747</v>
      </c>
      <c r="F773" s="638">
        <v>42204</v>
      </c>
      <c r="G773" s="638">
        <v>36224</v>
      </c>
      <c r="H773" s="638">
        <v>66319</v>
      </c>
      <c r="I773" s="638"/>
      <c r="J773" s="638">
        <v>3569</v>
      </c>
      <c r="K773" s="638">
        <v>53516</v>
      </c>
      <c r="L773" s="638">
        <v>19064</v>
      </c>
      <c r="O773" s="600"/>
      <c r="P773" s="600"/>
    </row>
    <row r="774" spans="1:16" s="263" customFormat="1" ht="9" customHeight="1" x14ac:dyDescent="0.25">
      <c r="A774" s="550" t="s">
        <v>25</v>
      </c>
      <c r="B774" s="638">
        <f t="shared" si="42"/>
        <v>32000</v>
      </c>
      <c r="C774" s="632">
        <v>18000</v>
      </c>
      <c r="D774" s="638"/>
      <c r="E774" s="638">
        <f t="shared" si="43"/>
        <v>7500</v>
      </c>
      <c r="F774" s="632">
        <v>2758</v>
      </c>
      <c r="G774" s="632">
        <v>1270</v>
      </c>
      <c r="H774" s="638">
        <v>3472</v>
      </c>
      <c r="I774" s="638"/>
      <c r="J774" s="632">
        <v>60</v>
      </c>
      <c r="K774" s="632">
        <v>5948</v>
      </c>
      <c r="L774" s="632">
        <v>492</v>
      </c>
      <c r="O774" s="600"/>
      <c r="P774" s="600"/>
    </row>
    <row r="775" spans="1:16" s="263" customFormat="1" ht="9" customHeight="1" x14ac:dyDescent="0.25">
      <c r="A775" s="603" t="s">
        <v>26</v>
      </c>
      <c r="B775" s="640">
        <f t="shared" si="42"/>
        <v>50685</v>
      </c>
      <c r="C775" s="634">
        <v>12796</v>
      </c>
      <c r="D775" s="640"/>
      <c r="E775" s="640">
        <f t="shared" si="43"/>
        <v>26551</v>
      </c>
      <c r="F775" s="634">
        <v>11137</v>
      </c>
      <c r="G775" s="634">
        <v>7121</v>
      </c>
      <c r="H775" s="640">
        <v>8293</v>
      </c>
      <c r="I775" s="640"/>
      <c r="J775" s="634">
        <v>236</v>
      </c>
      <c r="K775" s="634">
        <v>10916</v>
      </c>
      <c r="L775" s="634">
        <v>186</v>
      </c>
      <c r="O775" s="600"/>
      <c r="P775" s="600"/>
    </row>
    <row r="776" spans="1:16" s="263" customFormat="1" ht="9" customHeight="1" x14ac:dyDescent="0.25">
      <c r="A776" s="550" t="s">
        <v>27</v>
      </c>
      <c r="B776" s="638">
        <f t="shared" si="42"/>
        <v>210137</v>
      </c>
      <c r="C776" s="632">
        <v>33331</v>
      </c>
      <c r="D776" s="638"/>
      <c r="E776" s="638">
        <f t="shared" si="43"/>
        <v>88282</v>
      </c>
      <c r="F776" s="632">
        <v>21796</v>
      </c>
      <c r="G776" s="632">
        <v>15484</v>
      </c>
      <c r="H776" s="638">
        <v>51002</v>
      </c>
      <c r="I776" s="638"/>
      <c r="J776" s="632">
        <v>3155</v>
      </c>
      <c r="K776" s="632">
        <v>85038</v>
      </c>
      <c r="L776" s="632">
        <v>331</v>
      </c>
      <c r="O776" s="600"/>
      <c r="P776" s="600"/>
    </row>
    <row r="777" spans="1:16" s="263" customFormat="1" ht="9" customHeight="1" x14ac:dyDescent="0.25">
      <c r="A777" s="550" t="s">
        <v>28</v>
      </c>
      <c r="B777" s="638">
        <f t="shared" si="42"/>
        <v>24521</v>
      </c>
      <c r="C777" s="632">
        <v>16022</v>
      </c>
      <c r="D777" s="638"/>
      <c r="E777" s="638">
        <f t="shared" si="43"/>
        <v>8001</v>
      </c>
      <c r="F777" s="632">
        <v>2616</v>
      </c>
      <c r="G777" s="632">
        <v>957</v>
      </c>
      <c r="H777" s="638">
        <v>4428</v>
      </c>
      <c r="I777" s="638"/>
      <c r="J777" s="632">
        <v>0</v>
      </c>
      <c r="K777" s="632">
        <v>496</v>
      </c>
      <c r="L777" s="632">
        <v>2</v>
      </c>
      <c r="O777" s="600"/>
      <c r="P777" s="600"/>
    </row>
    <row r="778" spans="1:16" s="263" customFormat="1" ht="9" customHeight="1" x14ac:dyDescent="0.25">
      <c r="A778" s="550" t="s">
        <v>29</v>
      </c>
      <c r="B778" s="638">
        <f t="shared" si="42"/>
        <v>165807</v>
      </c>
      <c r="C778" s="632">
        <v>73633</v>
      </c>
      <c r="D778" s="638"/>
      <c r="E778" s="638">
        <f t="shared" si="43"/>
        <v>76247</v>
      </c>
      <c r="F778" s="632">
        <v>25373</v>
      </c>
      <c r="G778" s="632">
        <v>24040</v>
      </c>
      <c r="H778" s="638">
        <v>26834</v>
      </c>
      <c r="I778" s="638"/>
      <c r="J778" s="632">
        <v>518</v>
      </c>
      <c r="K778" s="632">
        <v>12898</v>
      </c>
      <c r="L778" s="632">
        <v>2511</v>
      </c>
      <c r="O778" s="600"/>
      <c r="P778" s="600"/>
    </row>
    <row r="779" spans="1:16" s="263" customFormat="1" ht="9" customHeight="1" x14ac:dyDescent="0.25">
      <c r="A779" s="603" t="s">
        <v>30</v>
      </c>
      <c r="B779" s="640">
        <f t="shared" si="42"/>
        <v>189982</v>
      </c>
      <c r="C779" s="634">
        <v>90728</v>
      </c>
      <c r="D779" s="640"/>
      <c r="E779" s="640">
        <f t="shared" si="43"/>
        <v>54818</v>
      </c>
      <c r="F779" s="634">
        <v>23065</v>
      </c>
      <c r="G779" s="634">
        <v>15793</v>
      </c>
      <c r="H779" s="640">
        <v>15960</v>
      </c>
      <c r="I779" s="640"/>
      <c r="J779" s="634">
        <v>589</v>
      </c>
      <c r="K779" s="634">
        <v>40825</v>
      </c>
      <c r="L779" s="634">
        <v>3022</v>
      </c>
      <c r="O779" s="600"/>
      <c r="P779" s="600"/>
    </row>
    <row r="780" spans="1:16" s="263" customFormat="1" ht="9" customHeight="1" x14ac:dyDescent="0.25">
      <c r="A780" s="550" t="s">
        <v>63</v>
      </c>
      <c r="B780" s="638">
        <f t="shared" si="42"/>
        <v>2975281</v>
      </c>
      <c r="C780" s="632">
        <v>1003680</v>
      </c>
      <c r="D780" s="638"/>
      <c r="E780" s="638">
        <f t="shared" si="43"/>
        <v>1429665</v>
      </c>
      <c r="F780" s="632">
        <v>255531</v>
      </c>
      <c r="G780" s="632">
        <v>198781</v>
      </c>
      <c r="H780" s="638">
        <v>975353</v>
      </c>
      <c r="I780" s="638"/>
      <c r="J780" s="632">
        <v>16840</v>
      </c>
      <c r="K780" s="632">
        <v>489305</v>
      </c>
      <c r="L780" s="632">
        <v>35791</v>
      </c>
      <c r="O780" s="600"/>
      <c r="P780" s="600"/>
    </row>
    <row r="781" spans="1:16" s="263" customFormat="1" ht="9" customHeight="1" x14ac:dyDescent="0.25">
      <c r="A781" s="550" t="s">
        <v>31</v>
      </c>
      <c r="B781" s="638">
        <f t="shared" si="42"/>
        <v>34255</v>
      </c>
      <c r="C781" s="632">
        <v>17004</v>
      </c>
      <c r="D781" s="638"/>
      <c r="E781" s="638">
        <f t="shared" si="43"/>
        <v>14265</v>
      </c>
      <c r="F781" s="632">
        <v>4181</v>
      </c>
      <c r="G781" s="632">
        <v>2847</v>
      </c>
      <c r="H781" s="638">
        <v>7237</v>
      </c>
      <c r="I781" s="638"/>
      <c r="J781" s="632">
        <v>650</v>
      </c>
      <c r="K781" s="632">
        <v>1421</v>
      </c>
      <c r="L781" s="632">
        <v>915</v>
      </c>
      <c r="O781" s="600"/>
      <c r="P781" s="600"/>
    </row>
    <row r="782" spans="1:16" s="263" customFormat="1" ht="9" customHeight="1" x14ac:dyDescent="0.25">
      <c r="A782" s="550" t="s">
        <v>32</v>
      </c>
      <c r="B782" s="638">
        <f t="shared" si="42"/>
        <v>582016</v>
      </c>
      <c r="C782" s="632">
        <v>252168</v>
      </c>
      <c r="D782" s="638"/>
      <c r="E782" s="638">
        <f t="shared" si="43"/>
        <v>237742</v>
      </c>
      <c r="F782" s="632">
        <v>71771</v>
      </c>
      <c r="G782" s="632">
        <v>52078</v>
      </c>
      <c r="H782" s="638">
        <v>113893</v>
      </c>
      <c r="I782" s="638"/>
      <c r="J782" s="632">
        <v>5616</v>
      </c>
      <c r="K782" s="632">
        <v>78245</v>
      </c>
      <c r="L782" s="632">
        <v>8245</v>
      </c>
      <c r="O782" s="600"/>
      <c r="P782" s="600"/>
    </row>
    <row r="783" spans="1:16" s="263" customFormat="1" ht="9" customHeight="1" x14ac:dyDescent="0.25">
      <c r="A783" s="603" t="s">
        <v>33</v>
      </c>
      <c r="B783" s="640">
        <f t="shared" si="42"/>
        <v>174883</v>
      </c>
      <c r="C783" s="634">
        <v>80178</v>
      </c>
      <c r="D783" s="640"/>
      <c r="E783" s="640">
        <f t="shared" si="43"/>
        <v>78479</v>
      </c>
      <c r="F783" s="634">
        <v>26212</v>
      </c>
      <c r="G783" s="634">
        <v>17907</v>
      </c>
      <c r="H783" s="640">
        <v>34360</v>
      </c>
      <c r="I783" s="640"/>
      <c r="J783" s="634">
        <v>142</v>
      </c>
      <c r="K783" s="634">
        <v>13447</v>
      </c>
      <c r="L783" s="634">
        <v>2637</v>
      </c>
      <c r="O783" s="600"/>
      <c r="P783" s="600"/>
    </row>
    <row r="784" spans="1:16" s="263" customFormat="1" ht="9" customHeight="1" x14ac:dyDescent="0.25">
      <c r="A784" s="550" t="s">
        <v>34</v>
      </c>
      <c r="B784" s="638">
        <f t="shared" si="42"/>
        <v>344758</v>
      </c>
      <c r="C784" s="632">
        <v>162010</v>
      </c>
      <c r="D784" s="638"/>
      <c r="E784" s="638">
        <f t="shared" si="43"/>
        <v>143961</v>
      </c>
      <c r="F784" s="632">
        <v>36243</v>
      </c>
      <c r="G784" s="632">
        <v>31347</v>
      </c>
      <c r="H784" s="638">
        <v>76371</v>
      </c>
      <c r="I784" s="638"/>
      <c r="J784" s="632">
        <v>1057</v>
      </c>
      <c r="K784" s="632">
        <v>26577</v>
      </c>
      <c r="L784" s="632">
        <v>11153</v>
      </c>
      <c r="O784" s="600"/>
      <c r="P784" s="600"/>
    </row>
    <row r="785" spans="1:16" s="263" customFormat="1" ht="9" customHeight="1" x14ac:dyDescent="0.25">
      <c r="A785" s="550" t="s">
        <v>35</v>
      </c>
      <c r="B785" s="638">
        <f t="shared" si="42"/>
        <v>1145755</v>
      </c>
      <c r="C785" s="632">
        <v>250590</v>
      </c>
      <c r="D785" s="638"/>
      <c r="E785" s="638">
        <f t="shared" si="43"/>
        <v>695246</v>
      </c>
      <c r="F785" s="632">
        <v>208216</v>
      </c>
      <c r="G785" s="632">
        <v>91848</v>
      </c>
      <c r="H785" s="638">
        <v>395182</v>
      </c>
      <c r="I785" s="638"/>
      <c r="J785" s="632">
        <v>3307</v>
      </c>
      <c r="K785" s="632">
        <v>191460</v>
      </c>
      <c r="L785" s="632">
        <v>5152</v>
      </c>
      <c r="O785" s="600"/>
      <c r="P785" s="600"/>
    </row>
    <row r="786" spans="1:16" s="263" customFormat="1" ht="9" customHeight="1" x14ac:dyDescent="0.25">
      <c r="A786" s="550" t="s">
        <v>36</v>
      </c>
      <c r="B786" s="638">
        <f t="shared" si="42"/>
        <v>1827995</v>
      </c>
      <c r="C786" s="632">
        <v>1004782</v>
      </c>
      <c r="D786" s="638"/>
      <c r="E786" s="638">
        <f t="shared" si="43"/>
        <v>652417</v>
      </c>
      <c r="F786" s="632">
        <v>229837</v>
      </c>
      <c r="G786" s="632">
        <v>189884</v>
      </c>
      <c r="H786" s="638">
        <v>232696</v>
      </c>
      <c r="I786" s="638"/>
      <c r="J786" s="632">
        <v>13907</v>
      </c>
      <c r="K786" s="632">
        <v>130471</v>
      </c>
      <c r="L786" s="632">
        <v>26418</v>
      </c>
      <c r="O786" s="600"/>
      <c r="P786" s="600"/>
    </row>
    <row r="787" spans="1:16" s="263" customFormat="1" ht="9" customHeight="1" x14ac:dyDescent="0.25">
      <c r="A787" s="603" t="s">
        <v>37</v>
      </c>
      <c r="B787" s="640">
        <f t="shared" si="42"/>
        <v>432507</v>
      </c>
      <c r="C787" s="634">
        <v>142743</v>
      </c>
      <c r="D787" s="640"/>
      <c r="E787" s="640">
        <f t="shared" si="43"/>
        <v>241547</v>
      </c>
      <c r="F787" s="634">
        <v>64463</v>
      </c>
      <c r="G787" s="634">
        <v>44126</v>
      </c>
      <c r="H787" s="640">
        <v>132958</v>
      </c>
      <c r="I787" s="640"/>
      <c r="J787" s="634">
        <v>2408</v>
      </c>
      <c r="K787" s="634">
        <v>38607</v>
      </c>
      <c r="L787" s="634">
        <v>7202</v>
      </c>
      <c r="O787" s="600"/>
      <c r="P787" s="600"/>
    </row>
    <row r="788" spans="1:16" s="263" customFormat="1" ht="9" customHeight="1" x14ac:dyDescent="0.25">
      <c r="A788" s="550" t="s">
        <v>38</v>
      </c>
      <c r="B788" s="638">
        <f t="shared" si="42"/>
        <v>156177</v>
      </c>
      <c r="C788" s="632">
        <v>64904</v>
      </c>
      <c r="D788" s="638"/>
      <c r="E788" s="638">
        <f t="shared" si="43"/>
        <v>81120</v>
      </c>
      <c r="F788" s="632">
        <v>26566</v>
      </c>
      <c r="G788" s="632">
        <v>9076</v>
      </c>
      <c r="H788" s="638">
        <v>45478</v>
      </c>
      <c r="I788" s="638"/>
      <c r="J788" s="632">
        <v>260</v>
      </c>
      <c r="K788" s="632">
        <v>9390</v>
      </c>
      <c r="L788" s="632">
        <v>503</v>
      </c>
      <c r="O788" s="600"/>
      <c r="P788" s="600"/>
    </row>
    <row r="789" spans="1:16" s="263" customFormat="1" ht="9" customHeight="1" x14ac:dyDescent="0.25">
      <c r="A789" s="550" t="s">
        <v>39</v>
      </c>
      <c r="B789" s="638">
        <f t="shared" si="42"/>
        <v>4603</v>
      </c>
      <c r="C789" s="632">
        <v>2526</v>
      </c>
      <c r="D789" s="638"/>
      <c r="E789" s="638">
        <f t="shared" si="43"/>
        <v>1896</v>
      </c>
      <c r="F789" s="632">
        <v>584</v>
      </c>
      <c r="G789" s="632">
        <v>428</v>
      </c>
      <c r="H789" s="638">
        <v>884</v>
      </c>
      <c r="I789" s="638"/>
      <c r="J789" s="632">
        <v>0</v>
      </c>
      <c r="K789" s="632">
        <v>181</v>
      </c>
      <c r="L789" s="632">
        <v>0</v>
      </c>
      <c r="O789" s="600"/>
      <c r="P789" s="600"/>
    </row>
    <row r="790" spans="1:16" s="263" customFormat="1" ht="9" customHeight="1" x14ac:dyDescent="0.25">
      <c r="A790" s="550" t="s">
        <v>40</v>
      </c>
      <c r="B790" s="638">
        <f t="shared" si="42"/>
        <v>1629227</v>
      </c>
      <c r="C790" s="632">
        <v>406272</v>
      </c>
      <c r="D790" s="638"/>
      <c r="E790" s="638">
        <f t="shared" si="43"/>
        <v>789574</v>
      </c>
      <c r="F790" s="632">
        <v>180307</v>
      </c>
      <c r="G790" s="632">
        <v>208474</v>
      </c>
      <c r="H790" s="638">
        <v>400793</v>
      </c>
      <c r="I790" s="638"/>
      <c r="J790" s="632">
        <v>28303</v>
      </c>
      <c r="K790" s="632">
        <v>345466</v>
      </c>
      <c r="L790" s="632">
        <v>59612</v>
      </c>
      <c r="O790" s="600"/>
      <c r="P790" s="600"/>
    </row>
    <row r="791" spans="1:16" s="263" customFormat="1" ht="9" customHeight="1" x14ac:dyDescent="0.25">
      <c r="A791" s="603" t="s">
        <v>41</v>
      </c>
      <c r="B791" s="640">
        <f t="shared" si="42"/>
        <v>268809</v>
      </c>
      <c r="C791" s="634">
        <v>102711</v>
      </c>
      <c r="D791" s="640"/>
      <c r="E791" s="640">
        <f t="shared" si="43"/>
        <v>141224</v>
      </c>
      <c r="F791" s="634">
        <v>39481</v>
      </c>
      <c r="G791" s="634">
        <v>27617</v>
      </c>
      <c r="H791" s="640">
        <v>74126</v>
      </c>
      <c r="I791" s="640"/>
      <c r="J791" s="634">
        <v>2017</v>
      </c>
      <c r="K791" s="634">
        <v>8569</v>
      </c>
      <c r="L791" s="634">
        <v>14288</v>
      </c>
      <c r="O791" s="600"/>
      <c r="P791" s="600"/>
    </row>
    <row r="792" spans="1:16" s="263" customFormat="1" ht="9" customHeight="1" x14ac:dyDescent="0.25">
      <c r="A792" s="550" t="s">
        <v>42</v>
      </c>
      <c r="B792" s="638">
        <f t="shared" si="42"/>
        <v>325369</v>
      </c>
      <c r="C792" s="632">
        <v>125330</v>
      </c>
      <c r="D792" s="638"/>
      <c r="E792" s="638">
        <f t="shared" si="43"/>
        <v>154140</v>
      </c>
      <c r="F792" s="632">
        <v>59489</v>
      </c>
      <c r="G792" s="632">
        <v>37355</v>
      </c>
      <c r="H792" s="638">
        <v>57296</v>
      </c>
      <c r="I792" s="638"/>
      <c r="J792" s="632">
        <v>4173</v>
      </c>
      <c r="K792" s="632">
        <v>38545</v>
      </c>
      <c r="L792" s="632">
        <v>3181</v>
      </c>
      <c r="O792" s="600"/>
      <c r="P792" s="600"/>
    </row>
    <row r="793" spans="1:16" s="263" customFormat="1" ht="9" customHeight="1" x14ac:dyDescent="0.25">
      <c r="A793" s="550" t="s">
        <v>43</v>
      </c>
      <c r="B793" s="638">
        <f t="shared" si="42"/>
        <v>274932</v>
      </c>
      <c r="C793" s="632">
        <v>102707</v>
      </c>
      <c r="D793" s="638"/>
      <c r="E793" s="638">
        <f t="shared" si="43"/>
        <v>118785</v>
      </c>
      <c r="F793" s="632">
        <v>39141</v>
      </c>
      <c r="G793" s="632">
        <v>19323</v>
      </c>
      <c r="H793" s="638">
        <v>60321</v>
      </c>
      <c r="I793" s="638"/>
      <c r="J793" s="632">
        <v>8618</v>
      </c>
      <c r="K793" s="632">
        <v>38517</v>
      </c>
      <c r="L793" s="632">
        <v>6305</v>
      </c>
      <c r="O793" s="600"/>
      <c r="P793" s="600"/>
    </row>
    <row r="794" spans="1:16" s="263" customFormat="1" ht="9" customHeight="1" x14ac:dyDescent="0.25">
      <c r="A794" s="550" t="s">
        <v>44</v>
      </c>
      <c r="B794" s="638">
        <f t="shared" si="42"/>
        <v>173756</v>
      </c>
      <c r="C794" s="632">
        <v>42418</v>
      </c>
      <c r="D794" s="638"/>
      <c r="E794" s="638">
        <f t="shared" si="43"/>
        <v>92281</v>
      </c>
      <c r="F794" s="632">
        <v>33632</v>
      </c>
      <c r="G794" s="632">
        <v>19734</v>
      </c>
      <c r="H794" s="638">
        <v>38915</v>
      </c>
      <c r="I794" s="638"/>
      <c r="J794" s="632">
        <v>360</v>
      </c>
      <c r="K794" s="632">
        <v>28911</v>
      </c>
      <c r="L794" s="632">
        <v>9786</v>
      </c>
      <c r="O794" s="600"/>
      <c r="P794" s="600"/>
    </row>
    <row r="795" spans="1:16" s="263" customFormat="1" ht="9" customHeight="1" x14ac:dyDescent="0.25">
      <c r="A795" s="603" t="s">
        <v>45</v>
      </c>
      <c r="B795" s="640">
        <f t="shared" si="42"/>
        <v>134644</v>
      </c>
      <c r="C795" s="634">
        <v>38266</v>
      </c>
      <c r="D795" s="640"/>
      <c r="E795" s="640">
        <f t="shared" si="43"/>
        <v>48569</v>
      </c>
      <c r="F795" s="634">
        <v>14038</v>
      </c>
      <c r="G795" s="634">
        <v>11202</v>
      </c>
      <c r="H795" s="640">
        <v>23329</v>
      </c>
      <c r="I795" s="640"/>
      <c r="J795" s="634">
        <v>1359</v>
      </c>
      <c r="K795" s="634">
        <v>45439</v>
      </c>
      <c r="L795" s="634">
        <v>1011</v>
      </c>
      <c r="O795" s="600"/>
      <c r="P795" s="600"/>
    </row>
    <row r="796" spans="1:16" s="263" customFormat="1" ht="9" customHeight="1" x14ac:dyDescent="0.25">
      <c r="A796" s="550" t="s">
        <v>46</v>
      </c>
      <c r="B796" s="638">
        <f t="shared" si="42"/>
        <v>173967</v>
      </c>
      <c r="C796" s="632">
        <v>43297</v>
      </c>
      <c r="D796" s="638"/>
      <c r="E796" s="638">
        <f t="shared" si="43"/>
        <v>110213</v>
      </c>
      <c r="F796" s="632">
        <v>46567</v>
      </c>
      <c r="G796" s="632">
        <v>21329</v>
      </c>
      <c r="H796" s="638">
        <v>42317</v>
      </c>
      <c r="I796" s="638"/>
      <c r="J796" s="632">
        <v>872</v>
      </c>
      <c r="K796" s="632">
        <v>18676</v>
      </c>
      <c r="L796" s="632">
        <v>909</v>
      </c>
      <c r="O796" s="600"/>
      <c r="P796" s="600"/>
    </row>
    <row r="797" spans="1:16" s="263" customFormat="1" ht="9" customHeight="1" x14ac:dyDescent="0.25">
      <c r="A797" s="550" t="s">
        <v>47</v>
      </c>
      <c r="B797" s="638">
        <f t="shared" si="42"/>
        <v>212566</v>
      </c>
      <c r="C797" s="632">
        <v>71728</v>
      </c>
      <c r="D797" s="638"/>
      <c r="E797" s="638">
        <f t="shared" si="43"/>
        <v>77268</v>
      </c>
      <c r="F797" s="632">
        <v>15057</v>
      </c>
      <c r="G797" s="632">
        <v>10344</v>
      </c>
      <c r="H797" s="638">
        <v>51867</v>
      </c>
      <c r="I797" s="638"/>
      <c r="J797" s="632">
        <v>3375</v>
      </c>
      <c r="K797" s="632">
        <v>55597</v>
      </c>
      <c r="L797" s="632">
        <v>4598</v>
      </c>
      <c r="O797" s="600"/>
      <c r="P797" s="600"/>
    </row>
    <row r="798" spans="1:16" s="263" customFormat="1" ht="9" customHeight="1" x14ac:dyDescent="0.25">
      <c r="A798" s="550" t="s">
        <v>48</v>
      </c>
      <c r="B798" s="638">
        <f t="shared" si="42"/>
        <v>89401</v>
      </c>
      <c r="C798" s="632">
        <v>35676</v>
      </c>
      <c r="D798" s="638"/>
      <c r="E798" s="638">
        <f t="shared" si="43"/>
        <v>24626</v>
      </c>
      <c r="F798" s="632">
        <v>9228</v>
      </c>
      <c r="G798" s="632">
        <v>3908</v>
      </c>
      <c r="H798" s="638">
        <v>11490</v>
      </c>
      <c r="I798" s="638"/>
      <c r="J798" s="632">
        <v>0</v>
      </c>
      <c r="K798" s="632">
        <v>28623</v>
      </c>
      <c r="L798" s="632">
        <v>476</v>
      </c>
      <c r="O798" s="600"/>
      <c r="P798" s="600"/>
    </row>
    <row r="799" spans="1:16" s="263" customFormat="1" ht="9" customHeight="1" x14ac:dyDescent="0.25">
      <c r="A799" s="603" t="s">
        <v>49</v>
      </c>
      <c r="B799" s="640">
        <f t="shared" si="42"/>
        <v>149837</v>
      </c>
      <c r="C799" s="634">
        <v>66225</v>
      </c>
      <c r="D799" s="640"/>
      <c r="E799" s="640">
        <f t="shared" si="43"/>
        <v>53525</v>
      </c>
      <c r="F799" s="634">
        <v>14956</v>
      </c>
      <c r="G799" s="634">
        <v>10218</v>
      </c>
      <c r="H799" s="640">
        <v>28351</v>
      </c>
      <c r="I799" s="640"/>
      <c r="J799" s="634">
        <v>1055</v>
      </c>
      <c r="K799" s="634">
        <v>27317</v>
      </c>
      <c r="L799" s="634">
        <v>1715</v>
      </c>
      <c r="O799" s="600"/>
      <c r="P799" s="600"/>
    </row>
    <row r="800" spans="1:16" s="263" customFormat="1" ht="9" customHeight="1" x14ac:dyDescent="0.25">
      <c r="A800" s="550" t="s">
        <v>50</v>
      </c>
      <c r="B800" s="638">
        <f t="shared" si="42"/>
        <v>128657</v>
      </c>
      <c r="C800" s="632">
        <v>73146</v>
      </c>
      <c r="D800" s="638"/>
      <c r="E800" s="638">
        <f t="shared" si="43"/>
        <v>51864</v>
      </c>
      <c r="F800" s="632">
        <v>13491</v>
      </c>
      <c r="G800" s="632">
        <v>21373</v>
      </c>
      <c r="H800" s="638">
        <v>17000</v>
      </c>
      <c r="I800" s="638"/>
      <c r="J800" s="632">
        <v>463</v>
      </c>
      <c r="K800" s="632">
        <v>2442</v>
      </c>
      <c r="L800" s="632">
        <v>742</v>
      </c>
      <c r="O800" s="600"/>
      <c r="P800" s="600"/>
    </row>
    <row r="801" spans="1:16" s="263" customFormat="1" ht="9" customHeight="1" x14ac:dyDescent="0.25">
      <c r="A801" s="550" t="s">
        <v>51</v>
      </c>
      <c r="B801" s="638">
        <f t="shared" si="42"/>
        <v>396776</v>
      </c>
      <c r="C801" s="632">
        <v>164250</v>
      </c>
      <c r="D801" s="638"/>
      <c r="E801" s="638">
        <f t="shared" si="43"/>
        <v>185867</v>
      </c>
      <c r="F801" s="632">
        <v>73744</v>
      </c>
      <c r="G801" s="632">
        <v>31434</v>
      </c>
      <c r="H801" s="638">
        <v>80689</v>
      </c>
      <c r="I801" s="638"/>
      <c r="J801" s="632">
        <v>1342</v>
      </c>
      <c r="K801" s="632">
        <v>40170</v>
      </c>
      <c r="L801" s="632">
        <v>5147</v>
      </c>
      <c r="O801" s="600"/>
      <c r="P801" s="600"/>
    </row>
    <row r="802" spans="1:16" s="263" customFormat="1" ht="9" customHeight="1" x14ac:dyDescent="0.25">
      <c r="A802" s="550" t="s">
        <v>52</v>
      </c>
      <c r="B802" s="638">
        <f t="shared" si="42"/>
        <v>132628</v>
      </c>
      <c r="C802" s="632">
        <v>33502</v>
      </c>
      <c r="D802" s="638"/>
      <c r="E802" s="638">
        <f t="shared" si="43"/>
        <v>39810</v>
      </c>
      <c r="F802" s="632">
        <v>21053</v>
      </c>
      <c r="G802" s="632">
        <v>6724</v>
      </c>
      <c r="H802" s="638">
        <v>12033</v>
      </c>
      <c r="I802" s="638"/>
      <c r="J802" s="632">
        <v>1</v>
      </c>
      <c r="K802" s="632">
        <v>59211</v>
      </c>
      <c r="L802" s="632">
        <v>104</v>
      </c>
      <c r="O802" s="600"/>
      <c r="P802" s="600"/>
    </row>
    <row r="803" spans="1:16" s="263" customFormat="1" ht="9" customHeight="1" x14ac:dyDescent="0.25">
      <c r="A803" s="267" t="s">
        <v>53</v>
      </c>
      <c r="B803" s="599">
        <f t="shared" si="42"/>
        <v>71614</v>
      </c>
      <c r="C803" s="604">
        <v>17902</v>
      </c>
      <c r="D803" s="599"/>
      <c r="E803" s="599">
        <f t="shared" si="43"/>
        <v>40567</v>
      </c>
      <c r="F803" s="604">
        <v>13447</v>
      </c>
      <c r="G803" s="604">
        <v>5240</v>
      </c>
      <c r="H803" s="599">
        <v>21880</v>
      </c>
      <c r="I803" s="599"/>
      <c r="J803" s="604">
        <v>10</v>
      </c>
      <c r="K803" s="604">
        <v>11421</v>
      </c>
      <c r="L803" s="604">
        <v>1714</v>
      </c>
      <c r="O803" s="600"/>
      <c r="P803" s="600"/>
    </row>
    <row r="804" spans="1:16" s="263" customFormat="1" ht="9" customHeight="1" x14ac:dyDescent="0.25">
      <c r="A804" s="286"/>
      <c r="B804" s="613"/>
      <c r="C804" s="605"/>
      <c r="D804" s="613"/>
      <c r="E804" s="613"/>
      <c r="F804" s="605"/>
      <c r="G804" s="605"/>
      <c r="H804" s="613"/>
      <c r="I804" s="613"/>
      <c r="J804" s="605"/>
      <c r="K804" s="605"/>
      <c r="L804" s="605"/>
      <c r="M804" s="286"/>
    </row>
    <row r="805" spans="1:16" s="263" customFormat="1" ht="9" customHeight="1" x14ac:dyDescent="0.25">
      <c r="A805" s="601">
        <v>2017</v>
      </c>
      <c r="B805" s="597"/>
      <c r="C805" s="597"/>
      <c r="D805" s="597"/>
      <c r="E805" s="597"/>
      <c r="F805" s="597"/>
      <c r="G805" s="597"/>
      <c r="H805" s="597"/>
      <c r="I805" s="597"/>
      <c r="J805" s="597"/>
      <c r="K805" s="597"/>
      <c r="L805" s="597"/>
      <c r="O805" s="606"/>
    </row>
    <row r="806" spans="1:16" s="263" customFormat="1" ht="9" customHeight="1" x14ac:dyDescent="0.25">
      <c r="A806" s="265" t="s">
        <v>21</v>
      </c>
      <c r="B806" s="597">
        <f>SUM(B808:B839)</f>
        <v>13232278</v>
      </c>
      <c r="C806" s="597">
        <f>SUM(C808:C839)</f>
        <v>4851165</v>
      </c>
      <c r="D806" s="597"/>
      <c r="E806" s="597">
        <f>SUM(E808:E839)</f>
        <v>6046741</v>
      </c>
      <c r="F806" s="597">
        <f>SUM(F808:F839)</f>
        <v>1583695</v>
      </c>
      <c r="G806" s="597">
        <f>SUM(G808:G839)</f>
        <v>1178145</v>
      </c>
      <c r="H806" s="597">
        <f>SUM(H808:H839)</f>
        <v>3284901</v>
      </c>
      <c r="I806" s="597"/>
      <c r="J806" s="597">
        <f>SUM(J808:J839)</f>
        <v>103417</v>
      </c>
      <c r="K806" s="597">
        <f>SUM(K808:K839)</f>
        <v>1970145</v>
      </c>
      <c r="L806" s="597">
        <f>SUM(L808:L839)</f>
        <v>260810</v>
      </c>
      <c r="O806" s="597"/>
    </row>
    <row r="807" spans="1:16" s="263" customFormat="1" ht="3.95" customHeight="1" x14ac:dyDescent="0.25">
      <c r="A807" s="265"/>
      <c r="B807" s="597"/>
      <c r="C807" s="597"/>
      <c r="D807" s="597"/>
      <c r="E807" s="597"/>
      <c r="F807" s="597"/>
      <c r="G807" s="597"/>
      <c r="H807" s="597"/>
      <c r="I807" s="597"/>
      <c r="J807" s="597"/>
      <c r="K807" s="597"/>
      <c r="L807" s="597"/>
      <c r="O807" s="600"/>
    </row>
    <row r="808" spans="1:16" s="263" customFormat="1" ht="9" customHeight="1" x14ac:dyDescent="0.25">
      <c r="A808" s="550" t="s">
        <v>23</v>
      </c>
      <c r="B808" s="638">
        <f t="shared" ref="B808:B839" si="44">SUM(C808+E808+J808+K808+L808)</f>
        <v>11744</v>
      </c>
      <c r="C808" s="632">
        <v>1405</v>
      </c>
      <c r="D808" s="638"/>
      <c r="E808" s="638">
        <f>SUM(F808:H808)</f>
        <v>9544</v>
      </c>
      <c r="F808" s="632">
        <v>5808</v>
      </c>
      <c r="G808" s="632">
        <v>1602</v>
      </c>
      <c r="H808" s="638">
        <v>2134</v>
      </c>
      <c r="I808" s="638"/>
      <c r="J808" s="632">
        <v>0</v>
      </c>
      <c r="K808" s="632">
        <v>795</v>
      </c>
      <c r="L808" s="632">
        <v>0</v>
      </c>
      <c r="O808" s="600"/>
      <c r="P808" s="600"/>
    </row>
    <row r="809" spans="1:16" s="263" customFormat="1" ht="9" customHeight="1" x14ac:dyDescent="0.25">
      <c r="A809" s="550" t="s">
        <v>24</v>
      </c>
      <c r="B809" s="638">
        <f t="shared" si="44"/>
        <v>771072</v>
      </c>
      <c r="C809" s="638">
        <v>321517</v>
      </c>
      <c r="D809" s="638"/>
      <c r="E809" s="638">
        <f t="shared" ref="E809:E839" si="45">SUM(F809:H809)</f>
        <v>309802</v>
      </c>
      <c r="F809" s="638">
        <v>81539</v>
      </c>
      <c r="G809" s="638">
        <v>68813</v>
      </c>
      <c r="H809" s="638">
        <v>159450</v>
      </c>
      <c r="I809" s="638"/>
      <c r="J809" s="638">
        <v>13631</v>
      </c>
      <c r="K809" s="638">
        <v>66636</v>
      </c>
      <c r="L809" s="638">
        <v>59486</v>
      </c>
      <c r="O809" s="600"/>
      <c r="P809" s="600"/>
    </row>
    <row r="810" spans="1:16" s="263" customFormat="1" ht="9" customHeight="1" x14ac:dyDescent="0.25">
      <c r="A810" s="550" t="s">
        <v>25</v>
      </c>
      <c r="B810" s="638">
        <f t="shared" si="44"/>
        <v>22876</v>
      </c>
      <c r="C810" s="632">
        <v>12031</v>
      </c>
      <c r="D810" s="638"/>
      <c r="E810" s="638">
        <f t="shared" si="45"/>
        <v>7163</v>
      </c>
      <c r="F810" s="632">
        <v>2408</v>
      </c>
      <c r="G810" s="632">
        <v>700</v>
      </c>
      <c r="H810" s="638">
        <v>4055</v>
      </c>
      <c r="I810" s="638"/>
      <c r="J810" s="632">
        <v>30</v>
      </c>
      <c r="K810" s="632">
        <v>3482</v>
      </c>
      <c r="L810" s="632">
        <v>170</v>
      </c>
      <c r="O810" s="600"/>
      <c r="P810" s="600"/>
    </row>
    <row r="811" spans="1:16" s="263" customFormat="1" ht="9" customHeight="1" x14ac:dyDescent="0.25">
      <c r="A811" s="603" t="s">
        <v>26</v>
      </c>
      <c r="B811" s="640">
        <f t="shared" si="44"/>
        <v>43771</v>
      </c>
      <c r="C811" s="634">
        <v>9836</v>
      </c>
      <c r="D811" s="640"/>
      <c r="E811" s="640">
        <f t="shared" si="45"/>
        <v>22880</v>
      </c>
      <c r="F811" s="634">
        <v>8085</v>
      </c>
      <c r="G811" s="634">
        <v>6652</v>
      </c>
      <c r="H811" s="640">
        <v>8143</v>
      </c>
      <c r="I811" s="640"/>
      <c r="J811" s="634">
        <v>49</v>
      </c>
      <c r="K811" s="634">
        <v>10822</v>
      </c>
      <c r="L811" s="634">
        <v>184</v>
      </c>
      <c r="O811" s="600"/>
      <c r="P811" s="600"/>
    </row>
    <row r="812" spans="1:16" s="263" customFormat="1" ht="9" customHeight="1" x14ac:dyDescent="0.25">
      <c r="A812" s="550" t="s">
        <v>27</v>
      </c>
      <c r="B812" s="638">
        <f t="shared" si="44"/>
        <v>207857</v>
      </c>
      <c r="C812" s="632">
        <v>22351</v>
      </c>
      <c r="D812" s="638"/>
      <c r="E812" s="638">
        <f t="shared" si="45"/>
        <v>83174</v>
      </c>
      <c r="F812" s="632">
        <v>24747</v>
      </c>
      <c r="G812" s="632">
        <v>14232</v>
      </c>
      <c r="H812" s="638">
        <v>44195</v>
      </c>
      <c r="I812" s="638"/>
      <c r="J812" s="632">
        <v>62</v>
      </c>
      <c r="K812" s="632">
        <v>101820</v>
      </c>
      <c r="L812" s="632">
        <v>450</v>
      </c>
      <c r="O812" s="600"/>
      <c r="P812" s="600"/>
    </row>
    <row r="813" spans="1:16" s="263" customFormat="1" ht="9" customHeight="1" x14ac:dyDescent="0.25">
      <c r="A813" s="550" t="s">
        <v>28</v>
      </c>
      <c r="B813" s="638">
        <f t="shared" si="44"/>
        <v>13817</v>
      </c>
      <c r="C813" s="632">
        <v>7057</v>
      </c>
      <c r="D813" s="638"/>
      <c r="E813" s="638">
        <f t="shared" si="45"/>
        <v>6251</v>
      </c>
      <c r="F813" s="632">
        <v>1821</v>
      </c>
      <c r="G813" s="632">
        <v>621</v>
      </c>
      <c r="H813" s="638">
        <v>3809</v>
      </c>
      <c r="I813" s="638"/>
      <c r="J813" s="632">
        <v>0</v>
      </c>
      <c r="K813" s="632">
        <v>509</v>
      </c>
      <c r="L813" s="632">
        <v>0</v>
      </c>
      <c r="O813" s="600"/>
      <c r="P813" s="600"/>
    </row>
    <row r="814" spans="1:16" s="263" customFormat="1" ht="9" customHeight="1" x14ac:dyDescent="0.25">
      <c r="A814" s="550" t="s">
        <v>29</v>
      </c>
      <c r="B814" s="638">
        <f t="shared" si="44"/>
        <v>251044</v>
      </c>
      <c r="C814" s="632">
        <v>115990</v>
      </c>
      <c r="D814" s="638"/>
      <c r="E814" s="638">
        <f t="shared" si="45"/>
        <v>118580</v>
      </c>
      <c r="F814" s="632">
        <v>31346</v>
      </c>
      <c r="G814" s="632">
        <v>23629</v>
      </c>
      <c r="H814" s="638">
        <v>63605</v>
      </c>
      <c r="I814" s="638"/>
      <c r="J814" s="632">
        <v>540</v>
      </c>
      <c r="K814" s="632">
        <v>10780</v>
      </c>
      <c r="L814" s="632">
        <v>5154</v>
      </c>
      <c r="O814" s="600"/>
      <c r="P814" s="600"/>
    </row>
    <row r="815" spans="1:16" s="263" customFormat="1" ht="9" customHeight="1" x14ac:dyDescent="0.25">
      <c r="A815" s="603" t="s">
        <v>30</v>
      </c>
      <c r="B815" s="640">
        <f t="shared" si="44"/>
        <v>214878</v>
      </c>
      <c r="C815" s="634">
        <v>87584</v>
      </c>
      <c r="D815" s="640"/>
      <c r="E815" s="640">
        <f t="shared" si="45"/>
        <v>64011</v>
      </c>
      <c r="F815" s="634">
        <v>23871</v>
      </c>
      <c r="G815" s="634">
        <v>13914</v>
      </c>
      <c r="H815" s="640">
        <v>26226</v>
      </c>
      <c r="I815" s="640"/>
      <c r="J815" s="634">
        <v>3228</v>
      </c>
      <c r="K815" s="634">
        <v>58223</v>
      </c>
      <c r="L815" s="634">
        <v>1832</v>
      </c>
      <c r="O815" s="600"/>
      <c r="P815" s="600"/>
    </row>
    <row r="816" spans="1:16" s="263" customFormat="1" ht="9" customHeight="1" x14ac:dyDescent="0.25">
      <c r="A816" s="550" t="s">
        <v>63</v>
      </c>
      <c r="B816" s="638">
        <f t="shared" si="44"/>
        <v>2853100</v>
      </c>
      <c r="C816" s="632">
        <v>934168</v>
      </c>
      <c r="D816" s="638"/>
      <c r="E816" s="638">
        <f t="shared" si="45"/>
        <v>1432493</v>
      </c>
      <c r="F816" s="632">
        <v>235035</v>
      </c>
      <c r="G816" s="632">
        <v>185129</v>
      </c>
      <c r="H816" s="638">
        <v>1012329</v>
      </c>
      <c r="I816" s="638"/>
      <c r="J816" s="632">
        <v>21008</v>
      </c>
      <c r="K816" s="632">
        <v>433448</v>
      </c>
      <c r="L816" s="632">
        <v>31983</v>
      </c>
      <c r="O816" s="600"/>
      <c r="P816" s="600"/>
    </row>
    <row r="817" spans="1:16" s="263" customFormat="1" ht="9" customHeight="1" x14ac:dyDescent="0.25">
      <c r="A817" s="550" t="s">
        <v>31</v>
      </c>
      <c r="B817" s="638">
        <f t="shared" si="44"/>
        <v>32745</v>
      </c>
      <c r="C817" s="632">
        <v>19001</v>
      </c>
      <c r="D817" s="638"/>
      <c r="E817" s="638">
        <f t="shared" si="45"/>
        <v>10352</v>
      </c>
      <c r="F817" s="632">
        <v>2877</v>
      </c>
      <c r="G817" s="632">
        <v>1540</v>
      </c>
      <c r="H817" s="638">
        <v>5935</v>
      </c>
      <c r="I817" s="638"/>
      <c r="J817" s="632">
        <v>791</v>
      </c>
      <c r="K817" s="632">
        <v>2267</v>
      </c>
      <c r="L817" s="632">
        <v>334</v>
      </c>
      <c r="O817" s="600"/>
      <c r="P817" s="600"/>
    </row>
    <row r="818" spans="1:16" s="263" customFormat="1" ht="9" customHeight="1" x14ac:dyDescent="0.25">
      <c r="A818" s="550" t="s">
        <v>32</v>
      </c>
      <c r="B818" s="638">
        <f t="shared" si="44"/>
        <v>592526</v>
      </c>
      <c r="C818" s="632">
        <v>273238</v>
      </c>
      <c r="D818" s="638"/>
      <c r="E818" s="638">
        <f t="shared" si="45"/>
        <v>229851</v>
      </c>
      <c r="F818" s="632">
        <v>76037</v>
      </c>
      <c r="G818" s="632">
        <v>51710</v>
      </c>
      <c r="H818" s="638">
        <v>102104</v>
      </c>
      <c r="I818" s="638"/>
      <c r="J818" s="632">
        <v>3475</v>
      </c>
      <c r="K818" s="632">
        <v>75766</v>
      </c>
      <c r="L818" s="632">
        <v>10196</v>
      </c>
      <c r="O818" s="600"/>
      <c r="P818" s="600"/>
    </row>
    <row r="819" spans="1:16" s="263" customFormat="1" ht="9" customHeight="1" x14ac:dyDescent="0.25">
      <c r="A819" s="603" t="s">
        <v>33</v>
      </c>
      <c r="B819" s="640">
        <f t="shared" si="44"/>
        <v>191776</v>
      </c>
      <c r="C819" s="634">
        <v>85847</v>
      </c>
      <c r="D819" s="640"/>
      <c r="E819" s="640">
        <f t="shared" si="45"/>
        <v>88016</v>
      </c>
      <c r="F819" s="634">
        <v>30019</v>
      </c>
      <c r="G819" s="634">
        <v>18769</v>
      </c>
      <c r="H819" s="640">
        <v>39228</v>
      </c>
      <c r="I819" s="640"/>
      <c r="J819" s="634">
        <v>199</v>
      </c>
      <c r="K819" s="634">
        <v>15605</v>
      </c>
      <c r="L819" s="634">
        <v>2109</v>
      </c>
      <c r="O819" s="600"/>
      <c r="P819" s="600"/>
    </row>
    <row r="820" spans="1:16" s="263" customFormat="1" ht="9" customHeight="1" x14ac:dyDescent="0.25">
      <c r="A820" s="550" t="s">
        <v>34</v>
      </c>
      <c r="B820" s="638">
        <f t="shared" si="44"/>
        <v>341112</v>
      </c>
      <c r="C820" s="632">
        <v>166717</v>
      </c>
      <c r="D820" s="638"/>
      <c r="E820" s="638">
        <f t="shared" si="45"/>
        <v>136565</v>
      </c>
      <c r="F820" s="632">
        <v>33788</v>
      </c>
      <c r="G820" s="632">
        <v>26592</v>
      </c>
      <c r="H820" s="638">
        <v>76185</v>
      </c>
      <c r="I820" s="638"/>
      <c r="J820" s="632">
        <v>1666</v>
      </c>
      <c r="K820" s="632">
        <v>24694</v>
      </c>
      <c r="L820" s="632">
        <v>11470</v>
      </c>
      <c r="O820" s="600"/>
      <c r="P820" s="600"/>
    </row>
    <row r="821" spans="1:16" s="263" customFormat="1" ht="9" customHeight="1" x14ac:dyDescent="0.25">
      <c r="A821" s="550" t="s">
        <v>35</v>
      </c>
      <c r="B821" s="638">
        <f t="shared" si="44"/>
        <v>1053913</v>
      </c>
      <c r="C821" s="632">
        <v>273815</v>
      </c>
      <c r="D821" s="638"/>
      <c r="E821" s="638">
        <f t="shared" si="45"/>
        <v>568863</v>
      </c>
      <c r="F821" s="632">
        <v>153722</v>
      </c>
      <c r="G821" s="632">
        <v>96977</v>
      </c>
      <c r="H821" s="638">
        <v>318164</v>
      </c>
      <c r="I821" s="638"/>
      <c r="J821" s="632">
        <v>2653</v>
      </c>
      <c r="K821" s="632">
        <v>199471</v>
      </c>
      <c r="L821" s="632">
        <v>9111</v>
      </c>
      <c r="O821" s="600"/>
      <c r="P821" s="600"/>
    </row>
    <row r="822" spans="1:16" s="263" customFormat="1" ht="9" customHeight="1" x14ac:dyDescent="0.25">
      <c r="A822" s="550" t="s">
        <v>36</v>
      </c>
      <c r="B822" s="638">
        <f t="shared" si="44"/>
        <v>1764313</v>
      </c>
      <c r="C822" s="632">
        <v>916856</v>
      </c>
      <c r="D822" s="638"/>
      <c r="E822" s="638">
        <f t="shared" si="45"/>
        <v>653957</v>
      </c>
      <c r="F822" s="632">
        <v>232126</v>
      </c>
      <c r="G822" s="632">
        <v>199627</v>
      </c>
      <c r="H822" s="638">
        <v>222204</v>
      </c>
      <c r="I822" s="638"/>
      <c r="J822" s="632">
        <v>12292</v>
      </c>
      <c r="K822" s="632">
        <v>153708</v>
      </c>
      <c r="L822" s="632">
        <v>27500</v>
      </c>
      <c r="O822" s="600"/>
      <c r="P822" s="600"/>
    </row>
    <row r="823" spans="1:16" s="263" customFormat="1" ht="9" customHeight="1" x14ac:dyDescent="0.25">
      <c r="A823" s="603" t="s">
        <v>37</v>
      </c>
      <c r="B823" s="640">
        <f t="shared" si="44"/>
        <v>403140</v>
      </c>
      <c r="C823" s="634">
        <v>125730</v>
      </c>
      <c r="D823" s="640"/>
      <c r="E823" s="640">
        <f t="shared" si="45"/>
        <v>237916</v>
      </c>
      <c r="F823" s="634">
        <v>60356</v>
      </c>
      <c r="G823" s="634">
        <v>41473</v>
      </c>
      <c r="H823" s="640">
        <v>136087</v>
      </c>
      <c r="I823" s="640"/>
      <c r="J823" s="634">
        <v>1345</v>
      </c>
      <c r="K823" s="634">
        <v>36354</v>
      </c>
      <c r="L823" s="634">
        <v>1795</v>
      </c>
      <c r="O823" s="600"/>
      <c r="P823" s="600"/>
    </row>
    <row r="824" spans="1:16" s="263" customFormat="1" ht="9" customHeight="1" x14ac:dyDescent="0.25">
      <c r="A824" s="550" t="s">
        <v>38</v>
      </c>
      <c r="B824" s="638">
        <f t="shared" si="44"/>
        <v>231259</v>
      </c>
      <c r="C824" s="632">
        <v>96490</v>
      </c>
      <c r="D824" s="638"/>
      <c r="E824" s="638">
        <f t="shared" si="45"/>
        <v>126141</v>
      </c>
      <c r="F824" s="632">
        <v>22610</v>
      </c>
      <c r="G824" s="632">
        <v>10924</v>
      </c>
      <c r="H824" s="638">
        <v>92607</v>
      </c>
      <c r="I824" s="638"/>
      <c r="J824" s="632">
        <v>154</v>
      </c>
      <c r="K824" s="632">
        <v>8052</v>
      </c>
      <c r="L824" s="632">
        <v>422</v>
      </c>
      <c r="O824" s="600"/>
      <c r="P824" s="600"/>
    </row>
    <row r="825" spans="1:16" s="263" customFormat="1" ht="9" customHeight="1" x14ac:dyDescent="0.25">
      <c r="A825" s="550" t="s">
        <v>39</v>
      </c>
      <c r="B825" s="638">
        <f t="shared" si="44"/>
        <v>5285</v>
      </c>
      <c r="C825" s="632">
        <v>3385</v>
      </c>
      <c r="D825" s="638"/>
      <c r="E825" s="638">
        <f t="shared" si="45"/>
        <v>1758</v>
      </c>
      <c r="F825" s="632">
        <v>880</v>
      </c>
      <c r="G825" s="632">
        <v>392</v>
      </c>
      <c r="H825" s="638">
        <v>486</v>
      </c>
      <c r="I825" s="638"/>
      <c r="J825" s="632">
        <v>0</v>
      </c>
      <c r="K825" s="632">
        <v>142</v>
      </c>
      <c r="L825" s="632">
        <v>0</v>
      </c>
      <c r="O825" s="600"/>
      <c r="P825" s="600"/>
    </row>
    <row r="826" spans="1:16" s="263" customFormat="1" ht="9" customHeight="1" x14ac:dyDescent="0.25">
      <c r="A826" s="550" t="s">
        <v>40</v>
      </c>
      <c r="B826" s="638">
        <f t="shared" si="44"/>
        <v>1626364</v>
      </c>
      <c r="C826" s="632">
        <v>433803</v>
      </c>
      <c r="D826" s="638"/>
      <c r="E826" s="638">
        <f t="shared" si="45"/>
        <v>789343</v>
      </c>
      <c r="F826" s="632">
        <v>180720</v>
      </c>
      <c r="G826" s="632">
        <v>190193</v>
      </c>
      <c r="H826" s="638">
        <v>418430</v>
      </c>
      <c r="I826" s="638"/>
      <c r="J826" s="632">
        <v>24986</v>
      </c>
      <c r="K826" s="632">
        <v>322722</v>
      </c>
      <c r="L826" s="632">
        <v>55510</v>
      </c>
      <c r="O826" s="600"/>
      <c r="P826" s="600"/>
    </row>
    <row r="827" spans="1:16" s="263" customFormat="1" ht="9" customHeight="1" x14ac:dyDescent="0.25">
      <c r="A827" s="603" t="s">
        <v>41</v>
      </c>
      <c r="B827" s="640">
        <f t="shared" si="44"/>
        <v>302082</v>
      </c>
      <c r="C827" s="634">
        <v>108595</v>
      </c>
      <c r="D827" s="640"/>
      <c r="E827" s="640">
        <f t="shared" si="45"/>
        <v>169853</v>
      </c>
      <c r="F827" s="634">
        <v>44620</v>
      </c>
      <c r="G827" s="634">
        <v>31149</v>
      </c>
      <c r="H827" s="640">
        <v>94084</v>
      </c>
      <c r="I827" s="640"/>
      <c r="J827" s="634">
        <v>1933</v>
      </c>
      <c r="K827" s="634">
        <v>10413</v>
      </c>
      <c r="L827" s="634">
        <v>11288</v>
      </c>
      <c r="O827" s="600"/>
      <c r="P827" s="600"/>
    </row>
    <row r="828" spans="1:16" s="263" customFormat="1" ht="9" customHeight="1" x14ac:dyDescent="0.25">
      <c r="A828" s="550" t="s">
        <v>42</v>
      </c>
      <c r="B828" s="638">
        <f t="shared" si="44"/>
        <v>329372</v>
      </c>
      <c r="C828" s="632">
        <v>124879</v>
      </c>
      <c r="D828" s="638"/>
      <c r="E828" s="638">
        <f t="shared" si="45"/>
        <v>154760</v>
      </c>
      <c r="F828" s="632">
        <v>59444</v>
      </c>
      <c r="G828" s="632">
        <v>34061</v>
      </c>
      <c r="H828" s="638">
        <v>61255</v>
      </c>
      <c r="I828" s="638"/>
      <c r="J828" s="632">
        <v>4217</v>
      </c>
      <c r="K828" s="632">
        <v>42672</v>
      </c>
      <c r="L828" s="632">
        <v>2844</v>
      </c>
      <c r="O828" s="600"/>
      <c r="P828" s="600"/>
    </row>
    <row r="829" spans="1:16" s="263" customFormat="1" ht="9" customHeight="1" x14ac:dyDescent="0.25">
      <c r="A829" s="550" t="s">
        <v>43</v>
      </c>
      <c r="B829" s="638">
        <f t="shared" si="44"/>
        <v>232772</v>
      </c>
      <c r="C829" s="632">
        <v>99638</v>
      </c>
      <c r="D829" s="638"/>
      <c r="E829" s="638">
        <f t="shared" si="45"/>
        <v>90514</v>
      </c>
      <c r="F829" s="632">
        <v>25218</v>
      </c>
      <c r="G829" s="632">
        <v>14378</v>
      </c>
      <c r="H829" s="638">
        <v>50918</v>
      </c>
      <c r="I829" s="638"/>
      <c r="J829" s="632">
        <v>1863</v>
      </c>
      <c r="K829" s="632">
        <v>36164</v>
      </c>
      <c r="L829" s="632">
        <v>4593</v>
      </c>
      <c r="O829" s="600"/>
      <c r="P829" s="600"/>
    </row>
    <row r="830" spans="1:16" s="263" customFormat="1" ht="9" customHeight="1" x14ac:dyDescent="0.25">
      <c r="A830" s="550" t="s">
        <v>44</v>
      </c>
      <c r="B830" s="638">
        <f t="shared" si="44"/>
        <v>204016</v>
      </c>
      <c r="C830" s="632">
        <v>54844</v>
      </c>
      <c r="D830" s="638"/>
      <c r="E830" s="638">
        <f t="shared" si="45"/>
        <v>113326</v>
      </c>
      <c r="F830" s="632">
        <v>36142</v>
      </c>
      <c r="G830" s="632">
        <v>20187</v>
      </c>
      <c r="H830" s="638">
        <v>56997</v>
      </c>
      <c r="I830" s="638"/>
      <c r="J830" s="632">
        <v>10</v>
      </c>
      <c r="K830" s="632">
        <v>26235</v>
      </c>
      <c r="L830" s="632">
        <v>9601</v>
      </c>
      <c r="O830" s="600"/>
      <c r="P830" s="600"/>
    </row>
    <row r="831" spans="1:16" s="263" customFormat="1" ht="9" customHeight="1" x14ac:dyDescent="0.25">
      <c r="A831" s="603" t="s">
        <v>45</v>
      </c>
      <c r="B831" s="640">
        <f t="shared" si="44"/>
        <v>158843</v>
      </c>
      <c r="C831" s="634">
        <v>31420</v>
      </c>
      <c r="D831" s="640"/>
      <c r="E831" s="640">
        <f t="shared" si="45"/>
        <v>54227</v>
      </c>
      <c r="F831" s="634">
        <v>18440</v>
      </c>
      <c r="G831" s="634">
        <v>12571</v>
      </c>
      <c r="H831" s="640">
        <v>23216</v>
      </c>
      <c r="I831" s="640"/>
      <c r="J831" s="634">
        <v>1035</v>
      </c>
      <c r="K831" s="634">
        <v>71083</v>
      </c>
      <c r="L831" s="634">
        <v>1078</v>
      </c>
      <c r="O831" s="600"/>
      <c r="P831" s="600"/>
    </row>
    <row r="832" spans="1:16" s="263" customFormat="1" ht="9" customHeight="1" x14ac:dyDescent="0.25">
      <c r="A832" s="550" t="s">
        <v>46</v>
      </c>
      <c r="B832" s="638">
        <f t="shared" si="44"/>
        <v>124299</v>
      </c>
      <c r="C832" s="632">
        <v>48857</v>
      </c>
      <c r="D832" s="638"/>
      <c r="E832" s="638">
        <f t="shared" si="45"/>
        <v>70935</v>
      </c>
      <c r="F832" s="632">
        <v>31158</v>
      </c>
      <c r="G832" s="632">
        <v>15244</v>
      </c>
      <c r="H832" s="638">
        <v>24533</v>
      </c>
      <c r="I832" s="638"/>
      <c r="J832" s="632">
        <v>1001</v>
      </c>
      <c r="K832" s="632">
        <v>3427</v>
      </c>
      <c r="L832" s="632">
        <v>79</v>
      </c>
      <c r="O832" s="600"/>
      <c r="P832" s="600"/>
    </row>
    <row r="833" spans="1:17" s="263" customFormat="1" ht="9" customHeight="1" x14ac:dyDescent="0.25">
      <c r="A833" s="550" t="s">
        <v>47</v>
      </c>
      <c r="B833" s="638">
        <f t="shared" si="44"/>
        <v>202586</v>
      </c>
      <c r="C833" s="632">
        <v>72752</v>
      </c>
      <c r="D833" s="638"/>
      <c r="E833" s="638">
        <f t="shared" si="45"/>
        <v>53051</v>
      </c>
      <c r="F833" s="632">
        <v>11614</v>
      </c>
      <c r="G833" s="632">
        <v>7611</v>
      </c>
      <c r="H833" s="638">
        <v>33826</v>
      </c>
      <c r="I833" s="638"/>
      <c r="J833" s="632">
        <v>3249</v>
      </c>
      <c r="K833" s="632">
        <v>70398</v>
      </c>
      <c r="L833" s="632">
        <v>3136</v>
      </c>
      <c r="O833" s="600"/>
      <c r="P833" s="600"/>
    </row>
    <row r="834" spans="1:17" s="263" customFormat="1" ht="9" customHeight="1" x14ac:dyDescent="0.25">
      <c r="A834" s="550" t="s">
        <v>48</v>
      </c>
      <c r="B834" s="638">
        <f t="shared" si="44"/>
        <v>86300</v>
      </c>
      <c r="C834" s="632">
        <v>43676</v>
      </c>
      <c r="D834" s="638"/>
      <c r="E834" s="638">
        <f t="shared" si="45"/>
        <v>26059</v>
      </c>
      <c r="F834" s="632">
        <v>8809</v>
      </c>
      <c r="G834" s="632">
        <v>6467</v>
      </c>
      <c r="H834" s="638">
        <v>10783</v>
      </c>
      <c r="I834" s="638"/>
      <c r="J834" s="632">
        <v>231</v>
      </c>
      <c r="K834" s="632">
        <v>16113</v>
      </c>
      <c r="L834" s="632">
        <v>221</v>
      </c>
      <c r="O834" s="600"/>
      <c r="P834" s="600"/>
    </row>
    <row r="835" spans="1:17" s="263" customFormat="1" ht="9" customHeight="1" x14ac:dyDescent="0.25">
      <c r="A835" s="603" t="s">
        <v>49</v>
      </c>
      <c r="B835" s="640">
        <f t="shared" si="44"/>
        <v>178744</v>
      </c>
      <c r="C835" s="634">
        <v>71392</v>
      </c>
      <c r="D835" s="640"/>
      <c r="E835" s="640">
        <f t="shared" si="45"/>
        <v>72543</v>
      </c>
      <c r="F835" s="634">
        <v>17664</v>
      </c>
      <c r="G835" s="634">
        <v>13902</v>
      </c>
      <c r="H835" s="640">
        <v>40977</v>
      </c>
      <c r="I835" s="640"/>
      <c r="J835" s="634">
        <v>1485</v>
      </c>
      <c r="K835" s="634">
        <v>31273</v>
      </c>
      <c r="L835" s="634">
        <v>2051</v>
      </c>
      <c r="O835" s="600"/>
      <c r="P835" s="600"/>
    </row>
    <row r="836" spans="1:17" s="263" customFormat="1" ht="9" customHeight="1" x14ac:dyDescent="0.25">
      <c r="A836" s="550" t="s">
        <v>50</v>
      </c>
      <c r="B836" s="638">
        <f t="shared" si="44"/>
        <v>107604</v>
      </c>
      <c r="C836" s="632">
        <v>57597</v>
      </c>
      <c r="D836" s="638"/>
      <c r="E836" s="638">
        <f t="shared" si="45"/>
        <v>47067</v>
      </c>
      <c r="F836" s="632">
        <v>12298</v>
      </c>
      <c r="G836" s="632">
        <v>15568</v>
      </c>
      <c r="H836" s="638">
        <v>19201</v>
      </c>
      <c r="I836" s="638"/>
      <c r="J836" s="632">
        <v>525</v>
      </c>
      <c r="K836" s="632">
        <v>1651</v>
      </c>
      <c r="L836" s="632">
        <v>764</v>
      </c>
      <c r="O836" s="600"/>
      <c r="P836" s="600"/>
    </row>
    <row r="837" spans="1:17" s="263" customFormat="1" ht="9" customHeight="1" x14ac:dyDescent="0.25">
      <c r="A837" s="550" t="s">
        <v>51</v>
      </c>
      <c r="B837" s="638">
        <f t="shared" si="44"/>
        <v>457351</v>
      </c>
      <c r="C837" s="632">
        <v>180679</v>
      </c>
      <c r="D837" s="638"/>
      <c r="E837" s="638">
        <f t="shared" si="45"/>
        <v>210279</v>
      </c>
      <c r="F837" s="632">
        <v>76947</v>
      </c>
      <c r="G837" s="632">
        <v>40731</v>
      </c>
      <c r="H837" s="638">
        <v>92601</v>
      </c>
      <c r="I837" s="638"/>
      <c r="J837" s="632">
        <v>1553</v>
      </c>
      <c r="K837" s="632">
        <v>58361</v>
      </c>
      <c r="L837" s="632">
        <v>6479</v>
      </c>
      <c r="O837" s="600"/>
      <c r="P837" s="600"/>
    </row>
    <row r="838" spans="1:17" s="263" customFormat="1" ht="9" customHeight="1" x14ac:dyDescent="0.25">
      <c r="A838" s="550" t="s">
        <v>52</v>
      </c>
      <c r="B838" s="638">
        <f t="shared" si="44"/>
        <v>141219</v>
      </c>
      <c r="C838" s="632">
        <v>31908</v>
      </c>
      <c r="D838" s="638"/>
      <c r="E838" s="638">
        <f t="shared" si="45"/>
        <v>37794</v>
      </c>
      <c r="F838" s="632">
        <v>19082</v>
      </c>
      <c r="G838" s="632">
        <v>6076</v>
      </c>
      <c r="H838" s="638">
        <v>12636</v>
      </c>
      <c r="I838" s="638"/>
      <c r="J838" s="632">
        <v>0</v>
      </c>
      <c r="K838" s="632">
        <v>71408</v>
      </c>
      <c r="L838" s="632">
        <v>109</v>
      </c>
      <c r="O838" s="600"/>
      <c r="P838" s="600"/>
    </row>
    <row r="839" spans="1:17" s="263" customFormat="1" ht="9" customHeight="1" x14ac:dyDescent="0.25">
      <c r="A839" s="267" t="s">
        <v>53</v>
      </c>
      <c r="B839" s="599">
        <f t="shared" si="44"/>
        <v>74498</v>
      </c>
      <c r="C839" s="604">
        <v>18107</v>
      </c>
      <c r="D839" s="599"/>
      <c r="E839" s="599">
        <f t="shared" si="45"/>
        <v>49673</v>
      </c>
      <c r="F839" s="604">
        <v>14464</v>
      </c>
      <c r="G839" s="604">
        <v>6711</v>
      </c>
      <c r="H839" s="599">
        <v>28498</v>
      </c>
      <c r="I839" s="599"/>
      <c r="J839" s="604">
        <v>206</v>
      </c>
      <c r="K839" s="604">
        <v>5651</v>
      </c>
      <c r="L839" s="604">
        <v>861</v>
      </c>
      <c r="O839" s="600"/>
      <c r="P839" s="600"/>
    </row>
    <row r="840" spans="1:17" s="263" customFormat="1" ht="9" customHeight="1" x14ac:dyDescent="0.25">
      <c r="A840" s="286"/>
      <c r="B840" s="613"/>
      <c r="C840" s="605"/>
      <c r="D840" s="613"/>
      <c r="E840" s="613"/>
      <c r="F840" s="605"/>
      <c r="G840" s="605"/>
      <c r="H840" s="613"/>
      <c r="I840" s="613"/>
      <c r="J840" s="605"/>
      <c r="K840" s="605"/>
      <c r="L840" s="605"/>
      <c r="M840" s="286"/>
    </row>
    <row r="841" spans="1:17" s="263" customFormat="1" ht="9" customHeight="1" x14ac:dyDescent="0.25">
      <c r="A841" s="601">
        <v>2018</v>
      </c>
      <c r="B841" s="597"/>
      <c r="C841" s="597"/>
      <c r="D841" s="597"/>
      <c r="E841" s="597"/>
      <c r="F841" s="597"/>
      <c r="G841" s="597"/>
      <c r="H841" s="597"/>
      <c r="I841" s="597"/>
      <c r="J841" s="597"/>
      <c r="K841" s="597"/>
      <c r="L841" s="597"/>
      <c r="O841" s="606"/>
    </row>
    <row r="842" spans="1:17" s="263" customFormat="1" ht="9" customHeight="1" x14ac:dyDescent="0.25">
      <c r="A842" s="265" t="s">
        <v>21</v>
      </c>
      <c r="B842" s="597">
        <f>SUM(B844:B875)</f>
        <v>13491340</v>
      </c>
      <c r="C842" s="597">
        <f>SUM(C844:C875)</f>
        <v>5045494</v>
      </c>
      <c r="D842" s="597"/>
      <c r="E842" s="597">
        <f>SUM(E844:E875)</f>
        <v>6058688</v>
      </c>
      <c r="F842" s="597">
        <f>SUM(F844:F875)</f>
        <v>1613989</v>
      </c>
      <c r="G842" s="597">
        <f>SUM(G844:G875)</f>
        <v>1196284</v>
      </c>
      <c r="H842" s="597">
        <f>SUM(H844:H875)</f>
        <v>3248415</v>
      </c>
      <c r="I842" s="597"/>
      <c r="J842" s="597">
        <f>SUM(J844:J875)</f>
        <v>104846</v>
      </c>
      <c r="K842" s="597">
        <f>SUM(K844:K875)</f>
        <v>2030054</v>
      </c>
      <c r="L842" s="597">
        <f>SUM(L844:L875)</f>
        <v>252258</v>
      </c>
      <c r="O842" s="597"/>
    </row>
    <row r="843" spans="1:17" s="263" customFormat="1" ht="3.95" customHeight="1" x14ac:dyDescent="0.25">
      <c r="A843" s="265"/>
      <c r="B843" s="597"/>
      <c r="C843" s="597"/>
      <c r="D843" s="597"/>
      <c r="E843" s="597"/>
      <c r="F843" s="597"/>
      <c r="G843" s="597"/>
      <c r="H843" s="597"/>
      <c r="I843" s="597"/>
      <c r="J843" s="597"/>
      <c r="K843" s="597"/>
      <c r="L843" s="597"/>
      <c r="O843" s="600"/>
    </row>
    <row r="844" spans="1:17" s="263" customFormat="1" ht="9" customHeight="1" x14ac:dyDescent="0.25">
      <c r="A844" s="550" t="s">
        <v>23</v>
      </c>
      <c r="B844" s="638">
        <f t="shared" ref="B844:B875" si="46">SUM(C844+E844+J844+K844+L844)</f>
        <v>31063</v>
      </c>
      <c r="C844" s="632">
        <v>12040</v>
      </c>
      <c r="D844" s="638"/>
      <c r="E844" s="638">
        <f>SUM(F844:H844)</f>
        <v>17241</v>
      </c>
      <c r="F844" s="632">
        <v>6863</v>
      </c>
      <c r="G844" s="632">
        <v>795</v>
      </c>
      <c r="H844" s="638">
        <v>9583</v>
      </c>
      <c r="I844" s="638"/>
      <c r="J844" s="632">
        <v>0</v>
      </c>
      <c r="K844" s="632">
        <v>1782</v>
      </c>
      <c r="L844" s="632">
        <v>0</v>
      </c>
      <c r="O844" s="600"/>
      <c r="P844" s="600"/>
      <c r="Q844" s="600"/>
    </row>
    <row r="845" spans="1:17" s="263" customFormat="1" ht="9" customHeight="1" x14ac:dyDescent="0.25">
      <c r="A845" s="550" t="s">
        <v>24</v>
      </c>
      <c r="B845" s="638">
        <f t="shared" si="46"/>
        <v>757301</v>
      </c>
      <c r="C845" s="638">
        <v>358902</v>
      </c>
      <c r="D845" s="638"/>
      <c r="E845" s="638">
        <f t="shared" ref="E845:E875" si="47">SUM(F845:H845)</f>
        <v>276075</v>
      </c>
      <c r="F845" s="638">
        <v>75931</v>
      </c>
      <c r="G845" s="638">
        <v>68097</v>
      </c>
      <c r="H845" s="638">
        <v>132047</v>
      </c>
      <c r="I845" s="638"/>
      <c r="J845" s="638">
        <v>17214</v>
      </c>
      <c r="K845" s="638">
        <v>64485</v>
      </c>
      <c r="L845" s="638">
        <v>40625</v>
      </c>
      <c r="O845" s="600"/>
      <c r="P845" s="600"/>
      <c r="Q845" s="600"/>
    </row>
    <row r="846" spans="1:17" s="263" customFormat="1" ht="9" customHeight="1" x14ac:dyDescent="0.25">
      <c r="A846" s="550" t="s">
        <v>25</v>
      </c>
      <c r="B846" s="638">
        <f t="shared" si="46"/>
        <v>29521</v>
      </c>
      <c r="C846" s="632">
        <v>11181</v>
      </c>
      <c r="D846" s="638"/>
      <c r="E846" s="638">
        <f t="shared" si="47"/>
        <v>14669</v>
      </c>
      <c r="F846" s="632">
        <v>5305</v>
      </c>
      <c r="G846" s="632">
        <v>1895</v>
      </c>
      <c r="H846" s="638">
        <v>7469</v>
      </c>
      <c r="I846" s="638"/>
      <c r="J846" s="632">
        <v>2</v>
      </c>
      <c r="K846" s="632">
        <v>3431</v>
      </c>
      <c r="L846" s="632">
        <v>238</v>
      </c>
      <c r="O846" s="600"/>
      <c r="P846" s="600"/>
      <c r="Q846" s="600"/>
    </row>
    <row r="847" spans="1:17" s="263" customFormat="1" ht="9" customHeight="1" x14ac:dyDescent="0.25">
      <c r="A847" s="603" t="s">
        <v>26</v>
      </c>
      <c r="B847" s="640">
        <f t="shared" si="46"/>
        <v>48983</v>
      </c>
      <c r="C847" s="634">
        <v>11094</v>
      </c>
      <c r="D847" s="640"/>
      <c r="E847" s="640">
        <f t="shared" si="47"/>
        <v>25535</v>
      </c>
      <c r="F847" s="634">
        <v>11386</v>
      </c>
      <c r="G847" s="634">
        <v>6177</v>
      </c>
      <c r="H847" s="640">
        <v>7972</v>
      </c>
      <c r="I847" s="640"/>
      <c r="J847" s="634">
        <v>0</v>
      </c>
      <c r="K847" s="634">
        <v>12176</v>
      </c>
      <c r="L847" s="634">
        <v>178</v>
      </c>
      <c r="O847" s="600"/>
      <c r="P847" s="600"/>
      <c r="Q847" s="600"/>
    </row>
    <row r="848" spans="1:17" s="263" customFormat="1" ht="9" customHeight="1" x14ac:dyDescent="0.25">
      <c r="A848" s="550" t="s">
        <v>27</v>
      </c>
      <c r="B848" s="638">
        <f t="shared" si="46"/>
        <v>197054</v>
      </c>
      <c r="C848" s="632">
        <v>17459</v>
      </c>
      <c r="D848" s="638"/>
      <c r="E848" s="638">
        <f t="shared" si="47"/>
        <v>75739</v>
      </c>
      <c r="F848" s="632">
        <v>18078</v>
      </c>
      <c r="G848" s="632">
        <v>11129</v>
      </c>
      <c r="H848" s="638">
        <v>46532</v>
      </c>
      <c r="I848" s="638"/>
      <c r="J848" s="632">
        <v>1458</v>
      </c>
      <c r="K848" s="632">
        <v>99212</v>
      </c>
      <c r="L848" s="632">
        <v>3186</v>
      </c>
      <c r="O848" s="600"/>
      <c r="P848" s="600"/>
      <c r="Q848" s="600"/>
    </row>
    <row r="849" spans="1:17" s="263" customFormat="1" ht="9" customHeight="1" x14ac:dyDescent="0.25">
      <c r="A849" s="550" t="s">
        <v>28</v>
      </c>
      <c r="B849" s="638">
        <f t="shared" si="46"/>
        <v>19668</v>
      </c>
      <c r="C849" s="632">
        <v>10644</v>
      </c>
      <c r="D849" s="638"/>
      <c r="E849" s="638">
        <f t="shared" si="47"/>
        <v>7655</v>
      </c>
      <c r="F849" s="632">
        <v>1788</v>
      </c>
      <c r="G849" s="632">
        <v>815</v>
      </c>
      <c r="H849" s="638">
        <v>5052</v>
      </c>
      <c r="I849" s="638"/>
      <c r="J849" s="632">
        <v>0</v>
      </c>
      <c r="K849" s="632">
        <v>1369</v>
      </c>
      <c r="L849" s="632">
        <v>0</v>
      </c>
      <c r="O849" s="600"/>
      <c r="P849" s="600"/>
      <c r="Q849" s="600"/>
    </row>
    <row r="850" spans="1:17" s="263" customFormat="1" ht="9" customHeight="1" x14ac:dyDescent="0.25">
      <c r="A850" s="550" t="s">
        <v>29</v>
      </c>
      <c r="B850" s="638">
        <f t="shared" si="46"/>
        <v>246429</v>
      </c>
      <c r="C850" s="632">
        <v>111624</v>
      </c>
      <c r="D850" s="638"/>
      <c r="E850" s="638">
        <f t="shared" si="47"/>
        <v>120644</v>
      </c>
      <c r="F850" s="632">
        <v>30197</v>
      </c>
      <c r="G850" s="632">
        <v>25449</v>
      </c>
      <c r="H850" s="638">
        <v>64998</v>
      </c>
      <c r="I850" s="638"/>
      <c r="J850" s="632">
        <v>825</v>
      </c>
      <c r="K850" s="632">
        <v>8360</v>
      </c>
      <c r="L850" s="632">
        <v>4976</v>
      </c>
      <c r="O850" s="600"/>
      <c r="P850" s="600"/>
      <c r="Q850" s="600"/>
    </row>
    <row r="851" spans="1:17" s="263" customFormat="1" ht="9" customHeight="1" x14ac:dyDescent="0.25">
      <c r="A851" s="603" t="s">
        <v>30</v>
      </c>
      <c r="B851" s="640">
        <f t="shared" si="46"/>
        <v>236468</v>
      </c>
      <c r="C851" s="634">
        <v>93889</v>
      </c>
      <c r="D851" s="640"/>
      <c r="E851" s="640">
        <f t="shared" si="47"/>
        <v>69796</v>
      </c>
      <c r="F851" s="634">
        <v>26249</v>
      </c>
      <c r="G851" s="634">
        <v>19131</v>
      </c>
      <c r="H851" s="640">
        <v>24416</v>
      </c>
      <c r="I851" s="640"/>
      <c r="J851" s="634">
        <v>2184</v>
      </c>
      <c r="K851" s="634">
        <v>67006</v>
      </c>
      <c r="L851" s="634">
        <v>3593</v>
      </c>
      <c r="O851" s="600"/>
      <c r="P851" s="600"/>
      <c r="Q851" s="600"/>
    </row>
    <row r="852" spans="1:17" s="263" customFormat="1" ht="9" customHeight="1" x14ac:dyDescent="0.25">
      <c r="A852" s="550" t="s">
        <v>63</v>
      </c>
      <c r="B852" s="638">
        <f t="shared" si="46"/>
        <v>2849570</v>
      </c>
      <c r="C852" s="632">
        <v>986532</v>
      </c>
      <c r="D852" s="638"/>
      <c r="E852" s="638">
        <f t="shared" si="47"/>
        <v>1341847</v>
      </c>
      <c r="F852" s="632">
        <v>225829</v>
      </c>
      <c r="G852" s="632">
        <v>167846</v>
      </c>
      <c r="H852" s="638">
        <v>948172</v>
      </c>
      <c r="I852" s="638"/>
      <c r="J852" s="632">
        <v>18575</v>
      </c>
      <c r="K852" s="632">
        <v>468118</v>
      </c>
      <c r="L852" s="632">
        <v>34498</v>
      </c>
      <c r="O852" s="600"/>
      <c r="P852" s="600"/>
      <c r="Q852" s="600"/>
    </row>
    <row r="853" spans="1:17" s="263" customFormat="1" ht="9" customHeight="1" x14ac:dyDescent="0.25">
      <c r="A853" s="550" t="s">
        <v>31</v>
      </c>
      <c r="B853" s="638">
        <f t="shared" si="46"/>
        <v>28785</v>
      </c>
      <c r="C853" s="632">
        <v>15422</v>
      </c>
      <c r="D853" s="638"/>
      <c r="E853" s="638">
        <f t="shared" si="47"/>
        <v>10916</v>
      </c>
      <c r="F853" s="632">
        <v>2833</v>
      </c>
      <c r="G853" s="632">
        <v>1612</v>
      </c>
      <c r="H853" s="638">
        <v>6471</v>
      </c>
      <c r="I853" s="638"/>
      <c r="J853" s="632">
        <v>44</v>
      </c>
      <c r="K853" s="632">
        <v>2040</v>
      </c>
      <c r="L853" s="632">
        <v>363</v>
      </c>
      <c r="O853" s="600"/>
      <c r="P853" s="600"/>
      <c r="Q853" s="600"/>
    </row>
    <row r="854" spans="1:17" s="263" customFormat="1" ht="9" customHeight="1" x14ac:dyDescent="0.25">
      <c r="A854" s="550" t="s">
        <v>32</v>
      </c>
      <c r="B854" s="638">
        <f t="shared" si="46"/>
        <v>587039</v>
      </c>
      <c r="C854" s="632">
        <v>272274</v>
      </c>
      <c r="D854" s="638"/>
      <c r="E854" s="638">
        <f t="shared" si="47"/>
        <v>226531</v>
      </c>
      <c r="F854" s="632">
        <v>79835</v>
      </c>
      <c r="G854" s="632">
        <v>51543</v>
      </c>
      <c r="H854" s="638">
        <v>95153</v>
      </c>
      <c r="I854" s="638"/>
      <c r="J854" s="632">
        <v>2814</v>
      </c>
      <c r="K854" s="632">
        <v>77960</v>
      </c>
      <c r="L854" s="632">
        <v>7460</v>
      </c>
      <c r="O854" s="600"/>
      <c r="P854" s="600"/>
      <c r="Q854" s="600"/>
    </row>
    <row r="855" spans="1:17" s="263" customFormat="1" ht="9" customHeight="1" x14ac:dyDescent="0.25">
      <c r="A855" s="603" t="s">
        <v>33</v>
      </c>
      <c r="B855" s="640">
        <f t="shared" si="46"/>
        <v>181896</v>
      </c>
      <c r="C855" s="634">
        <v>78093</v>
      </c>
      <c r="D855" s="640"/>
      <c r="E855" s="640">
        <f t="shared" si="47"/>
        <v>86342</v>
      </c>
      <c r="F855" s="634">
        <v>28080</v>
      </c>
      <c r="G855" s="634">
        <v>18184</v>
      </c>
      <c r="H855" s="640">
        <v>40078</v>
      </c>
      <c r="I855" s="640"/>
      <c r="J855" s="634">
        <v>217</v>
      </c>
      <c r="K855" s="634">
        <v>14844</v>
      </c>
      <c r="L855" s="634">
        <v>2400</v>
      </c>
      <c r="O855" s="600"/>
      <c r="P855" s="600"/>
      <c r="Q855" s="600"/>
    </row>
    <row r="856" spans="1:17" s="263" customFormat="1" ht="9" customHeight="1" x14ac:dyDescent="0.25">
      <c r="A856" s="550" t="s">
        <v>34</v>
      </c>
      <c r="B856" s="638">
        <f t="shared" si="46"/>
        <v>351145</v>
      </c>
      <c r="C856" s="632">
        <v>181976</v>
      </c>
      <c r="D856" s="638"/>
      <c r="E856" s="638">
        <f t="shared" si="47"/>
        <v>130231</v>
      </c>
      <c r="F856" s="632">
        <v>30893</v>
      </c>
      <c r="G856" s="632">
        <v>24944</v>
      </c>
      <c r="H856" s="638">
        <v>74394</v>
      </c>
      <c r="I856" s="638"/>
      <c r="J856" s="632">
        <v>2194</v>
      </c>
      <c r="K856" s="632">
        <v>26357</v>
      </c>
      <c r="L856" s="632">
        <v>10387</v>
      </c>
      <c r="O856" s="600"/>
      <c r="P856" s="600"/>
      <c r="Q856" s="600"/>
    </row>
    <row r="857" spans="1:17" s="263" customFormat="1" ht="9" customHeight="1" x14ac:dyDescent="0.25">
      <c r="A857" s="550" t="s">
        <v>35</v>
      </c>
      <c r="B857" s="638">
        <f t="shared" si="46"/>
        <v>1165030</v>
      </c>
      <c r="C857" s="632">
        <v>315571</v>
      </c>
      <c r="D857" s="638"/>
      <c r="E857" s="638">
        <f t="shared" si="47"/>
        <v>641148</v>
      </c>
      <c r="F857" s="632">
        <v>175605</v>
      </c>
      <c r="G857" s="632">
        <v>101218</v>
      </c>
      <c r="H857" s="638">
        <v>364325</v>
      </c>
      <c r="I857" s="638"/>
      <c r="J857" s="632">
        <v>1952</v>
      </c>
      <c r="K857" s="632">
        <v>198094</v>
      </c>
      <c r="L857" s="632">
        <v>8265</v>
      </c>
      <c r="O857" s="600"/>
      <c r="P857" s="600"/>
      <c r="Q857" s="600"/>
    </row>
    <row r="858" spans="1:17" s="263" customFormat="1" ht="9" customHeight="1" x14ac:dyDescent="0.25">
      <c r="A858" s="550" t="s">
        <v>36</v>
      </c>
      <c r="B858" s="638">
        <f t="shared" si="46"/>
        <v>1836705</v>
      </c>
      <c r="C858" s="632">
        <v>921355</v>
      </c>
      <c r="D858" s="638"/>
      <c r="E858" s="638">
        <f t="shared" si="47"/>
        <v>713970</v>
      </c>
      <c r="F858" s="632">
        <v>253790</v>
      </c>
      <c r="G858" s="632">
        <v>220089</v>
      </c>
      <c r="H858" s="638">
        <v>240091</v>
      </c>
      <c r="I858" s="638"/>
      <c r="J858" s="632">
        <v>10224</v>
      </c>
      <c r="K858" s="632">
        <v>160097</v>
      </c>
      <c r="L858" s="632">
        <v>31059</v>
      </c>
      <c r="O858" s="600"/>
      <c r="P858" s="600"/>
      <c r="Q858" s="600"/>
    </row>
    <row r="859" spans="1:17" s="263" customFormat="1" ht="9" customHeight="1" x14ac:dyDescent="0.25">
      <c r="A859" s="603" t="s">
        <v>37</v>
      </c>
      <c r="B859" s="640">
        <f t="shared" si="46"/>
        <v>404628</v>
      </c>
      <c r="C859" s="634">
        <v>124321</v>
      </c>
      <c r="D859" s="640"/>
      <c r="E859" s="640">
        <f t="shared" si="47"/>
        <v>234312</v>
      </c>
      <c r="F859" s="634">
        <v>63490</v>
      </c>
      <c r="G859" s="634">
        <v>43939</v>
      </c>
      <c r="H859" s="640">
        <v>126883</v>
      </c>
      <c r="I859" s="640"/>
      <c r="J859" s="634">
        <v>2138</v>
      </c>
      <c r="K859" s="634">
        <v>39013</v>
      </c>
      <c r="L859" s="634">
        <v>4844</v>
      </c>
      <c r="O859" s="600"/>
      <c r="P859" s="600"/>
      <c r="Q859" s="600"/>
    </row>
    <row r="860" spans="1:17" s="263" customFormat="1" ht="9" customHeight="1" x14ac:dyDescent="0.25">
      <c r="A860" s="550" t="s">
        <v>38</v>
      </c>
      <c r="B860" s="638">
        <f t="shared" si="46"/>
        <v>156548</v>
      </c>
      <c r="C860" s="632">
        <v>73300</v>
      </c>
      <c r="D860" s="638"/>
      <c r="E860" s="638">
        <f t="shared" si="47"/>
        <v>76579</v>
      </c>
      <c r="F860" s="632">
        <v>13926</v>
      </c>
      <c r="G860" s="632">
        <v>4367</v>
      </c>
      <c r="H860" s="638">
        <v>58286</v>
      </c>
      <c r="I860" s="638"/>
      <c r="J860" s="632">
        <v>139</v>
      </c>
      <c r="K860" s="632">
        <v>6263</v>
      </c>
      <c r="L860" s="632">
        <v>267</v>
      </c>
      <c r="O860" s="600"/>
      <c r="P860" s="600"/>
      <c r="Q860" s="600"/>
    </row>
    <row r="861" spans="1:17" s="263" customFormat="1" ht="9" customHeight="1" x14ac:dyDescent="0.25">
      <c r="A861" s="550" t="s">
        <v>39</v>
      </c>
      <c r="B861" s="638">
        <f t="shared" si="46"/>
        <v>4473</v>
      </c>
      <c r="C861" s="632">
        <v>2727</v>
      </c>
      <c r="D861" s="638"/>
      <c r="E861" s="638">
        <f t="shared" si="47"/>
        <v>1679</v>
      </c>
      <c r="F861" s="632">
        <v>517</v>
      </c>
      <c r="G861" s="632">
        <v>220</v>
      </c>
      <c r="H861" s="638">
        <v>942</v>
      </c>
      <c r="I861" s="638"/>
      <c r="J861" s="632">
        <v>0</v>
      </c>
      <c r="K861" s="632">
        <v>67</v>
      </c>
      <c r="L861" s="632">
        <v>0</v>
      </c>
      <c r="O861" s="600"/>
      <c r="P861" s="600"/>
      <c r="Q861" s="600"/>
    </row>
    <row r="862" spans="1:17" s="263" customFormat="1" ht="9" customHeight="1" x14ac:dyDescent="0.25">
      <c r="A862" s="550" t="s">
        <v>40</v>
      </c>
      <c r="B862" s="638">
        <f t="shared" si="46"/>
        <v>1712836</v>
      </c>
      <c r="C862" s="632">
        <v>472204</v>
      </c>
      <c r="D862" s="638"/>
      <c r="E862" s="638">
        <f t="shared" si="47"/>
        <v>811153</v>
      </c>
      <c r="F862" s="632">
        <v>179941</v>
      </c>
      <c r="G862" s="632">
        <v>196813</v>
      </c>
      <c r="H862" s="638">
        <v>434399</v>
      </c>
      <c r="I862" s="638"/>
      <c r="J862" s="632">
        <v>26445</v>
      </c>
      <c r="K862" s="632">
        <v>340797</v>
      </c>
      <c r="L862" s="632">
        <v>62237</v>
      </c>
      <c r="O862" s="600"/>
      <c r="P862" s="600"/>
      <c r="Q862" s="600"/>
    </row>
    <row r="863" spans="1:17" s="263" customFormat="1" ht="9" customHeight="1" x14ac:dyDescent="0.25">
      <c r="A863" s="603" t="s">
        <v>41</v>
      </c>
      <c r="B863" s="640">
        <f t="shared" si="46"/>
        <v>272534</v>
      </c>
      <c r="C863" s="634">
        <v>99693</v>
      </c>
      <c r="D863" s="640"/>
      <c r="E863" s="640">
        <f t="shared" si="47"/>
        <v>151489</v>
      </c>
      <c r="F863" s="634">
        <v>43122</v>
      </c>
      <c r="G863" s="634">
        <v>25116</v>
      </c>
      <c r="H863" s="640">
        <v>83251</v>
      </c>
      <c r="I863" s="640"/>
      <c r="J863" s="634">
        <v>1372</v>
      </c>
      <c r="K863" s="634">
        <v>9640</v>
      </c>
      <c r="L863" s="634">
        <v>10340</v>
      </c>
      <c r="O863" s="600"/>
      <c r="P863" s="600"/>
      <c r="Q863" s="600"/>
    </row>
    <row r="864" spans="1:17" s="263" customFormat="1" ht="9" customHeight="1" x14ac:dyDescent="0.25">
      <c r="A864" s="550" t="s">
        <v>42</v>
      </c>
      <c r="B864" s="638">
        <f t="shared" si="46"/>
        <v>341202</v>
      </c>
      <c r="C864" s="632">
        <v>135889</v>
      </c>
      <c r="D864" s="638"/>
      <c r="E864" s="638">
        <f t="shared" si="47"/>
        <v>153592</v>
      </c>
      <c r="F864" s="632">
        <v>60284</v>
      </c>
      <c r="G864" s="632">
        <v>35142</v>
      </c>
      <c r="H864" s="638">
        <v>58166</v>
      </c>
      <c r="I864" s="638"/>
      <c r="J864" s="632">
        <v>5699</v>
      </c>
      <c r="K864" s="632">
        <v>42879</v>
      </c>
      <c r="L864" s="632">
        <v>3143</v>
      </c>
      <c r="O864" s="600"/>
      <c r="P864" s="600"/>
      <c r="Q864" s="600"/>
    </row>
    <row r="865" spans="1:17" s="263" customFormat="1" ht="9" customHeight="1" x14ac:dyDescent="0.25">
      <c r="A865" s="550" t="s">
        <v>43</v>
      </c>
      <c r="B865" s="638">
        <f t="shared" si="46"/>
        <v>226171</v>
      </c>
      <c r="C865" s="632">
        <v>104205</v>
      </c>
      <c r="D865" s="638"/>
      <c r="E865" s="638">
        <f t="shared" si="47"/>
        <v>95290</v>
      </c>
      <c r="F865" s="632">
        <v>22325</v>
      </c>
      <c r="G865" s="632">
        <v>12966</v>
      </c>
      <c r="H865" s="638">
        <v>59999</v>
      </c>
      <c r="I865" s="638"/>
      <c r="J865" s="632">
        <v>2871</v>
      </c>
      <c r="K865" s="632">
        <v>20112</v>
      </c>
      <c r="L865" s="632">
        <v>3693</v>
      </c>
      <c r="O865" s="600"/>
      <c r="P865" s="600"/>
      <c r="Q865" s="600"/>
    </row>
    <row r="866" spans="1:17" s="263" customFormat="1" ht="9" customHeight="1" x14ac:dyDescent="0.25">
      <c r="A866" s="550" t="s">
        <v>44</v>
      </c>
      <c r="B866" s="638">
        <f t="shared" si="46"/>
        <v>183654</v>
      </c>
      <c r="C866" s="632">
        <v>41691</v>
      </c>
      <c r="D866" s="638"/>
      <c r="E866" s="638">
        <f t="shared" si="47"/>
        <v>111713</v>
      </c>
      <c r="F866" s="632">
        <v>32829</v>
      </c>
      <c r="G866" s="632">
        <v>27939</v>
      </c>
      <c r="H866" s="638">
        <v>50945</v>
      </c>
      <c r="I866" s="638"/>
      <c r="J866" s="632">
        <v>79</v>
      </c>
      <c r="K866" s="632">
        <v>22977</v>
      </c>
      <c r="L866" s="632">
        <v>7194</v>
      </c>
      <c r="O866" s="600"/>
      <c r="P866" s="600"/>
      <c r="Q866" s="600"/>
    </row>
    <row r="867" spans="1:17" s="263" customFormat="1" ht="9" customHeight="1" x14ac:dyDescent="0.25">
      <c r="A867" s="603" t="s">
        <v>45</v>
      </c>
      <c r="B867" s="640">
        <f t="shared" si="46"/>
        <v>204530</v>
      </c>
      <c r="C867" s="634">
        <v>51920</v>
      </c>
      <c r="D867" s="640"/>
      <c r="E867" s="640">
        <f t="shared" si="47"/>
        <v>72942</v>
      </c>
      <c r="F867" s="634">
        <v>27117</v>
      </c>
      <c r="G867" s="634">
        <v>20597</v>
      </c>
      <c r="H867" s="640">
        <v>25228</v>
      </c>
      <c r="I867" s="640"/>
      <c r="J867" s="634">
        <v>677</v>
      </c>
      <c r="K867" s="634">
        <v>78136</v>
      </c>
      <c r="L867" s="634">
        <v>855</v>
      </c>
      <c r="O867" s="600"/>
      <c r="P867" s="600"/>
      <c r="Q867" s="600"/>
    </row>
    <row r="868" spans="1:17" s="263" customFormat="1" ht="9" customHeight="1" x14ac:dyDescent="0.25">
      <c r="A868" s="550" t="s">
        <v>46</v>
      </c>
      <c r="B868" s="638">
        <f t="shared" si="46"/>
        <v>140956</v>
      </c>
      <c r="C868" s="632">
        <v>56973</v>
      </c>
      <c r="D868" s="638"/>
      <c r="E868" s="638">
        <f t="shared" si="47"/>
        <v>69386</v>
      </c>
      <c r="F868" s="632">
        <v>28691</v>
      </c>
      <c r="G868" s="632">
        <v>14711</v>
      </c>
      <c r="H868" s="638">
        <v>25984</v>
      </c>
      <c r="I868" s="638"/>
      <c r="J868" s="632">
        <v>445</v>
      </c>
      <c r="K868" s="632">
        <v>14098</v>
      </c>
      <c r="L868" s="632">
        <v>54</v>
      </c>
      <c r="O868" s="600"/>
      <c r="P868" s="600"/>
      <c r="Q868" s="600"/>
    </row>
    <row r="869" spans="1:17" s="263" customFormat="1" ht="9" customHeight="1" x14ac:dyDescent="0.25">
      <c r="A869" s="550" t="s">
        <v>47</v>
      </c>
      <c r="B869" s="638">
        <f t="shared" si="46"/>
        <v>232585</v>
      </c>
      <c r="C869" s="632">
        <v>87419</v>
      </c>
      <c r="D869" s="638"/>
      <c r="E869" s="638">
        <f t="shared" si="47"/>
        <v>69918</v>
      </c>
      <c r="F869" s="632">
        <v>14092</v>
      </c>
      <c r="G869" s="632">
        <v>8472</v>
      </c>
      <c r="H869" s="638">
        <v>47354</v>
      </c>
      <c r="I869" s="638"/>
      <c r="J869" s="632">
        <v>2476</v>
      </c>
      <c r="K869" s="632">
        <v>69124</v>
      </c>
      <c r="L869" s="632">
        <v>3648</v>
      </c>
      <c r="O869" s="600"/>
      <c r="P869" s="600"/>
      <c r="Q869" s="600"/>
    </row>
    <row r="870" spans="1:17" s="263" customFormat="1" ht="9" customHeight="1" x14ac:dyDescent="0.25">
      <c r="A870" s="550" t="s">
        <v>48</v>
      </c>
      <c r="B870" s="638">
        <f t="shared" si="46"/>
        <v>73793</v>
      </c>
      <c r="C870" s="632">
        <v>34000</v>
      </c>
      <c r="D870" s="638"/>
      <c r="E870" s="638">
        <f t="shared" si="47"/>
        <v>26618</v>
      </c>
      <c r="F870" s="632">
        <v>8246</v>
      </c>
      <c r="G870" s="632">
        <v>6642</v>
      </c>
      <c r="H870" s="638">
        <v>11730</v>
      </c>
      <c r="I870" s="638"/>
      <c r="J870" s="632">
        <v>230</v>
      </c>
      <c r="K870" s="632">
        <v>12569</v>
      </c>
      <c r="L870" s="632">
        <v>376</v>
      </c>
      <c r="O870" s="600"/>
      <c r="P870" s="600"/>
      <c r="Q870" s="600"/>
    </row>
    <row r="871" spans="1:17" s="263" customFormat="1" ht="9" customHeight="1" x14ac:dyDescent="0.25">
      <c r="A871" s="603" t="s">
        <v>49</v>
      </c>
      <c r="B871" s="640">
        <f t="shared" si="46"/>
        <v>203913</v>
      </c>
      <c r="C871" s="634">
        <v>77825</v>
      </c>
      <c r="D871" s="640"/>
      <c r="E871" s="640">
        <f t="shared" si="47"/>
        <v>85121</v>
      </c>
      <c r="F871" s="634">
        <v>19144</v>
      </c>
      <c r="G871" s="634">
        <v>13689</v>
      </c>
      <c r="H871" s="640">
        <v>52288</v>
      </c>
      <c r="I871" s="640"/>
      <c r="J871" s="634">
        <v>1239</v>
      </c>
      <c r="K871" s="634">
        <v>37643</v>
      </c>
      <c r="L871" s="634">
        <v>2085</v>
      </c>
      <c r="O871" s="600"/>
      <c r="P871" s="600"/>
      <c r="Q871" s="600"/>
    </row>
    <row r="872" spans="1:17" s="263" customFormat="1" ht="9" customHeight="1" x14ac:dyDescent="0.25">
      <c r="A872" s="550" t="s">
        <v>50</v>
      </c>
      <c r="B872" s="638">
        <f t="shared" si="46"/>
        <v>113562</v>
      </c>
      <c r="C872" s="632">
        <v>68236</v>
      </c>
      <c r="D872" s="638"/>
      <c r="E872" s="638">
        <f t="shared" si="47"/>
        <v>40860</v>
      </c>
      <c r="F872" s="632">
        <v>14199</v>
      </c>
      <c r="G872" s="632">
        <v>13270</v>
      </c>
      <c r="H872" s="638">
        <v>13391</v>
      </c>
      <c r="I872" s="638"/>
      <c r="J872" s="632">
        <v>1732</v>
      </c>
      <c r="K872" s="632">
        <v>2189</v>
      </c>
      <c r="L872" s="632">
        <v>545</v>
      </c>
      <c r="O872" s="600"/>
      <c r="P872" s="600"/>
      <c r="Q872" s="600"/>
    </row>
    <row r="873" spans="1:17" s="263" customFormat="1" ht="9" customHeight="1" x14ac:dyDescent="0.25">
      <c r="A873" s="550" t="s">
        <v>51</v>
      </c>
      <c r="B873" s="638">
        <f t="shared" si="46"/>
        <v>440449</v>
      </c>
      <c r="C873" s="632">
        <v>166517</v>
      </c>
      <c r="D873" s="638"/>
      <c r="E873" s="638">
        <f t="shared" si="47"/>
        <v>209085</v>
      </c>
      <c r="F873" s="632">
        <v>76457</v>
      </c>
      <c r="G873" s="632">
        <v>39809</v>
      </c>
      <c r="H873" s="638">
        <v>92819</v>
      </c>
      <c r="I873" s="638"/>
      <c r="J873" s="632">
        <v>1531</v>
      </c>
      <c r="K873" s="632">
        <v>58269</v>
      </c>
      <c r="L873" s="632">
        <v>5047</v>
      </c>
      <c r="O873" s="600"/>
      <c r="P873" s="600"/>
      <c r="Q873" s="600"/>
    </row>
    <row r="874" spans="1:17" s="263" customFormat="1" ht="9" customHeight="1" x14ac:dyDescent="0.25">
      <c r="A874" s="550" t="s">
        <v>52</v>
      </c>
      <c r="B874" s="638">
        <f t="shared" si="46"/>
        <v>138982</v>
      </c>
      <c r="C874" s="632">
        <v>32013</v>
      </c>
      <c r="D874" s="638"/>
      <c r="E874" s="638">
        <f t="shared" si="47"/>
        <v>39759</v>
      </c>
      <c r="F874" s="632">
        <v>20588</v>
      </c>
      <c r="G874" s="632">
        <v>6732</v>
      </c>
      <c r="H874" s="638">
        <v>12439</v>
      </c>
      <c r="I874" s="638"/>
      <c r="J874" s="632">
        <v>0</v>
      </c>
      <c r="K874" s="632">
        <v>67083</v>
      </c>
      <c r="L874" s="632">
        <v>127</v>
      </c>
      <c r="O874" s="600"/>
      <c r="P874" s="600"/>
      <c r="Q874" s="600"/>
    </row>
    <row r="875" spans="1:17" s="263" customFormat="1" ht="9" customHeight="1" x14ac:dyDescent="0.25">
      <c r="A875" s="267" t="s">
        <v>53</v>
      </c>
      <c r="B875" s="599">
        <f t="shared" si="46"/>
        <v>73867</v>
      </c>
      <c r="C875" s="604">
        <v>18505</v>
      </c>
      <c r="D875" s="599"/>
      <c r="E875" s="599">
        <f t="shared" si="47"/>
        <v>50853</v>
      </c>
      <c r="F875" s="604">
        <v>16359</v>
      </c>
      <c r="G875" s="604">
        <v>6936</v>
      </c>
      <c r="H875" s="599">
        <v>27558</v>
      </c>
      <c r="I875" s="599"/>
      <c r="J875" s="604">
        <v>70</v>
      </c>
      <c r="K875" s="604">
        <v>3864</v>
      </c>
      <c r="L875" s="604">
        <v>575</v>
      </c>
      <c r="O875" s="600"/>
      <c r="P875" s="600"/>
      <c r="Q875" s="600"/>
    </row>
    <row r="876" spans="1:17" ht="3" customHeight="1" x14ac:dyDescent="0.25">
      <c r="A876" s="652"/>
      <c r="B876" s="257"/>
      <c r="C876" s="257"/>
      <c r="D876" s="257"/>
      <c r="E876" s="257"/>
      <c r="F876" s="257"/>
      <c r="G876" s="257"/>
      <c r="H876" s="257"/>
      <c r="I876" s="257"/>
      <c r="J876" s="257"/>
      <c r="K876" s="257"/>
      <c r="L876" s="257"/>
    </row>
    <row r="877" spans="1:17" ht="3" customHeight="1" x14ac:dyDescent="0.25">
      <c r="A877" s="307"/>
    </row>
    <row r="878" spans="1:17" s="260" customFormat="1" ht="9.9499999999999993" customHeight="1" x14ac:dyDescent="0.15">
      <c r="A878" s="308" t="s">
        <v>497</v>
      </c>
    </row>
    <row r="879" spans="1:17" s="260" customFormat="1" ht="9" customHeight="1" x14ac:dyDescent="0.25">
      <c r="A879" s="607" t="s">
        <v>445</v>
      </c>
      <c r="B879" s="608"/>
    </row>
    <row r="880" spans="1:17" ht="12.75" hidden="1" customHeight="1" x14ac:dyDescent="0.25">
      <c r="M880" s="258" t="s">
        <v>74</v>
      </c>
    </row>
    <row r="881" ht="12.75" hidden="1" customHeight="1" x14ac:dyDescent="0.25"/>
    <row r="882" ht="11.25" hidden="1" customHeight="1" x14ac:dyDescent="0.25"/>
    <row r="883" ht="11.25" hidden="1" customHeight="1" x14ac:dyDescent="0.25"/>
  </sheetData>
  <sheetProtection sheet="1" objects="1" scenarios="1"/>
  <mergeCells count="6">
    <mergeCell ref="K1:L1"/>
    <mergeCell ref="A6:A10"/>
    <mergeCell ref="J6:J8"/>
    <mergeCell ref="K6:K8"/>
    <mergeCell ref="L6:L9"/>
    <mergeCell ref="F8:F10"/>
  </mergeCells>
  <hyperlinks>
    <hyperlink ref="K1" location="Índice!A1" display="Índice!A1"/>
    <hyperlink ref="K1:L1" location="Índice!A1" tooltip="Ir a Índice" display="Índice!A1"/>
  </hyperlinks>
  <printOptions horizontalCentered="1" verticalCentered="1"/>
  <pageMargins left="0.39370078740157483" right="0.39370078740157483" top="0.39370078740157483" bottom="0.39370078740157483" header="0.39370078740157483" footer="0.39370078740157483"/>
  <pageSetup orientation="portrait" r:id="rId1"/>
  <headerFooter>
    <oddHeader>&amp;L&amp;"Arial,Normal"&amp;10&amp;K000080INEGI. Anuario estadístico y geográfico por entidad federativa 2019.</oddHeader>
  </headerFooter>
  <rowBreaks count="11" manualBreakCount="11">
    <brk id="84" max="11" man="1"/>
    <brk id="156" max="11" man="1"/>
    <brk id="228" max="11" man="1"/>
    <brk id="300" max="11" man="1"/>
    <brk id="372" max="11" man="1"/>
    <brk id="444" max="11" man="1"/>
    <brk id="516" max="11" man="1"/>
    <brk id="588" max="11" man="1"/>
    <brk id="660" max="11" man="1"/>
    <brk id="732" max="11" man="1"/>
    <brk id="804" max="11" man="1"/>
  </rowBreak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807"/>
  <sheetViews>
    <sheetView showGridLines="0" showRowColHeaders="0" zoomScale="130" zoomScaleNormal="130" workbookViewId="0">
      <pane xSplit="2" ySplit="8" topLeftCell="C9" activePane="bottomRight" state="frozen"/>
      <selection activeCell="B5" sqref="B5"/>
      <selection pane="topRight" activeCell="B5" sqref="B5"/>
      <selection pane="bottomLeft" activeCell="B5" sqref="B5"/>
      <selection pane="bottomRight"/>
    </sheetView>
  </sheetViews>
  <sheetFormatPr baseColWidth="10" defaultColWidth="0" defaultRowHeight="0" customHeight="1" zeroHeight="1" x14ac:dyDescent="0.25"/>
  <cols>
    <col min="1" max="1" width="3.28515625" style="656" customWidth="1"/>
    <col min="2" max="2" width="15" style="656" customWidth="1"/>
    <col min="3" max="3" width="6.28515625" style="656" customWidth="1"/>
    <col min="4" max="4" width="5.85546875" style="656" customWidth="1"/>
    <col min="5" max="5" width="6" style="656" customWidth="1"/>
    <col min="6" max="9" width="6.42578125" style="656" customWidth="1"/>
    <col min="10" max="10" width="6" style="656" customWidth="1"/>
    <col min="11" max="11" width="5.7109375" style="656" customWidth="1"/>
    <col min="12" max="13" width="6.28515625" style="656" customWidth="1"/>
    <col min="14" max="14" width="7.140625" style="656" customWidth="1"/>
    <col min="15" max="15" width="0.85546875" style="656" customWidth="1"/>
    <col min="16" max="18" width="0" style="656" hidden="1" customWidth="1"/>
    <col min="19" max="16384" width="11.42578125" style="656" hidden="1"/>
  </cols>
  <sheetData>
    <row r="1" spans="1:16" ht="12" customHeight="1" x14ac:dyDescent="0.2">
      <c r="A1" s="653" t="s">
        <v>523</v>
      </c>
      <c r="B1" s="654"/>
      <c r="C1" s="655"/>
      <c r="D1" s="655"/>
      <c r="E1" s="655"/>
      <c r="F1" s="655"/>
      <c r="G1" s="655"/>
      <c r="H1" s="655"/>
      <c r="I1" s="655"/>
      <c r="J1" s="655"/>
      <c r="K1" s="655"/>
      <c r="L1" s="655"/>
      <c r="M1" s="823" t="s">
        <v>524</v>
      </c>
      <c r="N1" s="823"/>
    </row>
    <row r="2" spans="1:16" ht="12" customHeight="1" x14ac:dyDescent="0.2">
      <c r="A2" s="524" t="s">
        <v>525</v>
      </c>
      <c r="B2" s="654"/>
      <c r="C2" s="655"/>
      <c r="D2" s="655"/>
      <c r="E2" s="655"/>
      <c r="F2" s="655"/>
      <c r="G2" s="655"/>
      <c r="H2" s="655"/>
      <c r="I2" s="655"/>
      <c r="J2" s="655"/>
      <c r="K2" s="655"/>
      <c r="L2" s="655"/>
      <c r="M2" s="655"/>
      <c r="N2" s="657"/>
    </row>
    <row r="3" spans="1:16" ht="12" customHeight="1" x14ac:dyDescent="0.25">
      <c r="A3" s="529" t="s">
        <v>526</v>
      </c>
      <c r="B3" s="654"/>
      <c r="C3" s="655"/>
      <c r="D3" s="655"/>
      <c r="E3" s="655"/>
      <c r="F3" s="655"/>
      <c r="G3" s="655"/>
      <c r="H3" s="655"/>
      <c r="I3" s="655"/>
      <c r="J3" s="655" t="s">
        <v>181</v>
      </c>
      <c r="K3" s="655"/>
      <c r="L3" s="655"/>
      <c r="M3" s="655"/>
      <c r="N3" s="655"/>
    </row>
    <row r="4" spans="1:16" ht="3" customHeight="1" x14ac:dyDescent="0.25">
      <c r="A4" s="658"/>
      <c r="B4" s="658"/>
      <c r="C4" s="658"/>
      <c r="D4" s="658"/>
      <c r="E4" s="658"/>
      <c r="F4" s="658"/>
      <c r="G4" s="658"/>
      <c r="H4" s="658"/>
      <c r="I4" s="658"/>
      <c r="J4" s="658"/>
      <c r="K4" s="658"/>
      <c r="L4" s="658"/>
      <c r="M4" s="658"/>
      <c r="N4" s="658"/>
      <c r="O4" s="655"/>
      <c r="P4" s="655"/>
    </row>
    <row r="5" spans="1:16" ht="3" customHeight="1" x14ac:dyDescent="0.25">
      <c r="A5" s="655"/>
      <c r="B5" s="655"/>
      <c r="C5" s="655"/>
      <c r="D5" s="655"/>
      <c r="E5" s="655"/>
      <c r="F5" s="655"/>
      <c r="G5" s="655"/>
      <c r="H5" s="655"/>
      <c r="I5" s="655"/>
      <c r="J5" s="655"/>
      <c r="K5" s="655"/>
      <c r="L5" s="655"/>
      <c r="M5" s="655"/>
      <c r="N5" s="655"/>
    </row>
    <row r="6" spans="1:16" s="661" customFormat="1" ht="8.85" customHeight="1" x14ac:dyDescent="0.15">
      <c r="A6" s="843" t="s">
        <v>424</v>
      </c>
      <c r="B6" s="844"/>
      <c r="C6" s="659" t="s">
        <v>13</v>
      </c>
      <c r="D6" s="659" t="s">
        <v>527</v>
      </c>
      <c r="E6" s="659" t="s">
        <v>528</v>
      </c>
      <c r="F6" s="659" t="s">
        <v>529</v>
      </c>
      <c r="G6" s="659" t="s">
        <v>530</v>
      </c>
      <c r="H6" s="659" t="s">
        <v>531</v>
      </c>
      <c r="I6" s="659" t="s">
        <v>532</v>
      </c>
      <c r="J6" s="659" t="s">
        <v>533</v>
      </c>
      <c r="K6" s="660" t="s">
        <v>534</v>
      </c>
      <c r="L6" s="660" t="s">
        <v>535</v>
      </c>
      <c r="M6" s="660" t="s">
        <v>536</v>
      </c>
      <c r="N6" s="845" t="s">
        <v>537</v>
      </c>
    </row>
    <row r="7" spans="1:16" s="661" customFormat="1" ht="9.9499999999999993" customHeight="1" x14ac:dyDescent="0.25">
      <c r="A7" s="844"/>
      <c r="B7" s="844"/>
      <c r="C7" s="659"/>
      <c r="D7" s="659"/>
      <c r="E7" s="659"/>
      <c r="F7" s="659"/>
      <c r="G7" s="659"/>
      <c r="H7" s="659"/>
      <c r="I7" s="659"/>
      <c r="J7" s="659"/>
      <c r="K7" s="659"/>
      <c r="L7" s="659"/>
      <c r="M7" s="659"/>
      <c r="N7" s="846"/>
    </row>
    <row r="8" spans="1:16" ht="3" customHeight="1" x14ac:dyDescent="0.25">
      <c r="A8" s="658"/>
      <c r="B8" s="658"/>
      <c r="C8" s="658"/>
      <c r="D8" s="658"/>
      <c r="E8" s="658"/>
      <c r="F8" s="658"/>
      <c r="G8" s="658"/>
      <c r="H8" s="658"/>
      <c r="I8" s="658"/>
      <c r="J8" s="658"/>
      <c r="K8" s="658"/>
      <c r="L8" s="658"/>
      <c r="M8" s="658"/>
      <c r="N8" s="662"/>
    </row>
    <row r="9" spans="1:16" ht="3" customHeight="1" x14ac:dyDescent="0.25">
      <c r="A9" s="655"/>
      <c r="B9" s="655"/>
      <c r="C9" s="655"/>
      <c r="D9" s="655"/>
      <c r="E9" s="655"/>
      <c r="F9" s="655"/>
      <c r="G9" s="655"/>
      <c r="H9" s="655"/>
      <c r="I9" s="655"/>
      <c r="J9" s="655"/>
      <c r="K9" s="655"/>
      <c r="L9" s="655"/>
      <c r="M9" s="655"/>
      <c r="N9" s="655"/>
    </row>
    <row r="10" spans="1:16" s="667" customFormat="1" ht="9" customHeight="1" x14ac:dyDescent="0.15">
      <c r="A10" s="663" t="s">
        <v>317</v>
      </c>
      <c r="B10" s="664"/>
      <c r="C10" s="665"/>
      <c r="D10" s="665"/>
      <c r="E10" s="665"/>
      <c r="F10" s="666"/>
      <c r="G10" s="666"/>
      <c r="H10" s="666"/>
      <c r="I10" s="666"/>
      <c r="J10" s="665"/>
      <c r="K10" s="665"/>
      <c r="L10" s="665"/>
      <c r="M10" s="665"/>
      <c r="N10" s="665"/>
    </row>
    <row r="11" spans="1:16" s="668" customFormat="1" ht="9" customHeight="1" x14ac:dyDescent="0.15">
      <c r="A11" s="668" t="s">
        <v>13</v>
      </c>
      <c r="C11" s="669">
        <f t="shared" ref="C11:N11" si="0">SUM(C13:C45)</f>
        <v>444665</v>
      </c>
      <c r="D11" s="669">
        <f t="shared" si="0"/>
        <v>20991</v>
      </c>
      <c r="E11" s="669">
        <f t="shared" si="0"/>
        <v>55235</v>
      </c>
      <c r="F11" s="669">
        <f t="shared" si="0"/>
        <v>56779</v>
      </c>
      <c r="G11" s="669">
        <f t="shared" si="0"/>
        <v>99716</v>
      </c>
      <c r="H11" s="669">
        <f t="shared" si="0"/>
        <v>41527</v>
      </c>
      <c r="I11" s="669">
        <f t="shared" si="0"/>
        <v>41726</v>
      </c>
      <c r="J11" s="669">
        <f t="shared" si="0"/>
        <v>11635</v>
      </c>
      <c r="K11" s="669">
        <f t="shared" si="0"/>
        <v>19869</v>
      </c>
      <c r="L11" s="669">
        <f t="shared" si="0"/>
        <v>10120</v>
      </c>
      <c r="M11" s="669">
        <f t="shared" si="0"/>
        <v>56022</v>
      </c>
      <c r="N11" s="669">
        <f t="shared" si="0"/>
        <v>31045</v>
      </c>
    </row>
    <row r="12" spans="1:16" s="668" customFormat="1" ht="3" customHeight="1" x14ac:dyDescent="0.15">
      <c r="C12" s="669"/>
      <c r="D12" s="669"/>
      <c r="E12" s="669"/>
      <c r="F12" s="669"/>
      <c r="G12" s="669"/>
      <c r="H12" s="669"/>
      <c r="I12" s="669"/>
      <c r="J12" s="669"/>
      <c r="K12" s="669"/>
      <c r="L12" s="669"/>
      <c r="M12" s="669"/>
      <c r="N12" s="669"/>
    </row>
    <row r="13" spans="1:16" s="667" customFormat="1" ht="9" customHeight="1" x14ac:dyDescent="0.15">
      <c r="A13" s="667" t="s">
        <v>23</v>
      </c>
      <c r="C13" s="670">
        <f t="shared" ref="C13:C45" si="1">SUM(D13:N13)</f>
        <v>3783</v>
      </c>
      <c r="D13" s="670">
        <v>165</v>
      </c>
      <c r="E13" s="670">
        <v>526</v>
      </c>
      <c r="F13" s="670">
        <v>561</v>
      </c>
      <c r="G13" s="670">
        <v>828</v>
      </c>
      <c r="H13" s="670">
        <v>374</v>
      </c>
      <c r="I13" s="670">
        <v>270</v>
      </c>
      <c r="J13" s="670">
        <v>101</v>
      </c>
      <c r="K13" s="670">
        <v>219</v>
      </c>
      <c r="L13" s="670">
        <v>104</v>
      </c>
      <c r="M13" s="670">
        <v>387</v>
      </c>
      <c r="N13" s="670">
        <v>248</v>
      </c>
    </row>
    <row r="14" spans="1:16" s="667" customFormat="1" ht="9" customHeight="1" x14ac:dyDescent="0.15">
      <c r="A14" s="667" t="s">
        <v>24</v>
      </c>
      <c r="C14" s="670">
        <f t="shared" si="1"/>
        <v>10910</v>
      </c>
      <c r="D14" s="670">
        <v>663</v>
      </c>
      <c r="E14" s="670">
        <v>1415</v>
      </c>
      <c r="F14" s="670">
        <v>1203</v>
      </c>
      <c r="G14" s="670">
        <v>2445</v>
      </c>
      <c r="H14" s="670">
        <v>892</v>
      </c>
      <c r="I14" s="670">
        <v>858</v>
      </c>
      <c r="J14" s="670">
        <v>260</v>
      </c>
      <c r="K14" s="670">
        <v>444</v>
      </c>
      <c r="L14" s="670">
        <v>241</v>
      </c>
      <c r="M14" s="670">
        <v>1934</v>
      </c>
      <c r="N14" s="670">
        <v>555</v>
      </c>
    </row>
    <row r="15" spans="1:16" s="667" customFormat="1" ht="9" customHeight="1" x14ac:dyDescent="0.15">
      <c r="A15" s="667" t="s">
        <v>25</v>
      </c>
      <c r="C15" s="670">
        <f t="shared" si="1"/>
        <v>1553</v>
      </c>
      <c r="D15" s="670">
        <v>84</v>
      </c>
      <c r="E15" s="670">
        <v>250</v>
      </c>
      <c r="F15" s="670">
        <v>192</v>
      </c>
      <c r="G15" s="670">
        <v>393</v>
      </c>
      <c r="H15" s="670">
        <v>100</v>
      </c>
      <c r="I15" s="670">
        <v>106</v>
      </c>
      <c r="J15" s="670">
        <v>36</v>
      </c>
      <c r="K15" s="670">
        <v>61</v>
      </c>
      <c r="L15" s="670">
        <v>31</v>
      </c>
      <c r="M15" s="670">
        <v>213</v>
      </c>
      <c r="N15" s="670">
        <v>87</v>
      </c>
    </row>
    <row r="16" spans="1:16" s="667" customFormat="1" ht="9" customHeight="1" x14ac:dyDescent="0.15">
      <c r="A16" s="671" t="s">
        <v>26</v>
      </c>
      <c r="B16" s="671"/>
      <c r="C16" s="672">
        <f t="shared" si="1"/>
        <v>2709</v>
      </c>
      <c r="D16" s="672">
        <v>110</v>
      </c>
      <c r="E16" s="672">
        <v>366</v>
      </c>
      <c r="F16" s="672">
        <v>286</v>
      </c>
      <c r="G16" s="672">
        <v>558</v>
      </c>
      <c r="H16" s="672">
        <v>215</v>
      </c>
      <c r="I16" s="672">
        <v>263</v>
      </c>
      <c r="J16" s="672">
        <v>64</v>
      </c>
      <c r="K16" s="672">
        <v>136</v>
      </c>
      <c r="L16" s="672">
        <v>48</v>
      </c>
      <c r="M16" s="672">
        <v>393</v>
      </c>
      <c r="N16" s="672">
        <v>270</v>
      </c>
    </row>
    <row r="17" spans="1:14" s="667" customFormat="1" ht="9" customHeight="1" x14ac:dyDescent="0.15">
      <c r="A17" s="667" t="s">
        <v>27</v>
      </c>
      <c r="C17" s="670">
        <f t="shared" si="1"/>
        <v>10202</v>
      </c>
      <c r="D17" s="670">
        <v>418</v>
      </c>
      <c r="E17" s="670">
        <v>1445</v>
      </c>
      <c r="F17" s="670">
        <v>1655</v>
      </c>
      <c r="G17" s="670">
        <v>2753</v>
      </c>
      <c r="H17" s="670">
        <v>873</v>
      </c>
      <c r="I17" s="670">
        <v>729</v>
      </c>
      <c r="J17" s="670">
        <v>255</v>
      </c>
      <c r="K17" s="670">
        <v>271</v>
      </c>
      <c r="L17" s="670">
        <v>161</v>
      </c>
      <c r="M17" s="670">
        <v>1055</v>
      </c>
      <c r="N17" s="670">
        <v>587</v>
      </c>
    </row>
    <row r="18" spans="1:14" s="667" customFormat="1" ht="9" customHeight="1" x14ac:dyDescent="0.15">
      <c r="A18" s="667" t="s">
        <v>28</v>
      </c>
      <c r="C18" s="670">
        <f t="shared" si="1"/>
        <v>2370</v>
      </c>
      <c r="D18" s="670">
        <v>106</v>
      </c>
      <c r="E18" s="670">
        <v>341</v>
      </c>
      <c r="F18" s="670">
        <v>339</v>
      </c>
      <c r="G18" s="670">
        <v>555</v>
      </c>
      <c r="H18" s="670">
        <v>200</v>
      </c>
      <c r="I18" s="670">
        <v>231</v>
      </c>
      <c r="J18" s="670">
        <v>44</v>
      </c>
      <c r="K18" s="670">
        <v>87</v>
      </c>
      <c r="L18" s="670">
        <v>63</v>
      </c>
      <c r="M18" s="670">
        <v>271</v>
      </c>
      <c r="N18" s="670">
        <v>133</v>
      </c>
    </row>
    <row r="19" spans="1:14" s="667" customFormat="1" ht="9" customHeight="1" x14ac:dyDescent="0.15">
      <c r="A19" s="667" t="s">
        <v>29</v>
      </c>
      <c r="C19" s="670">
        <f t="shared" si="1"/>
        <v>16413</v>
      </c>
      <c r="D19" s="670">
        <v>1615</v>
      </c>
      <c r="E19" s="670">
        <v>1700</v>
      </c>
      <c r="F19" s="670">
        <v>1375</v>
      </c>
      <c r="G19" s="670">
        <v>2580</v>
      </c>
      <c r="H19" s="670">
        <v>1763</v>
      </c>
      <c r="I19" s="670">
        <v>1432</v>
      </c>
      <c r="J19" s="670">
        <v>512</v>
      </c>
      <c r="K19" s="670">
        <v>783</v>
      </c>
      <c r="L19" s="670">
        <v>290</v>
      </c>
      <c r="M19" s="670">
        <v>2698</v>
      </c>
      <c r="N19" s="670">
        <v>1665</v>
      </c>
    </row>
    <row r="20" spans="1:14" s="667" customFormat="1" ht="9" customHeight="1" x14ac:dyDescent="0.15">
      <c r="A20" s="671" t="s">
        <v>30</v>
      </c>
      <c r="B20" s="671"/>
      <c r="C20" s="672">
        <f t="shared" si="1"/>
        <v>15386</v>
      </c>
      <c r="D20" s="672">
        <v>563</v>
      </c>
      <c r="E20" s="672">
        <v>1947</v>
      </c>
      <c r="F20" s="672">
        <v>1648</v>
      </c>
      <c r="G20" s="672">
        <v>4150</v>
      </c>
      <c r="H20" s="672">
        <v>1386</v>
      </c>
      <c r="I20" s="672">
        <v>996</v>
      </c>
      <c r="J20" s="672">
        <v>347</v>
      </c>
      <c r="K20" s="672">
        <v>636</v>
      </c>
      <c r="L20" s="672">
        <v>293</v>
      </c>
      <c r="M20" s="672">
        <v>2453</v>
      </c>
      <c r="N20" s="672">
        <v>967</v>
      </c>
    </row>
    <row r="21" spans="1:14" s="667" customFormat="1" ht="9" customHeight="1" x14ac:dyDescent="0.15">
      <c r="A21" s="667" t="s">
        <v>171</v>
      </c>
      <c r="C21" s="670">
        <f t="shared" si="1"/>
        <v>46773</v>
      </c>
      <c r="D21" s="670">
        <v>1791</v>
      </c>
      <c r="E21" s="670">
        <v>6489</v>
      </c>
      <c r="F21" s="670">
        <v>6824</v>
      </c>
      <c r="G21" s="670">
        <v>11764</v>
      </c>
      <c r="H21" s="670">
        <v>4360</v>
      </c>
      <c r="I21" s="670">
        <v>4852</v>
      </c>
      <c r="J21" s="670">
        <v>1181</v>
      </c>
      <c r="K21" s="670">
        <v>1878</v>
      </c>
      <c r="L21" s="670">
        <v>1012</v>
      </c>
      <c r="M21" s="670">
        <v>4367</v>
      </c>
      <c r="N21" s="670">
        <v>2255</v>
      </c>
    </row>
    <row r="22" spans="1:14" s="667" customFormat="1" ht="9" customHeight="1" x14ac:dyDescent="0.15">
      <c r="A22" s="667" t="s">
        <v>31</v>
      </c>
      <c r="C22" s="670">
        <f t="shared" si="1"/>
        <v>6106</v>
      </c>
      <c r="D22" s="670">
        <v>189</v>
      </c>
      <c r="E22" s="670">
        <v>804</v>
      </c>
      <c r="F22" s="670">
        <v>885</v>
      </c>
      <c r="G22" s="670">
        <v>1564</v>
      </c>
      <c r="H22" s="670">
        <v>623</v>
      </c>
      <c r="I22" s="670">
        <v>365</v>
      </c>
      <c r="J22" s="670">
        <v>158</v>
      </c>
      <c r="K22" s="670">
        <v>61</v>
      </c>
      <c r="L22" s="670">
        <v>55</v>
      </c>
      <c r="M22" s="670">
        <v>887</v>
      </c>
      <c r="N22" s="670">
        <v>515</v>
      </c>
    </row>
    <row r="23" spans="1:14" s="667" customFormat="1" ht="9" customHeight="1" x14ac:dyDescent="0.15">
      <c r="A23" s="667" t="s">
        <v>32</v>
      </c>
      <c r="C23" s="670">
        <f t="shared" si="1"/>
        <v>21759</v>
      </c>
      <c r="D23" s="670">
        <v>872</v>
      </c>
      <c r="E23" s="670">
        <v>2338</v>
      </c>
      <c r="F23" s="670">
        <v>3311</v>
      </c>
      <c r="G23" s="670">
        <v>4580</v>
      </c>
      <c r="H23" s="670">
        <v>2354</v>
      </c>
      <c r="I23" s="670">
        <v>1850</v>
      </c>
      <c r="J23" s="670">
        <v>556</v>
      </c>
      <c r="K23" s="670">
        <v>1406</v>
      </c>
      <c r="L23" s="670">
        <v>685</v>
      </c>
      <c r="M23" s="670">
        <v>2347</v>
      </c>
      <c r="N23" s="670">
        <v>1460</v>
      </c>
    </row>
    <row r="24" spans="1:14" s="667" customFormat="1" ht="9" customHeight="1" x14ac:dyDescent="0.15">
      <c r="A24" s="671" t="s">
        <v>33</v>
      </c>
      <c r="B24" s="671"/>
      <c r="C24" s="672">
        <f t="shared" si="1"/>
        <v>10972</v>
      </c>
      <c r="D24" s="672">
        <v>708</v>
      </c>
      <c r="E24" s="672">
        <v>1191</v>
      </c>
      <c r="F24" s="672">
        <v>1253</v>
      </c>
      <c r="G24" s="672">
        <v>2052</v>
      </c>
      <c r="H24" s="672">
        <v>766</v>
      </c>
      <c r="I24" s="672">
        <v>818</v>
      </c>
      <c r="J24" s="672">
        <v>283</v>
      </c>
      <c r="K24" s="672">
        <v>325</v>
      </c>
      <c r="L24" s="672">
        <v>183</v>
      </c>
      <c r="M24" s="672">
        <v>2464</v>
      </c>
      <c r="N24" s="672">
        <v>929</v>
      </c>
    </row>
    <row r="25" spans="1:14" s="667" customFormat="1" ht="9" customHeight="1" x14ac:dyDescent="0.15">
      <c r="A25" s="667" t="s">
        <v>34</v>
      </c>
      <c r="C25" s="670">
        <f t="shared" si="1"/>
        <v>10136</v>
      </c>
      <c r="D25" s="670">
        <v>340</v>
      </c>
      <c r="E25" s="670">
        <v>1092</v>
      </c>
      <c r="F25" s="670">
        <v>1206</v>
      </c>
      <c r="G25" s="670">
        <v>2160</v>
      </c>
      <c r="H25" s="670">
        <v>988</v>
      </c>
      <c r="I25" s="670">
        <v>1391</v>
      </c>
      <c r="J25" s="670">
        <v>292</v>
      </c>
      <c r="K25" s="670">
        <v>510</v>
      </c>
      <c r="L25" s="670">
        <v>178</v>
      </c>
      <c r="M25" s="670">
        <v>1281</v>
      </c>
      <c r="N25" s="670">
        <v>698</v>
      </c>
    </row>
    <row r="26" spans="1:14" s="667" customFormat="1" ht="9" customHeight="1" x14ac:dyDescent="0.15">
      <c r="A26" s="667" t="s">
        <v>35</v>
      </c>
      <c r="C26" s="670">
        <f t="shared" si="1"/>
        <v>30682</v>
      </c>
      <c r="D26" s="670">
        <v>1176</v>
      </c>
      <c r="E26" s="670">
        <v>4223</v>
      </c>
      <c r="F26" s="670">
        <v>4099</v>
      </c>
      <c r="G26" s="670">
        <v>7234</v>
      </c>
      <c r="H26" s="670">
        <v>3104</v>
      </c>
      <c r="I26" s="670">
        <v>2770</v>
      </c>
      <c r="J26" s="670">
        <v>820</v>
      </c>
      <c r="K26" s="670">
        <v>1279</v>
      </c>
      <c r="L26" s="670">
        <v>680</v>
      </c>
      <c r="M26" s="670">
        <v>3630</v>
      </c>
      <c r="N26" s="670">
        <v>1667</v>
      </c>
    </row>
    <row r="27" spans="1:14" s="667" customFormat="1" ht="9" customHeight="1" x14ac:dyDescent="0.15">
      <c r="A27" s="667" t="s">
        <v>36</v>
      </c>
      <c r="C27" s="670">
        <f t="shared" si="1"/>
        <v>52095</v>
      </c>
      <c r="D27" s="670">
        <v>2309</v>
      </c>
      <c r="E27" s="670">
        <v>5362</v>
      </c>
      <c r="F27" s="670">
        <v>7070</v>
      </c>
      <c r="G27" s="670">
        <v>9490</v>
      </c>
      <c r="H27" s="670">
        <v>5570</v>
      </c>
      <c r="I27" s="670">
        <v>6558</v>
      </c>
      <c r="J27" s="670">
        <v>1349</v>
      </c>
      <c r="K27" s="670">
        <v>3362</v>
      </c>
      <c r="L27" s="670">
        <v>1611</v>
      </c>
      <c r="M27" s="670">
        <v>6715</v>
      </c>
      <c r="N27" s="670">
        <v>2699</v>
      </c>
    </row>
    <row r="28" spans="1:14" s="667" customFormat="1" ht="9" customHeight="1" x14ac:dyDescent="0.15">
      <c r="A28" s="671" t="s">
        <v>37</v>
      </c>
      <c r="B28" s="671"/>
      <c r="C28" s="672">
        <f t="shared" si="1"/>
        <v>18466</v>
      </c>
      <c r="D28" s="672">
        <v>663</v>
      </c>
      <c r="E28" s="672">
        <v>2413</v>
      </c>
      <c r="F28" s="672">
        <v>2275</v>
      </c>
      <c r="G28" s="672">
        <v>4204</v>
      </c>
      <c r="H28" s="672">
        <v>1865</v>
      </c>
      <c r="I28" s="672">
        <v>1421</v>
      </c>
      <c r="J28" s="672">
        <v>510</v>
      </c>
      <c r="K28" s="672">
        <v>626</v>
      </c>
      <c r="L28" s="672">
        <v>325</v>
      </c>
      <c r="M28" s="672">
        <v>2675</v>
      </c>
      <c r="N28" s="672">
        <v>1489</v>
      </c>
    </row>
    <row r="29" spans="1:14" s="667" customFormat="1" ht="9" customHeight="1" x14ac:dyDescent="0.15">
      <c r="A29" s="667" t="s">
        <v>38</v>
      </c>
      <c r="C29" s="670">
        <f t="shared" si="1"/>
        <v>6848</v>
      </c>
      <c r="D29" s="670">
        <v>355</v>
      </c>
      <c r="E29" s="670">
        <v>899</v>
      </c>
      <c r="F29" s="670">
        <v>993</v>
      </c>
      <c r="G29" s="670">
        <v>1460</v>
      </c>
      <c r="H29" s="670">
        <v>513</v>
      </c>
      <c r="I29" s="670">
        <v>634</v>
      </c>
      <c r="J29" s="670">
        <v>178</v>
      </c>
      <c r="K29" s="670">
        <v>290</v>
      </c>
      <c r="L29" s="670">
        <v>174</v>
      </c>
      <c r="M29" s="670">
        <v>926</v>
      </c>
      <c r="N29" s="670">
        <v>426</v>
      </c>
    </row>
    <row r="30" spans="1:14" s="667" customFormat="1" ht="9" customHeight="1" x14ac:dyDescent="0.15">
      <c r="A30" s="667" t="s">
        <v>39</v>
      </c>
      <c r="C30" s="670">
        <f t="shared" si="1"/>
        <v>4119</v>
      </c>
      <c r="D30" s="670">
        <v>180</v>
      </c>
      <c r="E30" s="670">
        <v>609</v>
      </c>
      <c r="F30" s="670">
        <v>435</v>
      </c>
      <c r="G30" s="670">
        <v>1166</v>
      </c>
      <c r="H30" s="670">
        <v>381</v>
      </c>
      <c r="I30" s="670">
        <v>311</v>
      </c>
      <c r="J30" s="670">
        <v>99</v>
      </c>
      <c r="K30" s="670">
        <v>87</v>
      </c>
      <c r="L30" s="670">
        <v>42</v>
      </c>
      <c r="M30" s="670">
        <v>549</v>
      </c>
      <c r="N30" s="670">
        <v>260</v>
      </c>
    </row>
    <row r="31" spans="1:14" s="667" customFormat="1" ht="9" customHeight="1" x14ac:dyDescent="0.15">
      <c r="A31" s="667" t="s">
        <v>40</v>
      </c>
      <c r="C31" s="670">
        <f t="shared" si="1"/>
        <v>15936</v>
      </c>
      <c r="D31" s="670">
        <v>666</v>
      </c>
      <c r="E31" s="670">
        <v>2483</v>
      </c>
      <c r="F31" s="670">
        <v>2028</v>
      </c>
      <c r="G31" s="670">
        <v>4473</v>
      </c>
      <c r="H31" s="670">
        <v>1390</v>
      </c>
      <c r="I31" s="670">
        <v>1160</v>
      </c>
      <c r="J31" s="670">
        <v>396</v>
      </c>
      <c r="K31" s="670">
        <v>562</v>
      </c>
      <c r="L31" s="670">
        <v>396</v>
      </c>
      <c r="M31" s="670">
        <v>1496</v>
      </c>
      <c r="N31" s="670">
        <v>886</v>
      </c>
    </row>
    <row r="32" spans="1:14" s="667" customFormat="1" ht="9" customHeight="1" x14ac:dyDescent="0.15">
      <c r="A32" s="671" t="s">
        <v>41</v>
      </c>
      <c r="B32" s="671"/>
      <c r="C32" s="672">
        <f t="shared" si="1"/>
        <v>18565</v>
      </c>
      <c r="D32" s="672">
        <v>1346</v>
      </c>
      <c r="E32" s="672">
        <v>1791</v>
      </c>
      <c r="F32" s="672">
        <v>2159</v>
      </c>
      <c r="G32" s="672">
        <v>3504</v>
      </c>
      <c r="H32" s="672">
        <v>1595</v>
      </c>
      <c r="I32" s="672">
        <v>1755</v>
      </c>
      <c r="J32" s="672">
        <v>551</v>
      </c>
      <c r="K32" s="672">
        <v>710</v>
      </c>
      <c r="L32" s="672">
        <v>394</v>
      </c>
      <c r="M32" s="672">
        <v>2485</v>
      </c>
      <c r="N32" s="672">
        <v>2275</v>
      </c>
    </row>
    <row r="33" spans="1:14" s="667" customFormat="1" ht="9" customHeight="1" x14ac:dyDescent="0.15">
      <c r="A33" s="667" t="s">
        <v>42</v>
      </c>
      <c r="C33" s="670">
        <f t="shared" si="1"/>
        <v>26413</v>
      </c>
      <c r="D33" s="670">
        <v>1322</v>
      </c>
      <c r="E33" s="670">
        <v>2447</v>
      </c>
      <c r="F33" s="670">
        <v>3464</v>
      </c>
      <c r="G33" s="670">
        <v>4514</v>
      </c>
      <c r="H33" s="670">
        <v>2752</v>
      </c>
      <c r="I33" s="670">
        <v>3084</v>
      </c>
      <c r="J33" s="670">
        <v>804</v>
      </c>
      <c r="K33" s="670">
        <v>1728</v>
      </c>
      <c r="L33" s="670">
        <v>726</v>
      </c>
      <c r="M33" s="670">
        <v>2704</v>
      </c>
      <c r="N33" s="670">
        <v>2868</v>
      </c>
    </row>
    <row r="34" spans="1:14" s="667" customFormat="1" ht="9" customHeight="1" x14ac:dyDescent="0.15">
      <c r="A34" s="667" t="s">
        <v>43</v>
      </c>
      <c r="C34" s="670">
        <f t="shared" si="1"/>
        <v>5950</v>
      </c>
      <c r="D34" s="670">
        <v>294</v>
      </c>
      <c r="E34" s="670">
        <v>608</v>
      </c>
      <c r="F34" s="670">
        <v>783</v>
      </c>
      <c r="G34" s="670">
        <v>1164</v>
      </c>
      <c r="H34" s="670">
        <v>532</v>
      </c>
      <c r="I34" s="670">
        <v>690</v>
      </c>
      <c r="J34" s="670">
        <v>135</v>
      </c>
      <c r="K34" s="670">
        <v>359</v>
      </c>
      <c r="L34" s="670">
        <v>209</v>
      </c>
      <c r="M34" s="670">
        <v>756</v>
      </c>
      <c r="N34" s="670">
        <v>420</v>
      </c>
    </row>
    <row r="35" spans="1:14" s="667" customFormat="1" ht="9" customHeight="1" x14ac:dyDescent="0.15">
      <c r="A35" s="667" t="s">
        <v>44</v>
      </c>
      <c r="C35" s="670">
        <f t="shared" si="1"/>
        <v>2083</v>
      </c>
      <c r="D35" s="670">
        <v>132</v>
      </c>
      <c r="E35" s="670">
        <v>249</v>
      </c>
      <c r="F35" s="670">
        <v>211</v>
      </c>
      <c r="G35" s="670">
        <v>336</v>
      </c>
      <c r="H35" s="670">
        <v>130</v>
      </c>
      <c r="I35" s="670">
        <v>212</v>
      </c>
      <c r="J35" s="670">
        <v>52</v>
      </c>
      <c r="K35" s="670">
        <v>171</v>
      </c>
      <c r="L35" s="670">
        <v>60</v>
      </c>
      <c r="M35" s="670">
        <v>394</v>
      </c>
      <c r="N35" s="670">
        <v>136</v>
      </c>
    </row>
    <row r="36" spans="1:14" s="667" customFormat="1" ht="9" customHeight="1" x14ac:dyDescent="0.15">
      <c r="A36" s="671" t="s">
        <v>45</v>
      </c>
      <c r="B36" s="671"/>
      <c r="C36" s="672">
        <f t="shared" si="1"/>
        <v>10501</v>
      </c>
      <c r="D36" s="672">
        <v>533</v>
      </c>
      <c r="E36" s="672">
        <v>1318</v>
      </c>
      <c r="F36" s="672">
        <v>1225</v>
      </c>
      <c r="G36" s="672">
        <v>2410</v>
      </c>
      <c r="H36" s="672">
        <v>1016</v>
      </c>
      <c r="I36" s="672">
        <v>797</v>
      </c>
      <c r="J36" s="672">
        <v>218</v>
      </c>
      <c r="K36" s="672">
        <v>471</v>
      </c>
      <c r="L36" s="672">
        <v>293</v>
      </c>
      <c r="M36" s="672">
        <v>1251</v>
      </c>
      <c r="N36" s="672">
        <v>969</v>
      </c>
    </row>
    <row r="37" spans="1:14" s="667" customFormat="1" ht="9" customHeight="1" x14ac:dyDescent="0.15">
      <c r="A37" s="667" t="s">
        <v>46</v>
      </c>
      <c r="C37" s="670">
        <f t="shared" si="1"/>
        <v>10230</v>
      </c>
      <c r="D37" s="670">
        <v>445</v>
      </c>
      <c r="E37" s="670">
        <v>1727</v>
      </c>
      <c r="F37" s="670">
        <v>1159</v>
      </c>
      <c r="G37" s="670">
        <v>2704</v>
      </c>
      <c r="H37" s="670">
        <v>843</v>
      </c>
      <c r="I37" s="670">
        <v>538</v>
      </c>
      <c r="J37" s="670">
        <v>244</v>
      </c>
      <c r="K37" s="670">
        <v>125</v>
      </c>
      <c r="L37" s="670">
        <v>101</v>
      </c>
      <c r="M37" s="670">
        <v>1659</v>
      </c>
      <c r="N37" s="670">
        <v>685</v>
      </c>
    </row>
    <row r="38" spans="1:14" s="667" customFormat="1" ht="9" customHeight="1" x14ac:dyDescent="0.15">
      <c r="A38" s="667" t="s">
        <v>47</v>
      </c>
      <c r="C38" s="670">
        <f t="shared" si="1"/>
        <v>10491</v>
      </c>
      <c r="D38" s="670">
        <v>390</v>
      </c>
      <c r="E38" s="670">
        <v>1594</v>
      </c>
      <c r="F38" s="670">
        <v>1374</v>
      </c>
      <c r="G38" s="670">
        <v>2898</v>
      </c>
      <c r="H38" s="670">
        <v>861</v>
      </c>
      <c r="I38" s="670">
        <v>638</v>
      </c>
      <c r="J38" s="670">
        <v>240</v>
      </c>
      <c r="K38" s="670">
        <v>402</v>
      </c>
      <c r="L38" s="670">
        <v>188</v>
      </c>
      <c r="M38" s="670">
        <v>1286</v>
      </c>
      <c r="N38" s="670">
        <v>620</v>
      </c>
    </row>
    <row r="39" spans="1:14" s="667" customFormat="1" ht="9" customHeight="1" x14ac:dyDescent="0.15">
      <c r="A39" s="667" t="s">
        <v>48</v>
      </c>
      <c r="C39" s="670">
        <f t="shared" si="1"/>
        <v>7789</v>
      </c>
      <c r="D39" s="670">
        <v>447</v>
      </c>
      <c r="E39" s="670">
        <v>950</v>
      </c>
      <c r="F39" s="670">
        <v>944</v>
      </c>
      <c r="G39" s="670">
        <v>1642</v>
      </c>
      <c r="H39" s="670">
        <v>647</v>
      </c>
      <c r="I39" s="670">
        <v>497</v>
      </c>
      <c r="J39" s="670">
        <v>207</v>
      </c>
      <c r="K39" s="670">
        <v>504</v>
      </c>
      <c r="L39" s="670">
        <v>174</v>
      </c>
      <c r="M39" s="670">
        <v>1262</v>
      </c>
      <c r="N39" s="670">
        <v>515</v>
      </c>
    </row>
    <row r="40" spans="1:14" s="667" customFormat="1" ht="9" customHeight="1" x14ac:dyDescent="0.15">
      <c r="A40" s="671" t="s">
        <v>49</v>
      </c>
      <c r="B40" s="671"/>
      <c r="C40" s="672">
        <f t="shared" si="1"/>
        <v>11548</v>
      </c>
      <c r="D40" s="672">
        <v>435</v>
      </c>
      <c r="E40" s="672">
        <v>1705</v>
      </c>
      <c r="F40" s="672">
        <v>1671</v>
      </c>
      <c r="G40" s="672">
        <v>3025</v>
      </c>
      <c r="H40" s="672">
        <v>847</v>
      </c>
      <c r="I40" s="672">
        <v>839</v>
      </c>
      <c r="J40" s="672">
        <v>343</v>
      </c>
      <c r="K40" s="672">
        <v>376</v>
      </c>
      <c r="L40" s="672">
        <v>207</v>
      </c>
      <c r="M40" s="672">
        <v>1501</v>
      </c>
      <c r="N40" s="672">
        <v>599</v>
      </c>
    </row>
    <row r="41" spans="1:14" s="667" customFormat="1" ht="9" customHeight="1" x14ac:dyDescent="0.15">
      <c r="A41" s="667" t="s">
        <v>50</v>
      </c>
      <c r="C41" s="670">
        <f t="shared" si="1"/>
        <v>4356</v>
      </c>
      <c r="D41" s="670">
        <v>184</v>
      </c>
      <c r="E41" s="670">
        <v>405</v>
      </c>
      <c r="F41" s="670">
        <v>613</v>
      </c>
      <c r="G41" s="670">
        <v>847</v>
      </c>
      <c r="H41" s="670">
        <v>430</v>
      </c>
      <c r="I41" s="670">
        <v>469</v>
      </c>
      <c r="J41" s="670">
        <v>181</v>
      </c>
      <c r="K41" s="670">
        <v>260</v>
      </c>
      <c r="L41" s="670">
        <v>119</v>
      </c>
      <c r="M41" s="670">
        <v>490</v>
      </c>
      <c r="N41" s="670">
        <v>358</v>
      </c>
    </row>
    <row r="42" spans="1:14" s="667" customFormat="1" ht="9" customHeight="1" x14ac:dyDescent="0.15">
      <c r="A42" s="667" t="s">
        <v>51</v>
      </c>
      <c r="C42" s="670">
        <f t="shared" si="1"/>
        <v>32424</v>
      </c>
      <c r="D42" s="670">
        <v>1817</v>
      </c>
      <c r="E42" s="670">
        <v>4255</v>
      </c>
      <c r="F42" s="670">
        <v>3797</v>
      </c>
      <c r="G42" s="670">
        <v>7857</v>
      </c>
      <c r="H42" s="670">
        <v>2543</v>
      </c>
      <c r="I42" s="670">
        <v>3793</v>
      </c>
      <c r="J42" s="670">
        <v>793</v>
      </c>
      <c r="K42" s="670">
        <v>1164</v>
      </c>
      <c r="L42" s="670">
        <v>771</v>
      </c>
      <c r="M42" s="670">
        <v>3295</v>
      </c>
      <c r="N42" s="670">
        <v>2339</v>
      </c>
    </row>
    <row r="43" spans="1:14" s="673" customFormat="1" ht="9" customHeight="1" x14ac:dyDescent="0.15">
      <c r="A43" s="673" t="s">
        <v>52</v>
      </c>
      <c r="C43" s="674">
        <f t="shared" si="1"/>
        <v>8318</v>
      </c>
      <c r="D43" s="674">
        <v>424</v>
      </c>
      <c r="E43" s="674">
        <v>1051</v>
      </c>
      <c r="F43" s="674">
        <v>930</v>
      </c>
      <c r="G43" s="674">
        <v>2214</v>
      </c>
      <c r="H43" s="674">
        <v>780</v>
      </c>
      <c r="I43" s="674">
        <v>823</v>
      </c>
      <c r="J43" s="674">
        <v>238</v>
      </c>
      <c r="K43" s="674">
        <v>337</v>
      </c>
      <c r="L43" s="674">
        <v>173</v>
      </c>
      <c r="M43" s="674">
        <v>647</v>
      </c>
      <c r="N43" s="674">
        <v>701</v>
      </c>
    </row>
    <row r="44" spans="1:14" s="673" customFormat="1" ht="9" customHeight="1" x14ac:dyDescent="0.15">
      <c r="A44" s="671" t="s">
        <v>53</v>
      </c>
      <c r="B44" s="671"/>
      <c r="C44" s="672">
        <f t="shared" si="1"/>
        <v>6580</v>
      </c>
      <c r="D44" s="672">
        <v>183</v>
      </c>
      <c r="E44" s="672">
        <v>885</v>
      </c>
      <c r="F44" s="672">
        <v>704</v>
      </c>
      <c r="G44" s="672">
        <v>1668</v>
      </c>
      <c r="H44" s="672">
        <v>757</v>
      </c>
      <c r="I44" s="672">
        <v>461</v>
      </c>
      <c r="J44" s="672">
        <v>154</v>
      </c>
      <c r="K44" s="672">
        <v>231</v>
      </c>
      <c r="L44" s="672">
        <v>123</v>
      </c>
      <c r="M44" s="672">
        <v>822</v>
      </c>
      <c r="N44" s="672">
        <v>592</v>
      </c>
    </row>
    <row r="45" spans="1:14" s="667" customFormat="1" ht="9" customHeight="1" x14ac:dyDescent="0.15">
      <c r="A45" s="664" t="s">
        <v>434</v>
      </c>
      <c r="B45" s="664"/>
      <c r="C45" s="670">
        <f t="shared" si="1"/>
        <v>2199</v>
      </c>
      <c r="D45" s="675">
        <v>66</v>
      </c>
      <c r="E45" s="675">
        <v>357</v>
      </c>
      <c r="F45" s="675">
        <v>107</v>
      </c>
      <c r="G45" s="675">
        <v>524</v>
      </c>
      <c r="H45" s="675">
        <v>77</v>
      </c>
      <c r="I45" s="675">
        <v>115</v>
      </c>
      <c r="J45" s="675">
        <v>34</v>
      </c>
      <c r="K45" s="675">
        <v>8</v>
      </c>
      <c r="L45" s="675">
        <v>10</v>
      </c>
      <c r="M45" s="675">
        <v>729</v>
      </c>
      <c r="N45" s="670">
        <v>172</v>
      </c>
    </row>
    <row r="46" spans="1:14" s="667" customFormat="1" ht="9" customHeight="1" x14ac:dyDescent="0.15">
      <c r="A46" s="664"/>
      <c r="B46" s="664"/>
      <c r="C46" s="670"/>
      <c r="D46" s="675"/>
      <c r="E46" s="675"/>
      <c r="F46" s="675"/>
      <c r="G46" s="675"/>
      <c r="H46" s="675"/>
      <c r="I46" s="675"/>
      <c r="J46" s="675"/>
      <c r="K46" s="675"/>
      <c r="L46" s="675"/>
      <c r="M46" s="675"/>
      <c r="N46" s="670"/>
    </row>
    <row r="47" spans="1:14" s="667" customFormat="1" ht="9" customHeight="1" x14ac:dyDescent="0.15">
      <c r="A47" s="663" t="s">
        <v>318</v>
      </c>
      <c r="B47" s="664"/>
      <c r="C47" s="665"/>
      <c r="D47" s="665"/>
      <c r="E47" s="665"/>
      <c r="F47" s="666"/>
      <c r="G47" s="666"/>
      <c r="H47" s="666"/>
      <c r="I47" s="666"/>
      <c r="J47" s="665"/>
      <c r="K47" s="665"/>
      <c r="L47" s="665"/>
      <c r="M47" s="665"/>
      <c r="N47" s="665"/>
    </row>
    <row r="48" spans="1:14" s="668" customFormat="1" ht="9" customHeight="1" x14ac:dyDescent="0.15">
      <c r="A48" s="668" t="s">
        <v>13</v>
      </c>
      <c r="C48" s="676">
        <f t="shared" ref="C48:N48" si="2">SUM(C50:C82)</f>
        <v>443950</v>
      </c>
      <c r="D48" s="676">
        <f t="shared" si="2"/>
        <v>19386</v>
      </c>
      <c r="E48" s="676">
        <f t="shared" si="2"/>
        <v>56400</v>
      </c>
      <c r="F48" s="676">
        <f t="shared" si="2"/>
        <v>59648</v>
      </c>
      <c r="G48" s="676">
        <f t="shared" si="2"/>
        <v>98639</v>
      </c>
      <c r="H48" s="676">
        <f t="shared" si="2"/>
        <v>41696</v>
      </c>
      <c r="I48" s="676">
        <f t="shared" si="2"/>
        <v>41692</v>
      </c>
      <c r="J48" s="676">
        <f t="shared" si="2"/>
        <v>11197</v>
      </c>
      <c r="K48" s="676">
        <f t="shared" si="2"/>
        <v>19261</v>
      </c>
      <c r="L48" s="676">
        <f t="shared" si="2"/>
        <v>9714</v>
      </c>
      <c r="M48" s="676">
        <f t="shared" si="2"/>
        <v>54559</v>
      </c>
      <c r="N48" s="676">
        <f t="shared" si="2"/>
        <v>31758</v>
      </c>
    </row>
    <row r="49" spans="1:14" s="668" customFormat="1" ht="3" customHeight="1" x14ac:dyDescent="0.15">
      <c r="C49" s="676"/>
      <c r="D49" s="676"/>
      <c r="E49" s="676"/>
      <c r="F49" s="676"/>
      <c r="G49" s="676"/>
      <c r="H49" s="676"/>
      <c r="I49" s="676"/>
      <c r="J49" s="676"/>
      <c r="K49" s="676"/>
      <c r="L49" s="676"/>
      <c r="M49" s="676"/>
      <c r="N49" s="676"/>
    </row>
    <row r="50" spans="1:14" s="667" customFormat="1" ht="9" customHeight="1" x14ac:dyDescent="0.15">
      <c r="A50" s="667" t="s">
        <v>23</v>
      </c>
      <c r="C50" s="677">
        <f t="shared" ref="C50:C82" si="3">SUM(D50:N50)</f>
        <v>3917</v>
      </c>
      <c r="D50" s="677">
        <v>148</v>
      </c>
      <c r="E50" s="677">
        <v>512</v>
      </c>
      <c r="F50" s="677">
        <v>591</v>
      </c>
      <c r="G50" s="677">
        <v>847</v>
      </c>
      <c r="H50" s="677">
        <v>386</v>
      </c>
      <c r="I50" s="677">
        <v>296</v>
      </c>
      <c r="J50" s="677">
        <v>117</v>
      </c>
      <c r="K50" s="677">
        <v>209</v>
      </c>
      <c r="L50" s="677">
        <v>116</v>
      </c>
      <c r="M50" s="677">
        <v>432</v>
      </c>
      <c r="N50" s="677">
        <v>263</v>
      </c>
    </row>
    <row r="51" spans="1:14" s="667" customFormat="1" ht="9" customHeight="1" x14ac:dyDescent="0.15">
      <c r="A51" s="667" t="s">
        <v>24</v>
      </c>
      <c r="C51" s="677">
        <f t="shared" si="3"/>
        <v>11301</v>
      </c>
      <c r="D51" s="677">
        <v>666</v>
      </c>
      <c r="E51" s="677">
        <v>1381</v>
      </c>
      <c r="F51" s="677">
        <v>1390</v>
      </c>
      <c r="G51" s="677">
        <v>2577</v>
      </c>
      <c r="H51" s="677">
        <v>946</v>
      </c>
      <c r="I51" s="677">
        <v>834</v>
      </c>
      <c r="J51" s="677">
        <v>196</v>
      </c>
      <c r="K51" s="677">
        <v>540</v>
      </c>
      <c r="L51" s="677">
        <v>256</v>
      </c>
      <c r="M51" s="677">
        <v>1958</v>
      </c>
      <c r="N51" s="677">
        <v>557</v>
      </c>
    </row>
    <row r="52" spans="1:14" s="667" customFormat="1" ht="9" customHeight="1" x14ac:dyDescent="0.15">
      <c r="A52" s="667" t="s">
        <v>25</v>
      </c>
      <c r="C52" s="677">
        <f t="shared" si="3"/>
        <v>1665</v>
      </c>
      <c r="D52" s="677">
        <v>64</v>
      </c>
      <c r="E52" s="677">
        <v>259</v>
      </c>
      <c r="F52" s="677">
        <v>222</v>
      </c>
      <c r="G52" s="677">
        <v>417</v>
      </c>
      <c r="H52" s="677">
        <v>132</v>
      </c>
      <c r="I52" s="677">
        <v>114</v>
      </c>
      <c r="J52" s="677">
        <v>46</v>
      </c>
      <c r="K52" s="677">
        <v>70</v>
      </c>
      <c r="L52" s="677">
        <v>43</v>
      </c>
      <c r="M52" s="677">
        <v>210</v>
      </c>
      <c r="N52" s="677">
        <v>88</v>
      </c>
    </row>
    <row r="53" spans="1:14" s="667" customFormat="1" ht="9" customHeight="1" x14ac:dyDescent="0.15">
      <c r="A53" s="671" t="s">
        <v>26</v>
      </c>
      <c r="B53" s="671"/>
      <c r="C53" s="678">
        <f t="shared" si="3"/>
        <v>2544</v>
      </c>
      <c r="D53" s="678">
        <v>77</v>
      </c>
      <c r="E53" s="678">
        <v>337</v>
      </c>
      <c r="F53" s="678">
        <v>278</v>
      </c>
      <c r="G53" s="678">
        <v>529</v>
      </c>
      <c r="H53" s="678">
        <v>185</v>
      </c>
      <c r="I53" s="678">
        <v>265</v>
      </c>
      <c r="J53" s="678">
        <v>62</v>
      </c>
      <c r="K53" s="678">
        <v>118</v>
      </c>
      <c r="L53" s="678">
        <v>50</v>
      </c>
      <c r="M53" s="678">
        <v>398</v>
      </c>
      <c r="N53" s="678">
        <v>245</v>
      </c>
    </row>
    <row r="54" spans="1:14" s="667" customFormat="1" ht="9" customHeight="1" x14ac:dyDescent="0.15">
      <c r="A54" s="667" t="s">
        <v>27</v>
      </c>
      <c r="C54" s="677">
        <f t="shared" si="3"/>
        <v>9706</v>
      </c>
      <c r="D54" s="677">
        <v>336</v>
      </c>
      <c r="E54" s="677">
        <v>1458</v>
      </c>
      <c r="F54" s="677">
        <v>1607</v>
      </c>
      <c r="G54" s="677">
        <v>2548</v>
      </c>
      <c r="H54" s="677">
        <v>740</v>
      </c>
      <c r="I54" s="677">
        <v>758</v>
      </c>
      <c r="J54" s="677">
        <v>238</v>
      </c>
      <c r="K54" s="677">
        <v>262</v>
      </c>
      <c r="L54" s="677">
        <v>153</v>
      </c>
      <c r="M54" s="677">
        <v>980</v>
      </c>
      <c r="N54" s="677">
        <v>626</v>
      </c>
    </row>
    <row r="55" spans="1:14" s="667" customFormat="1" ht="9" customHeight="1" x14ac:dyDescent="0.15">
      <c r="A55" s="667" t="s">
        <v>28</v>
      </c>
      <c r="C55" s="677">
        <f t="shared" si="3"/>
        <v>2351</v>
      </c>
      <c r="D55" s="677">
        <v>112</v>
      </c>
      <c r="E55" s="677">
        <v>316</v>
      </c>
      <c r="F55" s="677">
        <v>325</v>
      </c>
      <c r="G55" s="677">
        <v>591</v>
      </c>
      <c r="H55" s="677">
        <v>191</v>
      </c>
      <c r="I55" s="677">
        <v>203</v>
      </c>
      <c r="J55" s="677">
        <v>60</v>
      </c>
      <c r="K55" s="677">
        <v>82</v>
      </c>
      <c r="L55" s="677">
        <v>53</v>
      </c>
      <c r="M55" s="677">
        <v>281</v>
      </c>
      <c r="N55" s="677">
        <v>137</v>
      </c>
    </row>
    <row r="56" spans="1:14" s="667" customFormat="1" ht="9" customHeight="1" x14ac:dyDescent="0.15">
      <c r="A56" s="667" t="s">
        <v>29</v>
      </c>
      <c r="C56" s="677">
        <f t="shared" si="3"/>
        <v>15204</v>
      </c>
      <c r="D56" s="677">
        <v>1305</v>
      </c>
      <c r="E56" s="677">
        <v>1794</v>
      </c>
      <c r="F56" s="677">
        <v>1377</v>
      </c>
      <c r="G56" s="677">
        <v>2430</v>
      </c>
      <c r="H56" s="677">
        <v>1357</v>
      </c>
      <c r="I56" s="677">
        <v>1374</v>
      </c>
      <c r="J56" s="677">
        <v>413</v>
      </c>
      <c r="K56" s="677">
        <v>782</v>
      </c>
      <c r="L56" s="677">
        <v>276</v>
      </c>
      <c r="M56" s="677">
        <v>2332</v>
      </c>
      <c r="N56" s="677">
        <v>1764</v>
      </c>
    </row>
    <row r="57" spans="1:14" s="667" customFormat="1" ht="9" customHeight="1" x14ac:dyDescent="0.15">
      <c r="A57" s="671" t="s">
        <v>30</v>
      </c>
      <c r="B57" s="671"/>
      <c r="C57" s="678">
        <f t="shared" si="3"/>
        <v>15517</v>
      </c>
      <c r="D57" s="678">
        <v>565</v>
      </c>
      <c r="E57" s="678">
        <v>2057</v>
      </c>
      <c r="F57" s="678">
        <v>1784</v>
      </c>
      <c r="G57" s="678">
        <v>3969</v>
      </c>
      <c r="H57" s="678">
        <v>1414</v>
      </c>
      <c r="I57" s="678">
        <v>1150</v>
      </c>
      <c r="J57" s="678">
        <v>352</v>
      </c>
      <c r="K57" s="678">
        <v>659</v>
      </c>
      <c r="L57" s="678">
        <v>288</v>
      </c>
      <c r="M57" s="678">
        <v>2238</v>
      </c>
      <c r="N57" s="678">
        <v>1041</v>
      </c>
    </row>
    <row r="58" spans="1:14" s="667" customFormat="1" ht="9" customHeight="1" x14ac:dyDescent="0.15">
      <c r="A58" s="667" t="s">
        <v>171</v>
      </c>
      <c r="C58" s="677">
        <f t="shared" si="3"/>
        <v>46601</v>
      </c>
      <c r="D58" s="677">
        <v>1745</v>
      </c>
      <c r="E58" s="677">
        <v>6523</v>
      </c>
      <c r="F58" s="677">
        <v>7319</v>
      </c>
      <c r="G58" s="677">
        <v>12080</v>
      </c>
      <c r="H58" s="677">
        <v>4339</v>
      </c>
      <c r="I58" s="677">
        <v>4669</v>
      </c>
      <c r="J58" s="677">
        <v>1137</v>
      </c>
      <c r="K58" s="677">
        <v>1660</v>
      </c>
      <c r="L58" s="677">
        <v>951</v>
      </c>
      <c r="M58" s="677">
        <v>4033</v>
      </c>
      <c r="N58" s="677">
        <v>2145</v>
      </c>
    </row>
    <row r="59" spans="1:14" s="667" customFormat="1" ht="9" customHeight="1" x14ac:dyDescent="0.15">
      <c r="A59" s="667" t="s">
        <v>31</v>
      </c>
      <c r="C59" s="677">
        <f t="shared" si="3"/>
        <v>6004</v>
      </c>
      <c r="D59" s="677">
        <v>199</v>
      </c>
      <c r="E59" s="677">
        <v>858</v>
      </c>
      <c r="F59" s="677">
        <v>823</v>
      </c>
      <c r="G59" s="677">
        <v>1480</v>
      </c>
      <c r="H59" s="677">
        <v>563</v>
      </c>
      <c r="I59" s="677">
        <v>452</v>
      </c>
      <c r="J59" s="677">
        <v>158</v>
      </c>
      <c r="K59" s="677">
        <v>60</v>
      </c>
      <c r="L59" s="677">
        <v>47</v>
      </c>
      <c r="M59" s="677">
        <v>827</v>
      </c>
      <c r="N59" s="677">
        <v>537</v>
      </c>
    </row>
    <row r="60" spans="1:14" s="667" customFormat="1" ht="9" customHeight="1" x14ac:dyDescent="0.15">
      <c r="A60" s="667" t="s">
        <v>32</v>
      </c>
      <c r="C60" s="677">
        <f t="shared" si="3"/>
        <v>21753</v>
      </c>
      <c r="D60" s="677">
        <v>856</v>
      </c>
      <c r="E60" s="677">
        <v>2447</v>
      </c>
      <c r="F60" s="677">
        <v>3421</v>
      </c>
      <c r="G60" s="677">
        <v>4598</v>
      </c>
      <c r="H60" s="677">
        <v>2282</v>
      </c>
      <c r="I60" s="677">
        <v>1837</v>
      </c>
      <c r="J60" s="677">
        <v>481</v>
      </c>
      <c r="K60" s="677">
        <v>1253</v>
      </c>
      <c r="L60" s="677">
        <v>597</v>
      </c>
      <c r="M60" s="677">
        <v>2382</v>
      </c>
      <c r="N60" s="677">
        <v>1599</v>
      </c>
    </row>
    <row r="61" spans="1:14" s="667" customFormat="1" ht="9" customHeight="1" x14ac:dyDescent="0.15">
      <c r="A61" s="671" t="s">
        <v>33</v>
      </c>
      <c r="B61" s="671"/>
      <c r="C61" s="678">
        <f t="shared" si="3"/>
        <v>10693</v>
      </c>
      <c r="D61" s="678">
        <v>622</v>
      </c>
      <c r="E61" s="678">
        <v>1267</v>
      </c>
      <c r="F61" s="678">
        <v>1280</v>
      </c>
      <c r="G61" s="678">
        <v>1958</v>
      </c>
      <c r="H61" s="678">
        <v>820</v>
      </c>
      <c r="I61" s="678">
        <v>830</v>
      </c>
      <c r="J61" s="678">
        <v>224</v>
      </c>
      <c r="K61" s="678">
        <v>430</v>
      </c>
      <c r="L61" s="678">
        <v>179</v>
      </c>
      <c r="M61" s="678">
        <v>2153</v>
      </c>
      <c r="N61" s="678">
        <v>930</v>
      </c>
    </row>
    <row r="62" spans="1:14" s="667" customFormat="1" ht="9" customHeight="1" x14ac:dyDescent="0.15">
      <c r="A62" s="667" t="s">
        <v>34</v>
      </c>
      <c r="C62" s="677">
        <f t="shared" si="3"/>
        <v>10038</v>
      </c>
      <c r="D62" s="677">
        <v>331</v>
      </c>
      <c r="E62" s="677">
        <v>1214</v>
      </c>
      <c r="F62" s="677">
        <v>1260</v>
      </c>
      <c r="G62" s="677">
        <v>2060</v>
      </c>
      <c r="H62" s="677">
        <v>946</v>
      </c>
      <c r="I62" s="677">
        <v>1369</v>
      </c>
      <c r="J62" s="677">
        <v>289</v>
      </c>
      <c r="K62" s="677">
        <v>432</v>
      </c>
      <c r="L62" s="677">
        <v>202</v>
      </c>
      <c r="M62" s="677">
        <v>1227</v>
      </c>
      <c r="N62" s="677">
        <v>708</v>
      </c>
    </row>
    <row r="63" spans="1:14" s="667" customFormat="1" ht="9" customHeight="1" x14ac:dyDescent="0.15">
      <c r="A63" s="667" t="s">
        <v>35</v>
      </c>
      <c r="C63" s="677">
        <f t="shared" si="3"/>
        <v>31300</v>
      </c>
      <c r="D63" s="677">
        <v>1219</v>
      </c>
      <c r="E63" s="677">
        <v>4363</v>
      </c>
      <c r="F63" s="677">
        <v>4387</v>
      </c>
      <c r="G63" s="677">
        <v>7441</v>
      </c>
      <c r="H63" s="677">
        <v>3285</v>
      </c>
      <c r="I63" s="677">
        <v>2719</v>
      </c>
      <c r="J63" s="677">
        <v>842</v>
      </c>
      <c r="K63" s="677">
        <v>1198</v>
      </c>
      <c r="L63" s="677">
        <v>639</v>
      </c>
      <c r="M63" s="677">
        <v>3623</v>
      </c>
      <c r="N63" s="677">
        <v>1584</v>
      </c>
    </row>
    <row r="64" spans="1:14" s="667" customFormat="1" ht="9" customHeight="1" x14ac:dyDescent="0.15">
      <c r="A64" s="667" t="s">
        <v>36</v>
      </c>
      <c r="C64" s="677">
        <f t="shared" si="3"/>
        <v>52594</v>
      </c>
      <c r="D64" s="677">
        <v>2266</v>
      </c>
      <c r="E64" s="677">
        <v>5560</v>
      </c>
      <c r="F64" s="677">
        <v>7532</v>
      </c>
      <c r="G64" s="677">
        <v>9718</v>
      </c>
      <c r="H64" s="677">
        <v>5829</v>
      </c>
      <c r="I64" s="677">
        <v>6341</v>
      </c>
      <c r="J64" s="677">
        <v>1347</v>
      </c>
      <c r="K64" s="677">
        <v>3407</v>
      </c>
      <c r="L64" s="677">
        <v>1542</v>
      </c>
      <c r="M64" s="677">
        <v>6425</v>
      </c>
      <c r="N64" s="677">
        <v>2627</v>
      </c>
    </row>
    <row r="65" spans="1:14" s="667" customFormat="1" ht="9" customHeight="1" x14ac:dyDescent="0.15">
      <c r="A65" s="671" t="s">
        <v>37</v>
      </c>
      <c r="B65" s="671"/>
      <c r="C65" s="678">
        <f t="shared" si="3"/>
        <v>18477</v>
      </c>
      <c r="D65" s="678">
        <v>602</v>
      </c>
      <c r="E65" s="678">
        <v>2425</v>
      </c>
      <c r="F65" s="678">
        <v>2445</v>
      </c>
      <c r="G65" s="678">
        <v>4216</v>
      </c>
      <c r="H65" s="678">
        <v>1858</v>
      </c>
      <c r="I65" s="678">
        <v>1418</v>
      </c>
      <c r="J65" s="678">
        <v>408</v>
      </c>
      <c r="K65" s="678">
        <v>555</v>
      </c>
      <c r="L65" s="678">
        <v>301</v>
      </c>
      <c r="M65" s="678">
        <v>2784</v>
      </c>
      <c r="N65" s="678">
        <v>1465</v>
      </c>
    </row>
    <row r="66" spans="1:14" s="667" customFormat="1" ht="9" customHeight="1" x14ac:dyDescent="0.15">
      <c r="A66" s="667" t="s">
        <v>38</v>
      </c>
      <c r="C66" s="677">
        <f t="shared" si="3"/>
        <v>6828</v>
      </c>
      <c r="D66" s="677">
        <v>331</v>
      </c>
      <c r="E66" s="677">
        <v>888</v>
      </c>
      <c r="F66" s="677">
        <v>974</v>
      </c>
      <c r="G66" s="677">
        <v>1512</v>
      </c>
      <c r="H66" s="677">
        <v>542</v>
      </c>
      <c r="I66" s="677">
        <v>647</v>
      </c>
      <c r="J66" s="677">
        <v>235</v>
      </c>
      <c r="K66" s="677">
        <v>245</v>
      </c>
      <c r="L66" s="677">
        <v>132</v>
      </c>
      <c r="M66" s="677">
        <v>914</v>
      </c>
      <c r="N66" s="677">
        <v>408</v>
      </c>
    </row>
    <row r="67" spans="1:14" s="667" customFormat="1" ht="9" customHeight="1" x14ac:dyDescent="0.15">
      <c r="A67" s="667" t="s">
        <v>39</v>
      </c>
      <c r="C67" s="677">
        <f t="shared" si="3"/>
        <v>4098</v>
      </c>
      <c r="D67" s="677">
        <v>188</v>
      </c>
      <c r="E67" s="677">
        <v>586</v>
      </c>
      <c r="F67" s="677">
        <v>516</v>
      </c>
      <c r="G67" s="677">
        <v>1032</v>
      </c>
      <c r="H67" s="677">
        <v>422</v>
      </c>
      <c r="I67" s="677">
        <v>294</v>
      </c>
      <c r="J67" s="677">
        <v>91</v>
      </c>
      <c r="K67" s="677">
        <v>106</v>
      </c>
      <c r="L67" s="677">
        <v>49</v>
      </c>
      <c r="M67" s="677">
        <v>527</v>
      </c>
      <c r="N67" s="677">
        <v>287</v>
      </c>
    </row>
    <row r="68" spans="1:14" s="667" customFormat="1" ht="9" customHeight="1" x14ac:dyDescent="0.15">
      <c r="A68" s="667" t="s">
        <v>40</v>
      </c>
      <c r="C68" s="677">
        <f t="shared" si="3"/>
        <v>15836</v>
      </c>
      <c r="D68" s="677">
        <v>619</v>
      </c>
      <c r="E68" s="677">
        <v>2609</v>
      </c>
      <c r="F68" s="677">
        <v>2085</v>
      </c>
      <c r="G68" s="677">
        <v>4431</v>
      </c>
      <c r="H68" s="677">
        <v>1353</v>
      </c>
      <c r="I68" s="677">
        <v>1170</v>
      </c>
      <c r="J68" s="677">
        <v>412</v>
      </c>
      <c r="K68" s="677">
        <v>457</v>
      </c>
      <c r="L68" s="677">
        <v>344</v>
      </c>
      <c r="M68" s="677">
        <v>1511</v>
      </c>
      <c r="N68" s="677">
        <v>845</v>
      </c>
    </row>
    <row r="69" spans="1:14" s="667" customFormat="1" ht="9" customHeight="1" x14ac:dyDescent="0.15">
      <c r="A69" s="671" t="s">
        <v>41</v>
      </c>
      <c r="B69" s="671"/>
      <c r="C69" s="678">
        <f t="shared" si="3"/>
        <v>18074</v>
      </c>
      <c r="D69" s="678">
        <v>1116</v>
      </c>
      <c r="E69" s="678">
        <v>1831</v>
      </c>
      <c r="F69" s="678">
        <v>2146</v>
      </c>
      <c r="G69" s="678">
        <v>3407</v>
      </c>
      <c r="H69" s="678">
        <v>1536</v>
      </c>
      <c r="I69" s="678">
        <v>1720</v>
      </c>
      <c r="J69" s="678">
        <v>557</v>
      </c>
      <c r="K69" s="678">
        <v>661</v>
      </c>
      <c r="L69" s="678">
        <v>372</v>
      </c>
      <c r="M69" s="678">
        <v>2371</v>
      </c>
      <c r="N69" s="678">
        <v>2357</v>
      </c>
    </row>
    <row r="70" spans="1:14" s="667" customFormat="1" ht="9" customHeight="1" x14ac:dyDescent="0.15">
      <c r="A70" s="667" t="s">
        <v>42</v>
      </c>
      <c r="C70" s="677">
        <f t="shared" si="3"/>
        <v>27169</v>
      </c>
      <c r="D70" s="677">
        <v>1208</v>
      </c>
      <c r="E70" s="677">
        <v>2533</v>
      </c>
      <c r="F70" s="677">
        <v>3628</v>
      </c>
      <c r="G70" s="677">
        <v>4595</v>
      </c>
      <c r="H70" s="677">
        <v>2827</v>
      </c>
      <c r="I70" s="677">
        <v>3261</v>
      </c>
      <c r="J70" s="677">
        <v>877</v>
      </c>
      <c r="K70" s="677">
        <v>1772</v>
      </c>
      <c r="L70" s="677">
        <v>708</v>
      </c>
      <c r="M70" s="677">
        <v>2874</v>
      </c>
      <c r="N70" s="677">
        <v>2886</v>
      </c>
    </row>
    <row r="71" spans="1:14" s="667" customFormat="1" ht="9" customHeight="1" x14ac:dyDescent="0.15">
      <c r="A71" s="667" t="s">
        <v>43</v>
      </c>
      <c r="C71" s="677">
        <f t="shared" si="3"/>
        <v>5867</v>
      </c>
      <c r="D71" s="677">
        <v>239</v>
      </c>
      <c r="E71" s="677">
        <v>629</v>
      </c>
      <c r="F71" s="677">
        <v>788</v>
      </c>
      <c r="G71" s="677">
        <v>1066</v>
      </c>
      <c r="H71" s="677">
        <v>507</v>
      </c>
      <c r="I71" s="677">
        <v>714</v>
      </c>
      <c r="J71" s="677">
        <v>127</v>
      </c>
      <c r="K71" s="677">
        <v>348</v>
      </c>
      <c r="L71" s="677">
        <v>201</v>
      </c>
      <c r="M71" s="677">
        <v>721</v>
      </c>
      <c r="N71" s="677">
        <v>527</v>
      </c>
    </row>
    <row r="72" spans="1:14" s="667" customFormat="1" ht="9" customHeight="1" x14ac:dyDescent="0.15">
      <c r="A72" s="667" t="s">
        <v>44</v>
      </c>
      <c r="C72" s="677">
        <f t="shared" si="3"/>
        <v>2351</v>
      </c>
      <c r="D72" s="677">
        <v>136</v>
      </c>
      <c r="E72" s="677">
        <v>302</v>
      </c>
      <c r="F72" s="677">
        <v>207</v>
      </c>
      <c r="G72" s="677">
        <v>414</v>
      </c>
      <c r="H72" s="677">
        <v>131</v>
      </c>
      <c r="I72" s="677">
        <v>215</v>
      </c>
      <c r="J72" s="677">
        <v>43</v>
      </c>
      <c r="K72" s="677">
        <v>181</v>
      </c>
      <c r="L72" s="677">
        <v>82</v>
      </c>
      <c r="M72" s="677">
        <v>487</v>
      </c>
      <c r="N72" s="677">
        <v>153</v>
      </c>
    </row>
    <row r="73" spans="1:14" s="667" customFormat="1" ht="9" customHeight="1" x14ac:dyDescent="0.15">
      <c r="A73" s="671" t="s">
        <v>45</v>
      </c>
      <c r="B73" s="671"/>
      <c r="C73" s="678">
        <f t="shared" si="3"/>
        <v>10324</v>
      </c>
      <c r="D73" s="678">
        <v>471</v>
      </c>
      <c r="E73" s="678">
        <v>1397</v>
      </c>
      <c r="F73" s="678">
        <v>1234</v>
      </c>
      <c r="G73" s="678">
        <v>2402</v>
      </c>
      <c r="H73" s="678">
        <v>1013</v>
      </c>
      <c r="I73" s="678">
        <v>785</v>
      </c>
      <c r="J73" s="678">
        <v>219</v>
      </c>
      <c r="K73" s="678">
        <v>412</v>
      </c>
      <c r="L73" s="678">
        <v>228</v>
      </c>
      <c r="M73" s="678">
        <v>1186</v>
      </c>
      <c r="N73" s="678">
        <v>977</v>
      </c>
    </row>
    <row r="74" spans="1:14" s="667" customFormat="1" ht="9" customHeight="1" x14ac:dyDescent="0.15">
      <c r="A74" s="667" t="s">
        <v>46</v>
      </c>
      <c r="C74" s="677">
        <f t="shared" si="3"/>
        <v>10270</v>
      </c>
      <c r="D74" s="677">
        <v>441</v>
      </c>
      <c r="E74" s="677">
        <v>1719</v>
      </c>
      <c r="F74" s="677">
        <v>1210</v>
      </c>
      <c r="G74" s="677">
        <v>2611</v>
      </c>
      <c r="H74" s="677">
        <v>872</v>
      </c>
      <c r="I74" s="677">
        <v>574</v>
      </c>
      <c r="J74" s="677">
        <v>236</v>
      </c>
      <c r="K74" s="677">
        <v>147</v>
      </c>
      <c r="L74" s="677">
        <v>117</v>
      </c>
      <c r="M74" s="677">
        <v>1655</v>
      </c>
      <c r="N74" s="677">
        <v>688</v>
      </c>
    </row>
    <row r="75" spans="1:14" s="667" customFormat="1" ht="9" customHeight="1" x14ac:dyDescent="0.15">
      <c r="A75" s="667" t="s">
        <v>47</v>
      </c>
      <c r="C75" s="677">
        <f t="shared" si="3"/>
        <v>10730</v>
      </c>
      <c r="D75" s="677">
        <v>380</v>
      </c>
      <c r="E75" s="677">
        <v>1626</v>
      </c>
      <c r="F75" s="677">
        <v>1445</v>
      </c>
      <c r="G75" s="677">
        <v>2849</v>
      </c>
      <c r="H75" s="677">
        <v>942</v>
      </c>
      <c r="I75" s="677">
        <v>688</v>
      </c>
      <c r="J75" s="677">
        <v>200</v>
      </c>
      <c r="K75" s="677">
        <v>345</v>
      </c>
      <c r="L75" s="677">
        <v>215</v>
      </c>
      <c r="M75" s="677">
        <v>1363</v>
      </c>
      <c r="N75" s="677">
        <v>677</v>
      </c>
    </row>
    <row r="76" spans="1:14" s="667" customFormat="1" ht="9" customHeight="1" x14ac:dyDescent="0.15">
      <c r="A76" s="667" t="s">
        <v>48</v>
      </c>
      <c r="C76" s="677">
        <f t="shared" si="3"/>
        <v>7270</v>
      </c>
      <c r="D76" s="677">
        <v>314</v>
      </c>
      <c r="E76" s="677">
        <v>913</v>
      </c>
      <c r="F76" s="677">
        <v>888</v>
      </c>
      <c r="G76" s="677">
        <v>1535</v>
      </c>
      <c r="H76" s="677">
        <v>528</v>
      </c>
      <c r="I76" s="677">
        <v>456</v>
      </c>
      <c r="J76" s="677">
        <v>212</v>
      </c>
      <c r="K76" s="677">
        <v>403</v>
      </c>
      <c r="L76" s="677">
        <v>213</v>
      </c>
      <c r="M76" s="677">
        <v>1283</v>
      </c>
      <c r="N76" s="677">
        <v>525</v>
      </c>
    </row>
    <row r="77" spans="1:14" s="667" customFormat="1" ht="9" customHeight="1" x14ac:dyDescent="0.15">
      <c r="A77" s="671" t="s">
        <v>49</v>
      </c>
      <c r="B77" s="671"/>
      <c r="C77" s="678">
        <f t="shared" si="3"/>
        <v>11563</v>
      </c>
      <c r="D77" s="678">
        <v>440</v>
      </c>
      <c r="E77" s="678">
        <v>1736</v>
      </c>
      <c r="F77" s="678">
        <v>1734</v>
      </c>
      <c r="G77" s="678">
        <v>3070</v>
      </c>
      <c r="H77" s="678">
        <v>903</v>
      </c>
      <c r="I77" s="678">
        <v>838</v>
      </c>
      <c r="J77" s="678">
        <v>292</v>
      </c>
      <c r="K77" s="678">
        <v>370</v>
      </c>
      <c r="L77" s="678">
        <v>220</v>
      </c>
      <c r="M77" s="678">
        <v>1402</v>
      </c>
      <c r="N77" s="678">
        <v>558</v>
      </c>
    </row>
    <row r="78" spans="1:14" s="667" customFormat="1" ht="9" customHeight="1" x14ac:dyDescent="0.15">
      <c r="A78" s="667" t="s">
        <v>50</v>
      </c>
      <c r="C78" s="677">
        <f t="shared" si="3"/>
        <v>4550</v>
      </c>
      <c r="D78" s="677">
        <v>160</v>
      </c>
      <c r="E78" s="677">
        <v>449</v>
      </c>
      <c r="F78" s="677">
        <v>677</v>
      </c>
      <c r="G78" s="677">
        <v>782</v>
      </c>
      <c r="H78" s="677">
        <v>498</v>
      </c>
      <c r="I78" s="677">
        <v>451</v>
      </c>
      <c r="J78" s="677">
        <v>184</v>
      </c>
      <c r="K78" s="677">
        <v>303</v>
      </c>
      <c r="L78" s="677">
        <v>112</v>
      </c>
      <c r="M78" s="679">
        <v>539</v>
      </c>
      <c r="N78" s="677">
        <v>395</v>
      </c>
    </row>
    <row r="79" spans="1:14" s="667" customFormat="1" ht="9" customHeight="1" x14ac:dyDescent="0.15">
      <c r="A79" s="667" t="s">
        <v>51</v>
      </c>
      <c r="C79" s="677">
        <f t="shared" si="3"/>
        <v>32722</v>
      </c>
      <c r="D79" s="677">
        <v>1632</v>
      </c>
      <c r="E79" s="677">
        <v>4252</v>
      </c>
      <c r="F79" s="677">
        <v>4315</v>
      </c>
      <c r="G79" s="677">
        <v>7430</v>
      </c>
      <c r="H79" s="677">
        <v>2825</v>
      </c>
      <c r="I79" s="677">
        <v>3805</v>
      </c>
      <c r="J79" s="677">
        <v>715</v>
      </c>
      <c r="K79" s="677">
        <v>1244</v>
      </c>
      <c r="L79" s="677">
        <v>741</v>
      </c>
      <c r="M79" s="677">
        <v>3169</v>
      </c>
      <c r="N79" s="677">
        <v>2594</v>
      </c>
    </row>
    <row r="80" spans="1:14" s="673" customFormat="1" ht="9" customHeight="1" x14ac:dyDescent="0.15">
      <c r="A80" s="673" t="s">
        <v>52</v>
      </c>
      <c r="C80" s="680">
        <f t="shared" si="3"/>
        <v>8007</v>
      </c>
      <c r="D80" s="680">
        <v>342</v>
      </c>
      <c r="E80" s="680">
        <v>1039</v>
      </c>
      <c r="F80" s="680">
        <v>896</v>
      </c>
      <c r="G80" s="680">
        <v>1974</v>
      </c>
      <c r="H80" s="680">
        <v>697</v>
      </c>
      <c r="I80" s="680">
        <v>893</v>
      </c>
      <c r="J80" s="680">
        <v>223</v>
      </c>
      <c r="K80" s="680">
        <v>295</v>
      </c>
      <c r="L80" s="680">
        <v>174</v>
      </c>
      <c r="M80" s="680">
        <v>676</v>
      </c>
      <c r="N80" s="680">
        <v>798</v>
      </c>
    </row>
    <row r="81" spans="1:14" s="673" customFormat="1" ht="9" customHeight="1" x14ac:dyDescent="0.15">
      <c r="A81" s="671" t="s">
        <v>53</v>
      </c>
      <c r="B81" s="671"/>
      <c r="C81" s="678">
        <f t="shared" si="3"/>
        <v>6323</v>
      </c>
      <c r="D81" s="678">
        <v>202</v>
      </c>
      <c r="E81" s="678">
        <v>766</v>
      </c>
      <c r="F81" s="678">
        <v>759</v>
      </c>
      <c r="G81" s="678">
        <v>1572</v>
      </c>
      <c r="H81" s="678">
        <v>715</v>
      </c>
      <c r="I81" s="678">
        <v>451</v>
      </c>
      <c r="J81" s="678">
        <v>172</v>
      </c>
      <c r="K81" s="678">
        <v>249</v>
      </c>
      <c r="L81" s="678">
        <v>104</v>
      </c>
      <c r="M81" s="678">
        <v>741</v>
      </c>
      <c r="N81" s="678">
        <v>592</v>
      </c>
    </row>
    <row r="82" spans="1:14" s="667" customFormat="1" ht="9" customHeight="1" x14ac:dyDescent="0.15">
      <c r="A82" s="664" t="s">
        <v>434</v>
      </c>
      <c r="B82" s="664"/>
      <c r="C82" s="677">
        <f t="shared" si="3"/>
        <v>2303</v>
      </c>
      <c r="D82" s="681">
        <v>54</v>
      </c>
      <c r="E82" s="681">
        <v>354</v>
      </c>
      <c r="F82" s="681">
        <v>105</v>
      </c>
      <c r="G82" s="681">
        <v>498</v>
      </c>
      <c r="H82" s="681">
        <v>112</v>
      </c>
      <c r="I82" s="681">
        <v>101</v>
      </c>
      <c r="J82" s="681">
        <v>32</v>
      </c>
      <c r="K82" s="681">
        <v>6</v>
      </c>
      <c r="L82" s="681">
        <v>9</v>
      </c>
      <c r="M82" s="681">
        <v>857</v>
      </c>
      <c r="N82" s="677">
        <v>175</v>
      </c>
    </row>
    <row r="83" spans="1:14" s="667" customFormat="1" ht="9" customHeight="1" x14ac:dyDescent="0.15">
      <c r="B83" s="664"/>
      <c r="C83" s="665"/>
      <c r="D83" s="665"/>
      <c r="E83" s="665"/>
      <c r="F83" s="666"/>
      <c r="G83" s="666"/>
      <c r="H83" s="666"/>
      <c r="I83" s="666"/>
      <c r="J83" s="665"/>
      <c r="K83" s="665"/>
      <c r="L83" s="665"/>
      <c r="M83" s="665"/>
      <c r="N83" s="665"/>
    </row>
    <row r="84" spans="1:14" s="667" customFormat="1" ht="9" customHeight="1" x14ac:dyDescent="0.15">
      <c r="A84" s="663" t="s">
        <v>538</v>
      </c>
      <c r="B84" s="664"/>
      <c r="C84" s="665"/>
      <c r="D84" s="665"/>
      <c r="E84" s="665"/>
      <c r="F84" s="666"/>
      <c r="G84" s="666"/>
      <c r="H84" s="666"/>
      <c r="I84" s="666"/>
      <c r="J84" s="665"/>
      <c r="K84" s="665"/>
      <c r="L84" s="665"/>
      <c r="M84" s="665"/>
      <c r="N84" s="665"/>
    </row>
    <row r="85" spans="1:14" s="668" customFormat="1" ht="9" customHeight="1" x14ac:dyDescent="0.25">
      <c r="A85" s="668" t="s">
        <v>13</v>
      </c>
      <c r="C85" s="682">
        <f t="shared" ref="C85:N85" si="4">SUM(C87:C119)</f>
        <v>437667</v>
      </c>
      <c r="D85" s="682">
        <f t="shared" si="4"/>
        <v>18602</v>
      </c>
      <c r="E85" s="682">
        <f t="shared" si="4"/>
        <v>57784</v>
      </c>
      <c r="F85" s="682">
        <f t="shared" si="4"/>
        <v>59803</v>
      </c>
      <c r="G85" s="682">
        <f t="shared" si="4"/>
        <v>97655</v>
      </c>
      <c r="H85" s="682">
        <f t="shared" si="4"/>
        <v>38540</v>
      </c>
      <c r="I85" s="682">
        <f t="shared" si="4"/>
        <v>42201</v>
      </c>
      <c r="J85" s="682">
        <f t="shared" si="4"/>
        <v>11954</v>
      </c>
      <c r="K85" s="682">
        <f t="shared" si="4"/>
        <v>19388</v>
      </c>
      <c r="L85" s="682">
        <f t="shared" si="4"/>
        <v>9572</v>
      </c>
      <c r="M85" s="682">
        <f t="shared" si="4"/>
        <v>52129</v>
      </c>
      <c r="N85" s="682">
        <f t="shared" si="4"/>
        <v>30039</v>
      </c>
    </row>
    <row r="86" spans="1:14" s="668" customFormat="1" ht="3.95" customHeight="1" x14ac:dyDescent="0.25">
      <c r="C86" s="682"/>
      <c r="D86" s="682"/>
      <c r="E86" s="682"/>
      <c r="F86" s="682"/>
      <c r="G86" s="682"/>
      <c r="H86" s="682"/>
      <c r="I86" s="682"/>
      <c r="J86" s="682"/>
      <c r="K86" s="682"/>
      <c r="L86" s="682"/>
      <c r="M86" s="682"/>
      <c r="N86" s="682"/>
    </row>
    <row r="87" spans="1:14" s="667" customFormat="1" ht="9" customHeight="1" x14ac:dyDescent="0.25">
      <c r="A87" s="667" t="s">
        <v>23</v>
      </c>
      <c r="C87" s="679">
        <f t="shared" ref="C87:C119" si="5">SUM(D87:N87)</f>
        <v>3728</v>
      </c>
      <c r="D87" s="679">
        <v>127</v>
      </c>
      <c r="E87" s="679">
        <v>500</v>
      </c>
      <c r="F87" s="679">
        <v>533</v>
      </c>
      <c r="G87" s="679">
        <v>776</v>
      </c>
      <c r="H87" s="679">
        <v>383</v>
      </c>
      <c r="I87" s="679">
        <v>322</v>
      </c>
      <c r="J87" s="679">
        <v>107</v>
      </c>
      <c r="K87" s="679">
        <v>210</v>
      </c>
      <c r="L87" s="679">
        <v>100</v>
      </c>
      <c r="M87" s="679">
        <v>422</v>
      </c>
      <c r="N87" s="679">
        <v>248</v>
      </c>
    </row>
    <row r="88" spans="1:14" s="667" customFormat="1" ht="9" customHeight="1" x14ac:dyDescent="0.25">
      <c r="A88" s="667" t="s">
        <v>24</v>
      </c>
      <c r="C88" s="679">
        <f t="shared" si="5"/>
        <v>11364</v>
      </c>
      <c r="D88" s="679">
        <v>727</v>
      </c>
      <c r="E88" s="679">
        <v>1429</v>
      </c>
      <c r="F88" s="679">
        <v>1382</v>
      </c>
      <c r="G88" s="679">
        <v>2648</v>
      </c>
      <c r="H88" s="679">
        <v>853</v>
      </c>
      <c r="I88" s="679">
        <v>910</v>
      </c>
      <c r="J88" s="679">
        <v>253</v>
      </c>
      <c r="K88" s="679">
        <v>523</v>
      </c>
      <c r="L88" s="679">
        <v>217</v>
      </c>
      <c r="M88" s="679">
        <v>1846</v>
      </c>
      <c r="N88" s="679">
        <v>576</v>
      </c>
    </row>
    <row r="89" spans="1:14" s="667" customFormat="1" ht="9" customHeight="1" x14ac:dyDescent="0.25">
      <c r="A89" s="667" t="s">
        <v>25</v>
      </c>
      <c r="C89" s="679">
        <f t="shared" si="5"/>
        <v>1697</v>
      </c>
      <c r="D89" s="679">
        <v>74</v>
      </c>
      <c r="E89" s="679">
        <v>283</v>
      </c>
      <c r="F89" s="679">
        <v>231</v>
      </c>
      <c r="G89" s="679">
        <v>401</v>
      </c>
      <c r="H89" s="679">
        <v>130</v>
      </c>
      <c r="I89" s="679">
        <v>98</v>
      </c>
      <c r="J89" s="679">
        <v>41</v>
      </c>
      <c r="K89" s="679">
        <v>74</v>
      </c>
      <c r="L89" s="679">
        <v>53</v>
      </c>
      <c r="M89" s="679">
        <v>241</v>
      </c>
      <c r="N89" s="679">
        <v>71</v>
      </c>
    </row>
    <row r="90" spans="1:14" s="667" customFormat="1" ht="9" customHeight="1" x14ac:dyDescent="0.25">
      <c r="A90" s="671" t="s">
        <v>26</v>
      </c>
      <c r="B90" s="671"/>
      <c r="C90" s="683">
        <f t="shared" si="5"/>
        <v>2526</v>
      </c>
      <c r="D90" s="683">
        <v>89</v>
      </c>
      <c r="E90" s="683">
        <v>355</v>
      </c>
      <c r="F90" s="683">
        <v>278</v>
      </c>
      <c r="G90" s="683">
        <v>546</v>
      </c>
      <c r="H90" s="683">
        <v>186</v>
      </c>
      <c r="I90" s="683">
        <v>276</v>
      </c>
      <c r="J90" s="683">
        <v>52</v>
      </c>
      <c r="K90" s="683">
        <v>106</v>
      </c>
      <c r="L90" s="683">
        <v>48</v>
      </c>
      <c r="M90" s="683">
        <v>376</v>
      </c>
      <c r="N90" s="683">
        <v>214</v>
      </c>
    </row>
    <row r="91" spans="1:14" s="667" customFormat="1" ht="9" customHeight="1" x14ac:dyDescent="0.25">
      <c r="A91" s="667" t="s">
        <v>27</v>
      </c>
      <c r="C91" s="679">
        <f t="shared" si="5"/>
        <v>10229</v>
      </c>
      <c r="D91" s="679">
        <v>361</v>
      </c>
      <c r="E91" s="679">
        <v>1588</v>
      </c>
      <c r="F91" s="679">
        <v>1680</v>
      </c>
      <c r="G91" s="679">
        <v>2677</v>
      </c>
      <c r="H91" s="679">
        <v>820</v>
      </c>
      <c r="I91" s="679">
        <v>809</v>
      </c>
      <c r="J91" s="679">
        <v>314</v>
      </c>
      <c r="K91" s="679">
        <v>266</v>
      </c>
      <c r="L91" s="679">
        <v>159</v>
      </c>
      <c r="M91" s="679">
        <v>958</v>
      </c>
      <c r="N91" s="679">
        <v>597</v>
      </c>
    </row>
    <row r="92" spans="1:14" s="667" customFormat="1" ht="9" customHeight="1" x14ac:dyDescent="0.25">
      <c r="A92" s="667" t="s">
        <v>28</v>
      </c>
      <c r="C92" s="679">
        <f t="shared" si="5"/>
        <v>2412</v>
      </c>
      <c r="D92" s="679">
        <v>68</v>
      </c>
      <c r="E92" s="679">
        <v>365</v>
      </c>
      <c r="F92" s="679">
        <v>309</v>
      </c>
      <c r="G92" s="679">
        <v>628</v>
      </c>
      <c r="H92" s="679">
        <v>192</v>
      </c>
      <c r="I92" s="679">
        <v>245</v>
      </c>
      <c r="J92" s="679">
        <v>51</v>
      </c>
      <c r="K92" s="679">
        <v>89</v>
      </c>
      <c r="L92" s="679">
        <v>56</v>
      </c>
      <c r="M92" s="679">
        <v>283</v>
      </c>
      <c r="N92" s="679">
        <v>126</v>
      </c>
    </row>
    <row r="93" spans="1:14" s="667" customFormat="1" ht="9" customHeight="1" x14ac:dyDescent="0.25">
      <c r="A93" s="667" t="s">
        <v>29</v>
      </c>
      <c r="C93" s="679">
        <f t="shared" si="5"/>
        <v>15253</v>
      </c>
      <c r="D93" s="679">
        <v>1302</v>
      </c>
      <c r="E93" s="679">
        <v>1948</v>
      </c>
      <c r="F93" s="679">
        <v>1511</v>
      </c>
      <c r="G93" s="679">
        <v>2318</v>
      </c>
      <c r="H93" s="679">
        <v>1407</v>
      </c>
      <c r="I93" s="679">
        <v>1332</v>
      </c>
      <c r="J93" s="679">
        <v>451</v>
      </c>
      <c r="K93" s="679">
        <v>781</v>
      </c>
      <c r="L93" s="679">
        <v>292</v>
      </c>
      <c r="M93" s="679">
        <v>2197</v>
      </c>
      <c r="N93" s="679">
        <v>1714</v>
      </c>
    </row>
    <row r="94" spans="1:14" s="667" customFormat="1" ht="9" customHeight="1" x14ac:dyDescent="0.25">
      <c r="A94" s="671" t="s">
        <v>30</v>
      </c>
      <c r="B94" s="671"/>
      <c r="C94" s="683">
        <f t="shared" si="5"/>
        <v>15358</v>
      </c>
      <c r="D94" s="683">
        <v>572</v>
      </c>
      <c r="E94" s="683">
        <v>2111</v>
      </c>
      <c r="F94" s="683">
        <v>1684</v>
      </c>
      <c r="G94" s="683">
        <v>3938</v>
      </c>
      <c r="H94" s="683">
        <v>1300</v>
      </c>
      <c r="I94" s="683">
        <v>1171</v>
      </c>
      <c r="J94" s="683">
        <v>333</v>
      </c>
      <c r="K94" s="683">
        <v>661</v>
      </c>
      <c r="L94" s="683">
        <v>284</v>
      </c>
      <c r="M94" s="683">
        <v>2291</v>
      </c>
      <c r="N94" s="683">
        <v>1013</v>
      </c>
    </row>
    <row r="95" spans="1:14" s="667" customFormat="1" ht="9" customHeight="1" x14ac:dyDescent="0.25">
      <c r="A95" s="667" t="s">
        <v>171</v>
      </c>
      <c r="C95" s="679">
        <f t="shared" si="5"/>
        <v>46029</v>
      </c>
      <c r="D95" s="679">
        <v>1734</v>
      </c>
      <c r="E95" s="679">
        <v>6472</v>
      </c>
      <c r="F95" s="679">
        <v>7426</v>
      </c>
      <c r="G95" s="679">
        <v>12044</v>
      </c>
      <c r="H95" s="679">
        <v>3975</v>
      </c>
      <c r="I95" s="679">
        <v>4605</v>
      </c>
      <c r="J95" s="679">
        <v>1295</v>
      </c>
      <c r="K95" s="679">
        <v>1598</v>
      </c>
      <c r="L95" s="679">
        <v>934</v>
      </c>
      <c r="M95" s="679">
        <v>3748</v>
      </c>
      <c r="N95" s="679">
        <v>2198</v>
      </c>
    </row>
    <row r="96" spans="1:14" s="667" customFormat="1" ht="9" customHeight="1" x14ac:dyDescent="0.25">
      <c r="A96" s="667" t="s">
        <v>31</v>
      </c>
      <c r="C96" s="679">
        <f t="shared" si="5"/>
        <v>5699</v>
      </c>
      <c r="D96" s="679">
        <v>183</v>
      </c>
      <c r="E96" s="679">
        <v>806</v>
      </c>
      <c r="F96" s="679">
        <v>795</v>
      </c>
      <c r="G96" s="679">
        <v>1361</v>
      </c>
      <c r="H96" s="679">
        <v>590</v>
      </c>
      <c r="I96" s="679">
        <v>456</v>
      </c>
      <c r="J96" s="679">
        <v>164</v>
      </c>
      <c r="K96" s="679">
        <v>53</v>
      </c>
      <c r="L96" s="679">
        <v>52</v>
      </c>
      <c r="M96" s="679">
        <v>677</v>
      </c>
      <c r="N96" s="679">
        <v>562</v>
      </c>
    </row>
    <row r="97" spans="1:14" s="667" customFormat="1" ht="9" customHeight="1" x14ac:dyDescent="0.25">
      <c r="A97" s="667" t="s">
        <v>32</v>
      </c>
      <c r="C97" s="679">
        <f t="shared" si="5"/>
        <v>21401</v>
      </c>
      <c r="D97" s="679">
        <v>795</v>
      </c>
      <c r="E97" s="679">
        <v>2467</v>
      </c>
      <c r="F97" s="679">
        <v>3519</v>
      </c>
      <c r="G97" s="679">
        <v>4428</v>
      </c>
      <c r="H97" s="679">
        <v>2180</v>
      </c>
      <c r="I97" s="679">
        <v>1833</v>
      </c>
      <c r="J97" s="679">
        <v>541</v>
      </c>
      <c r="K97" s="679">
        <v>1284</v>
      </c>
      <c r="L97" s="679">
        <v>623</v>
      </c>
      <c r="M97" s="679">
        <v>2317</v>
      </c>
      <c r="N97" s="679">
        <v>1414</v>
      </c>
    </row>
    <row r="98" spans="1:14" s="667" customFormat="1" ht="9" customHeight="1" x14ac:dyDescent="0.25">
      <c r="A98" s="671" t="s">
        <v>33</v>
      </c>
      <c r="B98" s="671"/>
      <c r="C98" s="683">
        <f t="shared" si="5"/>
        <v>10432</v>
      </c>
      <c r="D98" s="683">
        <v>571</v>
      </c>
      <c r="E98" s="683">
        <v>1316</v>
      </c>
      <c r="F98" s="683">
        <v>1300</v>
      </c>
      <c r="G98" s="683">
        <v>2012</v>
      </c>
      <c r="H98" s="683">
        <v>701</v>
      </c>
      <c r="I98" s="683">
        <v>777</v>
      </c>
      <c r="J98" s="683">
        <v>292</v>
      </c>
      <c r="K98" s="683">
        <v>335</v>
      </c>
      <c r="L98" s="683">
        <v>158</v>
      </c>
      <c r="M98" s="683">
        <v>2006</v>
      </c>
      <c r="N98" s="683">
        <v>964</v>
      </c>
    </row>
    <row r="99" spans="1:14" s="667" customFormat="1" ht="9" customHeight="1" x14ac:dyDescent="0.25">
      <c r="A99" s="667" t="s">
        <v>34</v>
      </c>
      <c r="C99" s="679">
        <f t="shared" si="5"/>
        <v>9113</v>
      </c>
      <c r="D99" s="679">
        <v>273</v>
      </c>
      <c r="E99" s="679">
        <v>1067</v>
      </c>
      <c r="F99" s="679">
        <v>1234</v>
      </c>
      <c r="G99" s="679">
        <v>1882</v>
      </c>
      <c r="H99" s="679">
        <v>768</v>
      </c>
      <c r="I99" s="679">
        <v>1293</v>
      </c>
      <c r="J99" s="679">
        <v>233</v>
      </c>
      <c r="K99" s="679">
        <v>408</v>
      </c>
      <c r="L99" s="679">
        <v>203</v>
      </c>
      <c r="M99" s="679">
        <v>1153</v>
      </c>
      <c r="N99" s="679">
        <v>599</v>
      </c>
    </row>
    <row r="100" spans="1:14" s="667" customFormat="1" ht="9" customHeight="1" x14ac:dyDescent="0.25">
      <c r="A100" s="667" t="s">
        <v>35</v>
      </c>
      <c r="C100" s="679">
        <f t="shared" si="5"/>
        <v>30936</v>
      </c>
      <c r="D100" s="679">
        <v>1188</v>
      </c>
      <c r="E100" s="679">
        <v>4442</v>
      </c>
      <c r="F100" s="679">
        <v>4170</v>
      </c>
      <c r="G100" s="679">
        <v>7223</v>
      </c>
      <c r="H100" s="679">
        <v>3135</v>
      </c>
      <c r="I100" s="679">
        <v>2834</v>
      </c>
      <c r="J100" s="679">
        <v>965</v>
      </c>
      <c r="K100" s="679">
        <v>1134</v>
      </c>
      <c r="L100" s="679">
        <v>719</v>
      </c>
      <c r="M100" s="679">
        <v>3492</v>
      </c>
      <c r="N100" s="679">
        <v>1634</v>
      </c>
    </row>
    <row r="101" spans="1:14" s="667" customFormat="1" ht="9" customHeight="1" x14ac:dyDescent="0.25">
      <c r="A101" s="667" t="s">
        <v>36</v>
      </c>
      <c r="C101" s="679">
        <f t="shared" si="5"/>
        <v>52564</v>
      </c>
      <c r="D101" s="679">
        <v>2140</v>
      </c>
      <c r="E101" s="679">
        <v>5710</v>
      </c>
      <c r="F101" s="679">
        <v>7615</v>
      </c>
      <c r="G101" s="679">
        <v>9960</v>
      </c>
      <c r="H101" s="679">
        <v>5410</v>
      </c>
      <c r="I101" s="679">
        <v>6507</v>
      </c>
      <c r="J101" s="679">
        <v>1362</v>
      </c>
      <c r="K101" s="679">
        <v>3510</v>
      </c>
      <c r="L101" s="679">
        <v>1495</v>
      </c>
      <c r="M101" s="679">
        <v>6225</v>
      </c>
      <c r="N101" s="679">
        <v>2630</v>
      </c>
    </row>
    <row r="102" spans="1:14" s="667" customFormat="1" ht="9" customHeight="1" x14ac:dyDescent="0.25">
      <c r="A102" s="671" t="s">
        <v>37</v>
      </c>
      <c r="B102" s="671"/>
      <c r="C102" s="683">
        <f t="shared" si="5"/>
        <v>18304</v>
      </c>
      <c r="D102" s="683">
        <v>574</v>
      </c>
      <c r="E102" s="683">
        <v>2562</v>
      </c>
      <c r="F102" s="683">
        <v>2544</v>
      </c>
      <c r="G102" s="683">
        <v>4106</v>
      </c>
      <c r="H102" s="683">
        <v>1749</v>
      </c>
      <c r="I102" s="683">
        <v>1389</v>
      </c>
      <c r="J102" s="683">
        <v>490</v>
      </c>
      <c r="K102" s="683">
        <v>601</v>
      </c>
      <c r="L102" s="683">
        <v>244</v>
      </c>
      <c r="M102" s="683">
        <v>2747</v>
      </c>
      <c r="N102" s="683">
        <v>1298</v>
      </c>
    </row>
    <row r="103" spans="1:14" s="667" customFormat="1" ht="9" customHeight="1" x14ac:dyDescent="0.25">
      <c r="A103" s="667" t="s">
        <v>38</v>
      </c>
      <c r="C103" s="679">
        <f t="shared" si="5"/>
        <v>6703</v>
      </c>
      <c r="D103" s="679">
        <v>299</v>
      </c>
      <c r="E103" s="679">
        <v>979</v>
      </c>
      <c r="F103" s="679">
        <v>981</v>
      </c>
      <c r="G103" s="679">
        <v>1398</v>
      </c>
      <c r="H103" s="679">
        <v>573</v>
      </c>
      <c r="I103" s="679">
        <v>677</v>
      </c>
      <c r="J103" s="679">
        <v>195</v>
      </c>
      <c r="K103" s="679">
        <v>251</v>
      </c>
      <c r="L103" s="679">
        <v>150</v>
      </c>
      <c r="M103" s="679">
        <v>807</v>
      </c>
      <c r="N103" s="679">
        <v>393</v>
      </c>
    </row>
    <row r="104" spans="1:14" s="667" customFormat="1" ht="9" customHeight="1" x14ac:dyDescent="0.25">
      <c r="A104" s="667" t="s">
        <v>39</v>
      </c>
      <c r="C104" s="679">
        <f t="shared" si="5"/>
        <v>4087</v>
      </c>
      <c r="D104" s="679">
        <v>185</v>
      </c>
      <c r="E104" s="679">
        <v>674</v>
      </c>
      <c r="F104" s="679">
        <v>523</v>
      </c>
      <c r="G104" s="679">
        <v>1054</v>
      </c>
      <c r="H104" s="679">
        <v>345</v>
      </c>
      <c r="I104" s="679">
        <v>291</v>
      </c>
      <c r="J104" s="679">
        <v>106</v>
      </c>
      <c r="K104" s="679">
        <v>89</v>
      </c>
      <c r="L104" s="679">
        <v>41</v>
      </c>
      <c r="M104" s="679">
        <v>550</v>
      </c>
      <c r="N104" s="679">
        <v>229</v>
      </c>
    </row>
    <row r="105" spans="1:14" s="667" customFormat="1" ht="9" customHeight="1" x14ac:dyDescent="0.25">
      <c r="A105" s="667" t="s">
        <v>40</v>
      </c>
      <c r="C105" s="679">
        <f t="shared" si="5"/>
        <v>16122</v>
      </c>
      <c r="D105" s="679">
        <v>581</v>
      </c>
      <c r="E105" s="679">
        <v>2643</v>
      </c>
      <c r="F105" s="679">
        <v>1958</v>
      </c>
      <c r="G105" s="679">
        <v>4547</v>
      </c>
      <c r="H105" s="679">
        <v>1387</v>
      </c>
      <c r="I105" s="679">
        <v>1311</v>
      </c>
      <c r="J105" s="679">
        <v>543</v>
      </c>
      <c r="K105" s="679">
        <v>508</v>
      </c>
      <c r="L105" s="679">
        <v>362</v>
      </c>
      <c r="M105" s="679">
        <v>1449</v>
      </c>
      <c r="N105" s="679">
        <v>833</v>
      </c>
    </row>
    <row r="106" spans="1:14" s="667" customFormat="1" ht="9" customHeight="1" x14ac:dyDescent="0.25">
      <c r="A106" s="671" t="s">
        <v>41</v>
      </c>
      <c r="B106" s="671"/>
      <c r="C106" s="683">
        <f t="shared" si="5"/>
        <v>17092</v>
      </c>
      <c r="D106" s="683">
        <v>1017</v>
      </c>
      <c r="E106" s="683">
        <v>1812</v>
      </c>
      <c r="F106" s="683">
        <v>2007</v>
      </c>
      <c r="G106" s="683">
        <v>3396</v>
      </c>
      <c r="H106" s="683">
        <v>1410</v>
      </c>
      <c r="I106" s="683">
        <v>1771</v>
      </c>
      <c r="J106" s="683">
        <v>532</v>
      </c>
      <c r="K106" s="683">
        <v>676</v>
      </c>
      <c r="L106" s="683">
        <v>313</v>
      </c>
      <c r="M106" s="683">
        <v>2099</v>
      </c>
      <c r="N106" s="683">
        <v>2059</v>
      </c>
    </row>
    <row r="107" spans="1:14" s="667" customFormat="1" ht="9" customHeight="1" x14ac:dyDescent="0.25">
      <c r="A107" s="667" t="s">
        <v>42</v>
      </c>
      <c r="C107" s="679">
        <f t="shared" si="5"/>
        <v>26034</v>
      </c>
      <c r="D107" s="679">
        <v>1156</v>
      </c>
      <c r="E107" s="679">
        <v>2544</v>
      </c>
      <c r="F107" s="679">
        <v>3723</v>
      </c>
      <c r="G107" s="679">
        <v>4522</v>
      </c>
      <c r="H107" s="679">
        <v>2332</v>
      </c>
      <c r="I107" s="679">
        <v>3227</v>
      </c>
      <c r="J107" s="679">
        <v>805</v>
      </c>
      <c r="K107" s="679">
        <v>1891</v>
      </c>
      <c r="L107" s="679">
        <v>743</v>
      </c>
      <c r="M107" s="679">
        <v>2493</v>
      </c>
      <c r="N107" s="679">
        <v>2598</v>
      </c>
    </row>
    <row r="108" spans="1:14" s="667" customFormat="1" ht="9" customHeight="1" x14ac:dyDescent="0.25">
      <c r="A108" s="667" t="s">
        <v>43</v>
      </c>
      <c r="C108" s="679">
        <f t="shared" si="5"/>
        <v>6028</v>
      </c>
      <c r="D108" s="679">
        <v>232</v>
      </c>
      <c r="E108" s="679">
        <v>687</v>
      </c>
      <c r="F108" s="679">
        <v>838</v>
      </c>
      <c r="G108" s="679">
        <v>1121</v>
      </c>
      <c r="H108" s="679">
        <v>487</v>
      </c>
      <c r="I108" s="679">
        <v>797</v>
      </c>
      <c r="J108" s="679">
        <v>120</v>
      </c>
      <c r="K108" s="679">
        <v>308</v>
      </c>
      <c r="L108" s="679">
        <v>171</v>
      </c>
      <c r="M108" s="679">
        <v>754</v>
      </c>
      <c r="N108" s="679">
        <v>513</v>
      </c>
    </row>
    <row r="109" spans="1:14" s="667" customFormat="1" ht="9" customHeight="1" x14ac:dyDescent="0.25">
      <c r="A109" s="667" t="s">
        <v>44</v>
      </c>
      <c r="C109" s="679">
        <f t="shared" si="5"/>
        <v>2335</v>
      </c>
      <c r="D109" s="679">
        <v>162</v>
      </c>
      <c r="E109" s="679">
        <v>262</v>
      </c>
      <c r="F109" s="679">
        <v>184</v>
      </c>
      <c r="G109" s="679">
        <v>395</v>
      </c>
      <c r="H109" s="679">
        <v>159</v>
      </c>
      <c r="I109" s="679">
        <v>207</v>
      </c>
      <c r="J109" s="679">
        <v>54</v>
      </c>
      <c r="K109" s="679">
        <v>182</v>
      </c>
      <c r="L109" s="679">
        <v>91</v>
      </c>
      <c r="M109" s="679">
        <v>473</v>
      </c>
      <c r="N109" s="679">
        <v>166</v>
      </c>
    </row>
    <row r="110" spans="1:14" s="667" customFormat="1" ht="9" customHeight="1" x14ac:dyDescent="0.25">
      <c r="A110" s="671" t="s">
        <v>45</v>
      </c>
      <c r="B110" s="671"/>
      <c r="C110" s="683">
        <f t="shared" si="5"/>
        <v>10032</v>
      </c>
      <c r="D110" s="683">
        <v>379</v>
      </c>
      <c r="E110" s="683">
        <v>1368</v>
      </c>
      <c r="F110" s="683">
        <v>1283</v>
      </c>
      <c r="G110" s="683">
        <v>2354</v>
      </c>
      <c r="H110" s="683">
        <v>830</v>
      </c>
      <c r="I110" s="683">
        <v>872</v>
      </c>
      <c r="J110" s="683">
        <v>225</v>
      </c>
      <c r="K110" s="683">
        <v>415</v>
      </c>
      <c r="L110" s="683">
        <v>252</v>
      </c>
      <c r="M110" s="683">
        <v>1157</v>
      </c>
      <c r="N110" s="683">
        <v>897</v>
      </c>
    </row>
    <row r="111" spans="1:14" s="667" customFormat="1" ht="9" customHeight="1" x14ac:dyDescent="0.25">
      <c r="A111" s="667" t="s">
        <v>46</v>
      </c>
      <c r="C111" s="679">
        <f t="shared" si="5"/>
        <v>10053</v>
      </c>
      <c r="D111" s="679">
        <v>336</v>
      </c>
      <c r="E111" s="679">
        <v>1776</v>
      </c>
      <c r="F111" s="679">
        <v>1252</v>
      </c>
      <c r="G111" s="679">
        <v>2653</v>
      </c>
      <c r="H111" s="679">
        <v>821</v>
      </c>
      <c r="I111" s="679">
        <v>552</v>
      </c>
      <c r="J111" s="679">
        <v>231</v>
      </c>
      <c r="K111" s="679">
        <v>135</v>
      </c>
      <c r="L111" s="679">
        <v>116</v>
      </c>
      <c r="M111" s="679">
        <v>1591</v>
      </c>
      <c r="N111" s="679">
        <v>590</v>
      </c>
    </row>
    <row r="112" spans="1:14" s="667" customFormat="1" ht="9" customHeight="1" x14ac:dyDescent="0.25">
      <c r="A112" s="667" t="s">
        <v>47</v>
      </c>
      <c r="C112" s="679">
        <f t="shared" si="5"/>
        <v>10468</v>
      </c>
      <c r="D112" s="679">
        <v>373</v>
      </c>
      <c r="E112" s="679">
        <v>1709</v>
      </c>
      <c r="F112" s="679">
        <v>1376</v>
      </c>
      <c r="G112" s="679">
        <v>2806</v>
      </c>
      <c r="H112" s="679">
        <v>833</v>
      </c>
      <c r="I112" s="679">
        <v>650</v>
      </c>
      <c r="J112" s="679">
        <v>215</v>
      </c>
      <c r="K112" s="679">
        <v>438</v>
      </c>
      <c r="L112" s="679">
        <v>186</v>
      </c>
      <c r="M112" s="679">
        <v>1280</v>
      </c>
      <c r="N112" s="679">
        <v>602</v>
      </c>
    </row>
    <row r="113" spans="1:15" s="667" customFormat="1" ht="9" customHeight="1" x14ac:dyDescent="0.25">
      <c r="A113" s="667" t="s">
        <v>48</v>
      </c>
      <c r="C113" s="679">
        <f t="shared" si="5"/>
        <v>7188</v>
      </c>
      <c r="D113" s="679">
        <v>316</v>
      </c>
      <c r="E113" s="679">
        <v>933</v>
      </c>
      <c r="F113" s="679">
        <v>938</v>
      </c>
      <c r="G113" s="679">
        <v>1439</v>
      </c>
      <c r="H113" s="679">
        <v>504</v>
      </c>
      <c r="I113" s="679">
        <v>438</v>
      </c>
      <c r="J113" s="679">
        <v>222</v>
      </c>
      <c r="K113" s="679">
        <v>442</v>
      </c>
      <c r="L113" s="679">
        <v>231</v>
      </c>
      <c r="M113" s="679">
        <v>1213</v>
      </c>
      <c r="N113" s="679">
        <v>512</v>
      </c>
    </row>
    <row r="114" spans="1:15" s="667" customFormat="1" ht="9" customHeight="1" x14ac:dyDescent="0.25">
      <c r="A114" s="671" t="s">
        <v>49</v>
      </c>
      <c r="B114" s="671"/>
      <c r="C114" s="683">
        <f t="shared" si="5"/>
        <v>11719</v>
      </c>
      <c r="D114" s="683">
        <v>420</v>
      </c>
      <c r="E114" s="683">
        <v>1843</v>
      </c>
      <c r="F114" s="683">
        <v>1747</v>
      </c>
      <c r="G114" s="683">
        <v>3076</v>
      </c>
      <c r="H114" s="683">
        <v>829</v>
      </c>
      <c r="I114" s="683">
        <v>860</v>
      </c>
      <c r="J114" s="683">
        <v>330</v>
      </c>
      <c r="K114" s="683">
        <v>388</v>
      </c>
      <c r="L114" s="683">
        <v>208</v>
      </c>
      <c r="M114" s="683">
        <v>1443</v>
      </c>
      <c r="N114" s="683">
        <v>575</v>
      </c>
    </row>
    <row r="115" spans="1:15" s="667" customFormat="1" ht="9" customHeight="1" x14ac:dyDescent="0.25">
      <c r="A115" s="667" t="s">
        <v>50</v>
      </c>
      <c r="C115" s="679">
        <f t="shared" si="5"/>
        <v>4253</v>
      </c>
      <c r="D115" s="679">
        <v>156</v>
      </c>
      <c r="E115" s="679">
        <v>385</v>
      </c>
      <c r="F115" s="679">
        <v>719</v>
      </c>
      <c r="G115" s="679">
        <v>766</v>
      </c>
      <c r="H115" s="679">
        <v>429</v>
      </c>
      <c r="I115" s="679">
        <v>427</v>
      </c>
      <c r="J115" s="679">
        <v>162</v>
      </c>
      <c r="K115" s="679">
        <v>277</v>
      </c>
      <c r="L115" s="679">
        <v>122</v>
      </c>
      <c r="M115" s="679">
        <v>461</v>
      </c>
      <c r="N115" s="679">
        <v>349</v>
      </c>
    </row>
    <row r="116" spans="1:15" s="667" customFormat="1" ht="9" customHeight="1" x14ac:dyDescent="0.25">
      <c r="A116" s="667" t="s">
        <v>51</v>
      </c>
      <c r="C116" s="679">
        <f t="shared" si="5"/>
        <v>31927</v>
      </c>
      <c r="D116" s="679">
        <v>1587</v>
      </c>
      <c r="E116" s="679">
        <v>4468</v>
      </c>
      <c r="F116" s="679">
        <v>4316</v>
      </c>
      <c r="G116" s="679">
        <v>7076</v>
      </c>
      <c r="H116" s="679">
        <v>2411</v>
      </c>
      <c r="I116" s="679">
        <v>3819</v>
      </c>
      <c r="J116" s="679">
        <v>867</v>
      </c>
      <c r="K116" s="679">
        <v>1209</v>
      </c>
      <c r="L116" s="679">
        <v>669</v>
      </c>
      <c r="M116" s="679">
        <v>3136</v>
      </c>
      <c r="N116" s="679">
        <v>2369</v>
      </c>
    </row>
    <row r="117" spans="1:15" s="673" customFormat="1" ht="9" customHeight="1" x14ac:dyDescent="0.25">
      <c r="A117" s="673" t="s">
        <v>52</v>
      </c>
      <c r="C117" s="684">
        <f t="shared" si="5"/>
        <v>8060</v>
      </c>
      <c r="D117" s="684">
        <v>382</v>
      </c>
      <c r="E117" s="684">
        <v>1059</v>
      </c>
      <c r="F117" s="684">
        <v>911</v>
      </c>
      <c r="G117" s="684">
        <v>2013</v>
      </c>
      <c r="H117" s="684">
        <v>655</v>
      </c>
      <c r="I117" s="684">
        <v>903</v>
      </c>
      <c r="J117" s="684">
        <v>232</v>
      </c>
      <c r="K117" s="684">
        <v>271</v>
      </c>
      <c r="L117" s="684">
        <v>176</v>
      </c>
      <c r="M117" s="684">
        <v>692</v>
      </c>
      <c r="N117" s="684">
        <v>766</v>
      </c>
    </row>
    <row r="118" spans="1:15" s="673" customFormat="1" ht="9" customHeight="1" x14ac:dyDescent="0.25">
      <c r="A118" s="671" t="s">
        <v>53</v>
      </c>
      <c r="B118" s="671"/>
      <c r="C118" s="683">
        <f t="shared" si="5"/>
        <v>6340</v>
      </c>
      <c r="D118" s="683">
        <v>176</v>
      </c>
      <c r="E118" s="683">
        <v>867</v>
      </c>
      <c r="F118" s="683">
        <v>733</v>
      </c>
      <c r="G118" s="683">
        <v>1591</v>
      </c>
      <c r="H118" s="683">
        <v>676</v>
      </c>
      <c r="I118" s="683">
        <v>477</v>
      </c>
      <c r="J118" s="683">
        <v>142</v>
      </c>
      <c r="K118" s="683">
        <v>264</v>
      </c>
      <c r="L118" s="683">
        <v>98</v>
      </c>
      <c r="M118" s="683">
        <v>755</v>
      </c>
      <c r="N118" s="683">
        <v>561</v>
      </c>
    </row>
    <row r="119" spans="1:15" s="667" customFormat="1" ht="9" customHeight="1" x14ac:dyDescent="0.25">
      <c r="A119" s="664" t="s">
        <v>434</v>
      </c>
      <c r="B119" s="664"/>
      <c r="C119" s="685">
        <f t="shared" si="5"/>
        <v>2181</v>
      </c>
      <c r="D119" s="685">
        <v>67</v>
      </c>
      <c r="E119" s="685">
        <v>354</v>
      </c>
      <c r="F119" s="685">
        <v>103</v>
      </c>
      <c r="G119" s="685">
        <v>500</v>
      </c>
      <c r="H119" s="685">
        <v>80</v>
      </c>
      <c r="I119" s="685">
        <v>65</v>
      </c>
      <c r="J119" s="685">
        <v>29</v>
      </c>
      <c r="K119" s="685">
        <v>11</v>
      </c>
      <c r="L119" s="685">
        <v>6</v>
      </c>
      <c r="M119" s="685">
        <v>797</v>
      </c>
      <c r="N119" s="685">
        <v>169</v>
      </c>
    </row>
    <row r="120" spans="1:15" s="667" customFormat="1" ht="9" customHeight="1" x14ac:dyDescent="0.25">
      <c r="A120" s="664"/>
      <c r="B120" s="664"/>
      <c r="C120" s="685"/>
      <c r="D120" s="685"/>
      <c r="E120" s="685"/>
      <c r="F120" s="685"/>
      <c r="G120" s="685"/>
      <c r="H120" s="685"/>
      <c r="I120" s="685"/>
      <c r="J120" s="685"/>
      <c r="K120" s="685"/>
      <c r="L120" s="685"/>
      <c r="M120" s="685"/>
      <c r="N120" s="685"/>
    </row>
    <row r="121" spans="1:15" s="667" customFormat="1" ht="9" customHeight="1" x14ac:dyDescent="0.15">
      <c r="A121" s="686">
        <v>2001</v>
      </c>
      <c r="B121" s="664"/>
      <c r="C121" s="665"/>
      <c r="D121" s="665"/>
      <c r="E121" s="665"/>
      <c r="F121" s="666"/>
      <c r="G121" s="666"/>
      <c r="H121" s="666"/>
      <c r="I121" s="666"/>
      <c r="J121" s="665"/>
      <c r="K121" s="665"/>
      <c r="L121" s="665"/>
      <c r="M121" s="665"/>
      <c r="N121" s="665"/>
    </row>
    <row r="122" spans="1:15" s="668" customFormat="1" ht="9" customHeight="1" x14ac:dyDescent="0.25">
      <c r="A122" s="668" t="s">
        <v>13</v>
      </c>
      <c r="C122" s="682">
        <f t="shared" ref="C122:N122" si="6">SUM(C124:C156)</f>
        <v>443127</v>
      </c>
      <c r="D122" s="682">
        <f t="shared" si="6"/>
        <v>18475</v>
      </c>
      <c r="E122" s="682">
        <f t="shared" si="6"/>
        <v>59011</v>
      </c>
      <c r="F122" s="682">
        <f t="shared" si="6"/>
        <v>63013</v>
      </c>
      <c r="G122" s="682">
        <f t="shared" si="6"/>
        <v>99710</v>
      </c>
      <c r="H122" s="682">
        <f t="shared" si="6"/>
        <v>37379</v>
      </c>
      <c r="I122" s="682">
        <f t="shared" si="6"/>
        <v>42827</v>
      </c>
      <c r="J122" s="682">
        <f t="shared" si="6"/>
        <v>12775</v>
      </c>
      <c r="K122" s="682">
        <f t="shared" si="6"/>
        <v>18199</v>
      </c>
      <c r="L122" s="682">
        <f t="shared" si="6"/>
        <v>9178</v>
      </c>
      <c r="M122" s="682">
        <f t="shared" si="6"/>
        <v>51972</v>
      </c>
      <c r="N122" s="682">
        <f t="shared" si="6"/>
        <v>30588</v>
      </c>
      <c r="O122" s="682"/>
    </row>
    <row r="123" spans="1:15" s="668" customFormat="1" ht="3.95" customHeight="1" x14ac:dyDescent="0.25">
      <c r="C123" s="682"/>
      <c r="D123" s="682"/>
      <c r="E123" s="682"/>
      <c r="F123" s="682"/>
      <c r="G123" s="682"/>
      <c r="H123" s="682"/>
      <c r="I123" s="682"/>
      <c r="J123" s="682"/>
      <c r="K123" s="682"/>
      <c r="L123" s="682"/>
      <c r="M123" s="682"/>
      <c r="N123" s="682"/>
    </row>
    <row r="124" spans="1:15" s="667" customFormat="1" ht="9" customHeight="1" x14ac:dyDescent="0.25">
      <c r="A124" s="667" t="s">
        <v>23</v>
      </c>
      <c r="C124" s="679">
        <f t="shared" ref="C124:C156" si="7">SUM(D124:N124)</f>
        <v>3826</v>
      </c>
      <c r="D124" s="679">
        <v>132</v>
      </c>
      <c r="E124" s="679">
        <v>535</v>
      </c>
      <c r="F124" s="679">
        <v>607</v>
      </c>
      <c r="G124" s="679">
        <v>798</v>
      </c>
      <c r="H124" s="679">
        <v>383</v>
      </c>
      <c r="I124" s="679">
        <v>314</v>
      </c>
      <c r="J124" s="679">
        <v>104</v>
      </c>
      <c r="K124" s="679">
        <v>204</v>
      </c>
      <c r="L124" s="679">
        <v>99</v>
      </c>
      <c r="M124" s="679">
        <v>407</v>
      </c>
      <c r="N124" s="679">
        <v>243</v>
      </c>
      <c r="O124" s="679"/>
    </row>
    <row r="125" spans="1:15" s="667" customFormat="1" ht="9" customHeight="1" x14ac:dyDescent="0.25">
      <c r="A125" s="667" t="s">
        <v>24</v>
      </c>
      <c r="C125" s="679">
        <f t="shared" si="7"/>
        <v>11090</v>
      </c>
      <c r="D125" s="679">
        <v>637</v>
      </c>
      <c r="E125" s="679">
        <v>1474</v>
      </c>
      <c r="F125" s="679">
        <v>1276</v>
      </c>
      <c r="G125" s="679">
        <v>2681</v>
      </c>
      <c r="H125" s="679">
        <v>768</v>
      </c>
      <c r="I125" s="679">
        <v>892</v>
      </c>
      <c r="J125" s="679">
        <v>249</v>
      </c>
      <c r="K125" s="679">
        <v>470</v>
      </c>
      <c r="L125" s="679">
        <v>259</v>
      </c>
      <c r="M125" s="679">
        <v>1751</v>
      </c>
      <c r="N125" s="679">
        <v>633</v>
      </c>
    </row>
    <row r="126" spans="1:15" s="667" customFormat="1" ht="9" customHeight="1" x14ac:dyDescent="0.25">
      <c r="A126" s="667" t="s">
        <v>25</v>
      </c>
      <c r="C126" s="679">
        <f t="shared" si="7"/>
        <v>1782</v>
      </c>
      <c r="D126" s="679">
        <v>69</v>
      </c>
      <c r="E126" s="679">
        <v>289</v>
      </c>
      <c r="F126" s="679">
        <v>248</v>
      </c>
      <c r="G126" s="679">
        <v>410</v>
      </c>
      <c r="H126" s="679">
        <v>153</v>
      </c>
      <c r="I126" s="679">
        <v>117</v>
      </c>
      <c r="J126" s="679">
        <v>49</v>
      </c>
      <c r="K126" s="679">
        <v>86</v>
      </c>
      <c r="L126" s="679">
        <v>43</v>
      </c>
      <c r="M126" s="679">
        <v>221</v>
      </c>
      <c r="N126" s="679">
        <v>97</v>
      </c>
    </row>
    <row r="127" spans="1:15" s="667" customFormat="1" ht="9" customHeight="1" x14ac:dyDescent="0.25">
      <c r="A127" s="671" t="s">
        <v>26</v>
      </c>
      <c r="B127" s="671"/>
      <c r="C127" s="683">
        <f t="shared" si="7"/>
        <v>2493</v>
      </c>
      <c r="D127" s="683">
        <v>93</v>
      </c>
      <c r="E127" s="683">
        <v>346</v>
      </c>
      <c r="F127" s="683">
        <v>280</v>
      </c>
      <c r="G127" s="683">
        <v>554</v>
      </c>
      <c r="H127" s="683">
        <v>179</v>
      </c>
      <c r="I127" s="683">
        <v>283</v>
      </c>
      <c r="J127" s="683">
        <v>73</v>
      </c>
      <c r="K127" s="683">
        <v>101</v>
      </c>
      <c r="L127" s="683">
        <v>58</v>
      </c>
      <c r="M127" s="683">
        <v>322</v>
      </c>
      <c r="N127" s="683">
        <v>204</v>
      </c>
    </row>
    <row r="128" spans="1:15" s="667" customFormat="1" ht="9" customHeight="1" x14ac:dyDescent="0.25">
      <c r="A128" s="667" t="s">
        <v>27</v>
      </c>
      <c r="C128" s="679">
        <f t="shared" si="7"/>
        <v>10748</v>
      </c>
      <c r="D128" s="679">
        <v>405</v>
      </c>
      <c r="E128" s="679">
        <v>1556</v>
      </c>
      <c r="F128" s="679">
        <v>1789</v>
      </c>
      <c r="G128" s="679">
        <v>2906</v>
      </c>
      <c r="H128" s="679">
        <v>739</v>
      </c>
      <c r="I128" s="679">
        <v>844</v>
      </c>
      <c r="J128" s="679">
        <v>376</v>
      </c>
      <c r="K128" s="679">
        <v>286</v>
      </c>
      <c r="L128" s="679">
        <v>170</v>
      </c>
      <c r="M128" s="679">
        <v>1043</v>
      </c>
      <c r="N128" s="679">
        <v>634</v>
      </c>
    </row>
    <row r="129" spans="1:14" s="667" customFormat="1" ht="9" customHeight="1" x14ac:dyDescent="0.25">
      <c r="A129" s="667" t="s">
        <v>28</v>
      </c>
      <c r="C129" s="679">
        <f t="shared" si="7"/>
        <v>2449</v>
      </c>
      <c r="D129" s="679">
        <v>91</v>
      </c>
      <c r="E129" s="679">
        <v>348</v>
      </c>
      <c r="F129" s="679">
        <v>353</v>
      </c>
      <c r="G129" s="679">
        <v>629</v>
      </c>
      <c r="H129" s="679">
        <v>187</v>
      </c>
      <c r="I129" s="679">
        <v>218</v>
      </c>
      <c r="J129" s="679">
        <v>64</v>
      </c>
      <c r="K129" s="679">
        <v>76</v>
      </c>
      <c r="L129" s="679">
        <v>50</v>
      </c>
      <c r="M129" s="679">
        <v>302</v>
      </c>
      <c r="N129" s="679">
        <v>131</v>
      </c>
    </row>
    <row r="130" spans="1:14" s="667" customFormat="1" ht="9" customHeight="1" x14ac:dyDescent="0.25">
      <c r="A130" s="667" t="s">
        <v>29</v>
      </c>
      <c r="C130" s="679">
        <f t="shared" si="7"/>
        <v>15815</v>
      </c>
      <c r="D130" s="679">
        <v>1367</v>
      </c>
      <c r="E130" s="679">
        <v>1980</v>
      </c>
      <c r="F130" s="679">
        <v>1555</v>
      </c>
      <c r="G130" s="679">
        <v>2406</v>
      </c>
      <c r="H130" s="679">
        <v>1366</v>
      </c>
      <c r="I130" s="679">
        <v>1477</v>
      </c>
      <c r="J130" s="679">
        <v>483</v>
      </c>
      <c r="K130" s="679">
        <v>828</v>
      </c>
      <c r="L130" s="679">
        <v>302</v>
      </c>
      <c r="M130" s="679">
        <v>2054</v>
      </c>
      <c r="N130" s="679">
        <v>1997</v>
      </c>
    </row>
    <row r="131" spans="1:14" s="667" customFormat="1" ht="9" customHeight="1" x14ac:dyDescent="0.25">
      <c r="A131" s="671" t="s">
        <v>30</v>
      </c>
      <c r="B131" s="671"/>
      <c r="C131" s="683">
        <f t="shared" si="7"/>
        <v>15905</v>
      </c>
      <c r="D131" s="683">
        <v>565</v>
      </c>
      <c r="E131" s="683">
        <v>2151</v>
      </c>
      <c r="F131" s="683">
        <v>1836</v>
      </c>
      <c r="G131" s="683">
        <v>4044</v>
      </c>
      <c r="H131" s="683">
        <v>1384</v>
      </c>
      <c r="I131" s="683">
        <v>1216</v>
      </c>
      <c r="J131" s="683">
        <v>382</v>
      </c>
      <c r="K131" s="683">
        <v>678</v>
      </c>
      <c r="L131" s="683">
        <v>302</v>
      </c>
      <c r="M131" s="683">
        <v>2348</v>
      </c>
      <c r="N131" s="683">
        <v>999</v>
      </c>
    </row>
    <row r="132" spans="1:14" s="667" customFormat="1" ht="9" customHeight="1" x14ac:dyDescent="0.25">
      <c r="A132" s="667" t="s">
        <v>171</v>
      </c>
      <c r="C132" s="679">
        <f t="shared" si="7"/>
        <v>46627</v>
      </c>
      <c r="D132" s="679">
        <v>1661</v>
      </c>
      <c r="E132" s="679">
        <v>6645</v>
      </c>
      <c r="F132" s="679">
        <v>7730</v>
      </c>
      <c r="G132" s="679">
        <v>12121</v>
      </c>
      <c r="H132" s="679">
        <v>4020</v>
      </c>
      <c r="I132" s="679">
        <v>4665</v>
      </c>
      <c r="J132" s="679">
        <v>1286</v>
      </c>
      <c r="K132" s="679">
        <v>1507</v>
      </c>
      <c r="L132" s="679">
        <v>847</v>
      </c>
      <c r="M132" s="679">
        <v>3893</v>
      </c>
      <c r="N132" s="679">
        <v>2252</v>
      </c>
    </row>
    <row r="133" spans="1:14" s="667" customFormat="1" ht="9" customHeight="1" x14ac:dyDescent="0.25">
      <c r="A133" s="667" t="s">
        <v>31</v>
      </c>
      <c r="C133" s="679">
        <f t="shared" si="7"/>
        <v>5902</v>
      </c>
      <c r="D133" s="679">
        <v>174</v>
      </c>
      <c r="E133" s="679">
        <v>883</v>
      </c>
      <c r="F133" s="679">
        <v>848</v>
      </c>
      <c r="G133" s="679">
        <v>1389</v>
      </c>
      <c r="H133" s="679">
        <v>592</v>
      </c>
      <c r="I133" s="679">
        <v>473</v>
      </c>
      <c r="J133" s="679">
        <v>191</v>
      </c>
      <c r="K133" s="679">
        <v>56</v>
      </c>
      <c r="L133" s="679">
        <v>53</v>
      </c>
      <c r="M133" s="679">
        <v>754</v>
      </c>
      <c r="N133" s="679">
        <v>489</v>
      </c>
    </row>
    <row r="134" spans="1:14" s="667" customFormat="1" ht="9" customHeight="1" x14ac:dyDescent="0.25">
      <c r="A134" s="667" t="s">
        <v>32</v>
      </c>
      <c r="C134" s="679">
        <f t="shared" si="7"/>
        <v>20375</v>
      </c>
      <c r="D134" s="679">
        <v>672</v>
      </c>
      <c r="E134" s="679">
        <v>2420</v>
      </c>
      <c r="F134" s="679">
        <v>3444</v>
      </c>
      <c r="G134" s="679">
        <v>4484</v>
      </c>
      <c r="H134" s="679">
        <v>1788</v>
      </c>
      <c r="I134" s="679">
        <v>1804</v>
      </c>
      <c r="J134" s="679">
        <v>532</v>
      </c>
      <c r="K134" s="679">
        <v>1088</v>
      </c>
      <c r="L134" s="679">
        <v>536</v>
      </c>
      <c r="M134" s="679">
        <v>2246</v>
      </c>
      <c r="N134" s="679">
        <v>1361</v>
      </c>
    </row>
    <row r="135" spans="1:14" s="667" customFormat="1" ht="9" customHeight="1" x14ac:dyDescent="0.25">
      <c r="A135" s="671" t="s">
        <v>33</v>
      </c>
      <c r="B135" s="671"/>
      <c r="C135" s="683">
        <f t="shared" si="7"/>
        <v>10715</v>
      </c>
      <c r="D135" s="683">
        <v>672</v>
      </c>
      <c r="E135" s="683">
        <v>1436</v>
      </c>
      <c r="F135" s="683">
        <v>1385</v>
      </c>
      <c r="G135" s="683">
        <v>2072</v>
      </c>
      <c r="H135" s="683">
        <v>785</v>
      </c>
      <c r="I135" s="683">
        <v>884</v>
      </c>
      <c r="J135" s="683">
        <v>325</v>
      </c>
      <c r="K135" s="683">
        <v>257</v>
      </c>
      <c r="L135" s="683">
        <v>104</v>
      </c>
      <c r="M135" s="683">
        <v>1847</v>
      </c>
      <c r="N135" s="683">
        <v>948</v>
      </c>
    </row>
    <row r="136" spans="1:14" s="667" customFormat="1" ht="9" customHeight="1" x14ac:dyDescent="0.25">
      <c r="A136" s="667" t="s">
        <v>34</v>
      </c>
      <c r="C136" s="679">
        <f t="shared" si="7"/>
        <v>9693</v>
      </c>
      <c r="D136" s="679">
        <v>269</v>
      </c>
      <c r="E136" s="679">
        <v>1241</v>
      </c>
      <c r="F136" s="679">
        <v>1351</v>
      </c>
      <c r="G136" s="679">
        <v>1992</v>
      </c>
      <c r="H136" s="679">
        <v>726</v>
      </c>
      <c r="I136" s="679">
        <v>1378</v>
      </c>
      <c r="J136" s="679">
        <v>300</v>
      </c>
      <c r="K136" s="679">
        <v>380</v>
      </c>
      <c r="L136" s="679">
        <v>203</v>
      </c>
      <c r="M136" s="679">
        <v>1154</v>
      </c>
      <c r="N136" s="679">
        <v>699</v>
      </c>
    </row>
    <row r="137" spans="1:14" s="667" customFormat="1" ht="9" customHeight="1" x14ac:dyDescent="0.25">
      <c r="A137" s="667" t="s">
        <v>35</v>
      </c>
      <c r="C137" s="679">
        <f t="shared" si="7"/>
        <v>30741</v>
      </c>
      <c r="D137" s="679">
        <v>1184</v>
      </c>
      <c r="E137" s="679">
        <v>4386</v>
      </c>
      <c r="F137" s="679">
        <v>4278</v>
      </c>
      <c r="G137" s="679">
        <v>7385</v>
      </c>
      <c r="H137" s="679">
        <v>2856</v>
      </c>
      <c r="I137" s="679">
        <v>2765</v>
      </c>
      <c r="J137" s="679">
        <v>993</v>
      </c>
      <c r="K137" s="679">
        <v>1141</v>
      </c>
      <c r="L137" s="679">
        <v>629</v>
      </c>
      <c r="M137" s="679">
        <v>3488</v>
      </c>
      <c r="N137" s="679">
        <v>1636</v>
      </c>
    </row>
    <row r="138" spans="1:14" s="667" customFormat="1" ht="9" customHeight="1" x14ac:dyDescent="0.25">
      <c r="A138" s="667" t="s">
        <v>36</v>
      </c>
      <c r="C138" s="679">
        <f t="shared" si="7"/>
        <v>53315</v>
      </c>
      <c r="D138" s="679">
        <v>2083</v>
      </c>
      <c r="E138" s="679">
        <v>6019</v>
      </c>
      <c r="F138" s="679">
        <v>8211</v>
      </c>
      <c r="G138" s="679">
        <v>10056</v>
      </c>
      <c r="H138" s="679">
        <v>5220</v>
      </c>
      <c r="I138" s="679">
        <v>6560</v>
      </c>
      <c r="J138" s="679">
        <v>1463</v>
      </c>
      <c r="K138" s="679">
        <v>3338</v>
      </c>
      <c r="L138" s="679">
        <v>1491</v>
      </c>
      <c r="M138" s="679">
        <v>6229</v>
      </c>
      <c r="N138" s="679">
        <v>2645</v>
      </c>
    </row>
    <row r="139" spans="1:14" s="667" customFormat="1" ht="9" customHeight="1" x14ac:dyDescent="0.25">
      <c r="A139" s="671" t="s">
        <v>37</v>
      </c>
      <c r="B139" s="671"/>
      <c r="C139" s="683">
        <f t="shared" si="7"/>
        <v>18277</v>
      </c>
      <c r="D139" s="683">
        <v>524</v>
      </c>
      <c r="E139" s="683">
        <v>2545</v>
      </c>
      <c r="F139" s="683">
        <v>2638</v>
      </c>
      <c r="G139" s="683">
        <v>4153</v>
      </c>
      <c r="H139" s="683">
        <v>1602</v>
      </c>
      <c r="I139" s="683">
        <v>1514</v>
      </c>
      <c r="J139" s="683">
        <v>458</v>
      </c>
      <c r="K139" s="683">
        <v>597</v>
      </c>
      <c r="L139" s="683">
        <v>282</v>
      </c>
      <c r="M139" s="683">
        <v>2659</v>
      </c>
      <c r="N139" s="683">
        <v>1305</v>
      </c>
    </row>
    <row r="140" spans="1:14" s="667" customFormat="1" ht="9" customHeight="1" x14ac:dyDescent="0.25">
      <c r="A140" s="667" t="s">
        <v>38</v>
      </c>
      <c r="C140" s="679">
        <f t="shared" si="7"/>
        <v>6795</v>
      </c>
      <c r="D140" s="679">
        <v>287</v>
      </c>
      <c r="E140" s="679">
        <v>963</v>
      </c>
      <c r="F140" s="679">
        <v>1005</v>
      </c>
      <c r="G140" s="679">
        <v>1500</v>
      </c>
      <c r="H140" s="679">
        <v>554</v>
      </c>
      <c r="I140" s="679">
        <v>700</v>
      </c>
      <c r="J140" s="679">
        <v>207</v>
      </c>
      <c r="K140" s="679">
        <v>238</v>
      </c>
      <c r="L140" s="679">
        <v>110</v>
      </c>
      <c r="M140" s="679">
        <v>821</v>
      </c>
      <c r="N140" s="679">
        <v>410</v>
      </c>
    </row>
    <row r="141" spans="1:14" s="667" customFormat="1" ht="9" customHeight="1" x14ac:dyDescent="0.25">
      <c r="A141" s="667" t="s">
        <v>39</v>
      </c>
      <c r="C141" s="679">
        <f t="shared" si="7"/>
        <v>4136</v>
      </c>
      <c r="D141" s="679">
        <v>189</v>
      </c>
      <c r="E141" s="679">
        <v>653</v>
      </c>
      <c r="F141" s="679">
        <v>518</v>
      </c>
      <c r="G141" s="679">
        <v>994</v>
      </c>
      <c r="H141" s="679">
        <v>370</v>
      </c>
      <c r="I141" s="679">
        <v>308</v>
      </c>
      <c r="J141" s="679">
        <v>108</v>
      </c>
      <c r="K141" s="679">
        <v>77</v>
      </c>
      <c r="L141" s="679">
        <v>70</v>
      </c>
      <c r="M141" s="679">
        <v>562</v>
      </c>
      <c r="N141" s="679">
        <v>287</v>
      </c>
    </row>
    <row r="142" spans="1:14" s="667" customFormat="1" ht="9" customHeight="1" x14ac:dyDescent="0.25">
      <c r="A142" s="667" t="s">
        <v>40</v>
      </c>
      <c r="C142" s="679">
        <f t="shared" si="7"/>
        <v>16286</v>
      </c>
      <c r="D142" s="679">
        <v>649</v>
      </c>
      <c r="E142" s="679">
        <v>2580</v>
      </c>
      <c r="F142" s="679">
        <v>1937</v>
      </c>
      <c r="G142" s="679">
        <v>4787</v>
      </c>
      <c r="H142" s="679">
        <v>1320</v>
      </c>
      <c r="I142" s="679">
        <v>1261</v>
      </c>
      <c r="J142" s="679">
        <v>601</v>
      </c>
      <c r="K142" s="679">
        <v>465</v>
      </c>
      <c r="L142" s="679">
        <v>351</v>
      </c>
      <c r="M142" s="679">
        <v>1548</v>
      </c>
      <c r="N142" s="679">
        <v>787</v>
      </c>
    </row>
    <row r="143" spans="1:14" s="667" customFormat="1" ht="9" customHeight="1" x14ac:dyDescent="0.25">
      <c r="A143" s="671" t="s">
        <v>41</v>
      </c>
      <c r="B143" s="671"/>
      <c r="C143" s="683">
        <f t="shared" si="7"/>
        <v>17103</v>
      </c>
      <c r="D143" s="683">
        <v>1045</v>
      </c>
      <c r="E143" s="683">
        <v>1890</v>
      </c>
      <c r="F143" s="683">
        <v>2202</v>
      </c>
      <c r="G143" s="683">
        <v>3276</v>
      </c>
      <c r="H143" s="683">
        <v>1278</v>
      </c>
      <c r="I143" s="683">
        <v>1754</v>
      </c>
      <c r="J143" s="683">
        <v>553</v>
      </c>
      <c r="K143" s="683">
        <v>566</v>
      </c>
      <c r="L143" s="683">
        <v>312</v>
      </c>
      <c r="M143" s="683">
        <v>2090</v>
      </c>
      <c r="N143" s="683">
        <v>2137</v>
      </c>
    </row>
    <row r="144" spans="1:14" s="667" customFormat="1" ht="9" customHeight="1" x14ac:dyDescent="0.25">
      <c r="A144" s="667" t="s">
        <v>42</v>
      </c>
      <c r="C144" s="679">
        <f t="shared" si="7"/>
        <v>25766</v>
      </c>
      <c r="D144" s="679">
        <v>1057</v>
      </c>
      <c r="E144" s="679">
        <v>2580</v>
      </c>
      <c r="F144" s="679">
        <v>3931</v>
      </c>
      <c r="G144" s="679">
        <v>4551</v>
      </c>
      <c r="H144" s="679">
        <v>2091</v>
      </c>
      <c r="I144" s="679">
        <v>3174</v>
      </c>
      <c r="J144" s="679">
        <v>889</v>
      </c>
      <c r="K144" s="679">
        <v>1737</v>
      </c>
      <c r="L144" s="679">
        <v>706</v>
      </c>
      <c r="M144" s="679">
        <v>2425</v>
      </c>
      <c r="N144" s="679">
        <v>2625</v>
      </c>
    </row>
    <row r="145" spans="1:15" s="667" customFormat="1" ht="9" customHeight="1" x14ac:dyDescent="0.25">
      <c r="A145" s="667" t="s">
        <v>43</v>
      </c>
      <c r="C145" s="679">
        <f t="shared" si="7"/>
        <v>6022</v>
      </c>
      <c r="D145" s="679">
        <v>228</v>
      </c>
      <c r="E145" s="679">
        <v>683</v>
      </c>
      <c r="F145" s="679">
        <v>819</v>
      </c>
      <c r="G145" s="679">
        <v>1118</v>
      </c>
      <c r="H145" s="679">
        <v>450</v>
      </c>
      <c r="I145" s="679">
        <v>790</v>
      </c>
      <c r="J145" s="679">
        <v>154</v>
      </c>
      <c r="K145" s="679">
        <v>314</v>
      </c>
      <c r="L145" s="679">
        <v>190</v>
      </c>
      <c r="M145" s="679">
        <v>829</v>
      </c>
      <c r="N145" s="679">
        <v>447</v>
      </c>
    </row>
    <row r="146" spans="1:15" s="667" customFormat="1" ht="9" customHeight="1" x14ac:dyDescent="0.25">
      <c r="A146" s="667" t="s">
        <v>44</v>
      </c>
      <c r="C146" s="679">
        <f t="shared" si="7"/>
        <v>2493</v>
      </c>
      <c r="D146" s="679">
        <v>160</v>
      </c>
      <c r="E146" s="679">
        <v>309</v>
      </c>
      <c r="F146" s="679">
        <v>253</v>
      </c>
      <c r="G146" s="679">
        <v>389</v>
      </c>
      <c r="H146" s="679">
        <v>168</v>
      </c>
      <c r="I146" s="679">
        <v>252</v>
      </c>
      <c r="J146" s="679">
        <v>56</v>
      </c>
      <c r="K146" s="679">
        <v>190</v>
      </c>
      <c r="L146" s="679">
        <v>66</v>
      </c>
      <c r="M146" s="679">
        <v>501</v>
      </c>
      <c r="N146" s="679">
        <v>149</v>
      </c>
    </row>
    <row r="147" spans="1:15" s="667" customFormat="1" ht="9" customHeight="1" x14ac:dyDescent="0.25">
      <c r="A147" s="671" t="s">
        <v>45</v>
      </c>
      <c r="B147" s="671"/>
      <c r="C147" s="683">
        <f t="shared" si="7"/>
        <v>9965</v>
      </c>
      <c r="D147" s="683">
        <v>440</v>
      </c>
      <c r="E147" s="683">
        <v>1408</v>
      </c>
      <c r="F147" s="683">
        <v>1366</v>
      </c>
      <c r="G147" s="683">
        <v>2336</v>
      </c>
      <c r="H147" s="683">
        <v>847</v>
      </c>
      <c r="I147" s="683">
        <v>789</v>
      </c>
      <c r="J147" s="683">
        <v>182</v>
      </c>
      <c r="K147" s="683">
        <v>357</v>
      </c>
      <c r="L147" s="683">
        <v>234</v>
      </c>
      <c r="M147" s="683">
        <v>1131</v>
      </c>
      <c r="N147" s="683">
        <v>875</v>
      </c>
    </row>
    <row r="148" spans="1:15" s="667" customFormat="1" ht="9" customHeight="1" x14ac:dyDescent="0.25">
      <c r="A148" s="667" t="s">
        <v>46</v>
      </c>
      <c r="C148" s="679">
        <f t="shared" si="7"/>
        <v>10034</v>
      </c>
      <c r="D148" s="679">
        <v>355</v>
      </c>
      <c r="E148" s="679">
        <v>1737</v>
      </c>
      <c r="F148" s="679">
        <v>1360</v>
      </c>
      <c r="G148" s="679">
        <v>2689</v>
      </c>
      <c r="H148" s="679">
        <v>751</v>
      </c>
      <c r="I148" s="679">
        <v>552</v>
      </c>
      <c r="J148" s="679">
        <v>260</v>
      </c>
      <c r="K148" s="679">
        <v>103</v>
      </c>
      <c r="L148" s="679">
        <v>112</v>
      </c>
      <c r="M148" s="679">
        <v>1519</v>
      </c>
      <c r="N148" s="679">
        <v>596</v>
      </c>
    </row>
    <row r="149" spans="1:15" s="667" customFormat="1" ht="9" customHeight="1" x14ac:dyDescent="0.25">
      <c r="A149" s="667" t="s">
        <v>47</v>
      </c>
      <c r="C149" s="679">
        <f t="shared" si="7"/>
        <v>10812</v>
      </c>
      <c r="D149" s="679">
        <v>375</v>
      </c>
      <c r="E149" s="679">
        <v>1722</v>
      </c>
      <c r="F149" s="679">
        <v>1545</v>
      </c>
      <c r="G149" s="679">
        <v>2866</v>
      </c>
      <c r="H149" s="679">
        <v>850</v>
      </c>
      <c r="I149" s="679">
        <v>698</v>
      </c>
      <c r="J149" s="679">
        <v>286</v>
      </c>
      <c r="K149" s="679">
        <v>370</v>
      </c>
      <c r="L149" s="679">
        <v>159</v>
      </c>
      <c r="M149" s="679">
        <v>1340</v>
      </c>
      <c r="N149" s="679">
        <v>601</v>
      </c>
    </row>
    <row r="150" spans="1:15" s="667" customFormat="1" ht="9" customHeight="1" x14ac:dyDescent="0.25">
      <c r="A150" s="667" t="s">
        <v>48</v>
      </c>
      <c r="C150" s="679">
        <f t="shared" si="7"/>
        <v>7636</v>
      </c>
      <c r="D150" s="679">
        <v>301</v>
      </c>
      <c r="E150" s="679">
        <v>1052</v>
      </c>
      <c r="F150" s="679">
        <v>1073</v>
      </c>
      <c r="G150" s="679">
        <v>1613</v>
      </c>
      <c r="H150" s="679">
        <v>587</v>
      </c>
      <c r="I150" s="679">
        <v>507</v>
      </c>
      <c r="J150" s="679">
        <v>218</v>
      </c>
      <c r="K150" s="679">
        <v>415</v>
      </c>
      <c r="L150" s="679">
        <v>229</v>
      </c>
      <c r="M150" s="679">
        <v>1209</v>
      </c>
      <c r="N150" s="679">
        <v>432</v>
      </c>
    </row>
    <row r="151" spans="1:15" s="667" customFormat="1" ht="9" customHeight="1" x14ac:dyDescent="0.25">
      <c r="A151" s="671" t="s">
        <v>49</v>
      </c>
      <c r="B151" s="671"/>
      <c r="C151" s="683">
        <f t="shared" si="7"/>
        <v>11796</v>
      </c>
      <c r="D151" s="683">
        <v>413</v>
      </c>
      <c r="E151" s="683">
        <v>1881</v>
      </c>
      <c r="F151" s="683">
        <v>1846</v>
      </c>
      <c r="G151" s="683">
        <v>3175</v>
      </c>
      <c r="H151" s="683">
        <v>939</v>
      </c>
      <c r="I151" s="683">
        <v>792</v>
      </c>
      <c r="J151" s="683">
        <v>367</v>
      </c>
      <c r="K151" s="683">
        <v>341</v>
      </c>
      <c r="L151" s="683">
        <v>162</v>
      </c>
      <c r="M151" s="683">
        <v>1331</v>
      </c>
      <c r="N151" s="683">
        <v>549</v>
      </c>
    </row>
    <row r="152" spans="1:15" s="667" customFormat="1" ht="9" customHeight="1" x14ac:dyDescent="0.25">
      <c r="A152" s="667" t="s">
        <v>50</v>
      </c>
      <c r="C152" s="679">
        <f t="shared" si="7"/>
        <v>4487</v>
      </c>
      <c r="D152" s="679">
        <v>142</v>
      </c>
      <c r="E152" s="679">
        <v>467</v>
      </c>
      <c r="F152" s="679">
        <v>745</v>
      </c>
      <c r="G152" s="679">
        <v>810</v>
      </c>
      <c r="H152" s="679">
        <v>437</v>
      </c>
      <c r="I152" s="679">
        <v>469</v>
      </c>
      <c r="J152" s="679">
        <v>173</v>
      </c>
      <c r="K152" s="679">
        <v>271</v>
      </c>
      <c r="L152" s="679">
        <v>119</v>
      </c>
      <c r="M152" s="679">
        <v>489</v>
      </c>
      <c r="N152" s="679">
        <v>365</v>
      </c>
    </row>
    <row r="153" spans="1:15" s="667" customFormat="1" ht="9" customHeight="1" x14ac:dyDescent="0.25">
      <c r="A153" s="667" t="s">
        <v>51</v>
      </c>
      <c r="C153" s="679">
        <f t="shared" si="7"/>
        <v>33203</v>
      </c>
      <c r="D153" s="679">
        <v>1673</v>
      </c>
      <c r="E153" s="679">
        <v>4538</v>
      </c>
      <c r="F153" s="679">
        <v>4789</v>
      </c>
      <c r="G153" s="679">
        <v>7341</v>
      </c>
      <c r="H153" s="679">
        <v>2550</v>
      </c>
      <c r="I153" s="679">
        <v>3887</v>
      </c>
      <c r="J153" s="679">
        <v>922</v>
      </c>
      <c r="K153" s="679">
        <v>1104</v>
      </c>
      <c r="L153" s="679">
        <v>630</v>
      </c>
      <c r="M153" s="679">
        <v>3225</v>
      </c>
      <c r="N153" s="679">
        <v>2544</v>
      </c>
    </row>
    <row r="154" spans="1:15" s="673" customFormat="1" ht="9" customHeight="1" x14ac:dyDescent="0.25">
      <c r="A154" s="673" t="s">
        <v>52</v>
      </c>
      <c r="C154" s="684">
        <f t="shared" si="7"/>
        <v>8357</v>
      </c>
      <c r="D154" s="684">
        <v>373</v>
      </c>
      <c r="E154" s="684">
        <v>1093</v>
      </c>
      <c r="F154" s="684">
        <v>940</v>
      </c>
      <c r="G154" s="684">
        <v>2098</v>
      </c>
      <c r="H154" s="684">
        <v>714</v>
      </c>
      <c r="I154" s="684">
        <v>922</v>
      </c>
      <c r="J154" s="684">
        <v>280</v>
      </c>
      <c r="K154" s="684">
        <v>304</v>
      </c>
      <c r="L154" s="684">
        <v>175</v>
      </c>
      <c r="M154" s="684">
        <v>692</v>
      </c>
      <c r="N154" s="684">
        <v>766</v>
      </c>
    </row>
    <row r="155" spans="1:15" s="667" customFormat="1" ht="9" customHeight="1" x14ac:dyDescent="0.25">
      <c r="A155" s="671" t="s">
        <v>53</v>
      </c>
      <c r="B155" s="671"/>
      <c r="C155" s="683">
        <f t="shared" si="7"/>
        <v>6360</v>
      </c>
      <c r="D155" s="683">
        <v>154</v>
      </c>
      <c r="E155" s="683">
        <v>877</v>
      </c>
      <c r="F155" s="683">
        <v>738</v>
      </c>
      <c r="G155" s="683">
        <v>1604</v>
      </c>
      <c r="H155" s="683">
        <v>646</v>
      </c>
      <c r="I155" s="683">
        <v>478</v>
      </c>
      <c r="J155" s="683">
        <v>158</v>
      </c>
      <c r="K155" s="683">
        <v>247</v>
      </c>
      <c r="L155" s="683">
        <v>117</v>
      </c>
      <c r="M155" s="683">
        <v>755</v>
      </c>
      <c r="N155" s="683">
        <v>586</v>
      </c>
    </row>
    <row r="156" spans="1:15" s="667" customFormat="1" ht="9" customHeight="1" x14ac:dyDescent="0.25">
      <c r="A156" s="664" t="s">
        <v>434</v>
      </c>
      <c r="B156" s="664"/>
      <c r="C156" s="679">
        <f t="shared" si="7"/>
        <v>2123</v>
      </c>
      <c r="D156" s="679">
        <v>36</v>
      </c>
      <c r="E156" s="679">
        <v>324</v>
      </c>
      <c r="F156" s="679">
        <v>117</v>
      </c>
      <c r="G156" s="679">
        <v>483</v>
      </c>
      <c r="H156" s="679">
        <v>79</v>
      </c>
      <c r="I156" s="679">
        <v>90</v>
      </c>
      <c r="J156" s="679">
        <v>33</v>
      </c>
      <c r="K156" s="679">
        <v>7</v>
      </c>
      <c r="L156" s="679">
        <v>8</v>
      </c>
      <c r="M156" s="679">
        <v>787</v>
      </c>
      <c r="N156" s="679">
        <v>159</v>
      </c>
    </row>
    <row r="157" spans="1:15" s="667" customFormat="1" ht="9" customHeight="1" x14ac:dyDescent="0.25">
      <c r="A157" s="664"/>
      <c r="B157" s="664"/>
      <c r="C157" s="679"/>
      <c r="D157" s="679"/>
      <c r="E157" s="679"/>
      <c r="F157" s="679"/>
      <c r="G157" s="679"/>
      <c r="H157" s="679"/>
      <c r="I157" s="679"/>
      <c r="J157" s="679"/>
      <c r="K157" s="679"/>
      <c r="L157" s="679"/>
      <c r="M157" s="679"/>
      <c r="N157" s="679"/>
    </row>
    <row r="158" spans="1:15" s="667" customFormat="1" ht="9" customHeight="1" x14ac:dyDescent="0.15">
      <c r="A158" s="686">
        <v>2002</v>
      </c>
      <c r="B158" s="664"/>
      <c r="C158" s="665"/>
      <c r="D158" s="665"/>
      <c r="E158" s="665"/>
      <c r="F158" s="666"/>
      <c r="G158" s="666"/>
      <c r="H158" s="666"/>
      <c r="I158" s="666"/>
      <c r="J158" s="665"/>
      <c r="K158" s="665"/>
      <c r="L158" s="665"/>
      <c r="M158" s="665"/>
      <c r="N158" s="665"/>
    </row>
    <row r="159" spans="1:15" s="668" customFormat="1" ht="9" customHeight="1" x14ac:dyDescent="0.25">
      <c r="A159" s="668" t="s">
        <v>13</v>
      </c>
      <c r="C159" s="682">
        <f t="shared" ref="C159:N159" si="8">SUM(C161:C193)</f>
        <v>459687</v>
      </c>
      <c r="D159" s="682">
        <f t="shared" si="8"/>
        <v>18576</v>
      </c>
      <c r="E159" s="682">
        <f t="shared" si="8"/>
        <v>61417</v>
      </c>
      <c r="F159" s="682">
        <f t="shared" si="8"/>
        <v>68387</v>
      </c>
      <c r="G159" s="682">
        <f t="shared" si="8"/>
        <v>104357</v>
      </c>
      <c r="H159" s="682">
        <f t="shared" si="8"/>
        <v>39163</v>
      </c>
      <c r="I159" s="682">
        <f t="shared" si="8"/>
        <v>44316</v>
      </c>
      <c r="J159" s="682">
        <f t="shared" si="8"/>
        <v>12368</v>
      </c>
      <c r="K159" s="682">
        <f t="shared" si="8"/>
        <v>18573</v>
      </c>
      <c r="L159" s="682">
        <f t="shared" si="8"/>
        <v>9162</v>
      </c>
      <c r="M159" s="682">
        <f t="shared" si="8"/>
        <v>52463</v>
      </c>
      <c r="N159" s="682">
        <f t="shared" si="8"/>
        <v>30905</v>
      </c>
      <c r="O159" s="682"/>
    </row>
    <row r="160" spans="1:15" s="668" customFormat="1" ht="3.95" customHeight="1" x14ac:dyDescent="0.25">
      <c r="C160" s="682"/>
      <c r="D160" s="682"/>
      <c r="E160" s="682"/>
      <c r="F160" s="682"/>
      <c r="G160" s="682"/>
      <c r="H160" s="682"/>
      <c r="I160" s="682"/>
      <c r="J160" s="682"/>
      <c r="K160" s="682"/>
      <c r="L160" s="682"/>
      <c r="M160" s="682"/>
      <c r="N160" s="682"/>
    </row>
    <row r="161" spans="1:15" s="667" customFormat="1" ht="9" customHeight="1" x14ac:dyDescent="0.25">
      <c r="A161" s="667" t="s">
        <v>23</v>
      </c>
      <c r="C161" s="679">
        <f t="shared" ref="C161:C193" si="9">SUM(D161:N161)</f>
        <v>4301</v>
      </c>
      <c r="D161" s="679">
        <v>126</v>
      </c>
      <c r="E161" s="679">
        <v>602</v>
      </c>
      <c r="F161" s="679">
        <v>693</v>
      </c>
      <c r="G161" s="679">
        <v>922</v>
      </c>
      <c r="H161" s="679">
        <v>452</v>
      </c>
      <c r="I161" s="679">
        <v>348</v>
      </c>
      <c r="J161" s="679">
        <v>111</v>
      </c>
      <c r="K161" s="679">
        <v>212</v>
      </c>
      <c r="L161" s="679">
        <v>112</v>
      </c>
      <c r="M161" s="679">
        <v>505</v>
      </c>
      <c r="N161" s="679">
        <v>218</v>
      </c>
      <c r="O161" s="679"/>
    </row>
    <row r="162" spans="1:15" s="667" customFormat="1" ht="9" customHeight="1" x14ac:dyDescent="0.25">
      <c r="A162" s="667" t="s">
        <v>24</v>
      </c>
      <c r="C162" s="679">
        <f t="shared" si="9"/>
        <v>11365</v>
      </c>
      <c r="D162" s="679">
        <v>723</v>
      </c>
      <c r="E162" s="679">
        <v>1528</v>
      </c>
      <c r="F162" s="679">
        <v>1398</v>
      </c>
      <c r="G162" s="679">
        <v>2748</v>
      </c>
      <c r="H162" s="679">
        <v>809</v>
      </c>
      <c r="I162" s="679">
        <v>874</v>
      </c>
      <c r="J162" s="679">
        <v>223</v>
      </c>
      <c r="K162" s="679">
        <v>481</v>
      </c>
      <c r="L162" s="679">
        <v>224</v>
      </c>
      <c r="M162" s="679">
        <v>1732</v>
      </c>
      <c r="N162" s="679">
        <v>625</v>
      </c>
    </row>
    <row r="163" spans="1:15" s="667" customFormat="1" ht="9" customHeight="1" x14ac:dyDescent="0.25">
      <c r="A163" s="667" t="s">
        <v>25</v>
      </c>
      <c r="C163" s="679">
        <f t="shared" si="9"/>
        <v>1785</v>
      </c>
      <c r="D163" s="679">
        <v>67</v>
      </c>
      <c r="E163" s="679">
        <v>306</v>
      </c>
      <c r="F163" s="679">
        <v>229</v>
      </c>
      <c r="G163" s="679">
        <v>444</v>
      </c>
      <c r="H163" s="679">
        <v>132</v>
      </c>
      <c r="I163" s="679">
        <v>112</v>
      </c>
      <c r="J163" s="679">
        <v>31</v>
      </c>
      <c r="K163" s="679">
        <v>84</v>
      </c>
      <c r="L163" s="679">
        <v>34</v>
      </c>
      <c r="M163" s="679">
        <v>249</v>
      </c>
      <c r="N163" s="679">
        <v>97</v>
      </c>
    </row>
    <row r="164" spans="1:15" s="667" customFormat="1" ht="9" customHeight="1" x14ac:dyDescent="0.25">
      <c r="A164" s="671" t="s">
        <v>26</v>
      </c>
      <c r="B164" s="671"/>
      <c r="C164" s="683">
        <f t="shared" si="9"/>
        <v>2750</v>
      </c>
      <c r="D164" s="683">
        <v>126</v>
      </c>
      <c r="E164" s="683">
        <v>402</v>
      </c>
      <c r="F164" s="683">
        <v>396</v>
      </c>
      <c r="G164" s="683">
        <v>543</v>
      </c>
      <c r="H164" s="683">
        <v>191</v>
      </c>
      <c r="I164" s="683">
        <v>270</v>
      </c>
      <c r="J164" s="683">
        <v>69</v>
      </c>
      <c r="K164" s="683">
        <v>100</v>
      </c>
      <c r="L164" s="683">
        <v>54</v>
      </c>
      <c r="M164" s="683">
        <v>380</v>
      </c>
      <c r="N164" s="683">
        <v>219</v>
      </c>
    </row>
    <row r="165" spans="1:15" s="667" customFormat="1" ht="9" customHeight="1" x14ac:dyDescent="0.25">
      <c r="A165" s="667" t="s">
        <v>27</v>
      </c>
      <c r="C165" s="679">
        <f t="shared" si="9"/>
        <v>11030</v>
      </c>
      <c r="D165" s="679">
        <v>412</v>
      </c>
      <c r="E165" s="679">
        <v>1668</v>
      </c>
      <c r="F165" s="679">
        <v>1924</v>
      </c>
      <c r="G165" s="679">
        <v>2899</v>
      </c>
      <c r="H165" s="679">
        <v>787</v>
      </c>
      <c r="I165" s="679">
        <v>811</v>
      </c>
      <c r="J165" s="679">
        <v>298</v>
      </c>
      <c r="K165" s="679">
        <v>283</v>
      </c>
      <c r="L165" s="679">
        <v>161</v>
      </c>
      <c r="M165" s="679">
        <v>1091</v>
      </c>
      <c r="N165" s="679">
        <v>696</v>
      </c>
    </row>
    <row r="166" spans="1:15" s="667" customFormat="1" ht="9" customHeight="1" x14ac:dyDescent="0.25">
      <c r="A166" s="667" t="s">
        <v>28</v>
      </c>
      <c r="C166" s="679">
        <f t="shared" si="9"/>
        <v>2512</v>
      </c>
      <c r="D166" s="679">
        <v>96</v>
      </c>
      <c r="E166" s="679">
        <v>374</v>
      </c>
      <c r="F166" s="679">
        <v>396</v>
      </c>
      <c r="G166" s="679">
        <v>634</v>
      </c>
      <c r="H166" s="679">
        <v>208</v>
      </c>
      <c r="I166" s="679">
        <v>219</v>
      </c>
      <c r="J166" s="679">
        <v>57</v>
      </c>
      <c r="K166" s="679">
        <v>59</v>
      </c>
      <c r="L166" s="679">
        <v>53</v>
      </c>
      <c r="M166" s="679">
        <v>281</v>
      </c>
      <c r="N166" s="679">
        <v>135</v>
      </c>
    </row>
    <row r="167" spans="1:15" s="667" customFormat="1" ht="9" customHeight="1" x14ac:dyDescent="0.25">
      <c r="A167" s="667" t="s">
        <v>29</v>
      </c>
      <c r="C167" s="679">
        <f t="shared" si="9"/>
        <v>16424</v>
      </c>
      <c r="D167" s="679">
        <v>1241</v>
      </c>
      <c r="E167" s="679">
        <v>2019</v>
      </c>
      <c r="F167" s="679">
        <v>1866</v>
      </c>
      <c r="G167" s="679">
        <v>2562</v>
      </c>
      <c r="H167" s="679">
        <v>1377</v>
      </c>
      <c r="I167" s="679">
        <v>1464</v>
      </c>
      <c r="J167" s="679">
        <v>529</v>
      </c>
      <c r="K167" s="679">
        <v>789</v>
      </c>
      <c r="L167" s="679">
        <v>280</v>
      </c>
      <c r="M167" s="679">
        <v>2148</v>
      </c>
      <c r="N167" s="679">
        <v>2149</v>
      </c>
    </row>
    <row r="168" spans="1:15" s="667" customFormat="1" ht="9" customHeight="1" x14ac:dyDescent="0.25">
      <c r="A168" s="671" t="s">
        <v>30</v>
      </c>
      <c r="B168" s="671"/>
      <c r="C168" s="683">
        <f t="shared" si="9"/>
        <v>16494</v>
      </c>
      <c r="D168" s="683">
        <v>588</v>
      </c>
      <c r="E168" s="683">
        <v>2228</v>
      </c>
      <c r="F168" s="683">
        <v>1963</v>
      </c>
      <c r="G168" s="683">
        <v>4223</v>
      </c>
      <c r="H168" s="683">
        <v>1364</v>
      </c>
      <c r="I168" s="683">
        <v>1120</v>
      </c>
      <c r="J168" s="683">
        <v>376</v>
      </c>
      <c r="K168" s="683">
        <v>733</v>
      </c>
      <c r="L168" s="683">
        <v>298</v>
      </c>
      <c r="M168" s="683">
        <v>2471</v>
      </c>
      <c r="N168" s="683">
        <v>1130</v>
      </c>
    </row>
    <row r="169" spans="1:15" s="667" customFormat="1" ht="9" customHeight="1" x14ac:dyDescent="0.25">
      <c r="A169" s="667" t="s">
        <v>171</v>
      </c>
      <c r="C169" s="679">
        <f t="shared" si="9"/>
        <v>46984</v>
      </c>
      <c r="D169" s="679">
        <v>1586</v>
      </c>
      <c r="E169" s="679">
        <v>6638</v>
      </c>
      <c r="F169" s="679">
        <v>8069</v>
      </c>
      <c r="G169" s="679">
        <v>12445</v>
      </c>
      <c r="H169" s="679">
        <v>3883</v>
      </c>
      <c r="I169" s="679">
        <v>4694</v>
      </c>
      <c r="J169" s="679">
        <v>1340</v>
      </c>
      <c r="K169" s="679">
        <v>1481</v>
      </c>
      <c r="L169" s="679">
        <v>827</v>
      </c>
      <c r="M169" s="679">
        <v>3882</v>
      </c>
      <c r="N169" s="679">
        <v>2139</v>
      </c>
    </row>
    <row r="170" spans="1:15" s="667" customFormat="1" ht="9" customHeight="1" x14ac:dyDescent="0.25">
      <c r="A170" s="667" t="s">
        <v>31</v>
      </c>
      <c r="C170" s="679">
        <f t="shared" si="9"/>
        <v>6308</v>
      </c>
      <c r="D170" s="679">
        <v>194</v>
      </c>
      <c r="E170" s="679">
        <v>882</v>
      </c>
      <c r="F170" s="679">
        <v>897</v>
      </c>
      <c r="G170" s="679">
        <v>1552</v>
      </c>
      <c r="H170" s="679">
        <v>533</v>
      </c>
      <c r="I170" s="679">
        <v>489</v>
      </c>
      <c r="J170" s="679">
        <v>178</v>
      </c>
      <c r="K170" s="679">
        <v>227</v>
      </c>
      <c r="L170" s="679">
        <v>89</v>
      </c>
      <c r="M170" s="679">
        <v>828</v>
      </c>
      <c r="N170" s="679">
        <v>439</v>
      </c>
    </row>
    <row r="171" spans="1:15" s="667" customFormat="1" ht="9" customHeight="1" x14ac:dyDescent="0.25">
      <c r="A171" s="667" t="s">
        <v>32</v>
      </c>
      <c r="C171" s="679">
        <f t="shared" si="9"/>
        <v>22285</v>
      </c>
      <c r="D171" s="679">
        <v>642</v>
      </c>
      <c r="E171" s="679">
        <v>2634</v>
      </c>
      <c r="F171" s="679">
        <v>3936</v>
      </c>
      <c r="G171" s="679">
        <v>4895</v>
      </c>
      <c r="H171" s="679">
        <v>2224</v>
      </c>
      <c r="I171" s="679">
        <v>1909</v>
      </c>
      <c r="J171" s="679">
        <v>538</v>
      </c>
      <c r="K171" s="679">
        <v>1138</v>
      </c>
      <c r="L171" s="679">
        <v>591</v>
      </c>
      <c r="M171" s="679">
        <v>2330</v>
      </c>
      <c r="N171" s="679">
        <v>1448</v>
      </c>
    </row>
    <row r="172" spans="1:15" s="667" customFormat="1" ht="9" customHeight="1" x14ac:dyDescent="0.25">
      <c r="A172" s="671" t="s">
        <v>33</v>
      </c>
      <c r="B172" s="671"/>
      <c r="C172" s="683">
        <f t="shared" si="9"/>
        <v>10882</v>
      </c>
      <c r="D172" s="683">
        <v>634</v>
      </c>
      <c r="E172" s="683">
        <v>1410</v>
      </c>
      <c r="F172" s="683">
        <v>1504</v>
      </c>
      <c r="G172" s="683">
        <v>2124</v>
      </c>
      <c r="H172" s="683">
        <v>757</v>
      </c>
      <c r="I172" s="683">
        <v>893</v>
      </c>
      <c r="J172" s="683">
        <v>307</v>
      </c>
      <c r="K172" s="683">
        <v>309</v>
      </c>
      <c r="L172" s="683">
        <v>133</v>
      </c>
      <c r="M172" s="683">
        <v>1892</v>
      </c>
      <c r="N172" s="683">
        <v>919</v>
      </c>
    </row>
    <row r="173" spans="1:15" s="667" customFormat="1" ht="9" customHeight="1" x14ac:dyDescent="0.25">
      <c r="A173" s="667" t="s">
        <v>34</v>
      </c>
      <c r="C173" s="679">
        <f t="shared" si="9"/>
        <v>10151</v>
      </c>
      <c r="D173" s="679">
        <v>314</v>
      </c>
      <c r="E173" s="679">
        <v>1279</v>
      </c>
      <c r="F173" s="679">
        <v>1322</v>
      </c>
      <c r="G173" s="679">
        <v>2426</v>
      </c>
      <c r="H173" s="679">
        <v>889</v>
      </c>
      <c r="I173" s="679">
        <v>1476</v>
      </c>
      <c r="J173" s="679">
        <v>315</v>
      </c>
      <c r="K173" s="679">
        <v>441</v>
      </c>
      <c r="L173" s="679">
        <v>121</v>
      </c>
      <c r="M173" s="679">
        <v>1026</v>
      </c>
      <c r="N173" s="679">
        <v>542</v>
      </c>
    </row>
    <row r="174" spans="1:15" s="667" customFormat="1" ht="9" customHeight="1" x14ac:dyDescent="0.25">
      <c r="A174" s="667" t="s">
        <v>35</v>
      </c>
      <c r="C174" s="679">
        <f t="shared" si="9"/>
        <v>32339</v>
      </c>
      <c r="D174" s="679">
        <v>1169</v>
      </c>
      <c r="E174" s="679">
        <v>4613</v>
      </c>
      <c r="F174" s="679">
        <v>4833</v>
      </c>
      <c r="G174" s="679">
        <v>7726</v>
      </c>
      <c r="H174" s="679">
        <v>3287</v>
      </c>
      <c r="I174" s="679">
        <v>2883</v>
      </c>
      <c r="J174" s="679">
        <v>962</v>
      </c>
      <c r="K174" s="679">
        <v>1067</v>
      </c>
      <c r="L174" s="679">
        <v>631</v>
      </c>
      <c r="M174" s="679">
        <v>3540</v>
      </c>
      <c r="N174" s="679">
        <v>1628</v>
      </c>
    </row>
    <row r="175" spans="1:15" s="667" customFormat="1" ht="9" customHeight="1" x14ac:dyDescent="0.25">
      <c r="A175" s="667" t="s">
        <v>36</v>
      </c>
      <c r="C175" s="679">
        <f t="shared" si="9"/>
        <v>54643</v>
      </c>
      <c r="D175" s="679">
        <v>1951</v>
      </c>
      <c r="E175" s="679">
        <v>6289</v>
      </c>
      <c r="F175" s="679">
        <v>8851</v>
      </c>
      <c r="G175" s="679">
        <v>10254</v>
      </c>
      <c r="H175" s="679">
        <v>5495</v>
      </c>
      <c r="I175" s="679">
        <v>6971</v>
      </c>
      <c r="J175" s="679">
        <v>1295</v>
      </c>
      <c r="K175" s="679">
        <v>3182</v>
      </c>
      <c r="L175" s="679">
        <v>1464</v>
      </c>
      <c r="M175" s="679">
        <v>6266</v>
      </c>
      <c r="N175" s="679">
        <v>2625</v>
      </c>
    </row>
    <row r="176" spans="1:15" s="667" customFormat="1" ht="9" customHeight="1" x14ac:dyDescent="0.25">
      <c r="A176" s="671" t="s">
        <v>37</v>
      </c>
      <c r="B176" s="671"/>
      <c r="C176" s="683">
        <f t="shared" si="9"/>
        <v>19084</v>
      </c>
      <c r="D176" s="683">
        <v>562</v>
      </c>
      <c r="E176" s="683">
        <v>2617</v>
      </c>
      <c r="F176" s="683">
        <v>2920</v>
      </c>
      <c r="G176" s="683">
        <v>4407</v>
      </c>
      <c r="H176" s="683">
        <v>1702</v>
      </c>
      <c r="I176" s="683">
        <v>1599</v>
      </c>
      <c r="J176" s="683">
        <v>455</v>
      </c>
      <c r="K176" s="683">
        <v>592</v>
      </c>
      <c r="L176" s="683">
        <v>287</v>
      </c>
      <c r="M176" s="683">
        <v>2571</v>
      </c>
      <c r="N176" s="683">
        <v>1372</v>
      </c>
    </row>
    <row r="177" spans="1:14" s="667" customFormat="1" ht="9" customHeight="1" x14ac:dyDescent="0.25">
      <c r="A177" s="667" t="s">
        <v>38</v>
      </c>
      <c r="C177" s="679">
        <f t="shared" si="9"/>
        <v>7213</v>
      </c>
      <c r="D177" s="679">
        <v>313</v>
      </c>
      <c r="E177" s="679">
        <v>1033</v>
      </c>
      <c r="F177" s="679">
        <v>1165</v>
      </c>
      <c r="G177" s="679">
        <v>1550</v>
      </c>
      <c r="H177" s="679">
        <v>586</v>
      </c>
      <c r="I177" s="679">
        <v>765</v>
      </c>
      <c r="J177" s="679">
        <v>209</v>
      </c>
      <c r="K177" s="679">
        <v>275</v>
      </c>
      <c r="L177" s="679">
        <v>137</v>
      </c>
      <c r="M177" s="679">
        <v>739</v>
      </c>
      <c r="N177" s="679">
        <v>441</v>
      </c>
    </row>
    <row r="178" spans="1:14" s="667" customFormat="1" ht="9" customHeight="1" x14ac:dyDescent="0.25">
      <c r="A178" s="667" t="s">
        <v>39</v>
      </c>
      <c r="C178" s="679">
        <f t="shared" si="9"/>
        <v>4508</v>
      </c>
      <c r="D178" s="679">
        <v>202</v>
      </c>
      <c r="E178" s="679">
        <v>665</v>
      </c>
      <c r="F178" s="679">
        <v>596</v>
      </c>
      <c r="G178" s="679">
        <v>1121</v>
      </c>
      <c r="H178" s="679">
        <v>410</v>
      </c>
      <c r="I178" s="679">
        <v>332</v>
      </c>
      <c r="J178" s="679">
        <v>119</v>
      </c>
      <c r="K178" s="679">
        <v>80</v>
      </c>
      <c r="L178" s="679">
        <v>65</v>
      </c>
      <c r="M178" s="679">
        <v>658</v>
      </c>
      <c r="N178" s="679">
        <v>260</v>
      </c>
    </row>
    <row r="179" spans="1:14" s="667" customFormat="1" ht="9" customHeight="1" x14ac:dyDescent="0.25">
      <c r="A179" s="667" t="s">
        <v>40</v>
      </c>
      <c r="C179" s="679">
        <f t="shared" si="9"/>
        <v>16849</v>
      </c>
      <c r="D179" s="679">
        <v>659</v>
      </c>
      <c r="E179" s="679">
        <v>2760</v>
      </c>
      <c r="F179" s="679">
        <v>2351</v>
      </c>
      <c r="G179" s="679">
        <v>4986</v>
      </c>
      <c r="H179" s="679">
        <v>1311</v>
      </c>
      <c r="I179" s="679">
        <v>1347</v>
      </c>
      <c r="J179" s="679">
        <v>432</v>
      </c>
      <c r="K179" s="679">
        <v>478</v>
      </c>
      <c r="L179" s="679">
        <v>321</v>
      </c>
      <c r="M179" s="679">
        <v>1467</v>
      </c>
      <c r="N179" s="679">
        <v>737</v>
      </c>
    </row>
    <row r="180" spans="1:14" s="667" customFormat="1" ht="9" customHeight="1" x14ac:dyDescent="0.25">
      <c r="A180" s="671" t="s">
        <v>41</v>
      </c>
      <c r="B180" s="671"/>
      <c r="C180" s="683">
        <f t="shared" si="9"/>
        <v>17957</v>
      </c>
      <c r="D180" s="683">
        <v>1087</v>
      </c>
      <c r="E180" s="683">
        <v>2053</v>
      </c>
      <c r="F180" s="683">
        <v>2313</v>
      </c>
      <c r="G180" s="683">
        <v>3377</v>
      </c>
      <c r="H180" s="683">
        <v>1437</v>
      </c>
      <c r="I180" s="683">
        <v>1865</v>
      </c>
      <c r="J180" s="683">
        <v>540</v>
      </c>
      <c r="K180" s="683">
        <v>732</v>
      </c>
      <c r="L180" s="683">
        <v>323</v>
      </c>
      <c r="M180" s="683">
        <v>2088</v>
      </c>
      <c r="N180" s="683">
        <v>2142</v>
      </c>
    </row>
    <row r="181" spans="1:14" s="667" customFormat="1" ht="9" customHeight="1" x14ac:dyDescent="0.25">
      <c r="A181" s="667" t="s">
        <v>42</v>
      </c>
      <c r="C181" s="679">
        <f t="shared" si="9"/>
        <v>26760</v>
      </c>
      <c r="D181" s="679">
        <v>1099</v>
      </c>
      <c r="E181" s="679">
        <v>2735</v>
      </c>
      <c r="F181" s="679">
        <v>4113</v>
      </c>
      <c r="G181" s="679">
        <v>4661</v>
      </c>
      <c r="H181" s="679">
        <v>2284</v>
      </c>
      <c r="I181" s="679">
        <v>3279</v>
      </c>
      <c r="J181" s="679">
        <v>910</v>
      </c>
      <c r="K181" s="679">
        <v>1746</v>
      </c>
      <c r="L181" s="679">
        <v>718</v>
      </c>
      <c r="M181" s="679">
        <v>2489</v>
      </c>
      <c r="N181" s="679">
        <v>2726</v>
      </c>
    </row>
    <row r="182" spans="1:14" s="667" customFormat="1" ht="9" customHeight="1" x14ac:dyDescent="0.25">
      <c r="A182" s="667" t="s">
        <v>43</v>
      </c>
      <c r="C182" s="679">
        <f t="shared" si="9"/>
        <v>6188</v>
      </c>
      <c r="D182" s="679">
        <v>198</v>
      </c>
      <c r="E182" s="679">
        <v>719</v>
      </c>
      <c r="F182" s="679">
        <v>949</v>
      </c>
      <c r="G182" s="679">
        <v>1185</v>
      </c>
      <c r="H182" s="679">
        <v>558</v>
      </c>
      <c r="I182" s="679">
        <v>773</v>
      </c>
      <c r="J182" s="679">
        <v>147</v>
      </c>
      <c r="K182" s="679">
        <v>312</v>
      </c>
      <c r="L182" s="679">
        <v>182</v>
      </c>
      <c r="M182" s="679">
        <v>738</v>
      </c>
      <c r="N182" s="679">
        <v>427</v>
      </c>
    </row>
    <row r="183" spans="1:14" s="667" customFormat="1" ht="9" customHeight="1" x14ac:dyDescent="0.25">
      <c r="A183" s="667" t="s">
        <v>44</v>
      </c>
      <c r="C183" s="679">
        <f t="shared" si="9"/>
        <v>2552</v>
      </c>
      <c r="D183" s="679">
        <v>135</v>
      </c>
      <c r="E183" s="679">
        <v>318</v>
      </c>
      <c r="F183" s="679">
        <v>246</v>
      </c>
      <c r="G183" s="679">
        <v>449</v>
      </c>
      <c r="H183" s="679">
        <v>145</v>
      </c>
      <c r="I183" s="679">
        <v>255</v>
      </c>
      <c r="J183" s="679">
        <v>65</v>
      </c>
      <c r="K183" s="679">
        <v>186</v>
      </c>
      <c r="L183" s="679">
        <v>107</v>
      </c>
      <c r="M183" s="679">
        <v>477</v>
      </c>
      <c r="N183" s="679">
        <v>169</v>
      </c>
    </row>
    <row r="184" spans="1:14" s="667" customFormat="1" ht="9" customHeight="1" x14ac:dyDescent="0.25">
      <c r="A184" s="671" t="s">
        <v>45</v>
      </c>
      <c r="B184" s="671"/>
      <c r="C184" s="683">
        <f t="shared" si="9"/>
        <v>10535</v>
      </c>
      <c r="D184" s="683">
        <v>446</v>
      </c>
      <c r="E184" s="683">
        <v>1426</v>
      </c>
      <c r="F184" s="683">
        <v>1482</v>
      </c>
      <c r="G184" s="683">
        <v>2392</v>
      </c>
      <c r="H184" s="683">
        <v>940</v>
      </c>
      <c r="I184" s="683">
        <v>887</v>
      </c>
      <c r="J184" s="683">
        <v>227</v>
      </c>
      <c r="K184" s="683">
        <v>391</v>
      </c>
      <c r="L184" s="683">
        <v>244</v>
      </c>
      <c r="M184" s="683">
        <v>1172</v>
      </c>
      <c r="N184" s="683">
        <v>928</v>
      </c>
    </row>
    <row r="185" spans="1:14" s="667" customFormat="1" ht="9" customHeight="1" x14ac:dyDescent="0.25">
      <c r="A185" s="667" t="s">
        <v>46</v>
      </c>
      <c r="C185" s="679">
        <f t="shared" si="9"/>
        <v>10798</v>
      </c>
      <c r="D185" s="679">
        <v>366</v>
      </c>
      <c r="E185" s="679">
        <v>1868</v>
      </c>
      <c r="F185" s="679">
        <v>1509</v>
      </c>
      <c r="G185" s="679">
        <v>2993</v>
      </c>
      <c r="H185" s="679">
        <v>787</v>
      </c>
      <c r="I185" s="679">
        <v>568</v>
      </c>
      <c r="J185" s="679">
        <v>233</v>
      </c>
      <c r="K185" s="679">
        <v>196</v>
      </c>
      <c r="L185" s="679">
        <v>137</v>
      </c>
      <c r="M185" s="679">
        <v>1534</v>
      </c>
      <c r="N185" s="679">
        <v>607</v>
      </c>
    </row>
    <row r="186" spans="1:14" s="667" customFormat="1" ht="9" customHeight="1" x14ac:dyDescent="0.25">
      <c r="A186" s="667" t="s">
        <v>47</v>
      </c>
      <c r="C186" s="679">
        <f t="shared" si="9"/>
        <v>10995</v>
      </c>
      <c r="D186" s="679">
        <v>393</v>
      </c>
      <c r="E186" s="679">
        <v>1720</v>
      </c>
      <c r="F186" s="679">
        <v>1534</v>
      </c>
      <c r="G186" s="679">
        <v>2964</v>
      </c>
      <c r="H186" s="679">
        <v>956</v>
      </c>
      <c r="I186" s="679">
        <v>718</v>
      </c>
      <c r="J186" s="679">
        <v>238</v>
      </c>
      <c r="K186" s="679">
        <v>395</v>
      </c>
      <c r="L186" s="679">
        <v>162</v>
      </c>
      <c r="M186" s="679">
        <v>1264</v>
      </c>
      <c r="N186" s="679">
        <v>651</v>
      </c>
    </row>
    <row r="187" spans="1:14" s="667" customFormat="1" ht="9" customHeight="1" x14ac:dyDescent="0.25">
      <c r="A187" s="667" t="s">
        <v>48</v>
      </c>
      <c r="C187" s="679">
        <f t="shared" si="9"/>
        <v>7662</v>
      </c>
      <c r="D187" s="679">
        <v>388</v>
      </c>
      <c r="E187" s="679">
        <v>1107</v>
      </c>
      <c r="F187" s="679">
        <v>1134</v>
      </c>
      <c r="G187" s="679">
        <v>1681</v>
      </c>
      <c r="H187" s="679">
        <v>484</v>
      </c>
      <c r="I187" s="679">
        <v>506</v>
      </c>
      <c r="J187" s="679">
        <v>214</v>
      </c>
      <c r="K187" s="679">
        <v>368</v>
      </c>
      <c r="L187" s="679">
        <v>192</v>
      </c>
      <c r="M187" s="679">
        <v>1150</v>
      </c>
      <c r="N187" s="679">
        <v>438</v>
      </c>
    </row>
    <row r="188" spans="1:14" s="667" customFormat="1" ht="9" customHeight="1" x14ac:dyDescent="0.25">
      <c r="A188" s="671" t="s">
        <v>49</v>
      </c>
      <c r="B188" s="671"/>
      <c r="C188" s="683">
        <f t="shared" si="9"/>
        <v>11970</v>
      </c>
      <c r="D188" s="683">
        <v>430</v>
      </c>
      <c r="E188" s="683">
        <v>1992</v>
      </c>
      <c r="F188" s="683">
        <v>2008</v>
      </c>
      <c r="G188" s="683">
        <v>3178</v>
      </c>
      <c r="H188" s="683">
        <v>829</v>
      </c>
      <c r="I188" s="683">
        <v>815</v>
      </c>
      <c r="J188" s="683">
        <v>332</v>
      </c>
      <c r="K188" s="683">
        <v>287</v>
      </c>
      <c r="L188" s="683">
        <v>162</v>
      </c>
      <c r="M188" s="683">
        <v>1309</v>
      </c>
      <c r="N188" s="683">
        <v>628</v>
      </c>
    </row>
    <row r="189" spans="1:14" s="667" customFormat="1" ht="9" customHeight="1" x14ac:dyDescent="0.25">
      <c r="A189" s="667" t="s">
        <v>50</v>
      </c>
      <c r="C189" s="679">
        <f t="shared" si="9"/>
        <v>4633</v>
      </c>
      <c r="D189" s="679">
        <v>157</v>
      </c>
      <c r="E189" s="679">
        <v>493</v>
      </c>
      <c r="F189" s="679">
        <v>746</v>
      </c>
      <c r="G189" s="679">
        <v>836</v>
      </c>
      <c r="H189" s="679">
        <v>442</v>
      </c>
      <c r="I189" s="679">
        <v>500</v>
      </c>
      <c r="J189" s="679">
        <v>183</v>
      </c>
      <c r="K189" s="679">
        <v>264</v>
      </c>
      <c r="L189" s="679">
        <v>108</v>
      </c>
      <c r="M189" s="679">
        <v>554</v>
      </c>
      <c r="N189" s="679">
        <v>350</v>
      </c>
    </row>
    <row r="190" spans="1:14" s="667" customFormat="1" ht="9" customHeight="1" x14ac:dyDescent="0.25">
      <c r="A190" s="667" t="s">
        <v>51</v>
      </c>
      <c r="C190" s="679">
        <f t="shared" si="9"/>
        <v>34216</v>
      </c>
      <c r="D190" s="679">
        <v>1630</v>
      </c>
      <c r="E190" s="679">
        <v>4704</v>
      </c>
      <c r="F190" s="679">
        <v>4999</v>
      </c>
      <c r="G190" s="679">
        <v>7855</v>
      </c>
      <c r="H190" s="679">
        <v>2519</v>
      </c>
      <c r="I190" s="679">
        <v>3931</v>
      </c>
      <c r="J190" s="679">
        <v>1017</v>
      </c>
      <c r="K190" s="679">
        <v>1155</v>
      </c>
      <c r="L190" s="679">
        <v>640</v>
      </c>
      <c r="M190" s="679">
        <v>3198</v>
      </c>
      <c r="N190" s="679">
        <v>2568</v>
      </c>
    </row>
    <row r="191" spans="1:14" s="673" customFormat="1" ht="9" customHeight="1" x14ac:dyDescent="0.25">
      <c r="A191" s="673" t="s">
        <v>52</v>
      </c>
      <c r="C191" s="684">
        <f t="shared" si="9"/>
        <v>8681</v>
      </c>
      <c r="D191" s="684">
        <v>392</v>
      </c>
      <c r="E191" s="684">
        <v>1114</v>
      </c>
      <c r="F191" s="684">
        <v>1109</v>
      </c>
      <c r="G191" s="684">
        <v>2139</v>
      </c>
      <c r="H191" s="684">
        <v>629</v>
      </c>
      <c r="I191" s="684">
        <v>1014</v>
      </c>
      <c r="J191" s="684">
        <v>243</v>
      </c>
      <c r="K191" s="684">
        <v>234</v>
      </c>
      <c r="L191" s="684">
        <v>177</v>
      </c>
      <c r="M191" s="684">
        <v>814</v>
      </c>
      <c r="N191" s="684">
        <v>816</v>
      </c>
    </row>
    <row r="192" spans="1:14" s="667" customFormat="1" ht="9" customHeight="1" x14ac:dyDescent="0.25">
      <c r="A192" s="671" t="s">
        <v>53</v>
      </c>
      <c r="B192" s="671"/>
      <c r="C192" s="683">
        <f t="shared" si="9"/>
        <v>6826</v>
      </c>
      <c r="D192" s="683">
        <v>190</v>
      </c>
      <c r="E192" s="683">
        <v>938</v>
      </c>
      <c r="F192" s="683">
        <v>824</v>
      </c>
      <c r="G192" s="683">
        <v>1735</v>
      </c>
      <c r="H192" s="683">
        <v>680</v>
      </c>
      <c r="I192" s="683">
        <v>548</v>
      </c>
      <c r="J192" s="683">
        <v>137</v>
      </c>
      <c r="K192" s="683">
        <v>292</v>
      </c>
      <c r="L192" s="683">
        <v>119</v>
      </c>
      <c r="M192" s="683">
        <v>860</v>
      </c>
      <c r="N192" s="683">
        <v>503</v>
      </c>
    </row>
    <row r="193" spans="1:15" s="667" customFormat="1" ht="9" customHeight="1" x14ac:dyDescent="0.25">
      <c r="A193" s="664" t="s">
        <v>434</v>
      </c>
      <c r="B193" s="664"/>
      <c r="C193" s="679">
        <f t="shared" si="9"/>
        <v>2007</v>
      </c>
      <c r="D193" s="679">
        <v>60</v>
      </c>
      <c r="E193" s="679">
        <v>283</v>
      </c>
      <c r="F193" s="679">
        <v>112</v>
      </c>
      <c r="G193" s="679">
        <v>451</v>
      </c>
      <c r="H193" s="679">
        <v>76</v>
      </c>
      <c r="I193" s="679">
        <v>81</v>
      </c>
      <c r="J193" s="679">
        <v>38</v>
      </c>
      <c r="K193" s="679">
        <v>4</v>
      </c>
      <c r="L193" s="679">
        <v>9</v>
      </c>
      <c r="M193" s="679">
        <v>760</v>
      </c>
      <c r="N193" s="679">
        <v>133</v>
      </c>
    </row>
    <row r="194" spans="1:15" s="667" customFormat="1" ht="9" customHeight="1" x14ac:dyDescent="0.25">
      <c r="A194" s="664"/>
      <c r="B194" s="664"/>
      <c r="C194" s="679"/>
      <c r="D194" s="679"/>
      <c r="E194" s="679"/>
      <c r="F194" s="679"/>
      <c r="G194" s="679"/>
      <c r="H194" s="679"/>
      <c r="I194" s="679"/>
      <c r="J194" s="679"/>
      <c r="K194" s="679"/>
      <c r="L194" s="679"/>
      <c r="M194" s="679"/>
      <c r="N194" s="679"/>
    </row>
    <row r="195" spans="1:15" s="667" customFormat="1" ht="9" customHeight="1" x14ac:dyDescent="0.15">
      <c r="A195" s="686">
        <v>2003</v>
      </c>
      <c r="B195" s="664"/>
      <c r="C195" s="665"/>
      <c r="D195" s="665"/>
      <c r="E195" s="665"/>
      <c r="F195" s="666"/>
      <c r="G195" s="666"/>
      <c r="H195" s="666"/>
      <c r="I195" s="666"/>
      <c r="J195" s="665"/>
      <c r="K195" s="665"/>
      <c r="L195" s="665"/>
      <c r="M195" s="665"/>
      <c r="N195" s="665"/>
    </row>
    <row r="196" spans="1:15" s="668" customFormat="1" ht="9" customHeight="1" x14ac:dyDescent="0.25">
      <c r="A196" s="668" t="s">
        <v>13</v>
      </c>
      <c r="C196" s="682">
        <f t="shared" ref="C196:N196" si="10">SUM(C198:C230)</f>
        <v>472140</v>
      </c>
      <c r="D196" s="682">
        <f t="shared" si="10"/>
        <v>18728</v>
      </c>
      <c r="E196" s="682">
        <f t="shared" si="10"/>
        <v>63067</v>
      </c>
      <c r="F196" s="682">
        <f t="shared" si="10"/>
        <v>73101</v>
      </c>
      <c r="G196" s="682">
        <f t="shared" si="10"/>
        <v>107909</v>
      </c>
      <c r="H196" s="682">
        <f t="shared" si="10"/>
        <v>40222</v>
      </c>
      <c r="I196" s="682">
        <f t="shared" si="10"/>
        <v>45605</v>
      </c>
      <c r="J196" s="682">
        <f t="shared" si="10"/>
        <v>12854</v>
      </c>
      <c r="K196" s="682">
        <f t="shared" si="10"/>
        <v>17077</v>
      </c>
      <c r="L196" s="682">
        <f t="shared" si="10"/>
        <v>8881</v>
      </c>
      <c r="M196" s="682">
        <f t="shared" si="10"/>
        <v>52325</v>
      </c>
      <c r="N196" s="682">
        <f t="shared" si="10"/>
        <v>32371</v>
      </c>
      <c r="O196" s="682"/>
    </row>
    <row r="197" spans="1:15" s="668" customFormat="1" ht="3.95" customHeight="1" x14ac:dyDescent="0.25">
      <c r="C197" s="682"/>
      <c r="D197" s="682"/>
      <c r="E197" s="682"/>
      <c r="F197" s="682"/>
      <c r="G197" s="682"/>
      <c r="H197" s="682"/>
      <c r="I197" s="682"/>
      <c r="J197" s="682"/>
      <c r="K197" s="682"/>
      <c r="L197" s="682"/>
      <c r="M197" s="682"/>
      <c r="N197" s="682"/>
    </row>
    <row r="198" spans="1:15" s="667" customFormat="1" ht="9" customHeight="1" x14ac:dyDescent="0.25">
      <c r="A198" s="667" t="s">
        <v>23</v>
      </c>
      <c r="C198" s="679">
        <f t="shared" ref="C198:C230" si="11">SUM(D198:N198)</f>
        <v>4293</v>
      </c>
      <c r="D198" s="679">
        <v>144</v>
      </c>
      <c r="E198" s="679">
        <v>607</v>
      </c>
      <c r="F198" s="679">
        <v>710</v>
      </c>
      <c r="G198" s="679">
        <v>896</v>
      </c>
      <c r="H198" s="679">
        <v>447</v>
      </c>
      <c r="I198" s="679">
        <v>352</v>
      </c>
      <c r="J198" s="679">
        <v>98</v>
      </c>
      <c r="K198" s="679">
        <v>179</v>
      </c>
      <c r="L198" s="679">
        <v>78</v>
      </c>
      <c r="M198" s="679">
        <v>508</v>
      </c>
      <c r="N198" s="679">
        <v>274</v>
      </c>
      <c r="O198" s="679"/>
    </row>
    <row r="199" spans="1:15" s="667" customFormat="1" ht="9" customHeight="1" x14ac:dyDescent="0.25">
      <c r="A199" s="667" t="s">
        <v>24</v>
      </c>
      <c r="C199" s="679">
        <f t="shared" si="11"/>
        <v>11918</v>
      </c>
      <c r="D199" s="679">
        <v>733</v>
      </c>
      <c r="E199" s="679">
        <v>1711</v>
      </c>
      <c r="F199" s="679">
        <v>1523</v>
      </c>
      <c r="G199" s="679">
        <v>2795</v>
      </c>
      <c r="H199" s="679">
        <v>832</v>
      </c>
      <c r="I199" s="679">
        <v>966</v>
      </c>
      <c r="J199" s="679">
        <v>247</v>
      </c>
      <c r="K199" s="679">
        <v>455</v>
      </c>
      <c r="L199" s="679">
        <v>235</v>
      </c>
      <c r="M199" s="679">
        <v>1863</v>
      </c>
      <c r="N199" s="679">
        <v>558</v>
      </c>
    </row>
    <row r="200" spans="1:15" s="667" customFormat="1" ht="9" customHeight="1" x14ac:dyDescent="0.25">
      <c r="A200" s="667" t="s">
        <v>25</v>
      </c>
      <c r="C200" s="679">
        <f t="shared" si="11"/>
        <v>1925</v>
      </c>
      <c r="D200" s="679">
        <v>81</v>
      </c>
      <c r="E200" s="679">
        <v>337</v>
      </c>
      <c r="F200" s="679">
        <v>252</v>
      </c>
      <c r="G200" s="679">
        <v>456</v>
      </c>
      <c r="H200" s="679">
        <v>156</v>
      </c>
      <c r="I200" s="679">
        <v>139</v>
      </c>
      <c r="J200" s="679">
        <v>27</v>
      </c>
      <c r="K200" s="679">
        <v>90</v>
      </c>
      <c r="L200" s="679">
        <v>42</v>
      </c>
      <c r="M200" s="679">
        <v>245</v>
      </c>
      <c r="N200" s="679">
        <v>100</v>
      </c>
    </row>
    <row r="201" spans="1:15" s="667" customFormat="1" ht="9" customHeight="1" x14ac:dyDescent="0.25">
      <c r="A201" s="671" t="s">
        <v>26</v>
      </c>
      <c r="B201" s="671"/>
      <c r="C201" s="683">
        <f t="shared" si="11"/>
        <v>2827</v>
      </c>
      <c r="D201" s="683">
        <v>109</v>
      </c>
      <c r="E201" s="683">
        <v>377</v>
      </c>
      <c r="F201" s="683">
        <v>410</v>
      </c>
      <c r="G201" s="683">
        <v>603</v>
      </c>
      <c r="H201" s="683">
        <v>226</v>
      </c>
      <c r="I201" s="683">
        <v>258</v>
      </c>
      <c r="J201" s="683">
        <v>73</v>
      </c>
      <c r="K201" s="683">
        <v>118</v>
      </c>
      <c r="L201" s="683">
        <v>64</v>
      </c>
      <c r="M201" s="683">
        <v>366</v>
      </c>
      <c r="N201" s="683">
        <v>223</v>
      </c>
    </row>
    <row r="202" spans="1:15" s="667" customFormat="1" ht="9" customHeight="1" x14ac:dyDescent="0.25">
      <c r="A202" s="667" t="s">
        <v>27</v>
      </c>
      <c r="C202" s="679">
        <f t="shared" si="11"/>
        <v>11458</v>
      </c>
      <c r="D202" s="679">
        <v>409</v>
      </c>
      <c r="E202" s="679">
        <v>1675</v>
      </c>
      <c r="F202" s="679">
        <v>2206</v>
      </c>
      <c r="G202" s="679">
        <v>3037</v>
      </c>
      <c r="H202" s="679">
        <v>772</v>
      </c>
      <c r="I202" s="679">
        <v>896</v>
      </c>
      <c r="J202" s="679">
        <v>327</v>
      </c>
      <c r="K202" s="679">
        <v>269</v>
      </c>
      <c r="L202" s="679">
        <v>164</v>
      </c>
      <c r="M202" s="679">
        <v>1011</v>
      </c>
      <c r="N202" s="679">
        <v>692</v>
      </c>
    </row>
    <row r="203" spans="1:15" s="667" customFormat="1" ht="9" customHeight="1" x14ac:dyDescent="0.25">
      <c r="A203" s="667" t="s">
        <v>28</v>
      </c>
      <c r="C203" s="679">
        <f t="shared" si="11"/>
        <v>2442</v>
      </c>
      <c r="D203" s="679">
        <v>85</v>
      </c>
      <c r="E203" s="679">
        <v>380</v>
      </c>
      <c r="F203" s="679">
        <v>342</v>
      </c>
      <c r="G203" s="679">
        <v>613</v>
      </c>
      <c r="H203" s="679">
        <v>203</v>
      </c>
      <c r="I203" s="679">
        <v>221</v>
      </c>
      <c r="J203" s="679">
        <v>42</v>
      </c>
      <c r="K203" s="679">
        <v>84</v>
      </c>
      <c r="L203" s="679">
        <v>40</v>
      </c>
      <c r="M203" s="679">
        <v>293</v>
      </c>
      <c r="N203" s="679">
        <v>139</v>
      </c>
    </row>
    <row r="204" spans="1:15" s="667" customFormat="1" ht="9" customHeight="1" x14ac:dyDescent="0.25">
      <c r="A204" s="667" t="s">
        <v>29</v>
      </c>
      <c r="C204" s="679">
        <f t="shared" si="11"/>
        <v>16889</v>
      </c>
      <c r="D204" s="679">
        <v>1355</v>
      </c>
      <c r="E204" s="679">
        <v>2157</v>
      </c>
      <c r="F204" s="679">
        <v>1886</v>
      </c>
      <c r="G204" s="679">
        <v>2665</v>
      </c>
      <c r="H204" s="679">
        <v>1496</v>
      </c>
      <c r="I204" s="679">
        <v>1528</v>
      </c>
      <c r="J204" s="679">
        <v>511</v>
      </c>
      <c r="K204" s="679">
        <v>749</v>
      </c>
      <c r="L204" s="679">
        <v>276</v>
      </c>
      <c r="M204" s="679">
        <v>2037</v>
      </c>
      <c r="N204" s="679">
        <v>2229</v>
      </c>
    </row>
    <row r="205" spans="1:15" s="667" customFormat="1" ht="9" customHeight="1" x14ac:dyDescent="0.25">
      <c r="A205" s="671" t="s">
        <v>30</v>
      </c>
      <c r="B205" s="671"/>
      <c r="C205" s="683">
        <f t="shared" si="11"/>
        <v>17033</v>
      </c>
      <c r="D205" s="683">
        <v>642</v>
      </c>
      <c r="E205" s="683">
        <v>2324</v>
      </c>
      <c r="F205" s="683">
        <v>2285</v>
      </c>
      <c r="G205" s="683">
        <v>4254</v>
      </c>
      <c r="H205" s="683">
        <v>1292</v>
      </c>
      <c r="I205" s="683">
        <v>1280</v>
      </c>
      <c r="J205" s="683">
        <v>424</v>
      </c>
      <c r="K205" s="683">
        <v>649</v>
      </c>
      <c r="L205" s="683">
        <v>289</v>
      </c>
      <c r="M205" s="683">
        <v>2466</v>
      </c>
      <c r="N205" s="683">
        <v>1128</v>
      </c>
    </row>
    <row r="206" spans="1:15" s="667" customFormat="1" ht="9" customHeight="1" x14ac:dyDescent="0.25">
      <c r="A206" s="667" t="s">
        <v>171</v>
      </c>
      <c r="C206" s="679">
        <f t="shared" si="11"/>
        <v>48586</v>
      </c>
      <c r="D206" s="679">
        <v>1616</v>
      </c>
      <c r="E206" s="679">
        <v>6936</v>
      </c>
      <c r="F206" s="679">
        <v>8725</v>
      </c>
      <c r="G206" s="679">
        <v>12725</v>
      </c>
      <c r="H206" s="679">
        <v>3846</v>
      </c>
      <c r="I206" s="679">
        <v>4876</v>
      </c>
      <c r="J206" s="679">
        <v>1203</v>
      </c>
      <c r="K206" s="679">
        <v>1514</v>
      </c>
      <c r="L206" s="679">
        <v>794</v>
      </c>
      <c r="M206" s="679">
        <v>3956</v>
      </c>
      <c r="N206" s="679">
        <v>2395</v>
      </c>
    </row>
    <row r="207" spans="1:15" s="667" customFormat="1" ht="9" customHeight="1" x14ac:dyDescent="0.25">
      <c r="A207" s="667" t="s">
        <v>31</v>
      </c>
      <c r="C207" s="679">
        <f t="shared" si="11"/>
        <v>6564</v>
      </c>
      <c r="D207" s="679">
        <v>188</v>
      </c>
      <c r="E207" s="679">
        <v>848</v>
      </c>
      <c r="F207" s="679">
        <v>1008</v>
      </c>
      <c r="G207" s="679">
        <v>1673</v>
      </c>
      <c r="H207" s="679">
        <v>547</v>
      </c>
      <c r="I207" s="679">
        <v>488</v>
      </c>
      <c r="J207" s="679">
        <v>165</v>
      </c>
      <c r="K207" s="679">
        <v>174</v>
      </c>
      <c r="L207" s="679">
        <v>68</v>
      </c>
      <c r="M207" s="679">
        <v>888</v>
      </c>
      <c r="N207" s="679">
        <v>517</v>
      </c>
    </row>
    <row r="208" spans="1:15" s="667" customFormat="1" ht="9" customHeight="1" x14ac:dyDescent="0.25">
      <c r="A208" s="667" t="s">
        <v>32</v>
      </c>
      <c r="C208" s="679">
        <f t="shared" si="11"/>
        <v>22493</v>
      </c>
      <c r="D208" s="679">
        <v>650</v>
      </c>
      <c r="E208" s="679">
        <v>2673</v>
      </c>
      <c r="F208" s="679">
        <v>3954</v>
      </c>
      <c r="G208" s="679">
        <v>5098</v>
      </c>
      <c r="H208" s="679">
        <v>2243</v>
      </c>
      <c r="I208" s="679">
        <v>1972</v>
      </c>
      <c r="J208" s="679">
        <v>592</v>
      </c>
      <c r="K208" s="679">
        <v>1067</v>
      </c>
      <c r="L208" s="679">
        <v>552</v>
      </c>
      <c r="M208" s="679">
        <v>2253</v>
      </c>
      <c r="N208" s="679">
        <v>1439</v>
      </c>
    </row>
    <row r="209" spans="1:14" s="667" customFormat="1" ht="9" customHeight="1" x14ac:dyDescent="0.25">
      <c r="A209" s="671" t="s">
        <v>33</v>
      </c>
      <c r="B209" s="671"/>
      <c r="C209" s="683">
        <f t="shared" si="11"/>
        <v>11381</v>
      </c>
      <c r="D209" s="683">
        <v>663</v>
      </c>
      <c r="E209" s="683">
        <v>1542</v>
      </c>
      <c r="F209" s="683">
        <v>1595</v>
      </c>
      <c r="G209" s="683">
        <v>2359</v>
      </c>
      <c r="H209" s="683">
        <v>876</v>
      </c>
      <c r="I209" s="683">
        <v>974</v>
      </c>
      <c r="J209" s="683">
        <v>331</v>
      </c>
      <c r="K209" s="683">
        <v>221</v>
      </c>
      <c r="L209" s="683">
        <v>122</v>
      </c>
      <c r="M209" s="683">
        <v>1773</v>
      </c>
      <c r="N209" s="683">
        <v>925</v>
      </c>
    </row>
    <row r="210" spans="1:14" s="667" customFormat="1" ht="9" customHeight="1" x14ac:dyDescent="0.25">
      <c r="A210" s="667" t="s">
        <v>34</v>
      </c>
      <c r="C210" s="679">
        <f t="shared" si="11"/>
        <v>10089</v>
      </c>
      <c r="D210" s="679">
        <v>219</v>
      </c>
      <c r="E210" s="679">
        <v>1309</v>
      </c>
      <c r="F210" s="679">
        <v>1480</v>
      </c>
      <c r="G210" s="679">
        <v>2366</v>
      </c>
      <c r="H210" s="679">
        <v>732</v>
      </c>
      <c r="I210" s="679">
        <v>1281</v>
      </c>
      <c r="J210" s="679">
        <v>331</v>
      </c>
      <c r="K210" s="679">
        <v>421</v>
      </c>
      <c r="L210" s="679">
        <v>135</v>
      </c>
      <c r="M210" s="679">
        <v>1085</v>
      </c>
      <c r="N210" s="679">
        <v>730</v>
      </c>
    </row>
    <row r="211" spans="1:14" s="667" customFormat="1" ht="9" customHeight="1" x14ac:dyDescent="0.25">
      <c r="A211" s="667" t="s">
        <v>35</v>
      </c>
      <c r="C211" s="679">
        <f t="shared" si="11"/>
        <v>32895</v>
      </c>
      <c r="D211" s="679">
        <v>1195</v>
      </c>
      <c r="E211" s="679">
        <v>4678</v>
      </c>
      <c r="F211" s="679">
        <v>5092</v>
      </c>
      <c r="G211" s="679">
        <v>7772</v>
      </c>
      <c r="H211" s="679">
        <v>3491</v>
      </c>
      <c r="I211" s="679">
        <v>2907</v>
      </c>
      <c r="J211" s="679">
        <v>959</v>
      </c>
      <c r="K211" s="679">
        <v>924</v>
      </c>
      <c r="L211" s="679">
        <v>600</v>
      </c>
      <c r="M211" s="679">
        <v>3579</v>
      </c>
      <c r="N211" s="679">
        <v>1698</v>
      </c>
    </row>
    <row r="212" spans="1:14" s="667" customFormat="1" ht="9" customHeight="1" x14ac:dyDescent="0.25">
      <c r="A212" s="667" t="s">
        <v>36</v>
      </c>
      <c r="C212" s="679">
        <f t="shared" si="11"/>
        <v>56207</v>
      </c>
      <c r="D212" s="679">
        <v>1952</v>
      </c>
      <c r="E212" s="679">
        <v>6630</v>
      </c>
      <c r="F212" s="679">
        <v>9377</v>
      </c>
      <c r="G212" s="679">
        <v>10897</v>
      </c>
      <c r="H212" s="679">
        <v>5435</v>
      </c>
      <c r="I212" s="679">
        <v>7038</v>
      </c>
      <c r="J212" s="679">
        <v>1425</v>
      </c>
      <c r="K212" s="679">
        <v>3067</v>
      </c>
      <c r="L212" s="679">
        <v>1428</v>
      </c>
      <c r="M212" s="679">
        <v>6208</v>
      </c>
      <c r="N212" s="679">
        <v>2750</v>
      </c>
    </row>
    <row r="213" spans="1:14" s="667" customFormat="1" ht="9" customHeight="1" x14ac:dyDescent="0.25">
      <c r="A213" s="671" t="s">
        <v>37</v>
      </c>
      <c r="B213" s="671"/>
      <c r="C213" s="683">
        <f t="shared" si="11"/>
        <v>19123</v>
      </c>
      <c r="D213" s="683">
        <v>534</v>
      </c>
      <c r="E213" s="683">
        <v>2591</v>
      </c>
      <c r="F213" s="683">
        <v>2938</v>
      </c>
      <c r="G213" s="683">
        <v>4559</v>
      </c>
      <c r="H213" s="683">
        <v>1691</v>
      </c>
      <c r="I213" s="683">
        <v>1653</v>
      </c>
      <c r="J213" s="683">
        <v>516</v>
      </c>
      <c r="K213" s="683">
        <v>437</v>
      </c>
      <c r="L213" s="683">
        <v>261</v>
      </c>
      <c r="M213" s="683">
        <v>2574</v>
      </c>
      <c r="N213" s="683">
        <v>1369</v>
      </c>
    </row>
    <row r="214" spans="1:14" s="667" customFormat="1" ht="9" customHeight="1" x14ac:dyDescent="0.25">
      <c r="A214" s="667" t="s">
        <v>38</v>
      </c>
      <c r="C214" s="679">
        <f t="shared" si="11"/>
        <v>7207</v>
      </c>
      <c r="D214" s="679">
        <v>253</v>
      </c>
      <c r="E214" s="679">
        <v>1047</v>
      </c>
      <c r="F214" s="679">
        <v>1206</v>
      </c>
      <c r="G214" s="679">
        <v>1568</v>
      </c>
      <c r="H214" s="679">
        <v>583</v>
      </c>
      <c r="I214" s="679">
        <v>757</v>
      </c>
      <c r="J214" s="679">
        <v>210</v>
      </c>
      <c r="K214" s="679">
        <v>192</v>
      </c>
      <c r="L214" s="679">
        <v>130</v>
      </c>
      <c r="M214" s="679">
        <v>788</v>
      </c>
      <c r="N214" s="679">
        <v>473</v>
      </c>
    </row>
    <row r="215" spans="1:14" s="667" customFormat="1" ht="9" customHeight="1" x14ac:dyDescent="0.25">
      <c r="A215" s="667" t="s">
        <v>39</v>
      </c>
      <c r="C215" s="679">
        <f t="shared" si="11"/>
        <v>4457</v>
      </c>
      <c r="D215" s="679">
        <v>237</v>
      </c>
      <c r="E215" s="679">
        <v>697</v>
      </c>
      <c r="F215" s="679">
        <v>602</v>
      </c>
      <c r="G215" s="679">
        <v>1048</v>
      </c>
      <c r="H215" s="679">
        <v>402</v>
      </c>
      <c r="I215" s="679">
        <v>335</v>
      </c>
      <c r="J215" s="679">
        <v>109</v>
      </c>
      <c r="K215" s="679">
        <v>61</v>
      </c>
      <c r="L215" s="679">
        <v>44</v>
      </c>
      <c r="M215" s="679">
        <v>624</v>
      </c>
      <c r="N215" s="679">
        <v>298</v>
      </c>
    </row>
    <row r="216" spans="1:14" s="667" customFormat="1" ht="9" customHeight="1" x14ac:dyDescent="0.25">
      <c r="A216" s="667" t="s">
        <v>40</v>
      </c>
      <c r="C216" s="679">
        <f t="shared" si="11"/>
        <v>17391</v>
      </c>
      <c r="D216" s="679">
        <v>715</v>
      </c>
      <c r="E216" s="679">
        <v>2792</v>
      </c>
      <c r="F216" s="679">
        <v>2524</v>
      </c>
      <c r="G216" s="679">
        <v>5012</v>
      </c>
      <c r="H216" s="679">
        <v>1321</v>
      </c>
      <c r="I216" s="679">
        <v>1348</v>
      </c>
      <c r="J216" s="679">
        <v>466</v>
      </c>
      <c r="K216" s="679">
        <v>424</v>
      </c>
      <c r="L216" s="679">
        <v>303</v>
      </c>
      <c r="M216" s="679">
        <v>1581</v>
      </c>
      <c r="N216" s="679">
        <v>905</v>
      </c>
    </row>
    <row r="217" spans="1:14" s="667" customFormat="1" ht="9" customHeight="1" x14ac:dyDescent="0.25">
      <c r="A217" s="671" t="s">
        <v>41</v>
      </c>
      <c r="B217" s="671"/>
      <c r="C217" s="683">
        <f t="shared" si="11"/>
        <v>18071</v>
      </c>
      <c r="D217" s="683">
        <v>1030</v>
      </c>
      <c r="E217" s="683">
        <v>2181</v>
      </c>
      <c r="F217" s="683">
        <v>2528</v>
      </c>
      <c r="G217" s="683">
        <v>3452</v>
      </c>
      <c r="H217" s="683">
        <v>1357</v>
      </c>
      <c r="I217" s="683">
        <v>1749</v>
      </c>
      <c r="J217" s="683">
        <v>570</v>
      </c>
      <c r="K217" s="683">
        <v>590</v>
      </c>
      <c r="L217" s="683">
        <v>300</v>
      </c>
      <c r="M217" s="683">
        <v>2176</v>
      </c>
      <c r="N217" s="683">
        <v>2138</v>
      </c>
    </row>
    <row r="218" spans="1:14" s="667" customFormat="1" ht="9" customHeight="1" x14ac:dyDescent="0.25">
      <c r="A218" s="667" t="s">
        <v>42</v>
      </c>
      <c r="C218" s="679">
        <f t="shared" si="11"/>
        <v>27028</v>
      </c>
      <c r="D218" s="679">
        <v>930</v>
      </c>
      <c r="E218" s="679">
        <v>2794</v>
      </c>
      <c r="F218" s="679">
        <v>4426</v>
      </c>
      <c r="G218" s="679">
        <v>4879</v>
      </c>
      <c r="H218" s="679">
        <v>2222</v>
      </c>
      <c r="I218" s="679">
        <v>3434</v>
      </c>
      <c r="J218" s="679">
        <v>963</v>
      </c>
      <c r="K218" s="679">
        <v>1563</v>
      </c>
      <c r="L218" s="679">
        <v>696</v>
      </c>
      <c r="M218" s="679">
        <v>2524</v>
      </c>
      <c r="N218" s="679">
        <v>2597</v>
      </c>
    </row>
    <row r="219" spans="1:14" s="667" customFormat="1" ht="9" customHeight="1" x14ac:dyDescent="0.25">
      <c r="A219" s="667" t="s">
        <v>43</v>
      </c>
      <c r="C219" s="679">
        <f t="shared" si="11"/>
        <v>6445</v>
      </c>
      <c r="D219" s="679">
        <v>220</v>
      </c>
      <c r="E219" s="679">
        <v>735</v>
      </c>
      <c r="F219" s="679">
        <v>962</v>
      </c>
      <c r="G219" s="679">
        <v>1291</v>
      </c>
      <c r="H219" s="679">
        <v>583</v>
      </c>
      <c r="I219" s="679">
        <v>893</v>
      </c>
      <c r="J219" s="679">
        <v>164</v>
      </c>
      <c r="K219" s="679">
        <v>283</v>
      </c>
      <c r="L219" s="679">
        <v>174</v>
      </c>
      <c r="M219" s="679">
        <v>721</v>
      </c>
      <c r="N219" s="679">
        <v>419</v>
      </c>
    </row>
    <row r="220" spans="1:14" s="667" customFormat="1" ht="9" customHeight="1" x14ac:dyDescent="0.25">
      <c r="A220" s="667" t="s">
        <v>44</v>
      </c>
      <c r="C220" s="679">
        <f t="shared" si="11"/>
        <v>2753</v>
      </c>
      <c r="D220" s="679">
        <v>163</v>
      </c>
      <c r="E220" s="679">
        <v>341</v>
      </c>
      <c r="F220" s="679">
        <v>287</v>
      </c>
      <c r="G220" s="679">
        <v>484</v>
      </c>
      <c r="H220" s="679">
        <v>231</v>
      </c>
      <c r="I220" s="679">
        <v>221</v>
      </c>
      <c r="J220" s="679">
        <v>76</v>
      </c>
      <c r="K220" s="679">
        <v>161</v>
      </c>
      <c r="L220" s="679">
        <v>73</v>
      </c>
      <c r="M220" s="679">
        <v>532</v>
      </c>
      <c r="N220" s="679">
        <v>184</v>
      </c>
    </row>
    <row r="221" spans="1:14" s="667" customFormat="1" ht="9" customHeight="1" x14ac:dyDescent="0.25">
      <c r="A221" s="671" t="s">
        <v>45</v>
      </c>
      <c r="B221" s="671"/>
      <c r="C221" s="683">
        <f t="shared" si="11"/>
        <v>11052</v>
      </c>
      <c r="D221" s="683">
        <v>414</v>
      </c>
      <c r="E221" s="683">
        <v>1499</v>
      </c>
      <c r="F221" s="683">
        <v>1603</v>
      </c>
      <c r="G221" s="683">
        <v>2547</v>
      </c>
      <c r="H221" s="683">
        <v>1122</v>
      </c>
      <c r="I221" s="683">
        <v>950</v>
      </c>
      <c r="J221" s="683">
        <v>283</v>
      </c>
      <c r="K221" s="683">
        <v>317</v>
      </c>
      <c r="L221" s="683">
        <v>216</v>
      </c>
      <c r="M221" s="683">
        <v>1106</v>
      </c>
      <c r="N221" s="683">
        <v>995</v>
      </c>
    </row>
    <row r="222" spans="1:14" s="667" customFormat="1" ht="9" customHeight="1" x14ac:dyDescent="0.25">
      <c r="A222" s="667" t="s">
        <v>46</v>
      </c>
      <c r="C222" s="679">
        <f t="shared" si="11"/>
        <v>11040</v>
      </c>
      <c r="D222" s="679">
        <v>421</v>
      </c>
      <c r="E222" s="679">
        <v>1875</v>
      </c>
      <c r="F222" s="679">
        <v>1611</v>
      </c>
      <c r="G222" s="679">
        <v>2975</v>
      </c>
      <c r="H222" s="679">
        <v>852</v>
      </c>
      <c r="I222" s="679">
        <v>640</v>
      </c>
      <c r="J222" s="679">
        <v>275</v>
      </c>
      <c r="K222" s="679">
        <v>140</v>
      </c>
      <c r="L222" s="679">
        <v>129</v>
      </c>
      <c r="M222" s="679">
        <v>1480</v>
      </c>
      <c r="N222" s="679">
        <v>642</v>
      </c>
    </row>
    <row r="223" spans="1:14" s="667" customFormat="1" ht="9" customHeight="1" x14ac:dyDescent="0.25">
      <c r="A223" s="667" t="s">
        <v>47</v>
      </c>
      <c r="C223" s="679">
        <f t="shared" si="11"/>
        <v>11697</v>
      </c>
      <c r="D223" s="679">
        <v>468</v>
      </c>
      <c r="E223" s="679">
        <v>1769</v>
      </c>
      <c r="F223" s="679">
        <v>1734</v>
      </c>
      <c r="G223" s="679">
        <v>3200</v>
      </c>
      <c r="H223" s="679">
        <v>967</v>
      </c>
      <c r="I223" s="679">
        <v>806</v>
      </c>
      <c r="J223" s="679">
        <v>244</v>
      </c>
      <c r="K223" s="679">
        <v>398</v>
      </c>
      <c r="L223" s="679">
        <v>196</v>
      </c>
      <c r="M223" s="679">
        <v>1233</v>
      </c>
      <c r="N223" s="679">
        <v>682</v>
      </c>
    </row>
    <row r="224" spans="1:14" s="667" customFormat="1" ht="9" customHeight="1" x14ac:dyDescent="0.25">
      <c r="A224" s="667" t="s">
        <v>48</v>
      </c>
      <c r="C224" s="679">
        <f t="shared" si="11"/>
        <v>8309</v>
      </c>
      <c r="D224" s="679">
        <v>393</v>
      </c>
      <c r="E224" s="679">
        <v>1053</v>
      </c>
      <c r="F224" s="679">
        <v>1287</v>
      </c>
      <c r="G224" s="679">
        <v>1790</v>
      </c>
      <c r="H224" s="679">
        <v>719</v>
      </c>
      <c r="I224" s="679">
        <v>588</v>
      </c>
      <c r="J224" s="679">
        <v>243</v>
      </c>
      <c r="K224" s="679">
        <v>374</v>
      </c>
      <c r="L224" s="679">
        <v>185</v>
      </c>
      <c r="M224" s="679">
        <v>1163</v>
      </c>
      <c r="N224" s="679">
        <v>514</v>
      </c>
    </row>
    <row r="225" spans="1:15" s="667" customFormat="1" ht="9" customHeight="1" x14ac:dyDescent="0.25">
      <c r="A225" s="671" t="s">
        <v>49</v>
      </c>
      <c r="B225" s="671"/>
      <c r="C225" s="683">
        <f t="shared" si="11"/>
        <v>12462</v>
      </c>
      <c r="D225" s="683">
        <v>447</v>
      </c>
      <c r="E225" s="683">
        <v>1873</v>
      </c>
      <c r="F225" s="683">
        <v>2133</v>
      </c>
      <c r="G225" s="683">
        <v>3367</v>
      </c>
      <c r="H225" s="683">
        <v>802</v>
      </c>
      <c r="I225" s="683">
        <v>909</v>
      </c>
      <c r="J225" s="683">
        <v>371</v>
      </c>
      <c r="K225" s="683">
        <v>371</v>
      </c>
      <c r="L225" s="683">
        <v>200</v>
      </c>
      <c r="M225" s="683">
        <v>1299</v>
      </c>
      <c r="N225" s="683">
        <v>690</v>
      </c>
    </row>
    <row r="226" spans="1:15" s="667" customFormat="1" ht="9" customHeight="1" x14ac:dyDescent="0.25">
      <c r="A226" s="667" t="s">
        <v>50</v>
      </c>
      <c r="C226" s="679">
        <f t="shared" si="11"/>
        <v>4476</v>
      </c>
      <c r="D226" s="679">
        <v>133</v>
      </c>
      <c r="E226" s="679">
        <v>504</v>
      </c>
      <c r="F226" s="679">
        <v>772</v>
      </c>
      <c r="G226" s="679">
        <v>828</v>
      </c>
      <c r="H226" s="679">
        <v>425</v>
      </c>
      <c r="I226" s="679">
        <v>484</v>
      </c>
      <c r="J226" s="679">
        <v>156</v>
      </c>
      <c r="K226" s="679">
        <v>238</v>
      </c>
      <c r="L226" s="679">
        <v>104</v>
      </c>
      <c r="M226" s="679">
        <v>480</v>
      </c>
      <c r="N226" s="679">
        <v>352</v>
      </c>
    </row>
    <row r="227" spans="1:15" s="667" customFormat="1" ht="9" customHeight="1" x14ac:dyDescent="0.25">
      <c r="A227" s="667" t="s">
        <v>51</v>
      </c>
      <c r="C227" s="679">
        <f t="shared" si="11"/>
        <v>36118</v>
      </c>
      <c r="D227" s="679">
        <v>1763</v>
      </c>
      <c r="E227" s="679">
        <v>4866</v>
      </c>
      <c r="F227" s="679">
        <v>5438</v>
      </c>
      <c r="G227" s="679">
        <v>8432</v>
      </c>
      <c r="H227" s="679">
        <v>2765</v>
      </c>
      <c r="I227" s="679">
        <v>4115</v>
      </c>
      <c r="J227" s="679">
        <v>955</v>
      </c>
      <c r="K227" s="679">
        <v>1076</v>
      </c>
      <c r="L227" s="679">
        <v>686</v>
      </c>
      <c r="M227" s="679">
        <v>3175</v>
      </c>
      <c r="N227" s="679">
        <v>2847</v>
      </c>
    </row>
    <row r="228" spans="1:15" s="673" customFormat="1" ht="9" customHeight="1" x14ac:dyDescent="0.25">
      <c r="A228" s="673" t="s">
        <v>52</v>
      </c>
      <c r="C228" s="684">
        <f t="shared" si="11"/>
        <v>9110</v>
      </c>
      <c r="D228" s="684">
        <v>352</v>
      </c>
      <c r="E228" s="684">
        <v>1119</v>
      </c>
      <c r="F228" s="684">
        <v>1156</v>
      </c>
      <c r="G228" s="684">
        <v>2310</v>
      </c>
      <c r="H228" s="684">
        <v>798</v>
      </c>
      <c r="I228" s="684">
        <v>1023</v>
      </c>
      <c r="J228" s="684">
        <v>296</v>
      </c>
      <c r="K228" s="684">
        <v>211</v>
      </c>
      <c r="L228" s="684">
        <v>189</v>
      </c>
      <c r="M228" s="684">
        <v>787</v>
      </c>
      <c r="N228" s="684">
        <v>869</v>
      </c>
    </row>
    <row r="229" spans="1:15" s="667" customFormat="1" ht="9" customHeight="1" x14ac:dyDescent="0.25">
      <c r="A229" s="671" t="s">
        <v>53</v>
      </c>
      <c r="B229" s="671"/>
      <c r="C229" s="683">
        <f t="shared" si="11"/>
        <v>6953</v>
      </c>
      <c r="D229" s="683">
        <v>182</v>
      </c>
      <c r="E229" s="683">
        <v>971</v>
      </c>
      <c r="F229" s="683">
        <v>959</v>
      </c>
      <c r="G229" s="683">
        <v>1621</v>
      </c>
      <c r="H229" s="683">
        <v>726</v>
      </c>
      <c r="I229" s="683">
        <v>472</v>
      </c>
      <c r="J229" s="683">
        <v>186</v>
      </c>
      <c r="K229" s="683">
        <v>256</v>
      </c>
      <c r="L229" s="683">
        <v>101</v>
      </c>
      <c r="M229" s="683">
        <v>938</v>
      </c>
      <c r="N229" s="683">
        <v>541</v>
      </c>
    </row>
    <row r="230" spans="1:15" s="667" customFormat="1" ht="9" customHeight="1" x14ac:dyDescent="0.25">
      <c r="A230" s="664" t="s">
        <v>434</v>
      </c>
      <c r="B230" s="664"/>
      <c r="C230" s="679">
        <f t="shared" si="11"/>
        <v>1448</v>
      </c>
      <c r="D230" s="679">
        <v>32</v>
      </c>
      <c r="E230" s="679">
        <v>176</v>
      </c>
      <c r="F230" s="679">
        <v>90</v>
      </c>
      <c r="G230" s="679">
        <v>337</v>
      </c>
      <c r="H230" s="679">
        <v>62</v>
      </c>
      <c r="I230" s="679">
        <v>52</v>
      </c>
      <c r="J230" s="679">
        <v>16</v>
      </c>
      <c r="K230" s="679">
        <v>4</v>
      </c>
      <c r="L230" s="679">
        <v>7</v>
      </c>
      <c r="M230" s="679">
        <v>613</v>
      </c>
      <c r="N230" s="679">
        <v>59</v>
      </c>
    </row>
    <row r="231" spans="1:15" s="667" customFormat="1" ht="9" customHeight="1" x14ac:dyDescent="0.25">
      <c r="A231" s="664"/>
      <c r="B231" s="664"/>
      <c r="C231" s="679"/>
      <c r="D231" s="679"/>
      <c r="E231" s="679"/>
      <c r="F231" s="679"/>
      <c r="G231" s="679"/>
      <c r="H231" s="679"/>
      <c r="I231" s="679"/>
      <c r="J231" s="679"/>
      <c r="K231" s="679"/>
      <c r="L231" s="679"/>
      <c r="M231" s="679"/>
      <c r="N231" s="679"/>
    </row>
    <row r="232" spans="1:15" s="667" customFormat="1" ht="9" customHeight="1" x14ac:dyDescent="0.15">
      <c r="A232" s="686">
        <v>2004</v>
      </c>
      <c r="B232" s="664"/>
      <c r="C232" s="665"/>
      <c r="D232" s="665"/>
      <c r="E232" s="665"/>
      <c r="F232" s="666"/>
      <c r="G232" s="666"/>
      <c r="H232" s="666"/>
      <c r="I232" s="666"/>
      <c r="J232" s="665"/>
      <c r="K232" s="665"/>
      <c r="L232" s="665"/>
      <c r="M232" s="665"/>
      <c r="N232" s="665"/>
    </row>
    <row r="233" spans="1:15" s="668" customFormat="1" ht="9" customHeight="1" x14ac:dyDescent="0.25">
      <c r="A233" s="668" t="s">
        <v>13</v>
      </c>
      <c r="C233" s="682">
        <f t="shared" ref="C233:N233" si="12">SUM(C235:C267)</f>
        <v>473417</v>
      </c>
      <c r="D233" s="682">
        <f t="shared" si="12"/>
        <v>17736</v>
      </c>
      <c r="E233" s="682">
        <f t="shared" si="12"/>
        <v>64336</v>
      </c>
      <c r="F233" s="682">
        <f t="shared" si="12"/>
        <v>75444</v>
      </c>
      <c r="G233" s="682">
        <f t="shared" si="12"/>
        <v>107752</v>
      </c>
      <c r="H233" s="682">
        <f t="shared" si="12"/>
        <v>40936</v>
      </c>
      <c r="I233" s="682">
        <f t="shared" si="12"/>
        <v>45737</v>
      </c>
      <c r="J233" s="682">
        <f t="shared" si="12"/>
        <v>13162</v>
      </c>
      <c r="K233" s="682">
        <f t="shared" si="12"/>
        <v>16502</v>
      </c>
      <c r="L233" s="682">
        <f t="shared" si="12"/>
        <v>9058</v>
      </c>
      <c r="M233" s="682">
        <f t="shared" si="12"/>
        <v>51323</v>
      </c>
      <c r="N233" s="682">
        <f t="shared" si="12"/>
        <v>31431</v>
      </c>
      <c r="O233" s="682"/>
    </row>
    <row r="234" spans="1:15" s="668" customFormat="1" ht="3.95" customHeight="1" x14ac:dyDescent="0.25">
      <c r="C234" s="682"/>
      <c r="D234" s="682"/>
      <c r="E234" s="682"/>
      <c r="F234" s="682"/>
      <c r="G234" s="682"/>
      <c r="H234" s="682"/>
      <c r="I234" s="682"/>
      <c r="J234" s="682"/>
      <c r="K234" s="682"/>
      <c r="L234" s="682"/>
      <c r="M234" s="682"/>
      <c r="N234" s="682"/>
    </row>
    <row r="235" spans="1:15" s="667" customFormat="1" ht="9" customHeight="1" x14ac:dyDescent="0.25">
      <c r="A235" s="667" t="s">
        <v>23</v>
      </c>
      <c r="C235" s="679">
        <f t="shared" ref="C235:C267" si="13">SUM(D235:N235)</f>
        <v>4242</v>
      </c>
      <c r="D235" s="679">
        <v>131</v>
      </c>
      <c r="E235" s="679">
        <v>652</v>
      </c>
      <c r="F235" s="679">
        <v>712</v>
      </c>
      <c r="G235" s="679">
        <v>863</v>
      </c>
      <c r="H235" s="679">
        <v>426</v>
      </c>
      <c r="I235" s="679">
        <v>367</v>
      </c>
      <c r="J235" s="679">
        <v>101</v>
      </c>
      <c r="K235" s="679">
        <v>176</v>
      </c>
      <c r="L235" s="679">
        <v>114</v>
      </c>
      <c r="M235" s="679">
        <v>466</v>
      </c>
      <c r="N235" s="679">
        <v>234</v>
      </c>
      <c r="O235" s="679"/>
    </row>
    <row r="236" spans="1:15" s="667" customFormat="1" ht="9" customHeight="1" x14ac:dyDescent="0.25">
      <c r="A236" s="667" t="s">
        <v>24</v>
      </c>
      <c r="C236" s="679">
        <f t="shared" si="13"/>
        <v>12422</v>
      </c>
      <c r="D236" s="679">
        <v>800</v>
      </c>
      <c r="E236" s="679">
        <v>1592</v>
      </c>
      <c r="F236" s="679">
        <v>1645</v>
      </c>
      <c r="G236" s="679">
        <v>3080</v>
      </c>
      <c r="H236" s="679">
        <v>904</v>
      </c>
      <c r="I236" s="679">
        <v>974</v>
      </c>
      <c r="J236" s="679">
        <v>276</v>
      </c>
      <c r="K236" s="679">
        <v>450</v>
      </c>
      <c r="L236" s="679">
        <v>252</v>
      </c>
      <c r="M236" s="679">
        <v>1916</v>
      </c>
      <c r="N236" s="679">
        <v>533</v>
      </c>
    </row>
    <row r="237" spans="1:15" s="667" customFormat="1" ht="9" customHeight="1" x14ac:dyDescent="0.25">
      <c r="A237" s="667" t="s">
        <v>25</v>
      </c>
      <c r="C237" s="679">
        <f t="shared" si="13"/>
        <v>1911</v>
      </c>
      <c r="D237" s="679">
        <v>80</v>
      </c>
      <c r="E237" s="679">
        <v>340</v>
      </c>
      <c r="F237" s="679">
        <v>286</v>
      </c>
      <c r="G237" s="679">
        <v>447</v>
      </c>
      <c r="H237" s="679">
        <v>137</v>
      </c>
      <c r="I237" s="679">
        <v>116</v>
      </c>
      <c r="J237" s="679">
        <v>33</v>
      </c>
      <c r="K237" s="679">
        <v>65</v>
      </c>
      <c r="L237" s="679">
        <v>50</v>
      </c>
      <c r="M237" s="679">
        <v>259</v>
      </c>
      <c r="N237" s="679">
        <v>98</v>
      </c>
    </row>
    <row r="238" spans="1:15" s="667" customFormat="1" ht="9" customHeight="1" x14ac:dyDescent="0.25">
      <c r="A238" s="671" t="s">
        <v>26</v>
      </c>
      <c r="B238" s="671"/>
      <c r="C238" s="683">
        <f t="shared" si="13"/>
        <v>2946</v>
      </c>
      <c r="D238" s="683">
        <v>110</v>
      </c>
      <c r="E238" s="683">
        <v>424</v>
      </c>
      <c r="F238" s="683">
        <v>386</v>
      </c>
      <c r="G238" s="683">
        <v>649</v>
      </c>
      <c r="H238" s="683">
        <v>263</v>
      </c>
      <c r="I238" s="683">
        <v>321</v>
      </c>
      <c r="J238" s="683">
        <v>70</v>
      </c>
      <c r="K238" s="683">
        <v>119</v>
      </c>
      <c r="L238" s="683">
        <v>65</v>
      </c>
      <c r="M238" s="683">
        <v>327</v>
      </c>
      <c r="N238" s="683">
        <v>212</v>
      </c>
    </row>
    <row r="239" spans="1:15" s="667" customFormat="1" ht="9" customHeight="1" x14ac:dyDescent="0.25">
      <c r="A239" s="667" t="s">
        <v>27</v>
      </c>
      <c r="C239" s="679">
        <f t="shared" si="13"/>
        <v>11044</v>
      </c>
      <c r="D239" s="679">
        <v>381</v>
      </c>
      <c r="E239" s="679">
        <v>1604</v>
      </c>
      <c r="F239" s="679">
        <v>2175</v>
      </c>
      <c r="G239" s="679">
        <v>2976</v>
      </c>
      <c r="H239" s="679">
        <v>774</v>
      </c>
      <c r="I239" s="679">
        <v>862</v>
      </c>
      <c r="J239" s="679">
        <v>317</v>
      </c>
      <c r="K239" s="679">
        <v>231</v>
      </c>
      <c r="L239" s="679">
        <v>140</v>
      </c>
      <c r="M239" s="679">
        <v>940</v>
      </c>
      <c r="N239" s="679">
        <v>644</v>
      </c>
    </row>
    <row r="240" spans="1:15" s="667" customFormat="1" ht="9" customHeight="1" x14ac:dyDescent="0.25">
      <c r="A240" s="667" t="s">
        <v>28</v>
      </c>
      <c r="C240" s="679">
        <f t="shared" si="13"/>
        <v>2594</v>
      </c>
      <c r="D240" s="679">
        <v>104</v>
      </c>
      <c r="E240" s="679">
        <v>437</v>
      </c>
      <c r="F240" s="679">
        <v>385</v>
      </c>
      <c r="G240" s="679">
        <v>651</v>
      </c>
      <c r="H240" s="679">
        <v>189</v>
      </c>
      <c r="I240" s="679">
        <v>221</v>
      </c>
      <c r="J240" s="679">
        <v>42</v>
      </c>
      <c r="K240" s="679">
        <v>77</v>
      </c>
      <c r="L240" s="679">
        <v>40</v>
      </c>
      <c r="M240" s="679">
        <v>287</v>
      </c>
      <c r="N240" s="679">
        <v>161</v>
      </c>
    </row>
    <row r="241" spans="1:14" s="667" customFormat="1" ht="9" customHeight="1" x14ac:dyDescent="0.25">
      <c r="A241" s="667" t="s">
        <v>29</v>
      </c>
      <c r="C241" s="679">
        <f t="shared" si="13"/>
        <v>16692</v>
      </c>
      <c r="D241" s="679">
        <v>1330</v>
      </c>
      <c r="E241" s="679">
        <v>2236</v>
      </c>
      <c r="F241" s="679">
        <v>1798</v>
      </c>
      <c r="G241" s="679">
        <v>2642</v>
      </c>
      <c r="H241" s="679">
        <v>1720</v>
      </c>
      <c r="I241" s="679">
        <v>1510</v>
      </c>
      <c r="J241" s="679">
        <v>567</v>
      </c>
      <c r="K241" s="679">
        <v>621</v>
      </c>
      <c r="L241" s="679">
        <v>292</v>
      </c>
      <c r="M241" s="679">
        <v>1967</v>
      </c>
      <c r="N241" s="679">
        <v>2009</v>
      </c>
    </row>
    <row r="242" spans="1:14" s="667" customFormat="1" ht="9" customHeight="1" x14ac:dyDescent="0.25">
      <c r="A242" s="671" t="s">
        <v>30</v>
      </c>
      <c r="B242" s="671"/>
      <c r="C242" s="683">
        <f t="shared" si="13"/>
        <v>16277</v>
      </c>
      <c r="D242" s="683">
        <v>524</v>
      </c>
      <c r="E242" s="683">
        <v>2122</v>
      </c>
      <c r="F242" s="683">
        <v>2303</v>
      </c>
      <c r="G242" s="683">
        <v>4052</v>
      </c>
      <c r="H242" s="683">
        <v>1218</v>
      </c>
      <c r="I242" s="683">
        <v>1278</v>
      </c>
      <c r="J242" s="683">
        <v>374</v>
      </c>
      <c r="K242" s="683">
        <v>462</v>
      </c>
      <c r="L242" s="683">
        <v>266</v>
      </c>
      <c r="M242" s="683">
        <v>2416</v>
      </c>
      <c r="N242" s="683">
        <v>1262</v>
      </c>
    </row>
    <row r="243" spans="1:14" s="667" customFormat="1" ht="9" customHeight="1" x14ac:dyDescent="0.25">
      <c r="A243" s="667" t="s">
        <v>171</v>
      </c>
      <c r="C243" s="679">
        <f t="shared" si="13"/>
        <v>48950</v>
      </c>
      <c r="D243" s="679">
        <v>1563</v>
      </c>
      <c r="E243" s="679">
        <v>7074</v>
      </c>
      <c r="F243" s="679">
        <v>8925</v>
      </c>
      <c r="G243" s="679">
        <v>13327</v>
      </c>
      <c r="H243" s="679">
        <v>3927</v>
      </c>
      <c r="I243" s="679">
        <v>4871</v>
      </c>
      <c r="J243" s="679">
        <v>1284</v>
      </c>
      <c r="K243" s="679">
        <v>1457</v>
      </c>
      <c r="L243" s="679">
        <v>788</v>
      </c>
      <c r="M243" s="679">
        <v>3539</v>
      </c>
      <c r="N243" s="679">
        <v>2195</v>
      </c>
    </row>
    <row r="244" spans="1:14" s="667" customFormat="1" ht="9" customHeight="1" x14ac:dyDescent="0.25">
      <c r="A244" s="667" t="s">
        <v>31</v>
      </c>
      <c r="C244" s="679">
        <f t="shared" si="13"/>
        <v>6463</v>
      </c>
      <c r="D244" s="679">
        <v>175</v>
      </c>
      <c r="E244" s="679">
        <v>883</v>
      </c>
      <c r="F244" s="679">
        <v>1005</v>
      </c>
      <c r="G244" s="679">
        <v>1678</v>
      </c>
      <c r="H244" s="679">
        <v>500</v>
      </c>
      <c r="I244" s="679">
        <v>439</v>
      </c>
      <c r="J244" s="679">
        <v>178</v>
      </c>
      <c r="K244" s="679">
        <v>211</v>
      </c>
      <c r="L244" s="679">
        <v>76</v>
      </c>
      <c r="M244" s="679">
        <v>842</v>
      </c>
      <c r="N244" s="679">
        <v>476</v>
      </c>
    </row>
    <row r="245" spans="1:14" s="667" customFormat="1" ht="9" customHeight="1" x14ac:dyDescent="0.25">
      <c r="A245" s="667" t="s">
        <v>32</v>
      </c>
      <c r="C245" s="679">
        <f t="shared" si="13"/>
        <v>22237</v>
      </c>
      <c r="D245" s="679">
        <v>593</v>
      </c>
      <c r="E245" s="679">
        <v>2695</v>
      </c>
      <c r="F245" s="679">
        <v>4152</v>
      </c>
      <c r="G245" s="679">
        <v>4910</v>
      </c>
      <c r="H245" s="679">
        <v>2136</v>
      </c>
      <c r="I245" s="679">
        <v>1914</v>
      </c>
      <c r="J245" s="679">
        <v>560</v>
      </c>
      <c r="K245" s="679">
        <v>1051</v>
      </c>
      <c r="L245" s="679">
        <v>548</v>
      </c>
      <c r="M245" s="679">
        <v>2271</v>
      </c>
      <c r="N245" s="679">
        <v>1407</v>
      </c>
    </row>
    <row r="246" spans="1:14" s="667" customFormat="1" ht="9" customHeight="1" x14ac:dyDescent="0.25">
      <c r="A246" s="671" t="s">
        <v>33</v>
      </c>
      <c r="B246" s="671"/>
      <c r="C246" s="683">
        <f t="shared" si="13"/>
        <v>11561</v>
      </c>
      <c r="D246" s="683">
        <v>648</v>
      </c>
      <c r="E246" s="683">
        <v>1494</v>
      </c>
      <c r="F246" s="683">
        <v>1692</v>
      </c>
      <c r="G246" s="683">
        <v>2269</v>
      </c>
      <c r="H246" s="683">
        <v>839</v>
      </c>
      <c r="I246" s="683">
        <v>998</v>
      </c>
      <c r="J246" s="683">
        <v>341</v>
      </c>
      <c r="K246" s="683">
        <v>378</v>
      </c>
      <c r="L246" s="683">
        <v>175</v>
      </c>
      <c r="M246" s="683">
        <v>1769</v>
      </c>
      <c r="N246" s="683">
        <v>958</v>
      </c>
    </row>
    <row r="247" spans="1:14" s="667" customFormat="1" ht="9" customHeight="1" x14ac:dyDescent="0.25">
      <c r="A247" s="667" t="s">
        <v>34</v>
      </c>
      <c r="C247" s="679">
        <f t="shared" si="13"/>
        <v>10561</v>
      </c>
      <c r="D247" s="679">
        <v>233</v>
      </c>
      <c r="E247" s="679">
        <v>1325</v>
      </c>
      <c r="F247" s="679">
        <v>1537</v>
      </c>
      <c r="G247" s="679">
        <v>2573</v>
      </c>
      <c r="H247" s="679">
        <v>814</v>
      </c>
      <c r="I247" s="679">
        <v>1445</v>
      </c>
      <c r="J247" s="679">
        <v>337</v>
      </c>
      <c r="K247" s="679">
        <v>405</v>
      </c>
      <c r="L247" s="679">
        <v>150</v>
      </c>
      <c r="M247" s="679">
        <v>1234</v>
      </c>
      <c r="N247" s="679">
        <v>508</v>
      </c>
    </row>
    <row r="248" spans="1:14" s="667" customFormat="1" ht="9" customHeight="1" x14ac:dyDescent="0.25">
      <c r="A248" s="667" t="s">
        <v>35</v>
      </c>
      <c r="C248" s="679">
        <f t="shared" si="13"/>
        <v>32380</v>
      </c>
      <c r="D248" s="679">
        <v>1140</v>
      </c>
      <c r="E248" s="679">
        <v>4708</v>
      </c>
      <c r="F248" s="679">
        <v>5245</v>
      </c>
      <c r="G248" s="679">
        <v>7313</v>
      </c>
      <c r="H248" s="679">
        <v>3354</v>
      </c>
      <c r="I248" s="679">
        <v>2842</v>
      </c>
      <c r="J248" s="679">
        <v>1040</v>
      </c>
      <c r="K248" s="679">
        <v>919</v>
      </c>
      <c r="L248" s="679">
        <v>634</v>
      </c>
      <c r="M248" s="679">
        <v>3437</v>
      </c>
      <c r="N248" s="679">
        <v>1748</v>
      </c>
    </row>
    <row r="249" spans="1:14" s="667" customFormat="1" ht="9" customHeight="1" x14ac:dyDescent="0.25">
      <c r="A249" s="667" t="s">
        <v>36</v>
      </c>
      <c r="C249" s="679">
        <f t="shared" si="13"/>
        <v>56747</v>
      </c>
      <c r="D249" s="679">
        <v>1885</v>
      </c>
      <c r="E249" s="679">
        <v>6718</v>
      </c>
      <c r="F249" s="679">
        <v>9803</v>
      </c>
      <c r="G249" s="679">
        <v>11209</v>
      </c>
      <c r="H249" s="679">
        <v>5526</v>
      </c>
      <c r="I249" s="679">
        <v>6782</v>
      </c>
      <c r="J249" s="679">
        <v>1533</v>
      </c>
      <c r="K249" s="679">
        <v>2984</v>
      </c>
      <c r="L249" s="679">
        <v>1427</v>
      </c>
      <c r="M249" s="679">
        <v>6137</v>
      </c>
      <c r="N249" s="679">
        <v>2743</v>
      </c>
    </row>
    <row r="250" spans="1:14" s="667" customFormat="1" ht="9" customHeight="1" x14ac:dyDescent="0.25">
      <c r="A250" s="671" t="s">
        <v>37</v>
      </c>
      <c r="B250" s="671"/>
      <c r="C250" s="683">
        <f t="shared" si="13"/>
        <v>19631</v>
      </c>
      <c r="D250" s="683">
        <v>541</v>
      </c>
      <c r="E250" s="683">
        <v>2682</v>
      </c>
      <c r="F250" s="683">
        <v>3192</v>
      </c>
      <c r="G250" s="683">
        <v>4507</v>
      </c>
      <c r="H250" s="683">
        <v>1788</v>
      </c>
      <c r="I250" s="683">
        <v>1658</v>
      </c>
      <c r="J250" s="683">
        <v>534</v>
      </c>
      <c r="K250" s="683">
        <v>463</v>
      </c>
      <c r="L250" s="683">
        <v>264</v>
      </c>
      <c r="M250" s="683">
        <v>2605</v>
      </c>
      <c r="N250" s="683">
        <v>1397</v>
      </c>
    </row>
    <row r="251" spans="1:14" s="667" customFormat="1" ht="9" customHeight="1" x14ac:dyDescent="0.25">
      <c r="A251" s="667" t="s">
        <v>38</v>
      </c>
      <c r="C251" s="679">
        <f t="shared" si="13"/>
        <v>7423</v>
      </c>
      <c r="D251" s="679">
        <v>250</v>
      </c>
      <c r="E251" s="679">
        <v>1116</v>
      </c>
      <c r="F251" s="679">
        <v>1287</v>
      </c>
      <c r="G251" s="679">
        <v>1485</v>
      </c>
      <c r="H251" s="679">
        <v>643</v>
      </c>
      <c r="I251" s="679">
        <v>797</v>
      </c>
      <c r="J251" s="679">
        <v>227</v>
      </c>
      <c r="K251" s="679">
        <v>211</v>
      </c>
      <c r="L251" s="679">
        <v>136</v>
      </c>
      <c r="M251" s="679">
        <v>758</v>
      </c>
      <c r="N251" s="679">
        <v>513</v>
      </c>
    </row>
    <row r="252" spans="1:14" s="667" customFormat="1" ht="9" customHeight="1" x14ac:dyDescent="0.25">
      <c r="A252" s="667" t="s">
        <v>39</v>
      </c>
      <c r="C252" s="679">
        <f t="shared" si="13"/>
        <v>4542</v>
      </c>
      <c r="D252" s="679">
        <v>185</v>
      </c>
      <c r="E252" s="679">
        <v>736</v>
      </c>
      <c r="F252" s="679">
        <v>623</v>
      </c>
      <c r="G252" s="679">
        <v>1074</v>
      </c>
      <c r="H252" s="679">
        <v>414</v>
      </c>
      <c r="I252" s="679">
        <v>317</v>
      </c>
      <c r="J252" s="679">
        <v>100</v>
      </c>
      <c r="K252" s="679">
        <v>82</v>
      </c>
      <c r="L252" s="679">
        <v>75</v>
      </c>
      <c r="M252" s="679">
        <v>626</v>
      </c>
      <c r="N252" s="679">
        <v>310</v>
      </c>
    </row>
    <row r="253" spans="1:14" s="667" customFormat="1" ht="9" customHeight="1" x14ac:dyDescent="0.25">
      <c r="A253" s="667" t="s">
        <v>40</v>
      </c>
      <c r="C253" s="679">
        <f t="shared" si="13"/>
        <v>17426</v>
      </c>
      <c r="D253" s="679">
        <v>644</v>
      </c>
      <c r="E253" s="679">
        <v>2801</v>
      </c>
      <c r="F253" s="679">
        <v>2616</v>
      </c>
      <c r="G253" s="679">
        <v>4987</v>
      </c>
      <c r="H253" s="679">
        <v>1367</v>
      </c>
      <c r="I253" s="679">
        <v>1453</v>
      </c>
      <c r="J253" s="679">
        <v>453</v>
      </c>
      <c r="K253" s="679">
        <v>403</v>
      </c>
      <c r="L253" s="679">
        <v>313</v>
      </c>
      <c r="M253" s="679">
        <v>1506</v>
      </c>
      <c r="N253" s="679">
        <v>883</v>
      </c>
    </row>
    <row r="254" spans="1:14" s="667" customFormat="1" ht="9" customHeight="1" x14ac:dyDescent="0.25">
      <c r="A254" s="671" t="s">
        <v>41</v>
      </c>
      <c r="B254" s="671"/>
      <c r="C254" s="683">
        <f t="shared" si="13"/>
        <v>17993</v>
      </c>
      <c r="D254" s="683">
        <v>889</v>
      </c>
      <c r="E254" s="683">
        <v>2198</v>
      </c>
      <c r="F254" s="683">
        <v>2492</v>
      </c>
      <c r="G254" s="683">
        <v>3516</v>
      </c>
      <c r="H254" s="683">
        <v>1516</v>
      </c>
      <c r="I254" s="683">
        <v>1811</v>
      </c>
      <c r="J254" s="683">
        <v>548</v>
      </c>
      <c r="K254" s="683">
        <v>565</v>
      </c>
      <c r="L254" s="683">
        <v>333</v>
      </c>
      <c r="M254" s="683">
        <v>2015</v>
      </c>
      <c r="N254" s="683">
        <v>2110</v>
      </c>
    </row>
    <row r="255" spans="1:14" s="667" customFormat="1" ht="9" customHeight="1" x14ac:dyDescent="0.25">
      <c r="A255" s="667" t="s">
        <v>42</v>
      </c>
      <c r="C255" s="679">
        <f t="shared" si="13"/>
        <v>27240</v>
      </c>
      <c r="D255" s="679">
        <v>936</v>
      </c>
      <c r="E255" s="679">
        <v>2905</v>
      </c>
      <c r="F255" s="679">
        <v>4511</v>
      </c>
      <c r="G255" s="679">
        <v>4978</v>
      </c>
      <c r="H255" s="679">
        <v>2425</v>
      </c>
      <c r="I255" s="679">
        <v>3540</v>
      </c>
      <c r="J255" s="679">
        <v>985</v>
      </c>
      <c r="K255" s="679">
        <v>1372</v>
      </c>
      <c r="L255" s="679">
        <v>670</v>
      </c>
      <c r="M255" s="679">
        <v>2490</v>
      </c>
      <c r="N255" s="679">
        <v>2428</v>
      </c>
    </row>
    <row r="256" spans="1:14" s="667" customFormat="1" ht="9" customHeight="1" x14ac:dyDescent="0.25">
      <c r="A256" s="667" t="s">
        <v>43</v>
      </c>
      <c r="C256" s="679">
        <f t="shared" si="13"/>
        <v>6418</v>
      </c>
      <c r="D256" s="679">
        <v>187</v>
      </c>
      <c r="E256" s="679">
        <v>756</v>
      </c>
      <c r="F256" s="679">
        <v>974</v>
      </c>
      <c r="G256" s="679">
        <v>1247</v>
      </c>
      <c r="H256" s="679">
        <v>582</v>
      </c>
      <c r="I256" s="679">
        <v>834</v>
      </c>
      <c r="J256" s="679">
        <v>171</v>
      </c>
      <c r="K256" s="679">
        <v>255</v>
      </c>
      <c r="L256" s="679">
        <v>177</v>
      </c>
      <c r="M256" s="679">
        <v>814</v>
      </c>
      <c r="N256" s="679">
        <v>421</v>
      </c>
    </row>
    <row r="257" spans="1:15" s="667" customFormat="1" ht="9" customHeight="1" x14ac:dyDescent="0.25">
      <c r="A257" s="667" t="s">
        <v>44</v>
      </c>
      <c r="C257" s="679">
        <f t="shared" si="13"/>
        <v>2950</v>
      </c>
      <c r="D257" s="679">
        <v>205</v>
      </c>
      <c r="E257" s="679">
        <v>383</v>
      </c>
      <c r="F257" s="679">
        <v>372</v>
      </c>
      <c r="G257" s="679">
        <v>437</v>
      </c>
      <c r="H257" s="679">
        <v>197</v>
      </c>
      <c r="I257" s="679">
        <v>304</v>
      </c>
      <c r="J257" s="679">
        <v>87</v>
      </c>
      <c r="K257" s="679">
        <v>160</v>
      </c>
      <c r="L257" s="679">
        <v>76</v>
      </c>
      <c r="M257" s="679">
        <v>557</v>
      </c>
      <c r="N257" s="679">
        <v>172</v>
      </c>
    </row>
    <row r="258" spans="1:15" s="667" customFormat="1" ht="9" customHeight="1" x14ac:dyDescent="0.25">
      <c r="A258" s="671" t="s">
        <v>45</v>
      </c>
      <c r="B258" s="671"/>
      <c r="C258" s="683">
        <f t="shared" si="13"/>
        <v>10910</v>
      </c>
      <c r="D258" s="683">
        <v>358</v>
      </c>
      <c r="E258" s="683">
        <v>1641</v>
      </c>
      <c r="F258" s="683">
        <v>1607</v>
      </c>
      <c r="G258" s="683">
        <v>2566</v>
      </c>
      <c r="H258" s="683">
        <v>1037</v>
      </c>
      <c r="I258" s="683">
        <v>935</v>
      </c>
      <c r="J258" s="683">
        <v>251</v>
      </c>
      <c r="K258" s="683">
        <v>320</v>
      </c>
      <c r="L258" s="683">
        <v>190</v>
      </c>
      <c r="M258" s="683">
        <v>1118</v>
      </c>
      <c r="N258" s="683">
        <v>887</v>
      </c>
    </row>
    <row r="259" spans="1:15" s="667" customFormat="1" ht="9" customHeight="1" x14ac:dyDescent="0.25">
      <c r="A259" s="667" t="s">
        <v>46</v>
      </c>
      <c r="C259" s="679">
        <f t="shared" si="13"/>
        <v>11093</v>
      </c>
      <c r="D259" s="679">
        <v>380</v>
      </c>
      <c r="E259" s="679">
        <v>1919</v>
      </c>
      <c r="F259" s="679">
        <v>1641</v>
      </c>
      <c r="G259" s="679">
        <v>2945</v>
      </c>
      <c r="H259" s="679">
        <v>865</v>
      </c>
      <c r="I259" s="679">
        <v>615</v>
      </c>
      <c r="J259" s="679">
        <v>220</v>
      </c>
      <c r="K259" s="679">
        <v>149</v>
      </c>
      <c r="L259" s="679">
        <v>124</v>
      </c>
      <c r="M259" s="679">
        <v>1541</v>
      </c>
      <c r="N259" s="679">
        <v>694</v>
      </c>
    </row>
    <row r="260" spans="1:15" s="667" customFormat="1" ht="9" customHeight="1" x14ac:dyDescent="0.25">
      <c r="A260" s="667" t="s">
        <v>47</v>
      </c>
      <c r="C260" s="679">
        <f t="shared" si="13"/>
        <v>11723</v>
      </c>
      <c r="D260" s="679">
        <v>406</v>
      </c>
      <c r="E260" s="679">
        <v>1859</v>
      </c>
      <c r="F260" s="679">
        <v>1747</v>
      </c>
      <c r="G260" s="679">
        <v>3196</v>
      </c>
      <c r="H260" s="679">
        <v>1030</v>
      </c>
      <c r="I260" s="679">
        <v>689</v>
      </c>
      <c r="J260" s="679">
        <v>248</v>
      </c>
      <c r="K260" s="679">
        <v>359</v>
      </c>
      <c r="L260" s="679">
        <v>186</v>
      </c>
      <c r="M260" s="679">
        <v>1340</v>
      </c>
      <c r="N260" s="679">
        <v>663</v>
      </c>
    </row>
    <row r="261" spans="1:15" s="667" customFormat="1" ht="9" customHeight="1" x14ac:dyDescent="0.25">
      <c r="A261" s="667" t="s">
        <v>48</v>
      </c>
      <c r="C261" s="679">
        <f t="shared" si="13"/>
        <v>8202</v>
      </c>
      <c r="D261" s="679">
        <v>362</v>
      </c>
      <c r="E261" s="679">
        <v>1113</v>
      </c>
      <c r="F261" s="679">
        <v>1339</v>
      </c>
      <c r="G261" s="679">
        <v>1695</v>
      </c>
      <c r="H261" s="679">
        <v>663</v>
      </c>
      <c r="I261" s="679">
        <v>565</v>
      </c>
      <c r="J261" s="679">
        <v>219</v>
      </c>
      <c r="K261" s="679">
        <v>345</v>
      </c>
      <c r="L261" s="679">
        <v>208</v>
      </c>
      <c r="M261" s="679">
        <v>1202</v>
      </c>
      <c r="N261" s="679">
        <v>491</v>
      </c>
    </row>
    <row r="262" spans="1:15" s="667" customFormat="1" ht="9" customHeight="1" x14ac:dyDescent="0.25">
      <c r="A262" s="671" t="s">
        <v>49</v>
      </c>
      <c r="B262" s="671"/>
      <c r="C262" s="683">
        <f t="shared" si="13"/>
        <v>12969</v>
      </c>
      <c r="D262" s="683">
        <v>442</v>
      </c>
      <c r="E262" s="683">
        <v>1972</v>
      </c>
      <c r="F262" s="683">
        <v>2186</v>
      </c>
      <c r="G262" s="683">
        <v>3337</v>
      </c>
      <c r="H262" s="683">
        <v>946</v>
      </c>
      <c r="I262" s="683">
        <v>936</v>
      </c>
      <c r="J262" s="683">
        <v>391</v>
      </c>
      <c r="K262" s="683">
        <v>410</v>
      </c>
      <c r="L262" s="683">
        <v>226</v>
      </c>
      <c r="M262" s="683">
        <v>1438</v>
      </c>
      <c r="N262" s="683">
        <v>685</v>
      </c>
    </row>
    <row r="263" spans="1:15" s="667" customFormat="1" ht="9" customHeight="1" x14ac:dyDescent="0.25">
      <c r="A263" s="667" t="s">
        <v>50</v>
      </c>
      <c r="C263" s="679">
        <f t="shared" si="13"/>
        <v>4785</v>
      </c>
      <c r="D263" s="679">
        <v>118</v>
      </c>
      <c r="E263" s="679">
        <v>548</v>
      </c>
      <c r="F263" s="679">
        <v>874</v>
      </c>
      <c r="G263" s="679">
        <v>865</v>
      </c>
      <c r="H263" s="679">
        <v>447</v>
      </c>
      <c r="I263" s="679">
        <v>552</v>
      </c>
      <c r="J263" s="679">
        <v>208</v>
      </c>
      <c r="K263" s="679">
        <v>236</v>
      </c>
      <c r="L263" s="679">
        <v>105</v>
      </c>
      <c r="M263" s="679">
        <v>463</v>
      </c>
      <c r="N263" s="679">
        <v>369</v>
      </c>
    </row>
    <row r="264" spans="1:15" s="667" customFormat="1" ht="9" customHeight="1" x14ac:dyDescent="0.25">
      <c r="A264" s="667" t="s">
        <v>51</v>
      </c>
      <c r="C264" s="679">
        <f t="shared" si="13"/>
        <v>36413</v>
      </c>
      <c r="D264" s="679">
        <v>1613</v>
      </c>
      <c r="E264" s="679">
        <v>5150</v>
      </c>
      <c r="F264" s="679">
        <v>5704</v>
      </c>
      <c r="G264" s="679">
        <v>8282</v>
      </c>
      <c r="H264" s="679">
        <v>2891</v>
      </c>
      <c r="I264" s="679">
        <v>4118</v>
      </c>
      <c r="J264" s="679">
        <v>1052</v>
      </c>
      <c r="K264" s="679">
        <v>1040</v>
      </c>
      <c r="L264" s="679">
        <v>667</v>
      </c>
      <c r="M264" s="679">
        <v>2993</v>
      </c>
      <c r="N264" s="679">
        <v>2903</v>
      </c>
    </row>
    <row r="265" spans="1:15" s="673" customFormat="1" ht="9" customHeight="1" x14ac:dyDescent="0.25">
      <c r="A265" s="673" t="s">
        <v>52</v>
      </c>
      <c r="C265" s="684">
        <f t="shared" si="13"/>
        <v>8625</v>
      </c>
      <c r="D265" s="684">
        <v>354</v>
      </c>
      <c r="E265" s="684">
        <v>1147</v>
      </c>
      <c r="F265" s="684">
        <v>1177</v>
      </c>
      <c r="G265" s="684">
        <v>2030</v>
      </c>
      <c r="H265" s="684">
        <v>722</v>
      </c>
      <c r="I265" s="684">
        <v>1058</v>
      </c>
      <c r="J265" s="684">
        <v>243</v>
      </c>
      <c r="K265" s="684">
        <v>252</v>
      </c>
      <c r="L265" s="684">
        <v>176</v>
      </c>
      <c r="M265" s="684">
        <v>712</v>
      </c>
      <c r="N265" s="684">
        <v>754</v>
      </c>
    </row>
    <row r="266" spans="1:15" s="667" customFormat="1" ht="9" customHeight="1" x14ac:dyDescent="0.25">
      <c r="A266" s="671" t="s">
        <v>53</v>
      </c>
      <c r="B266" s="671"/>
      <c r="C266" s="683">
        <f t="shared" si="13"/>
        <v>6903</v>
      </c>
      <c r="D266" s="683">
        <v>151</v>
      </c>
      <c r="E266" s="683">
        <v>972</v>
      </c>
      <c r="F266" s="683">
        <v>995</v>
      </c>
      <c r="G266" s="683">
        <v>1671</v>
      </c>
      <c r="H266" s="683">
        <v>639</v>
      </c>
      <c r="I266" s="683">
        <v>565</v>
      </c>
      <c r="J266" s="683">
        <v>161</v>
      </c>
      <c r="K266" s="683">
        <v>273</v>
      </c>
      <c r="L266" s="683">
        <v>114</v>
      </c>
      <c r="M266" s="683">
        <v>832</v>
      </c>
      <c r="N266" s="683">
        <v>530</v>
      </c>
    </row>
    <row r="267" spans="1:15" s="667" customFormat="1" ht="9" customHeight="1" x14ac:dyDescent="0.25">
      <c r="A267" s="664" t="s">
        <v>434</v>
      </c>
      <c r="B267" s="664"/>
      <c r="C267" s="679">
        <f t="shared" si="13"/>
        <v>1144</v>
      </c>
      <c r="D267" s="679">
        <v>18</v>
      </c>
      <c r="E267" s="679">
        <v>134</v>
      </c>
      <c r="F267" s="679">
        <v>58</v>
      </c>
      <c r="G267" s="679">
        <v>295</v>
      </c>
      <c r="H267" s="679">
        <v>37</v>
      </c>
      <c r="I267" s="679">
        <v>50</v>
      </c>
      <c r="J267" s="679">
        <v>11</v>
      </c>
      <c r="K267" s="679">
        <v>1</v>
      </c>
      <c r="L267" s="679">
        <v>1</v>
      </c>
      <c r="M267" s="679">
        <v>506</v>
      </c>
      <c r="N267" s="679">
        <v>33</v>
      </c>
    </row>
    <row r="268" spans="1:15" s="667" customFormat="1" ht="9" customHeight="1" x14ac:dyDescent="0.25">
      <c r="A268" s="664"/>
      <c r="B268" s="664"/>
      <c r="C268" s="679"/>
      <c r="D268" s="679"/>
      <c r="E268" s="679"/>
      <c r="F268" s="679"/>
      <c r="G268" s="679"/>
      <c r="H268" s="679"/>
      <c r="I268" s="679"/>
      <c r="J268" s="679"/>
      <c r="K268" s="679"/>
      <c r="L268" s="679"/>
      <c r="M268" s="679"/>
      <c r="N268" s="679"/>
    </row>
    <row r="269" spans="1:15" s="667" customFormat="1" ht="9" customHeight="1" x14ac:dyDescent="0.15">
      <c r="A269" s="686">
        <v>2005</v>
      </c>
      <c r="B269" s="664"/>
      <c r="C269" s="665"/>
      <c r="D269" s="665"/>
      <c r="E269" s="665"/>
      <c r="F269" s="666"/>
      <c r="G269" s="666"/>
      <c r="H269" s="666"/>
      <c r="I269" s="666"/>
      <c r="J269" s="665"/>
      <c r="K269" s="665"/>
      <c r="L269" s="665"/>
      <c r="M269" s="665"/>
      <c r="N269" s="665"/>
    </row>
    <row r="270" spans="1:15" s="668" customFormat="1" ht="9" customHeight="1" x14ac:dyDescent="0.25">
      <c r="A270" s="668" t="s">
        <v>13</v>
      </c>
      <c r="C270" s="682">
        <f t="shared" ref="C270:N270" si="14">SUM(C272:C304)</f>
        <v>495240</v>
      </c>
      <c r="D270" s="682">
        <f t="shared" si="14"/>
        <v>18233</v>
      </c>
      <c r="E270" s="682">
        <f t="shared" si="14"/>
        <v>66464</v>
      </c>
      <c r="F270" s="682">
        <f t="shared" si="14"/>
        <v>81134</v>
      </c>
      <c r="G270" s="682">
        <f t="shared" si="14"/>
        <v>112025</v>
      </c>
      <c r="H270" s="682">
        <f t="shared" si="14"/>
        <v>43361</v>
      </c>
      <c r="I270" s="682">
        <f t="shared" si="14"/>
        <v>47691</v>
      </c>
      <c r="J270" s="682">
        <f t="shared" si="14"/>
        <v>14262</v>
      </c>
      <c r="K270" s="682">
        <f t="shared" si="14"/>
        <v>16449</v>
      </c>
      <c r="L270" s="682">
        <f t="shared" si="14"/>
        <v>9255</v>
      </c>
      <c r="M270" s="682">
        <f t="shared" si="14"/>
        <v>53110</v>
      </c>
      <c r="N270" s="682">
        <f t="shared" si="14"/>
        <v>33256</v>
      </c>
      <c r="O270" s="682"/>
    </row>
    <row r="271" spans="1:15" s="668" customFormat="1" ht="3.95" customHeight="1" x14ac:dyDescent="0.25">
      <c r="C271" s="682"/>
      <c r="D271" s="682"/>
      <c r="E271" s="682"/>
      <c r="F271" s="682"/>
      <c r="G271" s="682"/>
      <c r="H271" s="682"/>
      <c r="I271" s="682"/>
      <c r="J271" s="682"/>
      <c r="K271" s="682"/>
      <c r="L271" s="682"/>
      <c r="M271" s="682"/>
      <c r="N271" s="682"/>
    </row>
    <row r="272" spans="1:15" s="667" customFormat="1" ht="9" customHeight="1" x14ac:dyDescent="0.25">
      <c r="A272" s="667" t="s">
        <v>23</v>
      </c>
      <c r="C272" s="679">
        <f t="shared" ref="C272:C304" si="15">SUM(D272:N272)</f>
        <v>4431</v>
      </c>
      <c r="D272" s="679">
        <v>140</v>
      </c>
      <c r="E272" s="679">
        <v>657</v>
      </c>
      <c r="F272" s="679">
        <v>743</v>
      </c>
      <c r="G272" s="679">
        <v>879</v>
      </c>
      <c r="H272" s="679">
        <v>492</v>
      </c>
      <c r="I272" s="679">
        <v>368</v>
      </c>
      <c r="J272" s="679">
        <v>130</v>
      </c>
      <c r="K272" s="679">
        <v>146</v>
      </c>
      <c r="L272" s="679">
        <v>113</v>
      </c>
      <c r="M272" s="679">
        <v>493</v>
      </c>
      <c r="N272" s="679">
        <v>270</v>
      </c>
      <c r="O272" s="679"/>
    </row>
    <row r="273" spans="1:14" s="667" customFormat="1" ht="9" customHeight="1" x14ac:dyDescent="0.25">
      <c r="A273" s="667" t="s">
        <v>24</v>
      </c>
      <c r="C273" s="679">
        <f t="shared" si="15"/>
        <v>12695</v>
      </c>
      <c r="D273" s="679">
        <v>847</v>
      </c>
      <c r="E273" s="679">
        <v>1684</v>
      </c>
      <c r="F273" s="679">
        <v>1737</v>
      </c>
      <c r="G273" s="679">
        <v>3101</v>
      </c>
      <c r="H273" s="679">
        <v>931</v>
      </c>
      <c r="I273" s="679">
        <v>916</v>
      </c>
      <c r="J273" s="679">
        <v>292</v>
      </c>
      <c r="K273" s="679">
        <v>395</v>
      </c>
      <c r="L273" s="679">
        <v>261</v>
      </c>
      <c r="M273" s="679">
        <v>1973</v>
      </c>
      <c r="N273" s="679">
        <v>558</v>
      </c>
    </row>
    <row r="274" spans="1:14" s="667" customFormat="1" ht="9" customHeight="1" x14ac:dyDescent="0.25">
      <c r="A274" s="667" t="s">
        <v>25</v>
      </c>
      <c r="C274" s="679">
        <f t="shared" si="15"/>
        <v>2092</v>
      </c>
      <c r="D274" s="679">
        <v>90</v>
      </c>
      <c r="E274" s="679">
        <v>350</v>
      </c>
      <c r="F274" s="679">
        <v>263</v>
      </c>
      <c r="G274" s="679">
        <v>464</v>
      </c>
      <c r="H274" s="679">
        <v>156</v>
      </c>
      <c r="I274" s="679">
        <v>162</v>
      </c>
      <c r="J274" s="679">
        <v>49</v>
      </c>
      <c r="K274" s="679">
        <v>79</v>
      </c>
      <c r="L274" s="679">
        <v>46</v>
      </c>
      <c r="M274" s="679">
        <v>329</v>
      </c>
      <c r="N274" s="679">
        <v>104</v>
      </c>
    </row>
    <row r="275" spans="1:14" s="667" customFormat="1" ht="9" customHeight="1" x14ac:dyDescent="0.25">
      <c r="A275" s="671" t="s">
        <v>26</v>
      </c>
      <c r="B275" s="671"/>
      <c r="C275" s="683">
        <f t="shared" si="15"/>
        <v>3019</v>
      </c>
      <c r="D275" s="683">
        <v>102</v>
      </c>
      <c r="E275" s="683">
        <v>421</v>
      </c>
      <c r="F275" s="683">
        <v>406</v>
      </c>
      <c r="G275" s="683">
        <v>696</v>
      </c>
      <c r="H275" s="683">
        <v>270</v>
      </c>
      <c r="I275" s="683">
        <v>289</v>
      </c>
      <c r="J275" s="683">
        <v>84</v>
      </c>
      <c r="K275" s="683">
        <v>91</v>
      </c>
      <c r="L275" s="683">
        <v>58</v>
      </c>
      <c r="M275" s="683">
        <v>365</v>
      </c>
      <c r="N275" s="683">
        <v>237</v>
      </c>
    </row>
    <row r="276" spans="1:14" s="667" customFormat="1" ht="9" customHeight="1" x14ac:dyDescent="0.25">
      <c r="A276" s="667" t="s">
        <v>27</v>
      </c>
      <c r="C276" s="679">
        <f t="shared" si="15"/>
        <v>12377</v>
      </c>
      <c r="D276" s="679">
        <v>360</v>
      </c>
      <c r="E276" s="679">
        <v>1754</v>
      </c>
      <c r="F276" s="679">
        <v>2504</v>
      </c>
      <c r="G276" s="679">
        <v>3278</v>
      </c>
      <c r="H276" s="679">
        <v>842</v>
      </c>
      <c r="I276" s="679">
        <v>951</v>
      </c>
      <c r="J276" s="679">
        <v>359</v>
      </c>
      <c r="K276" s="679">
        <v>258</v>
      </c>
      <c r="L276" s="679">
        <v>149</v>
      </c>
      <c r="M276" s="679">
        <v>1116</v>
      </c>
      <c r="N276" s="679">
        <v>806</v>
      </c>
    </row>
    <row r="277" spans="1:14" s="667" customFormat="1" ht="9" customHeight="1" x14ac:dyDescent="0.25">
      <c r="A277" s="667" t="s">
        <v>28</v>
      </c>
      <c r="C277" s="679">
        <f t="shared" si="15"/>
        <v>2759</v>
      </c>
      <c r="D277" s="679">
        <v>93</v>
      </c>
      <c r="E277" s="679">
        <v>416</v>
      </c>
      <c r="F277" s="679">
        <v>453</v>
      </c>
      <c r="G277" s="679">
        <v>618</v>
      </c>
      <c r="H277" s="679">
        <v>276</v>
      </c>
      <c r="I277" s="679">
        <v>267</v>
      </c>
      <c r="J277" s="679">
        <v>62</v>
      </c>
      <c r="K277" s="679">
        <v>95</v>
      </c>
      <c r="L277" s="679">
        <v>43</v>
      </c>
      <c r="M277" s="679">
        <v>269</v>
      </c>
      <c r="N277" s="679">
        <v>167</v>
      </c>
    </row>
    <row r="278" spans="1:14" s="667" customFormat="1" ht="9" customHeight="1" x14ac:dyDescent="0.25">
      <c r="A278" s="667" t="s">
        <v>29</v>
      </c>
      <c r="C278" s="679">
        <f t="shared" si="15"/>
        <v>17411</v>
      </c>
      <c r="D278" s="679">
        <v>1357</v>
      </c>
      <c r="E278" s="679">
        <v>2203</v>
      </c>
      <c r="F278" s="679">
        <v>2108</v>
      </c>
      <c r="G278" s="679">
        <v>2711</v>
      </c>
      <c r="H278" s="679">
        <v>1601</v>
      </c>
      <c r="I278" s="679">
        <v>1742</v>
      </c>
      <c r="J278" s="679">
        <v>551</v>
      </c>
      <c r="K278" s="679">
        <v>590</v>
      </c>
      <c r="L278" s="679">
        <v>313</v>
      </c>
      <c r="M278" s="679">
        <v>2125</v>
      </c>
      <c r="N278" s="679">
        <v>2110</v>
      </c>
    </row>
    <row r="279" spans="1:14" s="667" customFormat="1" ht="9" customHeight="1" x14ac:dyDescent="0.25">
      <c r="A279" s="671" t="s">
        <v>30</v>
      </c>
      <c r="B279" s="671"/>
      <c r="C279" s="683">
        <f t="shared" si="15"/>
        <v>17239</v>
      </c>
      <c r="D279" s="683">
        <v>543</v>
      </c>
      <c r="E279" s="683">
        <v>2270</v>
      </c>
      <c r="F279" s="683">
        <v>2587</v>
      </c>
      <c r="G279" s="683">
        <v>4358</v>
      </c>
      <c r="H279" s="683">
        <v>1324</v>
      </c>
      <c r="I279" s="683">
        <v>1269</v>
      </c>
      <c r="J279" s="683">
        <v>453</v>
      </c>
      <c r="K279" s="683">
        <v>515</v>
      </c>
      <c r="L279" s="683">
        <v>288</v>
      </c>
      <c r="M279" s="683">
        <v>2424</v>
      </c>
      <c r="N279" s="683">
        <v>1208</v>
      </c>
    </row>
    <row r="280" spans="1:14" s="667" customFormat="1" ht="9" customHeight="1" x14ac:dyDescent="0.25">
      <c r="A280" s="667" t="s">
        <v>171</v>
      </c>
      <c r="C280" s="679">
        <f t="shared" si="15"/>
        <v>49882</v>
      </c>
      <c r="D280" s="679">
        <v>1581</v>
      </c>
      <c r="E280" s="679">
        <v>7079</v>
      </c>
      <c r="F280" s="679">
        <v>9320</v>
      </c>
      <c r="G280" s="679">
        <v>13294</v>
      </c>
      <c r="H280" s="679">
        <v>4086</v>
      </c>
      <c r="I280" s="679">
        <v>4981</v>
      </c>
      <c r="J280" s="679">
        <v>1448</v>
      </c>
      <c r="K280" s="679">
        <v>1394</v>
      </c>
      <c r="L280" s="679">
        <v>761</v>
      </c>
      <c r="M280" s="679">
        <v>3617</v>
      </c>
      <c r="N280" s="679">
        <v>2321</v>
      </c>
    </row>
    <row r="281" spans="1:14" s="667" customFormat="1" ht="9" customHeight="1" x14ac:dyDescent="0.25">
      <c r="A281" s="667" t="s">
        <v>31</v>
      </c>
      <c r="C281" s="679">
        <f t="shared" si="15"/>
        <v>7440</v>
      </c>
      <c r="D281" s="679">
        <v>209</v>
      </c>
      <c r="E281" s="679">
        <v>1034</v>
      </c>
      <c r="F281" s="679">
        <v>1250</v>
      </c>
      <c r="G281" s="679">
        <v>1830</v>
      </c>
      <c r="H281" s="679">
        <v>577</v>
      </c>
      <c r="I281" s="679">
        <v>515</v>
      </c>
      <c r="J281" s="679">
        <v>206</v>
      </c>
      <c r="K281" s="679">
        <v>241</v>
      </c>
      <c r="L281" s="679">
        <v>107</v>
      </c>
      <c r="M281" s="679">
        <v>886</v>
      </c>
      <c r="N281" s="679">
        <v>585</v>
      </c>
    </row>
    <row r="282" spans="1:14" s="667" customFormat="1" ht="9" customHeight="1" x14ac:dyDescent="0.25">
      <c r="A282" s="667" t="s">
        <v>32</v>
      </c>
      <c r="C282" s="679">
        <f t="shared" si="15"/>
        <v>23402</v>
      </c>
      <c r="D282" s="679">
        <v>635</v>
      </c>
      <c r="E282" s="679">
        <v>2787</v>
      </c>
      <c r="F282" s="679">
        <v>4418</v>
      </c>
      <c r="G282" s="679">
        <v>5164</v>
      </c>
      <c r="H282" s="679">
        <v>2368</v>
      </c>
      <c r="I282" s="679">
        <v>2094</v>
      </c>
      <c r="J282" s="679">
        <v>611</v>
      </c>
      <c r="K282" s="679">
        <v>970</v>
      </c>
      <c r="L282" s="679">
        <v>540</v>
      </c>
      <c r="M282" s="679">
        <v>2379</v>
      </c>
      <c r="N282" s="679">
        <v>1436</v>
      </c>
    </row>
    <row r="283" spans="1:14" s="667" customFormat="1" ht="9" customHeight="1" x14ac:dyDescent="0.25">
      <c r="A283" s="671" t="s">
        <v>33</v>
      </c>
      <c r="B283" s="671"/>
      <c r="C283" s="683">
        <f t="shared" si="15"/>
        <v>11651</v>
      </c>
      <c r="D283" s="683">
        <v>592</v>
      </c>
      <c r="E283" s="683">
        <v>1511</v>
      </c>
      <c r="F283" s="683">
        <v>1885</v>
      </c>
      <c r="G283" s="683">
        <v>2294</v>
      </c>
      <c r="H283" s="683">
        <v>880</v>
      </c>
      <c r="I283" s="683">
        <v>988</v>
      </c>
      <c r="J283" s="683">
        <v>354</v>
      </c>
      <c r="K283" s="683">
        <v>388</v>
      </c>
      <c r="L283" s="683">
        <v>166</v>
      </c>
      <c r="M283" s="683">
        <v>1720</v>
      </c>
      <c r="N283" s="683">
        <v>873</v>
      </c>
    </row>
    <row r="284" spans="1:14" s="667" customFormat="1" ht="9" customHeight="1" x14ac:dyDescent="0.25">
      <c r="A284" s="667" t="s">
        <v>34</v>
      </c>
      <c r="C284" s="679">
        <f t="shared" si="15"/>
        <v>10955</v>
      </c>
      <c r="D284" s="679">
        <v>243</v>
      </c>
      <c r="E284" s="679">
        <v>1423</v>
      </c>
      <c r="F284" s="679">
        <v>1698</v>
      </c>
      <c r="G284" s="679">
        <v>2574</v>
      </c>
      <c r="H284" s="679">
        <v>930</v>
      </c>
      <c r="I284" s="679">
        <v>1485</v>
      </c>
      <c r="J284" s="679">
        <v>356</v>
      </c>
      <c r="K284" s="679">
        <v>416</v>
      </c>
      <c r="L284" s="679">
        <v>158</v>
      </c>
      <c r="M284" s="679">
        <v>1110</v>
      </c>
      <c r="N284" s="679">
        <v>562</v>
      </c>
    </row>
    <row r="285" spans="1:14" s="667" customFormat="1" ht="9" customHeight="1" x14ac:dyDescent="0.25">
      <c r="A285" s="667" t="s">
        <v>35</v>
      </c>
      <c r="C285" s="679">
        <f t="shared" si="15"/>
        <v>34117</v>
      </c>
      <c r="D285" s="679">
        <v>1195</v>
      </c>
      <c r="E285" s="679">
        <v>4914</v>
      </c>
      <c r="F285" s="679">
        <v>5704</v>
      </c>
      <c r="G285" s="679">
        <v>7803</v>
      </c>
      <c r="H285" s="679">
        <v>3741</v>
      </c>
      <c r="I285" s="679">
        <v>2940</v>
      </c>
      <c r="J285" s="679">
        <v>1063</v>
      </c>
      <c r="K285" s="679">
        <v>906</v>
      </c>
      <c r="L285" s="679">
        <v>589</v>
      </c>
      <c r="M285" s="679">
        <v>3386</v>
      </c>
      <c r="N285" s="679">
        <v>1876</v>
      </c>
    </row>
    <row r="286" spans="1:14" s="667" customFormat="1" ht="9" customHeight="1" x14ac:dyDescent="0.25">
      <c r="A286" s="667" t="s">
        <v>36</v>
      </c>
      <c r="C286" s="679">
        <f t="shared" si="15"/>
        <v>58896</v>
      </c>
      <c r="D286" s="679">
        <v>1869</v>
      </c>
      <c r="E286" s="679">
        <v>7064</v>
      </c>
      <c r="F286" s="679">
        <v>10421</v>
      </c>
      <c r="G286" s="679">
        <v>11378</v>
      </c>
      <c r="H286" s="679">
        <v>5896</v>
      </c>
      <c r="I286" s="679">
        <v>7110</v>
      </c>
      <c r="J286" s="679">
        <v>1640</v>
      </c>
      <c r="K286" s="679">
        <v>2865</v>
      </c>
      <c r="L286" s="679">
        <v>1482</v>
      </c>
      <c r="M286" s="679">
        <v>6327</v>
      </c>
      <c r="N286" s="679">
        <v>2844</v>
      </c>
    </row>
    <row r="287" spans="1:14" s="667" customFormat="1" ht="9" customHeight="1" x14ac:dyDescent="0.25">
      <c r="A287" s="671" t="s">
        <v>37</v>
      </c>
      <c r="B287" s="671"/>
      <c r="C287" s="683">
        <f t="shared" si="15"/>
        <v>20514</v>
      </c>
      <c r="D287" s="683">
        <v>557</v>
      </c>
      <c r="E287" s="683">
        <v>2734</v>
      </c>
      <c r="F287" s="683">
        <v>3526</v>
      </c>
      <c r="G287" s="683">
        <v>4513</v>
      </c>
      <c r="H287" s="683">
        <v>1785</v>
      </c>
      <c r="I287" s="683">
        <v>1601</v>
      </c>
      <c r="J287" s="683">
        <v>583</v>
      </c>
      <c r="K287" s="683">
        <v>539</v>
      </c>
      <c r="L287" s="683">
        <v>323</v>
      </c>
      <c r="M287" s="683">
        <v>2874</v>
      </c>
      <c r="N287" s="683">
        <v>1479</v>
      </c>
    </row>
    <row r="288" spans="1:14" s="667" customFormat="1" ht="9" customHeight="1" x14ac:dyDescent="0.25">
      <c r="A288" s="667" t="s">
        <v>38</v>
      </c>
      <c r="C288" s="679">
        <f t="shared" si="15"/>
        <v>7823</v>
      </c>
      <c r="D288" s="679">
        <v>279</v>
      </c>
      <c r="E288" s="679">
        <v>1119</v>
      </c>
      <c r="F288" s="679">
        <v>1327</v>
      </c>
      <c r="G288" s="679">
        <v>1607</v>
      </c>
      <c r="H288" s="679">
        <v>710</v>
      </c>
      <c r="I288" s="679">
        <v>821</v>
      </c>
      <c r="J288" s="679">
        <v>263</v>
      </c>
      <c r="K288" s="679">
        <v>227</v>
      </c>
      <c r="L288" s="679">
        <v>135</v>
      </c>
      <c r="M288" s="679">
        <v>813</v>
      </c>
      <c r="N288" s="679">
        <v>522</v>
      </c>
    </row>
    <row r="289" spans="1:14" s="667" customFormat="1" ht="9" customHeight="1" x14ac:dyDescent="0.25">
      <c r="A289" s="667" t="s">
        <v>39</v>
      </c>
      <c r="C289" s="679">
        <f t="shared" si="15"/>
        <v>4808</v>
      </c>
      <c r="D289" s="679">
        <v>193</v>
      </c>
      <c r="E289" s="679">
        <v>763</v>
      </c>
      <c r="F289" s="679">
        <v>669</v>
      </c>
      <c r="G289" s="679">
        <v>1165</v>
      </c>
      <c r="H289" s="679">
        <v>445</v>
      </c>
      <c r="I289" s="679">
        <v>349</v>
      </c>
      <c r="J289" s="679">
        <v>127</v>
      </c>
      <c r="K289" s="679">
        <v>75</v>
      </c>
      <c r="L289" s="679">
        <v>58</v>
      </c>
      <c r="M289" s="679">
        <v>644</v>
      </c>
      <c r="N289" s="679">
        <v>320</v>
      </c>
    </row>
    <row r="290" spans="1:14" s="667" customFormat="1" ht="9" customHeight="1" x14ac:dyDescent="0.25">
      <c r="A290" s="667" t="s">
        <v>40</v>
      </c>
      <c r="C290" s="679">
        <f t="shared" si="15"/>
        <v>19259</v>
      </c>
      <c r="D290" s="679">
        <v>652</v>
      </c>
      <c r="E290" s="679">
        <v>2975</v>
      </c>
      <c r="F290" s="679">
        <v>2913</v>
      </c>
      <c r="G290" s="679">
        <v>5403</v>
      </c>
      <c r="H290" s="679">
        <v>1668</v>
      </c>
      <c r="I290" s="679">
        <v>1558</v>
      </c>
      <c r="J290" s="679">
        <v>500</v>
      </c>
      <c r="K290" s="679">
        <v>425</v>
      </c>
      <c r="L290" s="679">
        <v>322</v>
      </c>
      <c r="M290" s="679">
        <v>1689</v>
      </c>
      <c r="N290" s="679">
        <v>1154</v>
      </c>
    </row>
    <row r="291" spans="1:14" s="667" customFormat="1" ht="9" customHeight="1" x14ac:dyDescent="0.25">
      <c r="A291" s="671" t="s">
        <v>41</v>
      </c>
      <c r="B291" s="671"/>
      <c r="C291" s="683">
        <f t="shared" si="15"/>
        <v>18908</v>
      </c>
      <c r="D291" s="683">
        <v>914</v>
      </c>
      <c r="E291" s="683">
        <v>2374</v>
      </c>
      <c r="F291" s="683">
        <v>2677</v>
      </c>
      <c r="G291" s="683">
        <v>3833</v>
      </c>
      <c r="H291" s="683">
        <v>1343</v>
      </c>
      <c r="I291" s="683">
        <v>1993</v>
      </c>
      <c r="J291" s="683">
        <v>599</v>
      </c>
      <c r="K291" s="683">
        <v>488</v>
      </c>
      <c r="L291" s="683">
        <v>355</v>
      </c>
      <c r="M291" s="683">
        <v>2104</v>
      </c>
      <c r="N291" s="683">
        <v>2228</v>
      </c>
    </row>
    <row r="292" spans="1:14" s="667" customFormat="1" ht="9" customHeight="1" x14ac:dyDescent="0.25">
      <c r="A292" s="667" t="s">
        <v>42</v>
      </c>
      <c r="C292" s="679">
        <f t="shared" si="15"/>
        <v>28165</v>
      </c>
      <c r="D292" s="679">
        <v>912</v>
      </c>
      <c r="E292" s="679">
        <v>2943</v>
      </c>
      <c r="F292" s="679">
        <v>5053</v>
      </c>
      <c r="G292" s="679">
        <v>5139</v>
      </c>
      <c r="H292" s="679">
        <v>2397</v>
      </c>
      <c r="I292" s="679">
        <v>3611</v>
      </c>
      <c r="J292" s="679">
        <v>976</v>
      </c>
      <c r="K292" s="679">
        <v>1513</v>
      </c>
      <c r="L292" s="679">
        <v>670</v>
      </c>
      <c r="M292" s="679">
        <v>2462</v>
      </c>
      <c r="N292" s="679">
        <v>2489</v>
      </c>
    </row>
    <row r="293" spans="1:14" s="667" customFormat="1" ht="9" customHeight="1" x14ac:dyDescent="0.25">
      <c r="A293" s="667" t="s">
        <v>43</v>
      </c>
      <c r="C293" s="679">
        <f t="shared" si="15"/>
        <v>6678</v>
      </c>
      <c r="D293" s="679">
        <v>199</v>
      </c>
      <c r="E293" s="679">
        <v>867</v>
      </c>
      <c r="F293" s="679">
        <v>1034</v>
      </c>
      <c r="G293" s="679">
        <v>1401</v>
      </c>
      <c r="H293" s="679">
        <v>522</v>
      </c>
      <c r="I293" s="679">
        <v>859</v>
      </c>
      <c r="J293" s="679">
        <v>155</v>
      </c>
      <c r="K293" s="679">
        <v>261</v>
      </c>
      <c r="L293" s="679">
        <v>176</v>
      </c>
      <c r="M293" s="679">
        <v>765</v>
      </c>
      <c r="N293" s="679">
        <v>439</v>
      </c>
    </row>
    <row r="294" spans="1:14" s="667" customFormat="1" ht="9" customHeight="1" x14ac:dyDescent="0.25">
      <c r="A294" s="667" t="s">
        <v>44</v>
      </c>
      <c r="C294" s="679">
        <f t="shared" si="15"/>
        <v>3206</v>
      </c>
      <c r="D294" s="679">
        <v>195</v>
      </c>
      <c r="E294" s="679">
        <v>399</v>
      </c>
      <c r="F294" s="679">
        <v>392</v>
      </c>
      <c r="G294" s="679">
        <v>466</v>
      </c>
      <c r="H294" s="679">
        <v>249</v>
      </c>
      <c r="I294" s="679">
        <v>331</v>
      </c>
      <c r="J294" s="679">
        <v>79</v>
      </c>
      <c r="K294" s="679">
        <v>183</v>
      </c>
      <c r="L294" s="679">
        <v>100</v>
      </c>
      <c r="M294" s="679">
        <v>610</v>
      </c>
      <c r="N294" s="679">
        <v>202</v>
      </c>
    </row>
    <row r="295" spans="1:14" s="667" customFormat="1" ht="9" customHeight="1" x14ac:dyDescent="0.25">
      <c r="A295" s="671" t="s">
        <v>45</v>
      </c>
      <c r="B295" s="671"/>
      <c r="C295" s="683">
        <f t="shared" si="15"/>
        <v>11253</v>
      </c>
      <c r="D295" s="683">
        <v>401</v>
      </c>
      <c r="E295" s="683">
        <v>1548</v>
      </c>
      <c r="F295" s="683">
        <v>1672</v>
      </c>
      <c r="G295" s="683">
        <v>2701</v>
      </c>
      <c r="H295" s="683">
        <v>1085</v>
      </c>
      <c r="I295" s="683">
        <v>930</v>
      </c>
      <c r="J295" s="683">
        <v>301</v>
      </c>
      <c r="K295" s="683">
        <v>301</v>
      </c>
      <c r="L295" s="683">
        <v>214</v>
      </c>
      <c r="M295" s="683">
        <v>1145</v>
      </c>
      <c r="N295" s="683">
        <v>955</v>
      </c>
    </row>
    <row r="296" spans="1:14" s="667" customFormat="1" ht="9" customHeight="1" x14ac:dyDescent="0.25">
      <c r="A296" s="667" t="s">
        <v>46</v>
      </c>
      <c r="C296" s="679">
        <f t="shared" si="15"/>
        <v>11584</v>
      </c>
      <c r="D296" s="679">
        <v>387</v>
      </c>
      <c r="E296" s="679">
        <v>1941</v>
      </c>
      <c r="F296" s="679">
        <v>1666</v>
      </c>
      <c r="G296" s="679">
        <v>3015</v>
      </c>
      <c r="H296" s="679">
        <v>925</v>
      </c>
      <c r="I296" s="679">
        <v>644</v>
      </c>
      <c r="J296" s="679">
        <v>262</v>
      </c>
      <c r="K296" s="679">
        <v>217</v>
      </c>
      <c r="L296" s="679">
        <v>145</v>
      </c>
      <c r="M296" s="679">
        <v>1659</v>
      </c>
      <c r="N296" s="679">
        <v>723</v>
      </c>
    </row>
    <row r="297" spans="1:14" s="667" customFormat="1" ht="9" customHeight="1" x14ac:dyDescent="0.25">
      <c r="A297" s="667" t="s">
        <v>47</v>
      </c>
      <c r="C297" s="679">
        <f t="shared" si="15"/>
        <v>12401</v>
      </c>
      <c r="D297" s="679">
        <v>468</v>
      </c>
      <c r="E297" s="679">
        <v>1944</v>
      </c>
      <c r="F297" s="679">
        <v>1798</v>
      </c>
      <c r="G297" s="679">
        <v>3272</v>
      </c>
      <c r="H297" s="679">
        <v>1107</v>
      </c>
      <c r="I297" s="679">
        <v>776</v>
      </c>
      <c r="J297" s="679">
        <v>291</v>
      </c>
      <c r="K297" s="679">
        <v>391</v>
      </c>
      <c r="L297" s="679">
        <v>185</v>
      </c>
      <c r="M297" s="679">
        <v>1395</v>
      </c>
      <c r="N297" s="679">
        <v>774</v>
      </c>
    </row>
    <row r="298" spans="1:14" s="667" customFormat="1" ht="9" customHeight="1" x14ac:dyDescent="0.25">
      <c r="A298" s="667" t="s">
        <v>48</v>
      </c>
      <c r="C298" s="679">
        <f t="shared" si="15"/>
        <v>8724</v>
      </c>
      <c r="D298" s="679">
        <v>396</v>
      </c>
      <c r="E298" s="679">
        <v>1165</v>
      </c>
      <c r="F298" s="679">
        <v>1406</v>
      </c>
      <c r="G298" s="679">
        <v>1856</v>
      </c>
      <c r="H298" s="679">
        <v>735</v>
      </c>
      <c r="I298" s="679">
        <v>608</v>
      </c>
      <c r="J298" s="679">
        <v>242</v>
      </c>
      <c r="K298" s="679">
        <v>369</v>
      </c>
      <c r="L298" s="679">
        <v>236</v>
      </c>
      <c r="M298" s="679">
        <v>1190</v>
      </c>
      <c r="N298" s="679">
        <v>521</v>
      </c>
    </row>
    <row r="299" spans="1:14" s="667" customFormat="1" ht="9" customHeight="1" x14ac:dyDescent="0.25">
      <c r="A299" s="671" t="s">
        <v>49</v>
      </c>
      <c r="B299" s="671"/>
      <c r="C299" s="683">
        <f t="shared" si="15"/>
        <v>13487</v>
      </c>
      <c r="D299" s="683">
        <v>482</v>
      </c>
      <c r="E299" s="683">
        <v>2069</v>
      </c>
      <c r="F299" s="683">
        <v>2261</v>
      </c>
      <c r="G299" s="683">
        <v>3512</v>
      </c>
      <c r="H299" s="683">
        <v>960</v>
      </c>
      <c r="I299" s="683">
        <v>971</v>
      </c>
      <c r="J299" s="683">
        <v>398</v>
      </c>
      <c r="K299" s="683">
        <v>396</v>
      </c>
      <c r="L299" s="683">
        <v>205</v>
      </c>
      <c r="M299" s="683">
        <v>1543</v>
      </c>
      <c r="N299" s="683">
        <v>690</v>
      </c>
    </row>
    <row r="300" spans="1:14" s="667" customFormat="1" ht="9" customHeight="1" x14ac:dyDescent="0.25">
      <c r="A300" s="667" t="s">
        <v>50</v>
      </c>
      <c r="C300" s="679">
        <f t="shared" si="15"/>
        <v>4714</v>
      </c>
      <c r="D300" s="679">
        <v>140</v>
      </c>
      <c r="E300" s="679">
        <v>514</v>
      </c>
      <c r="F300" s="679">
        <v>823</v>
      </c>
      <c r="G300" s="679">
        <v>844</v>
      </c>
      <c r="H300" s="679">
        <v>465</v>
      </c>
      <c r="I300" s="679">
        <v>535</v>
      </c>
      <c r="J300" s="679">
        <v>182</v>
      </c>
      <c r="K300" s="679">
        <v>266</v>
      </c>
      <c r="L300" s="679">
        <v>135</v>
      </c>
      <c r="M300" s="679">
        <v>439</v>
      </c>
      <c r="N300" s="679">
        <v>371</v>
      </c>
    </row>
    <row r="301" spans="1:14" s="667" customFormat="1" ht="9" customHeight="1" x14ac:dyDescent="0.25">
      <c r="A301" s="667" t="s">
        <v>51</v>
      </c>
      <c r="C301" s="679">
        <f t="shared" si="15"/>
        <v>37877</v>
      </c>
      <c r="D301" s="679">
        <v>1677</v>
      </c>
      <c r="E301" s="679">
        <v>5221</v>
      </c>
      <c r="F301" s="679">
        <v>6008</v>
      </c>
      <c r="G301" s="679">
        <v>8585</v>
      </c>
      <c r="H301" s="679">
        <v>3100</v>
      </c>
      <c r="I301" s="679">
        <v>4369</v>
      </c>
      <c r="J301" s="679">
        <v>1179</v>
      </c>
      <c r="K301" s="679">
        <v>1063</v>
      </c>
      <c r="L301" s="679">
        <v>618</v>
      </c>
      <c r="M301" s="679">
        <v>3048</v>
      </c>
      <c r="N301" s="679">
        <v>3009</v>
      </c>
    </row>
    <row r="302" spans="1:14" s="673" customFormat="1" ht="9" customHeight="1" x14ac:dyDescent="0.25">
      <c r="A302" s="673" t="s">
        <v>52</v>
      </c>
      <c r="C302" s="684">
        <f t="shared" si="15"/>
        <v>9169</v>
      </c>
      <c r="D302" s="684">
        <v>343</v>
      </c>
      <c r="E302" s="684">
        <v>1218</v>
      </c>
      <c r="F302" s="684">
        <v>1260</v>
      </c>
      <c r="G302" s="684">
        <v>2246</v>
      </c>
      <c r="H302" s="684">
        <v>825</v>
      </c>
      <c r="I302" s="684">
        <v>1088</v>
      </c>
      <c r="J302" s="684">
        <v>293</v>
      </c>
      <c r="K302" s="684">
        <v>173</v>
      </c>
      <c r="L302" s="684">
        <v>170</v>
      </c>
      <c r="M302" s="684">
        <v>736</v>
      </c>
      <c r="N302" s="684">
        <v>817</v>
      </c>
    </row>
    <row r="303" spans="1:14" s="667" customFormat="1" ht="9" customHeight="1" x14ac:dyDescent="0.25">
      <c r="A303" s="671" t="s">
        <v>53</v>
      </c>
      <c r="B303" s="671"/>
      <c r="C303" s="683">
        <f t="shared" si="15"/>
        <v>7021</v>
      </c>
      <c r="D303" s="683">
        <v>165</v>
      </c>
      <c r="E303" s="683">
        <v>952</v>
      </c>
      <c r="F303" s="683">
        <v>1068</v>
      </c>
      <c r="G303" s="683">
        <v>1715</v>
      </c>
      <c r="H303" s="683">
        <v>623</v>
      </c>
      <c r="I303" s="683">
        <v>522</v>
      </c>
      <c r="J303" s="683">
        <v>166</v>
      </c>
      <c r="K303" s="683">
        <v>212</v>
      </c>
      <c r="L303" s="683">
        <v>132</v>
      </c>
      <c r="M303" s="683">
        <v>911</v>
      </c>
      <c r="N303" s="683">
        <v>555</v>
      </c>
    </row>
    <row r="304" spans="1:14" s="667" customFormat="1" ht="9" customHeight="1" x14ac:dyDescent="0.25">
      <c r="A304" s="664" t="s">
        <v>434</v>
      </c>
      <c r="B304" s="664"/>
      <c r="C304" s="679">
        <f t="shared" si="15"/>
        <v>1283</v>
      </c>
      <c r="D304" s="679">
        <v>17</v>
      </c>
      <c r="E304" s="679">
        <v>151</v>
      </c>
      <c r="F304" s="679">
        <v>84</v>
      </c>
      <c r="G304" s="679">
        <v>310</v>
      </c>
      <c r="H304" s="679">
        <v>47</v>
      </c>
      <c r="I304" s="679">
        <v>48</v>
      </c>
      <c r="J304" s="679">
        <v>8</v>
      </c>
      <c r="K304" s="679">
        <v>1</v>
      </c>
      <c r="L304" s="679">
        <v>2</v>
      </c>
      <c r="M304" s="679">
        <v>564</v>
      </c>
      <c r="N304" s="679">
        <v>51</v>
      </c>
    </row>
    <row r="305" spans="1:15" s="667" customFormat="1" ht="9" customHeight="1" x14ac:dyDescent="0.25">
      <c r="A305" s="664"/>
      <c r="B305" s="664"/>
      <c r="C305" s="679"/>
      <c r="D305" s="679"/>
      <c r="E305" s="679"/>
      <c r="F305" s="679"/>
      <c r="G305" s="679"/>
      <c r="H305" s="679"/>
      <c r="I305" s="679"/>
      <c r="J305" s="679"/>
      <c r="K305" s="679"/>
      <c r="L305" s="679"/>
      <c r="M305" s="679"/>
      <c r="N305" s="679"/>
    </row>
    <row r="306" spans="1:15" s="667" customFormat="1" ht="9" customHeight="1" x14ac:dyDescent="0.15">
      <c r="A306" s="686">
        <v>2006</v>
      </c>
      <c r="B306" s="664"/>
      <c r="C306" s="665"/>
      <c r="D306" s="665"/>
      <c r="E306" s="665"/>
      <c r="F306" s="666"/>
      <c r="G306" s="666"/>
      <c r="H306" s="666"/>
      <c r="I306" s="666"/>
      <c r="J306" s="665"/>
      <c r="K306" s="665"/>
      <c r="L306" s="665"/>
      <c r="M306" s="665"/>
      <c r="N306" s="665"/>
    </row>
    <row r="307" spans="1:15" s="668" customFormat="1" ht="9" customHeight="1" x14ac:dyDescent="0.25">
      <c r="A307" s="668" t="s">
        <v>13</v>
      </c>
      <c r="C307" s="682">
        <f t="shared" ref="C307:N307" si="16">SUM(C309:C341)</f>
        <v>494471</v>
      </c>
      <c r="D307" s="682">
        <f t="shared" si="16"/>
        <v>18006</v>
      </c>
      <c r="E307" s="682">
        <f t="shared" si="16"/>
        <v>67274</v>
      </c>
      <c r="F307" s="682">
        <f t="shared" si="16"/>
        <v>81955</v>
      </c>
      <c r="G307" s="682">
        <f t="shared" si="16"/>
        <v>111999</v>
      </c>
      <c r="H307" s="682">
        <f t="shared" si="16"/>
        <v>42299</v>
      </c>
      <c r="I307" s="682">
        <f t="shared" si="16"/>
        <v>47340</v>
      </c>
      <c r="J307" s="682">
        <f t="shared" si="16"/>
        <v>14503</v>
      </c>
      <c r="K307" s="682">
        <f t="shared" si="16"/>
        <v>15388</v>
      </c>
      <c r="L307" s="682">
        <f t="shared" si="16"/>
        <v>9327</v>
      </c>
      <c r="M307" s="682">
        <f t="shared" si="16"/>
        <v>53854</v>
      </c>
      <c r="N307" s="682">
        <f t="shared" si="16"/>
        <v>32526</v>
      </c>
      <c r="O307" s="682"/>
    </row>
    <row r="308" spans="1:15" s="668" customFormat="1" ht="5.25" customHeight="1" x14ac:dyDescent="0.25">
      <c r="C308" s="682"/>
      <c r="D308" s="682"/>
      <c r="E308" s="682"/>
      <c r="F308" s="682"/>
      <c r="G308" s="682"/>
      <c r="H308" s="682"/>
      <c r="I308" s="682"/>
      <c r="J308" s="682"/>
      <c r="K308" s="682"/>
      <c r="L308" s="682"/>
      <c r="M308" s="682"/>
      <c r="N308" s="682"/>
    </row>
    <row r="309" spans="1:15" s="667" customFormat="1" ht="9" customHeight="1" x14ac:dyDescent="0.25">
      <c r="A309" s="667" t="s">
        <v>23</v>
      </c>
      <c r="C309" s="679">
        <f t="shared" ref="C309:C341" si="17">SUM(D309:N309)</f>
        <v>4488</v>
      </c>
      <c r="D309" s="679">
        <v>141</v>
      </c>
      <c r="E309" s="679">
        <v>669</v>
      </c>
      <c r="F309" s="679">
        <v>749</v>
      </c>
      <c r="G309" s="679">
        <v>924</v>
      </c>
      <c r="H309" s="679">
        <v>440</v>
      </c>
      <c r="I309" s="679">
        <v>381</v>
      </c>
      <c r="J309" s="679">
        <v>138</v>
      </c>
      <c r="K309" s="679">
        <v>166</v>
      </c>
      <c r="L309" s="679">
        <v>114</v>
      </c>
      <c r="M309" s="679">
        <v>470</v>
      </c>
      <c r="N309" s="679">
        <v>296</v>
      </c>
      <c r="O309" s="679"/>
    </row>
    <row r="310" spans="1:15" s="667" customFormat="1" ht="9" customHeight="1" x14ac:dyDescent="0.25">
      <c r="A310" s="667" t="s">
        <v>24</v>
      </c>
      <c r="C310" s="679">
        <f t="shared" si="17"/>
        <v>12696</v>
      </c>
      <c r="D310" s="679">
        <v>899</v>
      </c>
      <c r="E310" s="679">
        <v>1623</v>
      </c>
      <c r="F310" s="679">
        <v>1764</v>
      </c>
      <c r="G310" s="679">
        <v>3057</v>
      </c>
      <c r="H310" s="679">
        <v>947</v>
      </c>
      <c r="I310" s="679">
        <v>947</v>
      </c>
      <c r="J310" s="679">
        <v>352</v>
      </c>
      <c r="K310" s="679">
        <v>378</v>
      </c>
      <c r="L310" s="679">
        <v>236</v>
      </c>
      <c r="M310" s="679">
        <v>1907</v>
      </c>
      <c r="N310" s="679">
        <v>586</v>
      </c>
    </row>
    <row r="311" spans="1:15" s="667" customFormat="1" ht="9" customHeight="1" x14ac:dyDescent="0.25">
      <c r="A311" s="667" t="s">
        <v>25</v>
      </c>
      <c r="C311" s="679">
        <f t="shared" si="17"/>
        <v>2171</v>
      </c>
      <c r="D311" s="679">
        <v>94</v>
      </c>
      <c r="E311" s="679">
        <v>373</v>
      </c>
      <c r="F311" s="679">
        <v>296</v>
      </c>
      <c r="G311" s="679">
        <v>515</v>
      </c>
      <c r="H311" s="679">
        <v>158</v>
      </c>
      <c r="I311" s="679">
        <v>166</v>
      </c>
      <c r="J311" s="679">
        <v>49</v>
      </c>
      <c r="K311" s="679">
        <v>66</v>
      </c>
      <c r="L311" s="679">
        <v>48</v>
      </c>
      <c r="M311" s="679">
        <v>299</v>
      </c>
      <c r="N311" s="679">
        <v>107</v>
      </c>
    </row>
    <row r="312" spans="1:15" s="667" customFormat="1" ht="9" customHeight="1" x14ac:dyDescent="0.25">
      <c r="A312" s="671" t="s">
        <v>26</v>
      </c>
      <c r="B312" s="671"/>
      <c r="C312" s="683">
        <f t="shared" si="17"/>
        <v>3084</v>
      </c>
      <c r="D312" s="683">
        <v>104</v>
      </c>
      <c r="E312" s="683">
        <v>409</v>
      </c>
      <c r="F312" s="683">
        <v>402</v>
      </c>
      <c r="G312" s="683">
        <v>726</v>
      </c>
      <c r="H312" s="683">
        <v>261</v>
      </c>
      <c r="I312" s="683">
        <v>350</v>
      </c>
      <c r="J312" s="683">
        <v>103</v>
      </c>
      <c r="K312" s="683">
        <v>85</v>
      </c>
      <c r="L312" s="683">
        <v>53</v>
      </c>
      <c r="M312" s="683">
        <v>350</v>
      </c>
      <c r="N312" s="683">
        <v>241</v>
      </c>
    </row>
    <row r="313" spans="1:15" s="667" customFormat="1" ht="9" customHeight="1" x14ac:dyDescent="0.25">
      <c r="A313" s="667" t="s">
        <v>27</v>
      </c>
      <c r="C313" s="679">
        <f t="shared" si="17"/>
        <v>11955</v>
      </c>
      <c r="D313" s="679">
        <v>382</v>
      </c>
      <c r="E313" s="679">
        <v>1782</v>
      </c>
      <c r="F313" s="679">
        <v>2396</v>
      </c>
      <c r="G313" s="679">
        <v>3072</v>
      </c>
      <c r="H313" s="679">
        <v>813</v>
      </c>
      <c r="I313" s="679">
        <v>957</v>
      </c>
      <c r="J313" s="679">
        <v>319</v>
      </c>
      <c r="K313" s="679">
        <v>227</v>
      </c>
      <c r="L313" s="679">
        <v>129</v>
      </c>
      <c r="M313" s="679">
        <v>1114</v>
      </c>
      <c r="N313" s="679">
        <v>764</v>
      </c>
    </row>
    <row r="314" spans="1:15" s="667" customFormat="1" ht="9" customHeight="1" x14ac:dyDescent="0.25">
      <c r="A314" s="667" t="s">
        <v>28</v>
      </c>
      <c r="C314" s="679">
        <f t="shared" si="17"/>
        <v>2831</v>
      </c>
      <c r="D314" s="679">
        <v>103</v>
      </c>
      <c r="E314" s="679">
        <v>413</v>
      </c>
      <c r="F314" s="679">
        <v>480</v>
      </c>
      <c r="G314" s="679">
        <v>686</v>
      </c>
      <c r="H314" s="679">
        <v>214</v>
      </c>
      <c r="I314" s="679">
        <v>285</v>
      </c>
      <c r="J314" s="679">
        <v>69</v>
      </c>
      <c r="K314" s="679">
        <v>75</v>
      </c>
      <c r="L314" s="679">
        <v>49</v>
      </c>
      <c r="M314" s="679">
        <v>289</v>
      </c>
      <c r="N314" s="679">
        <v>168</v>
      </c>
    </row>
    <row r="315" spans="1:15" s="667" customFormat="1" ht="9" customHeight="1" x14ac:dyDescent="0.25">
      <c r="A315" s="667" t="s">
        <v>29</v>
      </c>
      <c r="C315" s="679">
        <f t="shared" si="17"/>
        <v>18287</v>
      </c>
      <c r="D315" s="679">
        <v>1361</v>
      </c>
      <c r="E315" s="679">
        <v>2390</v>
      </c>
      <c r="F315" s="679">
        <v>2254</v>
      </c>
      <c r="G315" s="679">
        <v>2934</v>
      </c>
      <c r="H315" s="679">
        <v>1507</v>
      </c>
      <c r="I315" s="679">
        <v>1726</v>
      </c>
      <c r="J315" s="679">
        <v>679</v>
      </c>
      <c r="K315" s="679">
        <v>484</v>
      </c>
      <c r="L315" s="679">
        <v>295</v>
      </c>
      <c r="M315" s="679">
        <v>2402</v>
      </c>
      <c r="N315" s="679">
        <v>2255</v>
      </c>
    </row>
    <row r="316" spans="1:15" s="667" customFormat="1" ht="9" customHeight="1" x14ac:dyDescent="0.25">
      <c r="A316" s="671" t="s">
        <v>30</v>
      </c>
      <c r="B316" s="671"/>
      <c r="C316" s="683">
        <f t="shared" si="17"/>
        <v>17963</v>
      </c>
      <c r="D316" s="683">
        <v>640</v>
      </c>
      <c r="E316" s="683">
        <v>2404</v>
      </c>
      <c r="F316" s="683">
        <v>2612</v>
      </c>
      <c r="G316" s="683">
        <v>4312</v>
      </c>
      <c r="H316" s="683">
        <v>1438</v>
      </c>
      <c r="I316" s="683">
        <v>1407</v>
      </c>
      <c r="J316" s="683">
        <v>494</v>
      </c>
      <c r="K316" s="683">
        <v>582</v>
      </c>
      <c r="L316" s="683">
        <v>273</v>
      </c>
      <c r="M316" s="683">
        <v>2723</v>
      </c>
      <c r="N316" s="683">
        <v>1078</v>
      </c>
    </row>
    <row r="317" spans="1:15" s="667" customFormat="1" ht="9" customHeight="1" x14ac:dyDescent="0.25">
      <c r="A317" s="667" t="s">
        <v>171</v>
      </c>
      <c r="C317" s="679">
        <f t="shared" si="17"/>
        <v>49894</v>
      </c>
      <c r="D317" s="679">
        <v>1569</v>
      </c>
      <c r="E317" s="679">
        <v>7224</v>
      </c>
      <c r="F317" s="679">
        <v>9515</v>
      </c>
      <c r="G317" s="679">
        <v>13091</v>
      </c>
      <c r="H317" s="679">
        <v>4439</v>
      </c>
      <c r="I317" s="679">
        <v>4853</v>
      </c>
      <c r="J317" s="679">
        <v>1422</v>
      </c>
      <c r="K317" s="679">
        <v>1235</v>
      </c>
      <c r="L317" s="679">
        <v>762</v>
      </c>
      <c r="M317" s="679">
        <v>3508</v>
      </c>
      <c r="N317" s="679">
        <v>2276</v>
      </c>
    </row>
    <row r="318" spans="1:15" s="667" customFormat="1" ht="9" customHeight="1" x14ac:dyDescent="0.25">
      <c r="A318" s="667" t="s">
        <v>31</v>
      </c>
      <c r="C318" s="679">
        <f t="shared" si="17"/>
        <v>7388</v>
      </c>
      <c r="D318" s="679">
        <v>171</v>
      </c>
      <c r="E318" s="679">
        <v>985</v>
      </c>
      <c r="F318" s="679">
        <v>1255</v>
      </c>
      <c r="G318" s="679">
        <v>1794</v>
      </c>
      <c r="H318" s="679">
        <v>615</v>
      </c>
      <c r="I318" s="679">
        <v>544</v>
      </c>
      <c r="J318" s="679">
        <v>226</v>
      </c>
      <c r="K318" s="679">
        <v>161</v>
      </c>
      <c r="L318" s="679">
        <v>117</v>
      </c>
      <c r="M318" s="679">
        <v>922</v>
      </c>
      <c r="N318" s="679">
        <v>598</v>
      </c>
    </row>
    <row r="319" spans="1:15" s="667" customFormat="1" ht="9" customHeight="1" x14ac:dyDescent="0.25">
      <c r="A319" s="667" t="s">
        <v>32</v>
      </c>
      <c r="C319" s="679">
        <f t="shared" si="17"/>
        <v>22973</v>
      </c>
      <c r="D319" s="679">
        <v>510</v>
      </c>
      <c r="E319" s="679">
        <v>2774</v>
      </c>
      <c r="F319" s="679">
        <v>4435</v>
      </c>
      <c r="G319" s="679">
        <v>5145</v>
      </c>
      <c r="H319" s="679">
        <v>2408</v>
      </c>
      <c r="I319" s="679">
        <v>1971</v>
      </c>
      <c r="J319" s="679">
        <v>640</v>
      </c>
      <c r="K319" s="679">
        <v>915</v>
      </c>
      <c r="L319" s="679">
        <v>519</v>
      </c>
      <c r="M319" s="679">
        <v>2221</v>
      </c>
      <c r="N319" s="679">
        <v>1435</v>
      </c>
    </row>
    <row r="320" spans="1:15" s="667" customFormat="1" ht="9" customHeight="1" x14ac:dyDescent="0.25">
      <c r="A320" s="671" t="s">
        <v>33</v>
      </c>
      <c r="B320" s="671"/>
      <c r="C320" s="683">
        <f t="shared" si="17"/>
        <v>11656</v>
      </c>
      <c r="D320" s="683">
        <v>537</v>
      </c>
      <c r="E320" s="683">
        <v>1543</v>
      </c>
      <c r="F320" s="683">
        <v>1790</v>
      </c>
      <c r="G320" s="683">
        <v>2243</v>
      </c>
      <c r="H320" s="683">
        <v>770</v>
      </c>
      <c r="I320" s="683">
        <v>902</v>
      </c>
      <c r="J320" s="683">
        <v>313</v>
      </c>
      <c r="K320" s="683">
        <v>442</v>
      </c>
      <c r="L320" s="683">
        <v>216</v>
      </c>
      <c r="M320" s="683">
        <v>1980</v>
      </c>
      <c r="N320" s="683">
        <v>920</v>
      </c>
    </row>
    <row r="321" spans="1:14" s="667" customFormat="1" ht="9" customHeight="1" x14ac:dyDescent="0.25">
      <c r="A321" s="667" t="s">
        <v>34</v>
      </c>
      <c r="C321" s="679">
        <f t="shared" si="17"/>
        <v>10926</v>
      </c>
      <c r="D321" s="679">
        <v>246</v>
      </c>
      <c r="E321" s="679">
        <v>1398</v>
      </c>
      <c r="F321" s="679">
        <v>1731</v>
      </c>
      <c r="G321" s="679">
        <v>2628</v>
      </c>
      <c r="H321" s="679">
        <v>898</v>
      </c>
      <c r="I321" s="679">
        <v>1373</v>
      </c>
      <c r="J321" s="679">
        <v>346</v>
      </c>
      <c r="K321" s="679">
        <v>398</v>
      </c>
      <c r="L321" s="679">
        <v>146</v>
      </c>
      <c r="M321" s="679">
        <v>1104</v>
      </c>
      <c r="N321" s="679">
        <v>658</v>
      </c>
    </row>
    <row r="322" spans="1:14" s="667" customFormat="1" ht="9" customHeight="1" x14ac:dyDescent="0.25">
      <c r="A322" s="667" t="s">
        <v>35</v>
      </c>
      <c r="C322" s="679">
        <f t="shared" si="17"/>
        <v>33638</v>
      </c>
      <c r="D322" s="679">
        <v>1076</v>
      </c>
      <c r="E322" s="679">
        <v>4962</v>
      </c>
      <c r="F322" s="679">
        <v>5501</v>
      </c>
      <c r="G322" s="679">
        <v>7924</v>
      </c>
      <c r="H322" s="679">
        <v>3392</v>
      </c>
      <c r="I322" s="679">
        <v>2988</v>
      </c>
      <c r="J322" s="679">
        <v>1064</v>
      </c>
      <c r="K322" s="679">
        <v>875</v>
      </c>
      <c r="L322" s="679">
        <v>616</v>
      </c>
      <c r="M322" s="679">
        <v>3456</v>
      </c>
      <c r="N322" s="679">
        <v>1784</v>
      </c>
    </row>
    <row r="323" spans="1:14" s="667" customFormat="1" ht="9" customHeight="1" x14ac:dyDescent="0.25">
      <c r="A323" s="667" t="s">
        <v>36</v>
      </c>
      <c r="C323" s="679">
        <f t="shared" si="17"/>
        <v>58999</v>
      </c>
      <c r="D323" s="679">
        <v>1884</v>
      </c>
      <c r="E323" s="679">
        <v>7225</v>
      </c>
      <c r="F323" s="679">
        <v>10939</v>
      </c>
      <c r="G323" s="679">
        <v>11535</v>
      </c>
      <c r="H323" s="679">
        <v>5734</v>
      </c>
      <c r="I323" s="679">
        <v>6889</v>
      </c>
      <c r="J323" s="679">
        <v>1706</v>
      </c>
      <c r="K323" s="679">
        <v>2625</v>
      </c>
      <c r="L323" s="679">
        <v>1487</v>
      </c>
      <c r="M323" s="679">
        <v>6145</v>
      </c>
      <c r="N323" s="679">
        <v>2830</v>
      </c>
    </row>
    <row r="324" spans="1:14" s="667" customFormat="1" ht="9" customHeight="1" x14ac:dyDescent="0.25">
      <c r="A324" s="671" t="s">
        <v>37</v>
      </c>
      <c r="B324" s="671"/>
      <c r="C324" s="683">
        <f t="shared" si="17"/>
        <v>20656</v>
      </c>
      <c r="D324" s="683">
        <v>490</v>
      </c>
      <c r="E324" s="683">
        <v>2723</v>
      </c>
      <c r="F324" s="683">
        <v>3428</v>
      </c>
      <c r="G324" s="683">
        <v>4521</v>
      </c>
      <c r="H324" s="683">
        <v>1814</v>
      </c>
      <c r="I324" s="683">
        <v>1686</v>
      </c>
      <c r="J324" s="683">
        <v>533</v>
      </c>
      <c r="K324" s="683">
        <v>498</v>
      </c>
      <c r="L324" s="683">
        <v>309</v>
      </c>
      <c r="M324" s="683">
        <v>3243</v>
      </c>
      <c r="N324" s="683">
        <v>1411</v>
      </c>
    </row>
    <row r="325" spans="1:14" s="667" customFormat="1" ht="9" customHeight="1" x14ac:dyDescent="0.25">
      <c r="A325" s="667" t="s">
        <v>38</v>
      </c>
      <c r="C325" s="679">
        <f t="shared" si="17"/>
        <v>7960</v>
      </c>
      <c r="D325" s="679">
        <v>282</v>
      </c>
      <c r="E325" s="679">
        <v>1106</v>
      </c>
      <c r="F325" s="679">
        <v>1448</v>
      </c>
      <c r="G325" s="679">
        <v>1677</v>
      </c>
      <c r="H325" s="679">
        <v>650</v>
      </c>
      <c r="I325" s="679">
        <v>846</v>
      </c>
      <c r="J325" s="679">
        <v>260</v>
      </c>
      <c r="K325" s="679">
        <v>209</v>
      </c>
      <c r="L325" s="679">
        <v>142</v>
      </c>
      <c r="M325" s="679">
        <v>806</v>
      </c>
      <c r="N325" s="679">
        <v>534</v>
      </c>
    </row>
    <row r="326" spans="1:14" s="667" customFormat="1" ht="9" customHeight="1" x14ac:dyDescent="0.25">
      <c r="A326" s="667" t="s">
        <v>39</v>
      </c>
      <c r="C326" s="679">
        <f t="shared" si="17"/>
        <v>4748</v>
      </c>
      <c r="D326" s="679">
        <v>189</v>
      </c>
      <c r="E326" s="679">
        <v>777</v>
      </c>
      <c r="F326" s="679">
        <v>704</v>
      </c>
      <c r="G326" s="679">
        <v>1129</v>
      </c>
      <c r="H326" s="679">
        <v>424</v>
      </c>
      <c r="I326" s="679">
        <v>347</v>
      </c>
      <c r="J326" s="679">
        <v>117</v>
      </c>
      <c r="K326" s="679">
        <v>61</v>
      </c>
      <c r="L326" s="679">
        <v>52</v>
      </c>
      <c r="M326" s="679">
        <v>647</v>
      </c>
      <c r="N326" s="679">
        <v>301</v>
      </c>
    </row>
    <row r="327" spans="1:14" s="667" customFormat="1" ht="9" customHeight="1" x14ac:dyDescent="0.25">
      <c r="A327" s="667" t="s">
        <v>40</v>
      </c>
      <c r="C327" s="679">
        <f t="shared" si="17"/>
        <v>18655</v>
      </c>
      <c r="D327" s="679">
        <v>688</v>
      </c>
      <c r="E327" s="679">
        <v>2966</v>
      </c>
      <c r="F327" s="679">
        <v>2764</v>
      </c>
      <c r="G327" s="679">
        <v>5165</v>
      </c>
      <c r="H327" s="679">
        <v>1600</v>
      </c>
      <c r="I327" s="679">
        <v>1529</v>
      </c>
      <c r="J327" s="679">
        <v>502</v>
      </c>
      <c r="K327" s="679">
        <v>469</v>
      </c>
      <c r="L327" s="679">
        <v>321</v>
      </c>
      <c r="M327" s="679">
        <v>1617</v>
      </c>
      <c r="N327" s="679">
        <v>1034</v>
      </c>
    </row>
    <row r="328" spans="1:14" s="667" customFormat="1" ht="9" customHeight="1" x14ac:dyDescent="0.25">
      <c r="A328" s="671" t="s">
        <v>41</v>
      </c>
      <c r="B328" s="671"/>
      <c r="C328" s="683">
        <f t="shared" si="17"/>
        <v>18026</v>
      </c>
      <c r="D328" s="683">
        <v>834</v>
      </c>
      <c r="E328" s="683">
        <v>2305</v>
      </c>
      <c r="F328" s="683">
        <v>2495</v>
      </c>
      <c r="G328" s="683">
        <v>3998</v>
      </c>
      <c r="H328" s="683">
        <v>1182</v>
      </c>
      <c r="I328" s="683">
        <v>1926</v>
      </c>
      <c r="J328" s="683">
        <v>538</v>
      </c>
      <c r="K328" s="683">
        <v>470</v>
      </c>
      <c r="L328" s="683">
        <v>336</v>
      </c>
      <c r="M328" s="683">
        <v>1975</v>
      </c>
      <c r="N328" s="683">
        <v>1967</v>
      </c>
    </row>
    <row r="329" spans="1:14" s="667" customFormat="1" ht="9" customHeight="1" x14ac:dyDescent="0.25">
      <c r="A329" s="667" t="s">
        <v>42</v>
      </c>
      <c r="C329" s="679">
        <f t="shared" si="17"/>
        <v>27599</v>
      </c>
      <c r="D329" s="679">
        <v>858</v>
      </c>
      <c r="E329" s="679">
        <v>3091</v>
      </c>
      <c r="F329" s="679">
        <v>5110</v>
      </c>
      <c r="G329" s="679">
        <v>4927</v>
      </c>
      <c r="H329" s="679">
        <v>2294</v>
      </c>
      <c r="I329" s="679">
        <v>3495</v>
      </c>
      <c r="J329" s="679">
        <v>1061</v>
      </c>
      <c r="K329" s="679">
        <v>1324</v>
      </c>
      <c r="L329" s="679">
        <v>719</v>
      </c>
      <c r="M329" s="679">
        <v>2385</v>
      </c>
      <c r="N329" s="679">
        <v>2335</v>
      </c>
    </row>
    <row r="330" spans="1:14" s="667" customFormat="1" ht="9" customHeight="1" x14ac:dyDescent="0.25">
      <c r="A330" s="667" t="s">
        <v>43</v>
      </c>
      <c r="C330" s="679">
        <f t="shared" si="17"/>
        <v>6716</v>
      </c>
      <c r="D330" s="679">
        <v>207</v>
      </c>
      <c r="E330" s="679">
        <v>912</v>
      </c>
      <c r="F330" s="679">
        <v>1039</v>
      </c>
      <c r="G330" s="679">
        <v>1398</v>
      </c>
      <c r="H330" s="679">
        <v>557</v>
      </c>
      <c r="I330" s="679">
        <v>860</v>
      </c>
      <c r="J330" s="679">
        <v>177</v>
      </c>
      <c r="K330" s="679">
        <v>225</v>
      </c>
      <c r="L330" s="679">
        <v>149</v>
      </c>
      <c r="M330" s="679">
        <v>740</v>
      </c>
      <c r="N330" s="679">
        <v>452</v>
      </c>
    </row>
    <row r="331" spans="1:14" s="667" customFormat="1" ht="9" customHeight="1" x14ac:dyDescent="0.25">
      <c r="A331" s="667" t="s">
        <v>44</v>
      </c>
      <c r="C331" s="679">
        <f t="shared" si="17"/>
        <v>3104</v>
      </c>
      <c r="D331" s="679">
        <v>211</v>
      </c>
      <c r="E331" s="679">
        <v>370</v>
      </c>
      <c r="F331" s="679">
        <v>408</v>
      </c>
      <c r="G331" s="679">
        <v>494</v>
      </c>
      <c r="H331" s="679">
        <v>232</v>
      </c>
      <c r="I331" s="679">
        <v>306</v>
      </c>
      <c r="J331" s="679">
        <v>85</v>
      </c>
      <c r="K331" s="679">
        <v>172</v>
      </c>
      <c r="L331" s="679">
        <v>98</v>
      </c>
      <c r="M331" s="679">
        <v>556</v>
      </c>
      <c r="N331" s="679">
        <v>172</v>
      </c>
    </row>
    <row r="332" spans="1:14" s="667" customFormat="1" ht="9" customHeight="1" x14ac:dyDescent="0.25">
      <c r="A332" s="671" t="s">
        <v>45</v>
      </c>
      <c r="B332" s="671"/>
      <c r="C332" s="683">
        <f t="shared" si="17"/>
        <v>11354</v>
      </c>
      <c r="D332" s="683">
        <v>452</v>
      </c>
      <c r="E332" s="683">
        <v>1548</v>
      </c>
      <c r="F332" s="683">
        <v>1738</v>
      </c>
      <c r="G332" s="683">
        <v>2755</v>
      </c>
      <c r="H332" s="683">
        <v>989</v>
      </c>
      <c r="I332" s="683">
        <v>956</v>
      </c>
      <c r="J332" s="683">
        <v>313</v>
      </c>
      <c r="K332" s="683">
        <v>256</v>
      </c>
      <c r="L332" s="683">
        <v>219</v>
      </c>
      <c r="M332" s="683">
        <v>1197</v>
      </c>
      <c r="N332" s="683">
        <v>931</v>
      </c>
    </row>
    <row r="333" spans="1:14" s="667" customFormat="1" ht="9" customHeight="1" x14ac:dyDescent="0.25">
      <c r="A333" s="667" t="s">
        <v>46</v>
      </c>
      <c r="C333" s="679">
        <f t="shared" si="17"/>
        <v>11790</v>
      </c>
      <c r="D333" s="679">
        <v>443</v>
      </c>
      <c r="E333" s="679">
        <v>1881</v>
      </c>
      <c r="F333" s="679">
        <v>1777</v>
      </c>
      <c r="G333" s="679">
        <v>3071</v>
      </c>
      <c r="H333" s="679">
        <v>899</v>
      </c>
      <c r="I333" s="679">
        <v>673</v>
      </c>
      <c r="J333" s="679">
        <v>262</v>
      </c>
      <c r="K333" s="679">
        <v>240</v>
      </c>
      <c r="L333" s="679">
        <v>178</v>
      </c>
      <c r="M333" s="679">
        <v>1697</v>
      </c>
      <c r="N333" s="679">
        <v>669</v>
      </c>
    </row>
    <row r="334" spans="1:14" s="667" customFormat="1" ht="9" customHeight="1" x14ac:dyDescent="0.25">
      <c r="A334" s="667" t="s">
        <v>47</v>
      </c>
      <c r="C334" s="679">
        <f t="shared" si="17"/>
        <v>12241</v>
      </c>
      <c r="D334" s="679">
        <v>461</v>
      </c>
      <c r="E334" s="679">
        <v>1919</v>
      </c>
      <c r="F334" s="679">
        <v>1811</v>
      </c>
      <c r="G334" s="679">
        <v>3208</v>
      </c>
      <c r="H334" s="679">
        <v>1042</v>
      </c>
      <c r="I334" s="679">
        <v>770</v>
      </c>
      <c r="J334" s="679">
        <v>292</v>
      </c>
      <c r="K334" s="679">
        <v>323</v>
      </c>
      <c r="L334" s="679">
        <v>184</v>
      </c>
      <c r="M334" s="679">
        <v>1471</v>
      </c>
      <c r="N334" s="679">
        <v>760</v>
      </c>
    </row>
    <row r="335" spans="1:14" s="667" customFormat="1" ht="9" customHeight="1" x14ac:dyDescent="0.25">
      <c r="A335" s="667" t="s">
        <v>48</v>
      </c>
      <c r="C335" s="679">
        <f t="shared" si="17"/>
        <v>8878</v>
      </c>
      <c r="D335" s="679">
        <v>409</v>
      </c>
      <c r="E335" s="679">
        <v>1175</v>
      </c>
      <c r="F335" s="679">
        <v>1439</v>
      </c>
      <c r="G335" s="679">
        <v>1824</v>
      </c>
      <c r="H335" s="679">
        <v>677</v>
      </c>
      <c r="I335" s="679">
        <v>643</v>
      </c>
      <c r="J335" s="679">
        <v>240</v>
      </c>
      <c r="K335" s="679">
        <v>318</v>
      </c>
      <c r="L335" s="679">
        <v>238</v>
      </c>
      <c r="M335" s="679">
        <v>1364</v>
      </c>
      <c r="N335" s="679">
        <v>551</v>
      </c>
    </row>
    <row r="336" spans="1:14" s="667" customFormat="1" ht="9" customHeight="1" x14ac:dyDescent="0.25">
      <c r="A336" s="671" t="s">
        <v>49</v>
      </c>
      <c r="B336" s="671"/>
      <c r="C336" s="683">
        <f t="shared" si="17"/>
        <v>13852</v>
      </c>
      <c r="D336" s="683">
        <v>509</v>
      </c>
      <c r="E336" s="683">
        <v>2175</v>
      </c>
      <c r="F336" s="683">
        <v>2363</v>
      </c>
      <c r="G336" s="683">
        <v>3518</v>
      </c>
      <c r="H336" s="683">
        <v>979</v>
      </c>
      <c r="I336" s="683">
        <v>937</v>
      </c>
      <c r="J336" s="683">
        <v>364</v>
      </c>
      <c r="K336" s="683">
        <v>494</v>
      </c>
      <c r="L336" s="683">
        <v>232</v>
      </c>
      <c r="M336" s="683">
        <v>1594</v>
      </c>
      <c r="N336" s="683">
        <v>687</v>
      </c>
    </row>
    <row r="337" spans="1:15" s="667" customFormat="1" ht="9" customHeight="1" x14ac:dyDescent="0.25">
      <c r="A337" s="667" t="s">
        <v>50</v>
      </c>
      <c r="C337" s="679">
        <f t="shared" si="17"/>
        <v>4931</v>
      </c>
      <c r="D337" s="679">
        <v>145</v>
      </c>
      <c r="E337" s="679">
        <v>567</v>
      </c>
      <c r="F337" s="679">
        <v>922</v>
      </c>
      <c r="G337" s="679">
        <v>924</v>
      </c>
      <c r="H337" s="679">
        <v>398</v>
      </c>
      <c r="I337" s="679">
        <v>538</v>
      </c>
      <c r="J337" s="679">
        <v>195</v>
      </c>
      <c r="K337" s="679">
        <v>218</v>
      </c>
      <c r="L337" s="679">
        <v>126</v>
      </c>
      <c r="M337" s="679">
        <v>526</v>
      </c>
      <c r="N337" s="679">
        <v>372</v>
      </c>
    </row>
    <row r="338" spans="1:15" s="667" customFormat="1" ht="9" customHeight="1" x14ac:dyDescent="0.25">
      <c r="A338" s="667" t="s">
        <v>51</v>
      </c>
      <c r="C338" s="679">
        <f t="shared" si="17"/>
        <v>37404</v>
      </c>
      <c r="D338" s="679">
        <v>1575</v>
      </c>
      <c r="E338" s="679">
        <v>5289</v>
      </c>
      <c r="F338" s="679">
        <v>6026</v>
      </c>
      <c r="G338" s="679">
        <v>8731</v>
      </c>
      <c r="H338" s="679">
        <v>2894</v>
      </c>
      <c r="I338" s="679">
        <v>4200</v>
      </c>
      <c r="J338" s="679">
        <v>1160</v>
      </c>
      <c r="K338" s="679">
        <v>953</v>
      </c>
      <c r="L338" s="679">
        <v>699</v>
      </c>
      <c r="M338" s="679">
        <v>3031</v>
      </c>
      <c r="N338" s="679">
        <v>2846</v>
      </c>
    </row>
    <row r="339" spans="1:15" s="673" customFormat="1" ht="9" customHeight="1" x14ac:dyDescent="0.25">
      <c r="A339" s="673" t="s">
        <v>52</v>
      </c>
      <c r="C339" s="684">
        <f t="shared" si="17"/>
        <v>9501</v>
      </c>
      <c r="D339" s="684">
        <v>347</v>
      </c>
      <c r="E339" s="684">
        <v>1199</v>
      </c>
      <c r="F339" s="684">
        <v>1243</v>
      </c>
      <c r="G339" s="684">
        <v>2224</v>
      </c>
      <c r="H339" s="684">
        <v>887</v>
      </c>
      <c r="I339" s="684">
        <v>1252</v>
      </c>
      <c r="J339" s="684">
        <v>322</v>
      </c>
      <c r="K339" s="684">
        <v>236</v>
      </c>
      <c r="L339" s="684">
        <v>128</v>
      </c>
      <c r="M339" s="684">
        <v>759</v>
      </c>
      <c r="N339" s="684">
        <v>904</v>
      </c>
    </row>
    <row r="340" spans="1:15" s="667" customFormat="1" ht="9" customHeight="1" x14ac:dyDescent="0.25">
      <c r="A340" s="671" t="s">
        <v>53</v>
      </c>
      <c r="B340" s="671"/>
      <c r="C340" s="683">
        <f t="shared" si="17"/>
        <v>6932</v>
      </c>
      <c r="D340" s="683">
        <v>163</v>
      </c>
      <c r="E340" s="683">
        <v>981</v>
      </c>
      <c r="F340" s="683">
        <v>1034</v>
      </c>
      <c r="G340" s="683">
        <v>1576</v>
      </c>
      <c r="H340" s="683">
        <v>708</v>
      </c>
      <c r="I340" s="683">
        <v>573</v>
      </c>
      <c r="J340" s="683">
        <v>150</v>
      </c>
      <c r="K340" s="683">
        <v>207</v>
      </c>
      <c r="L340" s="683">
        <v>133</v>
      </c>
      <c r="M340" s="683">
        <v>835</v>
      </c>
      <c r="N340" s="683">
        <v>572</v>
      </c>
    </row>
    <row r="341" spans="1:15" s="667" customFormat="1" ht="9" customHeight="1" x14ac:dyDescent="0.25">
      <c r="A341" s="664" t="s">
        <v>434</v>
      </c>
      <c r="B341" s="664"/>
      <c r="C341" s="679">
        <f t="shared" si="17"/>
        <v>1175</v>
      </c>
      <c r="D341" s="679">
        <v>26</v>
      </c>
      <c r="E341" s="679">
        <v>116</v>
      </c>
      <c r="F341" s="679">
        <v>87</v>
      </c>
      <c r="G341" s="679">
        <v>273</v>
      </c>
      <c r="H341" s="679">
        <v>39</v>
      </c>
      <c r="I341" s="679">
        <v>64</v>
      </c>
      <c r="J341" s="679">
        <v>12</v>
      </c>
      <c r="K341" s="679">
        <v>1</v>
      </c>
      <c r="L341" s="679">
        <v>4</v>
      </c>
      <c r="M341" s="679">
        <v>521</v>
      </c>
      <c r="N341" s="679">
        <v>32</v>
      </c>
    </row>
    <row r="342" spans="1:15" s="667" customFormat="1" ht="9" customHeight="1" x14ac:dyDescent="0.25">
      <c r="A342" s="664"/>
      <c r="B342" s="664"/>
      <c r="C342" s="679"/>
      <c r="D342" s="679"/>
      <c r="E342" s="679"/>
      <c r="F342" s="679"/>
      <c r="G342" s="679"/>
      <c r="H342" s="679"/>
      <c r="I342" s="679"/>
      <c r="J342" s="679"/>
      <c r="K342" s="679"/>
      <c r="L342" s="679"/>
      <c r="M342" s="679"/>
      <c r="N342" s="679"/>
    </row>
    <row r="343" spans="1:15" s="667" customFormat="1" ht="9" customHeight="1" x14ac:dyDescent="0.15">
      <c r="A343" s="687">
        <v>2007</v>
      </c>
      <c r="B343" s="664"/>
      <c r="C343" s="665"/>
      <c r="D343" s="665"/>
      <c r="E343" s="665"/>
      <c r="F343" s="666"/>
      <c r="G343" s="666"/>
      <c r="H343" s="666"/>
      <c r="I343" s="666"/>
      <c r="J343" s="665"/>
      <c r="K343" s="665"/>
      <c r="L343" s="665"/>
      <c r="M343" s="665"/>
      <c r="N343" s="665"/>
    </row>
    <row r="344" spans="1:15" s="668" customFormat="1" ht="9" customHeight="1" x14ac:dyDescent="0.25">
      <c r="A344" s="668" t="s">
        <v>13</v>
      </c>
      <c r="C344" s="682">
        <f t="shared" ref="C344:N344" si="18">SUM(C346:C378)</f>
        <v>514420</v>
      </c>
      <c r="D344" s="682">
        <f t="shared" si="18"/>
        <v>18119</v>
      </c>
      <c r="E344" s="682">
        <f t="shared" si="18"/>
        <v>68815</v>
      </c>
      <c r="F344" s="682">
        <f t="shared" si="18"/>
        <v>85575</v>
      </c>
      <c r="G344" s="682">
        <f t="shared" si="18"/>
        <v>119806</v>
      </c>
      <c r="H344" s="682">
        <f t="shared" si="18"/>
        <v>43688</v>
      </c>
      <c r="I344" s="682">
        <f t="shared" si="18"/>
        <v>49637</v>
      </c>
      <c r="J344" s="682">
        <f t="shared" si="18"/>
        <v>14723</v>
      </c>
      <c r="K344" s="682">
        <f t="shared" si="18"/>
        <v>15000</v>
      </c>
      <c r="L344" s="682">
        <f t="shared" si="18"/>
        <v>8836</v>
      </c>
      <c r="M344" s="682">
        <f t="shared" si="18"/>
        <v>55029</v>
      </c>
      <c r="N344" s="682">
        <f t="shared" si="18"/>
        <v>35192</v>
      </c>
      <c r="O344" s="682"/>
    </row>
    <row r="345" spans="1:15" s="668" customFormat="1" ht="5.25" customHeight="1" x14ac:dyDescent="0.25">
      <c r="C345" s="682"/>
      <c r="D345" s="682"/>
      <c r="E345" s="682"/>
      <c r="F345" s="682"/>
      <c r="G345" s="682"/>
      <c r="H345" s="682"/>
      <c r="I345" s="682"/>
      <c r="J345" s="682"/>
      <c r="K345" s="682"/>
      <c r="L345" s="682"/>
      <c r="M345" s="682"/>
      <c r="N345" s="682"/>
    </row>
    <row r="346" spans="1:15" s="667" customFormat="1" ht="9" customHeight="1" x14ac:dyDescent="0.25">
      <c r="A346" s="667" t="s">
        <v>23</v>
      </c>
      <c r="C346" s="679">
        <f t="shared" ref="C346:C378" si="19">SUM(D346:N346)</f>
        <v>4694</v>
      </c>
      <c r="D346" s="679">
        <v>127</v>
      </c>
      <c r="E346" s="679">
        <v>635</v>
      </c>
      <c r="F346" s="679">
        <v>855</v>
      </c>
      <c r="G346" s="679">
        <v>991</v>
      </c>
      <c r="H346" s="679">
        <v>477</v>
      </c>
      <c r="I346" s="679">
        <v>421</v>
      </c>
      <c r="J346" s="679">
        <v>141</v>
      </c>
      <c r="K346" s="679">
        <v>125</v>
      </c>
      <c r="L346" s="679">
        <v>89</v>
      </c>
      <c r="M346" s="679">
        <v>510</v>
      </c>
      <c r="N346" s="679">
        <v>323</v>
      </c>
      <c r="O346" s="679"/>
    </row>
    <row r="347" spans="1:15" s="667" customFormat="1" ht="9" customHeight="1" x14ac:dyDescent="0.25">
      <c r="A347" s="667" t="s">
        <v>24</v>
      </c>
      <c r="C347" s="679">
        <f t="shared" si="19"/>
        <v>13069</v>
      </c>
      <c r="D347" s="679">
        <v>832</v>
      </c>
      <c r="E347" s="679">
        <v>1814</v>
      </c>
      <c r="F347" s="679">
        <v>1813</v>
      </c>
      <c r="G347" s="679">
        <v>3168</v>
      </c>
      <c r="H347" s="679">
        <v>930</v>
      </c>
      <c r="I347" s="679">
        <v>1010</v>
      </c>
      <c r="J347" s="679">
        <v>313</v>
      </c>
      <c r="K347" s="679">
        <v>426</v>
      </c>
      <c r="L347" s="679">
        <v>251</v>
      </c>
      <c r="M347" s="679">
        <v>1832</v>
      </c>
      <c r="N347" s="679">
        <v>680</v>
      </c>
    </row>
    <row r="348" spans="1:15" s="667" customFormat="1" ht="9" customHeight="1" x14ac:dyDescent="0.25">
      <c r="A348" s="667" t="s">
        <v>25</v>
      </c>
      <c r="C348" s="679">
        <f t="shared" si="19"/>
        <v>2353</v>
      </c>
      <c r="D348" s="679">
        <v>71</v>
      </c>
      <c r="E348" s="679">
        <v>379</v>
      </c>
      <c r="F348" s="679">
        <v>296</v>
      </c>
      <c r="G348" s="679">
        <v>561</v>
      </c>
      <c r="H348" s="679">
        <v>158</v>
      </c>
      <c r="I348" s="679">
        <v>175</v>
      </c>
      <c r="J348" s="679">
        <v>61</v>
      </c>
      <c r="K348" s="679">
        <v>78</v>
      </c>
      <c r="L348" s="679">
        <v>43</v>
      </c>
      <c r="M348" s="679">
        <v>389</v>
      </c>
      <c r="N348" s="679">
        <v>142</v>
      </c>
    </row>
    <row r="349" spans="1:15" s="667" customFormat="1" ht="9" customHeight="1" x14ac:dyDescent="0.25">
      <c r="A349" s="671" t="s">
        <v>26</v>
      </c>
      <c r="B349" s="671"/>
      <c r="C349" s="683">
        <f t="shared" si="19"/>
        <v>3186</v>
      </c>
      <c r="D349" s="683">
        <v>137</v>
      </c>
      <c r="E349" s="683">
        <v>445</v>
      </c>
      <c r="F349" s="683">
        <v>489</v>
      </c>
      <c r="G349" s="683">
        <v>699</v>
      </c>
      <c r="H349" s="683">
        <v>277</v>
      </c>
      <c r="I349" s="683">
        <v>329</v>
      </c>
      <c r="J349" s="683">
        <v>90</v>
      </c>
      <c r="K349" s="683">
        <v>59</v>
      </c>
      <c r="L349" s="683">
        <v>40</v>
      </c>
      <c r="M349" s="683">
        <v>356</v>
      </c>
      <c r="N349" s="683">
        <v>265</v>
      </c>
    </row>
    <row r="350" spans="1:15" s="667" customFormat="1" ht="9" customHeight="1" x14ac:dyDescent="0.25">
      <c r="A350" s="667" t="s">
        <v>27</v>
      </c>
      <c r="C350" s="679">
        <f t="shared" si="19"/>
        <v>12626</v>
      </c>
      <c r="D350" s="679">
        <v>385</v>
      </c>
      <c r="E350" s="679">
        <v>1869</v>
      </c>
      <c r="F350" s="679">
        <v>2382</v>
      </c>
      <c r="G350" s="679">
        <v>3384</v>
      </c>
      <c r="H350" s="679">
        <v>773</v>
      </c>
      <c r="I350" s="679">
        <v>1018</v>
      </c>
      <c r="J350" s="679">
        <v>326</v>
      </c>
      <c r="K350" s="679">
        <v>280</v>
      </c>
      <c r="L350" s="679">
        <v>184</v>
      </c>
      <c r="M350" s="679">
        <v>1204</v>
      </c>
      <c r="N350" s="679">
        <v>821</v>
      </c>
    </row>
    <row r="351" spans="1:15" s="667" customFormat="1" ht="9" customHeight="1" x14ac:dyDescent="0.25">
      <c r="A351" s="667" t="s">
        <v>28</v>
      </c>
      <c r="C351" s="679">
        <f t="shared" si="19"/>
        <v>2866</v>
      </c>
      <c r="D351" s="679">
        <v>116</v>
      </c>
      <c r="E351" s="679">
        <v>435</v>
      </c>
      <c r="F351" s="679">
        <v>460</v>
      </c>
      <c r="G351" s="679">
        <v>639</v>
      </c>
      <c r="H351" s="679">
        <v>237</v>
      </c>
      <c r="I351" s="679">
        <v>288</v>
      </c>
      <c r="J351" s="679">
        <v>80</v>
      </c>
      <c r="K351" s="679">
        <v>65</v>
      </c>
      <c r="L351" s="679">
        <v>52</v>
      </c>
      <c r="M351" s="679">
        <v>307</v>
      </c>
      <c r="N351" s="679">
        <v>187</v>
      </c>
    </row>
    <row r="352" spans="1:15" s="667" customFormat="1" ht="9" customHeight="1" x14ac:dyDescent="0.25">
      <c r="A352" s="667" t="s">
        <v>29</v>
      </c>
      <c r="C352" s="679">
        <f t="shared" si="19"/>
        <v>18767</v>
      </c>
      <c r="D352" s="679">
        <v>1214</v>
      </c>
      <c r="E352" s="679">
        <v>2488</v>
      </c>
      <c r="F352" s="679">
        <v>2470</v>
      </c>
      <c r="G352" s="679">
        <v>3108</v>
      </c>
      <c r="H352" s="679">
        <v>1621</v>
      </c>
      <c r="I352" s="679">
        <v>1918</v>
      </c>
      <c r="J352" s="679">
        <v>637</v>
      </c>
      <c r="K352" s="679">
        <v>566</v>
      </c>
      <c r="L352" s="679">
        <v>283</v>
      </c>
      <c r="M352" s="679">
        <v>1999</v>
      </c>
      <c r="N352" s="679">
        <v>2463</v>
      </c>
    </row>
    <row r="353" spans="1:14" s="667" customFormat="1" ht="9" customHeight="1" x14ac:dyDescent="0.25">
      <c r="A353" s="671" t="s">
        <v>30</v>
      </c>
      <c r="B353" s="671"/>
      <c r="C353" s="683">
        <f t="shared" si="19"/>
        <v>18064</v>
      </c>
      <c r="D353" s="683">
        <v>688</v>
      </c>
      <c r="E353" s="683">
        <v>2346</v>
      </c>
      <c r="F353" s="683">
        <v>2725</v>
      </c>
      <c r="G353" s="683">
        <v>4643</v>
      </c>
      <c r="H353" s="683">
        <v>1391</v>
      </c>
      <c r="I353" s="683">
        <v>1453</v>
      </c>
      <c r="J353" s="683">
        <v>461</v>
      </c>
      <c r="K353" s="683">
        <v>558</v>
      </c>
      <c r="L353" s="683">
        <v>263</v>
      </c>
      <c r="M353" s="683">
        <v>2464</v>
      </c>
      <c r="N353" s="683">
        <v>1072</v>
      </c>
    </row>
    <row r="354" spans="1:14" s="667" customFormat="1" ht="9" customHeight="1" x14ac:dyDescent="0.25">
      <c r="A354" s="667" t="s">
        <v>171</v>
      </c>
      <c r="C354" s="679">
        <f t="shared" si="19"/>
        <v>51465</v>
      </c>
      <c r="D354" s="679">
        <v>1716</v>
      </c>
      <c r="E354" s="679">
        <v>7217</v>
      </c>
      <c r="F354" s="679">
        <v>9598</v>
      </c>
      <c r="G354" s="679">
        <v>13776</v>
      </c>
      <c r="H354" s="679">
        <v>4751</v>
      </c>
      <c r="I354" s="679">
        <v>5091</v>
      </c>
      <c r="J354" s="679">
        <v>1468</v>
      </c>
      <c r="K354" s="679">
        <v>1103</v>
      </c>
      <c r="L354" s="679">
        <v>690</v>
      </c>
      <c r="M354" s="679">
        <v>3500</v>
      </c>
      <c r="N354" s="679">
        <v>2555</v>
      </c>
    </row>
    <row r="355" spans="1:14" s="667" customFormat="1" ht="9" customHeight="1" x14ac:dyDescent="0.25">
      <c r="A355" s="667" t="s">
        <v>31</v>
      </c>
      <c r="C355" s="679">
        <f t="shared" si="19"/>
        <v>7686</v>
      </c>
      <c r="D355" s="679">
        <v>219</v>
      </c>
      <c r="E355" s="679">
        <v>1030</v>
      </c>
      <c r="F355" s="679">
        <v>1318</v>
      </c>
      <c r="G355" s="679">
        <v>1940</v>
      </c>
      <c r="H355" s="679">
        <v>629</v>
      </c>
      <c r="I355" s="679">
        <v>539</v>
      </c>
      <c r="J355" s="679">
        <v>173</v>
      </c>
      <c r="K355" s="679">
        <v>202</v>
      </c>
      <c r="L355" s="679">
        <v>92</v>
      </c>
      <c r="M355" s="679">
        <v>1047</v>
      </c>
      <c r="N355" s="679">
        <v>497</v>
      </c>
    </row>
    <row r="356" spans="1:14" s="667" customFormat="1" ht="9" customHeight="1" x14ac:dyDescent="0.25">
      <c r="A356" s="667" t="s">
        <v>32</v>
      </c>
      <c r="C356" s="679">
        <f t="shared" si="19"/>
        <v>23664</v>
      </c>
      <c r="D356" s="679">
        <v>554</v>
      </c>
      <c r="E356" s="679">
        <v>2842</v>
      </c>
      <c r="F356" s="679">
        <v>4564</v>
      </c>
      <c r="G356" s="679">
        <v>5498</v>
      </c>
      <c r="H356" s="679">
        <v>2242</v>
      </c>
      <c r="I356" s="679">
        <v>2146</v>
      </c>
      <c r="J356" s="679">
        <v>634</v>
      </c>
      <c r="K356" s="679">
        <v>896</v>
      </c>
      <c r="L356" s="679">
        <v>492</v>
      </c>
      <c r="M356" s="679">
        <v>2395</v>
      </c>
      <c r="N356" s="679">
        <v>1401</v>
      </c>
    </row>
    <row r="357" spans="1:14" s="667" customFormat="1" ht="9" customHeight="1" x14ac:dyDescent="0.25">
      <c r="A357" s="671" t="s">
        <v>33</v>
      </c>
      <c r="B357" s="671"/>
      <c r="C357" s="683">
        <f t="shared" si="19"/>
        <v>13555</v>
      </c>
      <c r="D357" s="683">
        <v>588</v>
      </c>
      <c r="E357" s="683">
        <v>1633</v>
      </c>
      <c r="F357" s="683">
        <v>2035</v>
      </c>
      <c r="G357" s="683">
        <v>2713</v>
      </c>
      <c r="H357" s="683">
        <v>950</v>
      </c>
      <c r="I357" s="683">
        <v>1146</v>
      </c>
      <c r="J357" s="683">
        <v>353</v>
      </c>
      <c r="K357" s="683">
        <v>435</v>
      </c>
      <c r="L357" s="683">
        <v>195</v>
      </c>
      <c r="M357" s="683">
        <v>2308</v>
      </c>
      <c r="N357" s="683">
        <v>1199</v>
      </c>
    </row>
    <row r="358" spans="1:14" s="667" customFormat="1" ht="9" customHeight="1" x14ac:dyDescent="0.25">
      <c r="A358" s="667" t="s">
        <v>34</v>
      </c>
      <c r="C358" s="679">
        <f t="shared" si="19"/>
        <v>11628</v>
      </c>
      <c r="D358" s="679">
        <v>265</v>
      </c>
      <c r="E358" s="679">
        <v>1491</v>
      </c>
      <c r="F358" s="679">
        <v>1873</v>
      </c>
      <c r="G358" s="679">
        <v>2919</v>
      </c>
      <c r="H358" s="679">
        <v>887</v>
      </c>
      <c r="I358" s="679">
        <v>1459</v>
      </c>
      <c r="J358" s="679">
        <v>336</v>
      </c>
      <c r="K358" s="679">
        <v>329</v>
      </c>
      <c r="L358" s="679">
        <v>199</v>
      </c>
      <c r="M358" s="679">
        <v>1169</v>
      </c>
      <c r="N358" s="679">
        <v>701</v>
      </c>
    </row>
    <row r="359" spans="1:14" s="667" customFormat="1" ht="9" customHeight="1" x14ac:dyDescent="0.25">
      <c r="A359" s="667" t="s">
        <v>35</v>
      </c>
      <c r="C359" s="679">
        <f t="shared" si="19"/>
        <v>34670</v>
      </c>
      <c r="D359" s="679">
        <v>1140</v>
      </c>
      <c r="E359" s="679">
        <v>4978</v>
      </c>
      <c r="F359" s="679">
        <v>5491</v>
      </c>
      <c r="G359" s="679">
        <v>8083</v>
      </c>
      <c r="H359" s="679">
        <v>3424</v>
      </c>
      <c r="I359" s="679">
        <v>3132</v>
      </c>
      <c r="J359" s="679">
        <v>1154</v>
      </c>
      <c r="K359" s="679">
        <v>944</v>
      </c>
      <c r="L359" s="679">
        <v>613</v>
      </c>
      <c r="M359" s="679">
        <v>3625</v>
      </c>
      <c r="N359" s="679">
        <v>2086</v>
      </c>
    </row>
    <row r="360" spans="1:14" s="667" customFormat="1" ht="9" customHeight="1" x14ac:dyDescent="0.25">
      <c r="A360" s="667" t="s">
        <v>36</v>
      </c>
      <c r="C360" s="679">
        <f t="shared" si="19"/>
        <v>61096</v>
      </c>
      <c r="D360" s="679">
        <v>1888</v>
      </c>
      <c r="E360" s="679">
        <v>7536</v>
      </c>
      <c r="F360" s="679">
        <v>11509</v>
      </c>
      <c r="G360" s="679">
        <v>12295</v>
      </c>
      <c r="H360" s="679">
        <v>5728</v>
      </c>
      <c r="I360" s="679">
        <v>7249</v>
      </c>
      <c r="J360" s="679">
        <v>1769</v>
      </c>
      <c r="K360" s="679">
        <v>2514</v>
      </c>
      <c r="L360" s="679">
        <v>1431</v>
      </c>
      <c r="M360" s="679">
        <v>6228</v>
      </c>
      <c r="N360" s="679">
        <v>2949</v>
      </c>
    </row>
    <row r="361" spans="1:14" s="667" customFormat="1" ht="9" customHeight="1" x14ac:dyDescent="0.25">
      <c r="A361" s="671" t="s">
        <v>37</v>
      </c>
      <c r="B361" s="671"/>
      <c r="C361" s="683">
        <f t="shared" si="19"/>
        <v>21242</v>
      </c>
      <c r="D361" s="683">
        <v>490</v>
      </c>
      <c r="E361" s="683">
        <v>2777</v>
      </c>
      <c r="F361" s="683">
        <v>3602</v>
      </c>
      <c r="G361" s="683">
        <v>4790</v>
      </c>
      <c r="H361" s="683">
        <v>1805</v>
      </c>
      <c r="I361" s="683">
        <v>1709</v>
      </c>
      <c r="J361" s="683">
        <v>566</v>
      </c>
      <c r="K361" s="683">
        <v>536</v>
      </c>
      <c r="L361" s="683">
        <v>273</v>
      </c>
      <c r="M361" s="683">
        <v>3110</v>
      </c>
      <c r="N361" s="683">
        <v>1584</v>
      </c>
    </row>
    <row r="362" spans="1:14" s="667" customFormat="1" ht="9" customHeight="1" x14ac:dyDescent="0.25">
      <c r="A362" s="667" t="s">
        <v>38</v>
      </c>
      <c r="C362" s="679">
        <f t="shared" si="19"/>
        <v>8283</v>
      </c>
      <c r="D362" s="679">
        <v>258</v>
      </c>
      <c r="E362" s="679">
        <v>1209</v>
      </c>
      <c r="F362" s="679">
        <v>1465</v>
      </c>
      <c r="G362" s="679">
        <v>1810</v>
      </c>
      <c r="H362" s="679">
        <v>672</v>
      </c>
      <c r="I362" s="679">
        <v>925</v>
      </c>
      <c r="J362" s="679">
        <v>262</v>
      </c>
      <c r="K362" s="679">
        <v>222</v>
      </c>
      <c r="L362" s="679">
        <v>118</v>
      </c>
      <c r="M362" s="679">
        <v>809</v>
      </c>
      <c r="N362" s="679">
        <v>533</v>
      </c>
    </row>
    <row r="363" spans="1:14" s="667" customFormat="1" ht="9" customHeight="1" x14ac:dyDescent="0.25">
      <c r="A363" s="667" t="s">
        <v>39</v>
      </c>
      <c r="C363" s="679">
        <f t="shared" si="19"/>
        <v>4982</v>
      </c>
      <c r="D363" s="679">
        <v>206</v>
      </c>
      <c r="E363" s="679">
        <v>725</v>
      </c>
      <c r="F363" s="679">
        <v>724</v>
      </c>
      <c r="G363" s="679">
        <v>1208</v>
      </c>
      <c r="H363" s="679">
        <v>456</v>
      </c>
      <c r="I363" s="679">
        <v>392</v>
      </c>
      <c r="J363" s="679">
        <v>137</v>
      </c>
      <c r="K363" s="679">
        <v>54</v>
      </c>
      <c r="L363" s="679">
        <v>58</v>
      </c>
      <c r="M363" s="679">
        <v>663</v>
      </c>
      <c r="N363" s="679">
        <v>359</v>
      </c>
    </row>
    <row r="364" spans="1:14" s="667" customFormat="1" ht="9" customHeight="1" x14ac:dyDescent="0.25">
      <c r="A364" s="667" t="s">
        <v>40</v>
      </c>
      <c r="C364" s="679">
        <f t="shared" si="19"/>
        <v>19943</v>
      </c>
      <c r="D364" s="679">
        <v>616</v>
      </c>
      <c r="E364" s="679">
        <v>3119</v>
      </c>
      <c r="F364" s="679">
        <v>3073</v>
      </c>
      <c r="G364" s="679">
        <v>5653</v>
      </c>
      <c r="H364" s="679">
        <v>1783</v>
      </c>
      <c r="I364" s="679">
        <v>1603</v>
      </c>
      <c r="J364" s="679">
        <v>497</v>
      </c>
      <c r="K364" s="679">
        <v>410</v>
      </c>
      <c r="L364" s="679">
        <v>295</v>
      </c>
      <c r="M364" s="679">
        <v>1745</v>
      </c>
      <c r="N364" s="679">
        <v>1149</v>
      </c>
    </row>
    <row r="365" spans="1:14" s="667" customFormat="1" ht="9" customHeight="1" x14ac:dyDescent="0.25">
      <c r="A365" s="671" t="s">
        <v>41</v>
      </c>
      <c r="B365" s="671"/>
      <c r="C365" s="683">
        <f t="shared" si="19"/>
        <v>19500</v>
      </c>
      <c r="D365" s="683">
        <v>815</v>
      </c>
      <c r="E365" s="683">
        <v>2370</v>
      </c>
      <c r="F365" s="683">
        <v>2936</v>
      </c>
      <c r="G365" s="683">
        <v>4233</v>
      </c>
      <c r="H365" s="683">
        <v>1347</v>
      </c>
      <c r="I365" s="683">
        <v>2052</v>
      </c>
      <c r="J365" s="683">
        <v>608</v>
      </c>
      <c r="K365" s="683">
        <v>484</v>
      </c>
      <c r="L365" s="683">
        <v>311</v>
      </c>
      <c r="M365" s="683">
        <v>2130</v>
      </c>
      <c r="N365" s="683">
        <v>2214</v>
      </c>
    </row>
    <row r="366" spans="1:14" s="667" customFormat="1" ht="9" customHeight="1" x14ac:dyDescent="0.25">
      <c r="A366" s="667" t="s">
        <v>42</v>
      </c>
      <c r="C366" s="679">
        <f t="shared" si="19"/>
        <v>28420</v>
      </c>
      <c r="D366" s="679">
        <v>896</v>
      </c>
      <c r="E366" s="679">
        <v>3081</v>
      </c>
      <c r="F366" s="679">
        <v>4917</v>
      </c>
      <c r="G366" s="679">
        <v>5823</v>
      </c>
      <c r="H366" s="679">
        <v>2448</v>
      </c>
      <c r="I366" s="679">
        <v>3520</v>
      </c>
      <c r="J366" s="679">
        <v>969</v>
      </c>
      <c r="K366" s="679">
        <v>1260</v>
      </c>
      <c r="L366" s="679">
        <v>624</v>
      </c>
      <c r="M366" s="679">
        <v>2422</v>
      </c>
      <c r="N366" s="679">
        <v>2460</v>
      </c>
    </row>
    <row r="367" spans="1:14" s="667" customFormat="1" ht="9" customHeight="1" x14ac:dyDescent="0.25">
      <c r="A367" s="667" t="s">
        <v>43</v>
      </c>
      <c r="C367" s="679">
        <f t="shared" si="19"/>
        <v>6878</v>
      </c>
      <c r="D367" s="679">
        <v>194</v>
      </c>
      <c r="E367" s="679">
        <v>902</v>
      </c>
      <c r="F367" s="679">
        <v>1106</v>
      </c>
      <c r="G367" s="679">
        <v>1490</v>
      </c>
      <c r="H367" s="679">
        <v>558</v>
      </c>
      <c r="I367" s="679">
        <v>818</v>
      </c>
      <c r="J367" s="679">
        <v>162</v>
      </c>
      <c r="K367" s="679">
        <v>241</v>
      </c>
      <c r="L367" s="679">
        <v>188</v>
      </c>
      <c r="M367" s="679">
        <v>763</v>
      </c>
      <c r="N367" s="679">
        <v>456</v>
      </c>
    </row>
    <row r="368" spans="1:14" s="667" customFormat="1" ht="9" customHeight="1" x14ac:dyDescent="0.25">
      <c r="A368" s="667" t="s">
        <v>44</v>
      </c>
      <c r="C368" s="679">
        <f t="shared" si="19"/>
        <v>3727</v>
      </c>
      <c r="D368" s="679">
        <v>213</v>
      </c>
      <c r="E368" s="679">
        <v>418</v>
      </c>
      <c r="F368" s="679">
        <v>513</v>
      </c>
      <c r="G368" s="679">
        <v>558</v>
      </c>
      <c r="H368" s="679">
        <v>283</v>
      </c>
      <c r="I368" s="679">
        <v>405</v>
      </c>
      <c r="J368" s="679">
        <v>96</v>
      </c>
      <c r="K368" s="679">
        <v>155</v>
      </c>
      <c r="L368" s="679">
        <v>89</v>
      </c>
      <c r="M368" s="679">
        <v>744</v>
      </c>
      <c r="N368" s="679">
        <v>253</v>
      </c>
    </row>
    <row r="369" spans="1:15" s="667" customFormat="1" ht="9" customHeight="1" x14ac:dyDescent="0.25">
      <c r="A369" s="671" t="s">
        <v>45</v>
      </c>
      <c r="B369" s="671"/>
      <c r="C369" s="683">
        <f t="shared" si="19"/>
        <v>11745</v>
      </c>
      <c r="D369" s="683">
        <v>393</v>
      </c>
      <c r="E369" s="683">
        <v>1669</v>
      </c>
      <c r="F369" s="683">
        <v>1833</v>
      </c>
      <c r="G369" s="683">
        <v>2749</v>
      </c>
      <c r="H369" s="683">
        <v>1095</v>
      </c>
      <c r="I369" s="683">
        <v>1048</v>
      </c>
      <c r="J369" s="683">
        <v>307</v>
      </c>
      <c r="K369" s="683">
        <v>231</v>
      </c>
      <c r="L369" s="683">
        <v>222</v>
      </c>
      <c r="M369" s="683">
        <v>1206</v>
      </c>
      <c r="N369" s="683">
        <v>992</v>
      </c>
    </row>
    <row r="370" spans="1:15" s="667" customFormat="1" ht="9" customHeight="1" x14ac:dyDescent="0.25">
      <c r="A370" s="667" t="s">
        <v>46</v>
      </c>
      <c r="C370" s="679">
        <f t="shared" si="19"/>
        <v>11572</v>
      </c>
      <c r="D370" s="679">
        <v>397</v>
      </c>
      <c r="E370" s="679">
        <v>1834</v>
      </c>
      <c r="F370" s="679">
        <v>1567</v>
      </c>
      <c r="G370" s="679">
        <v>3110</v>
      </c>
      <c r="H370" s="679">
        <v>901</v>
      </c>
      <c r="I370" s="679">
        <v>594</v>
      </c>
      <c r="J370" s="679">
        <v>256</v>
      </c>
      <c r="K370" s="679">
        <v>225</v>
      </c>
      <c r="L370" s="679">
        <v>150</v>
      </c>
      <c r="M370" s="679">
        <v>1828</v>
      </c>
      <c r="N370" s="679">
        <v>710</v>
      </c>
    </row>
    <row r="371" spans="1:15" s="667" customFormat="1" ht="9" customHeight="1" x14ac:dyDescent="0.25">
      <c r="A371" s="667" t="s">
        <v>47</v>
      </c>
      <c r="C371" s="679">
        <f t="shared" si="19"/>
        <v>12449</v>
      </c>
      <c r="D371" s="679">
        <v>443</v>
      </c>
      <c r="E371" s="679">
        <v>1892</v>
      </c>
      <c r="F371" s="679">
        <v>1829</v>
      </c>
      <c r="G371" s="679">
        <v>3374</v>
      </c>
      <c r="H371" s="679">
        <v>944</v>
      </c>
      <c r="I371" s="679">
        <v>807</v>
      </c>
      <c r="J371" s="679">
        <v>280</v>
      </c>
      <c r="K371" s="679">
        <v>295</v>
      </c>
      <c r="L371" s="679">
        <v>168</v>
      </c>
      <c r="M371" s="679">
        <v>1597</v>
      </c>
      <c r="N371" s="679">
        <v>820</v>
      </c>
    </row>
    <row r="372" spans="1:15" s="667" customFormat="1" ht="9" customHeight="1" x14ac:dyDescent="0.25">
      <c r="A372" s="667" t="s">
        <v>48</v>
      </c>
      <c r="C372" s="679">
        <f t="shared" si="19"/>
        <v>9073</v>
      </c>
      <c r="D372" s="679">
        <v>430</v>
      </c>
      <c r="E372" s="679">
        <v>1139</v>
      </c>
      <c r="F372" s="679">
        <v>1548</v>
      </c>
      <c r="G372" s="679">
        <v>1907</v>
      </c>
      <c r="H372" s="679">
        <v>742</v>
      </c>
      <c r="I372" s="679">
        <v>662</v>
      </c>
      <c r="J372" s="679">
        <v>271</v>
      </c>
      <c r="K372" s="679">
        <v>263</v>
      </c>
      <c r="L372" s="679">
        <v>224</v>
      </c>
      <c r="M372" s="679">
        <v>1337</v>
      </c>
      <c r="N372" s="679">
        <v>550</v>
      </c>
    </row>
    <row r="373" spans="1:15" s="667" customFormat="1" ht="9" customHeight="1" x14ac:dyDescent="0.25">
      <c r="A373" s="671" t="s">
        <v>49</v>
      </c>
      <c r="B373" s="671"/>
      <c r="C373" s="683">
        <f t="shared" si="19"/>
        <v>14301</v>
      </c>
      <c r="D373" s="683">
        <v>524</v>
      </c>
      <c r="E373" s="683">
        <v>2223</v>
      </c>
      <c r="F373" s="683">
        <v>2452</v>
      </c>
      <c r="G373" s="683">
        <v>3887</v>
      </c>
      <c r="H373" s="683">
        <v>1111</v>
      </c>
      <c r="I373" s="683">
        <v>948</v>
      </c>
      <c r="J373" s="683">
        <v>331</v>
      </c>
      <c r="K373" s="683">
        <v>449</v>
      </c>
      <c r="L373" s="683">
        <v>217</v>
      </c>
      <c r="M373" s="683">
        <v>1434</v>
      </c>
      <c r="N373" s="683">
        <v>725</v>
      </c>
    </row>
    <row r="374" spans="1:15" s="667" customFormat="1" ht="9" customHeight="1" x14ac:dyDescent="0.25">
      <c r="A374" s="667" t="s">
        <v>50</v>
      </c>
      <c r="C374" s="679">
        <f t="shared" si="19"/>
        <v>5036</v>
      </c>
      <c r="D374" s="679">
        <v>131</v>
      </c>
      <c r="E374" s="679">
        <v>620</v>
      </c>
      <c r="F374" s="679">
        <v>978</v>
      </c>
      <c r="G374" s="679">
        <v>954</v>
      </c>
      <c r="H374" s="679">
        <v>395</v>
      </c>
      <c r="I374" s="679">
        <v>549</v>
      </c>
      <c r="J374" s="679">
        <v>189</v>
      </c>
      <c r="K374" s="679">
        <v>221</v>
      </c>
      <c r="L374" s="679">
        <v>120</v>
      </c>
      <c r="M374" s="679">
        <v>465</v>
      </c>
      <c r="N374" s="679">
        <v>414</v>
      </c>
    </row>
    <row r="375" spans="1:15" s="667" customFormat="1" ht="9" customHeight="1" x14ac:dyDescent="0.25">
      <c r="A375" s="667" t="s">
        <v>51</v>
      </c>
      <c r="C375" s="679">
        <f t="shared" si="19"/>
        <v>39489</v>
      </c>
      <c r="D375" s="679">
        <v>1621</v>
      </c>
      <c r="E375" s="679">
        <v>5306</v>
      </c>
      <c r="F375" s="679">
        <v>6615</v>
      </c>
      <c r="G375" s="679">
        <v>9386</v>
      </c>
      <c r="H375" s="679">
        <v>2970</v>
      </c>
      <c r="I375" s="679">
        <v>4367</v>
      </c>
      <c r="J375" s="679">
        <v>1290</v>
      </c>
      <c r="K375" s="679">
        <v>938</v>
      </c>
      <c r="L375" s="679">
        <v>622</v>
      </c>
      <c r="M375" s="679">
        <v>3254</v>
      </c>
      <c r="N375" s="679">
        <v>3120</v>
      </c>
    </row>
    <row r="376" spans="1:15" s="673" customFormat="1" ht="9" customHeight="1" x14ac:dyDescent="0.25">
      <c r="A376" s="673" t="s">
        <v>52</v>
      </c>
      <c r="C376" s="684">
        <f t="shared" si="19"/>
        <v>9812</v>
      </c>
      <c r="D376" s="684">
        <v>358</v>
      </c>
      <c r="E376" s="684">
        <v>1279</v>
      </c>
      <c r="F376" s="684">
        <v>1327</v>
      </c>
      <c r="G376" s="684">
        <v>2391</v>
      </c>
      <c r="H376" s="684">
        <v>900</v>
      </c>
      <c r="I376" s="684">
        <v>1234</v>
      </c>
      <c r="J376" s="684">
        <v>310</v>
      </c>
      <c r="K376" s="684">
        <v>223</v>
      </c>
      <c r="L376" s="684">
        <v>129</v>
      </c>
      <c r="M376" s="684">
        <v>772</v>
      </c>
      <c r="N376" s="684">
        <v>889</v>
      </c>
    </row>
    <row r="377" spans="1:15" s="667" customFormat="1" ht="9" customHeight="1" x14ac:dyDescent="0.25">
      <c r="A377" s="671" t="s">
        <v>53</v>
      </c>
      <c r="B377" s="671"/>
      <c r="C377" s="683">
        <f t="shared" si="19"/>
        <v>7281</v>
      </c>
      <c r="D377" s="683">
        <v>167</v>
      </c>
      <c r="E377" s="683">
        <v>966</v>
      </c>
      <c r="F377" s="683">
        <v>1122</v>
      </c>
      <c r="G377" s="683">
        <v>1736</v>
      </c>
      <c r="H377" s="683">
        <v>750</v>
      </c>
      <c r="I377" s="683">
        <v>583</v>
      </c>
      <c r="J377" s="683">
        <v>186</v>
      </c>
      <c r="K377" s="683">
        <v>207</v>
      </c>
      <c r="L377" s="683">
        <v>110</v>
      </c>
      <c r="M377" s="683">
        <v>861</v>
      </c>
      <c r="N377" s="683">
        <v>593</v>
      </c>
    </row>
    <row r="378" spans="1:15" s="667" customFormat="1" ht="9" customHeight="1" x14ac:dyDescent="0.25">
      <c r="A378" s="664" t="s">
        <v>434</v>
      </c>
      <c r="B378" s="664"/>
      <c r="C378" s="679">
        <f t="shared" si="19"/>
        <v>1298</v>
      </c>
      <c r="D378" s="679">
        <v>27</v>
      </c>
      <c r="E378" s="679">
        <v>148</v>
      </c>
      <c r="F378" s="679">
        <v>90</v>
      </c>
      <c r="G378" s="679">
        <v>330</v>
      </c>
      <c r="H378" s="679">
        <v>53</v>
      </c>
      <c r="I378" s="679">
        <v>47</v>
      </c>
      <c r="J378" s="679">
        <v>10</v>
      </c>
      <c r="K378" s="679">
        <v>6</v>
      </c>
      <c r="L378" s="679">
        <v>1</v>
      </c>
      <c r="M378" s="679">
        <v>556</v>
      </c>
      <c r="N378" s="679">
        <v>30</v>
      </c>
    </row>
    <row r="379" spans="1:15" s="667" customFormat="1" ht="9" customHeight="1" x14ac:dyDescent="0.25">
      <c r="A379" s="664"/>
      <c r="B379" s="664"/>
      <c r="C379" s="679"/>
      <c r="D379" s="679"/>
      <c r="E379" s="679"/>
      <c r="F379" s="679"/>
      <c r="G379" s="679"/>
      <c r="H379" s="679"/>
      <c r="I379" s="679"/>
      <c r="J379" s="679"/>
      <c r="K379" s="679"/>
      <c r="L379" s="679"/>
      <c r="M379" s="679"/>
      <c r="N379" s="679"/>
    </row>
    <row r="380" spans="1:15" s="667" customFormat="1" ht="9" customHeight="1" x14ac:dyDescent="0.15">
      <c r="A380" s="687">
        <v>2008</v>
      </c>
      <c r="B380" s="664"/>
      <c r="C380" s="665"/>
      <c r="D380" s="665"/>
      <c r="E380" s="665"/>
      <c r="F380" s="666"/>
      <c r="G380" s="666"/>
      <c r="H380" s="666"/>
      <c r="I380" s="666"/>
      <c r="J380" s="665"/>
      <c r="K380" s="665"/>
      <c r="L380" s="665"/>
      <c r="M380" s="665"/>
      <c r="N380" s="665"/>
    </row>
    <row r="381" spans="1:15" s="668" customFormat="1" ht="9" customHeight="1" x14ac:dyDescent="0.25">
      <c r="A381" s="668" t="s">
        <v>13</v>
      </c>
      <c r="C381" s="682">
        <f t="shared" ref="C381:N381" si="20">SUM(C383:C415)</f>
        <v>539530</v>
      </c>
      <c r="D381" s="682">
        <f t="shared" si="20"/>
        <v>18342</v>
      </c>
      <c r="E381" s="682">
        <f t="shared" si="20"/>
        <v>71074</v>
      </c>
      <c r="F381" s="682">
        <f t="shared" si="20"/>
        <v>90926</v>
      </c>
      <c r="G381" s="682">
        <f t="shared" si="20"/>
        <v>126420</v>
      </c>
      <c r="H381" s="682">
        <f t="shared" si="20"/>
        <v>45398</v>
      </c>
      <c r="I381" s="682">
        <f t="shared" si="20"/>
        <v>51536</v>
      </c>
      <c r="J381" s="682">
        <f t="shared" si="20"/>
        <v>15982</v>
      </c>
      <c r="K381" s="682">
        <f t="shared" si="20"/>
        <v>14768</v>
      </c>
      <c r="L381" s="682">
        <f t="shared" si="20"/>
        <v>8946</v>
      </c>
      <c r="M381" s="682">
        <f t="shared" si="20"/>
        <v>60174</v>
      </c>
      <c r="N381" s="682">
        <f t="shared" si="20"/>
        <v>35964</v>
      </c>
      <c r="O381" s="682"/>
    </row>
    <row r="382" spans="1:15" s="668" customFormat="1" ht="5.25" customHeight="1" x14ac:dyDescent="0.25">
      <c r="C382" s="682"/>
      <c r="D382" s="682"/>
      <c r="E382" s="682"/>
      <c r="F382" s="682"/>
      <c r="G382" s="682"/>
      <c r="H382" s="682"/>
      <c r="I382" s="682"/>
      <c r="J382" s="682"/>
      <c r="K382" s="682"/>
      <c r="L382" s="682"/>
      <c r="M382" s="682"/>
      <c r="N382" s="682"/>
    </row>
    <row r="383" spans="1:15" s="667" customFormat="1" ht="9" customHeight="1" x14ac:dyDescent="0.25">
      <c r="A383" s="667" t="s">
        <v>23</v>
      </c>
      <c r="C383" s="679">
        <f t="shared" ref="C383:C415" si="21">SUM(D383:N383)</f>
        <v>4955</v>
      </c>
      <c r="D383" s="679">
        <v>110</v>
      </c>
      <c r="E383" s="679">
        <v>707</v>
      </c>
      <c r="F383" s="679">
        <v>826</v>
      </c>
      <c r="G383" s="679">
        <v>1068</v>
      </c>
      <c r="H383" s="679">
        <v>563</v>
      </c>
      <c r="I383" s="679">
        <v>466</v>
      </c>
      <c r="J383" s="679">
        <v>133</v>
      </c>
      <c r="K383" s="679">
        <v>141</v>
      </c>
      <c r="L383" s="679">
        <v>110</v>
      </c>
      <c r="M383" s="679">
        <v>520</v>
      </c>
      <c r="N383" s="679">
        <v>311</v>
      </c>
      <c r="O383" s="679"/>
    </row>
    <row r="384" spans="1:15" s="667" customFormat="1" ht="9" customHeight="1" x14ac:dyDescent="0.25">
      <c r="A384" s="667" t="s">
        <v>24</v>
      </c>
      <c r="C384" s="679">
        <f t="shared" si="21"/>
        <v>14052</v>
      </c>
      <c r="D384" s="679">
        <v>820</v>
      </c>
      <c r="E384" s="679">
        <v>1879</v>
      </c>
      <c r="F384" s="679">
        <v>1833</v>
      </c>
      <c r="G384" s="679">
        <v>3316</v>
      </c>
      <c r="H384" s="679">
        <v>1124</v>
      </c>
      <c r="I384" s="679">
        <v>1111</v>
      </c>
      <c r="J384" s="679">
        <v>355</v>
      </c>
      <c r="K384" s="679">
        <v>383</v>
      </c>
      <c r="L384" s="679">
        <v>225</v>
      </c>
      <c r="M384" s="679">
        <v>2307</v>
      </c>
      <c r="N384" s="679">
        <v>699</v>
      </c>
    </row>
    <row r="385" spans="1:14" s="667" customFormat="1" ht="9" customHeight="1" x14ac:dyDescent="0.25">
      <c r="A385" s="667" t="s">
        <v>25</v>
      </c>
      <c r="C385" s="679">
        <f t="shared" si="21"/>
        <v>2385</v>
      </c>
      <c r="D385" s="679">
        <v>100</v>
      </c>
      <c r="E385" s="679">
        <v>416</v>
      </c>
      <c r="F385" s="679">
        <v>342</v>
      </c>
      <c r="G385" s="679">
        <v>560</v>
      </c>
      <c r="H385" s="679">
        <v>163</v>
      </c>
      <c r="I385" s="679">
        <v>164</v>
      </c>
      <c r="J385" s="679">
        <v>35</v>
      </c>
      <c r="K385" s="679">
        <v>70</v>
      </c>
      <c r="L385" s="679">
        <v>44</v>
      </c>
      <c r="M385" s="679">
        <v>358</v>
      </c>
      <c r="N385" s="679">
        <v>133</v>
      </c>
    </row>
    <row r="386" spans="1:14" s="667" customFormat="1" ht="9" customHeight="1" x14ac:dyDescent="0.25">
      <c r="A386" s="671" t="s">
        <v>26</v>
      </c>
      <c r="B386" s="671"/>
      <c r="C386" s="683">
        <f t="shared" si="21"/>
        <v>3516</v>
      </c>
      <c r="D386" s="683">
        <v>121</v>
      </c>
      <c r="E386" s="683">
        <v>459</v>
      </c>
      <c r="F386" s="683">
        <v>552</v>
      </c>
      <c r="G386" s="683">
        <v>778</v>
      </c>
      <c r="H386" s="683">
        <v>284</v>
      </c>
      <c r="I386" s="683">
        <v>407</v>
      </c>
      <c r="J386" s="683">
        <v>81</v>
      </c>
      <c r="K386" s="683">
        <v>96</v>
      </c>
      <c r="L386" s="683">
        <v>41</v>
      </c>
      <c r="M386" s="683">
        <v>415</v>
      </c>
      <c r="N386" s="683">
        <v>282</v>
      </c>
    </row>
    <row r="387" spans="1:14" s="667" customFormat="1" ht="9" customHeight="1" x14ac:dyDescent="0.25">
      <c r="A387" s="667" t="s">
        <v>27</v>
      </c>
      <c r="C387" s="679">
        <f t="shared" si="21"/>
        <v>12981</v>
      </c>
      <c r="D387" s="679">
        <v>367</v>
      </c>
      <c r="E387" s="679">
        <v>1859</v>
      </c>
      <c r="F387" s="679">
        <v>2585</v>
      </c>
      <c r="G387" s="679">
        <v>3569</v>
      </c>
      <c r="H387" s="679">
        <v>917</v>
      </c>
      <c r="I387" s="679">
        <v>1007</v>
      </c>
      <c r="J387" s="679">
        <v>360</v>
      </c>
      <c r="K387" s="679">
        <v>193</v>
      </c>
      <c r="L387" s="679">
        <v>150</v>
      </c>
      <c r="M387" s="679">
        <v>1197</v>
      </c>
      <c r="N387" s="679">
        <v>777</v>
      </c>
    </row>
    <row r="388" spans="1:14" s="667" customFormat="1" ht="9" customHeight="1" x14ac:dyDescent="0.25">
      <c r="A388" s="667" t="s">
        <v>28</v>
      </c>
      <c r="C388" s="679">
        <f t="shared" si="21"/>
        <v>3052</v>
      </c>
      <c r="D388" s="679">
        <v>106</v>
      </c>
      <c r="E388" s="679">
        <v>440</v>
      </c>
      <c r="F388" s="679">
        <v>513</v>
      </c>
      <c r="G388" s="679">
        <v>731</v>
      </c>
      <c r="H388" s="679">
        <v>247</v>
      </c>
      <c r="I388" s="679">
        <v>286</v>
      </c>
      <c r="J388" s="679">
        <v>85</v>
      </c>
      <c r="K388" s="679">
        <v>64</v>
      </c>
      <c r="L388" s="679">
        <v>45</v>
      </c>
      <c r="M388" s="679">
        <v>335</v>
      </c>
      <c r="N388" s="679">
        <v>200</v>
      </c>
    </row>
    <row r="389" spans="1:14" s="667" customFormat="1" ht="9" customHeight="1" x14ac:dyDescent="0.25">
      <c r="A389" s="667" t="s">
        <v>29</v>
      </c>
      <c r="C389" s="679">
        <f t="shared" si="21"/>
        <v>19570</v>
      </c>
      <c r="D389" s="679">
        <v>1218</v>
      </c>
      <c r="E389" s="679">
        <v>2528</v>
      </c>
      <c r="F389" s="679">
        <v>2667</v>
      </c>
      <c r="G389" s="679">
        <v>3275</v>
      </c>
      <c r="H389" s="679">
        <v>1681</v>
      </c>
      <c r="I389" s="679">
        <v>1910</v>
      </c>
      <c r="J389" s="679">
        <v>666</v>
      </c>
      <c r="K389" s="679">
        <v>602</v>
      </c>
      <c r="L389" s="679">
        <v>295</v>
      </c>
      <c r="M389" s="679">
        <v>2138</v>
      </c>
      <c r="N389" s="679">
        <v>2590</v>
      </c>
    </row>
    <row r="390" spans="1:14" s="667" customFormat="1" ht="9" customHeight="1" x14ac:dyDescent="0.25">
      <c r="A390" s="671" t="s">
        <v>30</v>
      </c>
      <c r="B390" s="671"/>
      <c r="C390" s="683">
        <f t="shared" si="21"/>
        <v>21066</v>
      </c>
      <c r="D390" s="683">
        <v>685</v>
      </c>
      <c r="E390" s="683">
        <v>2499</v>
      </c>
      <c r="F390" s="683">
        <v>2774</v>
      </c>
      <c r="G390" s="683">
        <v>4818</v>
      </c>
      <c r="H390" s="683">
        <v>1558</v>
      </c>
      <c r="I390" s="683">
        <v>1574</v>
      </c>
      <c r="J390" s="683">
        <v>431</v>
      </c>
      <c r="K390" s="683">
        <v>547</v>
      </c>
      <c r="L390" s="683">
        <v>281</v>
      </c>
      <c r="M390" s="683">
        <v>4792</v>
      </c>
      <c r="N390" s="683">
        <v>1107</v>
      </c>
    </row>
    <row r="391" spans="1:14" s="667" customFormat="1" ht="9" customHeight="1" x14ac:dyDescent="0.25">
      <c r="A391" s="667" t="s">
        <v>171</v>
      </c>
      <c r="C391" s="679">
        <f t="shared" si="21"/>
        <v>52404</v>
      </c>
      <c r="D391" s="679">
        <v>1615</v>
      </c>
      <c r="E391" s="679">
        <v>7525</v>
      </c>
      <c r="F391" s="679">
        <v>9829</v>
      </c>
      <c r="G391" s="679">
        <v>14140</v>
      </c>
      <c r="H391" s="679">
        <v>4726</v>
      </c>
      <c r="I391" s="679">
        <v>5206</v>
      </c>
      <c r="J391" s="679">
        <v>1512</v>
      </c>
      <c r="K391" s="679">
        <v>1151</v>
      </c>
      <c r="L391" s="679">
        <v>727</v>
      </c>
      <c r="M391" s="679">
        <v>3445</v>
      </c>
      <c r="N391" s="679">
        <v>2528</v>
      </c>
    </row>
    <row r="392" spans="1:14" s="667" customFormat="1" ht="9" customHeight="1" x14ac:dyDescent="0.25">
      <c r="A392" s="667" t="s">
        <v>31</v>
      </c>
      <c r="C392" s="679">
        <f t="shared" si="21"/>
        <v>8628</v>
      </c>
      <c r="D392" s="679">
        <v>210</v>
      </c>
      <c r="E392" s="679">
        <v>1089</v>
      </c>
      <c r="F392" s="679">
        <v>1360</v>
      </c>
      <c r="G392" s="679">
        <v>2215</v>
      </c>
      <c r="H392" s="679">
        <v>752</v>
      </c>
      <c r="I392" s="679">
        <v>694</v>
      </c>
      <c r="J392" s="679">
        <v>200</v>
      </c>
      <c r="K392" s="679">
        <v>191</v>
      </c>
      <c r="L392" s="679">
        <v>101</v>
      </c>
      <c r="M392" s="679">
        <v>1323</v>
      </c>
      <c r="N392" s="679">
        <v>493</v>
      </c>
    </row>
    <row r="393" spans="1:14" s="667" customFormat="1" ht="9" customHeight="1" x14ac:dyDescent="0.25">
      <c r="A393" s="667" t="s">
        <v>32</v>
      </c>
      <c r="C393" s="679">
        <f t="shared" si="21"/>
        <v>25104</v>
      </c>
      <c r="D393" s="679">
        <v>494</v>
      </c>
      <c r="E393" s="679">
        <v>2983</v>
      </c>
      <c r="F393" s="679">
        <v>4963</v>
      </c>
      <c r="G393" s="679">
        <v>5877</v>
      </c>
      <c r="H393" s="679">
        <v>2420</v>
      </c>
      <c r="I393" s="679">
        <v>2267</v>
      </c>
      <c r="J393" s="679">
        <v>711</v>
      </c>
      <c r="K393" s="679">
        <v>853</v>
      </c>
      <c r="L393" s="679">
        <v>499</v>
      </c>
      <c r="M393" s="679">
        <v>2516</v>
      </c>
      <c r="N393" s="679">
        <v>1521</v>
      </c>
    </row>
    <row r="394" spans="1:14" s="667" customFormat="1" ht="9" customHeight="1" x14ac:dyDescent="0.25">
      <c r="A394" s="671" t="s">
        <v>33</v>
      </c>
      <c r="B394" s="671"/>
      <c r="C394" s="683">
        <f t="shared" si="21"/>
        <v>14262</v>
      </c>
      <c r="D394" s="683">
        <v>607</v>
      </c>
      <c r="E394" s="683">
        <v>1777</v>
      </c>
      <c r="F394" s="683">
        <v>2224</v>
      </c>
      <c r="G394" s="683">
        <v>2993</v>
      </c>
      <c r="H394" s="683">
        <v>983</v>
      </c>
      <c r="I394" s="683">
        <v>1099</v>
      </c>
      <c r="J394" s="683">
        <v>420</v>
      </c>
      <c r="K394" s="683">
        <v>388</v>
      </c>
      <c r="L394" s="683">
        <v>231</v>
      </c>
      <c r="M394" s="683">
        <v>2422</v>
      </c>
      <c r="N394" s="683">
        <v>1118</v>
      </c>
    </row>
    <row r="395" spans="1:14" s="667" customFormat="1" ht="9" customHeight="1" x14ac:dyDescent="0.25">
      <c r="A395" s="667" t="s">
        <v>34</v>
      </c>
      <c r="C395" s="679">
        <f t="shared" si="21"/>
        <v>12363</v>
      </c>
      <c r="D395" s="679">
        <v>256</v>
      </c>
      <c r="E395" s="679">
        <v>1611</v>
      </c>
      <c r="F395" s="679">
        <v>2009</v>
      </c>
      <c r="G395" s="679">
        <v>3146</v>
      </c>
      <c r="H395" s="679">
        <v>967</v>
      </c>
      <c r="I395" s="679">
        <v>1536</v>
      </c>
      <c r="J395" s="679">
        <v>357</v>
      </c>
      <c r="K395" s="679">
        <v>301</v>
      </c>
      <c r="L395" s="679">
        <v>191</v>
      </c>
      <c r="M395" s="679">
        <v>1250</v>
      </c>
      <c r="N395" s="679">
        <v>739</v>
      </c>
    </row>
    <row r="396" spans="1:14" s="667" customFormat="1" ht="9" customHeight="1" x14ac:dyDescent="0.25">
      <c r="A396" s="667" t="s">
        <v>35</v>
      </c>
      <c r="C396" s="679">
        <f t="shared" si="21"/>
        <v>35862</v>
      </c>
      <c r="D396" s="679">
        <v>1175</v>
      </c>
      <c r="E396" s="679">
        <v>5208</v>
      </c>
      <c r="F396" s="679">
        <v>5975</v>
      </c>
      <c r="G396" s="679">
        <v>8156</v>
      </c>
      <c r="H396" s="679">
        <v>3498</v>
      </c>
      <c r="I396" s="679">
        <v>3230</v>
      </c>
      <c r="J396" s="679">
        <v>1253</v>
      </c>
      <c r="K396" s="679">
        <v>910</v>
      </c>
      <c r="L396" s="679">
        <v>622</v>
      </c>
      <c r="M396" s="679">
        <v>3761</v>
      </c>
      <c r="N396" s="679">
        <v>2074</v>
      </c>
    </row>
    <row r="397" spans="1:14" s="667" customFormat="1" ht="9" customHeight="1" x14ac:dyDescent="0.25">
      <c r="A397" s="667" t="s">
        <v>36</v>
      </c>
      <c r="C397" s="679">
        <f t="shared" si="21"/>
        <v>63389</v>
      </c>
      <c r="D397" s="679">
        <v>1903</v>
      </c>
      <c r="E397" s="679">
        <v>7601</v>
      </c>
      <c r="F397" s="679">
        <v>12113</v>
      </c>
      <c r="G397" s="679">
        <v>13171</v>
      </c>
      <c r="H397" s="679">
        <v>5693</v>
      </c>
      <c r="I397" s="679">
        <v>7407</v>
      </c>
      <c r="J397" s="679">
        <v>1911</v>
      </c>
      <c r="K397" s="679">
        <v>2516</v>
      </c>
      <c r="L397" s="679">
        <v>1364</v>
      </c>
      <c r="M397" s="679">
        <v>6497</v>
      </c>
      <c r="N397" s="679">
        <v>3213</v>
      </c>
    </row>
    <row r="398" spans="1:14" s="667" customFormat="1" ht="9" customHeight="1" x14ac:dyDescent="0.25">
      <c r="A398" s="671" t="s">
        <v>37</v>
      </c>
      <c r="B398" s="671"/>
      <c r="C398" s="683">
        <f t="shared" si="21"/>
        <v>22035</v>
      </c>
      <c r="D398" s="683">
        <v>488</v>
      </c>
      <c r="E398" s="683">
        <v>2786</v>
      </c>
      <c r="F398" s="683">
        <v>3839</v>
      </c>
      <c r="G398" s="683">
        <v>5134</v>
      </c>
      <c r="H398" s="683">
        <v>1865</v>
      </c>
      <c r="I398" s="683">
        <v>1852</v>
      </c>
      <c r="J398" s="683">
        <v>586</v>
      </c>
      <c r="K398" s="683">
        <v>512</v>
      </c>
      <c r="L398" s="683">
        <v>317</v>
      </c>
      <c r="M398" s="683">
        <v>3135</v>
      </c>
      <c r="N398" s="683">
        <v>1521</v>
      </c>
    </row>
    <row r="399" spans="1:14" s="667" customFormat="1" ht="9" customHeight="1" x14ac:dyDescent="0.25">
      <c r="A399" s="667" t="s">
        <v>38</v>
      </c>
      <c r="C399" s="679">
        <f t="shared" si="21"/>
        <v>8951</v>
      </c>
      <c r="D399" s="679">
        <v>313</v>
      </c>
      <c r="E399" s="679">
        <v>1197</v>
      </c>
      <c r="F399" s="679">
        <v>1756</v>
      </c>
      <c r="G399" s="679">
        <v>1983</v>
      </c>
      <c r="H399" s="679">
        <v>760</v>
      </c>
      <c r="I399" s="679">
        <v>975</v>
      </c>
      <c r="J399" s="679">
        <v>290</v>
      </c>
      <c r="K399" s="679">
        <v>206</v>
      </c>
      <c r="L399" s="679">
        <v>133</v>
      </c>
      <c r="M399" s="679">
        <v>881</v>
      </c>
      <c r="N399" s="679">
        <v>457</v>
      </c>
    </row>
    <row r="400" spans="1:14" s="667" customFormat="1" ht="9" customHeight="1" x14ac:dyDescent="0.25">
      <c r="A400" s="667" t="s">
        <v>39</v>
      </c>
      <c r="C400" s="679">
        <f t="shared" si="21"/>
        <v>5298</v>
      </c>
      <c r="D400" s="679">
        <v>251</v>
      </c>
      <c r="E400" s="679">
        <v>769</v>
      </c>
      <c r="F400" s="679">
        <v>778</v>
      </c>
      <c r="G400" s="679">
        <v>1257</v>
      </c>
      <c r="H400" s="679">
        <v>461</v>
      </c>
      <c r="I400" s="679">
        <v>399</v>
      </c>
      <c r="J400" s="679">
        <v>158</v>
      </c>
      <c r="K400" s="679">
        <v>95</v>
      </c>
      <c r="L400" s="679">
        <v>58</v>
      </c>
      <c r="M400" s="679">
        <v>708</v>
      </c>
      <c r="N400" s="679">
        <v>364</v>
      </c>
    </row>
    <row r="401" spans="1:14" s="667" customFormat="1" ht="9" customHeight="1" x14ac:dyDescent="0.25">
      <c r="A401" s="667" t="s">
        <v>40</v>
      </c>
      <c r="C401" s="679">
        <f t="shared" si="21"/>
        <v>20418</v>
      </c>
      <c r="D401" s="679">
        <v>709</v>
      </c>
      <c r="E401" s="679">
        <v>3122</v>
      </c>
      <c r="F401" s="679">
        <v>3273</v>
      </c>
      <c r="G401" s="679">
        <v>5617</v>
      </c>
      <c r="H401" s="679">
        <v>1838</v>
      </c>
      <c r="I401" s="679">
        <v>1777</v>
      </c>
      <c r="J401" s="679">
        <v>523</v>
      </c>
      <c r="K401" s="679">
        <v>431</v>
      </c>
      <c r="L401" s="679">
        <v>294</v>
      </c>
      <c r="M401" s="679">
        <v>1658</v>
      </c>
      <c r="N401" s="679">
        <v>1176</v>
      </c>
    </row>
    <row r="402" spans="1:14" s="667" customFormat="1" ht="9" customHeight="1" x14ac:dyDescent="0.25">
      <c r="A402" s="671" t="s">
        <v>41</v>
      </c>
      <c r="B402" s="671"/>
      <c r="C402" s="683">
        <f t="shared" si="21"/>
        <v>19990</v>
      </c>
      <c r="D402" s="683">
        <v>885</v>
      </c>
      <c r="E402" s="683">
        <v>2271</v>
      </c>
      <c r="F402" s="683">
        <v>3091</v>
      </c>
      <c r="G402" s="683">
        <v>4512</v>
      </c>
      <c r="H402" s="683">
        <v>1347</v>
      </c>
      <c r="I402" s="683">
        <v>2001</v>
      </c>
      <c r="J402" s="683">
        <v>628</v>
      </c>
      <c r="K402" s="683">
        <v>492</v>
      </c>
      <c r="L402" s="683">
        <v>279</v>
      </c>
      <c r="M402" s="683">
        <v>2196</v>
      </c>
      <c r="N402" s="683">
        <v>2288</v>
      </c>
    </row>
    <row r="403" spans="1:14" s="667" customFormat="1" ht="9" customHeight="1" x14ac:dyDescent="0.25">
      <c r="A403" s="667" t="s">
        <v>42</v>
      </c>
      <c r="C403" s="679">
        <f t="shared" si="21"/>
        <v>29320</v>
      </c>
      <c r="D403" s="679">
        <v>899</v>
      </c>
      <c r="E403" s="679">
        <v>3180</v>
      </c>
      <c r="F403" s="679">
        <v>5158</v>
      </c>
      <c r="G403" s="679">
        <v>6094</v>
      </c>
      <c r="H403" s="679">
        <v>2474</v>
      </c>
      <c r="I403" s="679">
        <v>3645</v>
      </c>
      <c r="J403" s="679">
        <v>1095</v>
      </c>
      <c r="K403" s="679">
        <v>1101</v>
      </c>
      <c r="L403" s="679">
        <v>643</v>
      </c>
      <c r="M403" s="679">
        <v>2542</v>
      </c>
      <c r="N403" s="679">
        <v>2489</v>
      </c>
    </row>
    <row r="404" spans="1:14" s="667" customFormat="1" ht="9" customHeight="1" x14ac:dyDescent="0.25">
      <c r="A404" s="667" t="s">
        <v>43</v>
      </c>
      <c r="C404" s="679">
        <f t="shared" si="21"/>
        <v>7452</v>
      </c>
      <c r="D404" s="679">
        <v>195</v>
      </c>
      <c r="E404" s="679">
        <v>909</v>
      </c>
      <c r="F404" s="679">
        <v>1168</v>
      </c>
      <c r="G404" s="679">
        <v>1698</v>
      </c>
      <c r="H404" s="679">
        <v>605</v>
      </c>
      <c r="I404" s="679">
        <v>982</v>
      </c>
      <c r="J404" s="679">
        <v>189</v>
      </c>
      <c r="K404" s="679">
        <v>236</v>
      </c>
      <c r="L404" s="679">
        <v>170</v>
      </c>
      <c r="M404" s="679">
        <v>758</v>
      </c>
      <c r="N404" s="679">
        <v>542</v>
      </c>
    </row>
    <row r="405" spans="1:14" s="667" customFormat="1" ht="9" customHeight="1" x14ac:dyDescent="0.25">
      <c r="A405" s="667" t="s">
        <v>44</v>
      </c>
      <c r="C405" s="679">
        <f t="shared" si="21"/>
        <v>3849</v>
      </c>
      <c r="D405" s="679">
        <v>197</v>
      </c>
      <c r="E405" s="679">
        <v>421</v>
      </c>
      <c r="F405" s="679">
        <v>543</v>
      </c>
      <c r="G405" s="679">
        <v>568</v>
      </c>
      <c r="H405" s="679">
        <v>256</v>
      </c>
      <c r="I405" s="679">
        <v>415</v>
      </c>
      <c r="J405" s="679">
        <v>104</v>
      </c>
      <c r="K405" s="679">
        <v>203</v>
      </c>
      <c r="L405" s="679">
        <v>103</v>
      </c>
      <c r="M405" s="679">
        <v>759</v>
      </c>
      <c r="N405" s="679">
        <v>280</v>
      </c>
    </row>
    <row r="406" spans="1:14" s="667" customFormat="1" ht="9" customHeight="1" x14ac:dyDescent="0.25">
      <c r="A406" s="671" t="s">
        <v>45</v>
      </c>
      <c r="B406" s="671"/>
      <c r="C406" s="683">
        <f t="shared" si="21"/>
        <v>12263</v>
      </c>
      <c r="D406" s="683">
        <v>354</v>
      </c>
      <c r="E406" s="683">
        <v>1680</v>
      </c>
      <c r="F406" s="683">
        <v>1966</v>
      </c>
      <c r="G406" s="683">
        <v>3023</v>
      </c>
      <c r="H406" s="683">
        <v>1107</v>
      </c>
      <c r="I406" s="683">
        <v>1055</v>
      </c>
      <c r="J406" s="683">
        <v>322</v>
      </c>
      <c r="K406" s="683">
        <v>234</v>
      </c>
      <c r="L406" s="683">
        <v>202</v>
      </c>
      <c r="M406" s="683">
        <v>1251</v>
      </c>
      <c r="N406" s="683">
        <v>1069</v>
      </c>
    </row>
    <row r="407" spans="1:14" s="667" customFormat="1" ht="9" customHeight="1" x14ac:dyDescent="0.25">
      <c r="A407" s="667" t="s">
        <v>46</v>
      </c>
      <c r="C407" s="679">
        <f t="shared" si="21"/>
        <v>13299</v>
      </c>
      <c r="D407" s="679">
        <v>472</v>
      </c>
      <c r="E407" s="679">
        <v>2046</v>
      </c>
      <c r="F407" s="679">
        <v>1797</v>
      </c>
      <c r="G407" s="679">
        <v>3431</v>
      </c>
      <c r="H407" s="679">
        <v>1096</v>
      </c>
      <c r="I407" s="679">
        <v>715</v>
      </c>
      <c r="J407" s="679">
        <v>361</v>
      </c>
      <c r="K407" s="679">
        <v>198</v>
      </c>
      <c r="L407" s="679">
        <v>180</v>
      </c>
      <c r="M407" s="679">
        <v>2271</v>
      </c>
      <c r="N407" s="679">
        <v>732</v>
      </c>
    </row>
    <row r="408" spans="1:14" s="667" customFormat="1" ht="9" customHeight="1" x14ac:dyDescent="0.25">
      <c r="A408" s="667" t="s">
        <v>47</v>
      </c>
      <c r="C408" s="679">
        <f t="shared" si="21"/>
        <v>13210</v>
      </c>
      <c r="D408" s="679">
        <v>479</v>
      </c>
      <c r="E408" s="679">
        <v>1990</v>
      </c>
      <c r="F408" s="679">
        <v>1897</v>
      </c>
      <c r="G408" s="679">
        <v>3576</v>
      </c>
      <c r="H408" s="679">
        <v>1124</v>
      </c>
      <c r="I408" s="679">
        <v>806</v>
      </c>
      <c r="J408" s="679">
        <v>344</v>
      </c>
      <c r="K408" s="679">
        <v>320</v>
      </c>
      <c r="L408" s="679">
        <v>179</v>
      </c>
      <c r="M408" s="679">
        <v>1653</v>
      </c>
      <c r="N408" s="679">
        <v>842</v>
      </c>
    </row>
    <row r="409" spans="1:14" s="667" customFormat="1" ht="9" customHeight="1" x14ac:dyDescent="0.25">
      <c r="A409" s="667" t="s">
        <v>48</v>
      </c>
      <c r="C409" s="679">
        <f t="shared" si="21"/>
        <v>9536</v>
      </c>
      <c r="D409" s="679">
        <v>433</v>
      </c>
      <c r="E409" s="679">
        <v>1262</v>
      </c>
      <c r="F409" s="679">
        <v>1725</v>
      </c>
      <c r="G409" s="679">
        <v>2077</v>
      </c>
      <c r="H409" s="679">
        <v>663</v>
      </c>
      <c r="I409" s="679">
        <v>651</v>
      </c>
      <c r="J409" s="679">
        <v>262</v>
      </c>
      <c r="K409" s="679">
        <v>235</v>
      </c>
      <c r="L409" s="679">
        <v>194</v>
      </c>
      <c r="M409" s="679">
        <v>1413</v>
      </c>
      <c r="N409" s="679">
        <v>621</v>
      </c>
    </row>
    <row r="410" spans="1:14" s="667" customFormat="1" ht="9" customHeight="1" x14ac:dyDescent="0.25">
      <c r="A410" s="671" t="s">
        <v>49</v>
      </c>
      <c r="B410" s="671"/>
      <c r="C410" s="683">
        <f t="shared" si="21"/>
        <v>14870</v>
      </c>
      <c r="D410" s="683">
        <v>565</v>
      </c>
      <c r="E410" s="683">
        <v>2260</v>
      </c>
      <c r="F410" s="683">
        <v>2567</v>
      </c>
      <c r="G410" s="683">
        <v>3980</v>
      </c>
      <c r="H410" s="683">
        <v>1062</v>
      </c>
      <c r="I410" s="683">
        <v>1092</v>
      </c>
      <c r="J410" s="683">
        <v>412</v>
      </c>
      <c r="K410" s="683">
        <v>445</v>
      </c>
      <c r="L410" s="683">
        <v>239</v>
      </c>
      <c r="M410" s="683">
        <v>1538</v>
      </c>
      <c r="N410" s="683">
        <v>710</v>
      </c>
    </row>
    <row r="411" spans="1:14" s="667" customFormat="1" ht="9" customHeight="1" x14ac:dyDescent="0.25">
      <c r="A411" s="667" t="s">
        <v>50</v>
      </c>
      <c r="C411" s="679">
        <f t="shared" si="21"/>
        <v>5130</v>
      </c>
      <c r="D411" s="679">
        <v>111</v>
      </c>
      <c r="E411" s="679">
        <v>629</v>
      </c>
      <c r="F411" s="679">
        <v>1038</v>
      </c>
      <c r="G411" s="679">
        <v>1023</v>
      </c>
      <c r="H411" s="679">
        <v>380</v>
      </c>
      <c r="I411" s="679">
        <v>532</v>
      </c>
      <c r="J411" s="679">
        <v>238</v>
      </c>
      <c r="K411" s="679">
        <v>173</v>
      </c>
      <c r="L411" s="679">
        <v>92</v>
      </c>
      <c r="M411" s="679">
        <v>487</v>
      </c>
      <c r="N411" s="679">
        <v>427</v>
      </c>
    </row>
    <row r="412" spans="1:14" s="667" customFormat="1" ht="9" customHeight="1" x14ac:dyDescent="0.25">
      <c r="A412" s="667" t="s">
        <v>51</v>
      </c>
      <c r="C412" s="679">
        <f t="shared" si="21"/>
        <v>41273</v>
      </c>
      <c r="D412" s="679">
        <v>1660</v>
      </c>
      <c r="E412" s="679">
        <v>5559</v>
      </c>
      <c r="F412" s="679">
        <v>7095</v>
      </c>
      <c r="G412" s="679">
        <v>9919</v>
      </c>
      <c r="H412" s="679">
        <v>2983</v>
      </c>
      <c r="I412" s="679">
        <v>4413</v>
      </c>
      <c r="J412" s="679">
        <v>1393</v>
      </c>
      <c r="K412" s="679">
        <v>1057</v>
      </c>
      <c r="L412" s="679">
        <v>644</v>
      </c>
      <c r="M412" s="679">
        <v>3426</v>
      </c>
      <c r="N412" s="679">
        <v>3124</v>
      </c>
    </row>
    <row r="413" spans="1:14" s="673" customFormat="1" ht="9" customHeight="1" x14ac:dyDescent="0.25">
      <c r="A413" s="673" t="s">
        <v>52</v>
      </c>
      <c r="C413" s="684">
        <f t="shared" si="21"/>
        <v>10172</v>
      </c>
      <c r="D413" s="684">
        <v>345</v>
      </c>
      <c r="E413" s="684">
        <v>1288</v>
      </c>
      <c r="F413" s="684">
        <v>1348</v>
      </c>
      <c r="G413" s="684">
        <v>2580</v>
      </c>
      <c r="H413" s="684">
        <v>888</v>
      </c>
      <c r="I413" s="684">
        <v>1205</v>
      </c>
      <c r="J413" s="684">
        <v>357</v>
      </c>
      <c r="K413" s="684">
        <v>248</v>
      </c>
      <c r="L413" s="684">
        <v>182</v>
      </c>
      <c r="M413" s="684">
        <v>777</v>
      </c>
      <c r="N413" s="684">
        <v>954</v>
      </c>
    </row>
    <row r="414" spans="1:14" s="667" customFormat="1" ht="9" customHeight="1" x14ac:dyDescent="0.25">
      <c r="A414" s="671" t="s">
        <v>53</v>
      </c>
      <c r="B414" s="671"/>
      <c r="C414" s="683">
        <f t="shared" si="21"/>
        <v>7633</v>
      </c>
      <c r="D414" s="683">
        <v>181</v>
      </c>
      <c r="E414" s="683">
        <v>988</v>
      </c>
      <c r="F414" s="683">
        <v>1231</v>
      </c>
      <c r="G414" s="683">
        <v>1818</v>
      </c>
      <c r="H414" s="683">
        <v>859</v>
      </c>
      <c r="I414" s="683">
        <v>617</v>
      </c>
      <c r="J414" s="683">
        <v>200</v>
      </c>
      <c r="K414" s="683">
        <v>175</v>
      </c>
      <c r="L414" s="683">
        <v>106</v>
      </c>
      <c r="M414" s="683">
        <v>915</v>
      </c>
      <c r="N414" s="683">
        <v>543</v>
      </c>
    </row>
    <row r="415" spans="1:14" s="667" customFormat="1" ht="9" customHeight="1" x14ac:dyDescent="0.25">
      <c r="A415" s="664" t="s">
        <v>434</v>
      </c>
      <c r="B415" s="664"/>
      <c r="C415" s="679">
        <f t="shared" si="21"/>
        <v>1242</v>
      </c>
      <c r="D415" s="679">
        <v>18</v>
      </c>
      <c r="E415" s="679">
        <v>136</v>
      </c>
      <c r="F415" s="679">
        <v>91</v>
      </c>
      <c r="G415" s="679">
        <v>317</v>
      </c>
      <c r="H415" s="679">
        <v>54</v>
      </c>
      <c r="I415" s="679">
        <v>40</v>
      </c>
      <c r="J415" s="679">
        <v>10</v>
      </c>
      <c r="K415" s="679">
        <v>1</v>
      </c>
      <c r="L415" s="679">
        <v>5</v>
      </c>
      <c r="M415" s="679">
        <v>530</v>
      </c>
      <c r="N415" s="679">
        <v>40</v>
      </c>
    </row>
    <row r="416" spans="1:14" s="667" customFormat="1" ht="9" customHeight="1" x14ac:dyDescent="0.25">
      <c r="A416" s="664"/>
      <c r="B416" s="664"/>
      <c r="C416" s="679"/>
      <c r="D416" s="679"/>
      <c r="E416" s="679"/>
      <c r="F416" s="679"/>
      <c r="G416" s="679"/>
      <c r="H416" s="679"/>
      <c r="I416" s="679"/>
      <c r="J416" s="679"/>
      <c r="K416" s="679"/>
      <c r="L416" s="679"/>
      <c r="M416" s="679"/>
      <c r="N416" s="679"/>
    </row>
    <row r="417" spans="1:15" s="667" customFormat="1" ht="9" customHeight="1" x14ac:dyDescent="0.15">
      <c r="A417" s="687">
        <v>2009</v>
      </c>
      <c r="B417" s="664"/>
      <c r="C417" s="665"/>
      <c r="D417" s="665"/>
      <c r="E417" s="665"/>
      <c r="F417" s="666"/>
      <c r="G417" s="666"/>
      <c r="H417" s="666"/>
      <c r="I417" s="666"/>
      <c r="J417" s="665"/>
      <c r="K417" s="665"/>
      <c r="L417" s="665"/>
      <c r="M417" s="665"/>
      <c r="N417" s="665"/>
    </row>
    <row r="418" spans="1:15" s="668" customFormat="1" ht="9" customHeight="1" x14ac:dyDescent="0.25">
      <c r="A418" s="668" t="s">
        <v>13</v>
      </c>
      <c r="C418" s="682">
        <f t="shared" ref="C418:N418" si="22">SUM(C420:C453)</f>
        <v>564673</v>
      </c>
      <c r="D418" s="682">
        <f t="shared" si="22"/>
        <v>17252</v>
      </c>
      <c r="E418" s="682">
        <f t="shared" si="22"/>
        <v>72627</v>
      </c>
      <c r="F418" s="682">
        <f t="shared" si="22"/>
        <v>93438</v>
      </c>
      <c r="G418" s="682">
        <f t="shared" si="22"/>
        <v>131832</v>
      </c>
      <c r="H418" s="682">
        <f t="shared" si="22"/>
        <v>49901</v>
      </c>
      <c r="I418" s="682">
        <f t="shared" si="22"/>
        <v>53229</v>
      </c>
      <c r="J418" s="682">
        <f t="shared" si="22"/>
        <v>16626</v>
      </c>
      <c r="K418" s="682">
        <f t="shared" si="22"/>
        <v>14728</v>
      </c>
      <c r="L418" s="682">
        <f t="shared" si="22"/>
        <v>9072</v>
      </c>
      <c r="M418" s="682">
        <f t="shared" si="22"/>
        <v>67409</v>
      </c>
      <c r="N418" s="682">
        <f t="shared" si="22"/>
        <v>38559</v>
      </c>
      <c r="O418" s="682"/>
    </row>
    <row r="419" spans="1:15" s="668" customFormat="1" ht="5.25" customHeight="1" x14ac:dyDescent="0.25">
      <c r="C419" s="682"/>
      <c r="D419" s="682"/>
      <c r="E419" s="682"/>
      <c r="F419" s="682"/>
      <c r="G419" s="682"/>
      <c r="H419" s="682"/>
      <c r="I419" s="682"/>
      <c r="J419" s="682"/>
      <c r="K419" s="682"/>
      <c r="L419" s="682"/>
      <c r="M419" s="682"/>
      <c r="N419" s="682"/>
    </row>
    <row r="420" spans="1:15" s="667" customFormat="1" ht="9" customHeight="1" x14ac:dyDescent="0.25">
      <c r="A420" s="667" t="s">
        <v>23</v>
      </c>
      <c r="C420" s="679">
        <f t="shared" ref="C420:C453" si="23">SUM(D420:N420)</f>
        <v>4987</v>
      </c>
      <c r="D420" s="679">
        <v>120</v>
      </c>
      <c r="E420" s="679">
        <v>713</v>
      </c>
      <c r="F420" s="679">
        <v>855</v>
      </c>
      <c r="G420" s="679">
        <v>1065</v>
      </c>
      <c r="H420" s="679">
        <v>572</v>
      </c>
      <c r="I420" s="679">
        <v>441</v>
      </c>
      <c r="J420" s="679">
        <v>148</v>
      </c>
      <c r="K420" s="679">
        <v>112</v>
      </c>
      <c r="L420" s="679">
        <v>88</v>
      </c>
      <c r="M420" s="679">
        <v>536</v>
      </c>
      <c r="N420" s="679">
        <v>337</v>
      </c>
      <c r="O420" s="679"/>
    </row>
    <row r="421" spans="1:15" s="667" customFormat="1" ht="9" customHeight="1" x14ac:dyDescent="0.25">
      <c r="A421" s="667" t="s">
        <v>24</v>
      </c>
      <c r="C421" s="679">
        <f t="shared" si="23"/>
        <v>15232</v>
      </c>
      <c r="D421" s="679">
        <v>808</v>
      </c>
      <c r="E421" s="679">
        <v>1949</v>
      </c>
      <c r="F421" s="679">
        <v>1931</v>
      </c>
      <c r="G421" s="679">
        <v>3469</v>
      </c>
      <c r="H421" s="679">
        <v>1250</v>
      </c>
      <c r="I421" s="679">
        <v>1111</v>
      </c>
      <c r="J421" s="679">
        <v>331</v>
      </c>
      <c r="K421" s="679">
        <v>398</v>
      </c>
      <c r="L421" s="679">
        <v>245</v>
      </c>
      <c r="M421" s="679">
        <v>3021</v>
      </c>
      <c r="N421" s="679">
        <v>719</v>
      </c>
    </row>
    <row r="422" spans="1:15" s="667" customFormat="1" ht="9" customHeight="1" x14ac:dyDescent="0.25">
      <c r="A422" s="667" t="s">
        <v>25</v>
      </c>
      <c r="C422" s="679">
        <f t="shared" si="23"/>
        <v>2476</v>
      </c>
      <c r="D422" s="679">
        <v>84</v>
      </c>
      <c r="E422" s="679">
        <v>410</v>
      </c>
      <c r="F422" s="679">
        <v>343</v>
      </c>
      <c r="G422" s="679">
        <v>633</v>
      </c>
      <c r="H422" s="679">
        <v>222</v>
      </c>
      <c r="I422" s="679">
        <v>181</v>
      </c>
      <c r="J422" s="679">
        <v>57</v>
      </c>
      <c r="K422" s="679">
        <v>80</v>
      </c>
      <c r="L422" s="679">
        <v>51</v>
      </c>
      <c r="M422" s="679">
        <v>299</v>
      </c>
      <c r="N422" s="679">
        <v>116</v>
      </c>
    </row>
    <row r="423" spans="1:15" s="667" customFormat="1" ht="9" customHeight="1" x14ac:dyDescent="0.25">
      <c r="A423" s="671" t="s">
        <v>26</v>
      </c>
      <c r="B423" s="671"/>
      <c r="C423" s="683">
        <f t="shared" si="23"/>
        <v>3651</v>
      </c>
      <c r="D423" s="683">
        <v>121</v>
      </c>
      <c r="E423" s="683">
        <v>532</v>
      </c>
      <c r="F423" s="683">
        <v>496</v>
      </c>
      <c r="G423" s="683">
        <v>772</v>
      </c>
      <c r="H423" s="683">
        <v>303</v>
      </c>
      <c r="I423" s="683">
        <v>388</v>
      </c>
      <c r="J423" s="683">
        <v>107</v>
      </c>
      <c r="K423" s="683">
        <v>89</v>
      </c>
      <c r="L423" s="683">
        <v>55</v>
      </c>
      <c r="M423" s="683">
        <v>452</v>
      </c>
      <c r="N423" s="683">
        <v>336</v>
      </c>
    </row>
    <row r="424" spans="1:15" s="667" customFormat="1" ht="9" customHeight="1" x14ac:dyDescent="0.25">
      <c r="A424" s="667" t="s">
        <v>27</v>
      </c>
      <c r="C424" s="679">
        <f t="shared" si="23"/>
        <v>13792</v>
      </c>
      <c r="D424" s="679">
        <v>334</v>
      </c>
      <c r="E424" s="679">
        <v>1790</v>
      </c>
      <c r="F424" s="679">
        <v>2649</v>
      </c>
      <c r="G424" s="679">
        <v>3906</v>
      </c>
      <c r="H424" s="679">
        <v>929</v>
      </c>
      <c r="I424" s="679">
        <v>1125</v>
      </c>
      <c r="J424" s="679">
        <v>336</v>
      </c>
      <c r="K424" s="679">
        <v>251</v>
      </c>
      <c r="L424" s="679">
        <v>156</v>
      </c>
      <c r="M424" s="679">
        <v>1438</v>
      </c>
      <c r="N424" s="679">
        <v>878</v>
      </c>
    </row>
    <row r="425" spans="1:15" s="667" customFormat="1" ht="9" customHeight="1" x14ac:dyDescent="0.25">
      <c r="A425" s="667" t="s">
        <v>28</v>
      </c>
      <c r="C425" s="679">
        <f t="shared" si="23"/>
        <v>3107</v>
      </c>
      <c r="D425" s="679">
        <v>121</v>
      </c>
      <c r="E425" s="679">
        <v>438</v>
      </c>
      <c r="F425" s="679">
        <v>542</v>
      </c>
      <c r="G425" s="679">
        <v>678</v>
      </c>
      <c r="H425" s="679">
        <v>264</v>
      </c>
      <c r="I425" s="679">
        <v>325</v>
      </c>
      <c r="J425" s="679">
        <v>81</v>
      </c>
      <c r="K425" s="679">
        <v>67</v>
      </c>
      <c r="L425" s="679">
        <v>50</v>
      </c>
      <c r="M425" s="679">
        <v>344</v>
      </c>
      <c r="N425" s="679">
        <v>197</v>
      </c>
    </row>
    <row r="426" spans="1:15" s="667" customFormat="1" ht="9" customHeight="1" x14ac:dyDescent="0.25">
      <c r="A426" s="667" t="s">
        <v>29</v>
      </c>
      <c r="C426" s="679">
        <f t="shared" si="23"/>
        <v>20378</v>
      </c>
      <c r="D426" s="679">
        <v>1212</v>
      </c>
      <c r="E426" s="679">
        <v>2693</v>
      </c>
      <c r="F426" s="679">
        <v>2782</v>
      </c>
      <c r="G426" s="679">
        <v>3623</v>
      </c>
      <c r="H426" s="679">
        <v>1632</v>
      </c>
      <c r="I426" s="679">
        <v>2067</v>
      </c>
      <c r="J426" s="679">
        <v>720</v>
      </c>
      <c r="K426" s="679">
        <v>524</v>
      </c>
      <c r="L426" s="679">
        <v>313</v>
      </c>
      <c r="M426" s="679">
        <v>2271</v>
      </c>
      <c r="N426" s="679">
        <v>2541</v>
      </c>
    </row>
    <row r="427" spans="1:15" s="667" customFormat="1" ht="9" customHeight="1" x14ac:dyDescent="0.25">
      <c r="A427" s="671" t="s">
        <v>30</v>
      </c>
      <c r="B427" s="671"/>
      <c r="C427" s="683">
        <f t="shared" si="23"/>
        <v>22255</v>
      </c>
      <c r="D427" s="683">
        <v>524</v>
      </c>
      <c r="E427" s="683">
        <v>2462</v>
      </c>
      <c r="F427" s="683">
        <v>2860</v>
      </c>
      <c r="G427" s="683">
        <v>4870</v>
      </c>
      <c r="H427" s="683">
        <v>1695</v>
      </c>
      <c r="I427" s="683">
        <v>1600</v>
      </c>
      <c r="J427" s="683">
        <v>510</v>
      </c>
      <c r="K427" s="683">
        <v>610</v>
      </c>
      <c r="L427" s="683">
        <v>267</v>
      </c>
      <c r="M427" s="683">
        <v>5632</v>
      </c>
      <c r="N427" s="683">
        <v>1225</v>
      </c>
    </row>
    <row r="428" spans="1:15" s="667" customFormat="1" ht="9" customHeight="1" x14ac:dyDescent="0.25">
      <c r="A428" s="667" t="s">
        <v>171</v>
      </c>
      <c r="C428" s="679">
        <f t="shared" si="23"/>
        <v>53801</v>
      </c>
      <c r="D428" s="679">
        <v>1472</v>
      </c>
      <c r="E428" s="679">
        <v>7676</v>
      </c>
      <c r="F428" s="679">
        <v>10024</v>
      </c>
      <c r="G428" s="679">
        <v>14423</v>
      </c>
      <c r="H428" s="679">
        <v>5368</v>
      </c>
      <c r="I428" s="679">
        <v>5320</v>
      </c>
      <c r="J428" s="679">
        <v>1586</v>
      </c>
      <c r="K428" s="679">
        <v>1107</v>
      </c>
      <c r="L428" s="679">
        <v>704</v>
      </c>
      <c r="M428" s="679">
        <v>3435</v>
      </c>
      <c r="N428" s="679">
        <v>2686</v>
      </c>
    </row>
    <row r="429" spans="1:15" s="667" customFormat="1" ht="9" customHeight="1" x14ac:dyDescent="0.25">
      <c r="A429" s="667" t="s">
        <v>31</v>
      </c>
      <c r="C429" s="679">
        <f t="shared" si="23"/>
        <v>9718</v>
      </c>
      <c r="D429" s="679">
        <v>212</v>
      </c>
      <c r="E429" s="679">
        <v>1058</v>
      </c>
      <c r="F429" s="679">
        <v>1325</v>
      </c>
      <c r="G429" s="679">
        <v>2491</v>
      </c>
      <c r="H429" s="679">
        <v>764</v>
      </c>
      <c r="I429" s="679">
        <v>720</v>
      </c>
      <c r="J429" s="679">
        <v>185</v>
      </c>
      <c r="K429" s="679">
        <v>189</v>
      </c>
      <c r="L429" s="679">
        <v>114</v>
      </c>
      <c r="M429" s="679">
        <v>2072</v>
      </c>
      <c r="N429" s="679">
        <v>588</v>
      </c>
    </row>
    <row r="430" spans="1:15" s="667" customFormat="1" ht="9" customHeight="1" x14ac:dyDescent="0.25">
      <c r="A430" s="667" t="s">
        <v>32</v>
      </c>
      <c r="C430" s="679">
        <f t="shared" si="23"/>
        <v>25422</v>
      </c>
      <c r="D430" s="679">
        <v>512</v>
      </c>
      <c r="E430" s="679">
        <v>3016</v>
      </c>
      <c r="F430" s="679">
        <v>5038</v>
      </c>
      <c r="G430" s="679">
        <v>6000</v>
      </c>
      <c r="H430" s="679">
        <v>2345</v>
      </c>
      <c r="I430" s="679">
        <v>2318</v>
      </c>
      <c r="J430" s="679">
        <v>717</v>
      </c>
      <c r="K430" s="679">
        <v>738</v>
      </c>
      <c r="L430" s="679">
        <v>515</v>
      </c>
      <c r="M430" s="679">
        <v>2612</v>
      </c>
      <c r="N430" s="679">
        <v>1611</v>
      </c>
    </row>
    <row r="431" spans="1:15" s="667" customFormat="1" ht="9" customHeight="1" x14ac:dyDescent="0.25">
      <c r="A431" s="671" t="s">
        <v>33</v>
      </c>
      <c r="B431" s="671"/>
      <c r="C431" s="683">
        <f t="shared" si="23"/>
        <v>16603</v>
      </c>
      <c r="D431" s="683">
        <v>559</v>
      </c>
      <c r="E431" s="683">
        <v>1886</v>
      </c>
      <c r="F431" s="683">
        <v>2398</v>
      </c>
      <c r="G431" s="683">
        <v>3342</v>
      </c>
      <c r="H431" s="683">
        <v>1108</v>
      </c>
      <c r="I431" s="683">
        <v>1325</v>
      </c>
      <c r="J431" s="683">
        <v>451</v>
      </c>
      <c r="K431" s="683">
        <v>423</v>
      </c>
      <c r="L431" s="683">
        <v>247</v>
      </c>
      <c r="M431" s="683">
        <v>3496</v>
      </c>
      <c r="N431" s="683">
        <v>1368</v>
      </c>
    </row>
    <row r="432" spans="1:15" s="667" customFormat="1" ht="9" customHeight="1" x14ac:dyDescent="0.25">
      <c r="A432" s="667" t="s">
        <v>34</v>
      </c>
      <c r="C432" s="679">
        <f t="shared" si="23"/>
        <v>12900</v>
      </c>
      <c r="D432" s="679">
        <v>252</v>
      </c>
      <c r="E432" s="679">
        <v>1546</v>
      </c>
      <c r="F432" s="679">
        <v>1927</v>
      </c>
      <c r="G432" s="679">
        <v>3170</v>
      </c>
      <c r="H432" s="679">
        <v>1215</v>
      </c>
      <c r="I432" s="679">
        <v>1509</v>
      </c>
      <c r="J432" s="679">
        <v>362</v>
      </c>
      <c r="K432" s="679">
        <v>296</v>
      </c>
      <c r="L432" s="679">
        <v>157</v>
      </c>
      <c r="M432" s="679">
        <v>1575</v>
      </c>
      <c r="N432" s="679">
        <v>891</v>
      </c>
    </row>
    <row r="433" spans="1:14" s="667" customFormat="1" ht="9" customHeight="1" x14ac:dyDescent="0.25">
      <c r="A433" s="667" t="s">
        <v>35</v>
      </c>
      <c r="C433" s="679">
        <f t="shared" si="23"/>
        <v>37744</v>
      </c>
      <c r="D433" s="679">
        <v>1146</v>
      </c>
      <c r="E433" s="679">
        <v>5221</v>
      </c>
      <c r="F433" s="679">
        <v>6200</v>
      </c>
      <c r="G433" s="679">
        <v>8669</v>
      </c>
      <c r="H433" s="679">
        <v>4052</v>
      </c>
      <c r="I433" s="679">
        <v>3423</v>
      </c>
      <c r="J433" s="679">
        <v>1302</v>
      </c>
      <c r="K433" s="679">
        <v>916</v>
      </c>
      <c r="L433" s="679">
        <v>675</v>
      </c>
      <c r="M433" s="679">
        <v>4002</v>
      </c>
      <c r="N433" s="679">
        <v>2138</v>
      </c>
    </row>
    <row r="434" spans="1:14" s="667" customFormat="1" ht="9" customHeight="1" x14ac:dyDescent="0.25">
      <c r="A434" s="667" t="s">
        <v>36</v>
      </c>
      <c r="C434" s="679">
        <f t="shared" si="23"/>
        <v>65822</v>
      </c>
      <c r="D434" s="679">
        <v>1718</v>
      </c>
      <c r="E434" s="679">
        <v>7965</v>
      </c>
      <c r="F434" s="679">
        <v>12691</v>
      </c>
      <c r="G434" s="679">
        <v>13592</v>
      </c>
      <c r="H434" s="679">
        <v>6370</v>
      </c>
      <c r="I434" s="679">
        <v>7589</v>
      </c>
      <c r="J434" s="679">
        <v>2097</v>
      </c>
      <c r="K434" s="679">
        <v>2413</v>
      </c>
      <c r="L434" s="679">
        <v>1336</v>
      </c>
      <c r="M434" s="679">
        <v>6777</v>
      </c>
      <c r="N434" s="679">
        <v>3274</v>
      </c>
    </row>
    <row r="435" spans="1:14" s="667" customFormat="1" ht="9" customHeight="1" x14ac:dyDescent="0.25">
      <c r="A435" s="671" t="s">
        <v>37</v>
      </c>
      <c r="B435" s="671"/>
      <c r="C435" s="683">
        <f t="shared" si="23"/>
        <v>23602</v>
      </c>
      <c r="D435" s="683">
        <v>492</v>
      </c>
      <c r="E435" s="683">
        <v>3107</v>
      </c>
      <c r="F435" s="683">
        <v>4088</v>
      </c>
      <c r="G435" s="683">
        <v>5430</v>
      </c>
      <c r="H435" s="683">
        <v>2131</v>
      </c>
      <c r="I435" s="683">
        <v>1984</v>
      </c>
      <c r="J435" s="683">
        <v>630</v>
      </c>
      <c r="K435" s="683">
        <v>523</v>
      </c>
      <c r="L435" s="683">
        <v>310</v>
      </c>
      <c r="M435" s="683">
        <v>3219</v>
      </c>
      <c r="N435" s="683">
        <v>1688</v>
      </c>
    </row>
    <row r="436" spans="1:14" s="667" customFormat="1" ht="9" customHeight="1" x14ac:dyDescent="0.25">
      <c r="A436" s="667" t="s">
        <v>38</v>
      </c>
      <c r="C436" s="679">
        <f t="shared" si="23"/>
        <v>9012</v>
      </c>
      <c r="D436" s="679">
        <v>262</v>
      </c>
      <c r="E436" s="679">
        <v>1238</v>
      </c>
      <c r="F436" s="679">
        <v>1621</v>
      </c>
      <c r="G436" s="679">
        <v>1953</v>
      </c>
      <c r="H436" s="679">
        <v>805</v>
      </c>
      <c r="I436" s="679">
        <v>1027</v>
      </c>
      <c r="J436" s="679">
        <v>295</v>
      </c>
      <c r="K436" s="679">
        <v>188</v>
      </c>
      <c r="L436" s="679">
        <v>119</v>
      </c>
      <c r="M436" s="679">
        <v>942</v>
      </c>
      <c r="N436" s="679">
        <v>562</v>
      </c>
    </row>
    <row r="437" spans="1:14" s="667" customFormat="1" ht="9" customHeight="1" x14ac:dyDescent="0.25">
      <c r="A437" s="667" t="s">
        <v>39</v>
      </c>
      <c r="C437" s="679">
        <f t="shared" si="23"/>
        <v>5520</v>
      </c>
      <c r="D437" s="679">
        <v>206</v>
      </c>
      <c r="E437" s="679">
        <v>823</v>
      </c>
      <c r="F437" s="679">
        <v>810</v>
      </c>
      <c r="G437" s="679">
        <v>1326</v>
      </c>
      <c r="H437" s="679">
        <v>499</v>
      </c>
      <c r="I437" s="679">
        <v>444</v>
      </c>
      <c r="J437" s="679">
        <v>125</v>
      </c>
      <c r="K437" s="679">
        <v>78</v>
      </c>
      <c r="L437" s="679">
        <v>63</v>
      </c>
      <c r="M437" s="679">
        <v>741</v>
      </c>
      <c r="N437" s="679">
        <v>405</v>
      </c>
    </row>
    <row r="438" spans="1:14" s="667" customFormat="1" ht="9" customHeight="1" x14ac:dyDescent="0.25">
      <c r="A438" s="667" t="s">
        <v>40</v>
      </c>
      <c r="C438" s="679">
        <f t="shared" si="23"/>
        <v>22361</v>
      </c>
      <c r="D438" s="679">
        <v>705</v>
      </c>
      <c r="E438" s="679">
        <v>3274</v>
      </c>
      <c r="F438" s="679">
        <v>3333</v>
      </c>
      <c r="G438" s="679">
        <v>6318</v>
      </c>
      <c r="H438" s="679">
        <v>1932</v>
      </c>
      <c r="I438" s="679">
        <v>1878</v>
      </c>
      <c r="J438" s="679">
        <v>606</v>
      </c>
      <c r="K438" s="679">
        <v>427</v>
      </c>
      <c r="L438" s="679">
        <v>332</v>
      </c>
      <c r="M438" s="679">
        <v>1982</v>
      </c>
      <c r="N438" s="679">
        <v>1574</v>
      </c>
    </row>
    <row r="439" spans="1:14" s="667" customFormat="1" ht="9" customHeight="1" x14ac:dyDescent="0.25">
      <c r="A439" s="671" t="s">
        <v>41</v>
      </c>
      <c r="B439" s="671"/>
      <c r="C439" s="683">
        <f t="shared" si="23"/>
        <v>20328</v>
      </c>
      <c r="D439" s="683">
        <v>711</v>
      </c>
      <c r="E439" s="683">
        <v>2286</v>
      </c>
      <c r="F439" s="683">
        <v>3108</v>
      </c>
      <c r="G439" s="683">
        <v>4735</v>
      </c>
      <c r="H439" s="683">
        <v>1535</v>
      </c>
      <c r="I439" s="683">
        <v>2166</v>
      </c>
      <c r="J439" s="683">
        <v>626</v>
      </c>
      <c r="K439" s="683">
        <v>458</v>
      </c>
      <c r="L439" s="683">
        <v>320</v>
      </c>
      <c r="M439" s="683">
        <v>2172</v>
      </c>
      <c r="N439" s="683">
        <v>2211</v>
      </c>
    </row>
    <row r="440" spans="1:14" s="667" customFormat="1" ht="9" customHeight="1" x14ac:dyDescent="0.25">
      <c r="A440" s="667" t="s">
        <v>42</v>
      </c>
      <c r="C440" s="679">
        <f t="shared" si="23"/>
        <v>30200</v>
      </c>
      <c r="D440" s="679">
        <v>798</v>
      </c>
      <c r="E440" s="679">
        <v>3194</v>
      </c>
      <c r="F440" s="679">
        <v>5445</v>
      </c>
      <c r="G440" s="679">
        <v>6362</v>
      </c>
      <c r="H440" s="679">
        <v>2762</v>
      </c>
      <c r="I440" s="679">
        <v>3507</v>
      </c>
      <c r="J440" s="679">
        <v>1095</v>
      </c>
      <c r="K440" s="679">
        <v>1214</v>
      </c>
      <c r="L440" s="679">
        <v>644</v>
      </c>
      <c r="M440" s="679">
        <v>2534</v>
      </c>
      <c r="N440" s="679">
        <v>2645</v>
      </c>
    </row>
    <row r="441" spans="1:14" s="667" customFormat="1" ht="9" customHeight="1" x14ac:dyDescent="0.25">
      <c r="A441" s="667" t="s">
        <v>43</v>
      </c>
      <c r="C441" s="679">
        <f t="shared" si="23"/>
        <v>7598</v>
      </c>
      <c r="D441" s="679">
        <v>220</v>
      </c>
      <c r="E441" s="679">
        <v>953</v>
      </c>
      <c r="F441" s="679">
        <v>1193</v>
      </c>
      <c r="G441" s="679">
        <v>1709</v>
      </c>
      <c r="H441" s="679">
        <v>693</v>
      </c>
      <c r="I441" s="679">
        <v>925</v>
      </c>
      <c r="J441" s="679">
        <v>220</v>
      </c>
      <c r="K441" s="679">
        <v>237</v>
      </c>
      <c r="L441" s="679">
        <v>172</v>
      </c>
      <c r="M441" s="679">
        <v>764</v>
      </c>
      <c r="N441" s="679">
        <v>512</v>
      </c>
    </row>
    <row r="442" spans="1:14" s="667" customFormat="1" ht="9" customHeight="1" x14ac:dyDescent="0.25">
      <c r="A442" s="667" t="s">
        <v>44</v>
      </c>
      <c r="C442" s="679">
        <f t="shared" si="23"/>
        <v>4097</v>
      </c>
      <c r="D442" s="679">
        <v>212</v>
      </c>
      <c r="E442" s="679">
        <v>478</v>
      </c>
      <c r="F442" s="679">
        <v>594</v>
      </c>
      <c r="G442" s="679">
        <v>680</v>
      </c>
      <c r="H442" s="679">
        <v>288</v>
      </c>
      <c r="I442" s="679">
        <v>447</v>
      </c>
      <c r="J442" s="679">
        <v>104</v>
      </c>
      <c r="K442" s="679">
        <v>187</v>
      </c>
      <c r="L442" s="679">
        <v>101</v>
      </c>
      <c r="M442" s="679">
        <v>752</v>
      </c>
      <c r="N442" s="679">
        <v>254</v>
      </c>
    </row>
    <row r="443" spans="1:14" s="667" customFormat="1" ht="9" customHeight="1" x14ac:dyDescent="0.25">
      <c r="A443" s="671" t="s">
        <v>45</v>
      </c>
      <c r="B443" s="671"/>
      <c r="C443" s="683">
        <f t="shared" si="23"/>
        <v>12193</v>
      </c>
      <c r="D443" s="683">
        <v>317</v>
      </c>
      <c r="E443" s="683">
        <v>1654</v>
      </c>
      <c r="F443" s="683">
        <v>1890</v>
      </c>
      <c r="G443" s="683">
        <v>2925</v>
      </c>
      <c r="H443" s="683">
        <v>1203</v>
      </c>
      <c r="I443" s="683">
        <v>1123</v>
      </c>
      <c r="J443" s="683">
        <v>294</v>
      </c>
      <c r="K443" s="683">
        <v>233</v>
      </c>
      <c r="L443" s="683">
        <v>210</v>
      </c>
      <c r="M443" s="683">
        <v>1248</v>
      </c>
      <c r="N443" s="683">
        <v>1096</v>
      </c>
    </row>
    <row r="444" spans="1:14" s="667" customFormat="1" ht="9" customHeight="1" x14ac:dyDescent="0.25">
      <c r="A444" s="667" t="s">
        <v>46</v>
      </c>
      <c r="C444" s="679">
        <f t="shared" si="23"/>
        <v>13720</v>
      </c>
      <c r="D444" s="679">
        <v>333</v>
      </c>
      <c r="E444" s="679">
        <v>2003</v>
      </c>
      <c r="F444" s="679">
        <v>1715</v>
      </c>
      <c r="G444" s="679">
        <v>3440</v>
      </c>
      <c r="H444" s="679">
        <v>995</v>
      </c>
      <c r="I444" s="679">
        <v>654</v>
      </c>
      <c r="J444" s="679">
        <v>315</v>
      </c>
      <c r="K444" s="679">
        <v>260</v>
      </c>
      <c r="L444" s="679">
        <v>182</v>
      </c>
      <c r="M444" s="679">
        <v>3030</v>
      </c>
      <c r="N444" s="679">
        <v>793</v>
      </c>
    </row>
    <row r="445" spans="1:14" s="667" customFormat="1" ht="9" customHeight="1" x14ac:dyDescent="0.25">
      <c r="A445" s="667" t="s">
        <v>47</v>
      </c>
      <c r="C445" s="679">
        <f t="shared" si="23"/>
        <v>13941</v>
      </c>
      <c r="D445" s="679">
        <v>518</v>
      </c>
      <c r="E445" s="679">
        <v>2016</v>
      </c>
      <c r="F445" s="679">
        <v>1896</v>
      </c>
      <c r="G445" s="679">
        <v>3715</v>
      </c>
      <c r="H445" s="679">
        <v>1139</v>
      </c>
      <c r="I445" s="679">
        <v>969</v>
      </c>
      <c r="J445" s="679">
        <v>368</v>
      </c>
      <c r="K445" s="679">
        <v>282</v>
      </c>
      <c r="L445" s="679">
        <v>189</v>
      </c>
      <c r="M445" s="679">
        <v>1890</v>
      </c>
      <c r="N445" s="679">
        <v>959</v>
      </c>
    </row>
    <row r="446" spans="1:14" s="667" customFormat="1" ht="9" customHeight="1" x14ac:dyDescent="0.25">
      <c r="A446" s="667" t="s">
        <v>48</v>
      </c>
      <c r="C446" s="679">
        <f t="shared" si="23"/>
        <v>10033</v>
      </c>
      <c r="D446" s="679">
        <v>410</v>
      </c>
      <c r="E446" s="679">
        <v>1289</v>
      </c>
      <c r="F446" s="679">
        <v>1834</v>
      </c>
      <c r="G446" s="679">
        <v>2143</v>
      </c>
      <c r="H446" s="679">
        <v>746</v>
      </c>
      <c r="I446" s="679">
        <v>662</v>
      </c>
      <c r="J446" s="679">
        <v>267</v>
      </c>
      <c r="K446" s="679">
        <v>328</v>
      </c>
      <c r="L446" s="679">
        <v>229</v>
      </c>
      <c r="M446" s="679">
        <v>1445</v>
      </c>
      <c r="N446" s="679">
        <v>680</v>
      </c>
    </row>
    <row r="447" spans="1:14" s="667" customFormat="1" ht="9" customHeight="1" x14ac:dyDescent="0.25">
      <c r="A447" s="671" t="s">
        <v>49</v>
      </c>
      <c r="B447" s="671"/>
      <c r="C447" s="683">
        <f t="shared" si="23"/>
        <v>15699</v>
      </c>
      <c r="D447" s="683">
        <v>530</v>
      </c>
      <c r="E447" s="683">
        <v>2313</v>
      </c>
      <c r="F447" s="683">
        <v>2659</v>
      </c>
      <c r="G447" s="683">
        <v>4121</v>
      </c>
      <c r="H447" s="683">
        <v>1365</v>
      </c>
      <c r="I447" s="683">
        <v>1080</v>
      </c>
      <c r="J447" s="683">
        <v>488</v>
      </c>
      <c r="K447" s="683">
        <v>485</v>
      </c>
      <c r="L447" s="683">
        <v>225</v>
      </c>
      <c r="M447" s="683">
        <v>1656</v>
      </c>
      <c r="N447" s="683">
        <v>777</v>
      </c>
    </row>
    <row r="448" spans="1:14" s="667" customFormat="1" ht="9" customHeight="1" x14ac:dyDescent="0.25">
      <c r="A448" s="667" t="s">
        <v>50</v>
      </c>
      <c r="C448" s="679">
        <f t="shared" si="23"/>
        <v>5412</v>
      </c>
      <c r="D448" s="679">
        <v>112</v>
      </c>
      <c r="E448" s="679">
        <v>609</v>
      </c>
      <c r="F448" s="679">
        <v>1173</v>
      </c>
      <c r="G448" s="679">
        <v>1072</v>
      </c>
      <c r="H448" s="679">
        <v>488</v>
      </c>
      <c r="I448" s="679">
        <v>540</v>
      </c>
      <c r="J448" s="679">
        <v>187</v>
      </c>
      <c r="K448" s="679">
        <v>170</v>
      </c>
      <c r="L448" s="679">
        <v>106</v>
      </c>
      <c r="M448" s="679">
        <v>501</v>
      </c>
      <c r="N448" s="679">
        <v>454</v>
      </c>
    </row>
    <row r="449" spans="1:15" s="667" customFormat="1" ht="9" customHeight="1" x14ac:dyDescent="0.25">
      <c r="A449" s="667" t="s">
        <v>51</v>
      </c>
      <c r="C449" s="679">
        <f t="shared" si="23"/>
        <v>43596</v>
      </c>
      <c r="D449" s="679">
        <v>1649</v>
      </c>
      <c r="E449" s="679">
        <v>5649</v>
      </c>
      <c r="F449" s="679">
        <v>7411</v>
      </c>
      <c r="G449" s="679">
        <v>10365</v>
      </c>
      <c r="H449" s="679">
        <v>3386</v>
      </c>
      <c r="I449" s="679">
        <v>4431</v>
      </c>
      <c r="J449" s="679">
        <v>1428</v>
      </c>
      <c r="K449" s="679">
        <v>1066</v>
      </c>
      <c r="L449" s="679">
        <v>645</v>
      </c>
      <c r="M449" s="679">
        <v>4196</v>
      </c>
      <c r="N449" s="679">
        <v>3370</v>
      </c>
    </row>
    <row r="450" spans="1:15" s="673" customFormat="1" ht="9" customHeight="1" x14ac:dyDescent="0.25">
      <c r="A450" s="673" t="s">
        <v>52</v>
      </c>
      <c r="C450" s="684">
        <f t="shared" si="23"/>
        <v>10406</v>
      </c>
      <c r="D450" s="684">
        <v>378</v>
      </c>
      <c r="E450" s="684">
        <v>1284</v>
      </c>
      <c r="F450" s="684">
        <v>1355</v>
      </c>
      <c r="G450" s="684">
        <v>2639</v>
      </c>
      <c r="H450" s="684">
        <v>908</v>
      </c>
      <c r="I450" s="684">
        <v>1300</v>
      </c>
      <c r="J450" s="684">
        <v>390</v>
      </c>
      <c r="K450" s="684">
        <v>216</v>
      </c>
      <c r="L450" s="684">
        <v>141</v>
      </c>
      <c r="M450" s="684">
        <v>844</v>
      </c>
      <c r="N450" s="684">
        <v>951</v>
      </c>
    </row>
    <row r="451" spans="1:15" s="667" customFormat="1" ht="9" customHeight="1" x14ac:dyDescent="0.25">
      <c r="A451" s="671" t="s">
        <v>53</v>
      </c>
      <c r="B451" s="671"/>
      <c r="C451" s="683">
        <f t="shared" si="23"/>
        <v>7910</v>
      </c>
      <c r="D451" s="683">
        <v>181</v>
      </c>
      <c r="E451" s="683">
        <v>996</v>
      </c>
      <c r="F451" s="683">
        <v>1166</v>
      </c>
      <c r="G451" s="683">
        <v>1938</v>
      </c>
      <c r="H451" s="683">
        <v>879</v>
      </c>
      <c r="I451" s="683">
        <v>605</v>
      </c>
      <c r="J451" s="683">
        <v>191</v>
      </c>
      <c r="K451" s="683">
        <v>162</v>
      </c>
      <c r="L451" s="683">
        <v>106</v>
      </c>
      <c r="M451" s="683">
        <v>1016</v>
      </c>
      <c r="N451" s="683">
        <v>670</v>
      </c>
    </row>
    <row r="452" spans="1:15" s="667" customFormat="1" ht="9" customHeight="1" x14ac:dyDescent="0.25">
      <c r="A452" s="664" t="s">
        <v>434</v>
      </c>
      <c r="B452" s="664"/>
      <c r="C452" s="679">
        <f t="shared" si="23"/>
        <v>1155</v>
      </c>
      <c r="D452" s="679">
        <v>23</v>
      </c>
      <c r="E452" s="679">
        <v>106</v>
      </c>
      <c r="F452" s="679">
        <v>86</v>
      </c>
      <c r="G452" s="679">
        <v>258</v>
      </c>
      <c r="H452" s="679">
        <v>58</v>
      </c>
      <c r="I452" s="679">
        <v>45</v>
      </c>
      <c r="J452" s="679">
        <v>7</v>
      </c>
      <c r="K452" s="679">
        <v>1</v>
      </c>
      <c r="L452" s="679">
        <v>5</v>
      </c>
      <c r="M452" s="679">
        <v>515</v>
      </c>
      <c r="N452" s="679">
        <v>51</v>
      </c>
    </row>
    <row r="453" spans="1:15" s="667" customFormat="1" ht="9" customHeight="1" x14ac:dyDescent="0.25">
      <c r="A453" s="564" t="s">
        <v>54</v>
      </c>
      <c r="B453" s="664"/>
      <c r="C453" s="679">
        <f t="shared" si="23"/>
        <v>2</v>
      </c>
      <c r="D453" s="679">
        <v>0</v>
      </c>
      <c r="E453" s="679">
        <v>0</v>
      </c>
      <c r="F453" s="679">
        <v>0</v>
      </c>
      <c r="G453" s="679">
        <v>0</v>
      </c>
      <c r="H453" s="679">
        <v>0</v>
      </c>
      <c r="I453" s="679">
        <v>0</v>
      </c>
      <c r="J453" s="679">
        <v>0</v>
      </c>
      <c r="K453" s="679">
        <v>0</v>
      </c>
      <c r="L453" s="679">
        <v>0</v>
      </c>
      <c r="M453" s="679">
        <v>0</v>
      </c>
      <c r="N453" s="679">
        <v>2</v>
      </c>
    </row>
    <row r="454" spans="1:15" s="667" customFormat="1" ht="9" customHeight="1" x14ac:dyDescent="0.25">
      <c r="A454" s="664"/>
      <c r="B454" s="664"/>
      <c r="C454" s="679"/>
      <c r="D454" s="679"/>
      <c r="E454" s="679"/>
      <c r="F454" s="679"/>
      <c r="G454" s="679"/>
      <c r="H454" s="679"/>
      <c r="I454" s="679"/>
      <c r="J454" s="679"/>
      <c r="K454" s="679"/>
      <c r="L454" s="679"/>
      <c r="M454" s="679"/>
      <c r="N454" s="679"/>
    </row>
    <row r="455" spans="1:15" s="667" customFormat="1" ht="9" customHeight="1" x14ac:dyDescent="0.15">
      <c r="A455" s="687">
        <v>2010</v>
      </c>
      <c r="B455" s="664"/>
      <c r="C455" s="665"/>
      <c r="D455" s="665"/>
      <c r="E455" s="665"/>
      <c r="F455" s="666"/>
      <c r="G455" s="666"/>
      <c r="H455" s="666"/>
      <c r="I455" s="666"/>
      <c r="J455" s="665"/>
      <c r="K455" s="665"/>
      <c r="L455" s="665"/>
      <c r="M455" s="665"/>
      <c r="N455" s="665"/>
    </row>
    <row r="456" spans="1:15" s="668" customFormat="1" ht="9" customHeight="1" x14ac:dyDescent="0.25">
      <c r="A456" s="668" t="s">
        <v>13</v>
      </c>
      <c r="C456" s="682">
        <f t="shared" ref="C456:N456" si="24">SUM(C458:C490)</f>
        <v>592018</v>
      </c>
      <c r="D456" s="682">
        <f t="shared" si="24"/>
        <v>17151</v>
      </c>
      <c r="E456" s="682">
        <f t="shared" si="24"/>
        <v>74685</v>
      </c>
      <c r="F456" s="682">
        <f t="shared" si="24"/>
        <v>99380</v>
      </c>
      <c r="G456" s="682">
        <f t="shared" si="24"/>
        <v>141175</v>
      </c>
      <c r="H456" s="682">
        <f t="shared" si="24"/>
        <v>51090</v>
      </c>
      <c r="I456" s="682">
        <f t="shared" si="24"/>
        <v>54920</v>
      </c>
      <c r="J456" s="682">
        <f t="shared" si="24"/>
        <v>17316</v>
      </c>
      <c r="K456" s="682">
        <f t="shared" si="24"/>
        <v>14376</v>
      </c>
      <c r="L456" s="682">
        <f t="shared" si="24"/>
        <v>9175</v>
      </c>
      <c r="M456" s="682">
        <f t="shared" si="24"/>
        <v>72520</v>
      </c>
      <c r="N456" s="682">
        <f t="shared" si="24"/>
        <v>40230</v>
      </c>
      <c r="O456" s="682"/>
    </row>
    <row r="457" spans="1:15" s="668" customFormat="1" ht="5.25" customHeight="1" x14ac:dyDescent="0.25">
      <c r="C457" s="682"/>
      <c r="D457" s="682"/>
      <c r="E457" s="682"/>
      <c r="F457" s="682"/>
      <c r="G457" s="682"/>
      <c r="H457" s="682"/>
      <c r="I457" s="682"/>
      <c r="J457" s="682"/>
      <c r="K457" s="682"/>
      <c r="L457" s="682"/>
      <c r="M457" s="682"/>
      <c r="N457" s="682"/>
    </row>
    <row r="458" spans="1:15" s="667" customFormat="1" ht="9" customHeight="1" x14ac:dyDescent="0.25">
      <c r="A458" s="667" t="s">
        <v>23</v>
      </c>
      <c r="C458" s="679">
        <f t="shared" ref="C458:C490" si="25">SUM(D458:N458)</f>
        <v>5177</v>
      </c>
      <c r="D458" s="679">
        <v>130</v>
      </c>
      <c r="E458" s="679">
        <v>717</v>
      </c>
      <c r="F458" s="679">
        <v>893</v>
      </c>
      <c r="G458" s="679">
        <v>1126</v>
      </c>
      <c r="H458" s="679">
        <v>599</v>
      </c>
      <c r="I458" s="679">
        <v>450</v>
      </c>
      <c r="J458" s="679">
        <v>133</v>
      </c>
      <c r="K458" s="679">
        <v>131</v>
      </c>
      <c r="L458" s="679">
        <v>95</v>
      </c>
      <c r="M458" s="679">
        <v>564</v>
      </c>
      <c r="N458" s="679">
        <v>339</v>
      </c>
      <c r="O458" s="679"/>
    </row>
    <row r="459" spans="1:15" s="667" customFormat="1" ht="9" customHeight="1" x14ac:dyDescent="0.25">
      <c r="A459" s="667" t="s">
        <v>24</v>
      </c>
      <c r="C459" s="679">
        <f t="shared" si="25"/>
        <v>15400</v>
      </c>
      <c r="D459" s="679">
        <v>833</v>
      </c>
      <c r="E459" s="679">
        <v>1984</v>
      </c>
      <c r="F459" s="679">
        <v>2051</v>
      </c>
      <c r="G459" s="679">
        <v>3517</v>
      </c>
      <c r="H459" s="679">
        <v>1138</v>
      </c>
      <c r="I459" s="679">
        <v>1235</v>
      </c>
      <c r="J459" s="679">
        <v>353</v>
      </c>
      <c r="K459" s="679">
        <v>352</v>
      </c>
      <c r="L459" s="679">
        <v>281</v>
      </c>
      <c r="M459" s="679">
        <v>2922</v>
      </c>
      <c r="N459" s="679">
        <v>734</v>
      </c>
    </row>
    <row r="460" spans="1:15" s="667" customFormat="1" ht="9" customHeight="1" x14ac:dyDescent="0.25">
      <c r="A460" s="667" t="s">
        <v>25</v>
      </c>
      <c r="C460" s="679">
        <f t="shared" si="25"/>
        <v>2434</v>
      </c>
      <c r="D460" s="679">
        <v>92</v>
      </c>
      <c r="E460" s="679">
        <v>389</v>
      </c>
      <c r="F460" s="679">
        <v>340</v>
      </c>
      <c r="G460" s="679">
        <v>625</v>
      </c>
      <c r="H460" s="679">
        <v>178</v>
      </c>
      <c r="I460" s="679">
        <v>185</v>
      </c>
      <c r="J460" s="679">
        <v>50</v>
      </c>
      <c r="K460" s="679">
        <v>71</v>
      </c>
      <c r="L460" s="679">
        <v>42</v>
      </c>
      <c r="M460" s="679">
        <v>314</v>
      </c>
      <c r="N460" s="679">
        <v>148</v>
      </c>
    </row>
    <row r="461" spans="1:15" s="667" customFormat="1" ht="9" customHeight="1" x14ac:dyDescent="0.25">
      <c r="A461" s="671" t="s">
        <v>26</v>
      </c>
      <c r="B461" s="671"/>
      <c r="C461" s="683">
        <f t="shared" si="25"/>
        <v>3820</v>
      </c>
      <c r="D461" s="683">
        <v>115</v>
      </c>
      <c r="E461" s="683">
        <v>487</v>
      </c>
      <c r="F461" s="683">
        <v>600</v>
      </c>
      <c r="G461" s="683">
        <v>908</v>
      </c>
      <c r="H461" s="683">
        <v>351</v>
      </c>
      <c r="I461" s="683">
        <v>400</v>
      </c>
      <c r="J461" s="683">
        <v>95</v>
      </c>
      <c r="K461" s="683">
        <v>89</v>
      </c>
      <c r="L461" s="683">
        <v>58</v>
      </c>
      <c r="M461" s="683">
        <v>396</v>
      </c>
      <c r="N461" s="683">
        <v>321</v>
      </c>
    </row>
    <row r="462" spans="1:15" s="667" customFormat="1" ht="9" customHeight="1" x14ac:dyDescent="0.25">
      <c r="A462" s="667" t="s">
        <v>27</v>
      </c>
      <c r="C462" s="679">
        <f t="shared" si="25"/>
        <v>14593</v>
      </c>
      <c r="D462" s="679">
        <v>342</v>
      </c>
      <c r="E462" s="679">
        <v>1822</v>
      </c>
      <c r="F462" s="679">
        <v>2544</v>
      </c>
      <c r="G462" s="679">
        <v>4129</v>
      </c>
      <c r="H462" s="679">
        <v>1080</v>
      </c>
      <c r="I462" s="679">
        <v>1110</v>
      </c>
      <c r="J462" s="679">
        <v>372</v>
      </c>
      <c r="K462" s="679">
        <v>299</v>
      </c>
      <c r="L462" s="679">
        <v>155</v>
      </c>
      <c r="M462" s="679">
        <v>1758</v>
      </c>
      <c r="N462" s="679">
        <v>982</v>
      </c>
    </row>
    <row r="463" spans="1:15" s="667" customFormat="1" ht="9" customHeight="1" x14ac:dyDescent="0.25">
      <c r="A463" s="667" t="s">
        <v>28</v>
      </c>
      <c r="C463" s="679">
        <f t="shared" si="25"/>
        <v>3223</v>
      </c>
      <c r="D463" s="679">
        <v>94</v>
      </c>
      <c r="E463" s="679">
        <v>509</v>
      </c>
      <c r="F463" s="679">
        <v>505</v>
      </c>
      <c r="G463" s="679">
        <v>706</v>
      </c>
      <c r="H463" s="679">
        <v>248</v>
      </c>
      <c r="I463" s="679">
        <v>333</v>
      </c>
      <c r="J463" s="679">
        <v>104</v>
      </c>
      <c r="K463" s="679">
        <v>64</v>
      </c>
      <c r="L463" s="679">
        <v>50</v>
      </c>
      <c r="M463" s="679">
        <v>397</v>
      </c>
      <c r="N463" s="679">
        <v>213</v>
      </c>
    </row>
    <row r="464" spans="1:15" s="667" customFormat="1" ht="9" customHeight="1" x14ac:dyDescent="0.25">
      <c r="A464" s="667" t="s">
        <v>29</v>
      </c>
      <c r="C464" s="679">
        <f t="shared" si="25"/>
        <v>21721</v>
      </c>
      <c r="D464" s="679">
        <v>1228</v>
      </c>
      <c r="E464" s="679">
        <v>2748</v>
      </c>
      <c r="F464" s="679">
        <v>3029</v>
      </c>
      <c r="G464" s="679">
        <v>4060</v>
      </c>
      <c r="H464" s="679">
        <v>1758</v>
      </c>
      <c r="I464" s="679">
        <v>2086</v>
      </c>
      <c r="J464" s="679">
        <v>753</v>
      </c>
      <c r="K464" s="679">
        <v>602</v>
      </c>
      <c r="L464" s="679">
        <v>367</v>
      </c>
      <c r="M464" s="679">
        <v>2297</v>
      </c>
      <c r="N464" s="679">
        <v>2793</v>
      </c>
    </row>
    <row r="465" spans="1:14" s="667" customFormat="1" ht="9" customHeight="1" x14ac:dyDescent="0.25">
      <c r="A465" s="671" t="s">
        <v>30</v>
      </c>
      <c r="B465" s="671"/>
      <c r="C465" s="683">
        <f t="shared" si="25"/>
        <v>25809</v>
      </c>
      <c r="D465" s="683">
        <v>609</v>
      </c>
      <c r="E465" s="683">
        <v>2559</v>
      </c>
      <c r="F465" s="683">
        <v>2938</v>
      </c>
      <c r="G465" s="683">
        <v>5203</v>
      </c>
      <c r="H465" s="683">
        <v>1541</v>
      </c>
      <c r="I465" s="683">
        <v>1652</v>
      </c>
      <c r="J465" s="683">
        <v>531</v>
      </c>
      <c r="K465" s="683">
        <v>489</v>
      </c>
      <c r="L465" s="683">
        <v>240</v>
      </c>
      <c r="M465" s="683">
        <v>8831</v>
      </c>
      <c r="N465" s="683">
        <v>1216</v>
      </c>
    </row>
    <row r="466" spans="1:14" s="667" customFormat="1" ht="9" customHeight="1" x14ac:dyDescent="0.25">
      <c r="A466" s="667" t="s">
        <v>171</v>
      </c>
      <c r="C466" s="679">
        <f t="shared" si="25"/>
        <v>55106</v>
      </c>
      <c r="D466" s="679">
        <v>1352</v>
      </c>
      <c r="E466" s="679">
        <v>7804</v>
      </c>
      <c r="F466" s="679">
        <v>10250</v>
      </c>
      <c r="G466" s="679">
        <v>15277</v>
      </c>
      <c r="H466" s="679">
        <v>5412</v>
      </c>
      <c r="I466" s="679">
        <v>5401</v>
      </c>
      <c r="J466" s="679">
        <v>1676</v>
      </c>
      <c r="K466" s="679">
        <v>1034</v>
      </c>
      <c r="L466" s="679">
        <v>717</v>
      </c>
      <c r="M466" s="679">
        <v>3534</v>
      </c>
      <c r="N466" s="679">
        <v>2649</v>
      </c>
    </row>
    <row r="467" spans="1:14" s="667" customFormat="1" ht="9" customHeight="1" x14ac:dyDescent="0.25">
      <c r="A467" s="667" t="s">
        <v>31</v>
      </c>
      <c r="C467" s="679">
        <f t="shared" si="25"/>
        <v>9221</v>
      </c>
      <c r="D467" s="679">
        <v>205</v>
      </c>
      <c r="E467" s="679">
        <v>1009</v>
      </c>
      <c r="F467" s="679">
        <v>1190</v>
      </c>
      <c r="G467" s="679">
        <v>2288</v>
      </c>
      <c r="H467" s="679">
        <v>707</v>
      </c>
      <c r="I467" s="679">
        <v>657</v>
      </c>
      <c r="J467" s="679">
        <v>212</v>
      </c>
      <c r="K467" s="679">
        <v>246</v>
      </c>
      <c r="L467" s="679">
        <v>113</v>
      </c>
      <c r="M467" s="679">
        <v>2102</v>
      </c>
      <c r="N467" s="679">
        <v>492</v>
      </c>
    </row>
    <row r="468" spans="1:14" s="667" customFormat="1" ht="9" customHeight="1" x14ac:dyDescent="0.25">
      <c r="A468" s="667" t="s">
        <v>32</v>
      </c>
      <c r="C468" s="679">
        <f t="shared" si="25"/>
        <v>27132</v>
      </c>
      <c r="D468" s="679">
        <v>480</v>
      </c>
      <c r="E468" s="679">
        <v>3166</v>
      </c>
      <c r="F468" s="679">
        <v>5274</v>
      </c>
      <c r="G468" s="679">
        <v>6776</v>
      </c>
      <c r="H468" s="679">
        <v>2665</v>
      </c>
      <c r="I468" s="679">
        <v>2348</v>
      </c>
      <c r="J468" s="679">
        <v>821</v>
      </c>
      <c r="K468" s="679">
        <v>808</v>
      </c>
      <c r="L468" s="679">
        <v>549</v>
      </c>
      <c r="M468" s="679">
        <v>2558</v>
      </c>
      <c r="N468" s="679">
        <v>1687</v>
      </c>
    </row>
    <row r="469" spans="1:14" s="667" customFormat="1" ht="9" customHeight="1" x14ac:dyDescent="0.25">
      <c r="A469" s="671" t="s">
        <v>33</v>
      </c>
      <c r="B469" s="671"/>
      <c r="C469" s="683">
        <f t="shared" si="25"/>
        <v>16472</v>
      </c>
      <c r="D469" s="683">
        <v>579</v>
      </c>
      <c r="E469" s="683">
        <v>1883</v>
      </c>
      <c r="F469" s="683">
        <v>2627</v>
      </c>
      <c r="G469" s="683">
        <v>3609</v>
      </c>
      <c r="H469" s="683">
        <v>1138</v>
      </c>
      <c r="I469" s="683">
        <v>1339</v>
      </c>
      <c r="J469" s="683">
        <v>435</v>
      </c>
      <c r="K469" s="683">
        <v>376</v>
      </c>
      <c r="L469" s="683">
        <v>226</v>
      </c>
      <c r="M469" s="683">
        <v>2928</v>
      </c>
      <c r="N469" s="683">
        <v>1332</v>
      </c>
    </row>
    <row r="470" spans="1:14" s="667" customFormat="1" ht="9" customHeight="1" x14ac:dyDescent="0.25">
      <c r="A470" s="667" t="s">
        <v>34</v>
      </c>
      <c r="C470" s="679">
        <f t="shared" si="25"/>
        <v>12990</v>
      </c>
      <c r="D470" s="679">
        <v>249</v>
      </c>
      <c r="E470" s="679">
        <v>1618</v>
      </c>
      <c r="F470" s="679">
        <v>2223</v>
      </c>
      <c r="G470" s="679">
        <v>3388</v>
      </c>
      <c r="H470" s="679">
        <v>1090</v>
      </c>
      <c r="I470" s="679">
        <v>1480</v>
      </c>
      <c r="J470" s="679">
        <v>403</v>
      </c>
      <c r="K470" s="679">
        <v>310</v>
      </c>
      <c r="L470" s="679">
        <v>181</v>
      </c>
      <c r="M470" s="679">
        <v>1170</v>
      </c>
      <c r="N470" s="679">
        <v>878</v>
      </c>
    </row>
    <row r="471" spans="1:14" s="667" customFormat="1" ht="9" customHeight="1" x14ac:dyDescent="0.25">
      <c r="A471" s="667" t="s">
        <v>35</v>
      </c>
      <c r="C471" s="679">
        <f t="shared" si="25"/>
        <v>39185</v>
      </c>
      <c r="D471" s="679">
        <v>1048</v>
      </c>
      <c r="E471" s="679">
        <v>5326</v>
      </c>
      <c r="F471" s="679">
        <v>6406</v>
      </c>
      <c r="G471" s="679">
        <v>9211</v>
      </c>
      <c r="H471" s="679">
        <v>4288</v>
      </c>
      <c r="I471" s="679">
        <v>3584</v>
      </c>
      <c r="J471" s="679">
        <v>1382</v>
      </c>
      <c r="K471" s="679">
        <v>914</v>
      </c>
      <c r="L471" s="679">
        <v>620</v>
      </c>
      <c r="M471" s="679">
        <v>4191</v>
      </c>
      <c r="N471" s="679">
        <v>2215</v>
      </c>
    </row>
    <row r="472" spans="1:14" s="667" customFormat="1" ht="9" customHeight="1" x14ac:dyDescent="0.25">
      <c r="A472" s="667" t="s">
        <v>36</v>
      </c>
      <c r="C472" s="679">
        <f t="shared" si="25"/>
        <v>68286</v>
      </c>
      <c r="D472" s="679">
        <v>1682</v>
      </c>
      <c r="E472" s="679">
        <v>8348</v>
      </c>
      <c r="F472" s="679">
        <v>13482</v>
      </c>
      <c r="G472" s="679">
        <v>14451</v>
      </c>
      <c r="H472" s="679">
        <v>6253</v>
      </c>
      <c r="I472" s="679">
        <v>7841</v>
      </c>
      <c r="J472" s="679">
        <v>2087</v>
      </c>
      <c r="K472" s="679">
        <v>2287</v>
      </c>
      <c r="L472" s="679">
        <v>1372</v>
      </c>
      <c r="M472" s="679">
        <v>7140</v>
      </c>
      <c r="N472" s="679">
        <v>3343</v>
      </c>
    </row>
    <row r="473" spans="1:14" s="667" customFormat="1" ht="9" customHeight="1" x14ac:dyDescent="0.25">
      <c r="A473" s="671" t="s">
        <v>37</v>
      </c>
      <c r="B473" s="671"/>
      <c r="C473" s="683">
        <f t="shared" si="25"/>
        <v>24162</v>
      </c>
      <c r="D473" s="683">
        <v>522</v>
      </c>
      <c r="E473" s="683">
        <v>3069</v>
      </c>
      <c r="F473" s="683">
        <v>4339</v>
      </c>
      <c r="G473" s="683">
        <v>5684</v>
      </c>
      <c r="H473" s="683">
        <v>2191</v>
      </c>
      <c r="I473" s="683">
        <v>2099</v>
      </c>
      <c r="J473" s="683">
        <v>646</v>
      </c>
      <c r="K473" s="683">
        <v>513</v>
      </c>
      <c r="L473" s="683">
        <v>321</v>
      </c>
      <c r="M473" s="683">
        <v>2999</v>
      </c>
      <c r="N473" s="683">
        <v>1779</v>
      </c>
    </row>
    <row r="474" spans="1:14" s="667" customFormat="1" ht="9" customHeight="1" x14ac:dyDescent="0.25">
      <c r="A474" s="667" t="s">
        <v>38</v>
      </c>
      <c r="C474" s="679">
        <f t="shared" si="25"/>
        <v>9764</v>
      </c>
      <c r="D474" s="679">
        <v>249</v>
      </c>
      <c r="E474" s="679">
        <v>1301</v>
      </c>
      <c r="F474" s="679">
        <v>1923</v>
      </c>
      <c r="G474" s="679">
        <v>2072</v>
      </c>
      <c r="H474" s="679">
        <v>813</v>
      </c>
      <c r="I474" s="679">
        <v>1030</v>
      </c>
      <c r="J474" s="679">
        <v>321</v>
      </c>
      <c r="K474" s="679">
        <v>226</v>
      </c>
      <c r="L474" s="679">
        <v>126</v>
      </c>
      <c r="M474" s="679">
        <v>1054</v>
      </c>
      <c r="N474" s="679">
        <v>649</v>
      </c>
    </row>
    <row r="475" spans="1:14" s="667" customFormat="1" ht="9" customHeight="1" x14ac:dyDescent="0.25">
      <c r="A475" s="667" t="s">
        <v>39</v>
      </c>
      <c r="C475" s="679">
        <f t="shared" si="25"/>
        <v>5935</v>
      </c>
      <c r="D475" s="679">
        <v>198</v>
      </c>
      <c r="E475" s="679">
        <v>813</v>
      </c>
      <c r="F475" s="679">
        <v>840</v>
      </c>
      <c r="G475" s="679">
        <v>1356</v>
      </c>
      <c r="H475" s="679">
        <v>532</v>
      </c>
      <c r="I475" s="679">
        <v>475</v>
      </c>
      <c r="J475" s="679">
        <v>162</v>
      </c>
      <c r="K475" s="679">
        <v>80</v>
      </c>
      <c r="L475" s="679">
        <v>69</v>
      </c>
      <c r="M475" s="679">
        <v>1032</v>
      </c>
      <c r="N475" s="679">
        <v>378</v>
      </c>
    </row>
    <row r="476" spans="1:14" s="667" customFormat="1" ht="9" customHeight="1" x14ac:dyDescent="0.25">
      <c r="A476" s="667" t="s">
        <v>40</v>
      </c>
      <c r="C476" s="679">
        <f t="shared" si="25"/>
        <v>23116</v>
      </c>
      <c r="D476" s="679">
        <v>750</v>
      </c>
      <c r="E476" s="679">
        <v>3358</v>
      </c>
      <c r="F476" s="679">
        <v>3437</v>
      </c>
      <c r="G476" s="679">
        <v>6373</v>
      </c>
      <c r="H476" s="679">
        <v>1979</v>
      </c>
      <c r="I476" s="679">
        <v>1894</v>
      </c>
      <c r="J476" s="679">
        <v>597</v>
      </c>
      <c r="K476" s="679">
        <v>411</v>
      </c>
      <c r="L476" s="679">
        <v>320</v>
      </c>
      <c r="M476" s="679">
        <v>2508</v>
      </c>
      <c r="N476" s="679">
        <v>1489</v>
      </c>
    </row>
    <row r="477" spans="1:14" s="667" customFormat="1" ht="9" customHeight="1" x14ac:dyDescent="0.25">
      <c r="A477" s="671" t="s">
        <v>41</v>
      </c>
      <c r="B477" s="671"/>
      <c r="C477" s="683">
        <f t="shared" si="25"/>
        <v>21721</v>
      </c>
      <c r="D477" s="683">
        <v>695</v>
      </c>
      <c r="E477" s="683">
        <v>2429</v>
      </c>
      <c r="F477" s="683">
        <v>3515</v>
      </c>
      <c r="G477" s="683">
        <v>5176</v>
      </c>
      <c r="H477" s="683">
        <v>1509</v>
      </c>
      <c r="I477" s="683">
        <v>2218</v>
      </c>
      <c r="J477" s="683">
        <v>629</v>
      </c>
      <c r="K477" s="683">
        <v>433</v>
      </c>
      <c r="L477" s="683">
        <v>312</v>
      </c>
      <c r="M477" s="683">
        <v>2274</v>
      </c>
      <c r="N477" s="683">
        <v>2531</v>
      </c>
    </row>
    <row r="478" spans="1:14" s="667" customFormat="1" ht="9" customHeight="1" x14ac:dyDescent="0.25">
      <c r="A478" s="667" t="s">
        <v>42</v>
      </c>
      <c r="C478" s="679">
        <f t="shared" si="25"/>
        <v>31031</v>
      </c>
      <c r="D478" s="679">
        <v>733</v>
      </c>
      <c r="E478" s="679">
        <v>3255</v>
      </c>
      <c r="F478" s="679">
        <v>5817</v>
      </c>
      <c r="G478" s="679">
        <v>6905</v>
      </c>
      <c r="H478" s="679">
        <v>2657</v>
      </c>
      <c r="I478" s="679">
        <v>3620</v>
      </c>
      <c r="J478" s="679">
        <v>1133</v>
      </c>
      <c r="K478" s="679">
        <v>1091</v>
      </c>
      <c r="L478" s="679">
        <v>663</v>
      </c>
      <c r="M478" s="679">
        <v>2443</v>
      </c>
      <c r="N478" s="679">
        <v>2714</v>
      </c>
    </row>
    <row r="479" spans="1:14" s="667" customFormat="1" ht="9" customHeight="1" x14ac:dyDescent="0.25">
      <c r="A479" s="667" t="s">
        <v>43</v>
      </c>
      <c r="C479" s="679">
        <f t="shared" si="25"/>
        <v>7964</v>
      </c>
      <c r="D479" s="679">
        <v>178</v>
      </c>
      <c r="E479" s="679">
        <v>989</v>
      </c>
      <c r="F479" s="679">
        <v>1268</v>
      </c>
      <c r="G479" s="679">
        <v>1897</v>
      </c>
      <c r="H479" s="679">
        <v>652</v>
      </c>
      <c r="I479" s="679">
        <v>945</v>
      </c>
      <c r="J479" s="679">
        <v>234</v>
      </c>
      <c r="K479" s="679">
        <v>231</v>
      </c>
      <c r="L479" s="679">
        <v>177</v>
      </c>
      <c r="M479" s="679">
        <v>835</v>
      </c>
      <c r="N479" s="679">
        <v>558</v>
      </c>
    </row>
    <row r="480" spans="1:14" s="667" customFormat="1" ht="9" customHeight="1" x14ac:dyDescent="0.25">
      <c r="A480" s="667" t="s">
        <v>44</v>
      </c>
      <c r="C480" s="679">
        <f t="shared" si="25"/>
        <v>4436</v>
      </c>
      <c r="D480" s="679">
        <v>268</v>
      </c>
      <c r="E480" s="679">
        <v>531</v>
      </c>
      <c r="F480" s="679">
        <v>673</v>
      </c>
      <c r="G480" s="679">
        <v>771</v>
      </c>
      <c r="H480" s="679">
        <v>342</v>
      </c>
      <c r="I480" s="679">
        <v>490</v>
      </c>
      <c r="J480" s="679">
        <v>104</v>
      </c>
      <c r="K480" s="679">
        <v>176</v>
      </c>
      <c r="L480" s="679">
        <v>85</v>
      </c>
      <c r="M480" s="679">
        <v>707</v>
      </c>
      <c r="N480" s="679">
        <v>289</v>
      </c>
    </row>
    <row r="481" spans="1:15" s="667" customFormat="1" ht="9" customHeight="1" x14ac:dyDescent="0.25">
      <c r="A481" s="671" t="s">
        <v>45</v>
      </c>
      <c r="B481" s="671"/>
      <c r="C481" s="683">
        <f t="shared" si="25"/>
        <v>13290</v>
      </c>
      <c r="D481" s="683">
        <v>336</v>
      </c>
      <c r="E481" s="683">
        <v>1764</v>
      </c>
      <c r="F481" s="683">
        <v>2135</v>
      </c>
      <c r="G481" s="683">
        <v>3301</v>
      </c>
      <c r="H481" s="683">
        <v>1256</v>
      </c>
      <c r="I481" s="683">
        <v>1111</v>
      </c>
      <c r="J481" s="683">
        <v>341</v>
      </c>
      <c r="K481" s="683">
        <v>223</v>
      </c>
      <c r="L481" s="683">
        <v>189</v>
      </c>
      <c r="M481" s="683">
        <v>1437</v>
      </c>
      <c r="N481" s="683">
        <v>1197</v>
      </c>
    </row>
    <row r="482" spans="1:15" s="667" customFormat="1" ht="9" customHeight="1" x14ac:dyDescent="0.25">
      <c r="A482" s="667" t="s">
        <v>46</v>
      </c>
      <c r="C482" s="679">
        <f t="shared" si="25"/>
        <v>15467</v>
      </c>
      <c r="D482" s="679">
        <v>350</v>
      </c>
      <c r="E482" s="679">
        <v>2141</v>
      </c>
      <c r="F482" s="679">
        <v>1862</v>
      </c>
      <c r="G482" s="679">
        <v>3721</v>
      </c>
      <c r="H482" s="679">
        <v>1122</v>
      </c>
      <c r="I482" s="679">
        <v>755</v>
      </c>
      <c r="J482" s="679">
        <v>310</v>
      </c>
      <c r="K482" s="679">
        <v>186</v>
      </c>
      <c r="L482" s="679">
        <v>142</v>
      </c>
      <c r="M482" s="679">
        <v>4019</v>
      </c>
      <c r="N482" s="679">
        <v>859</v>
      </c>
    </row>
    <row r="483" spans="1:15" s="667" customFormat="1" ht="9" customHeight="1" x14ac:dyDescent="0.25">
      <c r="A483" s="667" t="s">
        <v>47</v>
      </c>
      <c r="C483" s="679">
        <f t="shared" si="25"/>
        <v>14916</v>
      </c>
      <c r="D483" s="679">
        <v>506</v>
      </c>
      <c r="E483" s="679">
        <v>2213</v>
      </c>
      <c r="F483" s="679">
        <v>2055</v>
      </c>
      <c r="G483" s="679">
        <v>4145</v>
      </c>
      <c r="H483" s="679">
        <v>1250</v>
      </c>
      <c r="I483" s="679">
        <v>982</v>
      </c>
      <c r="J483" s="679">
        <v>416</v>
      </c>
      <c r="K483" s="679">
        <v>306</v>
      </c>
      <c r="L483" s="679">
        <v>185</v>
      </c>
      <c r="M483" s="679">
        <v>1996</v>
      </c>
      <c r="N483" s="679">
        <v>862</v>
      </c>
    </row>
    <row r="484" spans="1:15" s="667" customFormat="1" ht="9" customHeight="1" x14ac:dyDescent="0.25">
      <c r="A484" s="667" t="s">
        <v>48</v>
      </c>
      <c r="C484" s="679">
        <f t="shared" si="25"/>
        <v>11156</v>
      </c>
      <c r="D484" s="679">
        <v>440</v>
      </c>
      <c r="E484" s="679">
        <v>1333</v>
      </c>
      <c r="F484" s="679">
        <v>2059</v>
      </c>
      <c r="G484" s="679">
        <v>2467</v>
      </c>
      <c r="H484" s="679">
        <v>855</v>
      </c>
      <c r="I484" s="679">
        <v>773</v>
      </c>
      <c r="J484" s="679">
        <v>293</v>
      </c>
      <c r="K484" s="679">
        <v>349</v>
      </c>
      <c r="L484" s="679">
        <v>241</v>
      </c>
      <c r="M484" s="679">
        <v>1522</v>
      </c>
      <c r="N484" s="679">
        <v>824</v>
      </c>
    </row>
    <row r="485" spans="1:15" s="667" customFormat="1" ht="9" customHeight="1" x14ac:dyDescent="0.25">
      <c r="A485" s="671" t="s">
        <v>49</v>
      </c>
      <c r="B485" s="671"/>
      <c r="C485" s="683">
        <f t="shared" si="25"/>
        <v>17200</v>
      </c>
      <c r="D485" s="683">
        <v>518</v>
      </c>
      <c r="E485" s="683">
        <v>2370</v>
      </c>
      <c r="F485" s="683">
        <v>2908</v>
      </c>
      <c r="G485" s="683">
        <v>4587</v>
      </c>
      <c r="H485" s="683">
        <v>1247</v>
      </c>
      <c r="I485" s="683">
        <v>1151</v>
      </c>
      <c r="J485" s="683">
        <v>470</v>
      </c>
      <c r="K485" s="683">
        <v>445</v>
      </c>
      <c r="L485" s="683">
        <v>256</v>
      </c>
      <c r="M485" s="683">
        <v>2348</v>
      </c>
      <c r="N485" s="683">
        <v>900</v>
      </c>
    </row>
    <row r="486" spans="1:15" s="667" customFormat="1" ht="9" customHeight="1" x14ac:dyDescent="0.25">
      <c r="A486" s="667" t="s">
        <v>50</v>
      </c>
      <c r="C486" s="679">
        <f t="shared" si="25"/>
        <v>5535</v>
      </c>
      <c r="D486" s="679">
        <v>129</v>
      </c>
      <c r="E486" s="679">
        <v>615</v>
      </c>
      <c r="F486" s="679">
        <v>1187</v>
      </c>
      <c r="G486" s="679">
        <v>1098</v>
      </c>
      <c r="H486" s="679">
        <v>512</v>
      </c>
      <c r="I486" s="679">
        <v>564</v>
      </c>
      <c r="J486" s="679">
        <v>213</v>
      </c>
      <c r="K486" s="679">
        <v>201</v>
      </c>
      <c r="L486" s="679">
        <v>101</v>
      </c>
      <c r="M486" s="679">
        <v>450</v>
      </c>
      <c r="N486" s="679">
        <v>465</v>
      </c>
    </row>
    <row r="487" spans="1:15" s="667" customFormat="1" ht="9" customHeight="1" x14ac:dyDescent="0.25">
      <c r="A487" s="667" t="s">
        <v>51</v>
      </c>
      <c r="C487" s="679">
        <f t="shared" si="25"/>
        <v>45079</v>
      </c>
      <c r="D487" s="679">
        <v>1624</v>
      </c>
      <c r="E487" s="679">
        <v>5694</v>
      </c>
      <c r="F487" s="679">
        <v>8206</v>
      </c>
      <c r="G487" s="679">
        <v>11172</v>
      </c>
      <c r="H487" s="679">
        <v>3650</v>
      </c>
      <c r="I487" s="679">
        <v>4583</v>
      </c>
      <c r="J487" s="679">
        <v>1439</v>
      </c>
      <c r="K487" s="679">
        <v>1027</v>
      </c>
      <c r="L487" s="679">
        <v>658</v>
      </c>
      <c r="M487" s="679">
        <v>3478</v>
      </c>
      <c r="N487" s="679">
        <v>3548</v>
      </c>
    </row>
    <row r="488" spans="1:15" s="673" customFormat="1" ht="9" customHeight="1" x14ac:dyDescent="0.25">
      <c r="A488" s="673" t="s">
        <v>52</v>
      </c>
      <c r="C488" s="684">
        <f t="shared" si="25"/>
        <v>11172</v>
      </c>
      <c r="D488" s="684">
        <v>395</v>
      </c>
      <c r="E488" s="684">
        <v>1294</v>
      </c>
      <c r="F488" s="684">
        <v>1509</v>
      </c>
      <c r="G488" s="684">
        <v>2858</v>
      </c>
      <c r="H488" s="684">
        <v>1078</v>
      </c>
      <c r="I488" s="684">
        <v>1399</v>
      </c>
      <c r="J488" s="684">
        <v>393</v>
      </c>
      <c r="K488" s="684">
        <v>197</v>
      </c>
      <c r="L488" s="684">
        <v>145</v>
      </c>
      <c r="M488" s="684">
        <v>788</v>
      </c>
      <c r="N488" s="684">
        <v>1116</v>
      </c>
    </row>
    <row r="489" spans="1:15" s="667" customFormat="1" ht="9" customHeight="1" x14ac:dyDescent="0.25">
      <c r="A489" s="671" t="s">
        <v>53</v>
      </c>
      <c r="B489" s="671"/>
      <c r="C489" s="683">
        <f t="shared" si="25"/>
        <v>8373</v>
      </c>
      <c r="D489" s="683">
        <v>211</v>
      </c>
      <c r="E489" s="683">
        <v>1017</v>
      </c>
      <c r="F489" s="683">
        <v>1217</v>
      </c>
      <c r="G489" s="683">
        <v>2038</v>
      </c>
      <c r="H489" s="683">
        <v>956</v>
      </c>
      <c r="I489" s="683">
        <v>679</v>
      </c>
      <c r="J489" s="683">
        <v>202</v>
      </c>
      <c r="K489" s="683">
        <v>208</v>
      </c>
      <c r="L489" s="683">
        <v>117</v>
      </c>
      <c r="M489" s="683">
        <v>1034</v>
      </c>
      <c r="N489" s="683">
        <v>694</v>
      </c>
    </row>
    <row r="490" spans="1:15" s="667" customFormat="1" ht="9" customHeight="1" x14ac:dyDescent="0.25">
      <c r="A490" s="664" t="s">
        <v>434</v>
      </c>
      <c r="B490" s="664"/>
      <c r="C490" s="679">
        <f t="shared" si="25"/>
        <v>1132</v>
      </c>
      <c r="D490" s="679">
        <v>11</v>
      </c>
      <c r="E490" s="679">
        <v>130</v>
      </c>
      <c r="F490" s="679">
        <v>78</v>
      </c>
      <c r="G490" s="679">
        <v>280</v>
      </c>
      <c r="H490" s="679">
        <v>43</v>
      </c>
      <c r="I490" s="679">
        <v>51</v>
      </c>
      <c r="J490" s="679">
        <v>6</v>
      </c>
      <c r="K490" s="679">
        <v>1</v>
      </c>
      <c r="L490" s="679">
        <v>2</v>
      </c>
      <c r="M490" s="679">
        <v>494</v>
      </c>
      <c r="N490" s="679">
        <v>36</v>
      </c>
    </row>
    <row r="491" spans="1:15" s="667" customFormat="1" ht="9" customHeight="1" x14ac:dyDescent="0.25">
      <c r="A491" s="664"/>
      <c r="B491" s="664"/>
      <c r="C491" s="679"/>
      <c r="D491" s="679"/>
      <c r="E491" s="679"/>
      <c r="F491" s="679"/>
      <c r="G491" s="679"/>
      <c r="H491" s="679"/>
      <c r="I491" s="679"/>
      <c r="J491" s="679"/>
      <c r="K491" s="679"/>
      <c r="L491" s="679"/>
      <c r="M491" s="679"/>
      <c r="N491" s="679"/>
    </row>
    <row r="492" spans="1:15" s="667" customFormat="1" ht="9" customHeight="1" x14ac:dyDescent="0.15">
      <c r="A492" s="687">
        <v>2011</v>
      </c>
      <c r="B492" s="664"/>
      <c r="C492" s="665"/>
      <c r="D492" s="665"/>
      <c r="E492" s="665"/>
      <c r="F492" s="666"/>
      <c r="G492" s="666"/>
      <c r="H492" s="666"/>
      <c r="I492" s="666"/>
      <c r="J492" s="665"/>
      <c r="K492" s="665"/>
      <c r="L492" s="665"/>
      <c r="M492" s="665"/>
      <c r="N492" s="665"/>
    </row>
    <row r="493" spans="1:15" s="668" customFormat="1" ht="9" customHeight="1" x14ac:dyDescent="0.25">
      <c r="A493" s="668" t="s">
        <v>13</v>
      </c>
      <c r="C493" s="682">
        <f t="shared" ref="C493:N493" si="26">SUM(C495:C527)</f>
        <v>590693</v>
      </c>
      <c r="D493" s="682">
        <f t="shared" si="26"/>
        <v>17734</v>
      </c>
      <c r="E493" s="682">
        <f t="shared" si="26"/>
        <v>76215</v>
      </c>
      <c r="F493" s="682">
        <f t="shared" si="26"/>
        <v>96700</v>
      </c>
      <c r="G493" s="682">
        <f t="shared" si="26"/>
        <v>140595</v>
      </c>
      <c r="H493" s="682">
        <f t="shared" si="26"/>
        <v>47825</v>
      </c>
      <c r="I493" s="682">
        <f t="shared" si="26"/>
        <v>55877</v>
      </c>
      <c r="J493" s="682">
        <f t="shared" si="26"/>
        <v>18296</v>
      </c>
      <c r="K493" s="682">
        <f t="shared" si="26"/>
        <v>14825</v>
      </c>
      <c r="L493" s="682">
        <f t="shared" si="26"/>
        <v>9527</v>
      </c>
      <c r="M493" s="682">
        <f t="shared" si="26"/>
        <v>75320</v>
      </c>
      <c r="N493" s="682">
        <f t="shared" si="26"/>
        <v>37779</v>
      </c>
      <c r="O493" s="682"/>
    </row>
    <row r="494" spans="1:15" s="668" customFormat="1" ht="5.25" customHeight="1" x14ac:dyDescent="0.25">
      <c r="C494" s="682"/>
      <c r="D494" s="682"/>
      <c r="E494" s="682"/>
      <c r="F494" s="682"/>
      <c r="G494" s="682"/>
      <c r="H494" s="682"/>
      <c r="I494" s="682"/>
      <c r="J494" s="682"/>
      <c r="K494" s="682"/>
      <c r="L494" s="682"/>
      <c r="M494" s="682"/>
      <c r="N494" s="682"/>
    </row>
    <row r="495" spans="1:15" s="667" customFormat="1" ht="9" customHeight="1" x14ac:dyDescent="0.25">
      <c r="A495" s="667" t="s">
        <v>23</v>
      </c>
      <c r="C495" s="679">
        <f t="shared" ref="C495:C527" si="27">SUM(D495:N495)</f>
        <v>4934</v>
      </c>
      <c r="D495" s="679">
        <v>108</v>
      </c>
      <c r="E495" s="679">
        <v>727</v>
      </c>
      <c r="F495" s="679">
        <v>725</v>
      </c>
      <c r="G495" s="679">
        <v>1064</v>
      </c>
      <c r="H495" s="679">
        <v>495</v>
      </c>
      <c r="I495" s="679">
        <v>495</v>
      </c>
      <c r="J495" s="679">
        <v>161</v>
      </c>
      <c r="K495" s="679">
        <v>128</v>
      </c>
      <c r="L495" s="679">
        <v>107</v>
      </c>
      <c r="M495" s="679">
        <v>607</v>
      </c>
      <c r="N495" s="679">
        <v>317</v>
      </c>
      <c r="O495" s="679"/>
    </row>
    <row r="496" spans="1:15" s="667" customFormat="1" ht="9" customHeight="1" x14ac:dyDescent="0.25">
      <c r="A496" s="667" t="s">
        <v>24</v>
      </c>
      <c r="C496" s="679">
        <f t="shared" si="27"/>
        <v>14922</v>
      </c>
      <c r="D496" s="679">
        <v>905</v>
      </c>
      <c r="E496" s="679">
        <v>1979</v>
      </c>
      <c r="F496" s="679">
        <v>1928</v>
      </c>
      <c r="G496" s="679">
        <v>3772</v>
      </c>
      <c r="H496" s="679">
        <v>1250</v>
      </c>
      <c r="I496" s="679">
        <v>1192</v>
      </c>
      <c r="J496" s="679">
        <v>398</v>
      </c>
      <c r="K496" s="679">
        <v>394</v>
      </c>
      <c r="L496" s="679">
        <v>226</v>
      </c>
      <c r="M496" s="679">
        <v>2128</v>
      </c>
      <c r="N496" s="679">
        <v>750</v>
      </c>
    </row>
    <row r="497" spans="1:14" s="667" customFormat="1" ht="9" customHeight="1" x14ac:dyDescent="0.25">
      <c r="A497" s="667" t="s">
        <v>25</v>
      </c>
      <c r="C497" s="679">
        <f t="shared" si="27"/>
        <v>2602</v>
      </c>
      <c r="D497" s="679">
        <v>99</v>
      </c>
      <c r="E497" s="679">
        <v>415</v>
      </c>
      <c r="F497" s="679">
        <v>372</v>
      </c>
      <c r="G497" s="679">
        <v>687</v>
      </c>
      <c r="H497" s="679">
        <v>195</v>
      </c>
      <c r="I497" s="679">
        <v>207</v>
      </c>
      <c r="J497" s="679">
        <v>54</v>
      </c>
      <c r="K497" s="679">
        <v>65</v>
      </c>
      <c r="L497" s="679">
        <v>43</v>
      </c>
      <c r="M497" s="679">
        <v>327</v>
      </c>
      <c r="N497" s="679">
        <v>138</v>
      </c>
    </row>
    <row r="498" spans="1:14" s="667" customFormat="1" ht="9" customHeight="1" x14ac:dyDescent="0.25">
      <c r="A498" s="671" t="s">
        <v>26</v>
      </c>
      <c r="B498" s="671"/>
      <c r="C498" s="683">
        <f t="shared" si="27"/>
        <v>3736</v>
      </c>
      <c r="D498" s="683">
        <v>120</v>
      </c>
      <c r="E498" s="683">
        <v>475</v>
      </c>
      <c r="F498" s="683">
        <v>574</v>
      </c>
      <c r="G498" s="683">
        <v>827</v>
      </c>
      <c r="H498" s="683">
        <v>315</v>
      </c>
      <c r="I498" s="683">
        <v>411</v>
      </c>
      <c r="J498" s="683">
        <v>107</v>
      </c>
      <c r="K498" s="683">
        <v>151</v>
      </c>
      <c r="L498" s="683">
        <v>56</v>
      </c>
      <c r="M498" s="683">
        <v>402</v>
      </c>
      <c r="N498" s="683">
        <v>298</v>
      </c>
    </row>
    <row r="499" spans="1:14" s="667" customFormat="1" ht="9" customHeight="1" x14ac:dyDescent="0.25">
      <c r="A499" s="667" t="s">
        <v>27</v>
      </c>
      <c r="C499" s="679">
        <f t="shared" si="27"/>
        <v>14640</v>
      </c>
      <c r="D499" s="679">
        <v>354</v>
      </c>
      <c r="E499" s="679">
        <v>1904</v>
      </c>
      <c r="F499" s="679">
        <v>2590</v>
      </c>
      <c r="G499" s="679">
        <v>3888</v>
      </c>
      <c r="H499" s="679">
        <v>899</v>
      </c>
      <c r="I499" s="679">
        <v>1204</v>
      </c>
      <c r="J499" s="679">
        <v>375</v>
      </c>
      <c r="K499" s="679">
        <v>322</v>
      </c>
      <c r="L499" s="679">
        <v>150</v>
      </c>
      <c r="M499" s="679">
        <v>2077</v>
      </c>
      <c r="N499" s="679">
        <v>877</v>
      </c>
    </row>
    <row r="500" spans="1:14" s="667" customFormat="1" ht="9" customHeight="1" x14ac:dyDescent="0.25">
      <c r="A500" s="667" t="s">
        <v>28</v>
      </c>
      <c r="C500" s="679">
        <f t="shared" si="27"/>
        <v>3514</v>
      </c>
      <c r="D500" s="679">
        <v>109</v>
      </c>
      <c r="E500" s="679">
        <v>501</v>
      </c>
      <c r="F500" s="679">
        <v>608</v>
      </c>
      <c r="G500" s="679">
        <v>772</v>
      </c>
      <c r="H500" s="679">
        <v>240</v>
      </c>
      <c r="I500" s="679">
        <v>314</v>
      </c>
      <c r="J500" s="679">
        <v>128</v>
      </c>
      <c r="K500" s="679">
        <v>83</v>
      </c>
      <c r="L500" s="679">
        <v>59</v>
      </c>
      <c r="M500" s="679">
        <v>474</v>
      </c>
      <c r="N500" s="679">
        <v>226</v>
      </c>
    </row>
    <row r="501" spans="1:14" s="667" customFormat="1" ht="9" customHeight="1" x14ac:dyDescent="0.25">
      <c r="A501" s="667" t="s">
        <v>29</v>
      </c>
      <c r="C501" s="679">
        <f t="shared" si="27"/>
        <v>21199</v>
      </c>
      <c r="D501" s="679">
        <v>1123</v>
      </c>
      <c r="E501" s="679">
        <v>2783</v>
      </c>
      <c r="F501" s="679">
        <v>2898</v>
      </c>
      <c r="G501" s="679">
        <v>4005</v>
      </c>
      <c r="H501" s="679">
        <v>1513</v>
      </c>
      <c r="I501" s="679">
        <v>2078</v>
      </c>
      <c r="J501" s="679">
        <v>763</v>
      </c>
      <c r="K501" s="679">
        <v>650</v>
      </c>
      <c r="L501" s="679">
        <v>401</v>
      </c>
      <c r="M501" s="679">
        <v>2310</v>
      </c>
      <c r="N501" s="679">
        <v>2675</v>
      </c>
    </row>
    <row r="502" spans="1:14" s="667" customFormat="1" ht="9" customHeight="1" x14ac:dyDescent="0.25">
      <c r="A502" s="671" t="s">
        <v>30</v>
      </c>
      <c r="B502" s="671"/>
      <c r="C502" s="683">
        <f t="shared" si="27"/>
        <v>24121</v>
      </c>
      <c r="D502" s="683">
        <v>694</v>
      </c>
      <c r="E502" s="683">
        <v>2707</v>
      </c>
      <c r="F502" s="683">
        <v>2771</v>
      </c>
      <c r="G502" s="683">
        <v>5316</v>
      </c>
      <c r="H502" s="683">
        <v>1565</v>
      </c>
      <c r="I502" s="683">
        <v>1697</v>
      </c>
      <c r="J502" s="683">
        <v>556</v>
      </c>
      <c r="K502" s="683">
        <v>464</v>
      </c>
      <c r="L502" s="683">
        <v>307</v>
      </c>
      <c r="M502" s="683">
        <v>6812</v>
      </c>
      <c r="N502" s="683">
        <v>1232</v>
      </c>
    </row>
    <row r="503" spans="1:14" s="667" customFormat="1" ht="9" customHeight="1" x14ac:dyDescent="0.25">
      <c r="A503" s="667" t="s">
        <v>171</v>
      </c>
      <c r="C503" s="679">
        <f t="shared" si="27"/>
        <v>54629</v>
      </c>
      <c r="D503" s="679">
        <v>1338</v>
      </c>
      <c r="E503" s="679">
        <v>7931</v>
      </c>
      <c r="F503" s="679">
        <v>9920</v>
      </c>
      <c r="G503" s="679">
        <v>14985</v>
      </c>
      <c r="H503" s="679">
        <v>5134</v>
      </c>
      <c r="I503" s="679">
        <v>5424</v>
      </c>
      <c r="J503" s="679">
        <v>1829</v>
      </c>
      <c r="K503" s="679">
        <v>1019</v>
      </c>
      <c r="L503" s="679">
        <v>730</v>
      </c>
      <c r="M503" s="679">
        <v>3686</v>
      </c>
      <c r="N503" s="679">
        <v>2633</v>
      </c>
    </row>
    <row r="504" spans="1:14" s="667" customFormat="1" ht="9" customHeight="1" x14ac:dyDescent="0.25">
      <c r="A504" s="667" t="s">
        <v>31</v>
      </c>
      <c r="C504" s="679">
        <f t="shared" si="27"/>
        <v>9274</v>
      </c>
      <c r="D504" s="679">
        <v>219</v>
      </c>
      <c r="E504" s="679">
        <v>1038</v>
      </c>
      <c r="F504" s="679">
        <v>1191</v>
      </c>
      <c r="G504" s="679">
        <v>2244</v>
      </c>
      <c r="H504" s="679">
        <v>667</v>
      </c>
      <c r="I504" s="679">
        <v>688</v>
      </c>
      <c r="J504" s="679">
        <v>221</v>
      </c>
      <c r="K504" s="679">
        <v>297</v>
      </c>
      <c r="L504" s="679">
        <v>141</v>
      </c>
      <c r="M504" s="679">
        <v>2062</v>
      </c>
      <c r="N504" s="679">
        <v>506</v>
      </c>
    </row>
    <row r="505" spans="1:14" s="667" customFormat="1" ht="9" customHeight="1" x14ac:dyDescent="0.25">
      <c r="A505" s="667" t="s">
        <v>32</v>
      </c>
      <c r="C505" s="679">
        <f t="shared" si="27"/>
        <v>26550</v>
      </c>
      <c r="D505" s="679">
        <v>566</v>
      </c>
      <c r="E505" s="679">
        <v>3288</v>
      </c>
      <c r="F505" s="679">
        <v>5070</v>
      </c>
      <c r="G505" s="679">
        <v>6282</v>
      </c>
      <c r="H505" s="679">
        <v>2361</v>
      </c>
      <c r="I505" s="679">
        <v>2584</v>
      </c>
      <c r="J505" s="679">
        <v>782</v>
      </c>
      <c r="K505" s="679">
        <v>744</v>
      </c>
      <c r="L505" s="679">
        <v>498</v>
      </c>
      <c r="M505" s="679">
        <v>2792</v>
      </c>
      <c r="N505" s="679">
        <v>1583</v>
      </c>
    </row>
    <row r="506" spans="1:14" s="667" customFormat="1" ht="9" customHeight="1" x14ac:dyDescent="0.25">
      <c r="A506" s="671" t="s">
        <v>33</v>
      </c>
      <c r="B506" s="671"/>
      <c r="C506" s="683">
        <f t="shared" si="27"/>
        <v>17841</v>
      </c>
      <c r="D506" s="683">
        <v>565</v>
      </c>
      <c r="E506" s="683">
        <v>1879</v>
      </c>
      <c r="F506" s="683">
        <v>2688</v>
      </c>
      <c r="G506" s="683">
        <v>3710</v>
      </c>
      <c r="H506" s="683">
        <v>1102</v>
      </c>
      <c r="I506" s="683">
        <v>1384</v>
      </c>
      <c r="J506" s="683">
        <v>507</v>
      </c>
      <c r="K506" s="683">
        <v>404</v>
      </c>
      <c r="L506" s="683">
        <v>254</v>
      </c>
      <c r="M506" s="683">
        <v>4042</v>
      </c>
      <c r="N506" s="683">
        <v>1306</v>
      </c>
    </row>
    <row r="507" spans="1:14" s="667" customFormat="1" ht="9" customHeight="1" x14ac:dyDescent="0.25">
      <c r="A507" s="667" t="s">
        <v>34</v>
      </c>
      <c r="C507" s="679">
        <f t="shared" si="27"/>
        <v>13150</v>
      </c>
      <c r="D507" s="679">
        <v>249</v>
      </c>
      <c r="E507" s="679">
        <v>1608</v>
      </c>
      <c r="F507" s="679">
        <v>2201</v>
      </c>
      <c r="G507" s="679">
        <v>3461</v>
      </c>
      <c r="H507" s="679">
        <v>1051</v>
      </c>
      <c r="I507" s="679">
        <v>1509</v>
      </c>
      <c r="J507" s="679">
        <v>363</v>
      </c>
      <c r="K507" s="679">
        <v>312</v>
      </c>
      <c r="L507" s="679">
        <v>213</v>
      </c>
      <c r="M507" s="679">
        <v>1422</v>
      </c>
      <c r="N507" s="679">
        <v>761</v>
      </c>
    </row>
    <row r="508" spans="1:14" s="667" customFormat="1" ht="9" customHeight="1" x14ac:dyDescent="0.25">
      <c r="A508" s="667" t="s">
        <v>35</v>
      </c>
      <c r="C508" s="679">
        <f t="shared" si="27"/>
        <v>40328</v>
      </c>
      <c r="D508" s="679">
        <v>1127</v>
      </c>
      <c r="E508" s="679">
        <v>5451</v>
      </c>
      <c r="F508" s="679">
        <v>6415</v>
      </c>
      <c r="G508" s="679">
        <v>9402</v>
      </c>
      <c r="H508" s="679">
        <v>4247</v>
      </c>
      <c r="I508" s="679">
        <v>3594</v>
      </c>
      <c r="J508" s="679">
        <v>1472</v>
      </c>
      <c r="K508" s="679">
        <v>994</v>
      </c>
      <c r="L508" s="679">
        <v>683</v>
      </c>
      <c r="M508" s="679">
        <v>4717</v>
      </c>
      <c r="N508" s="679">
        <v>2226</v>
      </c>
    </row>
    <row r="509" spans="1:14" s="667" customFormat="1" ht="9" customHeight="1" x14ac:dyDescent="0.25">
      <c r="A509" s="667" t="s">
        <v>36</v>
      </c>
      <c r="C509" s="679">
        <f t="shared" si="27"/>
        <v>69384</v>
      </c>
      <c r="D509" s="679">
        <v>1701</v>
      </c>
      <c r="E509" s="679">
        <v>8476</v>
      </c>
      <c r="F509" s="679">
        <v>13361</v>
      </c>
      <c r="G509" s="679">
        <v>14926</v>
      </c>
      <c r="H509" s="679">
        <v>6112</v>
      </c>
      <c r="I509" s="679">
        <v>7926</v>
      </c>
      <c r="J509" s="679">
        <v>2248</v>
      </c>
      <c r="K509" s="679">
        <v>2393</v>
      </c>
      <c r="L509" s="679">
        <v>1414</v>
      </c>
      <c r="M509" s="679">
        <v>7613</v>
      </c>
      <c r="N509" s="679">
        <v>3214</v>
      </c>
    </row>
    <row r="510" spans="1:14" s="667" customFormat="1" ht="9" customHeight="1" x14ac:dyDescent="0.25">
      <c r="A510" s="671" t="s">
        <v>37</v>
      </c>
      <c r="B510" s="671"/>
      <c r="C510" s="683">
        <f t="shared" si="27"/>
        <v>24083</v>
      </c>
      <c r="D510" s="683">
        <v>510</v>
      </c>
      <c r="E510" s="683">
        <v>3003</v>
      </c>
      <c r="F510" s="683">
        <v>4227</v>
      </c>
      <c r="G510" s="683">
        <v>5590</v>
      </c>
      <c r="H510" s="683">
        <v>2140</v>
      </c>
      <c r="I510" s="683">
        <v>2153</v>
      </c>
      <c r="J510" s="683">
        <v>664</v>
      </c>
      <c r="K510" s="683">
        <v>585</v>
      </c>
      <c r="L510" s="683">
        <v>342</v>
      </c>
      <c r="M510" s="683">
        <v>3239</v>
      </c>
      <c r="N510" s="683">
        <v>1630</v>
      </c>
    </row>
    <row r="511" spans="1:14" s="667" customFormat="1" ht="9" customHeight="1" x14ac:dyDescent="0.25">
      <c r="A511" s="667" t="s">
        <v>38</v>
      </c>
      <c r="C511" s="679">
        <f t="shared" si="27"/>
        <v>9653</v>
      </c>
      <c r="D511" s="679">
        <v>256</v>
      </c>
      <c r="E511" s="679">
        <v>1311</v>
      </c>
      <c r="F511" s="679">
        <v>1755</v>
      </c>
      <c r="G511" s="679">
        <v>2057</v>
      </c>
      <c r="H511" s="679">
        <v>762</v>
      </c>
      <c r="I511" s="679">
        <v>1095</v>
      </c>
      <c r="J511" s="679">
        <v>329</v>
      </c>
      <c r="K511" s="679">
        <v>241</v>
      </c>
      <c r="L511" s="679">
        <v>148</v>
      </c>
      <c r="M511" s="679">
        <v>1066</v>
      </c>
      <c r="N511" s="679">
        <v>633</v>
      </c>
    </row>
    <row r="512" spans="1:14" s="667" customFormat="1" ht="9" customHeight="1" x14ac:dyDescent="0.25">
      <c r="A512" s="667" t="s">
        <v>39</v>
      </c>
      <c r="C512" s="679">
        <f t="shared" si="27"/>
        <v>6089</v>
      </c>
      <c r="D512" s="679">
        <v>218</v>
      </c>
      <c r="E512" s="679">
        <v>836</v>
      </c>
      <c r="F512" s="679">
        <v>838</v>
      </c>
      <c r="G512" s="679">
        <v>1391</v>
      </c>
      <c r="H512" s="679">
        <v>532</v>
      </c>
      <c r="I512" s="679">
        <v>472</v>
      </c>
      <c r="J512" s="679">
        <v>154</v>
      </c>
      <c r="K512" s="679">
        <v>76</v>
      </c>
      <c r="L512" s="679">
        <v>71</v>
      </c>
      <c r="M512" s="679">
        <v>1120</v>
      </c>
      <c r="N512" s="679">
        <v>381</v>
      </c>
    </row>
    <row r="513" spans="1:14" s="667" customFormat="1" ht="9" customHeight="1" x14ac:dyDescent="0.25">
      <c r="A513" s="667" t="s">
        <v>40</v>
      </c>
      <c r="C513" s="679">
        <f t="shared" si="27"/>
        <v>23913</v>
      </c>
      <c r="D513" s="679">
        <v>693</v>
      </c>
      <c r="E513" s="679">
        <v>3525</v>
      </c>
      <c r="F513" s="679">
        <v>3104</v>
      </c>
      <c r="G513" s="679">
        <v>6406</v>
      </c>
      <c r="H513" s="679">
        <v>1724</v>
      </c>
      <c r="I513" s="679">
        <v>1923</v>
      </c>
      <c r="J513" s="679">
        <v>664</v>
      </c>
      <c r="K513" s="679">
        <v>317</v>
      </c>
      <c r="L513" s="679">
        <v>296</v>
      </c>
      <c r="M513" s="679">
        <v>3890</v>
      </c>
      <c r="N513" s="679">
        <v>1371</v>
      </c>
    </row>
    <row r="514" spans="1:14" s="667" customFormat="1" ht="9" customHeight="1" x14ac:dyDescent="0.25">
      <c r="A514" s="671" t="s">
        <v>41</v>
      </c>
      <c r="B514" s="671"/>
      <c r="C514" s="683">
        <f t="shared" si="27"/>
        <v>20919</v>
      </c>
      <c r="D514" s="683">
        <v>678</v>
      </c>
      <c r="E514" s="683">
        <v>2470</v>
      </c>
      <c r="F514" s="683">
        <v>3404</v>
      </c>
      <c r="G514" s="683">
        <v>5079</v>
      </c>
      <c r="H514" s="683">
        <v>1400</v>
      </c>
      <c r="I514" s="683">
        <v>2103</v>
      </c>
      <c r="J514" s="683">
        <v>651</v>
      </c>
      <c r="K514" s="683">
        <v>418</v>
      </c>
      <c r="L514" s="683">
        <v>332</v>
      </c>
      <c r="M514" s="683">
        <v>2119</v>
      </c>
      <c r="N514" s="683">
        <v>2265</v>
      </c>
    </row>
    <row r="515" spans="1:14" s="667" customFormat="1" ht="9" customHeight="1" x14ac:dyDescent="0.25">
      <c r="A515" s="667" t="s">
        <v>42</v>
      </c>
      <c r="C515" s="679">
        <f t="shared" si="27"/>
        <v>31244</v>
      </c>
      <c r="D515" s="679">
        <v>876</v>
      </c>
      <c r="E515" s="679">
        <v>3317</v>
      </c>
      <c r="F515" s="679">
        <v>5848</v>
      </c>
      <c r="G515" s="679">
        <v>6858</v>
      </c>
      <c r="H515" s="679">
        <v>2518</v>
      </c>
      <c r="I515" s="679">
        <v>3667</v>
      </c>
      <c r="J515" s="679">
        <v>1199</v>
      </c>
      <c r="K515" s="679">
        <v>1102</v>
      </c>
      <c r="L515" s="679">
        <v>667</v>
      </c>
      <c r="M515" s="679">
        <v>2752</v>
      </c>
      <c r="N515" s="679">
        <v>2440</v>
      </c>
    </row>
    <row r="516" spans="1:14" s="667" customFormat="1" ht="9" customHeight="1" x14ac:dyDescent="0.25">
      <c r="A516" s="667" t="s">
        <v>43</v>
      </c>
      <c r="C516" s="679">
        <f t="shared" si="27"/>
        <v>7853</v>
      </c>
      <c r="D516" s="679">
        <v>195</v>
      </c>
      <c r="E516" s="679">
        <v>1004</v>
      </c>
      <c r="F516" s="679">
        <v>1193</v>
      </c>
      <c r="G516" s="679">
        <v>1794</v>
      </c>
      <c r="H516" s="679">
        <v>554</v>
      </c>
      <c r="I516" s="679">
        <v>1030</v>
      </c>
      <c r="J516" s="679">
        <v>277</v>
      </c>
      <c r="K516" s="679">
        <v>221</v>
      </c>
      <c r="L516" s="679">
        <v>172</v>
      </c>
      <c r="M516" s="679">
        <v>864</v>
      </c>
      <c r="N516" s="679">
        <v>549</v>
      </c>
    </row>
    <row r="517" spans="1:14" s="667" customFormat="1" ht="9" customHeight="1" x14ac:dyDescent="0.25">
      <c r="A517" s="667" t="s">
        <v>44</v>
      </c>
      <c r="C517" s="679">
        <f t="shared" si="27"/>
        <v>4409</v>
      </c>
      <c r="D517" s="679">
        <v>275</v>
      </c>
      <c r="E517" s="679">
        <v>542</v>
      </c>
      <c r="F517" s="679">
        <v>570</v>
      </c>
      <c r="G517" s="679">
        <v>756</v>
      </c>
      <c r="H517" s="679">
        <v>341</v>
      </c>
      <c r="I517" s="679">
        <v>498</v>
      </c>
      <c r="J517" s="679">
        <v>129</v>
      </c>
      <c r="K517" s="679">
        <v>196</v>
      </c>
      <c r="L517" s="679">
        <v>91</v>
      </c>
      <c r="M517" s="679">
        <v>704</v>
      </c>
      <c r="N517" s="679">
        <v>307</v>
      </c>
    </row>
    <row r="518" spans="1:14" s="667" customFormat="1" ht="9" customHeight="1" x14ac:dyDescent="0.25">
      <c r="A518" s="671" t="s">
        <v>45</v>
      </c>
      <c r="B518" s="671"/>
      <c r="C518" s="683">
        <f t="shared" si="27"/>
        <v>13004</v>
      </c>
      <c r="D518" s="683">
        <v>335</v>
      </c>
      <c r="E518" s="683">
        <v>1825</v>
      </c>
      <c r="F518" s="683">
        <v>1977</v>
      </c>
      <c r="G518" s="683">
        <v>3238</v>
      </c>
      <c r="H518" s="683">
        <v>1194</v>
      </c>
      <c r="I518" s="683">
        <v>1126</v>
      </c>
      <c r="J518" s="683">
        <v>410</v>
      </c>
      <c r="K518" s="683">
        <v>247</v>
      </c>
      <c r="L518" s="683">
        <v>215</v>
      </c>
      <c r="M518" s="683">
        <v>1378</v>
      </c>
      <c r="N518" s="683">
        <v>1059</v>
      </c>
    </row>
    <row r="519" spans="1:14" s="667" customFormat="1" ht="9" customHeight="1" x14ac:dyDescent="0.25">
      <c r="A519" s="667" t="s">
        <v>46</v>
      </c>
      <c r="C519" s="679">
        <f t="shared" si="27"/>
        <v>15669</v>
      </c>
      <c r="D519" s="679">
        <v>446</v>
      </c>
      <c r="E519" s="679">
        <v>2136</v>
      </c>
      <c r="F519" s="679">
        <v>1882</v>
      </c>
      <c r="G519" s="679">
        <v>3911</v>
      </c>
      <c r="H519" s="679">
        <v>1120</v>
      </c>
      <c r="I519" s="679">
        <v>870</v>
      </c>
      <c r="J519" s="679">
        <v>363</v>
      </c>
      <c r="K519" s="679">
        <v>242</v>
      </c>
      <c r="L519" s="679">
        <v>154</v>
      </c>
      <c r="M519" s="679">
        <v>3671</v>
      </c>
      <c r="N519" s="679">
        <v>874</v>
      </c>
    </row>
    <row r="520" spans="1:14" s="667" customFormat="1" ht="9" customHeight="1" x14ac:dyDescent="0.25">
      <c r="A520" s="667" t="s">
        <v>47</v>
      </c>
      <c r="C520" s="679">
        <f t="shared" si="27"/>
        <v>14752</v>
      </c>
      <c r="D520" s="679">
        <v>569</v>
      </c>
      <c r="E520" s="679">
        <v>2299</v>
      </c>
      <c r="F520" s="679">
        <v>2034</v>
      </c>
      <c r="G520" s="679">
        <v>4115</v>
      </c>
      <c r="H520" s="679">
        <v>1203</v>
      </c>
      <c r="I520" s="679">
        <v>958</v>
      </c>
      <c r="J520" s="679">
        <v>391</v>
      </c>
      <c r="K520" s="679">
        <v>317</v>
      </c>
      <c r="L520" s="679">
        <v>190</v>
      </c>
      <c r="M520" s="679">
        <v>1895</v>
      </c>
      <c r="N520" s="679">
        <v>781</v>
      </c>
    </row>
    <row r="521" spans="1:14" s="667" customFormat="1" ht="9" customHeight="1" x14ac:dyDescent="0.25">
      <c r="A521" s="667" t="s">
        <v>48</v>
      </c>
      <c r="C521" s="679">
        <f t="shared" si="27"/>
        <v>10715</v>
      </c>
      <c r="D521" s="679">
        <v>461</v>
      </c>
      <c r="E521" s="679">
        <v>1374</v>
      </c>
      <c r="F521" s="679">
        <v>1963</v>
      </c>
      <c r="G521" s="679">
        <v>2390</v>
      </c>
      <c r="H521" s="679">
        <v>742</v>
      </c>
      <c r="I521" s="679">
        <v>768</v>
      </c>
      <c r="J521" s="679">
        <v>283</v>
      </c>
      <c r="K521" s="679">
        <v>399</v>
      </c>
      <c r="L521" s="679">
        <v>239</v>
      </c>
      <c r="M521" s="679">
        <v>1433</v>
      </c>
      <c r="N521" s="679">
        <v>663</v>
      </c>
    </row>
    <row r="522" spans="1:14" s="667" customFormat="1" ht="9" customHeight="1" x14ac:dyDescent="0.25">
      <c r="A522" s="671" t="s">
        <v>49</v>
      </c>
      <c r="B522" s="671"/>
      <c r="C522" s="683">
        <f t="shared" si="27"/>
        <v>16880</v>
      </c>
      <c r="D522" s="683">
        <v>555</v>
      </c>
      <c r="E522" s="683">
        <v>2399</v>
      </c>
      <c r="F522" s="683">
        <v>2757</v>
      </c>
      <c r="G522" s="683">
        <v>4524</v>
      </c>
      <c r="H522" s="683">
        <v>1021</v>
      </c>
      <c r="I522" s="683">
        <v>1203</v>
      </c>
      <c r="J522" s="683">
        <v>451</v>
      </c>
      <c r="K522" s="683">
        <v>426</v>
      </c>
      <c r="L522" s="683">
        <v>242</v>
      </c>
      <c r="M522" s="683">
        <v>2463</v>
      </c>
      <c r="N522" s="683">
        <v>839</v>
      </c>
    </row>
    <row r="523" spans="1:14" s="667" customFormat="1" ht="9" customHeight="1" x14ac:dyDescent="0.25">
      <c r="A523" s="667" t="s">
        <v>50</v>
      </c>
      <c r="C523" s="679">
        <f t="shared" si="27"/>
        <v>5471</v>
      </c>
      <c r="D523" s="679">
        <v>103</v>
      </c>
      <c r="E523" s="679">
        <v>622</v>
      </c>
      <c r="F523" s="679">
        <v>1111</v>
      </c>
      <c r="G523" s="679">
        <v>1129</v>
      </c>
      <c r="H523" s="679">
        <v>481</v>
      </c>
      <c r="I523" s="679">
        <v>543</v>
      </c>
      <c r="J523" s="679">
        <v>237</v>
      </c>
      <c r="K523" s="679">
        <v>172</v>
      </c>
      <c r="L523" s="679">
        <v>114</v>
      </c>
      <c r="M523" s="679">
        <v>564</v>
      </c>
      <c r="N523" s="679">
        <v>395</v>
      </c>
    </row>
    <row r="524" spans="1:14" s="667" customFormat="1" ht="9" customHeight="1" x14ac:dyDescent="0.25">
      <c r="A524" s="667" t="s">
        <v>51</v>
      </c>
      <c r="C524" s="679">
        <f t="shared" si="27"/>
        <v>45417</v>
      </c>
      <c r="D524" s="679">
        <v>1677</v>
      </c>
      <c r="E524" s="679">
        <v>5868</v>
      </c>
      <c r="F524" s="679">
        <v>8053</v>
      </c>
      <c r="G524" s="679">
        <v>11053</v>
      </c>
      <c r="H524" s="679">
        <v>3171</v>
      </c>
      <c r="I524" s="679">
        <v>4673</v>
      </c>
      <c r="J524" s="679">
        <v>1436</v>
      </c>
      <c r="K524" s="679">
        <v>1096</v>
      </c>
      <c r="L524" s="679">
        <v>715</v>
      </c>
      <c r="M524" s="679">
        <v>4386</v>
      </c>
      <c r="N524" s="679">
        <v>3289</v>
      </c>
    </row>
    <row r="525" spans="1:14" s="673" customFormat="1" ht="9" customHeight="1" x14ac:dyDescent="0.25">
      <c r="A525" s="673" t="s">
        <v>52</v>
      </c>
      <c r="C525" s="684">
        <f t="shared" si="27"/>
        <v>10763</v>
      </c>
      <c r="D525" s="684">
        <v>410</v>
      </c>
      <c r="E525" s="684">
        <v>1378</v>
      </c>
      <c r="F525" s="684">
        <v>1396</v>
      </c>
      <c r="G525" s="684">
        <v>2764</v>
      </c>
      <c r="H525" s="684">
        <v>926</v>
      </c>
      <c r="I525" s="684">
        <v>1380</v>
      </c>
      <c r="J525" s="684">
        <v>464</v>
      </c>
      <c r="K525" s="684">
        <v>188</v>
      </c>
      <c r="L525" s="684">
        <v>143</v>
      </c>
      <c r="M525" s="684">
        <v>774</v>
      </c>
      <c r="N525" s="684">
        <v>940</v>
      </c>
    </row>
    <row r="526" spans="1:14" s="667" customFormat="1" ht="9" customHeight="1" x14ac:dyDescent="0.25">
      <c r="A526" s="671" t="s">
        <v>53</v>
      </c>
      <c r="B526" s="671"/>
      <c r="C526" s="683">
        <f t="shared" si="27"/>
        <v>7988</v>
      </c>
      <c r="D526" s="683">
        <v>175</v>
      </c>
      <c r="E526" s="683">
        <v>1022</v>
      </c>
      <c r="F526" s="683">
        <v>1192</v>
      </c>
      <c r="G526" s="683">
        <v>1960</v>
      </c>
      <c r="H526" s="683">
        <v>812</v>
      </c>
      <c r="I526" s="683">
        <v>648</v>
      </c>
      <c r="J526" s="683">
        <v>216</v>
      </c>
      <c r="K526" s="683">
        <v>156</v>
      </c>
      <c r="L526" s="683">
        <v>108</v>
      </c>
      <c r="M526" s="683">
        <v>1104</v>
      </c>
      <c r="N526" s="683">
        <v>595</v>
      </c>
    </row>
    <row r="527" spans="1:14" s="667" customFormat="1" ht="9" customHeight="1" x14ac:dyDescent="0.25">
      <c r="A527" s="664" t="s">
        <v>434</v>
      </c>
      <c r="B527" s="664"/>
      <c r="C527" s="679">
        <f t="shared" si="27"/>
        <v>1047</v>
      </c>
      <c r="D527" s="684">
        <v>25</v>
      </c>
      <c r="E527" s="684">
        <v>122</v>
      </c>
      <c r="F527" s="684">
        <v>84</v>
      </c>
      <c r="G527" s="684">
        <v>239</v>
      </c>
      <c r="H527" s="684">
        <v>38</v>
      </c>
      <c r="I527" s="684">
        <v>60</v>
      </c>
      <c r="J527" s="684">
        <v>14</v>
      </c>
      <c r="K527" s="684">
        <v>6</v>
      </c>
      <c r="L527" s="684">
        <v>6</v>
      </c>
      <c r="M527" s="684">
        <v>427</v>
      </c>
      <c r="N527" s="684">
        <v>26</v>
      </c>
    </row>
    <row r="528" spans="1:14" s="667" customFormat="1" ht="9" customHeight="1" x14ac:dyDescent="0.25">
      <c r="A528" s="664"/>
      <c r="B528" s="664"/>
      <c r="C528" s="679"/>
      <c r="D528" s="679"/>
      <c r="E528" s="679"/>
      <c r="F528" s="679"/>
      <c r="G528" s="679"/>
      <c r="H528" s="679"/>
      <c r="I528" s="679"/>
      <c r="J528" s="679"/>
      <c r="K528" s="679"/>
      <c r="L528" s="679"/>
      <c r="M528" s="679"/>
      <c r="N528" s="679"/>
    </row>
    <row r="529" spans="1:15" s="667" customFormat="1" ht="9" customHeight="1" x14ac:dyDescent="0.15">
      <c r="A529" s="687">
        <v>2012</v>
      </c>
      <c r="B529" s="664"/>
      <c r="C529" s="665"/>
      <c r="D529" s="665"/>
      <c r="E529" s="665"/>
      <c r="F529" s="666"/>
      <c r="G529" s="666"/>
      <c r="H529" s="666"/>
      <c r="I529" s="666"/>
      <c r="J529" s="665"/>
      <c r="K529" s="665"/>
      <c r="L529" s="665"/>
      <c r="M529" s="665"/>
      <c r="N529" s="665"/>
    </row>
    <row r="530" spans="1:15" s="668" customFormat="1" ht="9" customHeight="1" x14ac:dyDescent="0.25">
      <c r="A530" s="668" t="s">
        <v>13</v>
      </c>
      <c r="C530" s="682">
        <f t="shared" ref="C530:N530" si="28">SUM(C532:C564)</f>
        <v>602354</v>
      </c>
      <c r="D530" s="682">
        <f t="shared" si="28"/>
        <v>18003</v>
      </c>
      <c r="E530" s="682">
        <f t="shared" si="28"/>
        <v>78352</v>
      </c>
      <c r="F530" s="682">
        <f t="shared" si="28"/>
        <v>100771</v>
      </c>
      <c r="G530" s="682">
        <f t="shared" si="28"/>
        <v>144798</v>
      </c>
      <c r="H530" s="682">
        <f t="shared" si="28"/>
        <v>48548</v>
      </c>
      <c r="I530" s="682">
        <f t="shared" si="28"/>
        <v>57529</v>
      </c>
      <c r="J530" s="682">
        <f t="shared" si="28"/>
        <v>19371</v>
      </c>
      <c r="K530" s="682">
        <f t="shared" si="28"/>
        <v>14391</v>
      </c>
      <c r="L530" s="682">
        <f t="shared" si="28"/>
        <v>9414</v>
      </c>
      <c r="M530" s="682">
        <f t="shared" si="28"/>
        <v>73736</v>
      </c>
      <c r="N530" s="682">
        <f t="shared" si="28"/>
        <v>37441</v>
      </c>
      <c r="O530" s="682"/>
    </row>
    <row r="531" spans="1:15" s="668" customFormat="1" ht="5.25" customHeight="1" x14ac:dyDescent="0.25">
      <c r="C531" s="682"/>
      <c r="D531" s="682"/>
      <c r="E531" s="682"/>
      <c r="F531" s="682"/>
      <c r="G531" s="682"/>
      <c r="H531" s="682"/>
      <c r="I531" s="682"/>
      <c r="J531" s="682"/>
      <c r="K531" s="682"/>
      <c r="L531" s="682"/>
      <c r="M531" s="682"/>
      <c r="N531" s="682"/>
    </row>
    <row r="532" spans="1:15" s="667" customFormat="1" ht="9" customHeight="1" x14ac:dyDescent="0.25">
      <c r="A532" s="667" t="s">
        <v>23</v>
      </c>
      <c r="C532" s="679">
        <f t="shared" ref="C532:C564" si="29">SUM(D532:N532)</f>
        <v>5267</v>
      </c>
      <c r="D532" s="679">
        <v>129</v>
      </c>
      <c r="E532" s="679">
        <v>804</v>
      </c>
      <c r="F532" s="679">
        <v>877</v>
      </c>
      <c r="G532" s="679">
        <v>1170</v>
      </c>
      <c r="H532" s="679">
        <v>457</v>
      </c>
      <c r="I532" s="679">
        <v>527</v>
      </c>
      <c r="J532" s="679">
        <v>153</v>
      </c>
      <c r="K532" s="679">
        <v>139</v>
      </c>
      <c r="L532" s="679">
        <v>90</v>
      </c>
      <c r="M532" s="679">
        <v>585</v>
      </c>
      <c r="N532" s="679">
        <v>336</v>
      </c>
      <c r="O532" s="679"/>
    </row>
    <row r="533" spans="1:15" s="667" customFormat="1" ht="9" customHeight="1" x14ac:dyDescent="0.25">
      <c r="A533" s="667" t="s">
        <v>24</v>
      </c>
      <c r="C533" s="679">
        <f t="shared" si="29"/>
        <v>14756</v>
      </c>
      <c r="D533" s="679">
        <v>823</v>
      </c>
      <c r="E533" s="679">
        <v>2002</v>
      </c>
      <c r="F533" s="679">
        <v>2024</v>
      </c>
      <c r="G533" s="679">
        <v>3784</v>
      </c>
      <c r="H533" s="679">
        <v>1212</v>
      </c>
      <c r="I533" s="679">
        <v>1248</v>
      </c>
      <c r="J533" s="679">
        <v>437</v>
      </c>
      <c r="K533" s="679">
        <v>307</v>
      </c>
      <c r="L533" s="679">
        <v>246</v>
      </c>
      <c r="M533" s="679">
        <v>1999</v>
      </c>
      <c r="N533" s="679">
        <v>674</v>
      </c>
    </row>
    <row r="534" spans="1:15" s="667" customFormat="1" ht="9" customHeight="1" x14ac:dyDescent="0.25">
      <c r="A534" s="667" t="s">
        <v>25</v>
      </c>
      <c r="C534" s="679">
        <f t="shared" si="29"/>
        <v>2739</v>
      </c>
      <c r="D534" s="679">
        <v>107</v>
      </c>
      <c r="E534" s="679">
        <v>449</v>
      </c>
      <c r="F534" s="679">
        <v>397</v>
      </c>
      <c r="G534" s="679">
        <v>715</v>
      </c>
      <c r="H534" s="679">
        <v>202</v>
      </c>
      <c r="I534" s="679">
        <v>219</v>
      </c>
      <c r="J534" s="679">
        <v>67</v>
      </c>
      <c r="K534" s="679">
        <v>69</v>
      </c>
      <c r="L534" s="679">
        <v>43</v>
      </c>
      <c r="M534" s="679">
        <v>338</v>
      </c>
      <c r="N534" s="679">
        <v>133</v>
      </c>
    </row>
    <row r="535" spans="1:15" s="667" customFormat="1" ht="9" customHeight="1" x14ac:dyDescent="0.25">
      <c r="A535" s="671" t="s">
        <v>26</v>
      </c>
      <c r="B535" s="671"/>
      <c r="C535" s="683">
        <f t="shared" si="29"/>
        <v>3964</v>
      </c>
      <c r="D535" s="683">
        <v>159</v>
      </c>
      <c r="E535" s="683">
        <v>508</v>
      </c>
      <c r="F535" s="683">
        <v>604</v>
      </c>
      <c r="G535" s="683">
        <v>883</v>
      </c>
      <c r="H535" s="683">
        <v>275</v>
      </c>
      <c r="I535" s="683">
        <v>438</v>
      </c>
      <c r="J535" s="683">
        <v>125</v>
      </c>
      <c r="K535" s="683">
        <v>167</v>
      </c>
      <c r="L535" s="683">
        <v>75</v>
      </c>
      <c r="M535" s="683">
        <v>463</v>
      </c>
      <c r="N535" s="683">
        <v>267</v>
      </c>
    </row>
    <row r="536" spans="1:15" s="667" customFormat="1" ht="9" customHeight="1" x14ac:dyDescent="0.25">
      <c r="A536" s="667" t="s">
        <v>27</v>
      </c>
      <c r="C536" s="679">
        <f t="shared" si="29"/>
        <v>15200</v>
      </c>
      <c r="D536" s="679">
        <v>401</v>
      </c>
      <c r="E536" s="679">
        <v>2012</v>
      </c>
      <c r="F536" s="679">
        <v>2572</v>
      </c>
      <c r="G536" s="679">
        <v>3978</v>
      </c>
      <c r="H536" s="679">
        <v>871</v>
      </c>
      <c r="I536" s="679">
        <v>1171</v>
      </c>
      <c r="J536" s="679">
        <v>398</v>
      </c>
      <c r="K536" s="679">
        <v>444</v>
      </c>
      <c r="L536" s="679">
        <v>194</v>
      </c>
      <c r="M536" s="679">
        <v>2347</v>
      </c>
      <c r="N536" s="679">
        <v>812</v>
      </c>
    </row>
    <row r="537" spans="1:15" s="667" customFormat="1" ht="9" customHeight="1" x14ac:dyDescent="0.25">
      <c r="A537" s="667" t="s">
        <v>28</v>
      </c>
      <c r="C537" s="679">
        <f t="shared" si="29"/>
        <v>3717</v>
      </c>
      <c r="D537" s="679">
        <v>116</v>
      </c>
      <c r="E537" s="679">
        <v>551</v>
      </c>
      <c r="F537" s="679">
        <v>608</v>
      </c>
      <c r="G537" s="679">
        <v>804</v>
      </c>
      <c r="H537" s="679">
        <v>264</v>
      </c>
      <c r="I537" s="679">
        <v>349</v>
      </c>
      <c r="J537" s="679">
        <v>105</v>
      </c>
      <c r="K537" s="679">
        <v>56</v>
      </c>
      <c r="L537" s="679">
        <v>45</v>
      </c>
      <c r="M537" s="679">
        <v>603</v>
      </c>
      <c r="N537" s="679">
        <v>216</v>
      </c>
    </row>
    <row r="538" spans="1:15" s="667" customFormat="1" ht="9" customHeight="1" x14ac:dyDescent="0.25">
      <c r="A538" s="667" t="s">
        <v>29</v>
      </c>
      <c r="C538" s="679">
        <f t="shared" si="29"/>
        <v>22411</v>
      </c>
      <c r="D538" s="679">
        <v>1199</v>
      </c>
      <c r="E538" s="679">
        <v>2878</v>
      </c>
      <c r="F538" s="679">
        <v>3203</v>
      </c>
      <c r="G538" s="679">
        <v>4089</v>
      </c>
      <c r="H538" s="679">
        <v>1780</v>
      </c>
      <c r="I538" s="679">
        <v>2311</v>
      </c>
      <c r="J538" s="679">
        <v>883</v>
      </c>
      <c r="K538" s="679">
        <v>657</v>
      </c>
      <c r="L538" s="679">
        <v>401</v>
      </c>
      <c r="M538" s="679">
        <v>2270</v>
      </c>
      <c r="N538" s="679">
        <v>2740</v>
      </c>
    </row>
    <row r="539" spans="1:15" s="667" customFormat="1" ht="9" customHeight="1" x14ac:dyDescent="0.25">
      <c r="A539" s="671" t="s">
        <v>30</v>
      </c>
      <c r="B539" s="671"/>
      <c r="C539" s="683">
        <f t="shared" si="29"/>
        <v>22187</v>
      </c>
      <c r="D539" s="683">
        <v>674</v>
      </c>
      <c r="E539" s="683">
        <v>2695</v>
      </c>
      <c r="F539" s="683">
        <v>2796</v>
      </c>
      <c r="G539" s="683">
        <v>5291</v>
      </c>
      <c r="H539" s="683">
        <v>1532</v>
      </c>
      <c r="I539" s="683">
        <v>1750</v>
      </c>
      <c r="J539" s="683">
        <v>555</v>
      </c>
      <c r="K539" s="683">
        <v>468</v>
      </c>
      <c r="L539" s="683">
        <v>225</v>
      </c>
      <c r="M539" s="683">
        <v>4953</v>
      </c>
      <c r="N539" s="683">
        <v>1248</v>
      </c>
    </row>
    <row r="540" spans="1:15" s="667" customFormat="1" ht="9" customHeight="1" x14ac:dyDescent="0.25">
      <c r="A540" s="667" t="s">
        <v>171</v>
      </c>
      <c r="C540" s="679">
        <f t="shared" si="29"/>
        <v>55995</v>
      </c>
      <c r="D540" s="679">
        <v>1451</v>
      </c>
      <c r="E540" s="679">
        <v>7953</v>
      </c>
      <c r="F540" s="679">
        <v>10241</v>
      </c>
      <c r="G540" s="679">
        <v>15720</v>
      </c>
      <c r="H540" s="679">
        <v>5209</v>
      </c>
      <c r="I540" s="679">
        <v>5517</v>
      </c>
      <c r="J540" s="679">
        <v>2005</v>
      </c>
      <c r="K540" s="679">
        <v>908</v>
      </c>
      <c r="L540" s="679">
        <v>705</v>
      </c>
      <c r="M540" s="679">
        <v>3720</v>
      </c>
      <c r="N540" s="679">
        <v>2566</v>
      </c>
    </row>
    <row r="541" spans="1:15" s="667" customFormat="1" ht="9" customHeight="1" x14ac:dyDescent="0.25">
      <c r="A541" s="667" t="s">
        <v>31</v>
      </c>
      <c r="C541" s="679">
        <f t="shared" si="29"/>
        <v>8884</v>
      </c>
      <c r="D541" s="679">
        <v>194</v>
      </c>
      <c r="E541" s="679">
        <v>1001</v>
      </c>
      <c r="F541" s="679">
        <v>1247</v>
      </c>
      <c r="G541" s="679">
        <v>2264</v>
      </c>
      <c r="H541" s="679">
        <v>683</v>
      </c>
      <c r="I541" s="679">
        <v>680</v>
      </c>
      <c r="J541" s="679">
        <v>226</v>
      </c>
      <c r="K541" s="679">
        <v>260</v>
      </c>
      <c r="L541" s="679">
        <v>132</v>
      </c>
      <c r="M541" s="679">
        <v>1718</v>
      </c>
      <c r="N541" s="679">
        <v>479</v>
      </c>
    </row>
    <row r="542" spans="1:15" s="667" customFormat="1" ht="9" customHeight="1" x14ac:dyDescent="0.25">
      <c r="A542" s="667" t="s">
        <v>32</v>
      </c>
      <c r="C542" s="679">
        <f t="shared" si="29"/>
        <v>27454</v>
      </c>
      <c r="D542" s="679">
        <v>534</v>
      </c>
      <c r="E542" s="679">
        <v>3330</v>
      </c>
      <c r="F542" s="679">
        <v>5423</v>
      </c>
      <c r="G542" s="679">
        <v>6737</v>
      </c>
      <c r="H542" s="679">
        <v>2189</v>
      </c>
      <c r="I542" s="679">
        <v>2578</v>
      </c>
      <c r="J542" s="679">
        <v>902</v>
      </c>
      <c r="K542" s="679">
        <v>717</v>
      </c>
      <c r="L542" s="679">
        <v>517</v>
      </c>
      <c r="M542" s="679">
        <v>2935</v>
      </c>
      <c r="N542" s="679">
        <v>1592</v>
      </c>
    </row>
    <row r="543" spans="1:15" s="667" customFormat="1" ht="9" customHeight="1" x14ac:dyDescent="0.25">
      <c r="A543" s="671" t="s">
        <v>33</v>
      </c>
      <c r="B543" s="671"/>
      <c r="C543" s="683">
        <f t="shared" si="29"/>
        <v>18137</v>
      </c>
      <c r="D543" s="683">
        <v>585</v>
      </c>
      <c r="E543" s="683">
        <v>1938</v>
      </c>
      <c r="F543" s="683">
        <v>2855</v>
      </c>
      <c r="G543" s="683">
        <v>3829</v>
      </c>
      <c r="H543" s="683">
        <v>1106</v>
      </c>
      <c r="I543" s="683">
        <v>1340</v>
      </c>
      <c r="J543" s="683">
        <v>539</v>
      </c>
      <c r="K543" s="683">
        <v>450</v>
      </c>
      <c r="L543" s="683">
        <v>249</v>
      </c>
      <c r="M543" s="683">
        <v>4036</v>
      </c>
      <c r="N543" s="683">
        <v>1210</v>
      </c>
    </row>
    <row r="544" spans="1:15" s="667" customFormat="1" ht="9" customHeight="1" x14ac:dyDescent="0.25">
      <c r="A544" s="667" t="s">
        <v>34</v>
      </c>
      <c r="C544" s="679">
        <f t="shared" si="29"/>
        <v>13246</v>
      </c>
      <c r="D544" s="679">
        <v>286</v>
      </c>
      <c r="E544" s="679">
        <v>1738</v>
      </c>
      <c r="F544" s="679">
        <v>2249</v>
      </c>
      <c r="G544" s="679">
        <v>3553</v>
      </c>
      <c r="H544" s="679">
        <v>1054</v>
      </c>
      <c r="I544" s="679">
        <v>1483</v>
      </c>
      <c r="J544" s="679">
        <v>412</v>
      </c>
      <c r="K544" s="679">
        <v>325</v>
      </c>
      <c r="L544" s="679">
        <v>198</v>
      </c>
      <c r="M544" s="679">
        <v>1242</v>
      </c>
      <c r="N544" s="679">
        <v>706</v>
      </c>
    </row>
    <row r="545" spans="1:14" s="667" customFormat="1" ht="9" customHeight="1" x14ac:dyDescent="0.25">
      <c r="A545" s="667" t="s">
        <v>35</v>
      </c>
      <c r="C545" s="679">
        <f t="shared" si="29"/>
        <v>40555</v>
      </c>
      <c r="D545" s="679">
        <v>1084</v>
      </c>
      <c r="E545" s="679">
        <v>5533</v>
      </c>
      <c r="F545" s="679">
        <v>6298</v>
      </c>
      <c r="G545" s="679">
        <v>9549</v>
      </c>
      <c r="H545" s="679">
        <v>4157</v>
      </c>
      <c r="I545" s="679">
        <v>3870</v>
      </c>
      <c r="J545" s="679">
        <v>1525</v>
      </c>
      <c r="K545" s="679">
        <v>821</v>
      </c>
      <c r="L545" s="679">
        <v>667</v>
      </c>
      <c r="M545" s="679">
        <v>4867</v>
      </c>
      <c r="N545" s="679">
        <v>2184</v>
      </c>
    </row>
    <row r="546" spans="1:14" s="667" customFormat="1" ht="9" customHeight="1" x14ac:dyDescent="0.25">
      <c r="A546" s="667" t="s">
        <v>36</v>
      </c>
      <c r="C546" s="679">
        <f t="shared" si="29"/>
        <v>72001</v>
      </c>
      <c r="D546" s="679">
        <v>1748</v>
      </c>
      <c r="E546" s="679">
        <v>8733</v>
      </c>
      <c r="F546" s="679">
        <v>14018</v>
      </c>
      <c r="G546" s="679">
        <v>15605</v>
      </c>
      <c r="H546" s="679">
        <v>6385</v>
      </c>
      <c r="I546" s="679">
        <v>8146</v>
      </c>
      <c r="J546" s="679">
        <v>2514</v>
      </c>
      <c r="K546" s="679">
        <v>2211</v>
      </c>
      <c r="L546" s="679">
        <v>1410</v>
      </c>
      <c r="M546" s="679">
        <v>7998</v>
      </c>
      <c r="N546" s="679">
        <v>3233</v>
      </c>
    </row>
    <row r="547" spans="1:14" s="667" customFormat="1" ht="9" customHeight="1" x14ac:dyDescent="0.25">
      <c r="A547" s="671" t="s">
        <v>37</v>
      </c>
      <c r="B547" s="671"/>
      <c r="C547" s="683">
        <f t="shared" si="29"/>
        <v>24310</v>
      </c>
      <c r="D547" s="683">
        <v>557</v>
      </c>
      <c r="E547" s="683">
        <v>3251</v>
      </c>
      <c r="F547" s="683">
        <v>4457</v>
      </c>
      <c r="G547" s="683">
        <v>5591</v>
      </c>
      <c r="H547" s="683">
        <v>1959</v>
      </c>
      <c r="I547" s="683">
        <v>2191</v>
      </c>
      <c r="J547" s="683">
        <v>694</v>
      </c>
      <c r="K547" s="683">
        <v>577</v>
      </c>
      <c r="L547" s="683">
        <v>329</v>
      </c>
      <c r="M547" s="683">
        <v>3088</v>
      </c>
      <c r="N547" s="683">
        <v>1616</v>
      </c>
    </row>
    <row r="548" spans="1:14" s="667" customFormat="1" ht="9" customHeight="1" x14ac:dyDescent="0.25">
      <c r="A548" s="667" t="s">
        <v>38</v>
      </c>
      <c r="C548" s="679">
        <f t="shared" si="29"/>
        <v>10317</v>
      </c>
      <c r="D548" s="679">
        <v>285</v>
      </c>
      <c r="E548" s="679">
        <v>1385</v>
      </c>
      <c r="F548" s="679">
        <v>1901</v>
      </c>
      <c r="G548" s="679">
        <v>2259</v>
      </c>
      <c r="H548" s="679">
        <v>775</v>
      </c>
      <c r="I548" s="679">
        <v>1066</v>
      </c>
      <c r="J548" s="679">
        <v>366</v>
      </c>
      <c r="K548" s="679">
        <v>179</v>
      </c>
      <c r="L548" s="679">
        <v>161</v>
      </c>
      <c r="M548" s="679">
        <v>1258</v>
      </c>
      <c r="N548" s="679">
        <v>682</v>
      </c>
    </row>
    <row r="549" spans="1:14" s="667" customFormat="1" ht="9" customHeight="1" x14ac:dyDescent="0.25">
      <c r="A549" s="667" t="s">
        <v>39</v>
      </c>
      <c r="C549" s="679">
        <f t="shared" si="29"/>
        <v>5724</v>
      </c>
      <c r="D549" s="679">
        <v>228</v>
      </c>
      <c r="E549" s="679">
        <v>832</v>
      </c>
      <c r="F549" s="679">
        <v>800</v>
      </c>
      <c r="G549" s="679">
        <v>1359</v>
      </c>
      <c r="H549" s="679">
        <v>519</v>
      </c>
      <c r="I549" s="679">
        <v>459</v>
      </c>
      <c r="J549" s="679">
        <v>160</v>
      </c>
      <c r="K549" s="679">
        <v>94</v>
      </c>
      <c r="L549" s="679">
        <v>88</v>
      </c>
      <c r="M549" s="679">
        <v>823</v>
      </c>
      <c r="N549" s="679">
        <v>362</v>
      </c>
    </row>
    <row r="550" spans="1:14" s="667" customFormat="1" ht="9" customHeight="1" x14ac:dyDescent="0.25">
      <c r="A550" s="667" t="s">
        <v>40</v>
      </c>
      <c r="C550" s="679">
        <f t="shared" si="29"/>
        <v>23965</v>
      </c>
      <c r="D550" s="679">
        <v>720</v>
      </c>
      <c r="E550" s="679">
        <v>3563</v>
      </c>
      <c r="F550" s="679">
        <v>3417</v>
      </c>
      <c r="G550" s="679">
        <v>6262</v>
      </c>
      <c r="H550" s="679">
        <v>1755</v>
      </c>
      <c r="I550" s="679">
        <v>1925</v>
      </c>
      <c r="J550" s="679">
        <v>699</v>
      </c>
      <c r="K550" s="679">
        <v>369</v>
      </c>
      <c r="L550" s="679">
        <v>347</v>
      </c>
      <c r="M550" s="679">
        <v>3521</v>
      </c>
      <c r="N550" s="679">
        <v>1387</v>
      </c>
    </row>
    <row r="551" spans="1:14" s="667" customFormat="1" ht="9" customHeight="1" x14ac:dyDescent="0.25">
      <c r="A551" s="671" t="s">
        <v>41</v>
      </c>
      <c r="B551" s="671"/>
      <c r="C551" s="683">
        <f t="shared" si="29"/>
        <v>21525</v>
      </c>
      <c r="D551" s="683">
        <v>709</v>
      </c>
      <c r="E551" s="683">
        <v>2593</v>
      </c>
      <c r="F551" s="683">
        <v>3459</v>
      </c>
      <c r="G551" s="683">
        <v>5248</v>
      </c>
      <c r="H551" s="683">
        <v>1422</v>
      </c>
      <c r="I551" s="683">
        <v>2243</v>
      </c>
      <c r="J551" s="683">
        <v>636</v>
      </c>
      <c r="K551" s="683">
        <v>402</v>
      </c>
      <c r="L551" s="683">
        <v>318</v>
      </c>
      <c r="M551" s="683">
        <v>2160</v>
      </c>
      <c r="N551" s="683">
        <v>2335</v>
      </c>
    </row>
    <row r="552" spans="1:14" s="667" customFormat="1" ht="9" customHeight="1" x14ac:dyDescent="0.25">
      <c r="A552" s="667" t="s">
        <v>42</v>
      </c>
      <c r="C552" s="679">
        <f t="shared" si="29"/>
        <v>31843</v>
      </c>
      <c r="D552" s="679">
        <v>832</v>
      </c>
      <c r="E552" s="679">
        <v>3530</v>
      </c>
      <c r="F552" s="679">
        <v>6005</v>
      </c>
      <c r="G552" s="679">
        <v>7031</v>
      </c>
      <c r="H552" s="679">
        <v>2546</v>
      </c>
      <c r="I552" s="679">
        <v>3812</v>
      </c>
      <c r="J552" s="679">
        <v>1203</v>
      </c>
      <c r="K552" s="679">
        <v>1049</v>
      </c>
      <c r="L552" s="679">
        <v>645</v>
      </c>
      <c r="M552" s="679">
        <v>2758</v>
      </c>
      <c r="N552" s="679">
        <v>2432</v>
      </c>
    </row>
    <row r="553" spans="1:14" s="667" customFormat="1" ht="9" customHeight="1" x14ac:dyDescent="0.25">
      <c r="A553" s="667" t="s">
        <v>43</v>
      </c>
      <c r="C553" s="679">
        <f t="shared" si="29"/>
        <v>8395</v>
      </c>
      <c r="D553" s="679">
        <v>229</v>
      </c>
      <c r="E553" s="679">
        <v>1162</v>
      </c>
      <c r="F553" s="679">
        <v>1276</v>
      </c>
      <c r="G553" s="679">
        <v>1923</v>
      </c>
      <c r="H553" s="679">
        <v>650</v>
      </c>
      <c r="I553" s="679">
        <v>1015</v>
      </c>
      <c r="J553" s="679">
        <v>295</v>
      </c>
      <c r="K553" s="679">
        <v>239</v>
      </c>
      <c r="L553" s="679">
        <v>173</v>
      </c>
      <c r="M553" s="679">
        <v>930</v>
      </c>
      <c r="N553" s="679">
        <v>503</v>
      </c>
    </row>
    <row r="554" spans="1:14" s="667" customFormat="1" ht="9" customHeight="1" x14ac:dyDescent="0.25">
      <c r="A554" s="667" t="s">
        <v>44</v>
      </c>
      <c r="C554" s="679">
        <f t="shared" si="29"/>
        <v>4659</v>
      </c>
      <c r="D554" s="679">
        <v>234</v>
      </c>
      <c r="E554" s="679">
        <v>577</v>
      </c>
      <c r="F554" s="679">
        <v>706</v>
      </c>
      <c r="G554" s="679">
        <v>839</v>
      </c>
      <c r="H554" s="679">
        <v>283</v>
      </c>
      <c r="I554" s="679">
        <v>491</v>
      </c>
      <c r="J554" s="679">
        <v>130</v>
      </c>
      <c r="K554" s="679">
        <v>180</v>
      </c>
      <c r="L554" s="679">
        <v>100</v>
      </c>
      <c r="M554" s="679">
        <v>788</v>
      </c>
      <c r="N554" s="679">
        <v>331</v>
      </c>
    </row>
    <row r="555" spans="1:14" s="667" customFormat="1" ht="9" customHeight="1" x14ac:dyDescent="0.25">
      <c r="A555" s="671" t="s">
        <v>45</v>
      </c>
      <c r="B555" s="671"/>
      <c r="C555" s="683">
        <f t="shared" si="29"/>
        <v>13361</v>
      </c>
      <c r="D555" s="683">
        <v>382</v>
      </c>
      <c r="E555" s="683">
        <v>1821</v>
      </c>
      <c r="F555" s="683">
        <v>1986</v>
      </c>
      <c r="G555" s="683">
        <v>3364</v>
      </c>
      <c r="H555" s="683">
        <v>1214</v>
      </c>
      <c r="I555" s="683">
        <v>1199</v>
      </c>
      <c r="J555" s="683">
        <v>397</v>
      </c>
      <c r="K555" s="683">
        <v>212</v>
      </c>
      <c r="L555" s="683">
        <v>195</v>
      </c>
      <c r="M555" s="683">
        <v>1543</v>
      </c>
      <c r="N555" s="683">
        <v>1048</v>
      </c>
    </row>
    <row r="556" spans="1:14" s="667" customFormat="1" ht="9" customHeight="1" x14ac:dyDescent="0.25">
      <c r="A556" s="667" t="s">
        <v>46</v>
      </c>
      <c r="C556" s="679">
        <f t="shared" si="29"/>
        <v>14344</v>
      </c>
      <c r="D556" s="679">
        <v>375</v>
      </c>
      <c r="E556" s="679">
        <v>2095</v>
      </c>
      <c r="F556" s="679">
        <v>1845</v>
      </c>
      <c r="G556" s="679">
        <v>3596</v>
      </c>
      <c r="H556" s="679">
        <v>1074</v>
      </c>
      <c r="I556" s="679">
        <v>759</v>
      </c>
      <c r="J556" s="679">
        <v>372</v>
      </c>
      <c r="K556" s="679">
        <v>237</v>
      </c>
      <c r="L556" s="679">
        <v>181</v>
      </c>
      <c r="M556" s="679">
        <v>3012</v>
      </c>
      <c r="N556" s="679">
        <v>798</v>
      </c>
    </row>
    <row r="557" spans="1:14" s="667" customFormat="1" ht="9" customHeight="1" x14ac:dyDescent="0.25">
      <c r="A557" s="667" t="s">
        <v>47</v>
      </c>
      <c r="C557" s="679">
        <f t="shared" si="29"/>
        <v>15001</v>
      </c>
      <c r="D557" s="679">
        <v>636</v>
      </c>
      <c r="E557" s="679">
        <v>2378</v>
      </c>
      <c r="F557" s="679">
        <v>2024</v>
      </c>
      <c r="G557" s="679">
        <v>4151</v>
      </c>
      <c r="H557" s="679">
        <v>1249</v>
      </c>
      <c r="I557" s="679">
        <v>966</v>
      </c>
      <c r="J557" s="679">
        <v>407</v>
      </c>
      <c r="K557" s="679">
        <v>314</v>
      </c>
      <c r="L557" s="679">
        <v>196</v>
      </c>
      <c r="M557" s="679">
        <v>1845</v>
      </c>
      <c r="N557" s="679">
        <v>835</v>
      </c>
    </row>
    <row r="558" spans="1:14" s="667" customFormat="1" ht="9" customHeight="1" x14ac:dyDescent="0.25">
      <c r="A558" s="667" t="s">
        <v>48</v>
      </c>
      <c r="C558" s="679">
        <f t="shared" si="29"/>
        <v>10834</v>
      </c>
      <c r="D558" s="679">
        <v>481</v>
      </c>
      <c r="E558" s="679">
        <v>1321</v>
      </c>
      <c r="F558" s="679">
        <v>2099</v>
      </c>
      <c r="G558" s="679">
        <v>2534</v>
      </c>
      <c r="H558" s="679">
        <v>760</v>
      </c>
      <c r="I558" s="679">
        <v>758</v>
      </c>
      <c r="J558" s="679">
        <v>279</v>
      </c>
      <c r="K558" s="679">
        <v>374</v>
      </c>
      <c r="L558" s="679">
        <v>214</v>
      </c>
      <c r="M558" s="679">
        <v>1375</v>
      </c>
      <c r="N558" s="679">
        <v>639</v>
      </c>
    </row>
    <row r="559" spans="1:14" s="667" customFormat="1" ht="9" customHeight="1" x14ac:dyDescent="0.25">
      <c r="A559" s="671" t="s">
        <v>49</v>
      </c>
      <c r="B559" s="671"/>
      <c r="C559" s="683">
        <f t="shared" si="29"/>
        <v>17856</v>
      </c>
      <c r="D559" s="683">
        <v>520</v>
      </c>
      <c r="E559" s="683">
        <v>2460</v>
      </c>
      <c r="F559" s="683">
        <v>2829</v>
      </c>
      <c r="G559" s="683">
        <v>4560</v>
      </c>
      <c r="H559" s="683">
        <v>1151</v>
      </c>
      <c r="I559" s="683">
        <v>1343</v>
      </c>
      <c r="J559" s="683">
        <v>496</v>
      </c>
      <c r="K559" s="683">
        <v>457</v>
      </c>
      <c r="L559" s="683">
        <v>250</v>
      </c>
      <c r="M559" s="683">
        <v>2988</v>
      </c>
      <c r="N559" s="683">
        <v>802</v>
      </c>
    </row>
    <row r="560" spans="1:14" s="667" customFormat="1" ht="9" customHeight="1" x14ac:dyDescent="0.25">
      <c r="A560" s="667" t="s">
        <v>50</v>
      </c>
      <c r="C560" s="679">
        <f t="shared" si="29"/>
        <v>5659</v>
      </c>
      <c r="D560" s="679">
        <v>95</v>
      </c>
      <c r="E560" s="679">
        <v>631</v>
      </c>
      <c r="F560" s="679">
        <v>1212</v>
      </c>
      <c r="G560" s="679">
        <v>1135</v>
      </c>
      <c r="H560" s="679">
        <v>465</v>
      </c>
      <c r="I560" s="679">
        <v>583</v>
      </c>
      <c r="J560" s="679">
        <v>232</v>
      </c>
      <c r="K560" s="679">
        <v>192</v>
      </c>
      <c r="L560" s="679">
        <v>119</v>
      </c>
      <c r="M560" s="679">
        <v>563</v>
      </c>
      <c r="N560" s="679">
        <v>432</v>
      </c>
    </row>
    <row r="561" spans="1:18" s="667" customFormat="1" ht="9" customHeight="1" x14ac:dyDescent="0.25">
      <c r="A561" s="667" t="s">
        <v>51</v>
      </c>
      <c r="C561" s="679">
        <f t="shared" si="29"/>
        <v>47585</v>
      </c>
      <c r="D561" s="679">
        <v>1610</v>
      </c>
      <c r="E561" s="679">
        <v>6099</v>
      </c>
      <c r="F561" s="679">
        <v>8592</v>
      </c>
      <c r="G561" s="679">
        <v>11702</v>
      </c>
      <c r="H561" s="679">
        <v>3543</v>
      </c>
      <c r="I561" s="679">
        <v>4968</v>
      </c>
      <c r="J561" s="679">
        <v>1477</v>
      </c>
      <c r="K561" s="679">
        <v>1106</v>
      </c>
      <c r="L561" s="679">
        <v>648</v>
      </c>
      <c r="M561" s="679">
        <v>4528</v>
      </c>
      <c r="N561" s="679">
        <v>3312</v>
      </c>
    </row>
    <row r="562" spans="1:18" s="673" customFormat="1" ht="9" customHeight="1" x14ac:dyDescent="0.25">
      <c r="A562" s="673" t="s">
        <v>52</v>
      </c>
      <c r="C562" s="684">
        <f t="shared" si="29"/>
        <v>10954</v>
      </c>
      <c r="D562" s="684">
        <v>407</v>
      </c>
      <c r="E562" s="684">
        <v>1343</v>
      </c>
      <c r="F562" s="684">
        <v>1463</v>
      </c>
      <c r="G562" s="684">
        <v>2954</v>
      </c>
      <c r="H562" s="684">
        <v>939</v>
      </c>
      <c r="I562" s="684">
        <v>1332</v>
      </c>
      <c r="J562" s="684">
        <v>458</v>
      </c>
      <c r="K562" s="684">
        <v>225</v>
      </c>
      <c r="L562" s="684">
        <v>153</v>
      </c>
      <c r="M562" s="684">
        <v>767</v>
      </c>
      <c r="N562" s="684">
        <v>913</v>
      </c>
    </row>
    <row r="563" spans="1:18" s="667" customFormat="1" ht="9" customHeight="1" x14ac:dyDescent="0.25">
      <c r="A563" s="671" t="s">
        <v>53</v>
      </c>
      <c r="B563" s="671"/>
      <c r="C563" s="683">
        <f t="shared" si="29"/>
        <v>8414</v>
      </c>
      <c r="D563" s="683">
        <v>196</v>
      </c>
      <c r="E563" s="683">
        <v>1077</v>
      </c>
      <c r="F563" s="683">
        <v>1220</v>
      </c>
      <c r="G563" s="683">
        <v>2016</v>
      </c>
      <c r="H563" s="683">
        <v>830</v>
      </c>
      <c r="I563" s="683">
        <v>740</v>
      </c>
      <c r="J563" s="683">
        <v>210</v>
      </c>
      <c r="K563" s="683">
        <v>184</v>
      </c>
      <c r="L563" s="683">
        <v>94</v>
      </c>
      <c r="M563" s="683">
        <v>1263</v>
      </c>
      <c r="N563" s="683">
        <v>584</v>
      </c>
    </row>
    <row r="564" spans="1:18" s="667" customFormat="1" ht="9" customHeight="1" x14ac:dyDescent="0.25">
      <c r="A564" s="664" t="s">
        <v>434</v>
      </c>
      <c r="B564" s="664"/>
      <c r="C564" s="679">
        <f t="shared" si="29"/>
        <v>1095</v>
      </c>
      <c r="D564" s="684">
        <v>17</v>
      </c>
      <c r="E564" s="684">
        <v>109</v>
      </c>
      <c r="F564" s="684">
        <v>68</v>
      </c>
      <c r="G564" s="684">
        <v>303</v>
      </c>
      <c r="H564" s="684">
        <v>38</v>
      </c>
      <c r="I564" s="684">
        <v>52</v>
      </c>
      <c r="J564" s="684">
        <v>14</v>
      </c>
      <c r="K564" s="684">
        <v>2</v>
      </c>
      <c r="L564" s="684">
        <v>6</v>
      </c>
      <c r="M564" s="684">
        <v>452</v>
      </c>
      <c r="N564" s="684">
        <v>34</v>
      </c>
    </row>
    <row r="565" spans="1:18" s="667" customFormat="1" ht="9" customHeight="1" x14ac:dyDescent="0.25">
      <c r="A565" s="664"/>
      <c r="B565" s="664"/>
      <c r="C565" s="679"/>
      <c r="D565" s="679"/>
      <c r="E565" s="679"/>
      <c r="F565" s="679"/>
      <c r="G565" s="679"/>
      <c r="H565" s="679"/>
      <c r="I565" s="679"/>
      <c r="J565" s="679"/>
      <c r="K565" s="679"/>
      <c r="L565" s="679"/>
      <c r="M565" s="679"/>
      <c r="N565" s="679"/>
    </row>
    <row r="566" spans="1:18" s="667" customFormat="1" ht="9" customHeight="1" x14ac:dyDescent="0.15">
      <c r="A566" s="687">
        <v>2013</v>
      </c>
      <c r="B566" s="664"/>
      <c r="C566" s="665"/>
      <c r="D566" s="665"/>
      <c r="E566" s="665"/>
      <c r="F566" s="666"/>
      <c r="G566" s="666"/>
      <c r="H566" s="666"/>
      <c r="I566" s="666"/>
      <c r="J566" s="665"/>
      <c r="K566" s="665"/>
      <c r="L566" s="665"/>
      <c r="M566" s="665"/>
      <c r="N566" s="665"/>
    </row>
    <row r="567" spans="1:18" s="668" customFormat="1" ht="9" customHeight="1" x14ac:dyDescent="0.25">
      <c r="A567" s="668" t="s">
        <v>13</v>
      </c>
      <c r="C567" s="682">
        <f t="shared" ref="C567:N567" si="30">SUM(C569:C601)</f>
        <v>623599</v>
      </c>
      <c r="D567" s="682">
        <f t="shared" si="30"/>
        <v>18882</v>
      </c>
      <c r="E567" s="682">
        <f t="shared" si="30"/>
        <v>80551</v>
      </c>
      <c r="F567" s="682">
        <f t="shared" si="30"/>
        <v>106221</v>
      </c>
      <c r="G567" s="682">
        <f t="shared" si="30"/>
        <v>152976</v>
      </c>
      <c r="H567" s="682">
        <f t="shared" si="30"/>
        <v>53153</v>
      </c>
      <c r="I567" s="682">
        <f t="shared" si="30"/>
        <v>60343</v>
      </c>
      <c r="J567" s="682">
        <f t="shared" si="30"/>
        <v>20708</v>
      </c>
      <c r="K567" s="682">
        <f t="shared" si="30"/>
        <v>13025</v>
      </c>
      <c r="L567" s="682">
        <f t="shared" si="30"/>
        <v>9381</v>
      </c>
      <c r="M567" s="682">
        <f t="shared" si="30"/>
        <v>69585</v>
      </c>
      <c r="N567" s="682">
        <f t="shared" si="30"/>
        <v>38774</v>
      </c>
      <c r="O567" s="682"/>
      <c r="P567" s="679"/>
      <c r="Q567" s="682"/>
      <c r="R567" s="682"/>
    </row>
    <row r="568" spans="1:18" s="668" customFormat="1" ht="5.25" customHeight="1" x14ac:dyDescent="0.25">
      <c r="C568" s="682"/>
      <c r="D568" s="682"/>
      <c r="E568" s="682"/>
      <c r="F568" s="682"/>
      <c r="G568" s="682"/>
      <c r="H568" s="682"/>
      <c r="I568" s="682"/>
      <c r="J568" s="682"/>
      <c r="K568" s="682"/>
      <c r="L568" s="682"/>
      <c r="M568" s="682"/>
      <c r="N568" s="682"/>
      <c r="Q568" s="682"/>
    </row>
    <row r="569" spans="1:18" s="667" customFormat="1" ht="9" customHeight="1" x14ac:dyDescent="0.25">
      <c r="A569" s="667" t="s">
        <v>23</v>
      </c>
      <c r="C569" s="679">
        <f t="shared" ref="C569:C601" si="31">SUM(D569:N569)</f>
        <v>5522</v>
      </c>
      <c r="D569" s="679">
        <v>146</v>
      </c>
      <c r="E569" s="679">
        <v>789</v>
      </c>
      <c r="F569" s="679">
        <v>923</v>
      </c>
      <c r="G569" s="679">
        <v>1264</v>
      </c>
      <c r="H569" s="679">
        <v>601</v>
      </c>
      <c r="I569" s="679">
        <v>507</v>
      </c>
      <c r="J569" s="679">
        <v>192</v>
      </c>
      <c r="K569" s="679">
        <v>125</v>
      </c>
      <c r="L569" s="679">
        <v>93</v>
      </c>
      <c r="M569" s="679">
        <v>572</v>
      </c>
      <c r="N569" s="679">
        <v>310</v>
      </c>
      <c r="O569" s="679"/>
      <c r="P569" s="679"/>
      <c r="Q569" s="682"/>
      <c r="R569" s="682"/>
    </row>
    <row r="570" spans="1:18" s="667" customFormat="1" ht="9" customHeight="1" x14ac:dyDescent="0.25">
      <c r="A570" s="667" t="s">
        <v>24</v>
      </c>
      <c r="C570" s="679">
        <f t="shared" si="31"/>
        <v>15947</v>
      </c>
      <c r="D570" s="679">
        <v>990</v>
      </c>
      <c r="E570" s="679">
        <v>2273</v>
      </c>
      <c r="F570" s="679">
        <v>2170</v>
      </c>
      <c r="G570" s="679">
        <v>4023</v>
      </c>
      <c r="H570" s="679">
        <v>1315</v>
      </c>
      <c r="I570" s="679">
        <v>1321</v>
      </c>
      <c r="J570" s="679">
        <v>445</v>
      </c>
      <c r="K570" s="679">
        <v>276</v>
      </c>
      <c r="L570" s="679">
        <v>204</v>
      </c>
      <c r="M570" s="679">
        <v>2189</v>
      </c>
      <c r="N570" s="679">
        <v>741</v>
      </c>
      <c r="P570" s="679"/>
      <c r="Q570" s="682"/>
      <c r="R570" s="682"/>
    </row>
    <row r="571" spans="1:18" s="667" customFormat="1" ht="9" customHeight="1" x14ac:dyDescent="0.25">
      <c r="A571" s="667" t="s">
        <v>25</v>
      </c>
      <c r="C571" s="679">
        <f t="shared" si="31"/>
        <v>2757</v>
      </c>
      <c r="D571" s="679">
        <v>96</v>
      </c>
      <c r="E571" s="679">
        <v>471</v>
      </c>
      <c r="F571" s="679">
        <v>392</v>
      </c>
      <c r="G571" s="679">
        <v>739</v>
      </c>
      <c r="H571" s="679">
        <v>202</v>
      </c>
      <c r="I571" s="679">
        <v>215</v>
      </c>
      <c r="J571" s="679">
        <v>82</v>
      </c>
      <c r="K571" s="679">
        <v>68</v>
      </c>
      <c r="L571" s="679">
        <v>40</v>
      </c>
      <c r="M571" s="679">
        <v>329</v>
      </c>
      <c r="N571" s="679">
        <v>123</v>
      </c>
      <c r="P571" s="679"/>
      <c r="Q571" s="682"/>
      <c r="R571" s="682"/>
    </row>
    <row r="572" spans="1:18" s="667" customFormat="1" ht="9" customHeight="1" x14ac:dyDescent="0.25">
      <c r="A572" s="671" t="s">
        <v>26</v>
      </c>
      <c r="B572" s="671"/>
      <c r="C572" s="683">
        <f t="shared" si="31"/>
        <v>4139</v>
      </c>
      <c r="D572" s="683">
        <v>152</v>
      </c>
      <c r="E572" s="683">
        <v>497</v>
      </c>
      <c r="F572" s="683">
        <v>665</v>
      </c>
      <c r="G572" s="683">
        <v>1010</v>
      </c>
      <c r="H572" s="683">
        <v>310</v>
      </c>
      <c r="I572" s="683">
        <v>424</v>
      </c>
      <c r="J572" s="683">
        <v>151</v>
      </c>
      <c r="K572" s="683">
        <v>130</v>
      </c>
      <c r="L572" s="683">
        <v>78</v>
      </c>
      <c r="M572" s="683">
        <v>408</v>
      </c>
      <c r="N572" s="683">
        <v>314</v>
      </c>
      <c r="P572" s="679"/>
      <c r="Q572" s="682"/>
      <c r="R572" s="682"/>
    </row>
    <row r="573" spans="1:18" s="667" customFormat="1" ht="9" customHeight="1" x14ac:dyDescent="0.25">
      <c r="A573" s="667" t="s">
        <v>27</v>
      </c>
      <c r="C573" s="679">
        <f t="shared" si="31"/>
        <v>15716</v>
      </c>
      <c r="D573" s="679">
        <v>447</v>
      </c>
      <c r="E573" s="679">
        <v>2060</v>
      </c>
      <c r="F573" s="679">
        <v>2755</v>
      </c>
      <c r="G573" s="679">
        <v>4124</v>
      </c>
      <c r="H573" s="679">
        <v>1044</v>
      </c>
      <c r="I573" s="679">
        <v>1374</v>
      </c>
      <c r="J573" s="679">
        <v>471</v>
      </c>
      <c r="K573" s="679">
        <v>405</v>
      </c>
      <c r="L573" s="679">
        <v>185</v>
      </c>
      <c r="M573" s="679">
        <v>1924</v>
      </c>
      <c r="N573" s="679">
        <v>927</v>
      </c>
      <c r="P573" s="679"/>
      <c r="Q573" s="682"/>
      <c r="R573" s="682"/>
    </row>
    <row r="574" spans="1:18" s="667" customFormat="1" ht="9" customHeight="1" x14ac:dyDescent="0.25">
      <c r="A574" s="667" t="s">
        <v>28</v>
      </c>
      <c r="C574" s="679">
        <f t="shared" si="31"/>
        <v>3790</v>
      </c>
      <c r="D574" s="679">
        <v>138</v>
      </c>
      <c r="E574" s="679">
        <v>541</v>
      </c>
      <c r="F574" s="679">
        <v>667</v>
      </c>
      <c r="G574" s="679">
        <v>850</v>
      </c>
      <c r="H574" s="679">
        <v>288</v>
      </c>
      <c r="I574" s="679">
        <v>346</v>
      </c>
      <c r="J574" s="679">
        <v>133</v>
      </c>
      <c r="K574" s="679">
        <v>53</v>
      </c>
      <c r="L574" s="679">
        <v>35</v>
      </c>
      <c r="M574" s="679">
        <v>514</v>
      </c>
      <c r="N574" s="679">
        <v>225</v>
      </c>
      <c r="P574" s="679"/>
      <c r="Q574" s="682"/>
      <c r="R574" s="682"/>
    </row>
    <row r="575" spans="1:18" s="667" customFormat="1" ht="9" customHeight="1" x14ac:dyDescent="0.25">
      <c r="A575" s="667" t="s">
        <v>29</v>
      </c>
      <c r="C575" s="679">
        <f t="shared" si="31"/>
        <v>23121</v>
      </c>
      <c r="D575" s="679">
        <v>1185</v>
      </c>
      <c r="E575" s="679">
        <v>3077</v>
      </c>
      <c r="F575" s="679">
        <v>3231</v>
      </c>
      <c r="G575" s="679">
        <v>4418</v>
      </c>
      <c r="H575" s="679">
        <v>1827</v>
      </c>
      <c r="I575" s="679">
        <v>2326</v>
      </c>
      <c r="J575" s="679">
        <v>874</v>
      </c>
      <c r="K575" s="679">
        <v>609</v>
      </c>
      <c r="L575" s="679">
        <v>427</v>
      </c>
      <c r="M575" s="679">
        <v>2175</v>
      </c>
      <c r="N575" s="679">
        <v>2972</v>
      </c>
      <c r="P575" s="679"/>
      <c r="Q575" s="682"/>
      <c r="R575" s="682"/>
    </row>
    <row r="576" spans="1:18" s="667" customFormat="1" ht="9" customHeight="1" x14ac:dyDescent="0.25">
      <c r="A576" s="671" t="s">
        <v>30</v>
      </c>
      <c r="B576" s="671"/>
      <c r="C576" s="683">
        <f t="shared" si="31"/>
        <v>22314</v>
      </c>
      <c r="D576" s="683">
        <v>697</v>
      </c>
      <c r="E576" s="683">
        <v>2756</v>
      </c>
      <c r="F576" s="683">
        <v>2946</v>
      </c>
      <c r="G576" s="683">
        <v>5699</v>
      </c>
      <c r="H576" s="683">
        <v>1659</v>
      </c>
      <c r="I576" s="683">
        <v>1881</v>
      </c>
      <c r="J576" s="683">
        <v>602</v>
      </c>
      <c r="K576" s="683">
        <v>486</v>
      </c>
      <c r="L576" s="683">
        <v>249</v>
      </c>
      <c r="M576" s="683">
        <v>4167</v>
      </c>
      <c r="N576" s="683">
        <v>1172</v>
      </c>
      <c r="P576" s="679"/>
      <c r="Q576" s="682"/>
      <c r="R576" s="682"/>
    </row>
    <row r="577" spans="1:18" s="667" customFormat="1" ht="9" customHeight="1" x14ac:dyDescent="0.25">
      <c r="A577" s="667" t="s">
        <v>171</v>
      </c>
      <c r="C577" s="679">
        <f t="shared" si="31"/>
        <v>57142</v>
      </c>
      <c r="D577" s="679">
        <v>1407</v>
      </c>
      <c r="E577" s="679">
        <v>8188</v>
      </c>
      <c r="F577" s="679">
        <v>10439</v>
      </c>
      <c r="G577" s="679">
        <v>15739</v>
      </c>
      <c r="H577" s="679">
        <v>5508</v>
      </c>
      <c r="I577" s="679">
        <v>5768</v>
      </c>
      <c r="J577" s="679">
        <v>2073</v>
      </c>
      <c r="K577" s="679">
        <v>805</v>
      </c>
      <c r="L577" s="679">
        <v>674</v>
      </c>
      <c r="M577" s="679">
        <v>4062</v>
      </c>
      <c r="N577" s="679">
        <v>2479</v>
      </c>
      <c r="P577" s="679"/>
      <c r="Q577" s="682"/>
      <c r="R577" s="682"/>
    </row>
    <row r="578" spans="1:18" s="667" customFormat="1" ht="9" customHeight="1" x14ac:dyDescent="0.25">
      <c r="A578" s="667" t="s">
        <v>31</v>
      </c>
      <c r="C578" s="679">
        <f t="shared" si="31"/>
        <v>9089</v>
      </c>
      <c r="D578" s="679">
        <v>226</v>
      </c>
      <c r="E578" s="679">
        <v>1047</v>
      </c>
      <c r="F578" s="679">
        <v>1358</v>
      </c>
      <c r="G578" s="679">
        <v>2347</v>
      </c>
      <c r="H578" s="679">
        <v>727</v>
      </c>
      <c r="I578" s="679">
        <v>762</v>
      </c>
      <c r="J578" s="679">
        <v>251</v>
      </c>
      <c r="K578" s="679">
        <v>250</v>
      </c>
      <c r="L578" s="679">
        <v>137</v>
      </c>
      <c r="M578" s="679">
        <v>1456</v>
      </c>
      <c r="N578" s="679">
        <v>528</v>
      </c>
      <c r="P578" s="679"/>
      <c r="Q578" s="682"/>
      <c r="R578" s="682"/>
    </row>
    <row r="579" spans="1:18" s="667" customFormat="1" ht="9" customHeight="1" x14ac:dyDescent="0.25">
      <c r="A579" s="667" t="s">
        <v>32</v>
      </c>
      <c r="C579" s="679">
        <f t="shared" si="31"/>
        <v>28657</v>
      </c>
      <c r="D579" s="679">
        <v>551</v>
      </c>
      <c r="E579" s="679">
        <v>3459</v>
      </c>
      <c r="F579" s="679">
        <v>5659</v>
      </c>
      <c r="G579" s="679">
        <v>7232</v>
      </c>
      <c r="H579" s="679">
        <v>2512</v>
      </c>
      <c r="I579" s="679">
        <v>2744</v>
      </c>
      <c r="J579" s="679">
        <v>917</v>
      </c>
      <c r="K579" s="679">
        <v>640</v>
      </c>
      <c r="L579" s="679">
        <v>478</v>
      </c>
      <c r="M579" s="679">
        <v>2829</v>
      </c>
      <c r="N579" s="679">
        <v>1636</v>
      </c>
      <c r="P579" s="679"/>
      <c r="Q579" s="682"/>
      <c r="R579" s="682"/>
    </row>
    <row r="580" spans="1:18" s="667" customFormat="1" ht="9" customHeight="1" x14ac:dyDescent="0.25">
      <c r="A580" s="671" t="s">
        <v>33</v>
      </c>
      <c r="B580" s="671"/>
      <c r="C580" s="683">
        <f t="shared" si="31"/>
        <v>18469</v>
      </c>
      <c r="D580" s="683">
        <v>669</v>
      </c>
      <c r="E580" s="683">
        <v>1924</v>
      </c>
      <c r="F580" s="683">
        <v>3041</v>
      </c>
      <c r="G580" s="683">
        <v>3998</v>
      </c>
      <c r="H580" s="683">
        <v>1211</v>
      </c>
      <c r="I580" s="683">
        <v>1427</v>
      </c>
      <c r="J580" s="683">
        <v>480</v>
      </c>
      <c r="K580" s="683">
        <v>438</v>
      </c>
      <c r="L580" s="683">
        <v>284</v>
      </c>
      <c r="M580" s="683">
        <v>3758</v>
      </c>
      <c r="N580" s="683">
        <v>1239</v>
      </c>
      <c r="P580" s="679"/>
      <c r="Q580" s="682"/>
      <c r="R580" s="682"/>
    </row>
    <row r="581" spans="1:18" s="667" customFormat="1" ht="9" customHeight="1" x14ac:dyDescent="0.25">
      <c r="A581" s="667" t="s">
        <v>34</v>
      </c>
      <c r="C581" s="679">
        <f t="shared" si="31"/>
        <v>13878</v>
      </c>
      <c r="D581" s="679">
        <v>287</v>
      </c>
      <c r="E581" s="679">
        <v>1822</v>
      </c>
      <c r="F581" s="679">
        <v>2341</v>
      </c>
      <c r="G581" s="679">
        <v>3750</v>
      </c>
      <c r="H581" s="679">
        <v>1209</v>
      </c>
      <c r="I581" s="679">
        <v>1542</v>
      </c>
      <c r="J581" s="679">
        <v>414</v>
      </c>
      <c r="K581" s="679">
        <v>263</v>
      </c>
      <c r="L581" s="679">
        <v>214</v>
      </c>
      <c r="M581" s="679">
        <v>1285</v>
      </c>
      <c r="N581" s="679">
        <v>751</v>
      </c>
      <c r="P581" s="679"/>
      <c r="Q581" s="682"/>
      <c r="R581" s="682"/>
    </row>
    <row r="582" spans="1:18" s="667" customFormat="1" ht="9" customHeight="1" x14ac:dyDescent="0.25">
      <c r="A582" s="667" t="s">
        <v>35</v>
      </c>
      <c r="C582" s="679">
        <f t="shared" si="31"/>
        <v>42389</v>
      </c>
      <c r="D582" s="679">
        <v>1182</v>
      </c>
      <c r="E582" s="679">
        <v>5651</v>
      </c>
      <c r="F582" s="679">
        <v>6644</v>
      </c>
      <c r="G582" s="679">
        <v>10098</v>
      </c>
      <c r="H582" s="679">
        <v>4694</v>
      </c>
      <c r="I582" s="679">
        <v>4048</v>
      </c>
      <c r="J582" s="679">
        <v>1572</v>
      </c>
      <c r="K582" s="679">
        <v>712</v>
      </c>
      <c r="L582" s="679">
        <v>678</v>
      </c>
      <c r="M582" s="679">
        <v>4704</v>
      </c>
      <c r="N582" s="679">
        <v>2406</v>
      </c>
      <c r="P582" s="679"/>
      <c r="Q582" s="682"/>
      <c r="R582" s="682"/>
    </row>
    <row r="583" spans="1:18" s="667" customFormat="1" ht="9" customHeight="1" x14ac:dyDescent="0.25">
      <c r="A583" s="667" t="s">
        <v>36</v>
      </c>
      <c r="C583" s="679">
        <f t="shared" si="31"/>
        <v>74566</v>
      </c>
      <c r="D583" s="679">
        <v>1871</v>
      </c>
      <c r="E583" s="679">
        <v>9202</v>
      </c>
      <c r="F583" s="679">
        <v>14154</v>
      </c>
      <c r="G583" s="679">
        <v>16283</v>
      </c>
      <c r="H583" s="679">
        <v>6609</v>
      </c>
      <c r="I583" s="679">
        <v>8711</v>
      </c>
      <c r="J583" s="679">
        <v>2775</v>
      </c>
      <c r="K583" s="679">
        <v>2002</v>
      </c>
      <c r="L583" s="679">
        <v>1422</v>
      </c>
      <c r="M583" s="679">
        <v>8322</v>
      </c>
      <c r="N583" s="679">
        <v>3215</v>
      </c>
      <c r="P583" s="679"/>
      <c r="Q583" s="682"/>
      <c r="R583" s="682"/>
    </row>
    <row r="584" spans="1:18" s="667" customFormat="1" ht="9" customHeight="1" x14ac:dyDescent="0.25">
      <c r="A584" s="671" t="s">
        <v>37</v>
      </c>
      <c r="B584" s="671"/>
      <c r="C584" s="683">
        <f t="shared" si="31"/>
        <v>25249</v>
      </c>
      <c r="D584" s="683">
        <v>531</v>
      </c>
      <c r="E584" s="683">
        <v>3128</v>
      </c>
      <c r="F584" s="683">
        <v>4785</v>
      </c>
      <c r="G584" s="683">
        <v>6190</v>
      </c>
      <c r="H584" s="683">
        <v>2231</v>
      </c>
      <c r="I584" s="683">
        <v>2283</v>
      </c>
      <c r="J584" s="683">
        <v>676</v>
      </c>
      <c r="K584" s="683">
        <v>435</v>
      </c>
      <c r="L584" s="683">
        <v>301</v>
      </c>
      <c r="M584" s="683">
        <v>3145</v>
      </c>
      <c r="N584" s="683">
        <v>1544</v>
      </c>
      <c r="P584" s="679"/>
      <c r="Q584" s="682"/>
      <c r="R584" s="682"/>
    </row>
    <row r="585" spans="1:18" s="667" customFormat="1" ht="9" customHeight="1" x14ac:dyDescent="0.25">
      <c r="A585" s="667" t="s">
        <v>38</v>
      </c>
      <c r="C585" s="679">
        <f t="shared" si="31"/>
        <v>10703</v>
      </c>
      <c r="D585" s="679">
        <v>300</v>
      </c>
      <c r="E585" s="679">
        <v>1398</v>
      </c>
      <c r="F585" s="679">
        <v>2196</v>
      </c>
      <c r="G585" s="679">
        <v>2315</v>
      </c>
      <c r="H585" s="679">
        <v>807</v>
      </c>
      <c r="I585" s="679">
        <v>1048</v>
      </c>
      <c r="J585" s="679">
        <v>401</v>
      </c>
      <c r="K585" s="679">
        <v>174</v>
      </c>
      <c r="L585" s="679">
        <v>138</v>
      </c>
      <c r="M585" s="679">
        <v>1236</v>
      </c>
      <c r="N585" s="679">
        <v>690</v>
      </c>
      <c r="P585" s="679"/>
      <c r="Q585" s="682"/>
      <c r="R585" s="682"/>
    </row>
    <row r="586" spans="1:18" s="667" customFormat="1" ht="9" customHeight="1" x14ac:dyDescent="0.25">
      <c r="A586" s="667" t="s">
        <v>39</v>
      </c>
      <c r="C586" s="679">
        <f t="shared" si="31"/>
        <v>6035</v>
      </c>
      <c r="D586" s="679">
        <v>266</v>
      </c>
      <c r="E586" s="679">
        <v>932</v>
      </c>
      <c r="F586" s="679">
        <v>854</v>
      </c>
      <c r="G586" s="679">
        <v>1481</v>
      </c>
      <c r="H586" s="679">
        <v>576</v>
      </c>
      <c r="I586" s="679">
        <v>503</v>
      </c>
      <c r="J586" s="679">
        <v>167</v>
      </c>
      <c r="K586" s="679">
        <v>93</v>
      </c>
      <c r="L586" s="679">
        <v>91</v>
      </c>
      <c r="M586" s="679">
        <v>679</v>
      </c>
      <c r="N586" s="679">
        <v>393</v>
      </c>
      <c r="P586" s="679"/>
      <c r="Q586" s="682"/>
      <c r="R586" s="682"/>
    </row>
    <row r="587" spans="1:18" s="667" customFormat="1" ht="9" customHeight="1" x14ac:dyDescent="0.25">
      <c r="A587" s="667" t="s">
        <v>40</v>
      </c>
      <c r="C587" s="679">
        <f t="shared" si="31"/>
        <v>24462</v>
      </c>
      <c r="D587" s="679">
        <v>733</v>
      </c>
      <c r="E587" s="679">
        <v>3682</v>
      </c>
      <c r="F587" s="679">
        <v>3548</v>
      </c>
      <c r="G587" s="679">
        <v>6864</v>
      </c>
      <c r="H587" s="679">
        <v>2131</v>
      </c>
      <c r="I587" s="679">
        <v>2043</v>
      </c>
      <c r="J587" s="679">
        <v>777</v>
      </c>
      <c r="K587" s="679">
        <v>367</v>
      </c>
      <c r="L587" s="679">
        <v>352</v>
      </c>
      <c r="M587" s="679">
        <v>2658</v>
      </c>
      <c r="N587" s="679">
        <v>1307</v>
      </c>
      <c r="P587" s="679"/>
      <c r="Q587" s="682"/>
      <c r="R587" s="682"/>
    </row>
    <row r="588" spans="1:18" s="667" customFormat="1" ht="9" customHeight="1" x14ac:dyDescent="0.25">
      <c r="A588" s="671" t="s">
        <v>41</v>
      </c>
      <c r="B588" s="671"/>
      <c r="C588" s="683">
        <f t="shared" si="31"/>
        <v>22241</v>
      </c>
      <c r="D588" s="683">
        <v>695</v>
      </c>
      <c r="E588" s="683">
        <v>2533</v>
      </c>
      <c r="F588" s="683">
        <v>3775</v>
      </c>
      <c r="G588" s="683">
        <v>5413</v>
      </c>
      <c r="H588" s="683">
        <v>1575</v>
      </c>
      <c r="I588" s="683">
        <v>2224</v>
      </c>
      <c r="J588" s="683">
        <v>691</v>
      </c>
      <c r="K588" s="683">
        <v>353</v>
      </c>
      <c r="L588" s="683">
        <v>301</v>
      </c>
      <c r="M588" s="683">
        <v>2247</v>
      </c>
      <c r="N588" s="683">
        <v>2434</v>
      </c>
      <c r="P588" s="679"/>
      <c r="Q588" s="682"/>
      <c r="R588" s="682"/>
    </row>
    <row r="589" spans="1:18" s="667" customFormat="1" ht="9" customHeight="1" x14ac:dyDescent="0.25">
      <c r="A589" s="667" t="s">
        <v>42</v>
      </c>
      <c r="C589" s="679">
        <f t="shared" si="31"/>
        <v>33100</v>
      </c>
      <c r="D589" s="679">
        <v>805</v>
      </c>
      <c r="E589" s="679">
        <v>3724</v>
      </c>
      <c r="F589" s="679">
        <v>6465</v>
      </c>
      <c r="G589" s="679">
        <v>7479</v>
      </c>
      <c r="H589" s="679">
        <v>2755</v>
      </c>
      <c r="I589" s="679">
        <v>3930</v>
      </c>
      <c r="J589" s="679">
        <v>1234</v>
      </c>
      <c r="K589" s="679">
        <v>852</v>
      </c>
      <c r="L589" s="679">
        <v>659</v>
      </c>
      <c r="M589" s="679">
        <v>2716</v>
      </c>
      <c r="N589" s="679">
        <v>2481</v>
      </c>
      <c r="P589" s="679"/>
      <c r="Q589" s="682"/>
      <c r="R589" s="682"/>
    </row>
    <row r="590" spans="1:18" s="667" customFormat="1" ht="9" customHeight="1" x14ac:dyDescent="0.25">
      <c r="A590" s="667" t="s">
        <v>43</v>
      </c>
      <c r="C590" s="679">
        <f t="shared" si="31"/>
        <v>8854</v>
      </c>
      <c r="D590" s="679">
        <v>236</v>
      </c>
      <c r="E590" s="679">
        <v>1090</v>
      </c>
      <c r="F590" s="679">
        <v>1409</v>
      </c>
      <c r="G590" s="679">
        <v>2127</v>
      </c>
      <c r="H590" s="679">
        <v>713</v>
      </c>
      <c r="I590" s="679">
        <v>1156</v>
      </c>
      <c r="J590" s="679">
        <v>335</v>
      </c>
      <c r="K590" s="679">
        <v>232</v>
      </c>
      <c r="L590" s="679">
        <v>171</v>
      </c>
      <c r="M590" s="679">
        <v>868</v>
      </c>
      <c r="N590" s="679">
        <v>517</v>
      </c>
      <c r="P590" s="679"/>
      <c r="Q590" s="682"/>
      <c r="R590" s="682"/>
    </row>
    <row r="591" spans="1:18" s="667" customFormat="1" ht="9" customHeight="1" x14ac:dyDescent="0.25">
      <c r="A591" s="667" t="s">
        <v>44</v>
      </c>
      <c r="C591" s="679">
        <f t="shared" si="31"/>
        <v>4872</v>
      </c>
      <c r="D591" s="679">
        <v>285</v>
      </c>
      <c r="E591" s="679">
        <v>600</v>
      </c>
      <c r="F591" s="679">
        <v>802</v>
      </c>
      <c r="G591" s="679">
        <v>858</v>
      </c>
      <c r="H591" s="679">
        <v>338</v>
      </c>
      <c r="I591" s="679">
        <v>537</v>
      </c>
      <c r="J591" s="679">
        <v>172</v>
      </c>
      <c r="K591" s="679">
        <v>153</v>
      </c>
      <c r="L591" s="679">
        <v>110</v>
      </c>
      <c r="M591" s="679">
        <v>721</v>
      </c>
      <c r="N591" s="679">
        <v>296</v>
      </c>
      <c r="P591" s="679"/>
      <c r="Q591" s="682"/>
      <c r="R591" s="682"/>
    </row>
    <row r="592" spans="1:18" s="667" customFormat="1" ht="9" customHeight="1" x14ac:dyDescent="0.25">
      <c r="A592" s="671" t="s">
        <v>45</v>
      </c>
      <c r="B592" s="671"/>
      <c r="C592" s="683">
        <f t="shared" si="31"/>
        <v>14343</v>
      </c>
      <c r="D592" s="683">
        <v>352</v>
      </c>
      <c r="E592" s="683">
        <v>1888</v>
      </c>
      <c r="F592" s="683">
        <v>2332</v>
      </c>
      <c r="G592" s="683">
        <v>3678</v>
      </c>
      <c r="H592" s="683">
        <v>1441</v>
      </c>
      <c r="I592" s="683">
        <v>1278</v>
      </c>
      <c r="J592" s="683">
        <v>481</v>
      </c>
      <c r="K592" s="683">
        <v>182</v>
      </c>
      <c r="L592" s="683">
        <v>184</v>
      </c>
      <c r="M592" s="683">
        <v>1360</v>
      </c>
      <c r="N592" s="683">
        <v>1167</v>
      </c>
      <c r="P592" s="679"/>
      <c r="Q592" s="682"/>
      <c r="R592" s="682"/>
    </row>
    <row r="593" spans="1:18" s="667" customFormat="1" ht="9" customHeight="1" x14ac:dyDescent="0.25">
      <c r="A593" s="667" t="s">
        <v>46</v>
      </c>
      <c r="C593" s="679">
        <f t="shared" si="31"/>
        <v>14848</v>
      </c>
      <c r="D593" s="679">
        <v>461</v>
      </c>
      <c r="E593" s="679">
        <v>2118</v>
      </c>
      <c r="F593" s="679">
        <v>1908</v>
      </c>
      <c r="G593" s="679">
        <v>3939</v>
      </c>
      <c r="H593" s="679">
        <v>1231</v>
      </c>
      <c r="I593" s="679">
        <v>797</v>
      </c>
      <c r="J593" s="679">
        <v>361</v>
      </c>
      <c r="K593" s="679">
        <v>285</v>
      </c>
      <c r="L593" s="679">
        <v>177</v>
      </c>
      <c r="M593" s="679">
        <v>2731</v>
      </c>
      <c r="N593" s="679">
        <v>840</v>
      </c>
      <c r="P593" s="679"/>
      <c r="Q593" s="682"/>
      <c r="R593" s="682"/>
    </row>
    <row r="594" spans="1:18" s="667" customFormat="1" ht="9" customHeight="1" x14ac:dyDescent="0.25">
      <c r="A594" s="667" t="s">
        <v>47</v>
      </c>
      <c r="C594" s="679">
        <f t="shared" si="31"/>
        <v>15451</v>
      </c>
      <c r="D594" s="679">
        <v>619</v>
      </c>
      <c r="E594" s="679">
        <v>2472</v>
      </c>
      <c r="F594" s="679">
        <v>2095</v>
      </c>
      <c r="G594" s="679">
        <v>4314</v>
      </c>
      <c r="H594" s="679">
        <v>1204</v>
      </c>
      <c r="I594" s="679">
        <v>1109</v>
      </c>
      <c r="J594" s="679">
        <v>442</v>
      </c>
      <c r="K594" s="679">
        <v>259</v>
      </c>
      <c r="L594" s="679">
        <v>189</v>
      </c>
      <c r="M594" s="679">
        <v>1897</v>
      </c>
      <c r="N594" s="679">
        <v>851</v>
      </c>
      <c r="P594" s="679"/>
      <c r="Q594" s="682"/>
      <c r="R594" s="682"/>
    </row>
    <row r="595" spans="1:18" s="667" customFormat="1" ht="9" customHeight="1" x14ac:dyDescent="0.25">
      <c r="A595" s="667" t="s">
        <v>48</v>
      </c>
      <c r="C595" s="679">
        <f t="shared" si="31"/>
        <v>11738</v>
      </c>
      <c r="D595" s="679">
        <v>486</v>
      </c>
      <c r="E595" s="679">
        <v>1380</v>
      </c>
      <c r="F595" s="679">
        <v>2315</v>
      </c>
      <c r="G595" s="679">
        <v>2743</v>
      </c>
      <c r="H595" s="679">
        <v>852</v>
      </c>
      <c r="I595" s="679">
        <v>833</v>
      </c>
      <c r="J595" s="679">
        <v>317</v>
      </c>
      <c r="K595" s="679">
        <v>362</v>
      </c>
      <c r="L595" s="679">
        <v>231</v>
      </c>
      <c r="M595" s="679">
        <v>1484</v>
      </c>
      <c r="N595" s="679">
        <v>735</v>
      </c>
      <c r="P595" s="679"/>
      <c r="Q595" s="682"/>
      <c r="R595" s="682"/>
    </row>
    <row r="596" spans="1:18" s="667" customFormat="1" ht="9" customHeight="1" x14ac:dyDescent="0.25">
      <c r="A596" s="671" t="s">
        <v>49</v>
      </c>
      <c r="B596" s="671"/>
      <c r="C596" s="683">
        <f t="shared" si="31"/>
        <v>18163</v>
      </c>
      <c r="D596" s="683">
        <v>625</v>
      </c>
      <c r="E596" s="683">
        <v>2515</v>
      </c>
      <c r="F596" s="683">
        <v>3032</v>
      </c>
      <c r="G596" s="683">
        <v>4991</v>
      </c>
      <c r="H596" s="683">
        <v>1219</v>
      </c>
      <c r="I596" s="683">
        <v>1422</v>
      </c>
      <c r="J596" s="683">
        <v>561</v>
      </c>
      <c r="K596" s="683">
        <v>473</v>
      </c>
      <c r="L596" s="683">
        <v>243</v>
      </c>
      <c r="M596" s="683">
        <v>2195</v>
      </c>
      <c r="N596" s="683">
        <v>887</v>
      </c>
      <c r="P596" s="679"/>
      <c r="Q596" s="682"/>
      <c r="R596" s="682"/>
    </row>
    <row r="597" spans="1:18" s="667" customFormat="1" ht="9" customHeight="1" x14ac:dyDescent="0.25">
      <c r="A597" s="667" t="s">
        <v>50</v>
      </c>
      <c r="C597" s="679">
        <f t="shared" si="31"/>
        <v>5869</v>
      </c>
      <c r="D597" s="679">
        <v>129</v>
      </c>
      <c r="E597" s="679">
        <v>640</v>
      </c>
      <c r="F597" s="679">
        <v>1305</v>
      </c>
      <c r="G597" s="679">
        <v>1197</v>
      </c>
      <c r="H597" s="679">
        <v>499</v>
      </c>
      <c r="I597" s="679">
        <v>603</v>
      </c>
      <c r="J597" s="679">
        <v>243</v>
      </c>
      <c r="K597" s="679">
        <v>154</v>
      </c>
      <c r="L597" s="679">
        <v>107</v>
      </c>
      <c r="M597" s="679">
        <v>583</v>
      </c>
      <c r="N597" s="679">
        <v>409</v>
      </c>
      <c r="P597" s="679"/>
      <c r="Q597" s="682"/>
      <c r="R597" s="682"/>
    </row>
    <row r="598" spans="1:18" s="667" customFormat="1" ht="9" customHeight="1" x14ac:dyDescent="0.25">
      <c r="A598" s="667" t="s">
        <v>51</v>
      </c>
      <c r="C598" s="679">
        <f t="shared" si="31"/>
        <v>48495</v>
      </c>
      <c r="D598" s="679">
        <v>1653</v>
      </c>
      <c r="E598" s="679">
        <v>6042</v>
      </c>
      <c r="F598" s="679">
        <v>9043</v>
      </c>
      <c r="G598" s="679">
        <v>12150</v>
      </c>
      <c r="H598" s="679">
        <v>3808</v>
      </c>
      <c r="I598" s="679">
        <v>4941</v>
      </c>
      <c r="J598" s="679">
        <v>1653</v>
      </c>
      <c r="K598" s="679">
        <v>1042</v>
      </c>
      <c r="L598" s="679">
        <v>670</v>
      </c>
      <c r="M598" s="679">
        <v>3947</v>
      </c>
      <c r="N598" s="679">
        <v>3546</v>
      </c>
      <c r="P598" s="679"/>
      <c r="Q598" s="682"/>
      <c r="R598" s="682"/>
    </row>
    <row r="599" spans="1:18" s="673" customFormat="1" ht="9" customHeight="1" x14ac:dyDescent="0.25">
      <c r="A599" s="673" t="s">
        <v>52</v>
      </c>
      <c r="C599" s="684">
        <f t="shared" si="31"/>
        <v>11606</v>
      </c>
      <c r="D599" s="684">
        <v>427</v>
      </c>
      <c r="E599" s="684">
        <v>1383</v>
      </c>
      <c r="F599" s="684">
        <v>1499</v>
      </c>
      <c r="G599" s="684">
        <v>3225</v>
      </c>
      <c r="H599" s="684">
        <v>1103</v>
      </c>
      <c r="I599" s="684">
        <v>1429</v>
      </c>
      <c r="J599" s="684">
        <v>479</v>
      </c>
      <c r="K599" s="684">
        <v>189</v>
      </c>
      <c r="L599" s="684">
        <v>156</v>
      </c>
      <c r="M599" s="684">
        <v>719</v>
      </c>
      <c r="N599" s="684">
        <v>997</v>
      </c>
      <c r="P599" s="679"/>
      <c r="Q599" s="682"/>
      <c r="R599" s="682"/>
    </row>
    <row r="600" spans="1:18" s="667" customFormat="1" ht="9" customHeight="1" x14ac:dyDescent="0.25">
      <c r="A600" s="671" t="s">
        <v>53</v>
      </c>
      <c r="B600" s="671"/>
      <c r="C600" s="683">
        <f t="shared" si="31"/>
        <v>8970</v>
      </c>
      <c r="D600" s="683">
        <v>211</v>
      </c>
      <c r="E600" s="683">
        <v>1154</v>
      </c>
      <c r="F600" s="683">
        <v>1399</v>
      </c>
      <c r="G600" s="683">
        <v>2148</v>
      </c>
      <c r="H600" s="683">
        <v>903</v>
      </c>
      <c r="I600" s="683">
        <v>759</v>
      </c>
      <c r="J600" s="683">
        <v>271</v>
      </c>
      <c r="K600" s="683">
        <v>154</v>
      </c>
      <c r="L600" s="683">
        <v>98</v>
      </c>
      <c r="M600" s="683">
        <v>1261</v>
      </c>
      <c r="N600" s="683">
        <v>612</v>
      </c>
      <c r="P600" s="679"/>
      <c r="Q600" s="682"/>
      <c r="R600" s="682"/>
    </row>
    <row r="601" spans="1:18" s="667" customFormat="1" ht="9" customHeight="1" x14ac:dyDescent="0.25">
      <c r="A601" s="664" t="s">
        <v>434</v>
      </c>
      <c r="B601" s="664"/>
      <c r="C601" s="679">
        <f t="shared" si="31"/>
        <v>1104</v>
      </c>
      <c r="D601" s="679">
        <v>24</v>
      </c>
      <c r="E601" s="679">
        <v>115</v>
      </c>
      <c r="F601" s="679">
        <v>74</v>
      </c>
      <c r="G601" s="679">
        <v>290</v>
      </c>
      <c r="H601" s="679">
        <v>51</v>
      </c>
      <c r="I601" s="679">
        <v>52</v>
      </c>
      <c r="J601" s="679">
        <v>15</v>
      </c>
      <c r="K601" s="679">
        <v>4</v>
      </c>
      <c r="L601" s="679">
        <v>5</v>
      </c>
      <c r="M601" s="679">
        <v>444</v>
      </c>
      <c r="N601" s="679">
        <v>30</v>
      </c>
      <c r="P601" s="679"/>
      <c r="Q601" s="682"/>
      <c r="R601" s="682"/>
    </row>
    <row r="602" spans="1:18" s="667" customFormat="1" ht="9" customHeight="1" x14ac:dyDescent="0.25">
      <c r="A602" s="664"/>
      <c r="B602" s="664"/>
      <c r="C602" s="679"/>
      <c r="D602" s="679"/>
      <c r="E602" s="679"/>
      <c r="F602" s="679"/>
      <c r="G602" s="679"/>
      <c r="H602" s="679"/>
      <c r="I602" s="679"/>
      <c r="J602" s="679"/>
      <c r="K602" s="679"/>
      <c r="L602" s="679"/>
      <c r="M602" s="679"/>
      <c r="N602" s="679"/>
    </row>
    <row r="603" spans="1:18" s="667" customFormat="1" ht="9" customHeight="1" x14ac:dyDescent="0.15">
      <c r="A603" s="687">
        <v>2014</v>
      </c>
      <c r="B603" s="664"/>
      <c r="C603" s="665"/>
      <c r="D603" s="665"/>
      <c r="E603" s="665"/>
      <c r="F603" s="666"/>
      <c r="G603" s="666"/>
      <c r="H603" s="666"/>
      <c r="I603" s="666"/>
      <c r="J603" s="665"/>
      <c r="K603" s="665"/>
      <c r="L603" s="665"/>
      <c r="M603" s="665"/>
      <c r="N603" s="665"/>
    </row>
    <row r="604" spans="1:18" s="668" customFormat="1" ht="9" customHeight="1" x14ac:dyDescent="0.25">
      <c r="A604" s="668" t="s">
        <v>13</v>
      </c>
      <c r="C604" s="682">
        <f t="shared" ref="C604:N604" si="32">SUM(C606:C638)</f>
        <v>633641</v>
      </c>
      <c r="D604" s="682">
        <f t="shared" si="32"/>
        <v>16780</v>
      </c>
      <c r="E604" s="682">
        <f t="shared" si="32"/>
        <v>82830</v>
      </c>
      <c r="F604" s="682">
        <f t="shared" si="32"/>
        <v>109845</v>
      </c>
      <c r="G604" s="682">
        <f t="shared" si="32"/>
        <v>158579</v>
      </c>
      <c r="H604" s="682">
        <f t="shared" si="32"/>
        <v>55831</v>
      </c>
      <c r="I604" s="682">
        <f t="shared" si="32"/>
        <v>59195</v>
      </c>
      <c r="J604" s="682">
        <f t="shared" si="32"/>
        <v>21063</v>
      </c>
      <c r="K604" s="682">
        <f t="shared" si="32"/>
        <v>13089</v>
      </c>
      <c r="L604" s="682">
        <f t="shared" si="32"/>
        <v>9569</v>
      </c>
      <c r="M604" s="682">
        <f t="shared" si="32"/>
        <v>66640</v>
      </c>
      <c r="N604" s="682">
        <f t="shared" si="32"/>
        <v>40220</v>
      </c>
      <c r="O604" s="682"/>
      <c r="Q604" s="682"/>
    </row>
    <row r="605" spans="1:18" s="668" customFormat="1" ht="5.25" customHeight="1" x14ac:dyDescent="0.25">
      <c r="C605" s="682"/>
      <c r="D605" s="682"/>
      <c r="E605" s="682"/>
      <c r="F605" s="682"/>
      <c r="G605" s="682"/>
      <c r="H605" s="682"/>
      <c r="I605" s="682"/>
      <c r="J605" s="682"/>
      <c r="K605" s="682"/>
      <c r="L605" s="682"/>
      <c r="M605" s="682"/>
      <c r="N605" s="682"/>
      <c r="Q605" s="682"/>
    </row>
    <row r="606" spans="1:18" s="667" customFormat="1" ht="9" customHeight="1" x14ac:dyDescent="0.25">
      <c r="A606" s="667" t="s">
        <v>23</v>
      </c>
      <c r="C606" s="679">
        <f t="shared" ref="C606:C638" si="33">SUM(D606:N606)</f>
        <v>5567</v>
      </c>
      <c r="D606" s="679">
        <v>112</v>
      </c>
      <c r="E606" s="679">
        <v>797</v>
      </c>
      <c r="F606" s="679">
        <v>975</v>
      </c>
      <c r="G606" s="679">
        <v>1209</v>
      </c>
      <c r="H606" s="679">
        <v>572</v>
      </c>
      <c r="I606" s="679">
        <v>527</v>
      </c>
      <c r="J606" s="679">
        <v>190</v>
      </c>
      <c r="K606" s="679">
        <v>148</v>
      </c>
      <c r="L606" s="679">
        <v>96</v>
      </c>
      <c r="M606" s="679">
        <v>580</v>
      </c>
      <c r="N606" s="679">
        <v>361</v>
      </c>
      <c r="O606" s="679"/>
      <c r="Q606" s="682"/>
    </row>
    <row r="607" spans="1:18" s="667" customFormat="1" ht="9" customHeight="1" x14ac:dyDescent="0.25">
      <c r="A607" s="667" t="s">
        <v>24</v>
      </c>
      <c r="C607" s="679">
        <f t="shared" si="33"/>
        <v>16198</v>
      </c>
      <c r="D607" s="679">
        <v>843</v>
      </c>
      <c r="E607" s="679">
        <v>2351</v>
      </c>
      <c r="F607" s="679">
        <v>2182</v>
      </c>
      <c r="G607" s="679">
        <v>3925</v>
      </c>
      <c r="H607" s="679">
        <v>1567</v>
      </c>
      <c r="I607" s="679">
        <v>1454</v>
      </c>
      <c r="J607" s="679">
        <v>514</v>
      </c>
      <c r="K607" s="679">
        <v>286</v>
      </c>
      <c r="L607" s="679">
        <v>192</v>
      </c>
      <c r="M607" s="679">
        <v>2130</v>
      </c>
      <c r="N607" s="679">
        <v>754</v>
      </c>
      <c r="Q607" s="682"/>
    </row>
    <row r="608" spans="1:18" s="667" customFormat="1" ht="9" customHeight="1" x14ac:dyDescent="0.25">
      <c r="A608" s="667" t="s">
        <v>25</v>
      </c>
      <c r="C608" s="679">
        <f t="shared" si="33"/>
        <v>2826</v>
      </c>
      <c r="D608" s="679">
        <v>124</v>
      </c>
      <c r="E608" s="679">
        <v>487</v>
      </c>
      <c r="F608" s="679">
        <v>374</v>
      </c>
      <c r="G608" s="679">
        <v>675</v>
      </c>
      <c r="H608" s="679">
        <v>190</v>
      </c>
      <c r="I608" s="679">
        <v>227</v>
      </c>
      <c r="J608" s="679">
        <v>87</v>
      </c>
      <c r="K608" s="679">
        <v>70</v>
      </c>
      <c r="L608" s="679">
        <v>46</v>
      </c>
      <c r="M608" s="679">
        <v>387</v>
      </c>
      <c r="N608" s="679">
        <v>159</v>
      </c>
      <c r="Q608" s="682"/>
    </row>
    <row r="609" spans="1:17" s="667" customFormat="1" ht="9" customHeight="1" x14ac:dyDescent="0.25">
      <c r="A609" s="671" t="s">
        <v>26</v>
      </c>
      <c r="B609" s="671"/>
      <c r="C609" s="683">
        <f t="shared" si="33"/>
        <v>4249</v>
      </c>
      <c r="D609" s="683">
        <v>145</v>
      </c>
      <c r="E609" s="683">
        <v>550</v>
      </c>
      <c r="F609" s="683">
        <v>693</v>
      </c>
      <c r="G609" s="683">
        <v>1043</v>
      </c>
      <c r="H609" s="683">
        <v>314</v>
      </c>
      <c r="I609" s="683">
        <v>400</v>
      </c>
      <c r="J609" s="683">
        <v>160</v>
      </c>
      <c r="K609" s="683">
        <v>110</v>
      </c>
      <c r="L609" s="683">
        <v>69</v>
      </c>
      <c r="M609" s="683">
        <v>463</v>
      </c>
      <c r="N609" s="683">
        <v>302</v>
      </c>
      <c r="Q609" s="682"/>
    </row>
    <row r="610" spans="1:17" s="667" customFormat="1" ht="9" customHeight="1" x14ac:dyDescent="0.25">
      <c r="A610" s="667" t="s">
        <v>27</v>
      </c>
      <c r="C610" s="679">
        <f t="shared" si="33"/>
        <v>16466</v>
      </c>
      <c r="D610" s="679">
        <v>371</v>
      </c>
      <c r="E610" s="679">
        <v>2096</v>
      </c>
      <c r="F610" s="679">
        <v>2955</v>
      </c>
      <c r="G610" s="679">
        <v>4423</v>
      </c>
      <c r="H610" s="679">
        <v>1213</v>
      </c>
      <c r="I610" s="679">
        <v>1265</v>
      </c>
      <c r="J610" s="679">
        <v>506</v>
      </c>
      <c r="K610" s="679">
        <v>503</v>
      </c>
      <c r="L610" s="679">
        <v>219</v>
      </c>
      <c r="M610" s="679">
        <v>1864</v>
      </c>
      <c r="N610" s="679">
        <v>1051</v>
      </c>
      <c r="Q610" s="682"/>
    </row>
    <row r="611" spans="1:17" s="667" customFormat="1" ht="9" customHeight="1" x14ac:dyDescent="0.25">
      <c r="A611" s="667" t="s">
        <v>28</v>
      </c>
      <c r="C611" s="679">
        <f t="shared" si="33"/>
        <v>3790</v>
      </c>
      <c r="D611" s="679">
        <v>106</v>
      </c>
      <c r="E611" s="679">
        <v>579</v>
      </c>
      <c r="F611" s="679">
        <v>656</v>
      </c>
      <c r="G611" s="679">
        <v>892</v>
      </c>
      <c r="H611" s="679">
        <v>283</v>
      </c>
      <c r="I611" s="679">
        <v>356</v>
      </c>
      <c r="J611" s="679">
        <v>116</v>
      </c>
      <c r="K611" s="679">
        <v>57</v>
      </c>
      <c r="L611" s="679">
        <v>49</v>
      </c>
      <c r="M611" s="679">
        <v>433</v>
      </c>
      <c r="N611" s="679">
        <v>263</v>
      </c>
      <c r="Q611" s="682"/>
    </row>
    <row r="612" spans="1:17" s="667" customFormat="1" ht="9" customHeight="1" x14ac:dyDescent="0.25">
      <c r="A612" s="667" t="s">
        <v>29</v>
      </c>
      <c r="C612" s="679">
        <f t="shared" si="33"/>
        <v>24568</v>
      </c>
      <c r="D612" s="679">
        <v>1109</v>
      </c>
      <c r="E612" s="679">
        <v>3144</v>
      </c>
      <c r="F612" s="679">
        <v>3495</v>
      </c>
      <c r="G612" s="679">
        <v>4828</v>
      </c>
      <c r="H612" s="679">
        <v>2181</v>
      </c>
      <c r="I612" s="679">
        <v>2500</v>
      </c>
      <c r="J612" s="679">
        <v>927</v>
      </c>
      <c r="K612" s="679">
        <v>675</v>
      </c>
      <c r="L612" s="679">
        <v>407</v>
      </c>
      <c r="M612" s="679">
        <v>2114</v>
      </c>
      <c r="N612" s="679">
        <v>3188</v>
      </c>
      <c r="Q612" s="682"/>
    </row>
    <row r="613" spans="1:17" s="667" customFormat="1" ht="9" customHeight="1" x14ac:dyDescent="0.25">
      <c r="A613" s="671" t="s">
        <v>30</v>
      </c>
      <c r="B613" s="671"/>
      <c r="C613" s="683">
        <f t="shared" si="33"/>
        <v>22163</v>
      </c>
      <c r="D613" s="683">
        <v>664</v>
      </c>
      <c r="E613" s="683">
        <v>2880</v>
      </c>
      <c r="F613" s="683">
        <v>2979</v>
      </c>
      <c r="G613" s="683">
        <v>5723</v>
      </c>
      <c r="H613" s="683">
        <v>1824</v>
      </c>
      <c r="I613" s="683">
        <v>1818</v>
      </c>
      <c r="J613" s="683">
        <v>641</v>
      </c>
      <c r="K613" s="683">
        <v>456</v>
      </c>
      <c r="L613" s="683">
        <v>291</v>
      </c>
      <c r="M613" s="683">
        <v>3687</v>
      </c>
      <c r="N613" s="683">
        <v>1200</v>
      </c>
      <c r="Q613" s="682"/>
    </row>
    <row r="614" spans="1:17" s="667" customFormat="1" ht="9" customHeight="1" x14ac:dyDescent="0.25">
      <c r="A614" s="667" t="s">
        <v>171</v>
      </c>
      <c r="C614" s="679">
        <f t="shared" si="33"/>
        <v>58870</v>
      </c>
      <c r="D614" s="679">
        <v>1342</v>
      </c>
      <c r="E614" s="679">
        <v>8483</v>
      </c>
      <c r="F614" s="679">
        <v>10810</v>
      </c>
      <c r="G614" s="679">
        <v>16591</v>
      </c>
      <c r="H614" s="679">
        <v>5830</v>
      </c>
      <c r="I614" s="679">
        <v>5436</v>
      </c>
      <c r="J614" s="679">
        <v>2205</v>
      </c>
      <c r="K614" s="679">
        <v>740</v>
      </c>
      <c r="L614" s="679">
        <v>664</v>
      </c>
      <c r="M614" s="679">
        <v>3937</v>
      </c>
      <c r="N614" s="679">
        <v>2832</v>
      </c>
      <c r="Q614" s="682"/>
    </row>
    <row r="615" spans="1:17" s="667" customFormat="1" ht="9" customHeight="1" x14ac:dyDescent="0.25">
      <c r="A615" s="667" t="s">
        <v>31</v>
      </c>
      <c r="C615" s="679">
        <f t="shared" si="33"/>
        <v>8950</v>
      </c>
      <c r="D615" s="679">
        <v>216</v>
      </c>
      <c r="E615" s="679">
        <v>1134</v>
      </c>
      <c r="F615" s="679">
        <v>1261</v>
      </c>
      <c r="G615" s="679">
        <v>2363</v>
      </c>
      <c r="H615" s="679">
        <v>822</v>
      </c>
      <c r="I615" s="679">
        <v>716</v>
      </c>
      <c r="J615" s="679">
        <v>268</v>
      </c>
      <c r="K615" s="679">
        <v>277</v>
      </c>
      <c r="L615" s="679">
        <v>131</v>
      </c>
      <c r="M615" s="679">
        <v>1225</v>
      </c>
      <c r="N615" s="679">
        <v>537</v>
      </c>
      <c r="Q615" s="682"/>
    </row>
    <row r="616" spans="1:17" s="667" customFormat="1" ht="9" customHeight="1" x14ac:dyDescent="0.25">
      <c r="A616" s="667" t="s">
        <v>32</v>
      </c>
      <c r="C616" s="679">
        <f t="shared" si="33"/>
        <v>29474</v>
      </c>
      <c r="D616" s="679">
        <v>424</v>
      </c>
      <c r="E616" s="679">
        <v>3421</v>
      </c>
      <c r="F616" s="679">
        <v>6005</v>
      </c>
      <c r="G616" s="679">
        <v>7639</v>
      </c>
      <c r="H616" s="679">
        <v>2622</v>
      </c>
      <c r="I616" s="679">
        <v>2788</v>
      </c>
      <c r="J616" s="679">
        <v>952</v>
      </c>
      <c r="K616" s="679">
        <v>692</v>
      </c>
      <c r="L616" s="679">
        <v>548</v>
      </c>
      <c r="M616" s="679">
        <v>2891</v>
      </c>
      <c r="N616" s="679">
        <v>1492</v>
      </c>
      <c r="Q616" s="682"/>
    </row>
    <row r="617" spans="1:17" s="667" customFormat="1" ht="9" customHeight="1" x14ac:dyDescent="0.25">
      <c r="A617" s="671" t="s">
        <v>33</v>
      </c>
      <c r="B617" s="671"/>
      <c r="C617" s="683">
        <f t="shared" si="33"/>
        <v>17540</v>
      </c>
      <c r="D617" s="683">
        <v>546</v>
      </c>
      <c r="E617" s="683">
        <v>1924</v>
      </c>
      <c r="F617" s="683">
        <v>2996</v>
      </c>
      <c r="G617" s="683">
        <v>3927</v>
      </c>
      <c r="H617" s="683">
        <v>1133</v>
      </c>
      <c r="I617" s="683">
        <v>1401</v>
      </c>
      <c r="J617" s="683">
        <v>550</v>
      </c>
      <c r="K617" s="683">
        <v>419</v>
      </c>
      <c r="L617" s="683">
        <v>268</v>
      </c>
      <c r="M617" s="683">
        <v>3037</v>
      </c>
      <c r="N617" s="683">
        <v>1339</v>
      </c>
      <c r="Q617" s="682"/>
    </row>
    <row r="618" spans="1:17" s="667" customFormat="1" ht="9" customHeight="1" x14ac:dyDescent="0.25">
      <c r="A618" s="667" t="s">
        <v>34</v>
      </c>
      <c r="C618" s="679">
        <f t="shared" si="33"/>
        <v>14142</v>
      </c>
      <c r="D618" s="679">
        <v>189</v>
      </c>
      <c r="E618" s="679">
        <v>1787</v>
      </c>
      <c r="F618" s="679">
        <v>2414</v>
      </c>
      <c r="G618" s="679">
        <v>3928</v>
      </c>
      <c r="H618" s="679">
        <v>1228</v>
      </c>
      <c r="I618" s="679">
        <v>1500</v>
      </c>
      <c r="J618" s="679">
        <v>455</v>
      </c>
      <c r="K618" s="679">
        <v>304</v>
      </c>
      <c r="L618" s="679">
        <v>191</v>
      </c>
      <c r="M618" s="679">
        <v>1337</v>
      </c>
      <c r="N618" s="679">
        <v>809</v>
      </c>
      <c r="Q618" s="682"/>
    </row>
    <row r="619" spans="1:17" s="667" customFormat="1" ht="9" customHeight="1" x14ac:dyDescent="0.25">
      <c r="A619" s="667" t="s">
        <v>35</v>
      </c>
      <c r="C619" s="679">
        <f t="shared" si="33"/>
        <v>42260</v>
      </c>
      <c r="D619" s="679">
        <v>1027</v>
      </c>
      <c r="E619" s="679">
        <v>5875</v>
      </c>
      <c r="F619" s="679">
        <v>6692</v>
      </c>
      <c r="G619" s="679">
        <v>10220</v>
      </c>
      <c r="H619" s="679">
        <v>4871</v>
      </c>
      <c r="I619" s="679">
        <v>3910</v>
      </c>
      <c r="J619" s="679">
        <v>1506</v>
      </c>
      <c r="K619" s="679">
        <v>786</v>
      </c>
      <c r="L619" s="679">
        <v>688</v>
      </c>
      <c r="M619" s="679">
        <v>4366</v>
      </c>
      <c r="N619" s="679">
        <v>2319</v>
      </c>
      <c r="Q619" s="682"/>
    </row>
    <row r="620" spans="1:17" s="667" customFormat="1" ht="9" customHeight="1" x14ac:dyDescent="0.25">
      <c r="A620" s="667" t="s">
        <v>36</v>
      </c>
      <c r="C620" s="679">
        <f t="shared" si="33"/>
        <v>76581</v>
      </c>
      <c r="D620" s="679">
        <v>1684</v>
      </c>
      <c r="E620" s="679">
        <v>9523</v>
      </c>
      <c r="F620" s="679">
        <v>15246</v>
      </c>
      <c r="G620" s="679">
        <v>17241</v>
      </c>
      <c r="H620" s="679">
        <v>6790</v>
      </c>
      <c r="I620" s="679">
        <v>8186</v>
      </c>
      <c r="J620" s="679">
        <v>2634</v>
      </c>
      <c r="K620" s="679">
        <v>1950</v>
      </c>
      <c r="L620" s="679">
        <v>1484</v>
      </c>
      <c r="M620" s="679">
        <v>7984</v>
      </c>
      <c r="N620" s="679">
        <v>3859</v>
      </c>
      <c r="Q620" s="682"/>
    </row>
    <row r="621" spans="1:17" s="667" customFormat="1" ht="9" customHeight="1" x14ac:dyDescent="0.25">
      <c r="A621" s="671" t="s">
        <v>37</v>
      </c>
      <c r="B621" s="671"/>
      <c r="C621" s="683">
        <f t="shared" si="33"/>
        <v>24840</v>
      </c>
      <c r="D621" s="683">
        <v>449</v>
      </c>
      <c r="E621" s="683">
        <v>3272</v>
      </c>
      <c r="F621" s="683">
        <v>4711</v>
      </c>
      <c r="G621" s="683">
        <v>6177</v>
      </c>
      <c r="H621" s="683">
        <v>2215</v>
      </c>
      <c r="I621" s="683">
        <v>2156</v>
      </c>
      <c r="J621" s="683">
        <v>702</v>
      </c>
      <c r="K621" s="683">
        <v>318</v>
      </c>
      <c r="L621" s="683">
        <v>296</v>
      </c>
      <c r="M621" s="683">
        <v>2959</v>
      </c>
      <c r="N621" s="683">
        <v>1585</v>
      </c>
      <c r="Q621" s="682"/>
    </row>
    <row r="622" spans="1:17" s="667" customFormat="1" ht="9" customHeight="1" x14ac:dyDescent="0.25">
      <c r="A622" s="667" t="s">
        <v>38</v>
      </c>
      <c r="C622" s="679">
        <f t="shared" si="33"/>
        <v>10623</v>
      </c>
      <c r="D622" s="679">
        <v>254</v>
      </c>
      <c r="E622" s="679">
        <v>1406</v>
      </c>
      <c r="F622" s="679">
        <v>2030</v>
      </c>
      <c r="G622" s="679">
        <v>2438</v>
      </c>
      <c r="H622" s="679">
        <v>937</v>
      </c>
      <c r="I622" s="679">
        <v>1106</v>
      </c>
      <c r="J622" s="679">
        <v>414</v>
      </c>
      <c r="K622" s="679">
        <v>188</v>
      </c>
      <c r="L622" s="679">
        <v>149</v>
      </c>
      <c r="M622" s="679">
        <v>998</v>
      </c>
      <c r="N622" s="679">
        <v>703</v>
      </c>
      <c r="Q622" s="682"/>
    </row>
    <row r="623" spans="1:17" s="667" customFormat="1" ht="9" customHeight="1" x14ac:dyDescent="0.25">
      <c r="A623" s="667" t="s">
        <v>39</v>
      </c>
      <c r="C623" s="679">
        <f t="shared" si="33"/>
        <v>6015</v>
      </c>
      <c r="D623" s="679">
        <v>251</v>
      </c>
      <c r="E623" s="679">
        <v>876</v>
      </c>
      <c r="F623" s="679">
        <v>862</v>
      </c>
      <c r="G623" s="679">
        <v>1539</v>
      </c>
      <c r="H623" s="679">
        <v>548</v>
      </c>
      <c r="I623" s="679">
        <v>482</v>
      </c>
      <c r="J623" s="679">
        <v>162</v>
      </c>
      <c r="K623" s="679">
        <v>97</v>
      </c>
      <c r="L623" s="679">
        <v>99</v>
      </c>
      <c r="M623" s="679">
        <v>721</v>
      </c>
      <c r="N623" s="679">
        <v>378</v>
      </c>
      <c r="Q623" s="682"/>
    </row>
    <row r="624" spans="1:17" s="667" customFormat="1" ht="9" customHeight="1" x14ac:dyDescent="0.25">
      <c r="A624" s="667" t="s">
        <v>40</v>
      </c>
      <c r="C624" s="679">
        <f t="shared" si="33"/>
        <v>24681</v>
      </c>
      <c r="D624" s="679">
        <v>734</v>
      </c>
      <c r="E624" s="679">
        <v>3884</v>
      </c>
      <c r="F624" s="679">
        <v>3616</v>
      </c>
      <c r="G624" s="679">
        <v>7103</v>
      </c>
      <c r="H624" s="679">
        <v>2231</v>
      </c>
      <c r="I624" s="679">
        <v>1886</v>
      </c>
      <c r="J624" s="679">
        <v>820</v>
      </c>
      <c r="K624" s="679">
        <v>444</v>
      </c>
      <c r="L624" s="679">
        <v>361</v>
      </c>
      <c r="M624" s="679">
        <v>2166</v>
      </c>
      <c r="N624" s="679">
        <v>1436</v>
      </c>
      <c r="Q624" s="682"/>
    </row>
    <row r="625" spans="1:17" s="667" customFormat="1" ht="9" customHeight="1" x14ac:dyDescent="0.25">
      <c r="A625" s="671" t="s">
        <v>41</v>
      </c>
      <c r="B625" s="671"/>
      <c r="C625" s="683">
        <f t="shared" si="33"/>
        <v>22798</v>
      </c>
      <c r="D625" s="683">
        <v>556</v>
      </c>
      <c r="E625" s="683">
        <v>2666</v>
      </c>
      <c r="F625" s="683">
        <v>3867</v>
      </c>
      <c r="G625" s="683">
        <v>5774</v>
      </c>
      <c r="H625" s="683">
        <v>1666</v>
      </c>
      <c r="I625" s="683">
        <v>2199</v>
      </c>
      <c r="J625" s="683">
        <v>683</v>
      </c>
      <c r="K625" s="683">
        <v>383</v>
      </c>
      <c r="L625" s="683">
        <v>327</v>
      </c>
      <c r="M625" s="683">
        <v>2256</v>
      </c>
      <c r="N625" s="683">
        <v>2421</v>
      </c>
      <c r="Q625" s="682"/>
    </row>
    <row r="626" spans="1:17" s="667" customFormat="1" ht="9" customHeight="1" x14ac:dyDescent="0.25">
      <c r="A626" s="667" t="s">
        <v>42</v>
      </c>
      <c r="C626" s="679">
        <f t="shared" si="33"/>
        <v>33730</v>
      </c>
      <c r="D626" s="679">
        <v>716</v>
      </c>
      <c r="E626" s="679">
        <v>3748</v>
      </c>
      <c r="F626" s="679">
        <v>6641</v>
      </c>
      <c r="G626" s="679">
        <v>7977</v>
      </c>
      <c r="H626" s="679">
        <v>2687</v>
      </c>
      <c r="I626" s="679">
        <v>4024</v>
      </c>
      <c r="J626" s="679">
        <v>1230</v>
      </c>
      <c r="K626" s="679">
        <v>801</v>
      </c>
      <c r="L626" s="679">
        <v>655</v>
      </c>
      <c r="M626" s="679">
        <v>2868</v>
      </c>
      <c r="N626" s="679">
        <v>2383</v>
      </c>
      <c r="Q626" s="682"/>
    </row>
    <row r="627" spans="1:17" s="667" customFormat="1" ht="9" customHeight="1" x14ac:dyDescent="0.25">
      <c r="A627" s="667" t="s">
        <v>43</v>
      </c>
      <c r="C627" s="679">
        <f t="shared" si="33"/>
        <v>9120</v>
      </c>
      <c r="D627" s="679">
        <v>259</v>
      </c>
      <c r="E627" s="679">
        <v>1243</v>
      </c>
      <c r="F627" s="679">
        <v>1454</v>
      </c>
      <c r="G627" s="679">
        <v>2104</v>
      </c>
      <c r="H627" s="679">
        <v>802</v>
      </c>
      <c r="I627" s="679">
        <v>1087</v>
      </c>
      <c r="J627" s="679">
        <v>360</v>
      </c>
      <c r="K627" s="679">
        <v>202</v>
      </c>
      <c r="L627" s="679">
        <v>165</v>
      </c>
      <c r="M627" s="679">
        <v>877</v>
      </c>
      <c r="N627" s="679">
        <v>567</v>
      </c>
      <c r="Q627" s="682"/>
    </row>
    <row r="628" spans="1:17" s="667" customFormat="1" ht="9" customHeight="1" x14ac:dyDescent="0.25">
      <c r="A628" s="667" t="s">
        <v>44</v>
      </c>
      <c r="C628" s="679">
        <f t="shared" si="33"/>
        <v>5045</v>
      </c>
      <c r="D628" s="679">
        <v>272</v>
      </c>
      <c r="E628" s="679">
        <v>664</v>
      </c>
      <c r="F628" s="679">
        <v>856</v>
      </c>
      <c r="G628" s="679">
        <v>888</v>
      </c>
      <c r="H628" s="679">
        <v>360</v>
      </c>
      <c r="I628" s="679">
        <v>591</v>
      </c>
      <c r="J628" s="679">
        <v>183</v>
      </c>
      <c r="K628" s="679">
        <v>154</v>
      </c>
      <c r="L628" s="679">
        <v>107</v>
      </c>
      <c r="M628" s="679">
        <v>648</v>
      </c>
      <c r="N628" s="679">
        <v>322</v>
      </c>
      <c r="Q628" s="682"/>
    </row>
    <row r="629" spans="1:17" s="667" customFormat="1" ht="9" customHeight="1" x14ac:dyDescent="0.25">
      <c r="A629" s="671" t="s">
        <v>45</v>
      </c>
      <c r="B629" s="671"/>
      <c r="C629" s="683">
        <f t="shared" si="33"/>
        <v>14543</v>
      </c>
      <c r="D629" s="683">
        <v>312</v>
      </c>
      <c r="E629" s="683">
        <v>1908</v>
      </c>
      <c r="F629" s="683">
        <v>2324</v>
      </c>
      <c r="G629" s="683">
        <v>3781</v>
      </c>
      <c r="H629" s="683">
        <v>1533</v>
      </c>
      <c r="I629" s="683">
        <v>1239</v>
      </c>
      <c r="J629" s="683">
        <v>462</v>
      </c>
      <c r="K629" s="683">
        <v>223</v>
      </c>
      <c r="L629" s="683">
        <v>209</v>
      </c>
      <c r="M629" s="683">
        <v>1437</v>
      </c>
      <c r="N629" s="683">
        <v>1115</v>
      </c>
      <c r="Q629" s="682"/>
    </row>
    <row r="630" spans="1:17" s="667" customFormat="1" ht="9" customHeight="1" x14ac:dyDescent="0.25">
      <c r="A630" s="667" t="s">
        <v>46</v>
      </c>
      <c r="C630" s="679">
        <f t="shared" si="33"/>
        <v>14881</v>
      </c>
      <c r="D630" s="679">
        <v>382</v>
      </c>
      <c r="E630" s="679">
        <v>2282</v>
      </c>
      <c r="F630" s="679">
        <v>1947</v>
      </c>
      <c r="G630" s="679">
        <v>3887</v>
      </c>
      <c r="H630" s="679">
        <v>1175</v>
      </c>
      <c r="I630" s="679">
        <v>948</v>
      </c>
      <c r="J630" s="679">
        <v>361</v>
      </c>
      <c r="K630" s="679">
        <v>245</v>
      </c>
      <c r="L630" s="679">
        <v>186</v>
      </c>
      <c r="M630" s="679">
        <v>2631</v>
      </c>
      <c r="N630" s="679">
        <v>837</v>
      </c>
      <c r="Q630" s="682"/>
    </row>
    <row r="631" spans="1:17" s="667" customFormat="1" ht="9" customHeight="1" x14ac:dyDescent="0.25">
      <c r="A631" s="667" t="s">
        <v>47</v>
      </c>
      <c r="C631" s="679">
        <f t="shared" si="33"/>
        <v>16041</v>
      </c>
      <c r="D631" s="679">
        <v>631</v>
      </c>
      <c r="E631" s="679">
        <v>2436</v>
      </c>
      <c r="F631" s="679">
        <v>2114</v>
      </c>
      <c r="G631" s="679">
        <v>4513</v>
      </c>
      <c r="H631" s="679">
        <v>1445</v>
      </c>
      <c r="I631" s="679">
        <v>1129</v>
      </c>
      <c r="J631" s="679">
        <v>462</v>
      </c>
      <c r="K631" s="679">
        <v>247</v>
      </c>
      <c r="L631" s="679">
        <v>180</v>
      </c>
      <c r="M631" s="679">
        <v>2054</v>
      </c>
      <c r="N631" s="679">
        <v>830</v>
      </c>
      <c r="Q631" s="682"/>
    </row>
    <row r="632" spans="1:17" s="667" customFormat="1" ht="9" customHeight="1" x14ac:dyDescent="0.25">
      <c r="A632" s="667" t="s">
        <v>48</v>
      </c>
      <c r="C632" s="679">
        <f t="shared" si="33"/>
        <v>12120</v>
      </c>
      <c r="D632" s="679">
        <v>442</v>
      </c>
      <c r="E632" s="679">
        <v>1434</v>
      </c>
      <c r="F632" s="679">
        <v>2463</v>
      </c>
      <c r="G632" s="679">
        <v>2918</v>
      </c>
      <c r="H632" s="679">
        <v>895</v>
      </c>
      <c r="I632" s="679">
        <v>848</v>
      </c>
      <c r="J632" s="679">
        <v>354</v>
      </c>
      <c r="K632" s="679">
        <v>383</v>
      </c>
      <c r="L632" s="679">
        <v>262</v>
      </c>
      <c r="M632" s="679">
        <v>1416</v>
      </c>
      <c r="N632" s="679">
        <v>705</v>
      </c>
      <c r="Q632" s="682"/>
    </row>
    <row r="633" spans="1:17" s="667" customFormat="1" ht="9" customHeight="1" x14ac:dyDescent="0.25">
      <c r="A633" s="671" t="s">
        <v>49</v>
      </c>
      <c r="B633" s="671"/>
      <c r="C633" s="683">
        <f t="shared" si="33"/>
        <v>18611</v>
      </c>
      <c r="D633" s="683">
        <v>505</v>
      </c>
      <c r="E633" s="683">
        <v>2545</v>
      </c>
      <c r="F633" s="683">
        <v>3174</v>
      </c>
      <c r="G633" s="683">
        <v>5108</v>
      </c>
      <c r="H633" s="683">
        <v>1335</v>
      </c>
      <c r="I633" s="683">
        <v>1429</v>
      </c>
      <c r="J633" s="683">
        <v>549</v>
      </c>
      <c r="K633" s="683">
        <v>423</v>
      </c>
      <c r="L633" s="683">
        <v>243</v>
      </c>
      <c r="M633" s="683">
        <v>2402</v>
      </c>
      <c r="N633" s="683">
        <v>898</v>
      </c>
      <c r="Q633" s="682"/>
    </row>
    <row r="634" spans="1:17" s="667" customFormat="1" ht="9" customHeight="1" x14ac:dyDescent="0.25">
      <c r="A634" s="667" t="s">
        <v>50</v>
      </c>
      <c r="C634" s="679">
        <f t="shared" si="33"/>
        <v>5931</v>
      </c>
      <c r="D634" s="679">
        <v>91</v>
      </c>
      <c r="E634" s="679">
        <v>671</v>
      </c>
      <c r="F634" s="679">
        <v>1320</v>
      </c>
      <c r="G634" s="679">
        <v>1322</v>
      </c>
      <c r="H634" s="679">
        <v>520</v>
      </c>
      <c r="I634" s="679">
        <v>599</v>
      </c>
      <c r="J634" s="679">
        <v>194</v>
      </c>
      <c r="K634" s="679">
        <v>163</v>
      </c>
      <c r="L634" s="679">
        <v>94</v>
      </c>
      <c r="M634" s="679">
        <v>550</v>
      </c>
      <c r="N634" s="679">
        <v>407</v>
      </c>
      <c r="Q634" s="682"/>
    </row>
    <row r="635" spans="1:17" s="667" customFormat="1" ht="9" customHeight="1" x14ac:dyDescent="0.25">
      <c r="A635" s="667" t="s">
        <v>51</v>
      </c>
      <c r="C635" s="679">
        <f t="shared" si="33"/>
        <v>49440</v>
      </c>
      <c r="D635" s="679">
        <v>1492</v>
      </c>
      <c r="E635" s="679">
        <v>6207</v>
      </c>
      <c r="F635" s="679">
        <v>9653</v>
      </c>
      <c r="G635" s="679">
        <v>12470</v>
      </c>
      <c r="H635" s="679">
        <v>3872</v>
      </c>
      <c r="I635" s="679">
        <v>4874</v>
      </c>
      <c r="J635" s="679">
        <v>1699</v>
      </c>
      <c r="K635" s="679">
        <v>964</v>
      </c>
      <c r="L635" s="679">
        <v>649</v>
      </c>
      <c r="M635" s="679">
        <v>4021</v>
      </c>
      <c r="N635" s="679">
        <v>3539</v>
      </c>
      <c r="P635" s="673"/>
      <c r="Q635" s="682"/>
    </row>
    <row r="636" spans="1:17" s="673" customFormat="1" ht="9" customHeight="1" x14ac:dyDescent="0.25">
      <c r="A636" s="673" t="s">
        <v>52</v>
      </c>
      <c r="C636" s="684">
        <f t="shared" si="33"/>
        <v>11819</v>
      </c>
      <c r="D636" s="684">
        <v>340</v>
      </c>
      <c r="E636" s="684">
        <v>1348</v>
      </c>
      <c r="F636" s="684">
        <v>1559</v>
      </c>
      <c r="G636" s="684">
        <v>3570</v>
      </c>
      <c r="H636" s="684">
        <v>1072</v>
      </c>
      <c r="I636" s="684">
        <v>1361</v>
      </c>
      <c r="J636" s="684">
        <v>474</v>
      </c>
      <c r="K636" s="684">
        <v>196</v>
      </c>
      <c r="L636" s="684">
        <v>146</v>
      </c>
      <c r="M636" s="684">
        <v>798</v>
      </c>
      <c r="N636" s="684">
        <v>955</v>
      </c>
      <c r="P636" s="667"/>
      <c r="Q636" s="682"/>
    </row>
    <row r="637" spans="1:17" s="667" customFormat="1" ht="9" customHeight="1" x14ac:dyDescent="0.25">
      <c r="A637" s="671" t="s">
        <v>53</v>
      </c>
      <c r="B637" s="671"/>
      <c r="C637" s="683">
        <f t="shared" si="33"/>
        <v>8705</v>
      </c>
      <c r="D637" s="683">
        <v>179</v>
      </c>
      <c r="E637" s="683">
        <v>1099</v>
      </c>
      <c r="F637" s="683">
        <v>1428</v>
      </c>
      <c r="G637" s="683">
        <v>2101</v>
      </c>
      <c r="H637" s="683">
        <v>1047</v>
      </c>
      <c r="I637" s="683">
        <v>699</v>
      </c>
      <c r="J637" s="683">
        <v>231</v>
      </c>
      <c r="K637" s="683">
        <v>178</v>
      </c>
      <c r="L637" s="683">
        <v>98</v>
      </c>
      <c r="M637" s="683">
        <v>1006</v>
      </c>
      <c r="N637" s="683">
        <v>639</v>
      </c>
      <c r="Q637" s="682"/>
    </row>
    <row r="638" spans="1:17" s="667" customFormat="1" ht="9" customHeight="1" x14ac:dyDescent="0.25">
      <c r="A638" s="664" t="s">
        <v>434</v>
      </c>
      <c r="B638" s="664"/>
      <c r="C638" s="679">
        <f t="shared" si="33"/>
        <v>1054</v>
      </c>
      <c r="D638" s="679">
        <v>13</v>
      </c>
      <c r="E638" s="679">
        <v>110</v>
      </c>
      <c r="F638" s="679">
        <v>93</v>
      </c>
      <c r="G638" s="679">
        <v>282</v>
      </c>
      <c r="H638" s="679">
        <v>51</v>
      </c>
      <c r="I638" s="679">
        <v>54</v>
      </c>
      <c r="J638" s="679">
        <v>12</v>
      </c>
      <c r="K638" s="679">
        <v>7</v>
      </c>
      <c r="L638" s="679">
        <v>0</v>
      </c>
      <c r="M638" s="679">
        <v>397</v>
      </c>
      <c r="N638" s="679">
        <v>35</v>
      </c>
      <c r="P638" s="656"/>
      <c r="Q638" s="682"/>
    </row>
    <row r="639" spans="1:17" s="667" customFormat="1" ht="9" customHeight="1" x14ac:dyDescent="0.25">
      <c r="A639" s="664"/>
      <c r="B639" s="664"/>
      <c r="C639" s="679"/>
      <c r="D639" s="679"/>
      <c r="E639" s="679"/>
      <c r="F639" s="679"/>
      <c r="G639" s="679"/>
      <c r="H639" s="679"/>
      <c r="I639" s="679"/>
      <c r="J639" s="679"/>
      <c r="K639" s="679"/>
      <c r="L639" s="679"/>
      <c r="M639" s="679"/>
      <c r="N639" s="679"/>
    </row>
    <row r="640" spans="1:17" s="667" customFormat="1" ht="9" customHeight="1" x14ac:dyDescent="0.15">
      <c r="A640" s="687">
        <v>2015</v>
      </c>
      <c r="B640" s="664"/>
      <c r="C640" s="665"/>
      <c r="D640" s="665"/>
      <c r="E640" s="665"/>
      <c r="F640" s="666"/>
      <c r="G640" s="666"/>
      <c r="H640" s="666"/>
      <c r="I640" s="666"/>
      <c r="J640" s="665"/>
      <c r="K640" s="665"/>
      <c r="L640" s="665"/>
      <c r="M640" s="665"/>
      <c r="N640" s="665"/>
    </row>
    <row r="641" spans="1:17" s="668" customFormat="1" ht="9" customHeight="1" x14ac:dyDescent="0.25">
      <c r="A641" s="668" t="s">
        <v>13</v>
      </c>
      <c r="C641" s="682">
        <f t="shared" ref="C641:N641" si="34">SUM(C643:C675)</f>
        <v>655688</v>
      </c>
      <c r="D641" s="682">
        <f t="shared" si="34"/>
        <v>16214</v>
      </c>
      <c r="E641" s="682">
        <f t="shared" si="34"/>
        <v>85201</v>
      </c>
      <c r="F641" s="682">
        <f t="shared" si="34"/>
        <v>114591</v>
      </c>
      <c r="G641" s="682">
        <f t="shared" si="34"/>
        <v>166934</v>
      </c>
      <c r="H641" s="682">
        <f t="shared" si="34"/>
        <v>55485</v>
      </c>
      <c r="I641" s="682">
        <f t="shared" si="34"/>
        <v>62968</v>
      </c>
      <c r="J641" s="682">
        <f t="shared" si="34"/>
        <v>22494</v>
      </c>
      <c r="K641" s="682">
        <f t="shared" si="34"/>
        <v>12992</v>
      </c>
      <c r="L641" s="682">
        <f t="shared" si="34"/>
        <v>9364</v>
      </c>
      <c r="M641" s="682">
        <f t="shared" si="34"/>
        <v>68577</v>
      </c>
      <c r="N641" s="682">
        <f t="shared" si="34"/>
        <v>40868</v>
      </c>
      <c r="O641" s="682"/>
      <c r="Q641" s="682"/>
    </row>
    <row r="642" spans="1:17" s="668" customFormat="1" ht="5.25" customHeight="1" x14ac:dyDescent="0.25">
      <c r="C642" s="682"/>
      <c r="D642" s="682"/>
      <c r="E642" s="682"/>
      <c r="F642" s="682"/>
      <c r="G642" s="682"/>
      <c r="H642" s="682"/>
      <c r="I642" s="682"/>
      <c r="J642" s="682"/>
      <c r="K642" s="682"/>
      <c r="L642" s="682"/>
      <c r="M642" s="682"/>
      <c r="N642" s="682"/>
      <c r="Q642" s="682"/>
    </row>
    <row r="643" spans="1:17" s="667" customFormat="1" ht="9" customHeight="1" x14ac:dyDescent="0.25">
      <c r="A643" s="667" t="s">
        <v>23</v>
      </c>
      <c r="C643" s="679">
        <f t="shared" ref="C643:C675" si="35">SUM(D643:N643)</f>
        <v>5636</v>
      </c>
      <c r="D643" s="679">
        <v>99</v>
      </c>
      <c r="E643" s="679">
        <v>857</v>
      </c>
      <c r="F643" s="679">
        <v>1017</v>
      </c>
      <c r="G643" s="679">
        <v>1160</v>
      </c>
      <c r="H643" s="679">
        <v>608</v>
      </c>
      <c r="I643" s="679">
        <v>538</v>
      </c>
      <c r="J643" s="679">
        <v>184</v>
      </c>
      <c r="K643" s="679">
        <v>110</v>
      </c>
      <c r="L643" s="679">
        <v>101</v>
      </c>
      <c r="M643" s="679">
        <v>584</v>
      </c>
      <c r="N643" s="679">
        <v>378</v>
      </c>
      <c r="O643" s="679"/>
      <c r="Q643" s="682"/>
    </row>
    <row r="644" spans="1:17" s="667" customFormat="1" ht="9" customHeight="1" x14ac:dyDescent="0.25">
      <c r="A644" s="667" t="s">
        <v>24</v>
      </c>
      <c r="C644" s="679">
        <f t="shared" si="35"/>
        <v>17152</v>
      </c>
      <c r="D644" s="679">
        <v>908</v>
      </c>
      <c r="E644" s="679">
        <v>2352</v>
      </c>
      <c r="F644" s="679">
        <v>2348</v>
      </c>
      <c r="G644" s="679">
        <v>4363</v>
      </c>
      <c r="H644" s="679">
        <v>1415</v>
      </c>
      <c r="I644" s="679">
        <v>1564</v>
      </c>
      <c r="J644" s="679">
        <v>555</v>
      </c>
      <c r="K644" s="679">
        <v>277</v>
      </c>
      <c r="L644" s="679">
        <v>206</v>
      </c>
      <c r="M644" s="679">
        <v>2324</v>
      </c>
      <c r="N644" s="679">
        <v>840</v>
      </c>
      <c r="Q644" s="682"/>
    </row>
    <row r="645" spans="1:17" s="667" customFormat="1" ht="9" customHeight="1" x14ac:dyDescent="0.25">
      <c r="A645" s="667" t="s">
        <v>25</v>
      </c>
      <c r="C645" s="679">
        <f t="shared" si="35"/>
        <v>3175</v>
      </c>
      <c r="D645" s="679">
        <v>74</v>
      </c>
      <c r="E645" s="679">
        <v>491</v>
      </c>
      <c r="F645" s="679">
        <v>436</v>
      </c>
      <c r="G645" s="679">
        <v>816</v>
      </c>
      <c r="H645" s="679">
        <v>229</v>
      </c>
      <c r="I645" s="679">
        <v>259</v>
      </c>
      <c r="J645" s="679">
        <v>102</v>
      </c>
      <c r="K645" s="679">
        <v>66</v>
      </c>
      <c r="L645" s="679">
        <v>44</v>
      </c>
      <c r="M645" s="679">
        <v>461</v>
      </c>
      <c r="N645" s="679">
        <v>197</v>
      </c>
      <c r="Q645" s="682"/>
    </row>
    <row r="646" spans="1:17" s="667" customFormat="1" ht="9" customHeight="1" x14ac:dyDescent="0.25">
      <c r="A646" s="671" t="s">
        <v>26</v>
      </c>
      <c r="B646" s="671"/>
      <c r="C646" s="683">
        <f t="shared" si="35"/>
        <v>4714</v>
      </c>
      <c r="D646" s="683">
        <v>163</v>
      </c>
      <c r="E646" s="683">
        <v>552</v>
      </c>
      <c r="F646" s="683">
        <v>769</v>
      </c>
      <c r="G646" s="683">
        <v>1118</v>
      </c>
      <c r="H646" s="683">
        <v>340</v>
      </c>
      <c r="I646" s="683">
        <v>476</v>
      </c>
      <c r="J646" s="683">
        <v>172</v>
      </c>
      <c r="K646" s="683">
        <v>157</v>
      </c>
      <c r="L646" s="683">
        <v>79</v>
      </c>
      <c r="M646" s="683">
        <v>436</v>
      </c>
      <c r="N646" s="683">
        <v>452</v>
      </c>
      <c r="Q646" s="682"/>
    </row>
    <row r="647" spans="1:17" s="667" customFormat="1" ht="9" customHeight="1" x14ac:dyDescent="0.25">
      <c r="A647" s="667" t="s">
        <v>27</v>
      </c>
      <c r="C647" s="679">
        <f t="shared" si="35"/>
        <v>16167</v>
      </c>
      <c r="D647" s="679">
        <v>280</v>
      </c>
      <c r="E647" s="679">
        <v>2260</v>
      </c>
      <c r="F647" s="679">
        <v>3082</v>
      </c>
      <c r="G647" s="679">
        <v>4373</v>
      </c>
      <c r="H647" s="679">
        <v>1071</v>
      </c>
      <c r="I647" s="679">
        <v>1390</v>
      </c>
      <c r="J647" s="679">
        <v>486</v>
      </c>
      <c r="K647" s="679">
        <v>429</v>
      </c>
      <c r="L647" s="679">
        <v>214</v>
      </c>
      <c r="M647" s="679">
        <v>1485</v>
      </c>
      <c r="N647" s="679">
        <v>1097</v>
      </c>
      <c r="Q647" s="682"/>
    </row>
    <row r="648" spans="1:17" s="667" customFormat="1" ht="9" customHeight="1" x14ac:dyDescent="0.25">
      <c r="A648" s="667" t="s">
        <v>28</v>
      </c>
      <c r="C648" s="679">
        <f t="shared" si="35"/>
        <v>4408</v>
      </c>
      <c r="D648" s="679">
        <v>115</v>
      </c>
      <c r="E648" s="679">
        <v>547</v>
      </c>
      <c r="F648" s="679">
        <v>781</v>
      </c>
      <c r="G648" s="679">
        <v>1037</v>
      </c>
      <c r="H648" s="679">
        <v>396</v>
      </c>
      <c r="I648" s="679">
        <v>395</v>
      </c>
      <c r="J648" s="679">
        <v>192</v>
      </c>
      <c r="K648" s="679">
        <v>63</v>
      </c>
      <c r="L648" s="679">
        <v>49</v>
      </c>
      <c r="M648" s="679">
        <v>543</v>
      </c>
      <c r="N648" s="679">
        <v>290</v>
      </c>
      <c r="Q648" s="682"/>
    </row>
    <row r="649" spans="1:17" s="667" customFormat="1" ht="9" customHeight="1" x14ac:dyDescent="0.25">
      <c r="A649" s="667" t="s">
        <v>29</v>
      </c>
      <c r="C649" s="679">
        <f t="shared" si="35"/>
        <v>26519</v>
      </c>
      <c r="D649" s="679">
        <v>1126</v>
      </c>
      <c r="E649" s="679">
        <v>3254</v>
      </c>
      <c r="F649" s="679">
        <v>4080</v>
      </c>
      <c r="G649" s="679">
        <v>5297</v>
      </c>
      <c r="H649" s="679">
        <v>2193</v>
      </c>
      <c r="I649" s="679">
        <v>2813</v>
      </c>
      <c r="J649" s="679">
        <v>1082</v>
      </c>
      <c r="K649" s="679">
        <v>695</v>
      </c>
      <c r="L649" s="679">
        <v>458</v>
      </c>
      <c r="M649" s="679">
        <v>2194</v>
      </c>
      <c r="N649" s="679">
        <v>3327</v>
      </c>
      <c r="Q649" s="682"/>
    </row>
    <row r="650" spans="1:17" s="667" customFormat="1" ht="9" customHeight="1" x14ac:dyDescent="0.25">
      <c r="A650" s="671" t="s">
        <v>30</v>
      </c>
      <c r="B650" s="671"/>
      <c r="C650" s="683">
        <f t="shared" si="35"/>
        <v>22416</v>
      </c>
      <c r="D650" s="683">
        <v>638</v>
      </c>
      <c r="E650" s="683">
        <v>2910</v>
      </c>
      <c r="F650" s="683">
        <v>3065</v>
      </c>
      <c r="G650" s="683">
        <v>5767</v>
      </c>
      <c r="H650" s="683">
        <v>1696</v>
      </c>
      <c r="I650" s="683">
        <v>1903</v>
      </c>
      <c r="J650" s="683">
        <v>650</v>
      </c>
      <c r="K650" s="683">
        <v>509</v>
      </c>
      <c r="L650" s="683">
        <v>256</v>
      </c>
      <c r="M650" s="683">
        <v>3705</v>
      </c>
      <c r="N650" s="683">
        <v>1317</v>
      </c>
      <c r="Q650" s="682"/>
    </row>
    <row r="651" spans="1:17" s="667" customFormat="1" ht="9" customHeight="1" x14ac:dyDescent="0.25">
      <c r="A651" s="667" t="s">
        <v>171</v>
      </c>
      <c r="C651" s="679">
        <f t="shared" si="35"/>
        <v>59484</v>
      </c>
      <c r="D651" s="679">
        <v>1265</v>
      </c>
      <c r="E651" s="679">
        <v>8598</v>
      </c>
      <c r="F651" s="679">
        <v>10661</v>
      </c>
      <c r="G651" s="679">
        <v>17180</v>
      </c>
      <c r="H651" s="679">
        <v>5461</v>
      </c>
      <c r="I651" s="679">
        <v>5801</v>
      </c>
      <c r="J651" s="679">
        <v>2314</v>
      </c>
      <c r="K651" s="679">
        <v>765</v>
      </c>
      <c r="L651" s="679">
        <v>682</v>
      </c>
      <c r="M651" s="679">
        <v>4055</v>
      </c>
      <c r="N651" s="679">
        <v>2702</v>
      </c>
      <c r="Q651" s="682"/>
    </row>
    <row r="652" spans="1:17" s="667" customFormat="1" ht="9" customHeight="1" x14ac:dyDescent="0.25">
      <c r="A652" s="667" t="s">
        <v>31</v>
      </c>
      <c r="C652" s="679">
        <f t="shared" si="35"/>
        <v>8975</v>
      </c>
      <c r="D652" s="679">
        <v>180</v>
      </c>
      <c r="E652" s="679">
        <v>1131</v>
      </c>
      <c r="F652" s="679">
        <v>1311</v>
      </c>
      <c r="G652" s="679">
        <v>2516</v>
      </c>
      <c r="H652" s="679">
        <v>751</v>
      </c>
      <c r="I652" s="679">
        <v>794</v>
      </c>
      <c r="J652" s="679">
        <v>246</v>
      </c>
      <c r="K652" s="679">
        <v>297</v>
      </c>
      <c r="L652" s="679">
        <v>123</v>
      </c>
      <c r="M652" s="679">
        <v>1146</v>
      </c>
      <c r="N652" s="679">
        <v>480</v>
      </c>
      <c r="Q652" s="682"/>
    </row>
    <row r="653" spans="1:17" s="667" customFormat="1" ht="9" customHeight="1" x14ac:dyDescent="0.25">
      <c r="A653" s="667" t="s">
        <v>32</v>
      </c>
      <c r="C653" s="679">
        <f t="shared" si="35"/>
        <v>30170</v>
      </c>
      <c r="D653" s="679">
        <v>437</v>
      </c>
      <c r="E653" s="679">
        <v>3560</v>
      </c>
      <c r="F653" s="679">
        <v>6049</v>
      </c>
      <c r="G653" s="679">
        <v>7840</v>
      </c>
      <c r="H653" s="679">
        <v>2593</v>
      </c>
      <c r="I653" s="679">
        <v>2731</v>
      </c>
      <c r="J653" s="679">
        <v>931</v>
      </c>
      <c r="K653" s="679">
        <v>611</v>
      </c>
      <c r="L653" s="679">
        <v>495</v>
      </c>
      <c r="M653" s="679">
        <v>3386</v>
      </c>
      <c r="N653" s="679">
        <v>1537</v>
      </c>
      <c r="Q653" s="682"/>
    </row>
    <row r="654" spans="1:17" s="667" customFormat="1" ht="9" customHeight="1" x14ac:dyDescent="0.25">
      <c r="A654" s="671" t="s">
        <v>33</v>
      </c>
      <c r="B654" s="671"/>
      <c r="C654" s="683">
        <f t="shared" si="35"/>
        <v>20645</v>
      </c>
      <c r="D654" s="683">
        <v>547</v>
      </c>
      <c r="E654" s="683">
        <v>2073</v>
      </c>
      <c r="F654" s="683">
        <v>3766</v>
      </c>
      <c r="G654" s="683">
        <v>4642</v>
      </c>
      <c r="H654" s="683">
        <v>1302</v>
      </c>
      <c r="I654" s="683">
        <v>1667</v>
      </c>
      <c r="J654" s="683">
        <v>709</v>
      </c>
      <c r="K654" s="683">
        <v>391</v>
      </c>
      <c r="L654" s="683">
        <v>234</v>
      </c>
      <c r="M654" s="683">
        <v>3753</v>
      </c>
      <c r="N654" s="683">
        <v>1561</v>
      </c>
      <c r="Q654" s="682"/>
    </row>
    <row r="655" spans="1:17" s="667" customFormat="1" ht="9" customHeight="1" x14ac:dyDescent="0.25">
      <c r="A655" s="667" t="s">
        <v>34</v>
      </c>
      <c r="C655" s="679">
        <f t="shared" si="35"/>
        <v>14595</v>
      </c>
      <c r="D655" s="679">
        <v>206</v>
      </c>
      <c r="E655" s="679">
        <v>1858</v>
      </c>
      <c r="F655" s="679">
        <v>2535</v>
      </c>
      <c r="G655" s="679">
        <v>4212</v>
      </c>
      <c r="H655" s="679">
        <v>1179</v>
      </c>
      <c r="I655" s="679">
        <v>1552</v>
      </c>
      <c r="J655" s="679">
        <v>464</v>
      </c>
      <c r="K655" s="679">
        <v>304</v>
      </c>
      <c r="L655" s="679">
        <v>181</v>
      </c>
      <c r="M655" s="679">
        <v>1303</v>
      </c>
      <c r="N655" s="679">
        <v>801</v>
      </c>
      <c r="Q655" s="682"/>
    </row>
    <row r="656" spans="1:17" s="667" customFormat="1" ht="9" customHeight="1" x14ac:dyDescent="0.25">
      <c r="A656" s="667" t="s">
        <v>35</v>
      </c>
      <c r="C656" s="679">
        <f t="shared" si="35"/>
        <v>43141</v>
      </c>
      <c r="D656" s="679">
        <v>1004</v>
      </c>
      <c r="E656" s="679">
        <v>5772</v>
      </c>
      <c r="F656" s="679">
        <v>7012</v>
      </c>
      <c r="G656" s="679">
        <v>10565</v>
      </c>
      <c r="H656" s="679">
        <v>4955</v>
      </c>
      <c r="I656" s="679">
        <v>3986</v>
      </c>
      <c r="J656" s="679">
        <v>1678</v>
      </c>
      <c r="K656" s="679">
        <v>703</v>
      </c>
      <c r="L656" s="679">
        <v>688</v>
      </c>
      <c r="M656" s="679">
        <v>4480</v>
      </c>
      <c r="N656" s="679">
        <v>2298</v>
      </c>
      <c r="Q656" s="682"/>
    </row>
    <row r="657" spans="1:17" s="667" customFormat="1" ht="9" customHeight="1" x14ac:dyDescent="0.25">
      <c r="A657" s="667" t="s">
        <v>36</v>
      </c>
      <c r="C657" s="679">
        <f t="shared" si="35"/>
        <v>77813</v>
      </c>
      <c r="D657" s="679">
        <v>1501</v>
      </c>
      <c r="E657" s="679">
        <v>9857</v>
      </c>
      <c r="F657" s="679">
        <v>15435</v>
      </c>
      <c r="G657" s="679">
        <v>18140</v>
      </c>
      <c r="H657" s="679">
        <v>6489</v>
      </c>
      <c r="I657" s="679">
        <v>8668</v>
      </c>
      <c r="J657" s="679">
        <v>2684</v>
      </c>
      <c r="K657" s="679">
        <v>1885</v>
      </c>
      <c r="L657" s="679">
        <v>1344</v>
      </c>
      <c r="M657" s="679">
        <v>8180</v>
      </c>
      <c r="N657" s="679">
        <v>3630</v>
      </c>
      <c r="Q657" s="682"/>
    </row>
    <row r="658" spans="1:17" s="667" customFormat="1" ht="9" customHeight="1" x14ac:dyDescent="0.25">
      <c r="A658" s="671" t="s">
        <v>37</v>
      </c>
      <c r="B658" s="671"/>
      <c r="C658" s="683">
        <f t="shared" si="35"/>
        <v>25473</v>
      </c>
      <c r="D658" s="683">
        <v>416</v>
      </c>
      <c r="E658" s="683">
        <v>3419</v>
      </c>
      <c r="F658" s="683">
        <v>4710</v>
      </c>
      <c r="G658" s="683">
        <v>6562</v>
      </c>
      <c r="H658" s="683">
        <v>2212</v>
      </c>
      <c r="I658" s="683">
        <v>2334</v>
      </c>
      <c r="J658" s="683">
        <v>742</v>
      </c>
      <c r="K658" s="683">
        <v>314</v>
      </c>
      <c r="L658" s="683">
        <v>303</v>
      </c>
      <c r="M658" s="683">
        <v>2900</v>
      </c>
      <c r="N658" s="683">
        <v>1561</v>
      </c>
      <c r="Q658" s="682"/>
    </row>
    <row r="659" spans="1:17" s="667" customFormat="1" ht="9" customHeight="1" x14ac:dyDescent="0.25">
      <c r="A659" s="667" t="s">
        <v>38</v>
      </c>
      <c r="C659" s="679">
        <f t="shared" si="35"/>
        <v>11236</v>
      </c>
      <c r="D659" s="679">
        <v>250</v>
      </c>
      <c r="E659" s="679">
        <v>1438</v>
      </c>
      <c r="F659" s="679">
        <v>2177</v>
      </c>
      <c r="G659" s="679">
        <v>2671</v>
      </c>
      <c r="H659" s="679">
        <v>962</v>
      </c>
      <c r="I659" s="679">
        <v>1253</v>
      </c>
      <c r="J659" s="679">
        <v>411</v>
      </c>
      <c r="K659" s="679">
        <v>157</v>
      </c>
      <c r="L659" s="679">
        <v>147</v>
      </c>
      <c r="M659" s="679">
        <v>1135</v>
      </c>
      <c r="N659" s="679">
        <v>635</v>
      </c>
      <c r="Q659" s="682"/>
    </row>
    <row r="660" spans="1:17" s="667" customFormat="1" ht="9" customHeight="1" x14ac:dyDescent="0.25">
      <c r="A660" s="667" t="s">
        <v>39</v>
      </c>
      <c r="C660" s="679">
        <f t="shared" si="35"/>
        <v>6187</v>
      </c>
      <c r="D660" s="679">
        <v>209</v>
      </c>
      <c r="E660" s="679">
        <v>945</v>
      </c>
      <c r="F660" s="679">
        <v>947</v>
      </c>
      <c r="G660" s="679">
        <v>1519</v>
      </c>
      <c r="H660" s="679">
        <v>593</v>
      </c>
      <c r="I660" s="679">
        <v>521</v>
      </c>
      <c r="J660" s="679">
        <v>217</v>
      </c>
      <c r="K660" s="679">
        <v>105</v>
      </c>
      <c r="L660" s="679">
        <v>78</v>
      </c>
      <c r="M660" s="679">
        <v>695</v>
      </c>
      <c r="N660" s="679">
        <v>358</v>
      </c>
      <c r="Q660" s="682"/>
    </row>
    <row r="661" spans="1:17" s="667" customFormat="1" ht="9" customHeight="1" x14ac:dyDescent="0.25">
      <c r="A661" s="667" t="s">
        <v>40</v>
      </c>
      <c r="C661" s="679">
        <f t="shared" si="35"/>
        <v>25087</v>
      </c>
      <c r="D661" s="679">
        <v>669</v>
      </c>
      <c r="E661" s="679">
        <v>3953</v>
      </c>
      <c r="F661" s="679">
        <v>3678</v>
      </c>
      <c r="G661" s="679">
        <v>7387</v>
      </c>
      <c r="H661" s="679">
        <v>2273</v>
      </c>
      <c r="I661" s="679">
        <v>2025</v>
      </c>
      <c r="J661" s="679">
        <v>792</v>
      </c>
      <c r="K661" s="679">
        <v>445</v>
      </c>
      <c r="L661" s="679">
        <v>368</v>
      </c>
      <c r="M661" s="679">
        <v>2224</v>
      </c>
      <c r="N661" s="679">
        <v>1273</v>
      </c>
      <c r="Q661" s="682"/>
    </row>
    <row r="662" spans="1:17" s="667" customFormat="1" ht="9" customHeight="1" x14ac:dyDescent="0.25">
      <c r="A662" s="671" t="s">
        <v>41</v>
      </c>
      <c r="B662" s="671"/>
      <c r="C662" s="683">
        <f t="shared" si="35"/>
        <v>24334</v>
      </c>
      <c r="D662" s="683">
        <v>564</v>
      </c>
      <c r="E662" s="683">
        <v>2828</v>
      </c>
      <c r="F662" s="683">
        <v>4245</v>
      </c>
      <c r="G662" s="683">
        <v>6204</v>
      </c>
      <c r="H662" s="683">
        <v>1719</v>
      </c>
      <c r="I662" s="683">
        <v>2411</v>
      </c>
      <c r="J662" s="683">
        <v>795</v>
      </c>
      <c r="K662" s="683">
        <v>358</v>
      </c>
      <c r="L662" s="683">
        <v>329</v>
      </c>
      <c r="M662" s="683">
        <v>2380</v>
      </c>
      <c r="N662" s="683">
        <v>2501</v>
      </c>
      <c r="Q662" s="682"/>
    </row>
    <row r="663" spans="1:17" s="667" customFormat="1" ht="9" customHeight="1" x14ac:dyDescent="0.25">
      <c r="A663" s="667" t="s">
        <v>42</v>
      </c>
      <c r="C663" s="679">
        <f t="shared" si="35"/>
        <v>34517</v>
      </c>
      <c r="D663" s="679">
        <v>638</v>
      </c>
      <c r="E663" s="679">
        <v>3928</v>
      </c>
      <c r="F663" s="679">
        <v>6838</v>
      </c>
      <c r="G663" s="679">
        <v>8207</v>
      </c>
      <c r="H663" s="679">
        <v>2848</v>
      </c>
      <c r="I663" s="679">
        <v>4032</v>
      </c>
      <c r="J663" s="679">
        <v>1307</v>
      </c>
      <c r="K663" s="679">
        <v>813</v>
      </c>
      <c r="L663" s="679">
        <v>654</v>
      </c>
      <c r="M663" s="679">
        <v>2847</v>
      </c>
      <c r="N663" s="679">
        <v>2405</v>
      </c>
      <c r="Q663" s="682"/>
    </row>
    <row r="664" spans="1:17" s="667" customFormat="1" ht="9" customHeight="1" x14ac:dyDescent="0.25">
      <c r="A664" s="667" t="s">
        <v>43</v>
      </c>
      <c r="C664" s="679">
        <f t="shared" si="35"/>
        <v>9034</v>
      </c>
      <c r="D664" s="679">
        <v>206</v>
      </c>
      <c r="E664" s="679">
        <v>1180</v>
      </c>
      <c r="F664" s="679">
        <v>1408</v>
      </c>
      <c r="G664" s="679">
        <v>2292</v>
      </c>
      <c r="H664" s="679">
        <v>726</v>
      </c>
      <c r="I664" s="679">
        <v>1043</v>
      </c>
      <c r="J664" s="679">
        <v>320</v>
      </c>
      <c r="K664" s="679">
        <v>201</v>
      </c>
      <c r="L664" s="679">
        <v>176</v>
      </c>
      <c r="M664" s="679">
        <v>923</v>
      </c>
      <c r="N664" s="679">
        <v>559</v>
      </c>
      <c r="Q664" s="682"/>
    </row>
    <row r="665" spans="1:17" s="667" customFormat="1" ht="9" customHeight="1" x14ac:dyDescent="0.25">
      <c r="A665" s="667" t="s">
        <v>44</v>
      </c>
      <c r="C665" s="679">
        <f t="shared" si="35"/>
        <v>5738</v>
      </c>
      <c r="D665" s="679">
        <v>312</v>
      </c>
      <c r="E665" s="679">
        <v>751</v>
      </c>
      <c r="F665" s="679">
        <v>950</v>
      </c>
      <c r="G665" s="679">
        <v>1027</v>
      </c>
      <c r="H665" s="679">
        <v>403</v>
      </c>
      <c r="I665" s="679">
        <v>631</v>
      </c>
      <c r="J665" s="679">
        <v>232</v>
      </c>
      <c r="K665" s="679">
        <v>171</v>
      </c>
      <c r="L665" s="679">
        <v>106</v>
      </c>
      <c r="M665" s="679">
        <v>767</v>
      </c>
      <c r="N665" s="679">
        <v>388</v>
      </c>
      <c r="Q665" s="682"/>
    </row>
    <row r="666" spans="1:17" s="667" customFormat="1" ht="9" customHeight="1" x14ac:dyDescent="0.25">
      <c r="A666" s="671" t="s">
        <v>45</v>
      </c>
      <c r="B666" s="671"/>
      <c r="C666" s="683">
        <f t="shared" si="35"/>
        <v>14163</v>
      </c>
      <c r="D666" s="683">
        <v>288</v>
      </c>
      <c r="E666" s="683">
        <v>1905</v>
      </c>
      <c r="F666" s="683">
        <v>2241</v>
      </c>
      <c r="G666" s="683">
        <v>3723</v>
      </c>
      <c r="H666" s="683">
        <v>1470</v>
      </c>
      <c r="I666" s="683">
        <v>1297</v>
      </c>
      <c r="J666" s="683">
        <v>466</v>
      </c>
      <c r="K666" s="683">
        <v>216</v>
      </c>
      <c r="L666" s="683">
        <v>194</v>
      </c>
      <c r="M666" s="683">
        <v>1308</v>
      </c>
      <c r="N666" s="683">
        <v>1055</v>
      </c>
      <c r="Q666" s="682"/>
    </row>
    <row r="667" spans="1:17" s="667" customFormat="1" ht="9" customHeight="1" x14ac:dyDescent="0.25">
      <c r="A667" s="667" t="s">
        <v>46</v>
      </c>
      <c r="C667" s="679">
        <f t="shared" si="35"/>
        <v>15357</v>
      </c>
      <c r="D667" s="679">
        <v>380</v>
      </c>
      <c r="E667" s="679">
        <v>2344</v>
      </c>
      <c r="F667" s="679">
        <v>2049</v>
      </c>
      <c r="G667" s="679">
        <v>4120</v>
      </c>
      <c r="H667" s="679">
        <v>1265</v>
      </c>
      <c r="I667" s="679">
        <v>867</v>
      </c>
      <c r="J667" s="679">
        <v>408</v>
      </c>
      <c r="K667" s="679">
        <v>273</v>
      </c>
      <c r="L667" s="679">
        <v>192</v>
      </c>
      <c r="M667" s="679">
        <v>2571</v>
      </c>
      <c r="N667" s="679">
        <v>888</v>
      </c>
      <c r="Q667" s="682"/>
    </row>
    <row r="668" spans="1:17" s="667" customFormat="1" ht="9" customHeight="1" x14ac:dyDescent="0.25">
      <c r="A668" s="667" t="s">
        <v>47</v>
      </c>
      <c r="C668" s="679">
        <f t="shared" si="35"/>
        <v>16507</v>
      </c>
      <c r="D668" s="679">
        <v>611</v>
      </c>
      <c r="E668" s="679">
        <v>2613</v>
      </c>
      <c r="F668" s="679">
        <v>2205</v>
      </c>
      <c r="G668" s="679">
        <v>4734</v>
      </c>
      <c r="H668" s="679">
        <v>1415</v>
      </c>
      <c r="I668" s="679">
        <v>1199</v>
      </c>
      <c r="J668" s="679">
        <v>512</v>
      </c>
      <c r="K668" s="679">
        <v>251</v>
      </c>
      <c r="L668" s="679">
        <v>180</v>
      </c>
      <c r="M668" s="679">
        <v>1924</v>
      </c>
      <c r="N668" s="679">
        <v>863</v>
      </c>
      <c r="Q668" s="682"/>
    </row>
    <row r="669" spans="1:17" s="667" customFormat="1" ht="9" customHeight="1" x14ac:dyDescent="0.25">
      <c r="A669" s="667" t="s">
        <v>48</v>
      </c>
      <c r="C669" s="679">
        <f t="shared" si="35"/>
        <v>12666</v>
      </c>
      <c r="D669" s="679">
        <v>409</v>
      </c>
      <c r="E669" s="679">
        <v>1458</v>
      </c>
      <c r="F669" s="679">
        <v>2565</v>
      </c>
      <c r="G669" s="679">
        <v>3103</v>
      </c>
      <c r="H669" s="679">
        <v>895</v>
      </c>
      <c r="I669" s="679">
        <v>896</v>
      </c>
      <c r="J669" s="679">
        <v>371</v>
      </c>
      <c r="K669" s="679">
        <v>453</v>
      </c>
      <c r="L669" s="679">
        <v>205</v>
      </c>
      <c r="M669" s="679">
        <v>1546</v>
      </c>
      <c r="N669" s="679">
        <v>765</v>
      </c>
      <c r="Q669" s="682"/>
    </row>
    <row r="670" spans="1:17" s="667" customFormat="1" ht="9" customHeight="1" x14ac:dyDescent="0.25">
      <c r="A670" s="671" t="s">
        <v>49</v>
      </c>
      <c r="B670" s="671"/>
      <c r="C670" s="683">
        <f t="shared" si="35"/>
        <v>18700</v>
      </c>
      <c r="D670" s="683">
        <v>515</v>
      </c>
      <c r="E670" s="683">
        <v>2607</v>
      </c>
      <c r="F670" s="683">
        <v>3414</v>
      </c>
      <c r="G670" s="683">
        <v>4985</v>
      </c>
      <c r="H670" s="683">
        <v>1340</v>
      </c>
      <c r="I670" s="683">
        <v>1508</v>
      </c>
      <c r="J670" s="683">
        <v>610</v>
      </c>
      <c r="K670" s="683">
        <v>413</v>
      </c>
      <c r="L670" s="683">
        <v>243</v>
      </c>
      <c r="M670" s="683">
        <v>2131</v>
      </c>
      <c r="N670" s="683">
        <v>934</v>
      </c>
      <c r="Q670" s="682"/>
    </row>
    <row r="671" spans="1:17" s="667" customFormat="1" ht="9" customHeight="1" x14ac:dyDescent="0.25">
      <c r="A671" s="667" t="s">
        <v>50</v>
      </c>
      <c r="C671" s="679">
        <f t="shared" si="35"/>
        <v>6110</v>
      </c>
      <c r="D671" s="679">
        <v>92</v>
      </c>
      <c r="E671" s="679">
        <v>725</v>
      </c>
      <c r="F671" s="679">
        <v>1309</v>
      </c>
      <c r="G671" s="679">
        <v>1323</v>
      </c>
      <c r="H671" s="679">
        <v>484</v>
      </c>
      <c r="I671" s="679">
        <v>640</v>
      </c>
      <c r="J671" s="679">
        <v>225</v>
      </c>
      <c r="K671" s="679">
        <v>164</v>
      </c>
      <c r="L671" s="679">
        <v>103</v>
      </c>
      <c r="M671" s="679">
        <v>603</v>
      </c>
      <c r="N671" s="679">
        <v>442</v>
      </c>
      <c r="Q671" s="682"/>
    </row>
    <row r="672" spans="1:17" s="667" customFormat="1" ht="9" customHeight="1" x14ac:dyDescent="0.25">
      <c r="A672" s="667" t="s">
        <v>51</v>
      </c>
      <c r="C672" s="679">
        <f t="shared" si="35"/>
        <v>52354</v>
      </c>
      <c r="D672" s="679">
        <v>1531</v>
      </c>
      <c r="E672" s="679">
        <v>6346</v>
      </c>
      <c r="F672" s="679">
        <v>10232</v>
      </c>
      <c r="G672" s="679">
        <v>13726</v>
      </c>
      <c r="H672" s="679">
        <v>4023</v>
      </c>
      <c r="I672" s="679">
        <v>5338</v>
      </c>
      <c r="J672" s="679">
        <v>1717</v>
      </c>
      <c r="K672" s="679">
        <v>973</v>
      </c>
      <c r="L672" s="679">
        <v>655</v>
      </c>
      <c r="M672" s="679">
        <v>4184</v>
      </c>
      <c r="N672" s="679">
        <v>3629</v>
      </c>
      <c r="P672" s="673"/>
      <c r="Q672" s="682"/>
    </row>
    <row r="673" spans="1:17" s="673" customFormat="1" ht="9" customHeight="1" x14ac:dyDescent="0.25">
      <c r="A673" s="673" t="s">
        <v>52</v>
      </c>
      <c r="C673" s="684">
        <f t="shared" si="35"/>
        <v>13282</v>
      </c>
      <c r="D673" s="684">
        <v>394</v>
      </c>
      <c r="E673" s="684">
        <v>1459</v>
      </c>
      <c r="F673" s="684">
        <v>1792</v>
      </c>
      <c r="G673" s="684">
        <v>3838</v>
      </c>
      <c r="H673" s="684">
        <v>1263</v>
      </c>
      <c r="I673" s="684">
        <v>1611</v>
      </c>
      <c r="J673" s="684">
        <v>660</v>
      </c>
      <c r="K673" s="684">
        <v>213</v>
      </c>
      <c r="L673" s="684">
        <v>153</v>
      </c>
      <c r="M673" s="684">
        <v>808</v>
      </c>
      <c r="N673" s="684">
        <v>1091</v>
      </c>
      <c r="P673" s="667"/>
      <c r="Q673" s="682"/>
    </row>
    <row r="674" spans="1:17" s="667" customFormat="1" ht="9" customHeight="1" x14ac:dyDescent="0.25">
      <c r="A674" s="671" t="s">
        <v>53</v>
      </c>
      <c r="B674" s="671"/>
      <c r="C674" s="683">
        <f t="shared" si="35"/>
        <v>8838</v>
      </c>
      <c r="D674" s="683">
        <v>165</v>
      </c>
      <c r="E674" s="683">
        <v>1127</v>
      </c>
      <c r="F674" s="683">
        <v>1394</v>
      </c>
      <c r="G674" s="683">
        <v>2160</v>
      </c>
      <c r="H674" s="683">
        <v>872</v>
      </c>
      <c r="I674" s="683">
        <v>763</v>
      </c>
      <c r="J674" s="683">
        <v>252</v>
      </c>
      <c r="K674" s="683">
        <v>205</v>
      </c>
      <c r="L674" s="683">
        <v>119</v>
      </c>
      <c r="M674" s="683">
        <v>1199</v>
      </c>
      <c r="N674" s="683">
        <v>582</v>
      </c>
      <c r="Q674" s="682"/>
    </row>
    <row r="675" spans="1:17" s="667" customFormat="1" ht="9" customHeight="1" x14ac:dyDescent="0.25">
      <c r="A675" s="664" t="s">
        <v>434</v>
      </c>
      <c r="B675" s="664"/>
      <c r="C675" s="679">
        <f t="shared" si="35"/>
        <v>1095</v>
      </c>
      <c r="D675" s="679">
        <v>22</v>
      </c>
      <c r="E675" s="679">
        <v>103</v>
      </c>
      <c r="F675" s="679">
        <v>90</v>
      </c>
      <c r="G675" s="679">
        <v>327</v>
      </c>
      <c r="H675" s="679">
        <v>44</v>
      </c>
      <c r="I675" s="679">
        <v>62</v>
      </c>
      <c r="J675" s="679">
        <v>8</v>
      </c>
      <c r="K675" s="679">
        <v>5</v>
      </c>
      <c r="L675" s="679">
        <v>5</v>
      </c>
      <c r="M675" s="679">
        <v>397</v>
      </c>
      <c r="N675" s="679">
        <v>32</v>
      </c>
      <c r="P675" s="656"/>
      <c r="Q675" s="682"/>
    </row>
    <row r="676" spans="1:17" s="667" customFormat="1" ht="9" customHeight="1" x14ac:dyDescent="0.25">
      <c r="A676" s="664"/>
      <c r="B676" s="664"/>
      <c r="C676" s="679"/>
      <c r="D676" s="679"/>
      <c r="E676" s="679"/>
      <c r="F676" s="679"/>
      <c r="G676" s="679"/>
      <c r="H676" s="679"/>
      <c r="I676" s="679"/>
      <c r="J676" s="679"/>
      <c r="K676" s="679"/>
      <c r="L676" s="679"/>
      <c r="M676" s="679"/>
      <c r="N676" s="679"/>
    </row>
    <row r="677" spans="1:17" s="667" customFormat="1" ht="9" customHeight="1" x14ac:dyDescent="0.15">
      <c r="A677" s="687">
        <v>2016</v>
      </c>
      <c r="B677" s="664"/>
      <c r="C677" s="665"/>
      <c r="D677" s="665"/>
      <c r="E677" s="665"/>
      <c r="F677" s="666"/>
      <c r="G677" s="666"/>
      <c r="H677" s="666"/>
      <c r="I677" s="666"/>
      <c r="J677" s="665"/>
      <c r="K677" s="665"/>
      <c r="L677" s="665"/>
      <c r="M677" s="665"/>
      <c r="N677" s="665"/>
    </row>
    <row r="678" spans="1:17" s="668" customFormat="1" ht="9" customHeight="1" x14ac:dyDescent="0.25">
      <c r="A678" s="668" t="s">
        <v>13</v>
      </c>
      <c r="C678" s="682">
        <f t="shared" ref="C678:N678" si="36">SUM(C680:C712)</f>
        <v>685766</v>
      </c>
      <c r="D678" s="682">
        <f t="shared" si="36"/>
        <v>16040</v>
      </c>
      <c r="E678" s="682">
        <f t="shared" si="36"/>
        <v>88526</v>
      </c>
      <c r="F678" s="682">
        <f t="shared" si="36"/>
        <v>122234</v>
      </c>
      <c r="G678" s="682">
        <f t="shared" si="36"/>
        <v>175078</v>
      </c>
      <c r="H678" s="682">
        <f t="shared" si="36"/>
        <v>59569</v>
      </c>
      <c r="I678" s="682">
        <f t="shared" si="36"/>
        <v>67201</v>
      </c>
      <c r="J678" s="682">
        <f t="shared" si="36"/>
        <v>23191</v>
      </c>
      <c r="K678" s="682">
        <f t="shared" si="36"/>
        <v>12640</v>
      </c>
      <c r="L678" s="682">
        <f t="shared" si="36"/>
        <v>9157</v>
      </c>
      <c r="M678" s="682">
        <f t="shared" si="36"/>
        <v>72821</v>
      </c>
      <c r="N678" s="682">
        <f t="shared" si="36"/>
        <v>39309</v>
      </c>
      <c r="O678" s="682"/>
      <c r="Q678" s="679"/>
    </row>
    <row r="679" spans="1:17" s="668" customFormat="1" ht="5.25" customHeight="1" x14ac:dyDescent="0.25">
      <c r="C679" s="682"/>
      <c r="D679" s="682"/>
      <c r="E679" s="682"/>
      <c r="F679" s="682"/>
      <c r="G679" s="682"/>
      <c r="H679" s="682"/>
      <c r="I679" s="682"/>
      <c r="J679" s="682"/>
      <c r="K679" s="682"/>
      <c r="L679" s="682"/>
      <c r="M679" s="682"/>
      <c r="N679" s="682"/>
      <c r="Q679" s="682"/>
    </row>
    <row r="680" spans="1:17" s="667" customFormat="1" ht="9" customHeight="1" x14ac:dyDescent="0.25">
      <c r="A680" s="667" t="s">
        <v>23</v>
      </c>
      <c r="C680" s="679">
        <f t="shared" ref="C680:C712" si="37">SUM(D680:N680)</f>
        <v>5910</v>
      </c>
      <c r="D680" s="679">
        <v>116</v>
      </c>
      <c r="E680" s="679">
        <v>815</v>
      </c>
      <c r="F680" s="679">
        <v>1020</v>
      </c>
      <c r="G680" s="679">
        <v>1317</v>
      </c>
      <c r="H680" s="679">
        <v>677</v>
      </c>
      <c r="I680" s="679">
        <v>564</v>
      </c>
      <c r="J680" s="679">
        <v>217</v>
      </c>
      <c r="K680" s="679">
        <v>135</v>
      </c>
      <c r="L680" s="679">
        <v>98</v>
      </c>
      <c r="M680" s="679">
        <v>605</v>
      </c>
      <c r="N680" s="679">
        <v>346</v>
      </c>
      <c r="O680" s="679"/>
      <c r="P680" s="668"/>
      <c r="Q680" s="679"/>
    </row>
    <row r="681" spans="1:17" s="667" customFormat="1" ht="9" customHeight="1" x14ac:dyDescent="0.25">
      <c r="A681" s="667" t="s">
        <v>24</v>
      </c>
      <c r="C681" s="679">
        <f t="shared" si="37"/>
        <v>18253</v>
      </c>
      <c r="D681" s="679">
        <v>981</v>
      </c>
      <c r="E681" s="679">
        <v>2394</v>
      </c>
      <c r="F681" s="679">
        <v>2602</v>
      </c>
      <c r="G681" s="679">
        <v>4451</v>
      </c>
      <c r="H681" s="679">
        <v>1589</v>
      </c>
      <c r="I681" s="679">
        <v>1638</v>
      </c>
      <c r="J681" s="679">
        <v>593</v>
      </c>
      <c r="K681" s="679">
        <v>254</v>
      </c>
      <c r="L681" s="679">
        <v>233</v>
      </c>
      <c r="M681" s="679">
        <v>2660</v>
      </c>
      <c r="N681" s="679">
        <v>858</v>
      </c>
      <c r="Q681" s="679"/>
    </row>
    <row r="682" spans="1:17" s="667" customFormat="1" ht="9" customHeight="1" x14ac:dyDescent="0.25">
      <c r="A682" s="667" t="s">
        <v>25</v>
      </c>
      <c r="C682" s="679">
        <f t="shared" si="37"/>
        <v>3183</v>
      </c>
      <c r="D682" s="679">
        <v>96</v>
      </c>
      <c r="E682" s="679">
        <v>494</v>
      </c>
      <c r="F682" s="679">
        <v>440</v>
      </c>
      <c r="G682" s="679">
        <v>790</v>
      </c>
      <c r="H682" s="679">
        <v>246</v>
      </c>
      <c r="I682" s="679">
        <v>261</v>
      </c>
      <c r="J682" s="679">
        <v>87</v>
      </c>
      <c r="K682" s="679">
        <v>57</v>
      </c>
      <c r="L682" s="679">
        <v>40</v>
      </c>
      <c r="M682" s="679">
        <v>500</v>
      </c>
      <c r="N682" s="679">
        <v>172</v>
      </c>
      <c r="Q682" s="679"/>
    </row>
    <row r="683" spans="1:17" s="667" customFormat="1" ht="9" customHeight="1" x14ac:dyDescent="0.25">
      <c r="A683" s="671" t="s">
        <v>26</v>
      </c>
      <c r="B683" s="671"/>
      <c r="C683" s="683">
        <f t="shared" si="37"/>
        <v>4932</v>
      </c>
      <c r="D683" s="683">
        <v>153</v>
      </c>
      <c r="E683" s="683">
        <v>598</v>
      </c>
      <c r="F683" s="683">
        <v>918</v>
      </c>
      <c r="G683" s="683">
        <v>1136</v>
      </c>
      <c r="H683" s="683">
        <v>402</v>
      </c>
      <c r="I683" s="683">
        <v>511</v>
      </c>
      <c r="J683" s="683">
        <v>179</v>
      </c>
      <c r="K683" s="683">
        <v>154</v>
      </c>
      <c r="L683" s="683">
        <v>49</v>
      </c>
      <c r="M683" s="683">
        <v>439</v>
      </c>
      <c r="N683" s="683">
        <v>393</v>
      </c>
      <c r="Q683" s="679"/>
    </row>
    <row r="684" spans="1:17" s="667" customFormat="1" ht="9" customHeight="1" x14ac:dyDescent="0.25">
      <c r="A684" s="667" t="s">
        <v>27</v>
      </c>
      <c r="C684" s="679">
        <f t="shared" si="37"/>
        <v>16605</v>
      </c>
      <c r="D684" s="679">
        <v>285</v>
      </c>
      <c r="E684" s="679">
        <v>2376</v>
      </c>
      <c r="F684" s="679">
        <v>3113</v>
      </c>
      <c r="G684" s="679">
        <v>4798</v>
      </c>
      <c r="H684" s="679">
        <v>1041</v>
      </c>
      <c r="I684" s="679">
        <v>1407</v>
      </c>
      <c r="J684" s="679">
        <v>555</v>
      </c>
      <c r="K684" s="679">
        <v>471</v>
      </c>
      <c r="L684" s="679">
        <v>210</v>
      </c>
      <c r="M684" s="679">
        <v>1418</v>
      </c>
      <c r="N684" s="679">
        <v>931</v>
      </c>
      <c r="Q684" s="679"/>
    </row>
    <row r="685" spans="1:17" s="667" customFormat="1" ht="9" customHeight="1" x14ac:dyDescent="0.25">
      <c r="A685" s="667" t="s">
        <v>28</v>
      </c>
      <c r="C685" s="679">
        <f t="shared" si="37"/>
        <v>4486</v>
      </c>
      <c r="D685" s="679">
        <v>108</v>
      </c>
      <c r="E685" s="679">
        <v>520</v>
      </c>
      <c r="F685" s="679">
        <v>667</v>
      </c>
      <c r="G685" s="679">
        <v>907</v>
      </c>
      <c r="H685" s="679">
        <v>350</v>
      </c>
      <c r="I685" s="679">
        <v>445</v>
      </c>
      <c r="J685" s="679">
        <v>166</v>
      </c>
      <c r="K685" s="679">
        <v>61</v>
      </c>
      <c r="L685" s="679">
        <v>52</v>
      </c>
      <c r="M685" s="679">
        <v>956</v>
      </c>
      <c r="N685" s="679">
        <v>254</v>
      </c>
      <c r="Q685" s="679"/>
    </row>
    <row r="686" spans="1:17" s="667" customFormat="1" ht="9" customHeight="1" x14ac:dyDescent="0.25">
      <c r="A686" s="667" t="s">
        <v>29</v>
      </c>
      <c r="C686" s="679">
        <f t="shared" si="37"/>
        <v>26691</v>
      </c>
      <c r="D686" s="679">
        <v>1210</v>
      </c>
      <c r="E686" s="679">
        <v>3313</v>
      </c>
      <c r="F686" s="679">
        <v>4240</v>
      </c>
      <c r="G686" s="679">
        <v>5277</v>
      </c>
      <c r="H686" s="679">
        <v>2223</v>
      </c>
      <c r="I686" s="679">
        <v>2952</v>
      </c>
      <c r="J686" s="679">
        <v>976</v>
      </c>
      <c r="K686" s="679">
        <v>693</v>
      </c>
      <c r="L686" s="679">
        <v>424</v>
      </c>
      <c r="M686" s="679">
        <v>2079</v>
      </c>
      <c r="N686" s="679">
        <v>3304</v>
      </c>
      <c r="Q686" s="679"/>
    </row>
    <row r="687" spans="1:17" s="667" customFormat="1" ht="9" customHeight="1" x14ac:dyDescent="0.25">
      <c r="A687" s="671" t="s">
        <v>30</v>
      </c>
      <c r="B687" s="671"/>
      <c r="C687" s="683">
        <f t="shared" si="37"/>
        <v>23400</v>
      </c>
      <c r="D687" s="683">
        <v>558</v>
      </c>
      <c r="E687" s="683">
        <v>3109</v>
      </c>
      <c r="F687" s="683">
        <v>3286</v>
      </c>
      <c r="G687" s="683">
        <v>5947</v>
      </c>
      <c r="H687" s="683">
        <v>1856</v>
      </c>
      <c r="I687" s="683">
        <v>2030</v>
      </c>
      <c r="J687" s="683">
        <v>730</v>
      </c>
      <c r="K687" s="683">
        <v>430</v>
      </c>
      <c r="L687" s="683">
        <v>276</v>
      </c>
      <c r="M687" s="683">
        <v>3904</v>
      </c>
      <c r="N687" s="683">
        <v>1274</v>
      </c>
      <c r="Q687" s="679"/>
    </row>
    <row r="688" spans="1:17" s="667" customFormat="1" ht="9" customHeight="1" x14ac:dyDescent="0.25">
      <c r="A688" s="667" t="s">
        <v>171</v>
      </c>
      <c r="C688" s="679">
        <f t="shared" si="37"/>
        <v>62230</v>
      </c>
      <c r="D688" s="679">
        <v>1198</v>
      </c>
      <c r="E688" s="679">
        <v>8856</v>
      </c>
      <c r="F688" s="679">
        <v>11275</v>
      </c>
      <c r="G688" s="679">
        <v>18175</v>
      </c>
      <c r="H688" s="679">
        <v>5815</v>
      </c>
      <c r="I688" s="679">
        <v>6213</v>
      </c>
      <c r="J688" s="679">
        <v>2441</v>
      </c>
      <c r="K688" s="679">
        <v>707</v>
      </c>
      <c r="L688" s="679">
        <v>672</v>
      </c>
      <c r="M688" s="679">
        <v>4239</v>
      </c>
      <c r="N688" s="679">
        <v>2639</v>
      </c>
      <c r="Q688" s="679"/>
    </row>
    <row r="689" spans="1:17" s="667" customFormat="1" ht="9" customHeight="1" x14ac:dyDescent="0.25">
      <c r="A689" s="667" t="s">
        <v>31</v>
      </c>
      <c r="C689" s="679">
        <f t="shared" si="37"/>
        <v>9570</v>
      </c>
      <c r="D689" s="679">
        <v>173</v>
      </c>
      <c r="E689" s="679">
        <v>1197</v>
      </c>
      <c r="F689" s="679">
        <v>1381</v>
      </c>
      <c r="G689" s="679">
        <v>2769</v>
      </c>
      <c r="H689" s="679">
        <v>827</v>
      </c>
      <c r="I689" s="679">
        <v>884</v>
      </c>
      <c r="J689" s="679">
        <v>256</v>
      </c>
      <c r="K689" s="679">
        <v>263</v>
      </c>
      <c r="L689" s="679">
        <v>117</v>
      </c>
      <c r="M689" s="679">
        <v>1198</v>
      </c>
      <c r="N689" s="679">
        <v>505</v>
      </c>
      <c r="Q689" s="679"/>
    </row>
    <row r="690" spans="1:17" s="667" customFormat="1" ht="9" customHeight="1" x14ac:dyDescent="0.25">
      <c r="A690" s="667" t="s">
        <v>32</v>
      </c>
      <c r="C690" s="679">
        <f t="shared" si="37"/>
        <v>32202</v>
      </c>
      <c r="D690" s="679">
        <v>442</v>
      </c>
      <c r="E690" s="679">
        <v>3530</v>
      </c>
      <c r="F690" s="679">
        <v>6424</v>
      </c>
      <c r="G690" s="679">
        <v>8564</v>
      </c>
      <c r="H690" s="679">
        <v>2904</v>
      </c>
      <c r="I690" s="679">
        <v>3008</v>
      </c>
      <c r="J690" s="679">
        <v>982</v>
      </c>
      <c r="K690" s="679">
        <v>633</v>
      </c>
      <c r="L690" s="679">
        <v>495</v>
      </c>
      <c r="M690" s="679">
        <v>3676</v>
      </c>
      <c r="N690" s="679">
        <v>1544</v>
      </c>
      <c r="Q690" s="679"/>
    </row>
    <row r="691" spans="1:17" s="667" customFormat="1" ht="9" customHeight="1" x14ac:dyDescent="0.25">
      <c r="A691" s="671" t="s">
        <v>33</v>
      </c>
      <c r="B691" s="671"/>
      <c r="C691" s="683">
        <f t="shared" si="37"/>
        <v>20270</v>
      </c>
      <c r="D691" s="683">
        <v>552</v>
      </c>
      <c r="E691" s="683">
        <v>2139</v>
      </c>
      <c r="F691" s="683">
        <v>3670</v>
      </c>
      <c r="G691" s="683">
        <v>4585</v>
      </c>
      <c r="H691" s="683">
        <v>1313</v>
      </c>
      <c r="I691" s="683">
        <v>1612</v>
      </c>
      <c r="J691" s="683">
        <v>595</v>
      </c>
      <c r="K691" s="683">
        <v>401</v>
      </c>
      <c r="L691" s="683">
        <v>192</v>
      </c>
      <c r="M691" s="683">
        <v>3809</v>
      </c>
      <c r="N691" s="683">
        <v>1402</v>
      </c>
      <c r="Q691" s="679"/>
    </row>
    <row r="692" spans="1:17" s="667" customFormat="1" ht="9" customHeight="1" x14ac:dyDescent="0.25">
      <c r="A692" s="667" t="s">
        <v>34</v>
      </c>
      <c r="C692" s="679">
        <f t="shared" si="37"/>
        <v>15391</v>
      </c>
      <c r="D692" s="679">
        <v>218</v>
      </c>
      <c r="E692" s="679">
        <v>2039</v>
      </c>
      <c r="F692" s="679">
        <v>2728</v>
      </c>
      <c r="G692" s="679">
        <v>4395</v>
      </c>
      <c r="H692" s="679">
        <v>1269</v>
      </c>
      <c r="I692" s="679">
        <v>1692</v>
      </c>
      <c r="J692" s="679">
        <v>466</v>
      </c>
      <c r="K692" s="679">
        <v>270</v>
      </c>
      <c r="L692" s="679">
        <v>198</v>
      </c>
      <c r="M692" s="679">
        <v>1383</v>
      </c>
      <c r="N692" s="679">
        <v>733</v>
      </c>
      <c r="Q692" s="679"/>
    </row>
    <row r="693" spans="1:17" s="667" customFormat="1" ht="9" customHeight="1" x14ac:dyDescent="0.25">
      <c r="A693" s="667" t="s">
        <v>35</v>
      </c>
      <c r="C693" s="679">
        <f t="shared" si="37"/>
        <v>46010</v>
      </c>
      <c r="D693" s="679">
        <v>1042</v>
      </c>
      <c r="E693" s="679">
        <v>6315</v>
      </c>
      <c r="F693" s="679">
        <v>7615</v>
      </c>
      <c r="G693" s="679">
        <v>11126</v>
      </c>
      <c r="H693" s="679">
        <v>5373</v>
      </c>
      <c r="I693" s="679">
        <v>4100</v>
      </c>
      <c r="J693" s="679">
        <v>1746</v>
      </c>
      <c r="K693" s="679">
        <v>767</v>
      </c>
      <c r="L693" s="679">
        <v>683</v>
      </c>
      <c r="M693" s="679">
        <v>4832</v>
      </c>
      <c r="N693" s="679">
        <v>2411</v>
      </c>
      <c r="Q693" s="679"/>
    </row>
    <row r="694" spans="1:17" s="667" customFormat="1" ht="9" customHeight="1" x14ac:dyDescent="0.25">
      <c r="A694" s="667" t="s">
        <v>36</v>
      </c>
      <c r="C694" s="679">
        <f t="shared" si="37"/>
        <v>82351</v>
      </c>
      <c r="D694" s="679">
        <v>1555</v>
      </c>
      <c r="E694" s="679">
        <v>10338</v>
      </c>
      <c r="F694" s="679">
        <v>16694</v>
      </c>
      <c r="G694" s="679">
        <v>19608</v>
      </c>
      <c r="H694" s="679">
        <v>7119</v>
      </c>
      <c r="I694" s="679">
        <v>9468</v>
      </c>
      <c r="J694" s="679">
        <v>2746</v>
      </c>
      <c r="K694" s="679">
        <v>1792</v>
      </c>
      <c r="L694" s="679">
        <v>1285</v>
      </c>
      <c r="M694" s="679">
        <v>8205</v>
      </c>
      <c r="N694" s="679">
        <v>3541</v>
      </c>
      <c r="Q694" s="679"/>
    </row>
    <row r="695" spans="1:17" s="667" customFormat="1" ht="9" customHeight="1" x14ac:dyDescent="0.25">
      <c r="A695" s="671" t="s">
        <v>37</v>
      </c>
      <c r="B695" s="671"/>
      <c r="C695" s="683">
        <f t="shared" si="37"/>
        <v>27138</v>
      </c>
      <c r="D695" s="683">
        <v>402</v>
      </c>
      <c r="E695" s="683">
        <v>3473</v>
      </c>
      <c r="F695" s="683">
        <v>5295</v>
      </c>
      <c r="G695" s="683">
        <v>6637</v>
      </c>
      <c r="H695" s="683">
        <v>2412</v>
      </c>
      <c r="I695" s="683">
        <v>2410</v>
      </c>
      <c r="J695" s="683">
        <v>725</v>
      </c>
      <c r="K695" s="683">
        <v>317</v>
      </c>
      <c r="L695" s="683">
        <v>317</v>
      </c>
      <c r="M695" s="683">
        <v>3737</v>
      </c>
      <c r="N695" s="683">
        <v>1413</v>
      </c>
      <c r="Q695" s="679"/>
    </row>
    <row r="696" spans="1:17" s="667" customFormat="1" ht="9" customHeight="1" x14ac:dyDescent="0.25">
      <c r="A696" s="667" t="s">
        <v>38</v>
      </c>
      <c r="C696" s="679">
        <f t="shared" si="37"/>
        <v>12440</v>
      </c>
      <c r="D696" s="679">
        <v>228</v>
      </c>
      <c r="E696" s="679">
        <v>1546</v>
      </c>
      <c r="F696" s="679">
        <v>2462</v>
      </c>
      <c r="G696" s="679">
        <v>2945</v>
      </c>
      <c r="H696" s="679">
        <v>1095</v>
      </c>
      <c r="I696" s="679">
        <v>1441</v>
      </c>
      <c r="J696" s="679">
        <v>467</v>
      </c>
      <c r="K696" s="679">
        <v>178</v>
      </c>
      <c r="L696" s="679">
        <v>164</v>
      </c>
      <c r="M696" s="679">
        <v>1312</v>
      </c>
      <c r="N696" s="679">
        <v>602</v>
      </c>
      <c r="Q696" s="679"/>
    </row>
    <row r="697" spans="1:17" s="667" customFormat="1" ht="9" customHeight="1" x14ac:dyDescent="0.25">
      <c r="A697" s="667" t="s">
        <v>39</v>
      </c>
      <c r="C697" s="679">
        <f t="shared" si="37"/>
        <v>6555</v>
      </c>
      <c r="D697" s="679">
        <v>182</v>
      </c>
      <c r="E697" s="679">
        <v>999</v>
      </c>
      <c r="F697" s="679">
        <v>1001</v>
      </c>
      <c r="G697" s="679">
        <v>1643</v>
      </c>
      <c r="H697" s="679">
        <v>670</v>
      </c>
      <c r="I697" s="679">
        <v>599</v>
      </c>
      <c r="J697" s="679">
        <v>175</v>
      </c>
      <c r="K697" s="679">
        <v>105</v>
      </c>
      <c r="L697" s="679">
        <v>71</v>
      </c>
      <c r="M697" s="679">
        <v>789</v>
      </c>
      <c r="N697" s="679">
        <v>321</v>
      </c>
      <c r="Q697" s="679"/>
    </row>
    <row r="698" spans="1:17" s="667" customFormat="1" ht="9" customHeight="1" x14ac:dyDescent="0.25">
      <c r="A698" s="667" t="s">
        <v>40</v>
      </c>
      <c r="C698" s="679">
        <f t="shared" si="37"/>
        <v>26029</v>
      </c>
      <c r="D698" s="679">
        <v>675</v>
      </c>
      <c r="E698" s="679">
        <v>4226</v>
      </c>
      <c r="F698" s="679">
        <v>3941</v>
      </c>
      <c r="G698" s="679">
        <v>7543</v>
      </c>
      <c r="H698" s="679">
        <v>2089</v>
      </c>
      <c r="I698" s="679">
        <v>2208</v>
      </c>
      <c r="J698" s="679">
        <v>866</v>
      </c>
      <c r="K698" s="679">
        <v>515</v>
      </c>
      <c r="L698" s="679">
        <v>347</v>
      </c>
      <c r="M698" s="679">
        <v>2278</v>
      </c>
      <c r="N698" s="679">
        <v>1341</v>
      </c>
      <c r="Q698" s="679"/>
    </row>
    <row r="699" spans="1:17" s="667" customFormat="1" ht="9" customHeight="1" x14ac:dyDescent="0.25">
      <c r="A699" s="671" t="s">
        <v>41</v>
      </c>
      <c r="B699" s="671"/>
      <c r="C699" s="683">
        <f t="shared" si="37"/>
        <v>24782</v>
      </c>
      <c r="D699" s="683">
        <v>562</v>
      </c>
      <c r="E699" s="683">
        <v>2877</v>
      </c>
      <c r="F699" s="683">
        <v>4471</v>
      </c>
      <c r="G699" s="683">
        <v>6294</v>
      </c>
      <c r="H699" s="683">
        <v>1863</v>
      </c>
      <c r="I699" s="683">
        <v>2522</v>
      </c>
      <c r="J699" s="683">
        <v>819</v>
      </c>
      <c r="K699" s="683">
        <v>346</v>
      </c>
      <c r="L699" s="683">
        <v>331</v>
      </c>
      <c r="M699" s="683">
        <v>2288</v>
      </c>
      <c r="N699" s="683">
        <v>2409</v>
      </c>
      <c r="Q699" s="679"/>
    </row>
    <row r="700" spans="1:17" s="667" customFormat="1" ht="9" customHeight="1" x14ac:dyDescent="0.25">
      <c r="A700" s="667" t="s">
        <v>42</v>
      </c>
      <c r="C700" s="679">
        <f t="shared" si="37"/>
        <v>36353</v>
      </c>
      <c r="D700" s="679">
        <v>680</v>
      </c>
      <c r="E700" s="679">
        <v>3937</v>
      </c>
      <c r="F700" s="679">
        <v>7569</v>
      </c>
      <c r="G700" s="679">
        <v>8911</v>
      </c>
      <c r="H700" s="679">
        <v>3129</v>
      </c>
      <c r="I700" s="679">
        <v>4313</v>
      </c>
      <c r="J700" s="679">
        <v>1257</v>
      </c>
      <c r="K700" s="679">
        <v>843</v>
      </c>
      <c r="L700" s="679">
        <v>654</v>
      </c>
      <c r="M700" s="679">
        <v>2922</v>
      </c>
      <c r="N700" s="679">
        <v>2138</v>
      </c>
      <c r="Q700" s="679"/>
    </row>
    <row r="701" spans="1:17" s="667" customFormat="1" ht="9" customHeight="1" x14ac:dyDescent="0.25">
      <c r="A701" s="667" t="s">
        <v>43</v>
      </c>
      <c r="C701" s="679">
        <f t="shared" si="37"/>
        <v>9877</v>
      </c>
      <c r="D701" s="679">
        <v>200</v>
      </c>
      <c r="E701" s="679">
        <v>1288</v>
      </c>
      <c r="F701" s="679">
        <v>1621</v>
      </c>
      <c r="G701" s="679">
        <v>2470</v>
      </c>
      <c r="H701" s="679">
        <v>834</v>
      </c>
      <c r="I701" s="679">
        <v>1242</v>
      </c>
      <c r="J701" s="679">
        <v>399</v>
      </c>
      <c r="K701" s="679">
        <v>220</v>
      </c>
      <c r="L701" s="679">
        <v>174</v>
      </c>
      <c r="M701" s="679">
        <v>892</v>
      </c>
      <c r="N701" s="679">
        <v>537</v>
      </c>
      <c r="Q701" s="679"/>
    </row>
    <row r="702" spans="1:17" s="667" customFormat="1" ht="9" customHeight="1" x14ac:dyDescent="0.25">
      <c r="A702" s="667" t="s">
        <v>44</v>
      </c>
      <c r="C702" s="679">
        <f t="shared" si="37"/>
        <v>6232</v>
      </c>
      <c r="D702" s="679">
        <v>291</v>
      </c>
      <c r="E702" s="679">
        <v>769</v>
      </c>
      <c r="F702" s="679">
        <v>1070</v>
      </c>
      <c r="G702" s="679">
        <v>1195</v>
      </c>
      <c r="H702" s="679">
        <v>447</v>
      </c>
      <c r="I702" s="679">
        <v>724</v>
      </c>
      <c r="J702" s="679">
        <v>203</v>
      </c>
      <c r="K702" s="679">
        <v>179</v>
      </c>
      <c r="L702" s="679">
        <v>121</v>
      </c>
      <c r="M702" s="679">
        <v>808</v>
      </c>
      <c r="N702" s="679">
        <v>425</v>
      </c>
      <c r="Q702" s="679"/>
    </row>
    <row r="703" spans="1:17" s="667" customFormat="1" ht="9" customHeight="1" x14ac:dyDescent="0.25">
      <c r="A703" s="671" t="s">
        <v>45</v>
      </c>
      <c r="B703" s="671"/>
      <c r="C703" s="683">
        <f t="shared" si="37"/>
        <v>14976</v>
      </c>
      <c r="D703" s="683">
        <v>287</v>
      </c>
      <c r="E703" s="683">
        <v>2014</v>
      </c>
      <c r="F703" s="683">
        <v>2432</v>
      </c>
      <c r="G703" s="683">
        <v>3952</v>
      </c>
      <c r="H703" s="683">
        <v>1519</v>
      </c>
      <c r="I703" s="683">
        <v>1382</v>
      </c>
      <c r="J703" s="683">
        <v>471</v>
      </c>
      <c r="K703" s="683">
        <v>237</v>
      </c>
      <c r="L703" s="683">
        <v>198</v>
      </c>
      <c r="M703" s="683">
        <v>1461</v>
      </c>
      <c r="N703" s="683">
        <v>1023</v>
      </c>
      <c r="Q703" s="679"/>
    </row>
    <row r="704" spans="1:17" s="667" customFormat="1" ht="9" customHeight="1" x14ac:dyDescent="0.25">
      <c r="A704" s="667" t="s">
        <v>46</v>
      </c>
      <c r="C704" s="679">
        <f t="shared" si="37"/>
        <v>16128</v>
      </c>
      <c r="D704" s="679">
        <v>397</v>
      </c>
      <c r="E704" s="679">
        <v>2464</v>
      </c>
      <c r="F704" s="679">
        <v>2167</v>
      </c>
      <c r="G704" s="679">
        <v>4250</v>
      </c>
      <c r="H704" s="679">
        <v>1401</v>
      </c>
      <c r="I704" s="679">
        <v>962</v>
      </c>
      <c r="J704" s="679">
        <v>415</v>
      </c>
      <c r="K704" s="679">
        <v>218</v>
      </c>
      <c r="L704" s="679">
        <v>142</v>
      </c>
      <c r="M704" s="679">
        <v>2820</v>
      </c>
      <c r="N704" s="679">
        <v>892</v>
      </c>
      <c r="Q704" s="679"/>
    </row>
    <row r="705" spans="1:17" s="667" customFormat="1" ht="9" customHeight="1" x14ac:dyDescent="0.25">
      <c r="A705" s="667" t="s">
        <v>47</v>
      </c>
      <c r="C705" s="679">
        <f t="shared" si="37"/>
        <v>16807</v>
      </c>
      <c r="D705" s="679">
        <v>566</v>
      </c>
      <c r="E705" s="679">
        <v>2568</v>
      </c>
      <c r="F705" s="679">
        <v>2207</v>
      </c>
      <c r="G705" s="679">
        <v>4819</v>
      </c>
      <c r="H705" s="679">
        <v>1560</v>
      </c>
      <c r="I705" s="679">
        <v>1235</v>
      </c>
      <c r="J705" s="679">
        <v>518</v>
      </c>
      <c r="K705" s="679">
        <v>275</v>
      </c>
      <c r="L705" s="679">
        <v>176</v>
      </c>
      <c r="M705" s="679">
        <v>1970</v>
      </c>
      <c r="N705" s="679">
        <v>913</v>
      </c>
      <c r="Q705" s="679"/>
    </row>
    <row r="706" spans="1:17" s="667" customFormat="1" ht="9" customHeight="1" x14ac:dyDescent="0.25">
      <c r="A706" s="667" t="s">
        <v>48</v>
      </c>
      <c r="C706" s="679">
        <f t="shared" si="37"/>
        <v>13263</v>
      </c>
      <c r="D706" s="679">
        <v>365</v>
      </c>
      <c r="E706" s="679">
        <v>1569</v>
      </c>
      <c r="F706" s="679">
        <v>2870</v>
      </c>
      <c r="G706" s="679">
        <v>3173</v>
      </c>
      <c r="H706" s="679">
        <v>978</v>
      </c>
      <c r="I706" s="679">
        <v>1020</v>
      </c>
      <c r="J706" s="679">
        <v>364</v>
      </c>
      <c r="K706" s="679">
        <v>395</v>
      </c>
      <c r="L706" s="679">
        <v>196</v>
      </c>
      <c r="M706" s="679">
        <v>1520</v>
      </c>
      <c r="N706" s="679">
        <v>813</v>
      </c>
      <c r="Q706" s="679"/>
    </row>
    <row r="707" spans="1:17" s="667" customFormat="1" ht="9" customHeight="1" x14ac:dyDescent="0.25">
      <c r="A707" s="671" t="s">
        <v>49</v>
      </c>
      <c r="B707" s="671"/>
      <c r="C707" s="683">
        <f t="shared" si="37"/>
        <v>19334</v>
      </c>
      <c r="D707" s="683">
        <v>452</v>
      </c>
      <c r="E707" s="683">
        <v>2581</v>
      </c>
      <c r="F707" s="683">
        <v>3520</v>
      </c>
      <c r="G707" s="683">
        <v>5342</v>
      </c>
      <c r="H707" s="683">
        <v>1370</v>
      </c>
      <c r="I707" s="683">
        <v>1553</v>
      </c>
      <c r="J707" s="683">
        <v>627</v>
      </c>
      <c r="K707" s="683">
        <v>381</v>
      </c>
      <c r="L707" s="683">
        <v>229</v>
      </c>
      <c r="M707" s="683">
        <v>2265</v>
      </c>
      <c r="N707" s="683">
        <v>1014</v>
      </c>
      <c r="Q707" s="679"/>
    </row>
    <row r="708" spans="1:17" s="667" customFormat="1" ht="9" customHeight="1" x14ac:dyDescent="0.25">
      <c r="A708" s="667" t="s">
        <v>50</v>
      </c>
      <c r="C708" s="679">
        <f t="shared" si="37"/>
        <v>6602</v>
      </c>
      <c r="D708" s="679">
        <v>109</v>
      </c>
      <c r="E708" s="679">
        <v>810</v>
      </c>
      <c r="F708" s="679">
        <v>1494</v>
      </c>
      <c r="G708" s="679">
        <v>1434</v>
      </c>
      <c r="H708" s="679">
        <v>590</v>
      </c>
      <c r="I708" s="679">
        <v>656</v>
      </c>
      <c r="J708" s="679">
        <v>264</v>
      </c>
      <c r="K708" s="679">
        <v>151</v>
      </c>
      <c r="L708" s="679">
        <v>102</v>
      </c>
      <c r="M708" s="679">
        <v>588</v>
      </c>
      <c r="N708" s="679">
        <v>404</v>
      </c>
      <c r="Q708" s="679"/>
    </row>
    <row r="709" spans="1:17" s="667" customFormat="1" ht="9" customHeight="1" x14ac:dyDescent="0.25">
      <c r="A709" s="667" t="s">
        <v>51</v>
      </c>
      <c r="C709" s="679">
        <f t="shared" si="37"/>
        <v>53749</v>
      </c>
      <c r="D709" s="679">
        <v>1448</v>
      </c>
      <c r="E709" s="679">
        <v>6472</v>
      </c>
      <c r="F709" s="679">
        <v>10587</v>
      </c>
      <c r="G709" s="679">
        <v>14257</v>
      </c>
      <c r="H709" s="679">
        <v>4344</v>
      </c>
      <c r="I709" s="679">
        <v>5654</v>
      </c>
      <c r="J709" s="679">
        <v>1941</v>
      </c>
      <c r="K709" s="679">
        <v>851</v>
      </c>
      <c r="L709" s="679">
        <v>660</v>
      </c>
      <c r="M709" s="679">
        <v>4502</v>
      </c>
      <c r="N709" s="679">
        <v>3033</v>
      </c>
      <c r="Q709" s="679"/>
    </row>
    <row r="710" spans="1:17" s="673" customFormat="1" ht="9" customHeight="1" x14ac:dyDescent="0.25">
      <c r="A710" s="673" t="s">
        <v>52</v>
      </c>
      <c r="C710" s="684">
        <f t="shared" si="37"/>
        <v>13080</v>
      </c>
      <c r="D710" s="684">
        <v>344</v>
      </c>
      <c r="E710" s="684">
        <v>1524</v>
      </c>
      <c r="F710" s="684">
        <v>1781</v>
      </c>
      <c r="G710" s="684">
        <v>3712</v>
      </c>
      <c r="H710" s="684">
        <v>1229</v>
      </c>
      <c r="I710" s="684">
        <v>1657</v>
      </c>
      <c r="J710" s="684">
        <v>603</v>
      </c>
      <c r="K710" s="684">
        <v>178</v>
      </c>
      <c r="L710" s="684">
        <v>142</v>
      </c>
      <c r="M710" s="684">
        <v>851</v>
      </c>
      <c r="N710" s="684">
        <v>1059</v>
      </c>
      <c r="Q710" s="679"/>
    </row>
    <row r="711" spans="1:17" s="667" customFormat="1" ht="9" customHeight="1" x14ac:dyDescent="0.25">
      <c r="A711" s="671" t="s">
        <v>53</v>
      </c>
      <c r="B711" s="671"/>
      <c r="C711" s="683">
        <f t="shared" si="37"/>
        <v>9608</v>
      </c>
      <c r="D711" s="683">
        <v>152</v>
      </c>
      <c r="E711" s="683">
        <v>1215</v>
      </c>
      <c r="F711" s="683">
        <v>1584</v>
      </c>
      <c r="G711" s="683">
        <v>2253</v>
      </c>
      <c r="H711" s="683">
        <v>970</v>
      </c>
      <c r="I711" s="683">
        <v>773</v>
      </c>
      <c r="J711" s="683">
        <v>329</v>
      </c>
      <c r="K711" s="683">
        <v>162</v>
      </c>
      <c r="L711" s="683">
        <v>106</v>
      </c>
      <c r="M711" s="683">
        <v>1432</v>
      </c>
      <c r="N711" s="683">
        <v>632</v>
      </c>
      <c r="Q711" s="679"/>
    </row>
    <row r="712" spans="1:17" s="667" customFormat="1" ht="9" customHeight="1" x14ac:dyDescent="0.25">
      <c r="A712" s="664" t="s">
        <v>434</v>
      </c>
      <c r="B712" s="664"/>
      <c r="C712" s="679">
        <f t="shared" si="37"/>
        <v>1329</v>
      </c>
      <c r="D712" s="679">
        <v>13</v>
      </c>
      <c r="E712" s="679">
        <v>161</v>
      </c>
      <c r="F712" s="679">
        <v>89</v>
      </c>
      <c r="G712" s="679">
        <v>403</v>
      </c>
      <c r="H712" s="679">
        <v>65</v>
      </c>
      <c r="I712" s="679">
        <v>65</v>
      </c>
      <c r="J712" s="679">
        <v>13</v>
      </c>
      <c r="K712" s="679">
        <v>1</v>
      </c>
      <c r="L712" s="679">
        <v>3</v>
      </c>
      <c r="M712" s="679">
        <v>483</v>
      </c>
      <c r="N712" s="679">
        <v>33</v>
      </c>
      <c r="Q712" s="679"/>
    </row>
    <row r="713" spans="1:17" s="667" customFormat="1" ht="9" customHeight="1" x14ac:dyDescent="0.25">
      <c r="A713" s="664"/>
      <c r="B713" s="664"/>
      <c r="C713" s="679"/>
      <c r="D713" s="679"/>
      <c r="E713" s="679"/>
      <c r="F713" s="679"/>
      <c r="G713" s="679"/>
      <c r="H713" s="679"/>
      <c r="I713" s="679"/>
      <c r="J713" s="679"/>
      <c r="K713" s="679"/>
      <c r="L713" s="679"/>
      <c r="M713" s="679"/>
      <c r="N713" s="679"/>
    </row>
    <row r="714" spans="1:17" s="667" customFormat="1" ht="9" customHeight="1" x14ac:dyDescent="0.15">
      <c r="A714" s="687">
        <v>2017</v>
      </c>
      <c r="B714" s="664"/>
      <c r="C714" s="665"/>
      <c r="D714" s="665"/>
      <c r="E714" s="665"/>
      <c r="F714" s="666"/>
      <c r="G714" s="666"/>
      <c r="H714" s="666"/>
      <c r="I714" s="666"/>
      <c r="J714" s="665"/>
      <c r="K714" s="665"/>
      <c r="L714" s="665"/>
      <c r="M714" s="665"/>
      <c r="N714" s="665"/>
    </row>
    <row r="715" spans="1:17" s="668" customFormat="1" ht="9" customHeight="1" x14ac:dyDescent="0.25">
      <c r="A715" s="668" t="s">
        <v>13</v>
      </c>
      <c r="C715" s="682">
        <f t="shared" ref="C715:N715" si="38">SUM(C717:C750)</f>
        <v>703047</v>
      </c>
      <c r="D715" s="682">
        <f t="shared" si="38"/>
        <v>15955</v>
      </c>
      <c r="E715" s="682">
        <f t="shared" si="38"/>
        <v>90572</v>
      </c>
      <c r="F715" s="682">
        <f t="shared" si="38"/>
        <v>123151</v>
      </c>
      <c r="G715" s="682">
        <f t="shared" si="38"/>
        <v>180551</v>
      </c>
      <c r="H715" s="682">
        <f t="shared" si="38"/>
        <v>59254</v>
      </c>
      <c r="I715" s="682">
        <f t="shared" si="38"/>
        <v>67542</v>
      </c>
      <c r="J715" s="682">
        <f t="shared" si="38"/>
        <v>23749</v>
      </c>
      <c r="K715" s="682">
        <f t="shared" si="38"/>
        <v>13060</v>
      </c>
      <c r="L715" s="682">
        <f t="shared" si="38"/>
        <v>9259</v>
      </c>
      <c r="M715" s="682">
        <f t="shared" si="38"/>
        <v>80400</v>
      </c>
      <c r="N715" s="682">
        <f t="shared" si="38"/>
        <v>39554</v>
      </c>
      <c r="O715" s="682"/>
      <c r="Q715" s="679"/>
    </row>
    <row r="716" spans="1:17" s="668" customFormat="1" ht="5.25" customHeight="1" x14ac:dyDescent="0.25">
      <c r="C716" s="682"/>
      <c r="D716" s="682"/>
      <c r="E716" s="682"/>
      <c r="F716" s="682"/>
      <c r="G716" s="682"/>
      <c r="H716" s="682"/>
      <c r="I716" s="682"/>
      <c r="J716" s="682"/>
      <c r="K716" s="682"/>
      <c r="L716" s="682"/>
      <c r="M716" s="682"/>
      <c r="N716" s="682"/>
      <c r="Q716" s="682"/>
    </row>
    <row r="717" spans="1:17" s="667" customFormat="1" ht="9" customHeight="1" x14ac:dyDescent="0.25">
      <c r="A717" s="667" t="s">
        <v>23</v>
      </c>
      <c r="C717" s="679">
        <f t="shared" ref="C717:C750" si="39">SUM(D717:N717)</f>
        <v>6158</v>
      </c>
      <c r="D717" s="679">
        <v>98</v>
      </c>
      <c r="E717" s="679">
        <v>903</v>
      </c>
      <c r="F717" s="679">
        <v>1015</v>
      </c>
      <c r="G717" s="679">
        <v>1389</v>
      </c>
      <c r="H717" s="679">
        <v>699</v>
      </c>
      <c r="I717" s="679">
        <v>572</v>
      </c>
      <c r="J717" s="679">
        <v>234</v>
      </c>
      <c r="K717" s="679">
        <v>143</v>
      </c>
      <c r="L717" s="679">
        <v>107</v>
      </c>
      <c r="M717" s="679">
        <v>640</v>
      </c>
      <c r="N717" s="679">
        <v>358</v>
      </c>
      <c r="O717" s="679"/>
      <c r="P717" s="668"/>
      <c r="Q717" s="679"/>
    </row>
    <row r="718" spans="1:17" s="667" customFormat="1" ht="9" customHeight="1" x14ac:dyDescent="0.25">
      <c r="A718" s="667" t="s">
        <v>24</v>
      </c>
      <c r="C718" s="679">
        <f t="shared" si="39"/>
        <v>19073</v>
      </c>
      <c r="D718" s="679">
        <v>893</v>
      </c>
      <c r="E718" s="679">
        <v>2534</v>
      </c>
      <c r="F718" s="679">
        <v>2804</v>
      </c>
      <c r="G718" s="679">
        <v>4649</v>
      </c>
      <c r="H718" s="679">
        <v>1455</v>
      </c>
      <c r="I718" s="679">
        <v>1566</v>
      </c>
      <c r="J718" s="679">
        <v>671</v>
      </c>
      <c r="K718" s="679">
        <v>241</v>
      </c>
      <c r="L718" s="679">
        <v>223</v>
      </c>
      <c r="M718" s="679">
        <v>3108</v>
      </c>
      <c r="N718" s="679">
        <v>929</v>
      </c>
      <c r="P718" s="668"/>
      <c r="Q718" s="679"/>
    </row>
    <row r="719" spans="1:17" s="667" customFormat="1" ht="9" customHeight="1" x14ac:dyDescent="0.25">
      <c r="A719" s="667" t="s">
        <v>25</v>
      </c>
      <c r="C719" s="679">
        <f t="shared" si="39"/>
        <v>3826</v>
      </c>
      <c r="D719" s="679">
        <v>102</v>
      </c>
      <c r="E719" s="679">
        <v>557</v>
      </c>
      <c r="F719" s="679">
        <v>453</v>
      </c>
      <c r="G719" s="679">
        <v>824</v>
      </c>
      <c r="H719" s="679">
        <v>247</v>
      </c>
      <c r="I719" s="679">
        <v>298</v>
      </c>
      <c r="J719" s="679">
        <v>86</v>
      </c>
      <c r="K719" s="679">
        <v>68</v>
      </c>
      <c r="L719" s="679">
        <v>59</v>
      </c>
      <c r="M719" s="679">
        <v>958</v>
      </c>
      <c r="N719" s="679">
        <v>174</v>
      </c>
      <c r="Q719" s="679"/>
    </row>
    <row r="720" spans="1:17" s="667" customFormat="1" ht="9" customHeight="1" x14ac:dyDescent="0.25">
      <c r="A720" s="671" t="s">
        <v>26</v>
      </c>
      <c r="B720" s="671"/>
      <c r="C720" s="683">
        <f t="shared" si="39"/>
        <v>4631</v>
      </c>
      <c r="D720" s="683">
        <v>152</v>
      </c>
      <c r="E720" s="683">
        <v>583</v>
      </c>
      <c r="F720" s="683">
        <v>812</v>
      </c>
      <c r="G720" s="683">
        <v>1077</v>
      </c>
      <c r="H720" s="683">
        <v>355</v>
      </c>
      <c r="I720" s="683">
        <v>461</v>
      </c>
      <c r="J720" s="683">
        <v>207</v>
      </c>
      <c r="K720" s="683">
        <v>118</v>
      </c>
      <c r="L720" s="683">
        <v>64</v>
      </c>
      <c r="M720" s="683">
        <v>448</v>
      </c>
      <c r="N720" s="683">
        <v>354</v>
      </c>
      <c r="Q720" s="679"/>
    </row>
    <row r="721" spans="1:17" s="667" customFormat="1" ht="9" customHeight="1" x14ac:dyDescent="0.25">
      <c r="A721" s="667" t="s">
        <v>27</v>
      </c>
      <c r="C721" s="679">
        <f t="shared" si="39"/>
        <v>16660</v>
      </c>
      <c r="D721" s="679">
        <v>308</v>
      </c>
      <c r="E721" s="679">
        <v>2269</v>
      </c>
      <c r="F721" s="679">
        <v>3179</v>
      </c>
      <c r="G721" s="679">
        <v>4833</v>
      </c>
      <c r="H721" s="679">
        <v>1096</v>
      </c>
      <c r="I721" s="679">
        <v>1407</v>
      </c>
      <c r="J721" s="679">
        <v>558</v>
      </c>
      <c r="K721" s="679">
        <v>388</v>
      </c>
      <c r="L721" s="679">
        <v>242</v>
      </c>
      <c r="M721" s="679">
        <v>1391</v>
      </c>
      <c r="N721" s="679">
        <v>989</v>
      </c>
      <c r="Q721" s="679"/>
    </row>
    <row r="722" spans="1:17" s="667" customFormat="1" ht="9" customHeight="1" x14ac:dyDescent="0.25">
      <c r="A722" s="667" t="s">
        <v>28</v>
      </c>
      <c r="C722" s="679">
        <f t="shared" si="39"/>
        <v>4593</v>
      </c>
      <c r="D722" s="679">
        <v>111</v>
      </c>
      <c r="E722" s="679">
        <v>578</v>
      </c>
      <c r="F722" s="679">
        <v>648</v>
      </c>
      <c r="G722" s="679">
        <v>1070</v>
      </c>
      <c r="H722" s="679">
        <v>304</v>
      </c>
      <c r="I722" s="679">
        <v>420</v>
      </c>
      <c r="J722" s="679">
        <v>154</v>
      </c>
      <c r="K722" s="679">
        <v>58</v>
      </c>
      <c r="L722" s="679">
        <v>40</v>
      </c>
      <c r="M722" s="679">
        <v>994</v>
      </c>
      <c r="N722" s="679">
        <v>216</v>
      </c>
      <c r="Q722" s="679"/>
    </row>
    <row r="723" spans="1:17" s="667" customFormat="1" ht="9" customHeight="1" x14ac:dyDescent="0.25">
      <c r="A723" s="667" t="s">
        <v>29</v>
      </c>
      <c r="C723" s="679">
        <f t="shared" si="39"/>
        <v>26986</v>
      </c>
      <c r="D723" s="679">
        <v>976</v>
      </c>
      <c r="E723" s="679">
        <v>3356</v>
      </c>
      <c r="F723" s="679">
        <v>4469</v>
      </c>
      <c r="G723" s="679">
        <v>5473</v>
      </c>
      <c r="H723" s="679">
        <v>2207</v>
      </c>
      <c r="I723" s="679">
        <v>2877</v>
      </c>
      <c r="J723" s="679">
        <v>1052</v>
      </c>
      <c r="K723" s="679">
        <v>869</v>
      </c>
      <c r="L723" s="679">
        <v>454</v>
      </c>
      <c r="M723" s="679">
        <v>2007</v>
      </c>
      <c r="N723" s="679">
        <v>3246</v>
      </c>
      <c r="Q723" s="679"/>
    </row>
    <row r="724" spans="1:17" s="667" customFormat="1" ht="9" customHeight="1" x14ac:dyDescent="0.25">
      <c r="A724" s="671" t="s">
        <v>30</v>
      </c>
      <c r="B724" s="671"/>
      <c r="C724" s="683">
        <f t="shared" si="39"/>
        <v>23802</v>
      </c>
      <c r="D724" s="683">
        <v>605</v>
      </c>
      <c r="E724" s="683">
        <v>3213</v>
      </c>
      <c r="F724" s="683">
        <v>3309</v>
      </c>
      <c r="G724" s="683">
        <v>5879</v>
      </c>
      <c r="H724" s="683">
        <v>1815</v>
      </c>
      <c r="I724" s="683">
        <v>2049</v>
      </c>
      <c r="J724" s="683">
        <v>724</v>
      </c>
      <c r="K724" s="683">
        <v>459</v>
      </c>
      <c r="L724" s="683">
        <v>259</v>
      </c>
      <c r="M724" s="683">
        <v>4219</v>
      </c>
      <c r="N724" s="683">
        <v>1271</v>
      </c>
      <c r="Q724" s="679"/>
    </row>
    <row r="725" spans="1:17" s="667" customFormat="1" ht="9" customHeight="1" x14ac:dyDescent="0.25">
      <c r="A725" s="667" t="s">
        <v>171</v>
      </c>
      <c r="C725" s="679">
        <f t="shared" si="39"/>
        <v>61984</v>
      </c>
      <c r="D725" s="679">
        <v>1170</v>
      </c>
      <c r="E725" s="679">
        <v>9163</v>
      </c>
      <c r="F725" s="679">
        <v>10956</v>
      </c>
      <c r="G725" s="679">
        <v>18186</v>
      </c>
      <c r="H725" s="679">
        <v>5723</v>
      </c>
      <c r="I725" s="679">
        <v>6386</v>
      </c>
      <c r="J725" s="679">
        <v>2457</v>
      </c>
      <c r="K725" s="679">
        <v>704</v>
      </c>
      <c r="L725" s="679">
        <v>641</v>
      </c>
      <c r="M725" s="679">
        <v>3851</v>
      </c>
      <c r="N725" s="679">
        <v>2747</v>
      </c>
      <c r="Q725" s="679"/>
    </row>
    <row r="726" spans="1:17" s="667" customFormat="1" ht="9" customHeight="1" x14ac:dyDescent="0.25">
      <c r="A726" s="667" t="s">
        <v>31</v>
      </c>
      <c r="C726" s="679">
        <f t="shared" si="39"/>
        <v>9449</v>
      </c>
      <c r="D726" s="679">
        <v>136</v>
      </c>
      <c r="E726" s="679">
        <v>1193</v>
      </c>
      <c r="F726" s="679">
        <v>1408</v>
      </c>
      <c r="G726" s="679">
        <v>2853</v>
      </c>
      <c r="H726" s="679">
        <v>880</v>
      </c>
      <c r="I726" s="679">
        <v>784</v>
      </c>
      <c r="J726" s="679">
        <v>264</v>
      </c>
      <c r="K726" s="679">
        <v>261</v>
      </c>
      <c r="L726" s="679">
        <v>124</v>
      </c>
      <c r="M726" s="679">
        <v>1068</v>
      </c>
      <c r="N726" s="679">
        <v>478</v>
      </c>
      <c r="Q726" s="679"/>
    </row>
    <row r="727" spans="1:17" s="667" customFormat="1" ht="9" customHeight="1" x14ac:dyDescent="0.25">
      <c r="A727" s="667" t="s">
        <v>32</v>
      </c>
      <c r="C727" s="679">
        <f t="shared" si="39"/>
        <v>34794</v>
      </c>
      <c r="D727" s="679">
        <v>514</v>
      </c>
      <c r="E727" s="679">
        <v>3852</v>
      </c>
      <c r="F727" s="679">
        <v>6693</v>
      </c>
      <c r="G727" s="679">
        <v>9142</v>
      </c>
      <c r="H727" s="679">
        <v>3025</v>
      </c>
      <c r="I727" s="679">
        <v>3092</v>
      </c>
      <c r="J727" s="679">
        <v>1074</v>
      </c>
      <c r="K727" s="679">
        <v>584</v>
      </c>
      <c r="L727" s="679">
        <v>493</v>
      </c>
      <c r="M727" s="679">
        <v>4677</v>
      </c>
      <c r="N727" s="679">
        <v>1648</v>
      </c>
      <c r="Q727" s="679"/>
    </row>
    <row r="728" spans="1:17" s="667" customFormat="1" ht="9" customHeight="1" x14ac:dyDescent="0.25">
      <c r="A728" s="671" t="s">
        <v>33</v>
      </c>
      <c r="B728" s="671"/>
      <c r="C728" s="683">
        <f t="shared" si="39"/>
        <v>19910</v>
      </c>
      <c r="D728" s="683">
        <v>414</v>
      </c>
      <c r="E728" s="683">
        <v>2101</v>
      </c>
      <c r="F728" s="683">
        <v>3715</v>
      </c>
      <c r="G728" s="683">
        <v>4658</v>
      </c>
      <c r="H728" s="683">
        <v>1262</v>
      </c>
      <c r="I728" s="683">
        <v>1566</v>
      </c>
      <c r="J728" s="683">
        <v>554</v>
      </c>
      <c r="K728" s="683">
        <v>322</v>
      </c>
      <c r="L728" s="683">
        <v>236</v>
      </c>
      <c r="M728" s="683">
        <v>3717</v>
      </c>
      <c r="N728" s="683">
        <v>1365</v>
      </c>
      <c r="Q728" s="679"/>
    </row>
    <row r="729" spans="1:17" s="667" customFormat="1" ht="9" customHeight="1" x14ac:dyDescent="0.25">
      <c r="A729" s="667" t="s">
        <v>34</v>
      </c>
      <c r="C729" s="679">
        <f t="shared" si="39"/>
        <v>15675</v>
      </c>
      <c r="D729" s="679">
        <v>254</v>
      </c>
      <c r="E729" s="679">
        <v>2007</v>
      </c>
      <c r="F729" s="679">
        <v>2747</v>
      </c>
      <c r="G729" s="679">
        <v>4548</v>
      </c>
      <c r="H729" s="679">
        <v>1292</v>
      </c>
      <c r="I729" s="679">
        <v>1691</v>
      </c>
      <c r="J729" s="679">
        <v>494</v>
      </c>
      <c r="K729" s="679">
        <v>266</v>
      </c>
      <c r="L729" s="679">
        <v>161</v>
      </c>
      <c r="M729" s="679">
        <v>1459</v>
      </c>
      <c r="N729" s="679">
        <v>756</v>
      </c>
      <c r="Q729" s="679"/>
    </row>
    <row r="730" spans="1:17" s="667" customFormat="1" ht="9" customHeight="1" x14ac:dyDescent="0.25">
      <c r="A730" s="667" t="s">
        <v>35</v>
      </c>
      <c r="C730" s="679">
        <f t="shared" si="39"/>
        <v>46224</v>
      </c>
      <c r="D730" s="679">
        <v>1081</v>
      </c>
      <c r="E730" s="679">
        <v>6355</v>
      </c>
      <c r="F730" s="679">
        <v>7450</v>
      </c>
      <c r="G730" s="679">
        <v>11244</v>
      </c>
      <c r="H730" s="679">
        <v>5145</v>
      </c>
      <c r="I730" s="679">
        <v>4226</v>
      </c>
      <c r="J730" s="679">
        <v>1769</v>
      </c>
      <c r="K730" s="679">
        <v>859</v>
      </c>
      <c r="L730" s="679">
        <v>623</v>
      </c>
      <c r="M730" s="679">
        <v>5038</v>
      </c>
      <c r="N730" s="679">
        <v>2434</v>
      </c>
      <c r="Q730" s="679"/>
    </row>
    <row r="731" spans="1:17" s="667" customFormat="1" ht="9" customHeight="1" x14ac:dyDescent="0.25">
      <c r="A731" s="667" t="s">
        <v>36</v>
      </c>
      <c r="C731" s="679">
        <f t="shared" si="39"/>
        <v>83780</v>
      </c>
      <c r="D731" s="679">
        <v>1416</v>
      </c>
      <c r="E731" s="679">
        <v>10641</v>
      </c>
      <c r="F731" s="679">
        <v>17087</v>
      </c>
      <c r="G731" s="679">
        <v>20309</v>
      </c>
      <c r="H731" s="679">
        <v>6984</v>
      </c>
      <c r="I731" s="679">
        <v>9420</v>
      </c>
      <c r="J731" s="679">
        <v>2918</v>
      </c>
      <c r="K731" s="679">
        <v>1891</v>
      </c>
      <c r="L731" s="679">
        <v>1268</v>
      </c>
      <c r="M731" s="679">
        <v>8231</v>
      </c>
      <c r="N731" s="679">
        <v>3615</v>
      </c>
      <c r="Q731" s="679"/>
    </row>
    <row r="732" spans="1:17" s="667" customFormat="1" ht="9" customHeight="1" x14ac:dyDescent="0.25">
      <c r="A732" s="671" t="s">
        <v>37</v>
      </c>
      <c r="B732" s="671"/>
      <c r="C732" s="683">
        <f t="shared" si="39"/>
        <v>27327</v>
      </c>
      <c r="D732" s="683">
        <v>429</v>
      </c>
      <c r="E732" s="683">
        <v>3423</v>
      </c>
      <c r="F732" s="683">
        <v>5196</v>
      </c>
      <c r="G732" s="683">
        <v>6740</v>
      </c>
      <c r="H732" s="683">
        <v>2325</v>
      </c>
      <c r="I732" s="683">
        <v>2448</v>
      </c>
      <c r="J732" s="683">
        <v>776</v>
      </c>
      <c r="K732" s="683">
        <v>380</v>
      </c>
      <c r="L732" s="683">
        <v>312</v>
      </c>
      <c r="M732" s="683">
        <v>3862</v>
      </c>
      <c r="N732" s="683">
        <v>1436</v>
      </c>
      <c r="Q732" s="679"/>
    </row>
    <row r="733" spans="1:17" s="667" customFormat="1" ht="9" customHeight="1" x14ac:dyDescent="0.25">
      <c r="A733" s="667" t="s">
        <v>38</v>
      </c>
      <c r="C733" s="679">
        <f t="shared" si="39"/>
        <v>12353</v>
      </c>
      <c r="D733" s="679">
        <v>242</v>
      </c>
      <c r="E733" s="679">
        <v>1591</v>
      </c>
      <c r="F733" s="679">
        <v>2473</v>
      </c>
      <c r="G733" s="679">
        <v>2919</v>
      </c>
      <c r="H733" s="679">
        <v>1012</v>
      </c>
      <c r="I733" s="679">
        <v>1367</v>
      </c>
      <c r="J733" s="679">
        <v>465</v>
      </c>
      <c r="K733" s="679">
        <v>187</v>
      </c>
      <c r="L733" s="679">
        <v>169</v>
      </c>
      <c r="M733" s="679">
        <v>1320</v>
      </c>
      <c r="N733" s="679">
        <v>608</v>
      </c>
      <c r="Q733" s="679"/>
    </row>
    <row r="734" spans="1:17" s="667" customFormat="1" ht="9" customHeight="1" x14ac:dyDescent="0.25">
      <c r="A734" s="667" t="s">
        <v>39</v>
      </c>
      <c r="C734" s="679">
        <f t="shared" si="39"/>
        <v>6976</v>
      </c>
      <c r="D734" s="679">
        <v>214</v>
      </c>
      <c r="E734" s="679">
        <v>996</v>
      </c>
      <c r="F734" s="679">
        <v>1091</v>
      </c>
      <c r="G734" s="679">
        <v>1805</v>
      </c>
      <c r="H734" s="679">
        <v>648</v>
      </c>
      <c r="I734" s="679">
        <v>517</v>
      </c>
      <c r="J734" s="679">
        <v>225</v>
      </c>
      <c r="K734" s="679">
        <v>101</v>
      </c>
      <c r="L734" s="679">
        <v>82</v>
      </c>
      <c r="M734" s="679">
        <v>964</v>
      </c>
      <c r="N734" s="679">
        <v>333</v>
      </c>
      <c r="Q734" s="679"/>
    </row>
    <row r="735" spans="1:17" s="667" customFormat="1" ht="9" customHeight="1" x14ac:dyDescent="0.25">
      <c r="A735" s="667" t="s">
        <v>40</v>
      </c>
      <c r="C735" s="679">
        <f t="shared" si="39"/>
        <v>26920</v>
      </c>
      <c r="D735" s="679">
        <v>671</v>
      </c>
      <c r="E735" s="679">
        <v>4108</v>
      </c>
      <c r="F735" s="679">
        <v>4023</v>
      </c>
      <c r="G735" s="679">
        <v>7943</v>
      </c>
      <c r="H735" s="679">
        <v>2372</v>
      </c>
      <c r="I735" s="679">
        <v>2301</v>
      </c>
      <c r="J735" s="679">
        <v>868</v>
      </c>
      <c r="K735" s="679">
        <v>490</v>
      </c>
      <c r="L735" s="679">
        <v>385</v>
      </c>
      <c r="M735" s="679">
        <v>2270</v>
      </c>
      <c r="N735" s="679">
        <v>1489</v>
      </c>
      <c r="Q735" s="679"/>
    </row>
    <row r="736" spans="1:17" s="667" customFormat="1" ht="9" customHeight="1" x14ac:dyDescent="0.25">
      <c r="A736" s="671" t="s">
        <v>41</v>
      </c>
      <c r="B736" s="671"/>
      <c r="C736" s="683">
        <f t="shared" si="39"/>
        <v>24914</v>
      </c>
      <c r="D736" s="683">
        <v>547</v>
      </c>
      <c r="E736" s="683">
        <v>2928</v>
      </c>
      <c r="F736" s="683">
        <v>4461</v>
      </c>
      <c r="G736" s="683">
        <v>6484</v>
      </c>
      <c r="H736" s="683">
        <v>1913</v>
      </c>
      <c r="I736" s="683">
        <v>2420</v>
      </c>
      <c r="J736" s="683">
        <v>800</v>
      </c>
      <c r="K736" s="683">
        <v>396</v>
      </c>
      <c r="L736" s="683">
        <v>333</v>
      </c>
      <c r="M736" s="683">
        <v>2238</v>
      </c>
      <c r="N736" s="683">
        <v>2394</v>
      </c>
      <c r="Q736" s="679"/>
    </row>
    <row r="737" spans="1:17" s="667" customFormat="1" ht="9" customHeight="1" x14ac:dyDescent="0.25">
      <c r="A737" s="667" t="s">
        <v>42</v>
      </c>
      <c r="C737" s="679">
        <f t="shared" si="39"/>
        <v>37724</v>
      </c>
      <c r="D737" s="679">
        <v>657</v>
      </c>
      <c r="E737" s="679">
        <v>4291</v>
      </c>
      <c r="F737" s="679">
        <v>7705</v>
      </c>
      <c r="G737" s="679">
        <v>9555</v>
      </c>
      <c r="H737" s="679">
        <v>3010</v>
      </c>
      <c r="I737" s="679">
        <v>4446</v>
      </c>
      <c r="J737" s="679">
        <v>1247</v>
      </c>
      <c r="K737" s="679">
        <v>925</v>
      </c>
      <c r="L737" s="679">
        <v>697</v>
      </c>
      <c r="M737" s="679">
        <v>3169</v>
      </c>
      <c r="N737" s="679">
        <v>2022</v>
      </c>
      <c r="Q737" s="679"/>
    </row>
    <row r="738" spans="1:17" s="667" customFormat="1" ht="9" customHeight="1" x14ac:dyDescent="0.25">
      <c r="A738" s="667" t="s">
        <v>43</v>
      </c>
      <c r="C738" s="679">
        <f t="shared" si="39"/>
        <v>10361</v>
      </c>
      <c r="D738" s="679">
        <v>222</v>
      </c>
      <c r="E738" s="679">
        <v>1415</v>
      </c>
      <c r="F738" s="679">
        <v>1560</v>
      </c>
      <c r="G738" s="679">
        <v>2631</v>
      </c>
      <c r="H738" s="679">
        <v>903</v>
      </c>
      <c r="I738" s="679">
        <v>1260</v>
      </c>
      <c r="J738" s="679">
        <v>399</v>
      </c>
      <c r="K738" s="679">
        <v>193</v>
      </c>
      <c r="L738" s="679">
        <v>173</v>
      </c>
      <c r="M738" s="679">
        <v>1007</v>
      </c>
      <c r="N738" s="679">
        <v>598</v>
      </c>
      <c r="Q738" s="679"/>
    </row>
    <row r="739" spans="1:17" s="667" customFormat="1" ht="9" customHeight="1" x14ac:dyDescent="0.25">
      <c r="A739" s="667" t="s">
        <v>44</v>
      </c>
      <c r="C739" s="679">
        <f t="shared" si="39"/>
        <v>6424</v>
      </c>
      <c r="D739" s="679">
        <v>296</v>
      </c>
      <c r="E739" s="679">
        <v>853</v>
      </c>
      <c r="F739" s="679">
        <v>980</v>
      </c>
      <c r="G739" s="679">
        <v>1221</v>
      </c>
      <c r="H739" s="679">
        <v>446</v>
      </c>
      <c r="I739" s="679">
        <v>730</v>
      </c>
      <c r="J739" s="679">
        <v>199</v>
      </c>
      <c r="K739" s="679">
        <v>131</v>
      </c>
      <c r="L739" s="679">
        <v>144</v>
      </c>
      <c r="M739" s="679">
        <v>1011</v>
      </c>
      <c r="N739" s="679">
        <v>413</v>
      </c>
      <c r="Q739" s="679"/>
    </row>
    <row r="740" spans="1:17" s="667" customFormat="1" ht="9" customHeight="1" x14ac:dyDescent="0.25">
      <c r="A740" s="671" t="s">
        <v>45</v>
      </c>
      <c r="B740" s="671"/>
      <c r="C740" s="683">
        <f t="shared" si="39"/>
        <v>16149</v>
      </c>
      <c r="D740" s="683">
        <v>300</v>
      </c>
      <c r="E740" s="683">
        <v>2036</v>
      </c>
      <c r="F740" s="683">
        <v>2722</v>
      </c>
      <c r="G740" s="683">
        <v>4284</v>
      </c>
      <c r="H740" s="683">
        <v>1594</v>
      </c>
      <c r="I740" s="683">
        <v>1501</v>
      </c>
      <c r="J740" s="683">
        <v>535</v>
      </c>
      <c r="K740" s="683">
        <v>217</v>
      </c>
      <c r="L740" s="683">
        <v>226</v>
      </c>
      <c r="M740" s="683">
        <v>1701</v>
      </c>
      <c r="N740" s="683">
        <v>1033</v>
      </c>
      <c r="Q740" s="679"/>
    </row>
    <row r="741" spans="1:17" s="667" customFormat="1" ht="9" customHeight="1" x14ac:dyDescent="0.25">
      <c r="A741" s="667" t="s">
        <v>46</v>
      </c>
      <c r="C741" s="679">
        <f t="shared" si="39"/>
        <v>16279</v>
      </c>
      <c r="D741" s="679">
        <v>391</v>
      </c>
      <c r="E741" s="679">
        <v>2418</v>
      </c>
      <c r="F741" s="679">
        <v>2095</v>
      </c>
      <c r="G741" s="679">
        <v>4361</v>
      </c>
      <c r="H741" s="679">
        <v>1374</v>
      </c>
      <c r="I741" s="679">
        <v>936</v>
      </c>
      <c r="J741" s="679">
        <v>418</v>
      </c>
      <c r="K741" s="679">
        <v>248</v>
      </c>
      <c r="L741" s="679">
        <v>151</v>
      </c>
      <c r="M741" s="679">
        <v>2987</v>
      </c>
      <c r="N741" s="679">
        <v>900</v>
      </c>
      <c r="Q741" s="679"/>
    </row>
    <row r="742" spans="1:17" s="667" customFormat="1" ht="9" customHeight="1" x14ac:dyDescent="0.25">
      <c r="A742" s="667" t="s">
        <v>47</v>
      </c>
      <c r="C742" s="679">
        <f t="shared" si="39"/>
        <v>16729</v>
      </c>
      <c r="D742" s="679">
        <v>560</v>
      </c>
      <c r="E742" s="679">
        <v>2516</v>
      </c>
      <c r="F742" s="679">
        <v>2227</v>
      </c>
      <c r="G742" s="679">
        <v>4861</v>
      </c>
      <c r="H742" s="679">
        <v>1528</v>
      </c>
      <c r="I742" s="679">
        <v>1177</v>
      </c>
      <c r="J742" s="679">
        <v>489</v>
      </c>
      <c r="K742" s="679">
        <v>265</v>
      </c>
      <c r="L742" s="679">
        <v>125</v>
      </c>
      <c r="M742" s="679">
        <v>2066</v>
      </c>
      <c r="N742" s="679">
        <v>915</v>
      </c>
      <c r="Q742" s="679"/>
    </row>
    <row r="743" spans="1:17" s="667" customFormat="1" ht="9" customHeight="1" x14ac:dyDescent="0.25">
      <c r="A743" s="667" t="s">
        <v>48</v>
      </c>
      <c r="C743" s="679">
        <f t="shared" si="39"/>
        <v>13016</v>
      </c>
      <c r="D743" s="679">
        <v>364</v>
      </c>
      <c r="E743" s="679">
        <v>1579</v>
      </c>
      <c r="F743" s="679">
        <v>2965</v>
      </c>
      <c r="G743" s="679">
        <v>3194</v>
      </c>
      <c r="H743" s="679">
        <v>934</v>
      </c>
      <c r="I743" s="679">
        <v>895</v>
      </c>
      <c r="J743" s="679">
        <v>416</v>
      </c>
      <c r="K743" s="679">
        <v>396</v>
      </c>
      <c r="L743" s="679">
        <v>205</v>
      </c>
      <c r="M743" s="679">
        <v>1279</v>
      </c>
      <c r="N743" s="679">
        <v>789</v>
      </c>
      <c r="Q743" s="679"/>
    </row>
    <row r="744" spans="1:17" s="667" customFormat="1" ht="9" customHeight="1" x14ac:dyDescent="0.25">
      <c r="A744" s="671" t="s">
        <v>49</v>
      </c>
      <c r="B744" s="671"/>
      <c r="C744" s="683">
        <f t="shared" si="39"/>
        <v>19587</v>
      </c>
      <c r="D744" s="683">
        <v>511</v>
      </c>
      <c r="E744" s="683">
        <v>2678</v>
      </c>
      <c r="F744" s="683">
        <v>3401</v>
      </c>
      <c r="G744" s="683">
        <v>5270</v>
      </c>
      <c r="H744" s="683">
        <v>1379</v>
      </c>
      <c r="I744" s="683">
        <v>1587</v>
      </c>
      <c r="J744" s="683">
        <v>670</v>
      </c>
      <c r="K744" s="683">
        <v>395</v>
      </c>
      <c r="L744" s="683">
        <v>218</v>
      </c>
      <c r="M744" s="683">
        <v>2501</v>
      </c>
      <c r="N744" s="683">
        <v>977</v>
      </c>
      <c r="Q744" s="679"/>
    </row>
    <row r="745" spans="1:17" s="667" customFormat="1" ht="9" customHeight="1" x14ac:dyDescent="0.25">
      <c r="A745" s="667" t="s">
        <v>50</v>
      </c>
      <c r="C745" s="679">
        <f t="shared" si="39"/>
        <v>6591</v>
      </c>
      <c r="D745" s="679">
        <v>91</v>
      </c>
      <c r="E745" s="679">
        <v>774</v>
      </c>
      <c r="F745" s="679">
        <v>1507</v>
      </c>
      <c r="G745" s="679">
        <v>1513</v>
      </c>
      <c r="H745" s="679">
        <v>510</v>
      </c>
      <c r="I745" s="679">
        <v>666</v>
      </c>
      <c r="J745" s="679">
        <v>273</v>
      </c>
      <c r="K745" s="679">
        <v>148</v>
      </c>
      <c r="L745" s="679">
        <v>109</v>
      </c>
      <c r="M745" s="679">
        <v>583</v>
      </c>
      <c r="N745" s="679">
        <v>417</v>
      </c>
      <c r="Q745" s="679"/>
    </row>
    <row r="746" spans="1:17" s="667" customFormat="1" ht="9" customHeight="1" x14ac:dyDescent="0.25">
      <c r="A746" s="667" t="s">
        <v>51</v>
      </c>
      <c r="C746" s="679">
        <f t="shared" si="39"/>
        <v>52820</v>
      </c>
      <c r="D746" s="679">
        <v>1448</v>
      </c>
      <c r="E746" s="679">
        <v>6539</v>
      </c>
      <c r="F746" s="679">
        <v>10163</v>
      </c>
      <c r="G746" s="679">
        <v>14472</v>
      </c>
      <c r="H746" s="679">
        <v>4264</v>
      </c>
      <c r="I746" s="679">
        <v>5423</v>
      </c>
      <c r="J746" s="679">
        <v>1764</v>
      </c>
      <c r="K746" s="679">
        <v>829</v>
      </c>
      <c r="L746" s="679">
        <v>618</v>
      </c>
      <c r="M746" s="679">
        <v>4549</v>
      </c>
      <c r="N746" s="679">
        <v>2751</v>
      </c>
      <c r="Q746" s="679"/>
    </row>
    <row r="747" spans="1:17" s="673" customFormat="1" ht="9" customHeight="1" x14ac:dyDescent="0.25">
      <c r="A747" s="673" t="s">
        <v>52</v>
      </c>
      <c r="C747" s="684">
        <f t="shared" si="39"/>
        <v>12636</v>
      </c>
      <c r="D747" s="684">
        <v>371</v>
      </c>
      <c r="E747" s="684">
        <v>1540</v>
      </c>
      <c r="F747" s="684">
        <v>1865</v>
      </c>
      <c r="G747" s="684">
        <v>3473</v>
      </c>
      <c r="H747" s="684">
        <v>1071</v>
      </c>
      <c r="I747" s="684">
        <v>1615</v>
      </c>
      <c r="J747" s="684">
        <v>612</v>
      </c>
      <c r="K747" s="684">
        <v>186</v>
      </c>
      <c r="L747" s="684">
        <v>162</v>
      </c>
      <c r="M747" s="684">
        <v>796</v>
      </c>
      <c r="N747" s="684">
        <v>945</v>
      </c>
      <c r="P747" s="667"/>
      <c r="Q747" s="679"/>
    </row>
    <row r="748" spans="1:17" s="667" customFormat="1" ht="9" customHeight="1" x14ac:dyDescent="0.25">
      <c r="A748" s="671" t="s">
        <v>53</v>
      </c>
      <c r="B748" s="671"/>
      <c r="C748" s="683">
        <f t="shared" si="39"/>
        <v>9497</v>
      </c>
      <c r="D748" s="683">
        <v>160</v>
      </c>
      <c r="E748" s="683">
        <v>1227</v>
      </c>
      <c r="F748" s="683">
        <v>1535</v>
      </c>
      <c r="G748" s="683">
        <v>2233</v>
      </c>
      <c r="H748" s="683">
        <v>942</v>
      </c>
      <c r="I748" s="683">
        <v>763</v>
      </c>
      <c r="J748" s="683">
        <v>269</v>
      </c>
      <c r="K748" s="683">
        <v>159</v>
      </c>
      <c r="L748" s="683">
        <v>97</v>
      </c>
      <c r="M748" s="683">
        <v>1497</v>
      </c>
      <c r="N748" s="683">
        <v>615</v>
      </c>
      <c r="P748" s="673"/>
      <c r="Q748" s="679"/>
    </row>
    <row r="749" spans="1:17" s="667" customFormat="1" ht="9" customHeight="1" x14ac:dyDescent="0.25">
      <c r="A749" s="664" t="s">
        <v>434</v>
      </c>
      <c r="B749" s="664"/>
      <c r="C749" s="679">
        <f t="shared" si="39"/>
        <v>1290</v>
      </c>
      <c r="D749" s="679">
        <v>18</v>
      </c>
      <c r="E749" s="679">
        <v>154</v>
      </c>
      <c r="F749" s="679">
        <v>108</v>
      </c>
      <c r="G749" s="679">
        <v>370</v>
      </c>
      <c r="H749" s="679">
        <v>48</v>
      </c>
      <c r="I749" s="679">
        <v>72</v>
      </c>
      <c r="J749" s="679">
        <v>19</v>
      </c>
      <c r="K749" s="679">
        <v>9</v>
      </c>
      <c r="L749" s="679">
        <v>5</v>
      </c>
      <c r="M749" s="679">
        <v>451</v>
      </c>
      <c r="N749" s="679">
        <v>36</v>
      </c>
      <c r="Q749" s="679"/>
    </row>
    <row r="750" spans="1:17" s="667" customFormat="1" ht="9" customHeight="1" x14ac:dyDescent="0.25">
      <c r="A750" s="664" t="s">
        <v>54</v>
      </c>
      <c r="B750" s="664"/>
      <c r="C750" s="679">
        <f t="shared" si="39"/>
        <v>7909</v>
      </c>
      <c r="D750" s="679">
        <v>233</v>
      </c>
      <c r="E750" s="679">
        <v>201</v>
      </c>
      <c r="F750" s="679">
        <v>329</v>
      </c>
      <c r="G750" s="679">
        <v>1088</v>
      </c>
      <c r="H750" s="679">
        <v>492</v>
      </c>
      <c r="I750" s="679">
        <v>603</v>
      </c>
      <c r="J750" s="679">
        <v>89</v>
      </c>
      <c r="K750" s="679">
        <v>174</v>
      </c>
      <c r="L750" s="679">
        <v>54</v>
      </c>
      <c r="M750" s="679">
        <v>4343</v>
      </c>
      <c r="N750" s="679">
        <v>303</v>
      </c>
      <c r="Q750" s="679"/>
    </row>
    <row r="751" spans="1:17" s="667" customFormat="1" ht="9" customHeight="1" x14ac:dyDescent="0.25">
      <c r="A751" s="664"/>
      <c r="B751" s="664"/>
      <c r="C751" s="679"/>
      <c r="D751" s="679"/>
      <c r="E751" s="679"/>
      <c r="F751" s="679"/>
      <c r="G751" s="679"/>
      <c r="H751" s="679"/>
      <c r="I751" s="679"/>
      <c r="J751" s="679"/>
      <c r="K751" s="679"/>
      <c r="L751" s="679"/>
      <c r="M751" s="679"/>
      <c r="N751" s="679"/>
    </row>
    <row r="752" spans="1:17" s="667" customFormat="1" ht="9" customHeight="1" x14ac:dyDescent="0.15">
      <c r="A752" s="687" t="s">
        <v>62</v>
      </c>
      <c r="B752" s="664"/>
      <c r="C752" s="665"/>
      <c r="D752" s="665"/>
      <c r="E752" s="665"/>
      <c r="F752" s="666"/>
      <c r="G752" s="666"/>
      <c r="H752" s="666"/>
      <c r="I752" s="666"/>
      <c r="J752" s="665"/>
      <c r="K752" s="665"/>
      <c r="L752" s="665"/>
      <c r="M752" s="665"/>
      <c r="N752" s="665"/>
    </row>
    <row r="753" spans="1:17" s="668" customFormat="1" ht="9" customHeight="1" x14ac:dyDescent="0.25">
      <c r="A753" s="668" t="s">
        <v>13</v>
      </c>
      <c r="C753" s="682">
        <f t="shared" ref="C753:N753" si="40">SUM(C755:C788)</f>
        <v>722611</v>
      </c>
      <c r="D753" s="682">
        <f t="shared" si="40"/>
        <v>18101</v>
      </c>
      <c r="E753" s="682">
        <f t="shared" si="40"/>
        <v>92372</v>
      </c>
      <c r="F753" s="682">
        <f t="shared" si="40"/>
        <v>117315</v>
      </c>
      <c r="G753" s="682">
        <f t="shared" si="40"/>
        <v>188773</v>
      </c>
      <c r="H753" s="682">
        <f t="shared" si="40"/>
        <v>66308</v>
      </c>
      <c r="I753" s="682">
        <f t="shared" si="40"/>
        <v>68584</v>
      </c>
      <c r="J753" s="682">
        <f t="shared" si="40"/>
        <v>25405</v>
      </c>
      <c r="K753" s="682">
        <f t="shared" si="40"/>
        <v>12099</v>
      </c>
      <c r="L753" s="682">
        <f t="shared" si="40"/>
        <v>9010</v>
      </c>
      <c r="M753" s="682">
        <f t="shared" si="40"/>
        <v>83749</v>
      </c>
      <c r="N753" s="682">
        <f t="shared" si="40"/>
        <v>40895</v>
      </c>
      <c r="O753" s="682"/>
      <c r="Q753" s="679"/>
    </row>
    <row r="754" spans="1:17" s="668" customFormat="1" ht="5.25" customHeight="1" x14ac:dyDescent="0.25">
      <c r="C754" s="682"/>
      <c r="D754" s="682"/>
      <c r="E754" s="682"/>
      <c r="F754" s="682"/>
      <c r="G754" s="682"/>
      <c r="H754" s="682"/>
      <c r="I754" s="682"/>
      <c r="J754" s="682"/>
      <c r="K754" s="682"/>
      <c r="L754" s="682"/>
      <c r="M754" s="682"/>
      <c r="N754" s="682"/>
      <c r="Q754" s="679"/>
    </row>
    <row r="755" spans="1:17" s="667" customFormat="1" ht="9" customHeight="1" x14ac:dyDescent="0.25">
      <c r="A755" s="667" t="s">
        <v>23</v>
      </c>
      <c r="C755" s="679">
        <f t="shared" ref="C755:C788" si="41">SUM(D755:N755)</f>
        <v>6226</v>
      </c>
      <c r="D755" s="679">
        <v>145</v>
      </c>
      <c r="E755" s="679">
        <v>905</v>
      </c>
      <c r="F755" s="679">
        <v>909</v>
      </c>
      <c r="G755" s="679">
        <v>1456</v>
      </c>
      <c r="H755" s="679">
        <v>722</v>
      </c>
      <c r="I755" s="679">
        <v>591</v>
      </c>
      <c r="J755" s="679">
        <v>209</v>
      </c>
      <c r="K755" s="679">
        <v>110</v>
      </c>
      <c r="L755" s="679">
        <v>111</v>
      </c>
      <c r="M755" s="679">
        <v>700</v>
      </c>
      <c r="N755" s="679">
        <v>368</v>
      </c>
      <c r="O755" s="679"/>
      <c r="P755" s="668"/>
      <c r="Q755" s="679"/>
    </row>
    <row r="756" spans="1:17" s="667" customFormat="1" ht="9" customHeight="1" x14ac:dyDescent="0.25">
      <c r="A756" s="667" t="s">
        <v>24</v>
      </c>
      <c r="C756" s="679">
        <f t="shared" si="41"/>
        <v>20501</v>
      </c>
      <c r="D756" s="679">
        <v>983</v>
      </c>
      <c r="E756" s="679">
        <v>2684</v>
      </c>
      <c r="F756" s="679">
        <v>2645</v>
      </c>
      <c r="G756" s="679">
        <v>4978</v>
      </c>
      <c r="H756" s="679">
        <v>1782</v>
      </c>
      <c r="I756" s="679">
        <v>1598</v>
      </c>
      <c r="J756" s="679">
        <v>693</v>
      </c>
      <c r="K756" s="679">
        <v>235</v>
      </c>
      <c r="L756" s="679">
        <v>242</v>
      </c>
      <c r="M756" s="679">
        <v>3703</v>
      </c>
      <c r="N756" s="679">
        <v>958</v>
      </c>
      <c r="P756" s="668"/>
      <c r="Q756" s="679"/>
    </row>
    <row r="757" spans="1:17" s="667" customFormat="1" ht="9" customHeight="1" x14ac:dyDescent="0.25">
      <c r="A757" s="667" t="s">
        <v>25</v>
      </c>
      <c r="C757" s="679">
        <f t="shared" si="41"/>
        <v>3447</v>
      </c>
      <c r="D757" s="679">
        <v>109</v>
      </c>
      <c r="E757" s="679">
        <v>596</v>
      </c>
      <c r="F757" s="679">
        <v>462</v>
      </c>
      <c r="G757" s="679">
        <v>843</v>
      </c>
      <c r="H757" s="679">
        <v>306</v>
      </c>
      <c r="I757" s="679">
        <v>244</v>
      </c>
      <c r="J757" s="679">
        <v>125</v>
      </c>
      <c r="K757" s="679">
        <v>56</v>
      </c>
      <c r="L757" s="679">
        <v>58</v>
      </c>
      <c r="M757" s="679">
        <v>476</v>
      </c>
      <c r="N757" s="679">
        <v>172</v>
      </c>
      <c r="Q757" s="679"/>
    </row>
    <row r="758" spans="1:17" s="667" customFormat="1" ht="9" customHeight="1" x14ac:dyDescent="0.25">
      <c r="A758" s="671" t="s">
        <v>26</v>
      </c>
      <c r="B758" s="671"/>
      <c r="C758" s="683">
        <f t="shared" si="41"/>
        <v>4835</v>
      </c>
      <c r="D758" s="683">
        <v>168</v>
      </c>
      <c r="E758" s="683">
        <v>610</v>
      </c>
      <c r="F758" s="683">
        <v>834</v>
      </c>
      <c r="G758" s="683">
        <v>1153</v>
      </c>
      <c r="H758" s="683">
        <v>368</v>
      </c>
      <c r="I758" s="683">
        <v>488</v>
      </c>
      <c r="J758" s="683">
        <v>197</v>
      </c>
      <c r="K758" s="683">
        <v>106</v>
      </c>
      <c r="L758" s="683">
        <v>65</v>
      </c>
      <c r="M758" s="683">
        <v>454</v>
      </c>
      <c r="N758" s="683">
        <v>392</v>
      </c>
      <c r="Q758" s="679"/>
    </row>
    <row r="759" spans="1:17" s="667" customFormat="1" ht="9" customHeight="1" x14ac:dyDescent="0.25">
      <c r="A759" s="667" t="s">
        <v>27</v>
      </c>
      <c r="C759" s="679">
        <f t="shared" si="41"/>
        <v>17013</v>
      </c>
      <c r="D759" s="679">
        <v>425</v>
      </c>
      <c r="E759" s="679">
        <v>2274</v>
      </c>
      <c r="F759" s="679">
        <v>2857</v>
      </c>
      <c r="G759" s="679">
        <v>5022</v>
      </c>
      <c r="H759" s="679">
        <v>1338</v>
      </c>
      <c r="I759" s="679">
        <v>1491</v>
      </c>
      <c r="J759" s="679">
        <v>631</v>
      </c>
      <c r="K759" s="679">
        <v>369</v>
      </c>
      <c r="L759" s="679">
        <v>209</v>
      </c>
      <c r="M759" s="679">
        <v>1297</v>
      </c>
      <c r="N759" s="679">
        <v>1100</v>
      </c>
      <c r="Q759" s="679"/>
    </row>
    <row r="760" spans="1:17" s="667" customFormat="1" ht="9" customHeight="1" x14ac:dyDescent="0.25">
      <c r="A760" s="667" t="s">
        <v>28</v>
      </c>
      <c r="C760" s="679">
        <f t="shared" si="41"/>
        <v>4533</v>
      </c>
      <c r="D760" s="679">
        <v>139</v>
      </c>
      <c r="E760" s="679">
        <v>607</v>
      </c>
      <c r="F760" s="679">
        <v>575</v>
      </c>
      <c r="G760" s="679">
        <v>1064</v>
      </c>
      <c r="H760" s="679">
        <v>335</v>
      </c>
      <c r="I760" s="679">
        <v>397</v>
      </c>
      <c r="J760" s="679">
        <v>142</v>
      </c>
      <c r="K760" s="679">
        <v>42</v>
      </c>
      <c r="L760" s="679">
        <v>52</v>
      </c>
      <c r="M760" s="679">
        <v>939</v>
      </c>
      <c r="N760" s="679">
        <v>241</v>
      </c>
      <c r="Q760" s="679"/>
    </row>
    <row r="761" spans="1:17" s="667" customFormat="1" ht="9" customHeight="1" x14ac:dyDescent="0.25">
      <c r="A761" s="667" t="s">
        <v>29</v>
      </c>
      <c r="C761" s="679">
        <f t="shared" si="41"/>
        <v>27263</v>
      </c>
      <c r="D761" s="679">
        <v>1030</v>
      </c>
      <c r="E761" s="679">
        <v>3536</v>
      </c>
      <c r="F761" s="679">
        <v>4635</v>
      </c>
      <c r="G761" s="679">
        <v>5965</v>
      </c>
      <c r="H761" s="679">
        <v>2342</v>
      </c>
      <c r="I761" s="679">
        <v>3012</v>
      </c>
      <c r="J761" s="679">
        <v>1077</v>
      </c>
      <c r="K761" s="679">
        <v>689</v>
      </c>
      <c r="L761" s="679">
        <v>450</v>
      </c>
      <c r="M761" s="679">
        <v>1549</v>
      </c>
      <c r="N761" s="679">
        <v>2978</v>
      </c>
      <c r="Q761" s="679"/>
    </row>
    <row r="762" spans="1:17" s="667" customFormat="1" ht="9" customHeight="1" x14ac:dyDescent="0.25">
      <c r="A762" s="671" t="s">
        <v>30</v>
      </c>
      <c r="B762" s="671"/>
      <c r="C762" s="683">
        <f t="shared" si="41"/>
        <v>23836</v>
      </c>
      <c r="D762" s="683">
        <v>688</v>
      </c>
      <c r="E762" s="683">
        <v>3127</v>
      </c>
      <c r="F762" s="683">
        <v>2803</v>
      </c>
      <c r="G762" s="683">
        <v>6330</v>
      </c>
      <c r="H762" s="683">
        <v>2208</v>
      </c>
      <c r="I762" s="683">
        <v>2089</v>
      </c>
      <c r="J762" s="683">
        <v>768</v>
      </c>
      <c r="K762" s="683">
        <v>412</v>
      </c>
      <c r="L762" s="683">
        <v>246</v>
      </c>
      <c r="M762" s="683">
        <v>3832</v>
      </c>
      <c r="N762" s="683">
        <v>1333</v>
      </c>
      <c r="Q762" s="679"/>
    </row>
    <row r="763" spans="1:17" s="667" customFormat="1" ht="9" customHeight="1" x14ac:dyDescent="0.25">
      <c r="A763" s="667" t="s">
        <v>171</v>
      </c>
      <c r="C763" s="679">
        <f t="shared" si="41"/>
        <v>63213</v>
      </c>
      <c r="D763" s="679">
        <v>1464</v>
      </c>
      <c r="E763" s="679">
        <v>9174</v>
      </c>
      <c r="F763" s="679">
        <v>10158</v>
      </c>
      <c r="G763" s="679">
        <v>18622</v>
      </c>
      <c r="H763" s="679">
        <v>6610</v>
      </c>
      <c r="I763" s="679">
        <v>6460</v>
      </c>
      <c r="J763" s="679">
        <v>2650</v>
      </c>
      <c r="K763" s="679">
        <v>619</v>
      </c>
      <c r="L763" s="679">
        <v>630</v>
      </c>
      <c r="M763" s="679">
        <v>3755</v>
      </c>
      <c r="N763" s="679">
        <v>3071</v>
      </c>
      <c r="Q763" s="679"/>
    </row>
    <row r="764" spans="1:17" s="667" customFormat="1" ht="9" customHeight="1" x14ac:dyDescent="0.25">
      <c r="A764" s="667" t="s">
        <v>31</v>
      </c>
      <c r="C764" s="679">
        <f t="shared" si="41"/>
        <v>9311</v>
      </c>
      <c r="D764" s="679">
        <v>191</v>
      </c>
      <c r="E764" s="679">
        <v>1251</v>
      </c>
      <c r="F764" s="679">
        <v>1280</v>
      </c>
      <c r="G764" s="679">
        <v>2912</v>
      </c>
      <c r="H764" s="679">
        <v>969</v>
      </c>
      <c r="I764" s="679">
        <v>796</v>
      </c>
      <c r="J764" s="679">
        <v>258</v>
      </c>
      <c r="K764" s="679">
        <v>198</v>
      </c>
      <c r="L764" s="679">
        <v>99</v>
      </c>
      <c r="M764" s="679">
        <v>936</v>
      </c>
      <c r="N764" s="679">
        <v>421</v>
      </c>
      <c r="Q764" s="679"/>
    </row>
    <row r="765" spans="1:17" s="667" customFormat="1" ht="9" customHeight="1" x14ac:dyDescent="0.25">
      <c r="A765" s="667" t="s">
        <v>32</v>
      </c>
      <c r="C765" s="679">
        <f t="shared" si="41"/>
        <v>35880</v>
      </c>
      <c r="D765" s="679">
        <v>567</v>
      </c>
      <c r="E765" s="679">
        <v>3916</v>
      </c>
      <c r="F765" s="679">
        <v>6281</v>
      </c>
      <c r="G765" s="679">
        <v>9358</v>
      </c>
      <c r="H765" s="679">
        <v>3138</v>
      </c>
      <c r="I765" s="679">
        <v>3141</v>
      </c>
      <c r="J765" s="679">
        <v>1116</v>
      </c>
      <c r="K765" s="679">
        <v>579</v>
      </c>
      <c r="L765" s="679">
        <v>494</v>
      </c>
      <c r="M765" s="679">
        <v>5650</v>
      </c>
      <c r="N765" s="679">
        <v>1640</v>
      </c>
      <c r="Q765" s="679"/>
    </row>
    <row r="766" spans="1:17" s="667" customFormat="1" ht="9" customHeight="1" x14ac:dyDescent="0.25">
      <c r="A766" s="671" t="s">
        <v>33</v>
      </c>
      <c r="B766" s="671"/>
      <c r="C766" s="683">
        <f t="shared" si="41"/>
        <v>18410</v>
      </c>
      <c r="D766" s="683">
        <v>478</v>
      </c>
      <c r="E766" s="683">
        <v>2013</v>
      </c>
      <c r="F766" s="683">
        <v>3406</v>
      </c>
      <c r="G766" s="683">
        <v>4384</v>
      </c>
      <c r="H766" s="683">
        <v>1166</v>
      </c>
      <c r="I766" s="683">
        <v>1495</v>
      </c>
      <c r="J766" s="683">
        <v>574</v>
      </c>
      <c r="K766" s="683">
        <v>350</v>
      </c>
      <c r="L766" s="683">
        <v>203</v>
      </c>
      <c r="M766" s="683">
        <v>3136</v>
      </c>
      <c r="N766" s="683">
        <v>1205</v>
      </c>
      <c r="Q766" s="679"/>
    </row>
    <row r="767" spans="1:17" s="667" customFormat="1" ht="9" customHeight="1" x14ac:dyDescent="0.25">
      <c r="A767" s="667" t="s">
        <v>34</v>
      </c>
      <c r="C767" s="679">
        <f t="shared" si="41"/>
        <v>15945</v>
      </c>
      <c r="D767" s="679">
        <v>276</v>
      </c>
      <c r="E767" s="679">
        <v>2155</v>
      </c>
      <c r="F767" s="679">
        <v>2735</v>
      </c>
      <c r="G767" s="679">
        <v>4666</v>
      </c>
      <c r="H767" s="679">
        <v>1368</v>
      </c>
      <c r="I767" s="679">
        <v>1685</v>
      </c>
      <c r="J767" s="679">
        <v>497</v>
      </c>
      <c r="K767" s="679">
        <v>268</v>
      </c>
      <c r="L767" s="679">
        <v>160</v>
      </c>
      <c r="M767" s="679">
        <v>1385</v>
      </c>
      <c r="N767" s="679">
        <v>750</v>
      </c>
      <c r="Q767" s="679"/>
    </row>
    <row r="768" spans="1:17" s="667" customFormat="1" ht="9" customHeight="1" x14ac:dyDescent="0.25">
      <c r="A768" s="667" t="s">
        <v>35</v>
      </c>
      <c r="C768" s="679">
        <f t="shared" si="41"/>
        <v>47097</v>
      </c>
      <c r="D768" s="679">
        <v>1293</v>
      </c>
      <c r="E768" s="679">
        <v>6456</v>
      </c>
      <c r="F768" s="679">
        <v>6459</v>
      </c>
      <c r="G768" s="679">
        <v>11519</v>
      </c>
      <c r="H768" s="679">
        <v>5842</v>
      </c>
      <c r="I768" s="679">
        <v>4166</v>
      </c>
      <c r="J768" s="679">
        <v>1958</v>
      </c>
      <c r="K768" s="679">
        <v>762</v>
      </c>
      <c r="L768" s="679">
        <v>607</v>
      </c>
      <c r="M768" s="679">
        <v>5512</v>
      </c>
      <c r="N768" s="679">
        <v>2523</v>
      </c>
      <c r="Q768" s="679"/>
    </row>
    <row r="769" spans="1:17" s="667" customFormat="1" ht="9" customHeight="1" x14ac:dyDescent="0.25">
      <c r="A769" s="667" t="s">
        <v>36</v>
      </c>
      <c r="C769" s="679">
        <f t="shared" si="41"/>
        <v>86654</v>
      </c>
      <c r="D769" s="679">
        <v>1735</v>
      </c>
      <c r="E769" s="679">
        <v>10744</v>
      </c>
      <c r="F769" s="679">
        <v>16777</v>
      </c>
      <c r="G769" s="679">
        <v>21040</v>
      </c>
      <c r="H769" s="679">
        <v>8056</v>
      </c>
      <c r="I769" s="679">
        <v>9842</v>
      </c>
      <c r="J769" s="679">
        <v>3211</v>
      </c>
      <c r="K769" s="679">
        <v>1720</v>
      </c>
      <c r="L769" s="679">
        <v>1225</v>
      </c>
      <c r="M769" s="679">
        <v>8306</v>
      </c>
      <c r="N769" s="679">
        <v>3998</v>
      </c>
      <c r="Q769" s="679"/>
    </row>
    <row r="770" spans="1:17" s="667" customFormat="1" ht="9" customHeight="1" x14ac:dyDescent="0.25">
      <c r="A770" s="671" t="s">
        <v>37</v>
      </c>
      <c r="B770" s="671"/>
      <c r="C770" s="683">
        <f t="shared" si="41"/>
        <v>27279</v>
      </c>
      <c r="D770" s="683">
        <v>444</v>
      </c>
      <c r="E770" s="683">
        <v>3376</v>
      </c>
      <c r="F770" s="683">
        <v>4838</v>
      </c>
      <c r="G770" s="683">
        <v>6839</v>
      </c>
      <c r="H770" s="683">
        <v>2482</v>
      </c>
      <c r="I770" s="683">
        <v>2355</v>
      </c>
      <c r="J770" s="683">
        <v>865</v>
      </c>
      <c r="K770" s="683">
        <v>414</v>
      </c>
      <c r="L770" s="683">
        <v>309</v>
      </c>
      <c r="M770" s="683">
        <v>3952</v>
      </c>
      <c r="N770" s="683">
        <v>1405</v>
      </c>
      <c r="Q770" s="679"/>
    </row>
    <row r="771" spans="1:17" s="667" customFormat="1" ht="9" customHeight="1" x14ac:dyDescent="0.25">
      <c r="A771" s="667" t="s">
        <v>38</v>
      </c>
      <c r="C771" s="679">
        <f t="shared" si="41"/>
        <v>12319</v>
      </c>
      <c r="D771" s="679">
        <v>267</v>
      </c>
      <c r="E771" s="679">
        <v>1571</v>
      </c>
      <c r="F771" s="679">
        <v>2319</v>
      </c>
      <c r="G771" s="679">
        <v>2818</v>
      </c>
      <c r="H771" s="679">
        <v>1092</v>
      </c>
      <c r="I771" s="679">
        <v>1458</v>
      </c>
      <c r="J771" s="679">
        <v>418</v>
      </c>
      <c r="K771" s="679">
        <v>157</v>
      </c>
      <c r="L771" s="679">
        <v>139</v>
      </c>
      <c r="M771" s="679">
        <v>1478</v>
      </c>
      <c r="N771" s="679">
        <v>602</v>
      </c>
      <c r="Q771" s="679"/>
    </row>
    <row r="772" spans="1:17" s="667" customFormat="1" ht="9" customHeight="1" x14ac:dyDescent="0.25">
      <c r="A772" s="667" t="s">
        <v>39</v>
      </c>
      <c r="C772" s="679">
        <f t="shared" si="41"/>
        <v>6487</v>
      </c>
      <c r="D772" s="679">
        <v>200</v>
      </c>
      <c r="E772" s="679">
        <v>947</v>
      </c>
      <c r="F772" s="679">
        <v>842</v>
      </c>
      <c r="G772" s="679">
        <v>1736</v>
      </c>
      <c r="H772" s="679">
        <v>630</v>
      </c>
      <c r="I772" s="679">
        <v>546</v>
      </c>
      <c r="J772" s="679">
        <v>179</v>
      </c>
      <c r="K772" s="679">
        <v>85</v>
      </c>
      <c r="L772" s="679">
        <v>80</v>
      </c>
      <c r="M772" s="679">
        <v>893</v>
      </c>
      <c r="N772" s="679">
        <v>349</v>
      </c>
      <c r="Q772" s="679"/>
    </row>
    <row r="773" spans="1:17" s="667" customFormat="1" ht="9" customHeight="1" x14ac:dyDescent="0.25">
      <c r="A773" s="667" t="s">
        <v>40</v>
      </c>
      <c r="C773" s="679">
        <f t="shared" si="41"/>
        <v>27818</v>
      </c>
      <c r="D773" s="679">
        <v>608</v>
      </c>
      <c r="E773" s="679">
        <v>4350</v>
      </c>
      <c r="F773" s="679">
        <v>3663</v>
      </c>
      <c r="G773" s="679">
        <v>8148</v>
      </c>
      <c r="H773" s="679">
        <v>2789</v>
      </c>
      <c r="I773" s="679">
        <v>2340</v>
      </c>
      <c r="J773" s="679">
        <v>1032</v>
      </c>
      <c r="K773" s="679">
        <v>504</v>
      </c>
      <c r="L773" s="679">
        <v>381</v>
      </c>
      <c r="M773" s="679">
        <v>2484</v>
      </c>
      <c r="N773" s="679">
        <v>1519</v>
      </c>
      <c r="Q773" s="679"/>
    </row>
    <row r="774" spans="1:17" s="667" customFormat="1" ht="9" customHeight="1" x14ac:dyDescent="0.25">
      <c r="A774" s="671" t="s">
        <v>41</v>
      </c>
      <c r="B774" s="671"/>
      <c r="C774" s="683">
        <f t="shared" si="41"/>
        <v>25073</v>
      </c>
      <c r="D774" s="683">
        <v>495</v>
      </c>
      <c r="E774" s="683">
        <v>2980</v>
      </c>
      <c r="F774" s="683">
        <v>4501</v>
      </c>
      <c r="G774" s="683">
        <v>6668</v>
      </c>
      <c r="H774" s="683">
        <v>1922</v>
      </c>
      <c r="I774" s="683">
        <v>2418</v>
      </c>
      <c r="J774" s="683">
        <v>852</v>
      </c>
      <c r="K774" s="683">
        <v>348</v>
      </c>
      <c r="L774" s="683">
        <v>295</v>
      </c>
      <c r="M774" s="683">
        <v>2208</v>
      </c>
      <c r="N774" s="683">
        <v>2386</v>
      </c>
      <c r="Q774" s="679"/>
    </row>
    <row r="775" spans="1:17" s="667" customFormat="1" ht="9" customHeight="1" x14ac:dyDescent="0.25">
      <c r="A775" s="667" t="s">
        <v>42</v>
      </c>
      <c r="C775" s="679">
        <f t="shared" si="41"/>
        <v>37855</v>
      </c>
      <c r="D775" s="679">
        <v>708</v>
      </c>
      <c r="E775" s="679">
        <v>4241</v>
      </c>
      <c r="F775" s="679">
        <v>7435</v>
      </c>
      <c r="G775" s="679">
        <v>10094</v>
      </c>
      <c r="H775" s="679">
        <v>3289</v>
      </c>
      <c r="I775" s="679">
        <v>4279</v>
      </c>
      <c r="J775" s="679">
        <v>1250</v>
      </c>
      <c r="K775" s="679">
        <v>786</v>
      </c>
      <c r="L775" s="679">
        <v>658</v>
      </c>
      <c r="M775" s="679">
        <v>3063</v>
      </c>
      <c r="N775" s="679">
        <v>2052</v>
      </c>
      <c r="Q775" s="679"/>
    </row>
    <row r="776" spans="1:17" s="667" customFormat="1" ht="9" customHeight="1" x14ac:dyDescent="0.25">
      <c r="A776" s="667" t="s">
        <v>43</v>
      </c>
      <c r="C776" s="679">
        <f t="shared" si="41"/>
        <v>10569</v>
      </c>
      <c r="D776" s="679">
        <v>297</v>
      </c>
      <c r="E776" s="679">
        <v>1471</v>
      </c>
      <c r="F776" s="679">
        <v>1478</v>
      </c>
      <c r="G776" s="679">
        <v>2788</v>
      </c>
      <c r="H776" s="679">
        <v>920</v>
      </c>
      <c r="I776" s="679">
        <v>1254</v>
      </c>
      <c r="J776" s="679">
        <v>405</v>
      </c>
      <c r="K776" s="679">
        <v>202</v>
      </c>
      <c r="L776" s="679">
        <v>157</v>
      </c>
      <c r="M776" s="679">
        <v>985</v>
      </c>
      <c r="N776" s="679">
        <v>612</v>
      </c>
      <c r="Q776" s="679"/>
    </row>
    <row r="777" spans="1:17" s="667" customFormat="1" ht="9" customHeight="1" x14ac:dyDescent="0.25">
      <c r="A777" s="667" t="s">
        <v>44</v>
      </c>
      <c r="C777" s="679">
        <f t="shared" si="41"/>
        <v>7062</v>
      </c>
      <c r="D777" s="679">
        <v>322</v>
      </c>
      <c r="E777" s="679">
        <v>865</v>
      </c>
      <c r="F777" s="679">
        <v>977</v>
      </c>
      <c r="G777" s="679">
        <v>1341</v>
      </c>
      <c r="H777" s="679">
        <v>512</v>
      </c>
      <c r="I777" s="679">
        <v>728</v>
      </c>
      <c r="J777" s="679">
        <v>241</v>
      </c>
      <c r="K777" s="679">
        <v>131</v>
      </c>
      <c r="L777" s="679">
        <v>151</v>
      </c>
      <c r="M777" s="679">
        <v>1369</v>
      </c>
      <c r="N777" s="679">
        <v>425</v>
      </c>
      <c r="Q777" s="679"/>
    </row>
    <row r="778" spans="1:17" s="667" customFormat="1" ht="9" customHeight="1" x14ac:dyDescent="0.25">
      <c r="A778" s="671" t="s">
        <v>45</v>
      </c>
      <c r="B778" s="671"/>
      <c r="C778" s="683">
        <f t="shared" si="41"/>
        <v>16424</v>
      </c>
      <c r="D778" s="683">
        <v>352</v>
      </c>
      <c r="E778" s="683">
        <v>2131</v>
      </c>
      <c r="F778" s="683">
        <v>2592</v>
      </c>
      <c r="G778" s="683">
        <v>4434</v>
      </c>
      <c r="H778" s="683">
        <v>1624</v>
      </c>
      <c r="I778" s="683">
        <v>1556</v>
      </c>
      <c r="J778" s="683">
        <v>528</v>
      </c>
      <c r="K778" s="683">
        <v>218</v>
      </c>
      <c r="L778" s="683">
        <v>215</v>
      </c>
      <c r="M778" s="683">
        <v>1737</v>
      </c>
      <c r="N778" s="683">
        <v>1037</v>
      </c>
      <c r="Q778" s="679"/>
    </row>
    <row r="779" spans="1:17" s="667" customFormat="1" ht="9" customHeight="1" x14ac:dyDescent="0.25">
      <c r="A779" s="667" t="s">
        <v>46</v>
      </c>
      <c r="C779" s="679">
        <f t="shared" si="41"/>
        <v>16011</v>
      </c>
      <c r="D779" s="679">
        <v>467</v>
      </c>
      <c r="E779" s="679">
        <v>2445</v>
      </c>
      <c r="F779" s="679">
        <v>1942</v>
      </c>
      <c r="G779" s="679">
        <v>4470</v>
      </c>
      <c r="H779" s="679">
        <v>1473</v>
      </c>
      <c r="I779" s="679">
        <v>957</v>
      </c>
      <c r="J779" s="679">
        <v>450</v>
      </c>
      <c r="K779" s="679">
        <v>271</v>
      </c>
      <c r="L779" s="679">
        <v>175</v>
      </c>
      <c r="M779" s="679">
        <v>2439</v>
      </c>
      <c r="N779" s="679">
        <v>922</v>
      </c>
      <c r="Q779" s="679"/>
    </row>
    <row r="780" spans="1:17" s="667" customFormat="1" ht="9" customHeight="1" x14ac:dyDescent="0.25">
      <c r="A780" s="667" t="s">
        <v>47</v>
      </c>
      <c r="C780" s="679">
        <f t="shared" si="41"/>
        <v>17644</v>
      </c>
      <c r="D780" s="679">
        <v>693</v>
      </c>
      <c r="E780" s="679">
        <v>2594</v>
      </c>
      <c r="F780" s="679">
        <v>1888</v>
      </c>
      <c r="G780" s="679">
        <v>5151</v>
      </c>
      <c r="H780" s="679">
        <v>1960</v>
      </c>
      <c r="I780" s="679">
        <v>1240</v>
      </c>
      <c r="J780" s="679">
        <v>563</v>
      </c>
      <c r="K780" s="679">
        <v>275</v>
      </c>
      <c r="L780" s="679">
        <v>152</v>
      </c>
      <c r="M780" s="679">
        <v>2179</v>
      </c>
      <c r="N780" s="679">
        <v>949</v>
      </c>
      <c r="Q780" s="679"/>
    </row>
    <row r="781" spans="1:17" s="667" customFormat="1" ht="9" customHeight="1" x14ac:dyDescent="0.25">
      <c r="A781" s="667" t="s">
        <v>48</v>
      </c>
      <c r="C781" s="679">
        <f t="shared" si="41"/>
        <v>13548</v>
      </c>
      <c r="D781" s="679">
        <v>369</v>
      </c>
      <c r="E781" s="679">
        <v>1601</v>
      </c>
      <c r="F781" s="679">
        <v>2960</v>
      </c>
      <c r="G781" s="679">
        <v>3609</v>
      </c>
      <c r="H781" s="679">
        <v>921</v>
      </c>
      <c r="I781" s="679">
        <v>870</v>
      </c>
      <c r="J781" s="679">
        <v>468</v>
      </c>
      <c r="K781" s="679">
        <v>373</v>
      </c>
      <c r="L781" s="679">
        <v>212</v>
      </c>
      <c r="M781" s="679">
        <v>1364</v>
      </c>
      <c r="N781" s="679">
        <v>801</v>
      </c>
      <c r="Q781" s="679"/>
    </row>
    <row r="782" spans="1:17" s="667" customFormat="1" ht="9" customHeight="1" x14ac:dyDescent="0.25">
      <c r="A782" s="671" t="s">
        <v>49</v>
      </c>
      <c r="B782" s="671"/>
      <c r="C782" s="683">
        <f t="shared" si="41"/>
        <v>19596</v>
      </c>
      <c r="D782" s="683">
        <v>565</v>
      </c>
      <c r="E782" s="683">
        <v>2755</v>
      </c>
      <c r="F782" s="683">
        <v>3171</v>
      </c>
      <c r="G782" s="683">
        <v>5406</v>
      </c>
      <c r="H782" s="683">
        <v>1612</v>
      </c>
      <c r="I782" s="683">
        <v>1523</v>
      </c>
      <c r="J782" s="683">
        <v>688</v>
      </c>
      <c r="K782" s="683">
        <v>378</v>
      </c>
      <c r="L782" s="683">
        <v>224</v>
      </c>
      <c r="M782" s="683">
        <v>2266</v>
      </c>
      <c r="N782" s="683">
        <v>1008</v>
      </c>
      <c r="Q782" s="679"/>
    </row>
    <row r="783" spans="1:17" s="667" customFormat="1" ht="9" customHeight="1" x14ac:dyDescent="0.25">
      <c r="A783" s="667" t="s">
        <v>50</v>
      </c>
      <c r="C783" s="679">
        <f t="shared" si="41"/>
        <v>6946</v>
      </c>
      <c r="D783" s="679">
        <v>105</v>
      </c>
      <c r="E783" s="679">
        <v>776</v>
      </c>
      <c r="F783" s="679">
        <v>1513</v>
      </c>
      <c r="G783" s="679">
        <v>1665</v>
      </c>
      <c r="H783" s="679">
        <v>612</v>
      </c>
      <c r="I783" s="679">
        <v>684</v>
      </c>
      <c r="J783" s="679">
        <v>314</v>
      </c>
      <c r="K783" s="679">
        <v>135</v>
      </c>
      <c r="L783" s="679">
        <v>125</v>
      </c>
      <c r="M783" s="679">
        <v>587</v>
      </c>
      <c r="N783" s="679">
        <v>430</v>
      </c>
      <c r="Q783" s="679"/>
    </row>
    <row r="784" spans="1:17" s="667" customFormat="1" ht="9" customHeight="1" x14ac:dyDescent="0.25">
      <c r="A784" s="667" t="s">
        <v>51</v>
      </c>
      <c r="C784" s="679">
        <f t="shared" si="41"/>
        <v>53395</v>
      </c>
      <c r="D784" s="679">
        <v>1544</v>
      </c>
      <c r="E784" s="679">
        <v>6674</v>
      </c>
      <c r="F784" s="679">
        <v>10126</v>
      </c>
      <c r="G784" s="679">
        <v>15278</v>
      </c>
      <c r="H784" s="679">
        <v>4594</v>
      </c>
      <c r="I784" s="679">
        <v>5427</v>
      </c>
      <c r="J784" s="679">
        <v>1912</v>
      </c>
      <c r="K784" s="679">
        <v>836</v>
      </c>
      <c r="L784" s="679">
        <v>562</v>
      </c>
      <c r="M784" s="679">
        <v>3664</v>
      </c>
      <c r="N784" s="679">
        <v>2778</v>
      </c>
      <c r="Q784" s="679"/>
    </row>
    <row r="785" spans="1:17" s="673" customFormat="1" ht="9" customHeight="1" x14ac:dyDescent="0.25">
      <c r="A785" s="673" t="s">
        <v>52</v>
      </c>
      <c r="C785" s="684">
        <f t="shared" si="41"/>
        <v>13017</v>
      </c>
      <c r="D785" s="684">
        <v>442</v>
      </c>
      <c r="E785" s="684">
        <v>1491</v>
      </c>
      <c r="F785" s="684">
        <v>1646</v>
      </c>
      <c r="G785" s="684">
        <v>3738</v>
      </c>
      <c r="H785" s="684">
        <v>1331</v>
      </c>
      <c r="I785" s="684">
        <v>1616</v>
      </c>
      <c r="J785" s="684">
        <v>651</v>
      </c>
      <c r="K785" s="684">
        <v>169</v>
      </c>
      <c r="L785" s="684">
        <v>139</v>
      </c>
      <c r="M785" s="684">
        <v>870</v>
      </c>
      <c r="N785" s="684">
        <v>924</v>
      </c>
      <c r="P785" s="667"/>
      <c r="Q785" s="679"/>
    </row>
    <row r="786" spans="1:17" s="667" customFormat="1" ht="9" customHeight="1" x14ac:dyDescent="0.25">
      <c r="A786" s="671" t="s">
        <v>53</v>
      </c>
      <c r="B786" s="671"/>
      <c r="C786" s="683">
        <f t="shared" si="41"/>
        <v>9596</v>
      </c>
      <c r="D786" s="683">
        <v>167</v>
      </c>
      <c r="E786" s="683">
        <v>1264</v>
      </c>
      <c r="F786" s="683">
        <v>1486</v>
      </c>
      <c r="G786" s="683">
        <v>2396</v>
      </c>
      <c r="H786" s="683">
        <v>963</v>
      </c>
      <c r="I786" s="683">
        <v>738</v>
      </c>
      <c r="J786" s="683">
        <v>271</v>
      </c>
      <c r="K786" s="683">
        <v>146</v>
      </c>
      <c r="L786" s="683">
        <v>104</v>
      </c>
      <c r="M786" s="683">
        <v>1480</v>
      </c>
      <c r="N786" s="683">
        <v>581</v>
      </c>
      <c r="P786" s="673"/>
      <c r="Q786" s="679"/>
    </row>
    <row r="787" spans="1:17" s="667" customFormat="1" ht="9" customHeight="1" x14ac:dyDescent="0.25">
      <c r="A787" s="664" t="s">
        <v>434</v>
      </c>
      <c r="B787" s="664"/>
      <c r="C787" s="679">
        <f t="shared" si="41"/>
        <v>1127</v>
      </c>
      <c r="D787" s="679">
        <v>16</v>
      </c>
      <c r="E787" s="679">
        <v>130</v>
      </c>
      <c r="F787" s="679">
        <v>101</v>
      </c>
      <c r="G787" s="679">
        <v>349</v>
      </c>
      <c r="H787" s="679">
        <v>63</v>
      </c>
      <c r="I787" s="679">
        <v>64</v>
      </c>
      <c r="J787" s="679">
        <v>11</v>
      </c>
      <c r="K787" s="679">
        <v>4</v>
      </c>
      <c r="L787" s="679">
        <v>5</v>
      </c>
      <c r="M787" s="679">
        <v>360</v>
      </c>
      <c r="N787" s="679">
        <v>24</v>
      </c>
      <c r="Q787" s="679"/>
    </row>
    <row r="788" spans="1:17" s="667" customFormat="1" ht="9" customHeight="1" x14ac:dyDescent="0.25">
      <c r="A788" s="664" t="s">
        <v>54</v>
      </c>
      <c r="B788" s="664"/>
      <c r="C788" s="679">
        <f t="shared" si="41"/>
        <v>16681</v>
      </c>
      <c r="D788" s="679">
        <v>349</v>
      </c>
      <c r="E788" s="679">
        <v>662</v>
      </c>
      <c r="F788" s="679">
        <v>1021</v>
      </c>
      <c r="G788" s="679">
        <v>2533</v>
      </c>
      <c r="H788" s="679">
        <v>969</v>
      </c>
      <c r="I788" s="679">
        <v>1036</v>
      </c>
      <c r="J788" s="679">
        <v>201</v>
      </c>
      <c r="K788" s="679">
        <v>152</v>
      </c>
      <c r="L788" s="679">
        <v>76</v>
      </c>
      <c r="M788" s="679">
        <v>8741</v>
      </c>
      <c r="N788" s="679">
        <v>941</v>
      </c>
      <c r="Q788" s="679"/>
    </row>
    <row r="789" spans="1:17" ht="3" customHeight="1" x14ac:dyDescent="0.25">
      <c r="A789" s="658"/>
      <c r="B789" s="658"/>
      <c r="C789" s="658"/>
      <c r="D789" s="658"/>
      <c r="E789" s="658"/>
      <c r="F789" s="658"/>
      <c r="G789" s="658"/>
      <c r="H789" s="658"/>
      <c r="I789" s="658"/>
      <c r="J789" s="658"/>
      <c r="K789" s="658"/>
      <c r="L789" s="658"/>
      <c r="M789" s="658"/>
      <c r="N789" s="658"/>
    </row>
    <row r="790" spans="1:17" ht="3" customHeight="1" x14ac:dyDescent="0.25"/>
    <row r="791" spans="1:17" s="661" customFormat="1" ht="9" customHeight="1" x14ac:dyDescent="0.15">
      <c r="A791" s="688" t="s">
        <v>539</v>
      </c>
      <c r="B791" s="688"/>
    </row>
    <row r="792" spans="1:17" s="661" customFormat="1" ht="9" customHeight="1" x14ac:dyDescent="0.15">
      <c r="A792" s="689" t="s">
        <v>527</v>
      </c>
      <c r="B792" s="690" t="s">
        <v>540</v>
      </c>
    </row>
    <row r="793" spans="1:17" s="661" customFormat="1" ht="9" customHeight="1" x14ac:dyDescent="0.15">
      <c r="A793" s="689" t="s">
        <v>528</v>
      </c>
      <c r="B793" s="690" t="s">
        <v>541</v>
      </c>
    </row>
    <row r="794" spans="1:17" s="661" customFormat="1" ht="9" customHeight="1" x14ac:dyDescent="0.15">
      <c r="A794" s="689" t="s">
        <v>529</v>
      </c>
      <c r="B794" s="690" t="s">
        <v>542</v>
      </c>
    </row>
    <row r="795" spans="1:17" s="661" customFormat="1" ht="9" customHeight="1" x14ac:dyDescent="0.15">
      <c r="A795" s="689" t="s">
        <v>530</v>
      </c>
      <c r="B795" s="690" t="s">
        <v>543</v>
      </c>
    </row>
    <row r="796" spans="1:17" s="661" customFormat="1" ht="9" customHeight="1" x14ac:dyDescent="0.15">
      <c r="A796" s="689" t="s">
        <v>531</v>
      </c>
      <c r="B796" s="690" t="s">
        <v>544</v>
      </c>
    </row>
    <row r="797" spans="1:17" s="661" customFormat="1" ht="9" customHeight="1" x14ac:dyDescent="0.15">
      <c r="A797" s="689" t="s">
        <v>532</v>
      </c>
      <c r="B797" s="690" t="s">
        <v>545</v>
      </c>
    </row>
    <row r="798" spans="1:17" s="661" customFormat="1" ht="9" customHeight="1" x14ac:dyDescent="0.15">
      <c r="A798" s="689" t="s">
        <v>533</v>
      </c>
      <c r="B798" s="690" t="s">
        <v>546</v>
      </c>
    </row>
    <row r="799" spans="1:17" s="661" customFormat="1" ht="9" customHeight="1" x14ac:dyDescent="0.15">
      <c r="A799" s="689" t="s">
        <v>534</v>
      </c>
      <c r="B799" s="689" t="s">
        <v>547</v>
      </c>
    </row>
    <row r="800" spans="1:17" s="661" customFormat="1" ht="9" customHeight="1" x14ac:dyDescent="0.15">
      <c r="A800" s="689" t="s">
        <v>535</v>
      </c>
      <c r="B800" s="689" t="s">
        <v>548</v>
      </c>
    </row>
    <row r="801" spans="1:15" s="661" customFormat="1" ht="9" customHeight="1" x14ac:dyDescent="0.15">
      <c r="A801" s="689" t="s">
        <v>536</v>
      </c>
      <c r="B801" s="689" t="s">
        <v>549</v>
      </c>
    </row>
    <row r="802" spans="1:15" s="661" customFormat="1" ht="9.6" customHeight="1" x14ac:dyDescent="0.15">
      <c r="A802" s="691" t="s">
        <v>550</v>
      </c>
      <c r="B802" s="690"/>
    </row>
    <row r="803" spans="1:15" s="661" customFormat="1" ht="9" customHeight="1" x14ac:dyDescent="0.15">
      <c r="A803" s="688" t="s">
        <v>551</v>
      </c>
      <c r="B803" s="688"/>
    </row>
    <row r="804" spans="1:15" s="661" customFormat="1" ht="9" customHeight="1" x14ac:dyDescent="0.15">
      <c r="A804" s="688" t="s">
        <v>552</v>
      </c>
      <c r="B804" s="688"/>
    </row>
    <row r="805" spans="1:15" s="661" customFormat="1" ht="9" customHeight="1" x14ac:dyDescent="0.15">
      <c r="A805" s="688" t="s">
        <v>553</v>
      </c>
      <c r="B805" s="688"/>
    </row>
    <row r="806" spans="1:15" s="661" customFormat="1" ht="9" customHeight="1" x14ac:dyDescent="0.25">
      <c r="A806" s="592" t="s">
        <v>554</v>
      </c>
      <c r="B806" s="692"/>
      <c r="C806" s="693"/>
      <c r="D806" s="694"/>
      <c r="E806" s="694"/>
      <c r="F806" s="694"/>
      <c r="G806" s="694"/>
      <c r="H806" s="694"/>
      <c r="I806" s="694"/>
      <c r="J806" s="694"/>
      <c r="K806" s="694"/>
      <c r="L806" s="694"/>
      <c r="M806" s="694"/>
      <c r="N806" s="694"/>
    </row>
    <row r="807" spans="1:15" ht="12" hidden="1" customHeight="1" x14ac:dyDescent="0.25">
      <c r="O807" s="656" t="s">
        <v>74</v>
      </c>
    </row>
  </sheetData>
  <sheetProtection sheet="1" objects="1" scenarios="1"/>
  <mergeCells count="3">
    <mergeCell ref="M1:N1"/>
    <mergeCell ref="A6:B7"/>
    <mergeCell ref="N6:N7"/>
  </mergeCells>
  <hyperlinks>
    <hyperlink ref="M1" location="Índice!A1" display="Índice!A1"/>
    <hyperlink ref="A806:C806" r:id="rId1" display="Fuente: INEGI. Estadísticas de Mortalidad."/>
    <hyperlink ref="M1:N1" location="Índice!A1" tooltip="Ir a Índice" display="Índice!A1"/>
  </hyperlinks>
  <printOptions horizontalCentered="1" verticalCentered="1" gridLinesSet="0"/>
  <pageMargins left="0.39370078740157483" right="0.39370078740157483" top="0.39370078740157483" bottom="0.39370078740157483" header="0.39370078740157483" footer="0.39370078740157483"/>
  <pageSetup orientation="portrait" r:id="rId2"/>
  <headerFooter>
    <oddHeader>&amp;L&amp;"Arial,Normal"&amp;10&amp;K000080INEGI. Anuario estadístico y geográfico por entidad federativa 2019.</oddHeader>
  </headerFooter>
  <rowBreaks count="11" manualBreakCount="11">
    <brk id="83" max="13" man="1"/>
    <brk id="157" max="13" man="1"/>
    <brk id="231" max="13" man="1"/>
    <brk id="305" max="13" man="1"/>
    <brk id="379" max="13" man="1"/>
    <brk id="454" max="13" man="1"/>
    <brk id="528" max="13" man="1"/>
    <brk id="602" max="13" man="1"/>
    <brk id="676" max="13" man="1"/>
    <brk id="713" max="13" man="1"/>
    <brk id="751" max="13" man="1"/>
  </rowBreak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904"/>
  <sheetViews>
    <sheetView showGridLines="0" showRowColHeaders="0" zoomScale="130" zoomScaleNormal="130" workbookViewId="0">
      <pane xSplit="1" ySplit="8" topLeftCell="B9" activePane="bottomRight" state="frozen"/>
      <selection activeCell="B5" sqref="B5"/>
      <selection pane="topRight" activeCell="B5" sqref="B5"/>
      <selection pane="bottomLeft" activeCell="B5" sqref="B5"/>
      <selection pane="bottomRight"/>
    </sheetView>
  </sheetViews>
  <sheetFormatPr baseColWidth="10" defaultColWidth="0" defaultRowHeight="11.25" customHeight="1" zeroHeight="1" x14ac:dyDescent="0.25"/>
  <cols>
    <col min="1" max="1" width="18" style="591" customWidth="1"/>
    <col min="2" max="2" width="6.28515625" style="591" customWidth="1"/>
    <col min="3" max="3" width="8" style="591" customWidth="1"/>
    <col min="4" max="9" width="6.42578125" style="591" customWidth="1"/>
    <col min="10" max="10" width="6.7109375" style="591" customWidth="1"/>
    <col min="11" max="11" width="7" style="591" customWidth="1"/>
    <col min="12" max="12" width="7.85546875" style="591" customWidth="1"/>
    <col min="13" max="13" width="0.85546875" style="532" customWidth="1"/>
    <col min="14" max="21" width="0" style="532" hidden="1" customWidth="1"/>
    <col min="22" max="16384" width="11.42578125" style="532" hidden="1"/>
  </cols>
  <sheetData>
    <row r="1" spans="1:21" s="527" customFormat="1" ht="12" customHeight="1" x14ac:dyDescent="0.2">
      <c r="A1" s="524" t="s">
        <v>420</v>
      </c>
      <c r="B1" s="525"/>
      <c r="C1" s="525"/>
      <c r="D1" s="525"/>
      <c r="E1" s="525"/>
      <c r="F1" s="525"/>
      <c r="G1" s="525"/>
      <c r="H1" s="525"/>
      <c r="I1" s="525"/>
      <c r="J1" s="525"/>
      <c r="K1" s="823" t="s">
        <v>421</v>
      </c>
      <c r="L1" s="823"/>
      <c r="M1" s="526"/>
    </row>
    <row r="2" spans="1:21" s="527" customFormat="1" ht="12" customHeight="1" x14ac:dyDescent="0.2">
      <c r="A2" s="524" t="s">
        <v>422</v>
      </c>
      <c r="B2" s="525"/>
      <c r="C2" s="525"/>
      <c r="D2" s="525"/>
      <c r="E2" s="525"/>
      <c r="F2" s="525"/>
      <c r="G2" s="525"/>
      <c r="H2" s="525"/>
      <c r="I2" s="525"/>
      <c r="J2" s="525"/>
      <c r="K2" s="525"/>
      <c r="L2" s="528"/>
      <c r="M2" s="526"/>
    </row>
    <row r="3" spans="1:21" s="527" customFormat="1" ht="12" customHeight="1" x14ac:dyDescent="0.2">
      <c r="A3" s="529" t="s">
        <v>423</v>
      </c>
      <c r="B3" s="525"/>
      <c r="C3" s="525"/>
      <c r="D3" s="525"/>
      <c r="E3" s="525"/>
      <c r="F3" s="525"/>
      <c r="G3" s="525"/>
      <c r="H3" s="525"/>
      <c r="I3" s="525"/>
      <c r="J3" s="525"/>
      <c r="K3" s="525"/>
      <c r="L3" s="525"/>
      <c r="M3" s="530"/>
    </row>
    <row r="4" spans="1:21" ht="3" customHeight="1" x14ac:dyDescent="0.25">
      <c r="A4" s="531"/>
      <c r="B4" s="531"/>
      <c r="C4" s="531"/>
      <c r="D4" s="531"/>
      <c r="E4" s="531"/>
      <c r="F4" s="531"/>
      <c r="G4" s="531"/>
      <c r="H4" s="531"/>
      <c r="I4" s="531"/>
      <c r="J4" s="531"/>
      <c r="K4" s="531"/>
      <c r="L4" s="531"/>
    </row>
    <row r="5" spans="1:21" ht="3" customHeight="1" x14ac:dyDescent="0.25">
      <c r="A5" s="533"/>
      <c r="B5" s="533"/>
      <c r="C5" s="533"/>
      <c r="D5" s="533"/>
      <c r="E5" s="533"/>
      <c r="F5" s="533"/>
      <c r="G5" s="533"/>
      <c r="H5" s="533"/>
      <c r="I5" s="533"/>
      <c r="J5" s="533"/>
      <c r="K5" s="533"/>
      <c r="L5" s="533"/>
    </row>
    <row r="6" spans="1:21" s="537" customFormat="1" ht="8.85" customHeight="1" x14ac:dyDescent="0.15">
      <c r="A6" s="843" t="s">
        <v>424</v>
      </c>
      <c r="B6" s="767" t="s">
        <v>13</v>
      </c>
      <c r="C6" s="845" t="s">
        <v>425</v>
      </c>
      <c r="D6" s="845" t="s">
        <v>426</v>
      </c>
      <c r="E6" s="845" t="s">
        <v>427</v>
      </c>
      <c r="F6" s="845" t="s">
        <v>428</v>
      </c>
      <c r="G6" s="845" t="s">
        <v>429</v>
      </c>
      <c r="H6" s="845" t="s">
        <v>430</v>
      </c>
      <c r="I6" s="845" t="s">
        <v>431</v>
      </c>
      <c r="J6" s="845" t="s">
        <v>432</v>
      </c>
      <c r="K6" s="845" t="s">
        <v>433</v>
      </c>
      <c r="L6" s="845" t="s">
        <v>162</v>
      </c>
      <c r="M6" s="534"/>
      <c r="N6" s="535"/>
      <c r="O6" s="535"/>
      <c r="P6" s="535"/>
      <c r="Q6" s="535"/>
      <c r="R6" s="535"/>
      <c r="S6" s="535"/>
      <c r="T6" s="536"/>
      <c r="U6" s="536"/>
    </row>
    <row r="7" spans="1:21" s="537" customFormat="1" ht="8.85" customHeight="1" x14ac:dyDescent="0.15">
      <c r="A7" s="844"/>
      <c r="B7" s="538"/>
      <c r="C7" s="846"/>
      <c r="D7" s="847"/>
      <c r="E7" s="847"/>
      <c r="F7" s="847"/>
      <c r="G7" s="847"/>
      <c r="H7" s="847"/>
      <c r="I7" s="847"/>
      <c r="J7" s="847"/>
      <c r="K7" s="846"/>
      <c r="L7" s="846"/>
      <c r="M7" s="534"/>
      <c r="N7" s="534"/>
      <c r="O7" s="539"/>
      <c r="P7" s="534"/>
      <c r="Q7" s="535"/>
      <c r="R7" s="534"/>
      <c r="S7" s="534"/>
      <c r="T7" s="536"/>
      <c r="U7" s="536"/>
    </row>
    <row r="8" spans="1:21" ht="3" customHeight="1" x14ac:dyDescent="0.25">
      <c r="A8" s="531"/>
      <c r="B8" s="531"/>
      <c r="C8" s="531"/>
      <c r="D8" s="531"/>
      <c r="E8" s="531"/>
      <c r="F8" s="531"/>
      <c r="G8" s="531"/>
      <c r="H8" s="531"/>
      <c r="I8" s="531"/>
      <c r="J8" s="531"/>
      <c r="K8" s="531"/>
      <c r="L8" s="531"/>
      <c r="M8" s="540"/>
      <c r="N8" s="540"/>
      <c r="O8" s="540"/>
      <c r="P8" s="540"/>
      <c r="Q8" s="540"/>
      <c r="R8" s="540"/>
      <c r="S8" s="540"/>
    </row>
    <row r="9" spans="1:21" ht="3" customHeight="1" x14ac:dyDescent="0.25">
      <c r="A9" s="533"/>
      <c r="B9" s="533"/>
      <c r="C9" s="533"/>
      <c r="D9" s="533"/>
      <c r="E9" s="533"/>
      <c r="F9" s="533"/>
      <c r="G9" s="533"/>
      <c r="H9" s="533"/>
      <c r="I9" s="533"/>
      <c r="J9" s="533"/>
      <c r="K9" s="533"/>
      <c r="L9" s="533"/>
      <c r="M9" s="540"/>
      <c r="N9" s="540"/>
      <c r="O9" s="540"/>
      <c r="P9" s="540"/>
      <c r="Q9" s="540"/>
      <c r="R9" s="540"/>
      <c r="S9" s="540"/>
    </row>
    <row r="10" spans="1:21" s="543" customFormat="1" ht="8.85" customHeight="1" x14ac:dyDescent="0.25">
      <c r="A10" s="541">
        <v>1995</v>
      </c>
      <c r="B10" s="542"/>
      <c r="C10" s="542"/>
      <c r="D10" s="542"/>
      <c r="E10" s="542"/>
      <c r="F10" s="542"/>
      <c r="G10" s="542"/>
      <c r="H10" s="542"/>
      <c r="I10" s="542"/>
      <c r="J10" s="542"/>
      <c r="K10" s="542"/>
      <c r="L10" s="542"/>
    </row>
    <row r="11" spans="1:21" s="545" customFormat="1" ht="8.85" customHeight="1" x14ac:dyDescent="0.25">
      <c r="A11" s="541" t="s">
        <v>13</v>
      </c>
      <c r="B11" s="544">
        <f t="shared" ref="B11:L11" si="0">SUM(B13:B45)</f>
        <v>28201</v>
      </c>
      <c r="C11" s="544">
        <f t="shared" si="0"/>
        <v>115</v>
      </c>
      <c r="D11" s="544">
        <f t="shared" si="0"/>
        <v>4187</v>
      </c>
      <c r="E11" s="544">
        <f t="shared" si="0"/>
        <v>7502</v>
      </c>
      <c r="F11" s="544">
        <f t="shared" si="0"/>
        <v>6280</v>
      </c>
      <c r="G11" s="544">
        <f t="shared" si="0"/>
        <v>4517</v>
      </c>
      <c r="H11" s="544">
        <f t="shared" si="0"/>
        <v>3050</v>
      </c>
      <c r="I11" s="544">
        <f t="shared" si="0"/>
        <v>1051</v>
      </c>
      <c r="J11" s="544">
        <f t="shared" si="0"/>
        <v>115</v>
      </c>
      <c r="K11" s="544">
        <f t="shared" si="0"/>
        <v>3</v>
      </c>
      <c r="L11" s="544">
        <f t="shared" si="0"/>
        <v>1381</v>
      </c>
    </row>
    <row r="12" spans="1:21" s="545" customFormat="1" ht="3.95" customHeight="1" x14ac:dyDescent="0.25">
      <c r="A12" s="541"/>
      <c r="B12" s="544"/>
      <c r="C12" s="544"/>
      <c r="D12" s="544"/>
      <c r="E12" s="544"/>
      <c r="F12" s="544"/>
      <c r="G12" s="544"/>
      <c r="H12" s="544"/>
      <c r="I12" s="544"/>
      <c r="J12" s="544"/>
      <c r="K12" s="544"/>
      <c r="L12" s="544"/>
    </row>
    <row r="13" spans="1:21" s="543" customFormat="1" ht="9" customHeight="1" x14ac:dyDescent="0.25">
      <c r="A13" s="546" t="s">
        <v>23</v>
      </c>
      <c r="B13" s="547">
        <f t="shared" ref="B13:B45" si="1">SUM(C13:L13)</f>
        <v>329</v>
      </c>
      <c r="C13" s="547">
        <v>0</v>
      </c>
      <c r="D13" s="547">
        <v>46</v>
      </c>
      <c r="E13" s="547">
        <v>87</v>
      </c>
      <c r="F13" s="547">
        <v>61</v>
      </c>
      <c r="G13" s="547">
        <v>61</v>
      </c>
      <c r="H13" s="547">
        <v>44</v>
      </c>
      <c r="I13" s="547">
        <v>16</v>
      </c>
      <c r="J13" s="547">
        <v>4</v>
      </c>
      <c r="K13" s="547">
        <v>0</v>
      </c>
      <c r="L13" s="547">
        <v>10</v>
      </c>
    </row>
    <row r="14" spans="1:21" s="543" customFormat="1" ht="9" customHeight="1" x14ac:dyDescent="0.25">
      <c r="A14" s="546" t="s">
        <v>24</v>
      </c>
      <c r="B14" s="547">
        <f t="shared" si="1"/>
        <v>688</v>
      </c>
      <c r="C14" s="547">
        <v>3</v>
      </c>
      <c r="D14" s="547">
        <v>108</v>
      </c>
      <c r="E14" s="547">
        <v>181</v>
      </c>
      <c r="F14" s="547">
        <v>147</v>
      </c>
      <c r="G14" s="547">
        <v>104</v>
      </c>
      <c r="H14" s="547">
        <v>65</v>
      </c>
      <c r="I14" s="547">
        <v>29</v>
      </c>
      <c r="J14" s="547">
        <v>5</v>
      </c>
      <c r="K14" s="547">
        <v>0</v>
      </c>
      <c r="L14" s="547">
        <v>46</v>
      </c>
    </row>
    <row r="15" spans="1:21" s="543" customFormat="1" ht="9" customHeight="1" x14ac:dyDescent="0.25">
      <c r="A15" s="546" t="s">
        <v>25</v>
      </c>
      <c r="B15" s="547">
        <f t="shared" si="1"/>
        <v>114</v>
      </c>
      <c r="C15" s="547">
        <v>1</v>
      </c>
      <c r="D15" s="547">
        <v>22</v>
      </c>
      <c r="E15" s="547">
        <v>34</v>
      </c>
      <c r="F15" s="547">
        <v>22</v>
      </c>
      <c r="G15" s="547">
        <v>24</v>
      </c>
      <c r="H15" s="547">
        <v>7</v>
      </c>
      <c r="I15" s="547">
        <v>1</v>
      </c>
      <c r="J15" s="547">
        <v>0</v>
      </c>
      <c r="K15" s="547">
        <v>0</v>
      </c>
      <c r="L15" s="547">
        <v>3</v>
      </c>
    </row>
    <row r="16" spans="1:21" s="543" customFormat="1" ht="9" customHeight="1" x14ac:dyDescent="0.25">
      <c r="A16" s="548" t="s">
        <v>26</v>
      </c>
      <c r="B16" s="549">
        <f t="shared" si="1"/>
        <v>159</v>
      </c>
      <c r="C16" s="549">
        <v>4</v>
      </c>
      <c r="D16" s="549">
        <v>19</v>
      </c>
      <c r="E16" s="549">
        <v>51</v>
      </c>
      <c r="F16" s="549">
        <v>29</v>
      </c>
      <c r="G16" s="549">
        <v>27</v>
      </c>
      <c r="H16" s="549">
        <v>22</v>
      </c>
      <c r="I16" s="549">
        <v>1</v>
      </c>
      <c r="J16" s="549">
        <v>1</v>
      </c>
      <c r="K16" s="549">
        <v>0</v>
      </c>
      <c r="L16" s="549">
        <v>5</v>
      </c>
    </row>
    <row r="17" spans="1:12" s="543" customFormat="1" ht="9" customHeight="1" x14ac:dyDescent="0.25">
      <c r="A17" s="546" t="s">
        <v>27</v>
      </c>
      <c r="B17" s="547">
        <f t="shared" si="1"/>
        <v>388</v>
      </c>
      <c r="C17" s="547">
        <v>2</v>
      </c>
      <c r="D17" s="547">
        <v>62</v>
      </c>
      <c r="E17" s="547">
        <v>113</v>
      </c>
      <c r="F17" s="547">
        <v>92</v>
      </c>
      <c r="G17" s="547">
        <v>54</v>
      </c>
      <c r="H17" s="547">
        <v>27</v>
      </c>
      <c r="I17" s="547">
        <v>6</v>
      </c>
      <c r="J17" s="547">
        <v>2</v>
      </c>
      <c r="K17" s="547">
        <v>0</v>
      </c>
      <c r="L17" s="547">
        <v>30</v>
      </c>
    </row>
    <row r="18" spans="1:12" s="543" customFormat="1" ht="9" customHeight="1" x14ac:dyDescent="0.25">
      <c r="A18" s="546" t="s">
        <v>28</v>
      </c>
      <c r="B18" s="547">
        <f t="shared" si="1"/>
        <v>145</v>
      </c>
      <c r="C18" s="547">
        <v>0</v>
      </c>
      <c r="D18" s="547">
        <v>16</v>
      </c>
      <c r="E18" s="547">
        <v>41</v>
      </c>
      <c r="F18" s="547">
        <v>26</v>
      </c>
      <c r="G18" s="547">
        <v>27</v>
      </c>
      <c r="H18" s="547">
        <v>15</v>
      </c>
      <c r="I18" s="547">
        <v>6</v>
      </c>
      <c r="J18" s="547">
        <v>1</v>
      </c>
      <c r="K18" s="547">
        <v>0</v>
      </c>
      <c r="L18" s="547">
        <v>13</v>
      </c>
    </row>
    <row r="19" spans="1:12" s="543" customFormat="1" ht="9" customHeight="1" x14ac:dyDescent="0.25">
      <c r="A19" s="546" t="s">
        <v>29</v>
      </c>
      <c r="B19" s="547">
        <f t="shared" si="1"/>
        <v>1305</v>
      </c>
      <c r="C19" s="547">
        <v>9</v>
      </c>
      <c r="D19" s="547">
        <v>271</v>
      </c>
      <c r="E19" s="547">
        <v>331</v>
      </c>
      <c r="F19" s="547">
        <v>264</v>
      </c>
      <c r="G19" s="547">
        <v>193</v>
      </c>
      <c r="H19" s="547">
        <v>139</v>
      </c>
      <c r="I19" s="547">
        <v>47</v>
      </c>
      <c r="J19" s="547">
        <v>9</v>
      </c>
      <c r="K19" s="547">
        <v>0</v>
      </c>
      <c r="L19" s="547">
        <v>42</v>
      </c>
    </row>
    <row r="20" spans="1:12" s="543" customFormat="1" ht="9" customHeight="1" x14ac:dyDescent="0.25">
      <c r="A20" s="548" t="s">
        <v>30</v>
      </c>
      <c r="B20" s="549">
        <f t="shared" si="1"/>
        <v>704</v>
      </c>
      <c r="C20" s="549">
        <v>2</v>
      </c>
      <c r="D20" s="549">
        <v>118</v>
      </c>
      <c r="E20" s="549">
        <v>183</v>
      </c>
      <c r="F20" s="549">
        <v>179</v>
      </c>
      <c r="G20" s="549">
        <v>110</v>
      </c>
      <c r="H20" s="549">
        <v>50</v>
      </c>
      <c r="I20" s="549">
        <v>20</v>
      </c>
      <c r="J20" s="549">
        <v>1</v>
      </c>
      <c r="K20" s="549">
        <v>0</v>
      </c>
      <c r="L20" s="549">
        <v>41</v>
      </c>
    </row>
    <row r="21" spans="1:12" s="543" customFormat="1" ht="9" customHeight="1" x14ac:dyDescent="0.25">
      <c r="A21" s="550" t="s">
        <v>63</v>
      </c>
      <c r="B21" s="547">
        <f t="shared" si="1"/>
        <v>2895</v>
      </c>
      <c r="C21" s="547">
        <v>10</v>
      </c>
      <c r="D21" s="547">
        <v>387</v>
      </c>
      <c r="E21" s="547">
        <v>817</v>
      </c>
      <c r="F21" s="547">
        <v>733</v>
      </c>
      <c r="G21" s="547">
        <v>492</v>
      </c>
      <c r="H21" s="547">
        <v>296</v>
      </c>
      <c r="I21" s="547">
        <v>80</v>
      </c>
      <c r="J21" s="547">
        <v>4</v>
      </c>
      <c r="K21" s="547">
        <v>0</v>
      </c>
      <c r="L21" s="547">
        <v>76</v>
      </c>
    </row>
    <row r="22" spans="1:12" s="543" customFormat="1" ht="9" customHeight="1" x14ac:dyDescent="0.25">
      <c r="A22" s="546" t="s">
        <v>31</v>
      </c>
      <c r="B22" s="547">
        <f t="shared" si="1"/>
        <v>272</v>
      </c>
      <c r="C22" s="547">
        <v>0</v>
      </c>
      <c r="D22" s="547">
        <v>44</v>
      </c>
      <c r="E22" s="547">
        <v>69</v>
      </c>
      <c r="F22" s="547">
        <v>60</v>
      </c>
      <c r="G22" s="547">
        <v>41</v>
      </c>
      <c r="H22" s="547">
        <v>25</v>
      </c>
      <c r="I22" s="547">
        <v>8</v>
      </c>
      <c r="J22" s="547">
        <v>0</v>
      </c>
      <c r="K22" s="547">
        <v>0</v>
      </c>
      <c r="L22" s="547">
        <v>25</v>
      </c>
    </row>
    <row r="23" spans="1:12" s="543" customFormat="1" ht="9" customHeight="1" x14ac:dyDescent="0.25">
      <c r="A23" s="546" t="s">
        <v>32</v>
      </c>
      <c r="B23" s="547">
        <f t="shared" si="1"/>
        <v>2074</v>
      </c>
      <c r="C23" s="547">
        <v>7</v>
      </c>
      <c r="D23" s="547">
        <v>234</v>
      </c>
      <c r="E23" s="547">
        <v>492</v>
      </c>
      <c r="F23" s="547">
        <v>468</v>
      </c>
      <c r="G23" s="547">
        <v>376</v>
      </c>
      <c r="H23" s="547">
        <v>266</v>
      </c>
      <c r="I23" s="547">
        <v>135</v>
      </c>
      <c r="J23" s="547">
        <v>16</v>
      </c>
      <c r="K23" s="547">
        <v>0</v>
      </c>
      <c r="L23" s="547">
        <v>80</v>
      </c>
    </row>
    <row r="24" spans="1:12" s="543" customFormat="1" ht="9" customHeight="1" x14ac:dyDescent="0.25">
      <c r="A24" s="548" t="s">
        <v>33</v>
      </c>
      <c r="B24" s="549">
        <f t="shared" si="1"/>
        <v>351</v>
      </c>
      <c r="C24" s="549">
        <v>1</v>
      </c>
      <c r="D24" s="549">
        <v>64</v>
      </c>
      <c r="E24" s="549">
        <v>89</v>
      </c>
      <c r="F24" s="549">
        <v>73</v>
      </c>
      <c r="G24" s="549">
        <v>43</v>
      </c>
      <c r="H24" s="549">
        <v>52</v>
      </c>
      <c r="I24" s="549">
        <v>17</v>
      </c>
      <c r="J24" s="549">
        <v>1</v>
      </c>
      <c r="K24" s="549">
        <v>0</v>
      </c>
      <c r="L24" s="549">
        <v>11</v>
      </c>
    </row>
    <row r="25" spans="1:12" s="543" customFormat="1" ht="9" customHeight="1" x14ac:dyDescent="0.25">
      <c r="A25" s="546" t="s">
        <v>34</v>
      </c>
      <c r="B25" s="547">
        <f t="shared" si="1"/>
        <v>687</v>
      </c>
      <c r="C25" s="547">
        <v>2</v>
      </c>
      <c r="D25" s="547">
        <v>115</v>
      </c>
      <c r="E25" s="547">
        <v>172</v>
      </c>
      <c r="F25" s="547">
        <v>151</v>
      </c>
      <c r="G25" s="547">
        <v>119</v>
      </c>
      <c r="H25" s="547">
        <v>66</v>
      </c>
      <c r="I25" s="547">
        <v>17</v>
      </c>
      <c r="J25" s="547">
        <v>5</v>
      </c>
      <c r="K25" s="547">
        <v>0</v>
      </c>
      <c r="L25" s="547">
        <v>40</v>
      </c>
    </row>
    <row r="26" spans="1:12" s="543" customFormat="1" ht="9" customHeight="1" x14ac:dyDescent="0.25">
      <c r="A26" s="546" t="s">
        <v>35</v>
      </c>
      <c r="B26" s="547">
        <f t="shared" si="1"/>
        <v>2000</v>
      </c>
      <c r="C26" s="547">
        <v>4</v>
      </c>
      <c r="D26" s="547">
        <v>207</v>
      </c>
      <c r="E26" s="547">
        <v>508</v>
      </c>
      <c r="F26" s="547">
        <v>470</v>
      </c>
      <c r="G26" s="547">
        <v>385</v>
      </c>
      <c r="H26" s="547">
        <v>223</v>
      </c>
      <c r="I26" s="547">
        <v>98</v>
      </c>
      <c r="J26" s="547">
        <v>9</v>
      </c>
      <c r="K26" s="547">
        <v>0</v>
      </c>
      <c r="L26" s="547">
        <v>96</v>
      </c>
    </row>
    <row r="27" spans="1:12" s="543" customFormat="1" ht="9" customHeight="1" x14ac:dyDescent="0.25">
      <c r="A27" s="546" t="s">
        <v>36</v>
      </c>
      <c r="B27" s="547">
        <f t="shared" si="1"/>
        <v>4875</v>
      </c>
      <c r="C27" s="547">
        <v>14</v>
      </c>
      <c r="D27" s="547">
        <v>707</v>
      </c>
      <c r="E27" s="547">
        <v>1451</v>
      </c>
      <c r="F27" s="547">
        <v>1108</v>
      </c>
      <c r="G27" s="547">
        <v>747</v>
      </c>
      <c r="H27" s="547">
        <v>494</v>
      </c>
      <c r="I27" s="547">
        <v>173</v>
      </c>
      <c r="J27" s="547">
        <v>17</v>
      </c>
      <c r="K27" s="547">
        <v>0</v>
      </c>
      <c r="L27" s="547">
        <v>164</v>
      </c>
    </row>
    <row r="28" spans="1:12" s="543" customFormat="1" ht="9" customHeight="1" x14ac:dyDescent="0.25">
      <c r="A28" s="548" t="s">
        <v>37</v>
      </c>
      <c r="B28" s="549">
        <f t="shared" si="1"/>
        <v>972</v>
      </c>
      <c r="C28" s="549">
        <v>11</v>
      </c>
      <c r="D28" s="549">
        <v>129</v>
      </c>
      <c r="E28" s="549">
        <v>229</v>
      </c>
      <c r="F28" s="549">
        <v>206</v>
      </c>
      <c r="G28" s="549">
        <v>161</v>
      </c>
      <c r="H28" s="549">
        <v>122</v>
      </c>
      <c r="I28" s="549">
        <v>43</v>
      </c>
      <c r="J28" s="549">
        <v>5</v>
      </c>
      <c r="K28" s="549">
        <v>1</v>
      </c>
      <c r="L28" s="549">
        <v>65</v>
      </c>
    </row>
    <row r="29" spans="1:12" s="543" customFormat="1" ht="9" customHeight="1" x14ac:dyDescent="0.25">
      <c r="A29" s="546" t="s">
        <v>38</v>
      </c>
      <c r="B29" s="547">
        <f t="shared" si="1"/>
        <v>424</v>
      </c>
      <c r="C29" s="547">
        <v>5</v>
      </c>
      <c r="D29" s="547">
        <v>71</v>
      </c>
      <c r="E29" s="547">
        <v>115</v>
      </c>
      <c r="F29" s="547">
        <v>98</v>
      </c>
      <c r="G29" s="547">
        <v>67</v>
      </c>
      <c r="H29" s="547">
        <v>43</v>
      </c>
      <c r="I29" s="547">
        <v>13</v>
      </c>
      <c r="J29" s="547">
        <v>0</v>
      </c>
      <c r="K29" s="547">
        <v>0</v>
      </c>
      <c r="L29" s="547">
        <v>12</v>
      </c>
    </row>
    <row r="30" spans="1:12" s="543" customFormat="1" ht="9" customHeight="1" x14ac:dyDescent="0.25">
      <c r="A30" s="546" t="s">
        <v>39</v>
      </c>
      <c r="B30" s="547">
        <f t="shared" si="1"/>
        <v>110</v>
      </c>
      <c r="C30" s="547">
        <v>0</v>
      </c>
      <c r="D30" s="547">
        <v>19</v>
      </c>
      <c r="E30" s="547">
        <v>26</v>
      </c>
      <c r="F30" s="547">
        <v>31</v>
      </c>
      <c r="G30" s="547">
        <v>20</v>
      </c>
      <c r="H30" s="547">
        <v>8</v>
      </c>
      <c r="I30" s="547">
        <v>1</v>
      </c>
      <c r="J30" s="547">
        <v>0</v>
      </c>
      <c r="K30" s="547">
        <v>0</v>
      </c>
      <c r="L30" s="547">
        <v>5</v>
      </c>
    </row>
    <row r="31" spans="1:12" s="543" customFormat="1" ht="9" customHeight="1" x14ac:dyDescent="0.25">
      <c r="A31" s="546" t="s">
        <v>40</v>
      </c>
      <c r="B31" s="547">
        <f t="shared" si="1"/>
        <v>573</v>
      </c>
      <c r="C31" s="547">
        <v>2</v>
      </c>
      <c r="D31" s="547">
        <v>79</v>
      </c>
      <c r="E31" s="547">
        <v>159</v>
      </c>
      <c r="F31" s="547">
        <v>146</v>
      </c>
      <c r="G31" s="547">
        <v>80</v>
      </c>
      <c r="H31" s="547">
        <v>47</v>
      </c>
      <c r="I31" s="547">
        <v>4</v>
      </c>
      <c r="J31" s="547">
        <v>0</v>
      </c>
      <c r="K31" s="547">
        <v>0</v>
      </c>
      <c r="L31" s="547">
        <v>56</v>
      </c>
    </row>
    <row r="32" spans="1:12" s="543" customFormat="1" ht="9" customHeight="1" x14ac:dyDescent="0.25">
      <c r="A32" s="548" t="s">
        <v>41</v>
      </c>
      <c r="B32" s="549">
        <f t="shared" si="1"/>
        <v>919</v>
      </c>
      <c r="C32" s="549">
        <v>5</v>
      </c>
      <c r="D32" s="549">
        <v>154</v>
      </c>
      <c r="E32" s="549">
        <v>216</v>
      </c>
      <c r="F32" s="549">
        <v>198</v>
      </c>
      <c r="G32" s="549">
        <v>144</v>
      </c>
      <c r="H32" s="549">
        <v>113</v>
      </c>
      <c r="I32" s="549">
        <v>31</v>
      </c>
      <c r="J32" s="549">
        <v>6</v>
      </c>
      <c r="K32" s="549">
        <v>2</v>
      </c>
      <c r="L32" s="549">
        <v>50</v>
      </c>
    </row>
    <row r="33" spans="1:12" s="543" customFormat="1" ht="9" customHeight="1" x14ac:dyDescent="0.25">
      <c r="A33" s="546" t="s">
        <v>42</v>
      </c>
      <c r="B33" s="547">
        <f t="shared" si="1"/>
        <v>2249</v>
      </c>
      <c r="C33" s="547">
        <v>7</v>
      </c>
      <c r="D33" s="547">
        <v>369</v>
      </c>
      <c r="E33" s="547">
        <v>570</v>
      </c>
      <c r="F33" s="547">
        <v>463</v>
      </c>
      <c r="G33" s="547">
        <v>324</v>
      </c>
      <c r="H33" s="547">
        <v>250</v>
      </c>
      <c r="I33" s="547">
        <v>88</v>
      </c>
      <c r="J33" s="547">
        <v>15</v>
      </c>
      <c r="K33" s="547">
        <v>0</v>
      </c>
      <c r="L33" s="547">
        <v>163</v>
      </c>
    </row>
    <row r="34" spans="1:12" s="543" customFormat="1" ht="9" customHeight="1" x14ac:dyDescent="0.25">
      <c r="A34" s="546" t="s">
        <v>43</v>
      </c>
      <c r="B34" s="547">
        <f t="shared" si="1"/>
        <v>493</v>
      </c>
      <c r="C34" s="547">
        <v>0</v>
      </c>
      <c r="D34" s="547">
        <v>71</v>
      </c>
      <c r="E34" s="547">
        <v>128</v>
      </c>
      <c r="F34" s="547">
        <v>108</v>
      </c>
      <c r="G34" s="547">
        <v>77</v>
      </c>
      <c r="H34" s="547">
        <v>66</v>
      </c>
      <c r="I34" s="547">
        <v>23</v>
      </c>
      <c r="J34" s="547">
        <v>2</v>
      </c>
      <c r="K34" s="547">
        <v>0</v>
      </c>
      <c r="L34" s="547">
        <v>18</v>
      </c>
    </row>
    <row r="35" spans="1:12" s="543" customFormat="1" ht="9" customHeight="1" x14ac:dyDescent="0.25">
      <c r="A35" s="546" t="s">
        <v>44</v>
      </c>
      <c r="B35" s="547">
        <f t="shared" si="1"/>
        <v>227</v>
      </c>
      <c r="C35" s="547">
        <v>4</v>
      </c>
      <c r="D35" s="547">
        <v>41</v>
      </c>
      <c r="E35" s="547">
        <v>66</v>
      </c>
      <c r="F35" s="547">
        <v>41</v>
      </c>
      <c r="G35" s="547">
        <v>36</v>
      </c>
      <c r="H35" s="547">
        <v>19</v>
      </c>
      <c r="I35" s="547">
        <v>6</v>
      </c>
      <c r="J35" s="547">
        <v>0</v>
      </c>
      <c r="K35" s="547">
        <v>0</v>
      </c>
      <c r="L35" s="547">
        <v>14</v>
      </c>
    </row>
    <row r="36" spans="1:12" s="543" customFormat="1" ht="9" customHeight="1" x14ac:dyDescent="0.25">
      <c r="A36" s="548" t="s">
        <v>45</v>
      </c>
      <c r="B36" s="549">
        <f t="shared" si="1"/>
        <v>752</v>
      </c>
      <c r="C36" s="549">
        <v>3</v>
      </c>
      <c r="D36" s="549">
        <v>96</v>
      </c>
      <c r="E36" s="549">
        <v>179</v>
      </c>
      <c r="F36" s="549">
        <v>166</v>
      </c>
      <c r="G36" s="549">
        <v>122</v>
      </c>
      <c r="H36" s="549">
        <v>91</v>
      </c>
      <c r="I36" s="549">
        <v>36</v>
      </c>
      <c r="J36" s="549">
        <v>1</v>
      </c>
      <c r="K36" s="549">
        <v>0</v>
      </c>
      <c r="L36" s="549">
        <v>58</v>
      </c>
    </row>
    <row r="37" spans="1:12" s="543" customFormat="1" ht="9" customHeight="1" x14ac:dyDescent="0.25">
      <c r="A37" s="546" t="s">
        <v>46</v>
      </c>
      <c r="B37" s="547">
        <f t="shared" si="1"/>
        <v>145</v>
      </c>
      <c r="C37" s="547">
        <v>0</v>
      </c>
      <c r="D37" s="547">
        <v>21</v>
      </c>
      <c r="E37" s="547">
        <v>45</v>
      </c>
      <c r="F37" s="547">
        <v>31</v>
      </c>
      <c r="G37" s="547">
        <v>19</v>
      </c>
      <c r="H37" s="547">
        <v>13</v>
      </c>
      <c r="I37" s="547">
        <v>1</v>
      </c>
      <c r="J37" s="547">
        <v>0</v>
      </c>
      <c r="K37" s="547">
        <v>0</v>
      </c>
      <c r="L37" s="547">
        <v>15</v>
      </c>
    </row>
    <row r="38" spans="1:12" s="543" customFormat="1" ht="9" customHeight="1" x14ac:dyDescent="0.25">
      <c r="A38" s="546" t="s">
        <v>47</v>
      </c>
      <c r="B38" s="547">
        <f t="shared" si="1"/>
        <v>489</v>
      </c>
      <c r="C38" s="547">
        <v>0</v>
      </c>
      <c r="D38" s="547">
        <v>92</v>
      </c>
      <c r="E38" s="547">
        <v>126</v>
      </c>
      <c r="F38" s="547">
        <v>100</v>
      </c>
      <c r="G38" s="547">
        <v>64</v>
      </c>
      <c r="H38" s="547">
        <v>64</v>
      </c>
      <c r="I38" s="547">
        <v>11</v>
      </c>
      <c r="J38" s="547">
        <v>1</v>
      </c>
      <c r="K38" s="547">
        <v>0</v>
      </c>
      <c r="L38" s="547">
        <v>31</v>
      </c>
    </row>
    <row r="39" spans="1:12" s="543" customFormat="1" ht="9" customHeight="1" x14ac:dyDescent="0.25">
      <c r="A39" s="546" t="s">
        <v>48</v>
      </c>
      <c r="B39" s="547">
        <f t="shared" si="1"/>
        <v>469</v>
      </c>
      <c r="C39" s="547">
        <v>7</v>
      </c>
      <c r="D39" s="547">
        <v>92</v>
      </c>
      <c r="E39" s="547">
        <v>121</v>
      </c>
      <c r="F39" s="547">
        <v>86</v>
      </c>
      <c r="G39" s="547">
        <v>70</v>
      </c>
      <c r="H39" s="547">
        <v>50</v>
      </c>
      <c r="I39" s="547">
        <v>18</v>
      </c>
      <c r="J39" s="547">
        <v>1</v>
      </c>
      <c r="K39" s="547">
        <v>0</v>
      </c>
      <c r="L39" s="547">
        <v>24</v>
      </c>
    </row>
    <row r="40" spans="1:12" s="543" customFormat="1" ht="9" customHeight="1" x14ac:dyDescent="0.25">
      <c r="A40" s="548" t="s">
        <v>49</v>
      </c>
      <c r="B40" s="549">
        <f t="shared" si="1"/>
        <v>497</v>
      </c>
      <c r="C40" s="549">
        <v>0</v>
      </c>
      <c r="D40" s="549">
        <v>85</v>
      </c>
      <c r="E40" s="549">
        <v>147</v>
      </c>
      <c r="F40" s="549">
        <v>114</v>
      </c>
      <c r="G40" s="549">
        <v>73</v>
      </c>
      <c r="H40" s="549">
        <v>40</v>
      </c>
      <c r="I40" s="549">
        <v>11</v>
      </c>
      <c r="J40" s="549">
        <v>0</v>
      </c>
      <c r="K40" s="549">
        <v>0</v>
      </c>
      <c r="L40" s="549">
        <v>27</v>
      </c>
    </row>
    <row r="41" spans="1:12" s="543" customFormat="1" ht="9" customHeight="1" x14ac:dyDescent="0.25">
      <c r="A41" s="546" t="s">
        <v>50</v>
      </c>
      <c r="B41" s="547">
        <f t="shared" si="1"/>
        <v>314</v>
      </c>
      <c r="C41" s="547">
        <v>2</v>
      </c>
      <c r="D41" s="547">
        <v>49</v>
      </c>
      <c r="E41" s="547">
        <v>79</v>
      </c>
      <c r="F41" s="547">
        <v>68</v>
      </c>
      <c r="G41" s="547">
        <v>50</v>
      </c>
      <c r="H41" s="547">
        <v>35</v>
      </c>
      <c r="I41" s="547">
        <v>10</v>
      </c>
      <c r="J41" s="547">
        <v>0</v>
      </c>
      <c r="K41" s="547">
        <v>0</v>
      </c>
      <c r="L41" s="547">
        <v>21</v>
      </c>
    </row>
    <row r="42" spans="1:12" s="543" customFormat="1" ht="9" customHeight="1" x14ac:dyDescent="0.25">
      <c r="A42" s="546" t="s">
        <v>51</v>
      </c>
      <c r="B42" s="547">
        <f t="shared" si="1"/>
        <v>1837</v>
      </c>
      <c r="C42" s="547">
        <v>9</v>
      </c>
      <c r="D42" s="547">
        <v>304</v>
      </c>
      <c r="E42" s="547">
        <v>489</v>
      </c>
      <c r="F42" s="547">
        <v>397</v>
      </c>
      <c r="G42" s="547">
        <v>281</v>
      </c>
      <c r="H42" s="547">
        <v>201</v>
      </c>
      <c r="I42" s="547">
        <v>67</v>
      </c>
      <c r="J42" s="547">
        <v>6</v>
      </c>
      <c r="K42" s="547">
        <v>0</v>
      </c>
      <c r="L42" s="547">
        <v>83</v>
      </c>
    </row>
    <row r="43" spans="1:12" s="543" customFormat="1" ht="9" customHeight="1" x14ac:dyDescent="0.25">
      <c r="A43" s="546" t="s">
        <v>52</v>
      </c>
      <c r="B43" s="547">
        <f t="shared" si="1"/>
        <v>378</v>
      </c>
      <c r="C43" s="547">
        <v>1</v>
      </c>
      <c r="D43" s="547">
        <v>51</v>
      </c>
      <c r="E43" s="547">
        <v>88</v>
      </c>
      <c r="F43" s="547">
        <v>84</v>
      </c>
      <c r="G43" s="547">
        <v>63</v>
      </c>
      <c r="H43" s="547">
        <v>48</v>
      </c>
      <c r="I43" s="547">
        <v>17</v>
      </c>
      <c r="J43" s="547">
        <v>0</v>
      </c>
      <c r="K43" s="547">
        <v>0</v>
      </c>
      <c r="L43" s="547">
        <v>26</v>
      </c>
    </row>
    <row r="44" spans="1:12" s="543" customFormat="1" ht="9" customHeight="1" x14ac:dyDescent="0.25">
      <c r="A44" s="548" t="s">
        <v>53</v>
      </c>
      <c r="B44" s="549">
        <f t="shared" si="1"/>
        <v>354</v>
      </c>
      <c r="C44" s="549">
        <v>0</v>
      </c>
      <c r="D44" s="549">
        <v>43</v>
      </c>
      <c r="E44" s="549">
        <v>97</v>
      </c>
      <c r="F44" s="549">
        <v>57</v>
      </c>
      <c r="G44" s="549">
        <v>59</v>
      </c>
      <c r="H44" s="549">
        <v>49</v>
      </c>
      <c r="I44" s="549">
        <v>16</v>
      </c>
      <c r="J44" s="549">
        <v>3</v>
      </c>
      <c r="K44" s="549">
        <v>0</v>
      </c>
      <c r="L44" s="549">
        <v>30</v>
      </c>
    </row>
    <row r="45" spans="1:12" s="543" customFormat="1" ht="9" customHeight="1" x14ac:dyDescent="0.25">
      <c r="A45" s="546" t="s">
        <v>434</v>
      </c>
      <c r="B45" s="547">
        <f t="shared" si="1"/>
        <v>13</v>
      </c>
      <c r="C45" s="547">
        <v>0</v>
      </c>
      <c r="D45" s="547">
        <v>1</v>
      </c>
      <c r="E45" s="547">
        <v>3</v>
      </c>
      <c r="F45" s="547">
        <v>3</v>
      </c>
      <c r="G45" s="547">
        <v>4</v>
      </c>
      <c r="H45" s="547">
        <v>0</v>
      </c>
      <c r="I45" s="547">
        <v>1</v>
      </c>
      <c r="J45" s="547">
        <v>0</v>
      </c>
      <c r="K45" s="547">
        <v>0</v>
      </c>
      <c r="L45" s="547">
        <v>1</v>
      </c>
    </row>
    <row r="46" spans="1:12" s="543" customFormat="1" ht="9" customHeight="1" x14ac:dyDescent="0.25">
      <c r="A46" s="546"/>
      <c r="B46" s="547"/>
      <c r="C46" s="547"/>
      <c r="D46" s="547"/>
      <c r="E46" s="547"/>
      <c r="F46" s="547"/>
      <c r="G46" s="547"/>
      <c r="H46" s="547"/>
      <c r="I46" s="547"/>
      <c r="J46" s="547"/>
      <c r="K46" s="547"/>
      <c r="L46" s="547"/>
    </row>
    <row r="47" spans="1:12" s="543" customFormat="1" ht="9" customHeight="1" x14ac:dyDescent="0.25">
      <c r="A47" s="541">
        <v>1996</v>
      </c>
      <c r="B47" s="542"/>
      <c r="C47" s="542"/>
      <c r="D47" s="542"/>
      <c r="E47" s="542"/>
      <c r="F47" s="542"/>
      <c r="G47" s="542"/>
      <c r="H47" s="542"/>
      <c r="I47" s="542"/>
      <c r="J47" s="542"/>
      <c r="K47" s="542"/>
      <c r="L47" s="542"/>
    </row>
    <row r="48" spans="1:12" s="543" customFormat="1" ht="9" customHeight="1" x14ac:dyDescent="0.25">
      <c r="A48" s="541" t="s">
        <v>13</v>
      </c>
      <c r="B48" s="544">
        <f t="shared" ref="B48:L48" si="2">SUM(B50:B82)</f>
        <v>27157</v>
      </c>
      <c r="C48" s="544">
        <f t="shared" si="2"/>
        <v>117</v>
      </c>
      <c r="D48" s="544">
        <f t="shared" si="2"/>
        <v>4003</v>
      </c>
      <c r="E48" s="544">
        <f t="shared" si="2"/>
        <v>7231</v>
      </c>
      <c r="F48" s="544">
        <f t="shared" si="2"/>
        <v>6059</v>
      </c>
      <c r="G48" s="544">
        <f t="shared" si="2"/>
        <v>4350</v>
      </c>
      <c r="H48" s="544">
        <f t="shared" si="2"/>
        <v>2977</v>
      </c>
      <c r="I48" s="544">
        <f t="shared" si="2"/>
        <v>969</v>
      </c>
      <c r="J48" s="544">
        <f t="shared" si="2"/>
        <v>112</v>
      </c>
      <c r="K48" s="544">
        <f t="shared" si="2"/>
        <v>8</v>
      </c>
      <c r="L48" s="544">
        <f t="shared" si="2"/>
        <v>1331</v>
      </c>
    </row>
    <row r="49" spans="1:12" s="543" customFormat="1" ht="3.95" customHeight="1" x14ac:dyDescent="0.25">
      <c r="A49" s="541"/>
      <c r="B49" s="544"/>
      <c r="C49" s="544"/>
      <c r="D49" s="544"/>
      <c r="E49" s="544"/>
      <c r="F49" s="544"/>
      <c r="G49" s="544"/>
      <c r="H49" s="544"/>
      <c r="I49" s="544"/>
      <c r="J49" s="544"/>
      <c r="K49" s="544"/>
      <c r="L49" s="544"/>
    </row>
    <row r="50" spans="1:12" s="543" customFormat="1" ht="9" customHeight="1" x14ac:dyDescent="0.25">
      <c r="A50" s="546" t="s">
        <v>23</v>
      </c>
      <c r="B50" s="547">
        <f t="shared" ref="B50:B82" si="3">SUM(C50:L50)</f>
        <v>305</v>
      </c>
      <c r="C50" s="547">
        <v>0</v>
      </c>
      <c r="D50" s="547">
        <v>29</v>
      </c>
      <c r="E50" s="547">
        <v>66</v>
      </c>
      <c r="F50" s="547">
        <v>81</v>
      </c>
      <c r="G50" s="547">
        <v>49</v>
      </c>
      <c r="H50" s="547">
        <v>36</v>
      </c>
      <c r="I50" s="547">
        <v>13</v>
      </c>
      <c r="J50" s="547">
        <v>2</v>
      </c>
      <c r="K50" s="547">
        <v>0</v>
      </c>
      <c r="L50" s="547">
        <v>29</v>
      </c>
    </row>
    <row r="51" spans="1:12" s="543" customFormat="1" ht="9" customHeight="1" x14ac:dyDescent="0.25">
      <c r="A51" s="546" t="s">
        <v>24</v>
      </c>
      <c r="B51" s="547">
        <f t="shared" si="3"/>
        <v>794</v>
      </c>
      <c r="C51" s="547">
        <v>3</v>
      </c>
      <c r="D51" s="547">
        <v>111</v>
      </c>
      <c r="E51" s="547">
        <v>228</v>
      </c>
      <c r="F51" s="547">
        <v>182</v>
      </c>
      <c r="G51" s="547">
        <v>119</v>
      </c>
      <c r="H51" s="547">
        <v>89</v>
      </c>
      <c r="I51" s="547">
        <v>20</v>
      </c>
      <c r="J51" s="547">
        <v>1</v>
      </c>
      <c r="K51" s="547">
        <v>0</v>
      </c>
      <c r="L51" s="547">
        <v>41</v>
      </c>
    </row>
    <row r="52" spans="1:12" s="543" customFormat="1" ht="9" customHeight="1" x14ac:dyDescent="0.25">
      <c r="A52" s="546" t="s">
        <v>25</v>
      </c>
      <c r="B52" s="547">
        <f t="shared" si="3"/>
        <v>89</v>
      </c>
      <c r="C52" s="547">
        <v>0</v>
      </c>
      <c r="D52" s="547">
        <v>16</v>
      </c>
      <c r="E52" s="547">
        <v>33</v>
      </c>
      <c r="F52" s="547">
        <v>16</v>
      </c>
      <c r="G52" s="547">
        <v>11</v>
      </c>
      <c r="H52" s="547">
        <v>8</v>
      </c>
      <c r="I52" s="547">
        <v>2</v>
      </c>
      <c r="J52" s="547">
        <v>0</v>
      </c>
      <c r="K52" s="547">
        <v>0</v>
      </c>
      <c r="L52" s="547">
        <v>3</v>
      </c>
    </row>
    <row r="53" spans="1:12" s="543" customFormat="1" ht="9" customHeight="1" x14ac:dyDescent="0.25">
      <c r="A53" s="548" t="s">
        <v>26</v>
      </c>
      <c r="B53" s="549">
        <f t="shared" si="3"/>
        <v>143</v>
      </c>
      <c r="C53" s="549">
        <v>1</v>
      </c>
      <c r="D53" s="549">
        <v>20</v>
      </c>
      <c r="E53" s="549">
        <v>34</v>
      </c>
      <c r="F53" s="549">
        <v>29</v>
      </c>
      <c r="G53" s="549">
        <v>26</v>
      </c>
      <c r="H53" s="549">
        <v>22</v>
      </c>
      <c r="I53" s="549">
        <v>4</v>
      </c>
      <c r="J53" s="549">
        <v>1</v>
      </c>
      <c r="K53" s="549">
        <v>0</v>
      </c>
      <c r="L53" s="549">
        <v>6</v>
      </c>
    </row>
    <row r="54" spans="1:12" s="543" customFormat="1" ht="9" customHeight="1" x14ac:dyDescent="0.25">
      <c r="A54" s="546" t="s">
        <v>27</v>
      </c>
      <c r="B54" s="547">
        <f t="shared" si="3"/>
        <v>323</v>
      </c>
      <c r="C54" s="547">
        <v>2</v>
      </c>
      <c r="D54" s="547">
        <v>58</v>
      </c>
      <c r="E54" s="547">
        <v>97</v>
      </c>
      <c r="F54" s="547">
        <v>72</v>
      </c>
      <c r="G54" s="547">
        <v>44</v>
      </c>
      <c r="H54" s="547">
        <v>20</v>
      </c>
      <c r="I54" s="547">
        <v>4</v>
      </c>
      <c r="J54" s="547">
        <v>0</v>
      </c>
      <c r="K54" s="547">
        <v>0</v>
      </c>
      <c r="L54" s="547">
        <v>26</v>
      </c>
    </row>
    <row r="55" spans="1:12" s="543" customFormat="1" ht="9" customHeight="1" x14ac:dyDescent="0.25">
      <c r="A55" s="546" t="s">
        <v>28</v>
      </c>
      <c r="B55" s="547">
        <f t="shared" si="3"/>
        <v>118</v>
      </c>
      <c r="C55" s="547">
        <v>1</v>
      </c>
      <c r="D55" s="547">
        <v>21</v>
      </c>
      <c r="E55" s="547">
        <v>31</v>
      </c>
      <c r="F55" s="547">
        <v>31</v>
      </c>
      <c r="G55" s="547">
        <v>11</v>
      </c>
      <c r="H55" s="547">
        <v>18</v>
      </c>
      <c r="I55" s="547">
        <v>4</v>
      </c>
      <c r="J55" s="547">
        <v>0</v>
      </c>
      <c r="K55" s="547">
        <v>0</v>
      </c>
      <c r="L55" s="547">
        <v>1</v>
      </c>
    </row>
    <row r="56" spans="1:12" s="543" customFormat="1" ht="9" customHeight="1" x14ac:dyDescent="0.25">
      <c r="A56" s="546" t="s">
        <v>29</v>
      </c>
      <c r="B56" s="547">
        <f t="shared" si="3"/>
        <v>1220</v>
      </c>
      <c r="C56" s="547">
        <v>7</v>
      </c>
      <c r="D56" s="547">
        <v>258</v>
      </c>
      <c r="E56" s="547">
        <v>308</v>
      </c>
      <c r="F56" s="547">
        <v>253</v>
      </c>
      <c r="G56" s="547">
        <v>153</v>
      </c>
      <c r="H56" s="547">
        <v>139</v>
      </c>
      <c r="I56" s="547">
        <v>53</v>
      </c>
      <c r="J56" s="547">
        <v>10</v>
      </c>
      <c r="K56" s="547">
        <v>0</v>
      </c>
      <c r="L56" s="547">
        <v>39</v>
      </c>
    </row>
    <row r="57" spans="1:12" s="543" customFormat="1" ht="9" customHeight="1" x14ac:dyDescent="0.25">
      <c r="A57" s="548" t="s">
        <v>30</v>
      </c>
      <c r="B57" s="549">
        <f t="shared" si="3"/>
        <v>653</v>
      </c>
      <c r="C57" s="549">
        <v>2</v>
      </c>
      <c r="D57" s="549">
        <v>111</v>
      </c>
      <c r="E57" s="549">
        <v>194</v>
      </c>
      <c r="F57" s="549">
        <v>146</v>
      </c>
      <c r="G57" s="549">
        <v>86</v>
      </c>
      <c r="H57" s="549">
        <v>65</v>
      </c>
      <c r="I57" s="549">
        <v>11</v>
      </c>
      <c r="J57" s="549">
        <v>1</v>
      </c>
      <c r="K57" s="549">
        <v>0</v>
      </c>
      <c r="L57" s="549">
        <v>37</v>
      </c>
    </row>
    <row r="58" spans="1:12" s="543" customFormat="1" ht="9" customHeight="1" x14ac:dyDescent="0.25">
      <c r="A58" s="550" t="s">
        <v>63</v>
      </c>
      <c r="B58" s="547">
        <f t="shared" si="3"/>
        <v>2681</v>
      </c>
      <c r="C58" s="547">
        <v>8</v>
      </c>
      <c r="D58" s="547">
        <v>347</v>
      </c>
      <c r="E58" s="547">
        <v>754</v>
      </c>
      <c r="F58" s="547">
        <v>653</v>
      </c>
      <c r="G58" s="547">
        <v>508</v>
      </c>
      <c r="H58" s="547">
        <v>251</v>
      </c>
      <c r="I58" s="547">
        <v>65</v>
      </c>
      <c r="J58" s="547">
        <v>5</v>
      </c>
      <c r="K58" s="547">
        <v>1</v>
      </c>
      <c r="L58" s="547">
        <v>89</v>
      </c>
    </row>
    <row r="59" spans="1:12" s="543" customFormat="1" ht="9" customHeight="1" x14ac:dyDescent="0.25">
      <c r="A59" s="546" t="s">
        <v>31</v>
      </c>
      <c r="B59" s="547">
        <f t="shared" si="3"/>
        <v>280</v>
      </c>
      <c r="C59" s="547">
        <v>1</v>
      </c>
      <c r="D59" s="547">
        <v>44</v>
      </c>
      <c r="E59" s="547">
        <v>62</v>
      </c>
      <c r="F59" s="547">
        <v>60</v>
      </c>
      <c r="G59" s="547">
        <v>48</v>
      </c>
      <c r="H59" s="547">
        <v>20</v>
      </c>
      <c r="I59" s="547">
        <v>13</v>
      </c>
      <c r="J59" s="547">
        <v>0</v>
      </c>
      <c r="K59" s="547">
        <v>0</v>
      </c>
      <c r="L59" s="547">
        <v>32</v>
      </c>
    </row>
    <row r="60" spans="1:12" s="543" customFormat="1" ht="9" customHeight="1" x14ac:dyDescent="0.25">
      <c r="A60" s="546" t="s">
        <v>32</v>
      </c>
      <c r="B60" s="547">
        <f t="shared" si="3"/>
        <v>1975</v>
      </c>
      <c r="C60" s="547">
        <v>1</v>
      </c>
      <c r="D60" s="547">
        <v>232</v>
      </c>
      <c r="E60" s="547">
        <v>487</v>
      </c>
      <c r="F60" s="551">
        <v>424</v>
      </c>
      <c r="G60" s="547">
        <v>345</v>
      </c>
      <c r="H60" s="547">
        <v>285</v>
      </c>
      <c r="I60" s="547">
        <v>114</v>
      </c>
      <c r="J60" s="547">
        <v>9</v>
      </c>
      <c r="K60" s="547">
        <v>0</v>
      </c>
      <c r="L60" s="547">
        <v>78</v>
      </c>
    </row>
    <row r="61" spans="1:12" s="543" customFormat="1" ht="9" customHeight="1" x14ac:dyDescent="0.25">
      <c r="A61" s="548" t="s">
        <v>33</v>
      </c>
      <c r="B61" s="549">
        <f t="shared" si="3"/>
        <v>337</v>
      </c>
      <c r="C61" s="549">
        <v>0</v>
      </c>
      <c r="D61" s="549">
        <v>65</v>
      </c>
      <c r="E61" s="549">
        <v>63</v>
      </c>
      <c r="F61" s="549">
        <v>66</v>
      </c>
      <c r="G61" s="549">
        <v>52</v>
      </c>
      <c r="H61" s="549">
        <v>59</v>
      </c>
      <c r="I61" s="549">
        <v>16</v>
      </c>
      <c r="J61" s="549">
        <v>2</v>
      </c>
      <c r="K61" s="549">
        <v>0</v>
      </c>
      <c r="L61" s="549">
        <v>14</v>
      </c>
    </row>
    <row r="62" spans="1:12" s="543" customFormat="1" ht="9" customHeight="1" x14ac:dyDescent="0.25">
      <c r="A62" s="546" t="s">
        <v>34</v>
      </c>
      <c r="B62" s="547">
        <f t="shared" si="3"/>
        <v>642</v>
      </c>
      <c r="C62" s="547">
        <v>1</v>
      </c>
      <c r="D62" s="547">
        <v>116</v>
      </c>
      <c r="E62" s="547">
        <v>168</v>
      </c>
      <c r="F62" s="547">
        <v>127</v>
      </c>
      <c r="G62" s="547">
        <v>102</v>
      </c>
      <c r="H62" s="547">
        <v>71</v>
      </c>
      <c r="I62" s="547">
        <v>12</v>
      </c>
      <c r="J62" s="547">
        <v>4</v>
      </c>
      <c r="K62" s="547">
        <v>1</v>
      </c>
      <c r="L62" s="547">
        <v>40</v>
      </c>
    </row>
    <row r="63" spans="1:12" s="543" customFormat="1" ht="9" customHeight="1" x14ac:dyDescent="0.25">
      <c r="A63" s="546" t="s">
        <v>35</v>
      </c>
      <c r="B63" s="547">
        <f t="shared" si="3"/>
        <v>1913</v>
      </c>
      <c r="C63" s="547">
        <v>6</v>
      </c>
      <c r="D63" s="547">
        <v>226</v>
      </c>
      <c r="E63" s="547">
        <v>504</v>
      </c>
      <c r="F63" s="547">
        <v>420</v>
      </c>
      <c r="G63" s="547">
        <v>351</v>
      </c>
      <c r="H63" s="547">
        <v>234</v>
      </c>
      <c r="I63" s="547">
        <v>76</v>
      </c>
      <c r="J63" s="547">
        <v>10</v>
      </c>
      <c r="K63" s="547">
        <v>0</v>
      </c>
      <c r="L63" s="547">
        <v>86</v>
      </c>
    </row>
    <row r="64" spans="1:12" s="543" customFormat="1" ht="9" customHeight="1" x14ac:dyDescent="0.25">
      <c r="A64" s="546" t="s">
        <v>36</v>
      </c>
      <c r="B64" s="547">
        <f t="shared" si="3"/>
        <v>4696</v>
      </c>
      <c r="C64" s="547">
        <v>20</v>
      </c>
      <c r="D64" s="547">
        <v>737</v>
      </c>
      <c r="E64" s="547">
        <v>1358</v>
      </c>
      <c r="F64" s="547">
        <v>1126</v>
      </c>
      <c r="G64" s="547">
        <v>698</v>
      </c>
      <c r="H64" s="547">
        <v>440</v>
      </c>
      <c r="I64" s="547">
        <v>142</v>
      </c>
      <c r="J64" s="547">
        <v>19</v>
      </c>
      <c r="K64" s="547">
        <v>0</v>
      </c>
      <c r="L64" s="547">
        <v>156</v>
      </c>
    </row>
    <row r="65" spans="1:12" s="543" customFormat="1" ht="9" customHeight="1" x14ac:dyDescent="0.25">
      <c r="A65" s="548" t="s">
        <v>37</v>
      </c>
      <c r="B65" s="549">
        <f t="shared" si="3"/>
        <v>1096</v>
      </c>
      <c r="C65" s="549">
        <v>5</v>
      </c>
      <c r="D65" s="549">
        <v>159</v>
      </c>
      <c r="E65" s="549">
        <v>278</v>
      </c>
      <c r="F65" s="549">
        <v>220</v>
      </c>
      <c r="G65" s="549">
        <v>190</v>
      </c>
      <c r="H65" s="549">
        <v>133</v>
      </c>
      <c r="I65" s="549">
        <v>52</v>
      </c>
      <c r="J65" s="549">
        <v>8</v>
      </c>
      <c r="K65" s="549">
        <v>0</v>
      </c>
      <c r="L65" s="549">
        <v>51</v>
      </c>
    </row>
    <row r="66" spans="1:12" s="543" customFormat="1" ht="9" customHeight="1" x14ac:dyDescent="0.25">
      <c r="A66" s="546" t="s">
        <v>38</v>
      </c>
      <c r="B66" s="547">
        <f t="shared" si="3"/>
        <v>402</v>
      </c>
      <c r="C66" s="547">
        <v>2</v>
      </c>
      <c r="D66" s="551">
        <v>54</v>
      </c>
      <c r="E66" s="547">
        <v>121</v>
      </c>
      <c r="F66" s="547">
        <v>94</v>
      </c>
      <c r="G66" s="547">
        <v>68</v>
      </c>
      <c r="H66" s="547">
        <v>42</v>
      </c>
      <c r="I66" s="547">
        <v>13</v>
      </c>
      <c r="J66" s="547">
        <v>0</v>
      </c>
      <c r="K66" s="547">
        <v>0</v>
      </c>
      <c r="L66" s="547">
        <v>8</v>
      </c>
    </row>
    <row r="67" spans="1:12" s="543" customFormat="1" ht="9" customHeight="1" x14ac:dyDescent="0.25">
      <c r="A67" s="546" t="s">
        <v>39</v>
      </c>
      <c r="B67" s="547">
        <f t="shared" si="3"/>
        <v>129</v>
      </c>
      <c r="C67" s="547">
        <v>0</v>
      </c>
      <c r="D67" s="547">
        <v>17</v>
      </c>
      <c r="E67" s="547">
        <v>36</v>
      </c>
      <c r="F67" s="547">
        <v>38</v>
      </c>
      <c r="G67" s="547">
        <v>22</v>
      </c>
      <c r="H67" s="547">
        <v>10</v>
      </c>
      <c r="I67" s="547">
        <v>0</v>
      </c>
      <c r="J67" s="547">
        <v>0</v>
      </c>
      <c r="K67" s="547">
        <v>0</v>
      </c>
      <c r="L67" s="547">
        <v>6</v>
      </c>
    </row>
    <row r="68" spans="1:12" s="543" customFormat="1" ht="9" customHeight="1" x14ac:dyDescent="0.25">
      <c r="A68" s="546" t="s">
        <v>40</v>
      </c>
      <c r="B68" s="547">
        <f t="shared" si="3"/>
        <v>547</v>
      </c>
      <c r="C68" s="547">
        <v>1</v>
      </c>
      <c r="D68" s="547">
        <v>71</v>
      </c>
      <c r="E68" s="547">
        <v>140</v>
      </c>
      <c r="F68" s="547">
        <v>146</v>
      </c>
      <c r="G68" s="547">
        <v>98</v>
      </c>
      <c r="H68" s="547">
        <v>36</v>
      </c>
      <c r="I68" s="547">
        <v>14</v>
      </c>
      <c r="J68" s="547">
        <v>0</v>
      </c>
      <c r="K68" s="547">
        <v>0</v>
      </c>
      <c r="L68" s="547">
        <v>41</v>
      </c>
    </row>
    <row r="69" spans="1:12" s="543" customFormat="1" ht="9" customHeight="1" x14ac:dyDescent="0.25">
      <c r="A69" s="548" t="s">
        <v>41</v>
      </c>
      <c r="B69" s="549">
        <f t="shared" si="3"/>
        <v>861</v>
      </c>
      <c r="C69" s="549">
        <v>8</v>
      </c>
      <c r="D69" s="549">
        <v>153</v>
      </c>
      <c r="E69" s="549">
        <v>239</v>
      </c>
      <c r="F69" s="549">
        <v>162</v>
      </c>
      <c r="G69" s="549">
        <v>126</v>
      </c>
      <c r="H69" s="549">
        <v>100</v>
      </c>
      <c r="I69" s="549">
        <v>41</v>
      </c>
      <c r="J69" s="549">
        <v>5</v>
      </c>
      <c r="K69" s="549">
        <v>0</v>
      </c>
      <c r="L69" s="549">
        <v>27</v>
      </c>
    </row>
    <row r="70" spans="1:12" s="543" customFormat="1" ht="9" customHeight="1" x14ac:dyDescent="0.25">
      <c r="A70" s="546" t="s">
        <v>42</v>
      </c>
      <c r="B70" s="547">
        <f t="shared" si="3"/>
        <v>2112</v>
      </c>
      <c r="C70" s="547">
        <v>13</v>
      </c>
      <c r="D70" s="547">
        <v>329</v>
      </c>
      <c r="E70" s="547">
        <v>477</v>
      </c>
      <c r="F70" s="547">
        <v>443</v>
      </c>
      <c r="G70" s="547">
        <v>298</v>
      </c>
      <c r="H70" s="547">
        <v>266</v>
      </c>
      <c r="I70" s="547">
        <v>80</v>
      </c>
      <c r="J70" s="547">
        <v>12</v>
      </c>
      <c r="K70" s="547">
        <v>3</v>
      </c>
      <c r="L70" s="547">
        <v>191</v>
      </c>
    </row>
    <row r="71" spans="1:12" s="543" customFormat="1" ht="9" customHeight="1" x14ac:dyDescent="0.25">
      <c r="A71" s="546" t="s">
        <v>43</v>
      </c>
      <c r="B71" s="547">
        <f t="shared" si="3"/>
        <v>479</v>
      </c>
      <c r="C71" s="547">
        <v>4</v>
      </c>
      <c r="D71" s="547">
        <v>67</v>
      </c>
      <c r="E71" s="547">
        <v>107</v>
      </c>
      <c r="F71" s="547">
        <v>108</v>
      </c>
      <c r="G71" s="547">
        <v>87</v>
      </c>
      <c r="H71" s="547">
        <v>57</v>
      </c>
      <c r="I71" s="547">
        <v>25</v>
      </c>
      <c r="J71" s="547">
        <v>5</v>
      </c>
      <c r="K71" s="547">
        <v>0</v>
      </c>
      <c r="L71" s="547">
        <v>19</v>
      </c>
    </row>
    <row r="72" spans="1:12" s="543" customFormat="1" ht="9" customHeight="1" x14ac:dyDescent="0.25">
      <c r="A72" s="546" t="s">
        <v>44</v>
      </c>
      <c r="B72" s="547">
        <f t="shared" si="3"/>
        <v>229</v>
      </c>
      <c r="C72" s="547">
        <v>2</v>
      </c>
      <c r="D72" s="547">
        <v>36</v>
      </c>
      <c r="E72" s="547">
        <v>68</v>
      </c>
      <c r="F72" s="547">
        <v>51</v>
      </c>
      <c r="G72" s="547">
        <v>27</v>
      </c>
      <c r="H72" s="547">
        <v>24</v>
      </c>
      <c r="I72" s="547">
        <v>10</v>
      </c>
      <c r="J72" s="547">
        <v>0</v>
      </c>
      <c r="K72" s="547">
        <v>0</v>
      </c>
      <c r="L72" s="547">
        <v>11</v>
      </c>
    </row>
    <row r="73" spans="1:12" s="543" customFormat="1" ht="9" customHeight="1" x14ac:dyDescent="0.25">
      <c r="A73" s="548" t="s">
        <v>45</v>
      </c>
      <c r="B73" s="549">
        <f t="shared" si="3"/>
        <v>778</v>
      </c>
      <c r="C73" s="549">
        <v>3</v>
      </c>
      <c r="D73" s="549">
        <v>103</v>
      </c>
      <c r="E73" s="549">
        <v>203</v>
      </c>
      <c r="F73" s="549">
        <v>159</v>
      </c>
      <c r="G73" s="549">
        <v>104</v>
      </c>
      <c r="H73" s="549">
        <v>108</v>
      </c>
      <c r="I73" s="549">
        <v>35</v>
      </c>
      <c r="J73" s="549">
        <v>3</v>
      </c>
      <c r="K73" s="549">
        <v>0</v>
      </c>
      <c r="L73" s="549">
        <v>60</v>
      </c>
    </row>
    <row r="74" spans="1:12" s="543" customFormat="1" ht="9" customHeight="1" x14ac:dyDescent="0.25">
      <c r="A74" s="546" t="s">
        <v>46</v>
      </c>
      <c r="B74" s="547">
        <f t="shared" si="3"/>
        <v>110</v>
      </c>
      <c r="C74" s="547">
        <v>1</v>
      </c>
      <c r="D74" s="547">
        <v>15</v>
      </c>
      <c r="E74" s="547">
        <v>23</v>
      </c>
      <c r="F74" s="547">
        <v>27</v>
      </c>
      <c r="G74" s="547">
        <v>19</v>
      </c>
      <c r="H74" s="547">
        <v>7</v>
      </c>
      <c r="I74" s="547">
        <v>5</v>
      </c>
      <c r="J74" s="547">
        <v>0</v>
      </c>
      <c r="K74" s="547">
        <v>0</v>
      </c>
      <c r="L74" s="547">
        <v>13</v>
      </c>
    </row>
    <row r="75" spans="1:12" s="543" customFormat="1" ht="9" customHeight="1" x14ac:dyDescent="0.25">
      <c r="A75" s="546" t="s">
        <v>47</v>
      </c>
      <c r="B75" s="547">
        <f t="shared" si="3"/>
        <v>476</v>
      </c>
      <c r="C75" s="547">
        <v>4</v>
      </c>
      <c r="D75" s="547">
        <v>78</v>
      </c>
      <c r="E75" s="547">
        <v>107</v>
      </c>
      <c r="F75" s="547">
        <v>107</v>
      </c>
      <c r="G75" s="547">
        <v>79</v>
      </c>
      <c r="H75" s="547">
        <v>48</v>
      </c>
      <c r="I75" s="547">
        <v>16</v>
      </c>
      <c r="J75" s="547">
        <v>2</v>
      </c>
      <c r="K75" s="547">
        <v>1</v>
      </c>
      <c r="L75" s="547">
        <v>34</v>
      </c>
    </row>
    <row r="76" spans="1:12" s="543" customFormat="1" ht="9" customHeight="1" x14ac:dyDescent="0.25">
      <c r="A76" s="546" t="s">
        <v>48</v>
      </c>
      <c r="B76" s="547">
        <f t="shared" si="3"/>
        <v>468</v>
      </c>
      <c r="C76" s="547">
        <v>1</v>
      </c>
      <c r="D76" s="547">
        <v>68</v>
      </c>
      <c r="E76" s="547">
        <v>152</v>
      </c>
      <c r="F76" s="547">
        <v>89</v>
      </c>
      <c r="G76" s="547">
        <v>63</v>
      </c>
      <c r="H76" s="547">
        <v>51</v>
      </c>
      <c r="I76" s="547">
        <v>12</v>
      </c>
      <c r="J76" s="547">
        <v>2</v>
      </c>
      <c r="K76" s="547">
        <v>0</v>
      </c>
      <c r="L76" s="547">
        <v>30</v>
      </c>
    </row>
    <row r="77" spans="1:12" s="543" customFormat="1" ht="9" customHeight="1" x14ac:dyDescent="0.25">
      <c r="A77" s="548" t="s">
        <v>49</v>
      </c>
      <c r="B77" s="549">
        <f t="shared" si="3"/>
        <v>496</v>
      </c>
      <c r="C77" s="549">
        <v>1</v>
      </c>
      <c r="D77" s="549">
        <v>76</v>
      </c>
      <c r="E77" s="549">
        <v>154</v>
      </c>
      <c r="F77" s="549">
        <v>118</v>
      </c>
      <c r="G77" s="549">
        <v>73</v>
      </c>
      <c r="H77" s="549">
        <v>38</v>
      </c>
      <c r="I77" s="549">
        <v>11</v>
      </c>
      <c r="J77" s="549">
        <v>0</v>
      </c>
      <c r="K77" s="549">
        <v>0</v>
      </c>
      <c r="L77" s="549">
        <v>25</v>
      </c>
    </row>
    <row r="78" spans="1:12" s="543" customFormat="1" ht="9" customHeight="1" x14ac:dyDescent="0.25">
      <c r="A78" s="546" t="s">
        <v>50</v>
      </c>
      <c r="B78" s="547">
        <f t="shared" si="3"/>
        <v>352</v>
      </c>
      <c r="C78" s="547">
        <v>2</v>
      </c>
      <c r="D78" s="547">
        <v>52</v>
      </c>
      <c r="E78" s="547">
        <v>103</v>
      </c>
      <c r="F78" s="547">
        <v>67</v>
      </c>
      <c r="G78" s="547">
        <v>56</v>
      </c>
      <c r="H78" s="547">
        <v>33</v>
      </c>
      <c r="I78" s="547">
        <v>17</v>
      </c>
      <c r="J78" s="547">
        <v>2</v>
      </c>
      <c r="K78" s="547">
        <v>1</v>
      </c>
      <c r="L78" s="547">
        <v>19</v>
      </c>
    </row>
    <row r="79" spans="1:12" s="543" customFormat="1" ht="9" customHeight="1" x14ac:dyDescent="0.25">
      <c r="A79" s="546" t="s">
        <v>51</v>
      </c>
      <c r="B79" s="547">
        <f t="shared" si="3"/>
        <v>1722</v>
      </c>
      <c r="C79" s="547">
        <v>14</v>
      </c>
      <c r="D79" s="547">
        <v>237</v>
      </c>
      <c r="E79" s="547">
        <v>449</v>
      </c>
      <c r="F79" s="547">
        <v>384</v>
      </c>
      <c r="G79" s="547">
        <v>316</v>
      </c>
      <c r="H79" s="547">
        <v>187</v>
      </c>
      <c r="I79" s="547">
        <v>61</v>
      </c>
      <c r="J79" s="547">
        <v>6</v>
      </c>
      <c r="K79" s="547">
        <v>1</v>
      </c>
      <c r="L79" s="547">
        <v>67</v>
      </c>
    </row>
    <row r="80" spans="1:12" s="543" customFormat="1" ht="9" customHeight="1" x14ac:dyDescent="0.25">
      <c r="A80" s="546" t="s">
        <v>52</v>
      </c>
      <c r="B80" s="547">
        <f t="shared" si="3"/>
        <v>346</v>
      </c>
      <c r="C80" s="547">
        <v>0</v>
      </c>
      <c r="D80" s="547">
        <v>40</v>
      </c>
      <c r="E80" s="547">
        <v>97</v>
      </c>
      <c r="F80" s="547">
        <v>87</v>
      </c>
      <c r="G80" s="547">
        <v>50</v>
      </c>
      <c r="H80" s="547">
        <v>33</v>
      </c>
      <c r="I80" s="547">
        <v>11</v>
      </c>
      <c r="J80" s="547">
        <v>2</v>
      </c>
      <c r="K80" s="547">
        <v>0</v>
      </c>
      <c r="L80" s="547">
        <v>26</v>
      </c>
    </row>
    <row r="81" spans="1:12" s="543" customFormat="1" ht="9" customHeight="1" x14ac:dyDescent="0.25">
      <c r="A81" s="548" t="s">
        <v>53</v>
      </c>
      <c r="B81" s="549">
        <f t="shared" si="3"/>
        <v>373</v>
      </c>
      <c r="C81" s="549">
        <v>3</v>
      </c>
      <c r="D81" s="549">
        <v>55</v>
      </c>
      <c r="E81" s="549">
        <v>90</v>
      </c>
      <c r="F81" s="549">
        <v>70</v>
      </c>
      <c r="G81" s="549">
        <v>68</v>
      </c>
      <c r="H81" s="549">
        <v>45</v>
      </c>
      <c r="I81" s="549">
        <v>16</v>
      </c>
      <c r="J81" s="549">
        <v>1</v>
      </c>
      <c r="K81" s="549">
        <v>0</v>
      </c>
      <c r="L81" s="549">
        <v>25</v>
      </c>
    </row>
    <row r="82" spans="1:12" s="543" customFormat="1" ht="9" customHeight="1" x14ac:dyDescent="0.25">
      <c r="A82" s="546" t="s">
        <v>434</v>
      </c>
      <c r="B82" s="547">
        <f t="shared" si="3"/>
        <v>12</v>
      </c>
      <c r="C82" s="547">
        <v>0</v>
      </c>
      <c r="D82" s="547">
        <v>2</v>
      </c>
      <c r="E82" s="547">
        <v>0</v>
      </c>
      <c r="F82" s="547">
        <v>3</v>
      </c>
      <c r="G82" s="547">
        <v>3</v>
      </c>
      <c r="H82" s="547">
        <v>2</v>
      </c>
      <c r="I82" s="547">
        <v>1</v>
      </c>
      <c r="J82" s="547">
        <v>0</v>
      </c>
      <c r="K82" s="547">
        <v>0</v>
      </c>
      <c r="L82" s="547">
        <v>1</v>
      </c>
    </row>
    <row r="83" spans="1:12" s="543" customFormat="1" ht="9" customHeight="1" x14ac:dyDescent="0.25">
      <c r="A83" s="546"/>
      <c r="B83" s="547"/>
      <c r="C83" s="547"/>
      <c r="D83" s="547"/>
      <c r="E83" s="547"/>
      <c r="F83" s="547"/>
      <c r="G83" s="547"/>
      <c r="H83" s="547"/>
      <c r="I83" s="547"/>
      <c r="J83" s="547"/>
      <c r="K83" s="547"/>
      <c r="L83" s="547"/>
    </row>
    <row r="84" spans="1:12" s="543" customFormat="1" ht="9" customHeight="1" x14ac:dyDescent="0.25">
      <c r="A84" s="541">
        <v>1997</v>
      </c>
      <c r="B84" s="552"/>
      <c r="C84" s="542"/>
      <c r="D84" s="542"/>
      <c r="E84" s="542"/>
      <c r="F84" s="542"/>
      <c r="G84" s="542"/>
      <c r="H84" s="542"/>
      <c r="I84" s="542"/>
      <c r="J84" s="542"/>
      <c r="K84" s="542"/>
      <c r="L84" s="542"/>
    </row>
    <row r="85" spans="1:12" s="543" customFormat="1" ht="9" customHeight="1" x14ac:dyDescent="0.25">
      <c r="A85" s="541" t="s">
        <v>13</v>
      </c>
      <c r="B85" s="544">
        <f t="shared" ref="B85:L85" si="4">SUM(B87:B119)</f>
        <v>27135</v>
      </c>
      <c r="C85" s="544">
        <f t="shared" si="4"/>
        <v>127</v>
      </c>
      <c r="D85" s="544">
        <f t="shared" si="4"/>
        <v>4083</v>
      </c>
      <c r="E85" s="544">
        <f t="shared" si="4"/>
        <v>7091</v>
      </c>
      <c r="F85" s="544">
        <f t="shared" si="4"/>
        <v>6093</v>
      </c>
      <c r="G85" s="544">
        <f t="shared" si="4"/>
        <v>4473</v>
      </c>
      <c r="H85" s="544">
        <f t="shared" si="4"/>
        <v>2890</v>
      </c>
      <c r="I85" s="544">
        <f t="shared" si="4"/>
        <v>959</v>
      </c>
      <c r="J85" s="544">
        <f t="shared" si="4"/>
        <v>113</v>
      </c>
      <c r="K85" s="544">
        <f t="shared" si="4"/>
        <v>4</v>
      </c>
      <c r="L85" s="544">
        <f t="shared" si="4"/>
        <v>1302</v>
      </c>
    </row>
    <row r="86" spans="1:12" s="543" customFormat="1" ht="3.95" customHeight="1" x14ac:dyDescent="0.25">
      <c r="A86" s="541"/>
      <c r="B86" s="544"/>
      <c r="C86" s="544"/>
      <c r="D86" s="544"/>
      <c r="E86" s="544"/>
      <c r="F86" s="544"/>
      <c r="G86" s="544"/>
      <c r="H86" s="544"/>
      <c r="I86" s="544"/>
      <c r="J86" s="544"/>
      <c r="K86" s="544"/>
      <c r="L86" s="544"/>
    </row>
    <row r="87" spans="1:12" s="543" customFormat="1" ht="9" customHeight="1" x14ac:dyDescent="0.25">
      <c r="A87" s="546" t="s">
        <v>23</v>
      </c>
      <c r="B87" s="547">
        <f t="shared" ref="B87:B119" si="5">SUM(C87:L87)</f>
        <v>290</v>
      </c>
      <c r="C87" s="547">
        <v>1</v>
      </c>
      <c r="D87" s="547">
        <v>32</v>
      </c>
      <c r="E87" s="547">
        <v>71</v>
      </c>
      <c r="F87" s="547">
        <v>51</v>
      </c>
      <c r="G87" s="547">
        <v>51</v>
      </c>
      <c r="H87" s="547">
        <v>43</v>
      </c>
      <c r="I87" s="547">
        <v>18</v>
      </c>
      <c r="J87" s="547">
        <v>0</v>
      </c>
      <c r="K87" s="547">
        <v>0</v>
      </c>
      <c r="L87" s="547">
        <v>23</v>
      </c>
    </row>
    <row r="88" spans="1:12" s="543" customFormat="1" ht="9" customHeight="1" x14ac:dyDescent="0.25">
      <c r="A88" s="546" t="s">
        <v>24</v>
      </c>
      <c r="B88" s="547">
        <f t="shared" si="5"/>
        <v>691</v>
      </c>
      <c r="C88" s="547">
        <v>1</v>
      </c>
      <c r="D88" s="547">
        <v>114</v>
      </c>
      <c r="E88" s="547">
        <v>196</v>
      </c>
      <c r="F88" s="547">
        <v>155</v>
      </c>
      <c r="G88" s="547">
        <v>105</v>
      </c>
      <c r="H88" s="547">
        <v>63</v>
      </c>
      <c r="I88" s="547">
        <v>20</v>
      </c>
      <c r="J88" s="547">
        <v>1</v>
      </c>
      <c r="K88" s="547">
        <v>0</v>
      </c>
      <c r="L88" s="547">
        <v>36</v>
      </c>
    </row>
    <row r="89" spans="1:12" s="543" customFormat="1" ht="9" customHeight="1" x14ac:dyDescent="0.25">
      <c r="A89" s="546" t="s">
        <v>25</v>
      </c>
      <c r="B89" s="547">
        <f t="shared" si="5"/>
        <v>107</v>
      </c>
      <c r="C89" s="547">
        <v>1</v>
      </c>
      <c r="D89" s="547">
        <v>15</v>
      </c>
      <c r="E89" s="547">
        <v>31</v>
      </c>
      <c r="F89" s="547">
        <v>32</v>
      </c>
      <c r="G89" s="547">
        <v>14</v>
      </c>
      <c r="H89" s="547">
        <v>7</v>
      </c>
      <c r="I89" s="547">
        <v>2</v>
      </c>
      <c r="J89" s="547">
        <v>0</v>
      </c>
      <c r="K89" s="547">
        <v>0</v>
      </c>
      <c r="L89" s="547">
        <v>5</v>
      </c>
    </row>
    <row r="90" spans="1:12" s="543" customFormat="1" ht="9" customHeight="1" x14ac:dyDescent="0.25">
      <c r="A90" s="548" t="s">
        <v>26</v>
      </c>
      <c r="B90" s="549">
        <f t="shared" si="5"/>
        <v>131</v>
      </c>
      <c r="C90" s="549">
        <v>2</v>
      </c>
      <c r="D90" s="549">
        <v>24</v>
      </c>
      <c r="E90" s="549">
        <v>25</v>
      </c>
      <c r="F90" s="549">
        <v>31</v>
      </c>
      <c r="G90" s="549">
        <v>15</v>
      </c>
      <c r="H90" s="549">
        <v>19</v>
      </c>
      <c r="I90" s="549">
        <v>3</v>
      </c>
      <c r="J90" s="549">
        <v>0</v>
      </c>
      <c r="K90" s="549">
        <v>0</v>
      </c>
      <c r="L90" s="549">
        <v>12</v>
      </c>
    </row>
    <row r="91" spans="1:12" s="543" customFormat="1" ht="9" customHeight="1" x14ac:dyDescent="0.25">
      <c r="A91" s="546" t="s">
        <v>27</v>
      </c>
      <c r="B91" s="547">
        <f t="shared" si="5"/>
        <v>355</v>
      </c>
      <c r="C91" s="547">
        <v>2</v>
      </c>
      <c r="D91" s="547">
        <v>65</v>
      </c>
      <c r="E91" s="547">
        <v>98</v>
      </c>
      <c r="F91" s="547">
        <v>87</v>
      </c>
      <c r="G91" s="547">
        <v>54</v>
      </c>
      <c r="H91" s="547">
        <v>23</v>
      </c>
      <c r="I91" s="547">
        <v>4</v>
      </c>
      <c r="J91" s="547">
        <v>2</v>
      </c>
      <c r="K91" s="547">
        <v>0</v>
      </c>
      <c r="L91" s="547">
        <v>20</v>
      </c>
    </row>
    <row r="92" spans="1:12" s="543" customFormat="1" ht="9" customHeight="1" x14ac:dyDescent="0.25">
      <c r="A92" s="546" t="s">
        <v>28</v>
      </c>
      <c r="B92" s="547">
        <f t="shared" si="5"/>
        <v>117</v>
      </c>
      <c r="C92" s="547">
        <v>0</v>
      </c>
      <c r="D92" s="547">
        <v>22</v>
      </c>
      <c r="E92" s="547">
        <v>31</v>
      </c>
      <c r="F92" s="547">
        <v>22</v>
      </c>
      <c r="G92" s="547">
        <v>18</v>
      </c>
      <c r="H92" s="547">
        <v>11</v>
      </c>
      <c r="I92" s="547">
        <v>5</v>
      </c>
      <c r="J92" s="547">
        <v>2</v>
      </c>
      <c r="K92" s="547">
        <v>0</v>
      </c>
      <c r="L92" s="547">
        <v>6</v>
      </c>
    </row>
    <row r="93" spans="1:12" s="543" customFormat="1" ht="9" customHeight="1" x14ac:dyDescent="0.25">
      <c r="A93" s="546" t="s">
        <v>29</v>
      </c>
      <c r="B93" s="547">
        <f t="shared" si="5"/>
        <v>1125</v>
      </c>
      <c r="C93" s="547">
        <v>11</v>
      </c>
      <c r="D93" s="547">
        <v>220</v>
      </c>
      <c r="E93" s="547">
        <v>299</v>
      </c>
      <c r="F93" s="547">
        <v>220</v>
      </c>
      <c r="G93" s="547">
        <v>163</v>
      </c>
      <c r="H93" s="547">
        <v>123</v>
      </c>
      <c r="I93" s="547">
        <v>35</v>
      </c>
      <c r="J93" s="547">
        <v>5</v>
      </c>
      <c r="K93" s="547">
        <v>1</v>
      </c>
      <c r="L93" s="547">
        <v>48</v>
      </c>
    </row>
    <row r="94" spans="1:12" s="543" customFormat="1" ht="9" customHeight="1" x14ac:dyDescent="0.25">
      <c r="A94" s="548" t="s">
        <v>30</v>
      </c>
      <c r="B94" s="549">
        <f t="shared" si="5"/>
        <v>732</v>
      </c>
      <c r="C94" s="549">
        <v>4</v>
      </c>
      <c r="D94" s="549">
        <v>125</v>
      </c>
      <c r="E94" s="549">
        <v>200</v>
      </c>
      <c r="F94" s="549">
        <v>180</v>
      </c>
      <c r="G94" s="549">
        <v>116</v>
      </c>
      <c r="H94" s="549">
        <v>55</v>
      </c>
      <c r="I94" s="549">
        <v>12</v>
      </c>
      <c r="J94" s="549">
        <v>1</v>
      </c>
      <c r="K94" s="549">
        <v>0</v>
      </c>
      <c r="L94" s="549">
        <v>39</v>
      </c>
    </row>
    <row r="95" spans="1:12" s="543" customFormat="1" ht="9" customHeight="1" x14ac:dyDescent="0.25">
      <c r="A95" s="550" t="s">
        <v>63</v>
      </c>
      <c r="B95" s="547">
        <f t="shared" si="5"/>
        <v>2823</v>
      </c>
      <c r="C95" s="547">
        <v>6</v>
      </c>
      <c r="D95" s="547">
        <v>383</v>
      </c>
      <c r="E95" s="547">
        <v>749</v>
      </c>
      <c r="F95" s="547">
        <v>743</v>
      </c>
      <c r="G95" s="547">
        <v>512</v>
      </c>
      <c r="H95" s="547">
        <v>274</v>
      </c>
      <c r="I95" s="547">
        <v>74</v>
      </c>
      <c r="J95" s="547">
        <v>4</v>
      </c>
      <c r="K95" s="547">
        <v>1</v>
      </c>
      <c r="L95" s="547">
        <v>77</v>
      </c>
    </row>
    <row r="96" spans="1:12" s="543" customFormat="1" ht="9" customHeight="1" x14ac:dyDescent="0.25">
      <c r="A96" s="546" t="s">
        <v>31</v>
      </c>
      <c r="B96" s="547">
        <f t="shared" si="5"/>
        <v>254</v>
      </c>
      <c r="C96" s="547">
        <v>0</v>
      </c>
      <c r="D96" s="547">
        <v>33</v>
      </c>
      <c r="E96" s="547">
        <v>67</v>
      </c>
      <c r="F96" s="547">
        <v>52</v>
      </c>
      <c r="G96" s="547">
        <v>40</v>
      </c>
      <c r="H96" s="547">
        <v>26</v>
      </c>
      <c r="I96" s="547">
        <v>6</v>
      </c>
      <c r="J96" s="547">
        <v>3</v>
      </c>
      <c r="K96" s="547">
        <v>0</v>
      </c>
      <c r="L96" s="547">
        <v>27</v>
      </c>
    </row>
    <row r="97" spans="1:12" s="543" customFormat="1" ht="9" customHeight="1" x14ac:dyDescent="0.25">
      <c r="A97" s="546" t="s">
        <v>32</v>
      </c>
      <c r="B97" s="547">
        <f t="shared" si="5"/>
        <v>2108</v>
      </c>
      <c r="C97" s="547">
        <v>6</v>
      </c>
      <c r="D97" s="547">
        <v>243</v>
      </c>
      <c r="E97" s="547">
        <v>521</v>
      </c>
      <c r="F97" s="551">
        <v>461</v>
      </c>
      <c r="G97" s="547">
        <v>384</v>
      </c>
      <c r="H97" s="547">
        <v>292</v>
      </c>
      <c r="I97" s="547">
        <v>109</v>
      </c>
      <c r="J97" s="547">
        <v>22</v>
      </c>
      <c r="K97" s="547">
        <v>0</v>
      </c>
      <c r="L97" s="547">
        <v>70</v>
      </c>
    </row>
    <row r="98" spans="1:12" s="543" customFormat="1" ht="9" customHeight="1" x14ac:dyDescent="0.25">
      <c r="A98" s="548" t="s">
        <v>33</v>
      </c>
      <c r="B98" s="549">
        <f t="shared" si="5"/>
        <v>321</v>
      </c>
      <c r="C98" s="549">
        <v>1</v>
      </c>
      <c r="D98" s="549">
        <v>51</v>
      </c>
      <c r="E98" s="549">
        <v>74</v>
      </c>
      <c r="F98" s="549">
        <v>66</v>
      </c>
      <c r="G98" s="549">
        <v>48</v>
      </c>
      <c r="H98" s="549">
        <v>49</v>
      </c>
      <c r="I98" s="549">
        <v>15</v>
      </c>
      <c r="J98" s="549">
        <v>1</v>
      </c>
      <c r="K98" s="549">
        <v>0</v>
      </c>
      <c r="L98" s="549">
        <v>16</v>
      </c>
    </row>
    <row r="99" spans="1:12" s="543" customFormat="1" ht="9" customHeight="1" x14ac:dyDescent="0.25">
      <c r="A99" s="546" t="s">
        <v>34</v>
      </c>
      <c r="B99" s="547">
        <f t="shared" si="5"/>
        <v>660</v>
      </c>
      <c r="C99" s="547">
        <v>5</v>
      </c>
      <c r="D99" s="547">
        <v>103</v>
      </c>
      <c r="E99" s="547">
        <v>171</v>
      </c>
      <c r="F99" s="547">
        <v>158</v>
      </c>
      <c r="G99" s="547">
        <v>95</v>
      </c>
      <c r="H99" s="547">
        <v>73</v>
      </c>
      <c r="I99" s="547">
        <v>18</v>
      </c>
      <c r="J99" s="547">
        <v>0</v>
      </c>
      <c r="K99" s="547">
        <v>0</v>
      </c>
      <c r="L99" s="547">
        <v>37</v>
      </c>
    </row>
    <row r="100" spans="1:12" s="543" customFormat="1" ht="9" customHeight="1" x14ac:dyDescent="0.25">
      <c r="A100" s="546" t="s">
        <v>35</v>
      </c>
      <c r="B100" s="547">
        <f t="shared" si="5"/>
        <v>1945</v>
      </c>
      <c r="C100" s="547">
        <v>7</v>
      </c>
      <c r="D100" s="547">
        <v>238</v>
      </c>
      <c r="E100" s="547">
        <v>489</v>
      </c>
      <c r="F100" s="547">
        <v>416</v>
      </c>
      <c r="G100" s="547">
        <v>348</v>
      </c>
      <c r="H100" s="547">
        <v>249</v>
      </c>
      <c r="I100" s="547">
        <v>83</v>
      </c>
      <c r="J100" s="547">
        <v>15</v>
      </c>
      <c r="K100" s="547">
        <v>0</v>
      </c>
      <c r="L100" s="547">
        <v>100</v>
      </c>
    </row>
    <row r="101" spans="1:12" s="543" customFormat="1" ht="9" customHeight="1" x14ac:dyDescent="0.25">
      <c r="A101" s="546" t="s">
        <v>36</v>
      </c>
      <c r="B101" s="547">
        <f t="shared" si="5"/>
        <v>4926</v>
      </c>
      <c r="C101" s="547">
        <v>33</v>
      </c>
      <c r="D101" s="547">
        <v>767</v>
      </c>
      <c r="E101" s="547">
        <v>1405</v>
      </c>
      <c r="F101" s="547">
        <v>1145</v>
      </c>
      <c r="G101" s="547">
        <v>800</v>
      </c>
      <c r="H101" s="547">
        <v>433</v>
      </c>
      <c r="I101" s="547">
        <v>180</v>
      </c>
      <c r="J101" s="547">
        <v>10</v>
      </c>
      <c r="K101" s="547">
        <v>1</v>
      </c>
      <c r="L101" s="547">
        <v>152</v>
      </c>
    </row>
    <row r="102" spans="1:12" s="543" customFormat="1" ht="9" customHeight="1" x14ac:dyDescent="0.25">
      <c r="A102" s="548" t="s">
        <v>37</v>
      </c>
      <c r="B102" s="549">
        <f t="shared" si="5"/>
        <v>966</v>
      </c>
      <c r="C102" s="549">
        <v>4</v>
      </c>
      <c r="D102" s="549">
        <v>116</v>
      </c>
      <c r="E102" s="549">
        <v>259</v>
      </c>
      <c r="F102" s="549">
        <v>202</v>
      </c>
      <c r="G102" s="549">
        <v>141</v>
      </c>
      <c r="H102" s="549">
        <v>124</v>
      </c>
      <c r="I102" s="549">
        <v>50</v>
      </c>
      <c r="J102" s="549">
        <v>6</v>
      </c>
      <c r="K102" s="549">
        <v>0</v>
      </c>
      <c r="L102" s="549">
        <v>64</v>
      </c>
    </row>
    <row r="103" spans="1:12" s="543" customFormat="1" ht="9" customHeight="1" x14ac:dyDescent="0.25">
      <c r="A103" s="546" t="s">
        <v>38</v>
      </c>
      <c r="B103" s="547">
        <f t="shared" si="5"/>
        <v>413</v>
      </c>
      <c r="C103" s="547">
        <v>1</v>
      </c>
      <c r="D103" s="551">
        <v>68</v>
      </c>
      <c r="E103" s="547">
        <v>120</v>
      </c>
      <c r="F103" s="547">
        <v>92</v>
      </c>
      <c r="G103" s="547">
        <v>54</v>
      </c>
      <c r="H103" s="547">
        <v>46</v>
      </c>
      <c r="I103" s="547">
        <v>14</v>
      </c>
      <c r="J103" s="547">
        <v>2</v>
      </c>
      <c r="K103" s="547">
        <v>0</v>
      </c>
      <c r="L103" s="547">
        <v>16</v>
      </c>
    </row>
    <row r="104" spans="1:12" s="543" customFormat="1" ht="9" customHeight="1" x14ac:dyDescent="0.25">
      <c r="A104" s="546" t="s">
        <v>39</v>
      </c>
      <c r="B104" s="547">
        <f t="shared" si="5"/>
        <v>80</v>
      </c>
      <c r="C104" s="547">
        <v>1</v>
      </c>
      <c r="D104" s="547">
        <v>19</v>
      </c>
      <c r="E104" s="547">
        <v>29</v>
      </c>
      <c r="F104" s="547">
        <v>13</v>
      </c>
      <c r="G104" s="547">
        <v>10</v>
      </c>
      <c r="H104" s="547">
        <v>4</v>
      </c>
      <c r="I104" s="547">
        <v>1</v>
      </c>
      <c r="J104" s="547">
        <v>1</v>
      </c>
      <c r="K104" s="547">
        <v>0</v>
      </c>
      <c r="L104" s="547">
        <v>2</v>
      </c>
    </row>
    <row r="105" spans="1:12" s="543" customFormat="1" ht="9" customHeight="1" x14ac:dyDescent="0.25">
      <c r="A105" s="546" t="s">
        <v>40</v>
      </c>
      <c r="B105" s="547">
        <f t="shared" si="5"/>
        <v>671</v>
      </c>
      <c r="C105" s="547">
        <v>2</v>
      </c>
      <c r="D105" s="547">
        <v>98</v>
      </c>
      <c r="E105" s="547">
        <v>150</v>
      </c>
      <c r="F105" s="547">
        <v>153</v>
      </c>
      <c r="G105" s="547">
        <v>115</v>
      </c>
      <c r="H105" s="547">
        <v>64</v>
      </c>
      <c r="I105" s="547">
        <v>15</v>
      </c>
      <c r="J105" s="547">
        <v>2</v>
      </c>
      <c r="K105" s="547">
        <v>0</v>
      </c>
      <c r="L105" s="547">
        <v>72</v>
      </c>
    </row>
    <row r="106" spans="1:12" s="543" customFormat="1" ht="9" customHeight="1" x14ac:dyDescent="0.25">
      <c r="A106" s="548" t="s">
        <v>41</v>
      </c>
      <c r="B106" s="549">
        <f t="shared" si="5"/>
        <v>903</v>
      </c>
      <c r="C106" s="549">
        <v>1</v>
      </c>
      <c r="D106" s="549">
        <v>171</v>
      </c>
      <c r="E106" s="549">
        <v>241</v>
      </c>
      <c r="F106" s="549">
        <v>180</v>
      </c>
      <c r="G106" s="549">
        <v>128</v>
      </c>
      <c r="H106" s="549">
        <v>88</v>
      </c>
      <c r="I106" s="549">
        <v>50</v>
      </c>
      <c r="J106" s="549">
        <v>5</v>
      </c>
      <c r="K106" s="549">
        <v>0</v>
      </c>
      <c r="L106" s="549">
        <v>39</v>
      </c>
    </row>
    <row r="107" spans="1:12" s="543" customFormat="1" ht="9" customHeight="1" x14ac:dyDescent="0.25">
      <c r="A107" s="546" t="s">
        <v>42</v>
      </c>
      <c r="B107" s="547">
        <f t="shared" si="5"/>
        <v>2140</v>
      </c>
      <c r="C107" s="547">
        <v>6</v>
      </c>
      <c r="D107" s="547">
        <v>342</v>
      </c>
      <c r="E107" s="547">
        <v>534</v>
      </c>
      <c r="F107" s="547">
        <v>447</v>
      </c>
      <c r="G107" s="547">
        <v>360</v>
      </c>
      <c r="H107" s="547">
        <v>252</v>
      </c>
      <c r="I107" s="547">
        <v>68</v>
      </c>
      <c r="J107" s="547">
        <v>7</v>
      </c>
      <c r="K107" s="547">
        <v>0</v>
      </c>
      <c r="L107" s="547">
        <v>124</v>
      </c>
    </row>
    <row r="108" spans="1:12" s="543" customFormat="1" ht="9" customHeight="1" x14ac:dyDescent="0.25">
      <c r="A108" s="546" t="s">
        <v>43</v>
      </c>
      <c r="B108" s="547">
        <f t="shared" si="5"/>
        <v>494</v>
      </c>
      <c r="C108" s="547">
        <v>2</v>
      </c>
      <c r="D108" s="547">
        <v>55</v>
      </c>
      <c r="E108" s="547">
        <v>119</v>
      </c>
      <c r="F108" s="547">
        <v>119</v>
      </c>
      <c r="G108" s="547">
        <v>93</v>
      </c>
      <c r="H108" s="547">
        <v>52</v>
      </c>
      <c r="I108" s="547">
        <v>27</v>
      </c>
      <c r="J108" s="547">
        <v>3</v>
      </c>
      <c r="K108" s="547">
        <v>0</v>
      </c>
      <c r="L108" s="547">
        <v>24</v>
      </c>
    </row>
    <row r="109" spans="1:12" s="543" customFormat="1" ht="9" customHeight="1" x14ac:dyDescent="0.25">
      <c r="A109" s="546" t="s">
        <v>44</v>
      </c>
      <c r="B109" s="547">
        <f t="shared" si="5"/>
        <v>219</v>
      </c>
      <c r="C109" s="547">
        <v>1</v>
      </c>
      <c r="D109" s="547">
        <v>39</v>
      </c>
      <c r="E109" s="547">
        <v>51</v>
      </c>
      <c r="F109" s="547">
        <v>48</v>
      </c>
      <c r="G109" s="547">
        <v>39</v>
      </c>
      <c r="H109" s="547">
        <v>25</v>
      </c>
      <c r="I109" s="547">
        <v>3</v>
      </c>
      <c r="J109" s="547">
        <v>1</v>
      </c>
      <c r="K109" s="547">
        <v>0</v>
      </c>
      <c r="L109" s="547">
        <v>12</v>
      </c>
    </row>
    <row r="110" spans="1:12" s="543" customFormat="1" ht="9" customHeight="1" x14ac:dyDescent="0.25">
      <c r="A110" s="548" t="s">
        <v>45</v>
      </c>
      <c r="B110" s="549">
        <f t="shared" si="5"/>
        <v>735</v>
      </c>
      <c r="C110" s="549">
        <v>3</v>
      </c>
      <c r="D110" s="549">
        <v>99</v>
      </c>
      <c r="E110" s="549">
        <v>155</v>
      </c>
      <c r="F110" s="549">
        <v>148</v>
      </c>
      <c r="G110" s="549">
        <v>134</v>
      </c>
      <c r="H110" s="549">
        <v>101</v>
      </c>
      <c r="I110" s="549">
        <v>26</v>
      </c>
      <c r="J110" s="549">
        <v>3</v>
      </c>
      <c r="K110" s="549">
        <v>0</v>
      </c>
      <c r="L110" s="549">
        <v>66</v>
      </c>
    </row>
    <row r="111" spans="1:12" s="543" customFormat="1" ht="9" customHeight="1" x14ac:dyDescent="0.25">
      <c r="A111" s="546" t="s">
        <v>46</v>
      </c>
      <c r="B111" s="547">
        <f t="shared" si="5"/>
        <v>84</v>
      </c>
      <c r="C111" s="547">
        <v>0</v>
      </c>
      <c r="D111" s="547">
        <v>13</v>
      </c>
      <c r="E111" s="547">
        <v>15</v>
      </c>
      <c r="F111" s="547">
        <v>21</v>
      </c>
      <c r="G111" s="547">
        <v>12</v>
      </c>
      <c r="H111" s="547">
        <v>9</v>
      </c>
      <c r="I111" s="547">
        <v>2</v>
      </c>
      <c r="J111" s="547">
        <v>0</v>
      </c>
      <c r="K111" s="547">
        <v>0</v>
      </c>
      <c r="L111" s="547">
        <v>12</v>
      </c>
    </row>
    <row r="112" spans="1:12" s="543" customFormat="1" ht="9" customHeight="1" x14ac:dyDescent="0.25">
      <c r="A112" s="546" t="s">
        <v>47</v>
      </c>
      <c r="B112" s="547">
        <f t="shared" si="5"/>
        <v>426</v>
      </c>
      <c r="C112" s="547">
        <v>7</v>
      </c>
      <c r="D112" s="547">
        <v>72</v>
      </c>
      <c r="E112" s="547">
        <v>116</v>
      </c>
      <c r="F112" s="547">
        <v>95</v>
      </c>
      <c r="G112" s="547">
        <v>64</v>
      </c>
      <c r="H112" s="547">
        <v>37</v>
      </c>
      <c r="I112" s="547">
        <v>4</v>
      </c>
      <c r="J112" s="547">
        <v>1</v>
      </c>
      <c r="K112" s="547">
        <v>0</v>
      </c>
      <c r="L112" s="547">
        <v>30</v>
      </c>
    </row>
    <row r="113" spans="1:12" s="543" customFormat="1" ht="9" customHeight="1" x14ac:dyDescent="0.25">
      <c r="A113" s="546" t="s">
        <v>48</v>
      </c>
      <c r="B113" s="547">
        <f t="shared" si="5"/>
        <v>438</v>
      </c>
      <c r="C113" s="547">
        <v>3</v>
      </c>
      <c r="D113" s="547">
        <v>71</v>
      </c>
      <c r="E113" s="547">
        <v>114</v>
      </c>
      <c r="F113" s="547">
        <v>108</v>
      </c>
      <c r="G113" s="547">
        <v>57</v>
      </c>
      <c r="H113" s="547">
        <v>43</v>
      </c>
      <c r="I113" s="547">
        <v>13</v>
      </c>
      <c r="J113" s="547">
        <v>2</v>
      </c>
      <c r="K113" s="547">
        <v>0</v>
      </c>
      <c r="L113" s="547">
        <v>27</v>
      </c>
    </row>
    <row r="114" spans="1:12" s="543" customFormat="1" ht="9" customHeight="1" x14ac:dyDescent="0.25">
      <c r="A114" s="548" t="s">
        <v>49</v>
      </c>
      <c r="B114" s="549">
        <f t="shared" si="5"/>
        <v>498</v>
      </c>
      <c r="C114" s="549">
        <v>3</v>
      </c>
      <c r="D114" s="549">
        <v>83</v>
      </c>
      <c r="E114" s="549">
        <v>124</v>
      </c>
      <c r="F114" s="549">
        <v>130</v>
      </c>
      <c r="G114" s="549">
        <v>82</v>
      </c>
      <c r="H114" s="549">
        <v>44</v>
      </c>
      <c r="I114" s="549">
        <v>9</v>
      </c>
      <c r="J114" s="549">
        <v>3</v>
      </c>
      <c r="K114" s="549">
        <v>0</v>
      </c>
      <c r="L114" s="549">
        <v>20</v>
      </c>
    </row>
    <row r="115" spans="1:12" s="543" customFormat="1" ht="9" customHeight="1" x14ac:dyDescent="0.25">
      <c r="A115" s="546" t="s">
        <v>50</v>
      </c>
      <c r="B115" s="547">
        <f t="shared" si="5"/>
        <v>312</v>
      </c>
      <c r="C115" s="547">
        <v>0</v>
      </c>
      <c r="D115" s="547">
        <v>61</v>
      </c>
      <c r="E115" s="547">
        <v>78</v>
      </c>
      <c r="F115" s="547">
        <v>63</v>
      </c>
      <c r="G115" s="547">
        <v>58</v>
      </c>
      <c r="H115" s="547">
        <v>30</v>
      </c>
      <c r="I115" s="547">
        <v>6</v>
      </c>
      <c r="J115" s="547">
        <v>2</v>
      </c>
      <c r="K115" s="547">
        <v>0</v>
      </c>
      <c r="L115" s="547">
        <v>14</v>
      </c>
    </row>
    <row r="116" spans="1:12" s="543" customFormat="1" ht="9" customHeight="1" x14ac:dyDescent="0.25">
      <c r="A116" s="546" t="s">
        <v>51</v>
      </c>
      <c r="B116" s="547">
        <f t="shared" si="5"/>
        <v>1495</v>
      </c>
      <c r="C116" s="547">
        <v>11</v>
      </c>
      <c r="D116" s="547">
        <v>241</v>
      </c>
      <c r="E116" s="547">
        <v>401</v>
      </c>
      <c r="F116" s="547">
        <v>316</v>
      </c>
      <c r="G116" s="547">
        <v>253</v>
      </c>
      <c r="H116" s="547">
        <v>147</v>
      </c>
      <c r="I116" s="547">
        <v>62</v>
      </c>
      <c r="J116" s="547">
        <v>6</v>
      </c>
      <c r="K116" s="547">
        <v>1</v>
      </c>
      <c r="L116" s="547">
        <v>57</v>
      </c>
    </row>
    <row r="117" spans="1:12" s="543" customFormat="1" ht="9" customHeight="1" x14ac:dyDescent="0.25">
      <c r="A117" s="546" t="s">
        <v>52</v>
      </c>
      <c r="B117" s="547">
        <f t="shared" si="5"/>
        <v>342</v>
      </c>
      <c r="C117" s="547">
        <v>2</v>
      </c>
      <c r="D117" s="547">
        <v>45</v>
      </c>
      <c r="E117" s="547">
        <v>84</v>
      </c>
      <c r="F117" s="547">
        <v>68</v>
      </c>
      <c r="G117" s="547">
        <v>59</v>
      </c>
      <c r="H117" s="547">
        <v>47</v>
      </c>
      <c r="I117" s="547">
        <v>10</v>
      </c>
      <c r="J117" s="547">
        <v>1</v>
      </c>
      <c r="K117" s="547">
        <v>0</v>
      </c>
      <c r="L117" s="547">
        <v>26</v>
      </c>
    </row>
    <row r="118" spans="1:12" s="543" customFormat="1" ht="9" customHeight="1" x14ac:dyDescent="0.25">
      <c r="A118" s="548" t="s">
        <v>53</v>
      </c>
      <c r="B118" s="549">
        <f t="shared" si="5"/>
        <v>314</v>
      </c>
      <c r="C118" s="549">
        <v>0</v>
      </c>
      <c r="D118" s="549">
        <v>53</v>
      </c>
      <c r="E118" s="549">
        <v>69</v>
      </c>
      <c r="F118" s="549">
        <v>62</v>
      </c>
      <c r="G118" s="549">
        <v>48</v>
      </c>
      <c r="H118" s="549">
        <v>37</v>
      </c>
      <c r="I118" s="549">
        <v>14</v>
      </c>
      <c r="J118" s="549">
        <v>2</v>
      </c>
      <c r="K118" s="549">
        <v>0</v>
      </c>
      <c r="L118" s="549">
        <v>29</v>
      </c>
    </row>
    <row r="119" spans="1:12" s="543" customFormat="1" ht="9" customHeight="1" x14ac:dyDescent="0.25">
      <c r="A119" s="546" t="s">
        <v>434</v>
      </c>
      <c r="B119" s="547">
        <f t="shared" si="5"/>
        <v>20</v>
      </c>
      <c r="C119" s="547">
        <v>0</v>
      </c>
      <c r="D119" s="547">
        <v>2</v>
      </c>
      <c r="E119" s="547">
        <v>5</v>
      </c>
      <c r="F119" s="547">
        <v>9</v>
      </c>
      <c r="G119" s="547">
        <v>3</v>
      </c>
      <c r="H119" s="547">
        <v>0</v>
      </c>
      <c r="I119" s="547">
        <v>1</v>
      </c>
      <c r="J119" s="547">
        <v>0</v>
      </c>
      <c r="K119" s="547">
        <v>0</v>
      </c>
      <c r="L119" s="547">
        <v>0</v>
      </c>
    </row>
    <row r="120" spans="1:12" s="543" customFormat="1" ht="9" customHeight="1" x14ac:dyDescent="0.25">
      <c r="A120" s="546"/>
      <c r="B120" s="547"/>
      <c r="C120" s="547"/>
      <c r="D120" s="547"/>
      <c r="E120" s="547"/>
      <c r="F120" s="547"/>
      <c r="G120" s="547"/>
      <c r="H120" s="547"/>
      <c r="I120" s="547"/>
      <c r="J120" s="547"/>
      <c r="K120" s="547"/>
      <c r="L120" s="547"/>
    </row>
    <row r="121" spans="1:12" s="543" customFormat="1" ht="9" customHeight="1" x14ac:dyDescent="0.25">
      <c r="A121" s="541">
        <v>1998</v>
      </c>
      <c r="B121" s="552"/>
      <c r="C121" s="542"/>
      <c r="D121" s="542"/>
      <c r="E121" s="553"/>
      <c r="F121" s="553"/>
      <c r="G121" s="542"/>
      <c r="H121" s="542"/>
      <c r="I121" s="542"/>
      <c r="J121" s="542"/>
      <c r="K121" s="542"/>
      <c r="L121" s="542"/>
    </row>
    <row r="122" spans="1:12" s="543" customFormat="1" ht="9" customHeight="1" x14ac:dyDescent="0.25">
      <c r="A122" s="541" t="s">
        <v>13</v>
      </c>
      <c r="B122" s="544">
        <f t="shared" ref="B122:L122" si="6">SUM(B124:B156)</f>
        <v>28120</v>
      </c>
      <c r="C122" s="544">
        <f t="shared" si="6"/>
        <v>142</v>
      </c>
      <c r="D122" s="544">
        <f t="shared" si="6"/>
        <v>4269</v>
      </c>
      <c r="E122" s="553">
        <f t="shared" si="6"/>
        <v>7550</v>
      </c>
      <c r="F122" s="553">
        <f t="shared" si="6"/>
        <v>6454</v>
      </c>
      <c r="G122" s="544">
        <f t="shared" si="6"/>
        <v>4446</v>
      </c>
      <c r="H122" s="544">
        <f t="shared" si="6"/>
        <v>2846</v>
      </c>
      <c r="I122" s="544">
        <f t="shared" si="6"/>
        <v>910</v>
      </c>
      <c r="J122" s="544">
        <f t="shared" si="6"/>
        <v>93</v>
      </c>
      <c r="K122" s="544">
        <f t="shared" si="6"/>
        <v>8</v>
      </c>
      <c r="L122" s="544">
        <f t="shared" si="6"/>
        <v>1402</v>
      </c>
    </row>
    <row r="123" spans="1:12" s="543" customFormat="1" ht="3.95" customHeight="1" x14ac:dyDescent="0.25">
      <c r="A123" s="541"/>
      <c r="B123" s="544"/>
      <c r="C123" s="544"/>
      <c r="D123" s="544"/>
      <c r="E123" s="553"/>
      <c r="F123" s="553"/>
      <c r="G123" s="544"/>
      <c r="H123" s="544"/>
      <c r="I123" s="544"/>
      <c r="J123" s="544"/>
      <c r="K123" s="544"/>
      <c r="L123" s="544"/>
    </row>
    <row r="124" spans="1:12" s="543" customFormat="1" ht="9" customHeight="1" x14ac:dyDescent="0.25">
      <c r="A124" s="546" t="s">
        <v>23</v>
      </c>
      <c r="B124" s="547">
        <f t="shared" ref="B124:B156" si="7">SUM(C124:L124)</f>
        <v>327</v>
      </c>
      <c r="C124" s="547">
        <v>3</v>
      </c>
      <c r="D124" s="547">
        <v>29</v>
      </c>
      <c r="E124" s="547">
        <v>73</v>
      </c>
      <c r="F124" s="547">
        <v>80</v>
      </c>
      <c r="G124" s="547">
        <v>57</v>
      </c>
      <c r="H124" s="547">
        <v>44</v>
      </c>
      <c r="I124" s="547">
        <v>14</v>
      </c>
      <c r="J124" s="547">
        <v>2</v>
      </c>
      <c r="K124" s="547">
        <v>0</v>
      </c>
      <c r="L124" s="547">
        <v>25</v>
      </c>
    </row>
    <row r="125" spans="1:12" s="543" customFormat="1" ht="9" customHeight="1" x14ac:dyDescent="0.25">
      <c r="A125" s="546" t="s">
        <v>24</v>
      </c>
      <c r="B125" s="547">
        <f t="shared" si="7"/>
        <v>736</v>
      </c>
      <c r="C125" s="547">
        <v>4</v>
      </c>
      <c r="D125" s="547">
        <v>124</v>
      </c>
      <c r="E125" s="547">
        <v>226</v>
      </c>
      <c r="F125" s="547">
        <v>146</v>
      </c>
      <c r="G125" s="547">
        <v>97</v>
      </c>
      <c r="H125" s="547">
        <v>69</v>
      </c>
      <c r="I125" s="547">
        <v>21</v>
      </c>
      <c r="J125" s="547">
        <v>1</v>
      </c>
      <c r="K125" s="547">
        <v>0</v>
      </c>
      <c r="L125" s="547">
        <v>48</v>
      </c>
    </row>
    <row r="126" spans="1:12" s="543" customFormat="1" ht="9" customHeight="1" x14ac:dyDescent="0.25">
      <c r="A126" s="546" t="s">
        <v>25</v>
      </c>
      <c r="B126" s="547">
        <f t="shared" si="7"/>
        <v>85</v>
      </c>
      <c r="C126" s="547">
        <v>0</v>
      </c>
      <c r="D126" s="547">
        <v>13</v>
      </c>
      <c r="E126" s="547">
        <v>32</v>
      </c>
      <c r="F126" s="547">
        <v>26</v>
      </c>
      <c r="G126" s="547">
        <v>5</v>
      </c>
      <c r="H126" s="547">
        <v>3</v>
      </c>
      <c r="I126" s="547">
        <v>2</v>
      </c>
      <c r="J126" s="547">
        <v>0</v>
      </c>
      <c r="K126" s="547">
        <v>0</v>
      </c>
      <c r="L126" s="547">
        <v>4</v>
      </c>
    </row>
    <row r="127" spans="1:12" s="543" customFormat="1" ht="9" customHeight="1" x14ac:dyDescent="0.25">
      <c r="A127" s="548" t="s">
        <v>26</v>
      </c>
      <c r="B127" s="549">
        <f t="shared" si="7"/>
        <v>142</v>
      </c>
      <c r="C127" s="549">
        <v>2</v>
      </c>
      <c r="D127" s="549">
        <v>39</v>
      </c>
      <c r="E127" s="549">
        <v>35</v>
      </c>
      <c r="F127" s="549">
        <v>28</v>
      </c>
      <c r="G127" s="549">
        <v>18</v>
      </c>
      <c r="H127" s="549">
        <v>8</v>
      </c>
      <c r="I127" s="549">
        <v>6</v>
      </c>
      <c r="J127" s="549">
        <v>0</v>
      </c>
      <c r="K127" s="549">
        <v>0</v>
      </c>
      <c r="L127" s="549">
        <v>6</v>
      </c>
    </row>
    <row r="128" spans="1:12" s="543" customFormat="1" ht="9" customHeight="1" x14ac:dyDescent="0.25">
      <c r="A128" s="546" t="s">
        <v>27</v>
      </c>
      <c r="B128" s="547">
        <f t="shared" si="7"/>
        <v>356</v>
      </c>
      <c r="C128" s="547">
        <v>1</v>
      </c>
      <c r="D128" s="547">
        <v>50</v>
      </c>
      <c r="E128" s="551">
        <v>101</v>
      </c>
      <c r="F128" s="547">
        <v>84</v>
      </c>
      <c r="G128" s="547">
        <v>47</v>
      </c>
      <c r="H128" s="547">
        <v>30</v>
      </c>
      <c r="I128" s="547">
        <v>3</v>
      </c>
      <c r="J128" s="547">
        <v>0</v>
      </c>
      <c r="K128" s="547">
        <v>0</v>
      </c>
      <c r="L128" s="547">
        <v>40</v>
      </c>
    </row>
    <row r="129" spans="1:12" s="543" customFormat="1" ht="9" customHeight="1" x14ac:dyDescent="0.25">
      <c r="A129" s="546" t="s">
        <v>28</v>
      </c>
      <c r="B129" s="547">
        <f t="shared" si="7"/>
        <v>118</v>
      </c>
      <c r="C129" s="547">
        <v>0</v>
      </c>
      <c r="D129" s="547">
        <v>21</v>
      </c>
      <c r="E129" s="547">
        <v>31</v>
      </c>
      <c r="F129" s="547">
        <v>29</v>
      </c>
      <c r="G129" s="547">
        <v>19</v>
      </c>
      <c r="H129" s="547">
        <v>10</v>
      </c>
      <c r="I129" s="547">
        <v>2</v>
      </c>
      <c r="J129" s="547">
        <v>0</v>
      </c>
      <c r="K129" s="547">
        <v>0</v>
      </c>
      <c r="L129" s="547">
        <v>6</v>
      </c>
    </row>
    <row r="130" spans="1:12" s="543" customFormat="1" ht="9" customHeight="1" x14ac:dyDescent="0.25">
      <c r="A130" s="546" t="s">
        <v>29</v>
      </c>
      <c r="B130" s="547">
        <f t="shared" si="7"/>
        <v>1098</v>
      </c>
      <c r="C130" s="547">
        <v>4</v>
      </c>
      <c r="D130" s="547">
        <v>226</v>
      </c>
      <c r="E130" s="547">
        <v>302</v>
      </c>
      <c r="F130" s="547">
        <v>221</v>
      </c>
      <c r="G130" s="547">
        <v>146</v>
      </c>
      <c r="H130" s="547">
        <v>107</v>
      </c>
      <c r="I130" s="547">
        <v>42</v>
      </c>
      <c r="J130" s="547">
        <v>5</v>
      </c>
      <c r="K130" s="547">
        <v>0</v>
      </c>
      <c r="L130" s="547">
        <v>45</v>
      </c>
    </row>
    <row r="131" spans="1:12" s="543" customFormat="1" ht="9" customHeight="1" x14ac:dyDescent="0.25">
      <c r="A131" s="548" t="s">
        <v>30</v>
      </c>
      <c r="B131" s="549">
        <f t="shared" si="7"/>
        <v>798</v>
      </c>
      <c r="C131" s="549">
        <v>4</v>
      </c>
      <c r="D131" s="549">
        <v>126</v>
      </c>
      <c r="E131" s="549">
        <v>232</v>
      </c>
      <c r="F131" s="549">
        <v>195</v>
      </c>
      <c r="G131" s="549">
        <v>109</v>
      </c>
      <c r="H131" s="549">
        <v>59</v>
      </c>
      <c r="I131" s="549">
        <v>17</v>
      </c>
      <c r="J131" s="549">
        <v>4</v>
      </c>
      <c r="K131" s="549">
        <v>0</v>
      </c>
      <c r="L131" s="549">
        <v>52</v>
      </c>
    </row>
    <row r="132" spans="1:12" s="543" customFormat="1" ht="9" customHeight="1" x14ac:dyDescent="0.25">
      <c r="A132" s="550" t="s">
        <v>63</v>
      </c>
      <c r="B132" s="547">
        <f t="shared" si="7"/>
        <v>2983</v>
      </c>
      <c r="C132" s="547">
        <v>6</v>
      </c>
      <c r="D132" s="547">
        <v>425</v>
      </c>
      <c r="E132" s="547">
        <v>849</v>
      </c>
      <c r="F132" s="547">
        <v>721</v>
      </c>
      <c r="G132" s="547">
        <v>533</v>
      </c>
      <c r="H132" s="547">
        <v>274</v>
      </c>
      <c r="I132" s="547">
        <v>76</v>
      </c>
      <c r="J132" s="547">
        <v>6</v>
      </c>
      <c r="K132" s="547">
        <v>1</v>
      </c>
      <c r="L132" s="547">
        <v>92</v>
      </c>
    </row>
    <row r="133" spans="1:12" s="543" customFormat="1" ht="9" customHeight="1" x14ac:dyDescent="0.25">
      <c r="A133" s="546" t="s">
        <v>31</v>
      </c>
      <c r="B133" s="547">
        <f t="shared" si="7"/>
        <v>167</v>
      </c>
      <c r="C133" s="547">
        <v>0</v>
      </c>
      <c r="D133" s="547">
        <v>28</v>
      </c>
      <c r="E133" s="547">
        <v>55</v>
      </c>
      <c r="F133" s="547">
        <v>25</v>
      </c>
      <c r="G133" s="547">
        <v>16</v>
      </c>
      <c r="H133" s="547">
        <v>22</v>
      </c>
      <c r="I133" s="547">
        <v>5</v>
      </c>
      <c r="J133" s="547">
        <v>0</v>
      </c>
      <c r="K133" s="547">
        <v>0</v>
      </c>
      <c r="L133" s="547">
        <v>16</v>
      </c>
    </row>
    <row r="134" spans="1:12" s="543" customFormat="1" ht="9" customHeight="1" x14ac:dyDescent="0.25">
      <c r="A134" s="546" t="s">
        <v>32</v>
      </c>
      <c r="B134" s="547">
        <f t="shared" si="7"/>
        <v>2085</v>
      </c>
      <c r="C134" s="547">
        <v>8</v>
      </c>
      <c r="D134" s="547">
        <v>229</v>
      </c>
      <c r="E134" s="547">
        <v>475</v>
      </c>
      <c r="F134" s="547">
        <v>504</v>
      </c>
      <c r="G134" s="547">
        <v>411</v>
      </c>
      <c r="H134" s="547">
        <v>289</v>
      </c>
      <c r="I134" s="547">
        <v>99</v>
      </c>
      <c r="J134" s="547">
        <v>13</v>
      </c>
      <c r="K134" s="547">
        <v>0</v>
      </c>
      <c r="L134" s="547">
        <v>57</v>
      </c>
    </row>
    <row r="135" spans="1:12" s="543" customFormat="1" ht="9" customHeight="1" x14ac:dyDescent="0.25">
      <c r="A135" s="548" t="s">
        <v>33</v>
      </c>
      <c r="B135" s="549">
        <f t="shared" si="7"/>
        <v>293</v>
      </c>
      <c r="C135" s="549">
        <v>1</v>
      </c>
      <c r="D135" s="549">
        <v>60</v>
      </c>
      <c r="E135" s="554">
        <v>66</v>
      </c>
      <c r="F135" s="549">
        <v>60</v>
      </c>
      <c r="G135" s="549">
        <v>45</v>
      </c>
      <c r="H135" s="549">
        <v>35</v>
      </c>
      <c r="I135" s="549">
        <v>7</v>
      </c>
      <c r="J135" s="549">
        <v>2</v>
      </c>
      <c r="K135" s="549">
        <v>0</v>
      </c>
      <c r="L135" s="549">
        <v>17</v>
      </c>
    </row>
    <row r="136" spans="1:12" s="543" customFormat="1" ht="9" customHeight="1" x14ac:dyDescent="0.25">
      <c r="A136" s="546" t="s">
        <v>34</v>
      </c>
      <c r="B136" s="547">
        <f t="shared" si="7"/>
        <v>692</v>
      </c>
      <c r="C136" s="547">
        <v>2</v>
      </c>
      <c r="D136" s="547">
        <v>94</v>
      </c>
      <c r="E136" s="547">
        <v>207</v>
      </c>
      <c r="F136" s="547">
        <v>152</v>
      </c>
      <c r="G136" s="547">
        <v>95</v>
      </c>
      <c r="H136" s="547">
        <v>70</v>
      </c>
      <c r="I136" s="547">
        <v>22</v>
      </c>
      <c r="J136" s="547">
        <v>2</v>
      </c>
      <c r="K136" s="547">
        <v>0</v>
      </c>
      <c r="L136" s="547">
        <v>48</v>
      </c>
    </row>
    <row r="137" spans="1:12" s="543" customFormat="1" ht="9" customHeight="1" x14ac:dyDescent="0.25">
      <c r="A137" s="546" t="s">
        <v>35</v>
      </c>
      <c r="B137" s="547">
        <f t="shared" si="7"/>
        <v>1993</v>
      </c>
      <c r="C137" s="547">
        <v>9</v>
      </c>
      <c r="D137" s="547">
        <v>241</v>
      </c>
      <c r="E137" s="547">
        <v>509</v>
      </c>
      <c r="F137" s="547">
        <v>487</v>
      </c>
      <c r="G137" s="547">
        <v>345</v>
      </c>
      <c r="H137" s="547">
        <v>229</v>
      </c>
      <c r="I137" s="547">
        <v>80</v>
      </c>
      <c r="J137" s="547">
        <v>5</v>
      </c>
      <c r="K137" s="547">
        <v>0</v>
      </c>
      <c r="L137" s="547">
        <v>88</v>
      </c>
    </row>
    <row r="138" spans="1:12" s="543" customFormat="1" ht="9" customHeight="1" x14ac:dyDescent="0.25">
      <c r="A138" s="546" t="s">
        <v>36</v>
      </c>
      <c r="B138" s="547">
        <f t="shared" si="7"/>
        <v>5393</v>
      </c>
      <c r="C138" s="547">
        <v>24</v>
      </c>
      <c r="D138" s="547">
        <v>824</v>
      </c>
      <c r="E138" s="547">
        <v>1548</v>
      </c>
      <c r="F138" s="547">
        <v>1277</v>
      </c>
      <c r="G138" s="547">
        <v>887</v>
      </c>
      <c r="H138" s="547">
        <v>499</v>
      </c>
      <c r="I138" s="547">
        <v>148</v>
      </c>
      <c r="J138" s="547">
        <v>14</v>
      </c>
      <c r="K138" s="547">
        <v>1</v>
      </c>
      <c r="L138" s="547">
        <v>171</v>
      </c>
    </row>
    <row r="139" spans="1:12" s="543" customFormat="1" ht="9" customHeight="1" x14ac:dyDescent="0.25">
      <c r="A139" s="548" t="s">
        <v>37</v>
      </c>
      <c r="B139" s="549">
        <f t="shared" si="7"/>
        <v>937</v>
      </c>
      <c r="C139" s="549">
        <v>6</v>
      </c>
      <c r="D139" s="549">
        <v>150</v>
      </c>
      <c r="E139" s="549">
        <v>200</v>
      </c>
      <c r="F139" s="549">
        <v>218</v>
      </c>
      <c r="G139" s="549">
        <v>148</v>
      </c>
      <c r="H139" s="549">
        <v>110</v>
      </c>
      <c r="I139" s="549">
        <v>47</v>
      </c>
      <c r="J139" s="549">
        <v>4</v>
      </c>
      <c r="K139" s="549">
        <v>4</v>
      </c>
      <c r="L139" s="549">
        <v>50</v>
      </c>
    </row>
    <row r="140" spans="1:12" s="543" customFormat="1" ht="9" customHeight="1" x14ac:dyDescent="0.25">
      <c r="A140" s="546" t="s">
        <v>38</v>
      </c>
      <c r="B140" s="547">
        <f t="shared" si="7"/>
        <v>409</v>
      </c>
      <c r="C140" s="547">
        <v>7</v>
      </c>
      <c r="D140" s="551">
        <v>62</v>
      </c>
      <c r="E140" s="547">
        <v>111</v>
      </c>
      <c r="F140" s="547">
        <v>96</v>
      </c>
      <c r="G140" s="547">
        <v>57</v>
      </c>
      <c r="H140" s="547">
        <v>55</v>
      </c>
      <c r="I140" s="547">
        <v>10</v>
      </c>
      <c r="J140" s="547">
        <v>0</v>
      </c>
      <c r="K140" s="547">
        <v>0</v>
      </c>
      <c r="L140" s="547">
        <v>11</v>
      </c>
    </row>
    <row r="141" spans="1:12" s="543" customFormat="1" ht="9" customHeight="1" x14ac:dyDescent="0.25">
      <c r="A141" s="546" t="s">
        <v>39</v>
      </c>
      <c r="B141" s="547">
        <f t="shared" si="7"/>
        <v>97</v>
      </c>
      <c r="C141" s="547">
        <v>0</v>
      </c>
      <c r="D141" s="547">
        <v>17</v>
      </c>
      <c r="E141" s="547">
        <v>27</v>
      </c>
      <c r="F141" s="547">
        <v>23</v>
      </c>
      <c r="G141" s="547">
        <v>11</v>
      </c>
      <c r="H141" s="547">
        <v>7</v>
      </c>
      <c r="I141" s="547">
        <v>3</v>
      </c>
      <c r="J141" s="547">
        <v>0</v>
      </c>
      <c r="K141" s="547">
        <v>0</v>
      </c>
      <c r="L141" s="547">
        <v>9</v>
      </c>
    </row>
    <row r="142" spans="1:12" s="543" customFormat="1" ht="9" customHeight="1" x14ac:dyDescent="0.25">
      <c r="A142" s="546" t="s">
        <v>40</v>
      </c>
      <c r="B142" s="547">
        <f t="shared" si="7"/>
        <v>689</v>
      </c>
      <c r="C142" s="547">
        <v>5</v>
      </c>
      <c r="D142" s="547">
        <v>104</v>
      </c>
      <c r="E142" s="547">
        <v>156</v>
      </c>
      <c r="F142" s="547">
        <v>175</v>
      </c>
      <c r="G142" s="547">
        <v>114</v>
      </c>
      <c r="H142" s="547">
        <v>52</v>
      </c>
      <c r="I142" s="547">
        <v>16</v>
      </c>
      <c r="J142" s="547">
        <v>0</v>
      </c>
      <c r="K142" s="547">
        <v>0</v>
      </c>
      <c r="L142" s="547">
        <v>67</v>
      </c>
    </row>
    <row r="143" spans="1:12" s="543" customFormat="1" ht="9" customHeight="1" x14ac:dyDescent="0.25">
      <c r="A143" s="548" t="s">
        <v>41</v>
      </c>
      <c r="B143" s="549">
        <f t="shared" si="7"/>
        <v>838</v>
      </c>
      <c r="C143" s="549">
        <v>9</v>
      </c>
      <c r="D143" s="549">
        <v>162</v>
      </c>
      <c r="E143" s="549">
        <v>197</v>
      </c>
      <c r="F143" s="549">
        <v>184</v>
      </c>
      <c r="G143" s="549">
        <v>125</v>
      </c>
      <c r="H143" s="549">
        <v>90</v>
      </c>
      <c r="I143" s="549">
        <v>37</v>
      </c>
      <c r="J143" s="549">
        <v>6</v>
      </c>
      <c r="K143" s="549">
        <v>2</v>
      </c>
      <c r="L143" s="549">
        <v>26</v>
      </c>
    </row>
    <row r="144" spans="1:12" s="543" customFormat="1" ht="9" customHeight="1" x14ac:dyDescent="0.25">
      <c r="A144" s="546" t="s">
        <v>42</v>
      </c>
      <c r="B144" s="547">
        <f t="shared" si="7"/>
        <v>2122</v>
      </c>
      <c r="C144" s="547">
        <v>18</v>
      </c>
      <c r="D144" s="547">
        <v>354</v>
      </c>
      <c r="E144" s="547">
        <v>564</v>
      </c>
      <c r="F144" s="547">
        <v>456</v>
      </c>
      <c r="G144" s="547">
        <v>280</v>
      </c>
      <c r="H144" s="547">
        <v>224</v>
      </c>
      <c r="I144" s="547">
        <v>78</v>
      </c>
      <c r="J144" s="547">
        <v>8</v>
      </c>
      <c r="K144" s="547">
        <v>0</v>
      </c>
      <c r="L144" s="547">
        <v>140</v>
      </c>
    </row>
    <row r="145" spans="1:12" s="543" customFormat="1" ht="9" customHeight="1" x14ac:dyDescent="0.25">
      <c r="A145" s="546" t="s">
        <v>43</v>
      </c>
      <c r="B145" s="547">
        <f t="shared" si="7"/>
        <v>530</v>
      </c>
      <c r="C145" s="547">
        <v>0</v>
      </c>
      <c r="D145" s="547">
        <v>71</v>
      </c>
      <c r="E145" s="547">
        <v>139</v>
      </c>
      <c r="F145" s="547">
        <v>123</v>
      </c>
      <c r="G145" s="547">
        <v>91</v>
      </c>
      <c r="H145" s="547">
        <v>55</v>
      </c>
      <c r="I145" s="547">
        <v>23</v>
      </c>
      <c r="J145" s="547">
        <v>2</v>
      </c>
      <c r="K145" s="547">
        <v>0</v>
      </c>
      <c r="L145" s="547">
        <v>26</v>
      </c>
    </row>
    <row r="146" spans="1:12" s="543" customFormat="1" ht="9" customHeight="1" x14ac:dyDescent="0.25">
      <c r="A146" s="546" t="s">
        <v>44</v>
      </c>
      <c r="B146" s="547">
        <f t="shared" si="7"/>
        <v>239</v>
      </c>
      <c r="C146" s="547">
        <v>4</v>
      </c>
      <c r="D146" s="547">
        <v>40</v>
      </c>
      <c r="E146" s="547">
        <v>59</v>
      </c>
      <c r="F146" s="547">
        <v>45</v>
      </c>
      <c r="G146" s="547">
        <v>41</v>
      </c>
      <c r="H146" s="547">
        <v>26</v>
      </c>
      <c r="I146" s="547">
        <v>6</v>
      </c>
      <c r="J146" s="547">
        <v>0</v>
      </c>
      <c r="K146" s="547">
        <v>0</v>
      </c>
      <c r="L146" s="547">
        <v>18</v>
      </c>
    </row>
    <row r="147" spans="1:12" s="543" customFormat="1" ht="9" customHeight="1" x14ac:dyDescent="0.25">
      <c r="A147" s="548" t="s">
        <v>45</v>
      </c>
      <c r="B147" s="549">
        <f t="shared" si="7"/>
        <v>751</v>
      </c>
      <c r="C147" s="549">
        <v>6</v>
      </c>
      <c r="D147" s="549">
        <v>97</v>
      </c>
      <c r="E147" s="549">
        <v>164</v>
      </c>
      <c r="F147" s="549">
        <v>167</v>
      </c>
      <c r="G147" s="549">
        <v>117</v>
      </c>
      <c r="H147" s="549">
        <v>87</v>
      </c>
      <c r="I147" s="549">
        <v>34</v>
      </c>
      <c r="J147" s="549">
        <v>6</v>
      </c>
      <c r="K147" s="549">
        <v>0</v>
      </c>
      <c r="L147" s="549">
        <v>73</v>
      </c>
    </row>
    <row r="148" spans="1:12" s="543" customFormat="1" ht="9" customHeight="1" x14ac:dyDescent="0.25">
      <c r="A148" s="546" t="s">
        <v>46</v>
      </c>
      <c r="B148" s="547">
        <f t="shared" si="7"/>
        <v>100</v>
      </c>
      <c r="C148" s="547">
        <v>2</v>
      </c>
      <c r="D148" s="547">
        <v>15</v>
      </c>
      <c r="E148" s="547">
        <v>33</v>
      </c>
      <c r="F148" s="547">
        <v>24</v>
      </c>
      <c r="G148" s="547">
        <v>12</v>
      </c>
      <c r="H148" s="547">
        <v>4</v>
      </c>
      <c r="I148" s="547">
        <v>0</v>
      </c>
      <c r="J148" s="547">
        <v>0</v>
      </c>
      <c r="K148" s="547">
        <v>0</v>
      </c>
      <c r="L148" s="547">
        <v>10</v>
      </c>
    </row>
    <row r="149" spans="1:12" s="543" customFormat="1" ht="9" customHeight="1" x14ac:dyDescent="0.25">
      <c r="A149" s="546" t="s">
        <v>47</v>
      </c>
      <c r="B149" s="547">
        <f t="shared" si="7"/>
        <v>452</v>
      </c>
      <c r="C149" s="547">
        <v>5</v>
      </c>
      <c r="D149" s="547">
        <v>87</v>
      </c>
      <c r="E149" s="547">
        <v>123</v>
      </c>
      <c r="F149" s="547">
        <v>92</v>
      </c>
      <c r="G149" s="547">
        <v>63</v>
      </c>
      <c r="H149" s="547">
        <v>38</v>
      </c>
      <c r="I149" s="547">
        <v>10</v>
      </c>
      <c r="J149" s="547">
        <v>2</v>
      </c>
      <c r="K149" s="547">
        <v>0</v>
      </c>
      <c r="L149" s="547">
        <v>32</v>
      </c>
    </row>
    <row r="150" spans="1:12" s="543" customFormat="1" ht="9" customHeight="1" x14ac:dyDescent="0.25">
      <c r="A150" s="546" t="s">
        <v>48</v>
      </c>
      <c r="B150" s="547">
        <f t="shared" si="7"/>
        <v>453</v>
      </c>
      <c r="C150" s="547">
        <v>3</v>
      </c>
      <c r="D150" s="547">
        <v>84</v>
      </c>
      <c r="E150" s="547">
        <v>129</v>
      </c>
      <c r="F150" s="547">
        <v>83</v>
      </c>
      <c r="G150" s="547">
        <v>67</v>
      </c>
      <c r="H150" s="547">
        <v>43</v>
      </c>
      <c r="I150" s="547">
        <v>7</v>
      </c>
      <c r="J150" s="547">
        <v>0</v>
      </c>
      <c r="K150" s="547">
        <v>0</v>
      </c>
      <c r="L150" s="547">
        <v>37</v>
      </c>
    </row>
    <row r="151" spans="1:12" s="543" customFormat="1" ht="9" customHeight="1" x14ac:dyDescent="0.25">
      <c r="A151" s="548" t="s">
        <v>49</v>
      </c>
      <c r="B151" s="549">
        <f t="shared" si="7"/>
        <v>492</v>
      </c>
      <c r="C151" s="549">
        <v>0</v>
      </c>
      <c r="D151" s="549">
        <v>83</v>
      </c>
      <c r="E151" s="549">
        <v>142</v>
      </c>
      <c r="F151" s="549">
        <v>112</v>
      </c>
      <c r="G151" s="549">
        <v>69</v>
      </c>
      <c r="H151" s="549">
        <v>43</v>
      </c>
      <c r="I151" s="549">
        <v>8</v>
      </c>
      <c r="J151" s="549">
        <v>0</v>
      </c>
      <c r="K151" s="549">
        <v>0</v>
      </c>
      <c r="L151" s="549">
        <v>35</v>
      </c>
    </row>
    <row r="152" spans="1:12" s="543" customFormat="1" ht="9" customHeight="1" x14ac:dyDescent="0.25">
      <c r="A152" s="546" t="s">
        <v>50</v>
      </c>
      <c r="B152" s="547">
        <f t="shared" si="7"/>
        <v>331</v>
      </c>
      <c r="C152" s="547">
        <v>0</v>
      </c>
      <c r="D152" s="547">
        <v>54</v>
      </c>
      <c r="E152" s="547">
        <v>94</v>
      </c>
      <c r="F152" s="547">
        <v>69</v>
      </c>
      <c r="G152" s="547">
        <v>59</v>
      </c>
      <c r="H152" s="547">
        <v>26</v>
      </c>
      <c r="I152" s="547">
        <v>9</v>
      </c>
      <c r="J152" s="547">
        <v>1</v>
      </c>
      <c r="K152" s="547">
        <v>0</v>
      </c>
      <c r="L152" s="547">
        <v>19</v>
      </c>
    </row>
    <row r="153" spans="1:12" s="543" customFormat="1" ht="9" customHeight="1" x14ac:dyDescent="0.25">
      <c r="A153" s="546" t="s">
        <v>51</v>
      </c>
      <c r="B153" s="547">
        <f t="shared" si="7"/>
        <v>1665</v>
      </c>
      <c r="C153" s="547">
        <v>8</v>
      </c>
      <c r="D153" s="547">
        <v>269</v>
      </c>
      <c r="E153" s="547">
        <v>474</v>
      </c>
      <c r="F153" s="547">
        <v>385</v>
      </c>
      <c r="G153" s="547">
        <v>236</v>
      </c>
      <c r="H153" s="547">
        <v>170</v>
      </c>
      <c r="I153" s="547">
        <v>49</v>
      </c>
      <c r="J153" s="547">
        <v>3</v>
      </c>
      <c r="K153" s="547">
        <v>0</v>
      </c>
      <c r="L153" s="547">
        <v>71</v>
      </c>
    </row>
    <row r="154" spans="1:12" s="543" customFormat="1" ht="9" customHeight="1" x14ac:dyDescent="0.25">
      <c r="A154" s="546" t="s">
        <v>52</v>
      </c>
      <c r="B154" s="547">
        <f t="shared" si="7"/>
        <v>369</v>
      </c>
      <c r="C154" s="547">
        <v>1</v>
      </c>
      <c r="D154" s="547">
        <v>42</v>
      </c>
      <c r="E154" s="547">
        <v>99</v>
      </c>
      <c r="F154" s="547">
        <v>90</v>
      </c>
      <c r="G154" s="547">
        <v>63</v>
      </c>
      <c r="H154" s="547">
        <v>35</v>
      </c>
      <c r="I154" s="547">
        <v>12</v>
      </c>
      <c r="J154" s="547">
        <v>3</v>
      </c>
      <c r="K154" s="547">
        <v>0</v>
      </c>
      <c r="L154" s="547">
        <v>24</v>
      </c>
    </row>
    <row r="155" spans="1:12" s="543" customFormat="1" ht="9" customHeight="1" x14ac:dyDescent="0.25">
      <c r="A155" s="548" t="s">
        <v>53</v>
      </c>
      <c r="B155" s="549">
        <f t="shared" si="7"/>
        <v>357</v>
      </c>
      <c r="C155" s="549">
        <v>0</v>
      </c>
      <c r="D155" s="549">
        <v>44</v>
      </c>
      <c r="E155" s="549">
        <v>94</v>
      </c>
      <c r="F155" s="549">
        <v>72</v>
      </c>
      <c r="G155" s="549">
        <v>61</v>
      </c>
      <c r="H155" s="549">
        <v>29</v>
      </c>
      <c r="I155" s="549">
        <v>15</v>
      </c>
      <c r="J155" s="549">
        <v>4</v>
      </c>
      <c r="K155" s="549">
        <v>0</v>
      </c>
      <c r="L155" s="549">
        <v>38</v>
      </c>
    </row>
    <row r="156" spans="1:12" s="543" customFormat="1" ht="9" customHeight="1" x14ac:dyDescent="0.25">
      <c r="A156" s="546" t="s">
        <v>434</v>
      </c>
      <c r="B156" s="547">
        <f t="shared" si="7"/>
        <v>23</v>
      </c>
      <c r="C156" s="547">
        <v>0</v>
      </c>
      <c r="D156" s="547">
        <v>5</v>
      </c>
      <c r="E156" s="547">
        <v>4</v>
      </c>
      <c r="F156" s="547">
        <v>5</v>
      </c>
      <c r="G156" s="547">
        <v>2</v>
      </c>
      <c r="H156" s="547">
        <v>4</v>
      </c>
      <c r="I156" s="547">
        <v>2</v>
      </c>
      <c r="J156" s="547">
        <v>0</v>
      </c>
      <c r="K156" s="547">
        <v>0</v>
      </c>
      <c r="L156" s="547">
        <v>1</v>
      </c>
    </row>
    <row r="157" spans="1:12" s="543" customFormat="1" ht="9" customHeight="1" x14ac:dyDescent="0.25">
      <c r="A157" s="546"/>
      <c r="B157" s="547"/>
      <c r="C157" s="547"/>
      <c r="D157" s="547"/>
      <c r="E157" s="547"/>
      <c r="F157" s="547"/>
      <c r="G157" s="547"/>
      <c r="H157" s="547"/>
      <c r="I157" s="547"/>
      <c r="J157" s="547"/>
      <c r="K157" s="547"/>
      <c r="L157" s="547"/>
    </row>
    <row r="158" spans="1:12" s="543" customFormat="1" ht="9" customHeight="1" x14ac:dyDescent="0.25">
      <c r="A158" s="541">
        <v>1999</v>
      </c>
      <c r="B158" s="552"/>
      <c r="C158" s="542"/>
      <c r="D158" s="542"/>
      <c r="E158" s="553"/>
      <c r="F158" s="553"/>
      <c r="G158" s="542"/>
      <c r="H158" s="542"/>
      <c r="I158" s="542"/>
      <c r="J158" s="542"/>
      <c r="K158" s="542"/>
      <c r="L158" s="542"/>
    </row>
    <row r="159" spans="1:12" s="543" customFormat="1" ht="9" customHeight="1" x14ac:dyDescent="0.25">
      <c r="A159" s="541" t="s">
        <v>13</v>
      </c>
      <c r="B159" s="544">
        <f>SUM(C159:L159)</f>
        <v>27604</v>
      </c>
      <c r="C159" s="544">
        <f t="shared" ref="C159:L159" si="8">SUM(C161:C193)</f>
        <v>125</v>
      </c>
      <c r="D159" s="544">
        <f t="shared" si="8"/>
        <v>4202</v>
      </c>
      <c r="E159" s="544">
        <f t="shared" si="8"/>
        <v>7235</v>
      </c>
      <c r="F159" s="544">
        <f t="shared" si="8"/>
        <v>6330</v>
      </c>
      <c r="G159" s="544">
        <f t="shared" si="8"/>
        <v>4493</v>
      </c>
      <c r="H159" s="544">
        <f t="shared" si="8"/>
        <v>2819</v>
      </c>
      <c r="I159" s="544">
        <f t="shared" si="8"/>
        <v>953</v>
      </c>
      <c r="J159" s="544">
        <f t="shared" si="8"/>
        <v>93</v>
      </c>
      <c r="K159" s="544">
        <f t="shared" si="8"/>
        <v>4</v>
      </c>
      <c r="L159" s="544">
        <f t="shared" si="8"/>
        <v>1350</v>
      </c>
    </row>
    <row r="160" spans="1:12" s="543" customFormat="1" ht="3" customHeight="1" x14ac:dyDescent="0.25">
      <c r="A160" s="541"/>
      <c r="B160" s="544"/>
      <c r="C160" s="544"/>
      <c r="D160" s="544"/>
      <c r="E160" s="544"/>
      <c r="F160" s="544"/>
      <c r="G160" s="544"/>
      <c r="H160" s="544"/>
      <c r="I160" s="544"/>
      <c r="J160" s="544"/>
      <c r="K160" s="544"/>
      <c r="L160" s="544"/>
    </row>
    <row r="161" spans="1:12" s="543" customFormat="1" ht="9" customHeight="1" x14ac:dyDescent="0.25">
      <c r="A161" s="546" t="s">
        <v>23</v>
      </c>
      <c r="B161" s="547">
        <f t="shared" ref="B161:B193" si="9">SUM(C161:L161)</f>
        <v>293</v>
      </c>
      <c r="C161" s="547">
        <v>0</v>
      </c>
      <c r="D161" s="547">
        <v>40</v>
      </c>
      <c r="E161" s="547">
        <v>59</v>
      </c>
      <c r="F161" s="547">
        <v>57</v>
      </c>
      <c r="G161" s="547">
        <v>66</v>
      </c>
      <c r="H161" s="547">
        <v>30</v>
      </c>
      <c r="I161" s="547">
        <v>22</v>
      </c>
      <c r="J161" s="547">
        <v>0</v>
      </c>
      <c r="K161" s="547">
        <v>0</v>
      </c>
      <c r="L161" s="547">
        <v>19</v>
      </c>
    </row>
    <row r="162" spans="1:12" s="543" customFormat="1" ht="9" customHeight="1" x14ac:dyDescent="0.25">
      <c r="A162" s="546" t="s">
        <v>24</v>
      </c>
      <c r="B162" s="547">
        <f t="shared" si="9"/>
        <v>818</v>
      </c>
      <c r="C162" s="547">
        <v>8</v>
      </c>
      <c r="D162" s="547">
        <v>130</v>
      </c>
      <c r="E162" s="547">
        <v>216</v>
      </c>
      <c r="F162" s="547">
        <v>167</v>
      </c>
      <c r="G162" s="547">
        <v>122</v>
      </c>
      <c r="H162" s="547">
        <v>75</v>
      </c>
      <c r="I162" s="547">
        <v>21</v>
      </c>
      <c r="J162" s="547">
        <v>0</v>
      </c>
      <c r="K162" s="547">
        <v>0</v>
      </c>
      <c r="L162" s="547">
        <v>79</v>
      </c>
    </row>
    <row r="163" spans="1:12" s="543" customFormat="1" ht="9" customHeight="1" x14ac:dyDescent="0.25">
      <c r="A163" s="546" t="s">
        <v>25</v>
      </c>
      <c r="B163" s="547">
        <f t="shared" si="9"/>
        <v>103</v>
      </c>
      <c r="C163" s="547">
        <v>1</v>
      </c>
      <c r="D163" s="547">
        <v>21</v>
      </c>
      <c r="E163" s="547">
        <v>27</v>
      </c>
      <c r="F163" s="547">
        <v>22</v>
      </c>
      <c r="G163" s="547">
        <v>18</v>
      </c>
      <c r="H163" s="547">
        <v>9</v>
      </c>
      <c r="I163" s="547">
        <v>1</v>
      </c>
      <c r="J163" s="547">
        <v>0</v>
      </c>
      <c r="K163" s="547">
        <v>0</v>
      </c>
      <c r="L163" s="547">
        <v>4</v>
      </c>
    </row>
    <row r="164" spans="1:12" s="543" customFormat="1" ht="9" customHeight="1" x14ac:dyDescent="0.25">
      <c r="A164" s="548" t="s">
        <v>26</v>
      </c>
      <c r="B164" s="549">
        <f t="shared" si="9"/>
        <v>132</v>
      </c>
      <c r="C164" s="549">
        <v>0</v>
      </c>
      <c r="D164" s="549">
        <v>23</v>
      </c>
      <c r="E164" s="549">
        <v>36</v>
      </c>
      <c r="F164" s="549">
        <v>22</v>
      </c>
      <c r="G164" s="549">
        <v>20</v>
      </c>
      <c r="H164" s="549">
        <v>12</v>
      </c>
      <c r="I164" s="549">
        <v>9</v>
      </c>
      <c r="J164" s="549">
        <v>1</v>
      </c>
      <c r="K164" s="549">
        <v>1</v>
      </c>
      <c r="L164" s="549">
        <v>8</v>
      </c>
    </row>
    <row r="165" spans="1:12" s="543" customFormat="1" ht="9" customHeight="1" x14ac:dyDescent="0.25">
      <c r="A165" s="546" t="s">
        <v>27</v>
      </c>
      <c r="B165" s="547">
        <f t="shared" si="9"/>
        <v>312</v>
      </c>
      <c r="C165" s="547">
        <v>5</v>
      </c>
      <c r="D165" s="547">
        <v>47</v>
      </c>
      <c r="E165" s="551">
        <v>83</v>
      </c>
      <c r="F165" s="547">
        <v>59</v>
      </c>
      <c r="G165" s="547">
        <v>50</v>
      </c>
      <c r="H165" s="547">
        <v>26</v>
      </c>
      <c r="I165" s="547">
        <v>6</v>
      </c>
      <c r="J165" s="547">
        <v>0</v>
      </c>
      <c r="K165" s="547">
        <v>0</v>
      </c>
      <c r="L165" s="547">
        <v>36</v>
      </c>
    </row>
    <row r="166" spans="1:12" s="543" customFormat="1" ht="9" customHeight="1" x14ac:dyDescent="0.25">
      <c r="A166" s="546" t="s">
        <v>28</v>
      </c>
      <c r="B166" s="547">
        <f t="shared" si="9"/>
        <v>116</v>
      </c>
      <c r="C166" s="547">
        <v>0</v>
      </c>
      <c r="D166" s="547">
        <v>19</v>
      </c>
      <c r="E166" s="547">
        <v>33</v>
      </c>
      <c r="F166" s="547">
        <v>28</v>
      </c>
      <c r="G166" s="547">
        <v>20</v>
      </c>
      <c r="H166" s="547">
        <v>7</v>
      </c>
      <c r="I166" s="547">
        <v>1</v>
      </c>
      <c r="J166" s="547">
        <v>0</v>
      </c>
      <c r="K166" s="547">
        <v>0</v>
      </c>
      <c r="L166" s="547">
        <v>8</v>
      </c>
    </row>
    <row r="167" spans="1:12" s="543" customFormat="1" ht="9" customHeight="1" x14ac:dyDescent="0.25">
      <c r="A167" s="546" t="s">
        <v>29</v>
      </c>
      <c r="B167" s="547">
        <f t="shared" si="9"/>
        <v>1068</v>
      </c>
      <c r="C167" s="547">
        <v>9</v>
      </c>
      <c r="D167" s="547">
        <v>225</v>
      </c>
      <c r="E167" s="547">
        <v>296</v>
      </c>
      <c r="F167" s="547">
        <v>215</v>
      </c>
      <c r="G167" s="547">
        <v>156</v>
      </c>
      <c r="H167" s="547">
        <v>85</v>
      </c>
      <c r="I167" s="547">
        <v>37</v>
      </c>
      <c r="J167" s="547">
        <v>5</v>
      </c>
      <c r="K167" s="547">
        <v>0</v>
      </c>
      <c r="L167" s="547">
        <v>40</v>
      </c>
    </row>
    <row r="168" spans="1:12" s="543" customFormat="1" ht="9" customHeight="1" x14ac:dyDescent="0.25">
      <c r="A168" s="548" t="s">
        <v>30</v>
      </c>
      <c r="B168" s="549">
        <f t="shared" si="9"/>
        <v>662</v>
      </c>
      <c r="C168" s="549">
        <v>6</v>
      </c>
      <c r="D168" s="549">
        <v>124</v>
      </c>
      <c r="E168" s="549">
        <v>180</v>
      </c>
      <c r="F168" s="549">
        <v>137</v>
      </c>
      <c r="G168" s="549">
        <v>101</v>
      </c>
      <c r="H168" s="549">
        <v>53</v>
      </c>
      <c r="I168" s="549">
        <v>10</v>
      </c>
      <c r="J168" s="549">
        <v>0</v>
      </c>
      <c r="K168" s="549">
        <v>0</v>
      </c>
      <c r="L168" s="549">
        <v>51</v>
      </c>
    </row>
    <row r="169" spans="1:12" s="543" customFormat="1" ht="9" customHeight="1" x14ac:dyDescent="0.25">
      <c r="A169" s="550" t="s">
        <v>63</v>
      </c>
      <c r="B169" s="547">
        <f t="shared" si="9"/>
        <v>2991</v>
      </c>
      <c r="C169" s="547">
        <v>8</v>
      </c>
      <c r="D169" s="547">
        <v>414</v>
      </c>
      <c r="E169" s="547">
        <v>802</v>
      </c>
      <c r="F169" s="547">
        <v>767</v>
      </c>
      <c r="G169" s="547">
        <v>526</v>
      </c>
      <c r="H169" s="547">
        <v>297</v>
      </c>
      <c r="I169" s="547">
        <v>97</v>
      </c>
      <c r="J169" s="547">
        <v>4</v>
      </c>
      <c r="K169" s="547">
        <v>0</v>
      </c>
      <c r="L169" s="547">
        <v>76</v>
      </c>
    </row>
    <row r="170" spans="1:12" s="543" customFormat="1" ht="9" customHeight="1" x14ac:dyDescent="0.25">
      <c r="A170" s="546" t="s">
        <v>31</v>
      </c>
      <c r="B170" s="547">
        <f t="shared" si="9"/>
        <v>88</v>
      </c>
      <c r="C170" s="547">
        <v>0</v>
      </c>
      <c r="D170" s="547">
        <v>13</v>
      </c>
      <c r="E170" s="547">
        <v>24</v>
      </c>
      <c r="F170" s="547">
        <v>15</v>
      </c>
      <c r="G170" s="547">
        <v>13</v>
      </c>
      <c r="H170" s="547">
        <v>15</v>
      </c>
      <c r="I170" s="547">
        <v>1</v>
      </c>
      <c r="J170" s="547">
        <v>1</v>
      </c>
      <c r="K170" s="547">
        <v>0</v>
      </c>
      <c r="L170" s="547">
        <v>6</v>
      </c>
    </row>
    <row r="171" spans="1:12" s="543" customFormat="1" ht="9" customHeight="1" x14ac:dyDescent="0.25">
      <c r="A171" s="546" t="s">
        <v>32</v>
      </c>
      <c r="B171" s="547">
        <f t="shared" si="9"/>
        <v>2013</v>
      </c>
      <c r="C171" s="547">
        <v>5</v>
      </c>
      <c r="D171" s="547">
        <v>232</v>
      </c>
      <c r="E171" s="547">
        <v>507</v>
      </c>
      <c r="F171" s="547">
        <v>483</v>
      </c>
      <c r="G171" s="547">
        <v>353</v>
      </c>
      <c r="H171" s="547">
        <v>259</v>
      </c>
      <c r="I171" s="547">
        <v>96</v>
      </c>
      <c r="J171" s="547">
        <v>12</v>
      </c>
      <c r="K171" s="547">
        <v>0</v>
      </c>
      <c r="L171" s="547">
        <v>66</v>
      </c>
    </row>
    <row r="172" spans="1:12" s="543" customFormat="1" ht="9" customHeight="1" x14ac:dyDescent="0.25">
      <c r="A172" s="548" t="s">
        <v>33</v>
      </c>
      <c r="B172" s="549">
        <f t="shared" si="9"/>
        <v>239</v>
      </c>
      <c r="C172" s="549">
        <v>2</v>
      </c>
      <c r="D172" s="549">
        <v>59</v>
      </c>
      <c r="E172" s="554">
        <v>55</v>
      </c>
      <c r="F172" s="549">
        <v>52</v>
      </c>
      <c r="G172" s="549">
        <v>35</v>
      </c>
      <c r="H172" s="549">
        <v>23</v>
      </c>
      <c r="I172" s="549">
        <v>8</v>
      </c>
      <c r="J172" s="549">
        <v>1</v>
      </c>
      <c r="K172" s="549">
        <v>0</v>
      </c>
      <c r="L172" s="549">
        <v>4</v>
      </c>
    </row>
    <row r="173" spans="1:12" s="543" customFormat="1" ht="9" customHeight="1" x14ac:dyDescent="0.25">
      <c r="A173" s="546" t="s">
        <v>34</v>
      </c>
      <c r="B173" s="547">
        <f t="shared" si="9"/>
        <v>633</v>
      </c>
      <c r="C173" s="547">
        <v>2</v>
      </c>
      <c r="D173" s="547">
        <v>124</v>
      </c>
      <c r="E173" s="547">
        <v>166</v>
      </c>
      <c r="F173" s="547">
        <v>139</v>
      </c>
      <c r="G173" s="547">
        <v>79</v>
      </c>
      <c r="H173" s="547">
        <v>55</v>
      </c>
      <c r="I173" s="547">
        <v>15</v>
      </c>
      <c r="J173" s="547">
        <v>2</v>
      </c>
      <c r="K173" s="547">
        <v>1</v>
      </c>
      <c r="L173" s="547">
        <v>50</v>
      </c>
    </row>
    <row r="174" spans="1:12" s="543" customFormat="1" ht="9" customHeight="1" x14ac:dyDescent="0.25">
      <c r="A174" s="546" t="s">
        <v>35</v>
      </c>
      <c r="B174" s="547">
        <f t="shared" si="9"/>
        <v>1989</v>
      </c>
      <c r="C174" s="547">
        <v>8</v>
      </c>
      <c r="D174" s="547">
        <v>253</v>
      </c>
      <c r="E174" s="547">
        <v>482</v>
      </c>
      <c r="F174" s="547">
        <v>491</v>
      </c>
      <c r="G174" s="547">
        <v>338</v>
      </c>
      <c r="H174" s="547">
        <v>222</v>
      </c>
      <c r="I174" s="547">
        <v>100</v>
      </c>
      <c r="J174" s="547">
        <v>8</v>
      </c>
      <c r="K174" s="547">
        <v>0</v>
      </c>
      <c r="L174" s="547">
        <v>87</v>
      </c>
    </row>
    <row r="175" spans="1:12" s="543" customFormat="1" ht="9" customHeight="1" x14ac:dyDescent="0.25">
      <c r="A175" s="546" t="s">
        <v>36</v>
      </c>
      <c r="B175" s="547">
        <f t="shared" si="9"/>
        <v>5411</v>
      </c>
      <c r="C175" s="547">
        <v>20</v>
      </c>
      <c r="D175" s="547">
        <v>834</v>
      </c>
      <c r="E175" s="547">
        <v>1528</v>
      </c>
      <c r="F175" s="547">
        <v>1362</v>
      </c>
      <c r="G175" s="547">
        <v>824</v>
      </c>
      <c r="H175" s="547">
        <v>507</v>
      </c>
      <c r="I175" s="547">
        <v>159</v>
      </c>
      <c r="J175" s="547">
        <v>18</v>
      </c>
      <c r="K175" s="547">
        <v>0</v>
      </c>
      <c r="L175" s="547">
        <v>159</v>
      </c>
    </row>
    <row r="176" spans="1:12" s="543" customFormat="1" ht="9" customHeight="1" x14ac:dyDescent="0.25">
      <c r="A176" s="548" t="s">
        <v>37</v>
      </c>
      <c r="B176" s="549">
        <f t="shared" si="9"/>
        <v>1020</v>
      </c>
      <c r="C176" s="549">
        <v>5</v>
      </c>
      <c r="D176" s="549">
        <v>146</v>
      </c>
      <c r="E176" s="549">
        <v>270</v>
      </c>
      <c r="F176" s="549">
        <v>187</v>
      </c>
      <c r="G176" s="549">
        <v>171</v>
      </c>
      <c r="H176" s="549">
        <v>135</v>
      </c>
      <c r="I176" s="549">
        <v>37</v>
      </c>
      <c r="J176" s="549">
        <v>5</v>
      </c>
      <c r="K176" s="549">
        <v>0</v>
      </c>
      <c r="L176" s="549">
        <v>64</v>
      </c>
    </row>
    <row r="177" spans="1:12" s="543" customFormat="1" ht="9" customHeight="1" x14ac:dyDescent="0.25">
      <c r="A177" s="546" t="s">
        <v>38</v>
      </c>
      <c r="B177" s="547">
        <f t="shared" si="9"/>
        <v>385</v>
      </c>
      <c r="C177" s="547">
        <v>1</v>
      </c>
      <c r="D177" s="551">
        <v>59</v>
      </c>
      <c r="E177" s="547">
        <v>108</v>
      </c>
      <c r="F177" s="547">
        <v>80</v>
      </c>
      <c r="G177" s="547">
        <v>72</v>
      </c>
      <c r="H177" s="547">
        <v>36</v>
      </c>
      <c r="I177" s="547">
        <v>12</v>
      </c>
      <c r="J177" s="547">
        <v>2</v>
      </c>
      <c r="K177" s="547">
        <v>0</v>
      </c>
      <c r="L177" s="547">
        <v>15</v>
      </c>
    </row>
    <row r="178" spans="1:12" s="543" customFormat="1" ht="9" customHeight="1" x14ac:dyDescent="0.25">
      <c r="A178" s="546" t="s">
        <v>39</v>
      </c>
      <c r="B178" s="547">
        <f t="shared" si="9"/>
        <v>103</v>
      </c>
      <c r="C178" s="547">
        <v>0</v>
      </c>
      <c r="D178" s="547">
        <v>16</v>
      </c>
      <c r="E178" s="547">
        <v>26</v>
      </c>
      <c r="F178" s="547">
        <v>25</v>
      </c>
      <c r="G178" s="547">
        <v>19</v>
      </c>
      <c r="H178" s="547">
        <v>8</v>
      </c>
      <c r="I178" s="547">
        <v>2</v>
      </c>
      <c r="J178" s="547">
        <v>0</v>
      </c>
      <c r="K178" s="547">
        <v>0</v>
      </c>
      <c r="L178" s="547">
        <v>7</v>
      </c>
    </row>
    <row r="179" spans="1:12" s="543" customFormat="1" ht="9" customHeight="1" x14ac:dyDescent="0.25">
      <c r="A179" s="546" t="s">
        <v>40</v>
      </c>
      <c r="B179" s="547">
        <f t="shared" si="9"/>
        <v>662</v>
      </c>
      <c r="C179" s="547">
        <v>0</v>
      </c>
      <c r="D179" s="547">
        <v>92</v>
      </c>
      <c r="E179" s="547">
        <v>155</v>
      </c>
      <c r="F179" s="547">
        <v>157</v>
      </c>
      <c r="G179" s="547">
        <v>123</v>
      </c>
      <c r="H179" s="547">
        <v>65</v>
      </c>
      <c r="I179" s="547">
        <v>16</v>
      </c>
      <c r="J179" s="547">
        <v>0</v>
      </c>
      <c r="K179" s="547">
        <v>0</v>
      </c>
      <c r="L179" s="547">
        <v>54</v>
      </c>
    </row>
    <row r="180" spans="1:12" s="543" customFormat="1" ht="9" customHeight="1" x14ac:dyDescent="0.25">
      <c r="A180" s="548" t="s">
        <v>41</v>
      </c>
      <c r="B180" s="549">
        <f t="shared" si="9"/>
        <v>902</v>
      </c>
      <c r="C180" s="549">
        <v>6</v>
      </c>
      <c r="D180" s="549">
        <v>165</v>
      </c>
      <c r="E180" s="549">
        <v>228</v>
      </c>
      <c r="F180" s="549">
        <v>183</v>
      </c>
      <c r="G180" s="549">
        <v>128</v>
      </c>
      <c r="H180" s="549">
        <v>101</v>
      </c>
      <c r="I180" s="549">
        <v>41</v>
      </c>
      <c r="J180" s="549">
        <v>4</v>
      </c>
      <c r="K180" s="549">
        <v>1</v>
      </c>
      <c r="L180" s="549">
        <v>45</v>
      </c>
    </row>
    <row r="181" spans="1:12" s="543" customFormat="1" ht="9" customHeight="1" x14ac:dyDescent="0.25">
      <c r="A181" s="546" t="s">
        <v>42</v>
      </c>
      <c r="B181" s="547">
        <f t="shared" si="9"/>
        <v>2037</v>
      </c>
      <c r="C181" s="547">
        <v>12</v>
      </c>
      <c r="D181" s="547">
        <v>328</v>
      </c>
      <c r="E181" s="547">
        <v>501</v>
      </c>
      <c r="F181" s="547">
        <v>432</v>
      </c>
      <c r="G181" s="547">
        <v>314</v>
      </c>
      <c r="H181" s="547">
        <v>227</v>
      </c>
      <c r="I181" s="547">
        <v>75</v>
      </c>
      <c r="J181" s="547">
        <v>8</v>
      </c>
      <c r="K181" s="547">
        <v>0</v>
      </c>
      <c r="L181" s="547">
        <v>140</v>
      </c>
    </row>
    <row r="182" spans="1:12" s="543" customFormat="1" ht="9" customHeight="1" x14ac:dyDescent="0.25">
      <c r="A182" s="546" t="s">
        <v>43</v>
      </c>
      <c r="B182" s="547">
        <f t="shared" si="9"/>
        <v>519</v>
      </c>
      <c r="C182" s="547">
        <v>2</v>
      </c>
      <c r="D182" s="547">
        <v>60</v>
      </c>
      <c r="E182" s="547">
        <v>130</v>
      </c>
      <c r="F182" s="547">
        <v>120</v>
      </c>
      <c r="G182" s="547">
        <v>102</v>
      </c>
      <c r="H182" s="547">
        <v>57</v>
      </c>
      <c r="I182" s="547">
        <v>19</v>
      </c>
      <c r="J182" s="547">
        <v>2</v>
      </c>
      <c r="K182" s="547">
        <v>0</v>
      </c>
      <c r="L182" s="547">
        <v>27</v>
      </c>
    </row>
    <row r="183" spans="1:12" s="543" customFormat="1" ht="9" customHeight="1" x14ac:dyDescent="0.25">
      <c r="A183" s="546" t="s">
        <v>44</v>
      </c>
      <c r="B183" s="547">
        <f t="shared" si="9"/>
        <v>236</v>
      </c>
      <c r="C183" s="547">
        <v>2</v>
      </c>
      <c r="D183" s="547">
        <v>35</v>
      </c>
      <c r="E183" s="547">
        <v>70</v>
      </c>
      <c r="F183" s="547">
        <v>48</v>
      </c>
      <c r="G183" s="547">
        <v>38</v>
      </c>
      <c r="H183" s="547">
        <v>21</v>
      </c>
      <c r="I183" s="547">
        <v>6</v>
      </c>
      <c r="J183" s="547">
        <v>0</v>
      </c>
      <c r="K183" s="547">
        <v>0</v>
      </c>
      <c r="L183" s="547">
        <v>16</v>
      </c>
    </row>
    <row r="184" spans="1:12" s="543" customFormat="1" ht="9" customHeight="1" x14ac:dyDescent="0.25">
      <c r="A184" s="548" t="s">
        <v>45</v>
      </c>
      <c r="B184" s="549">
        <f t="shared" si="9"/>
        <v>695</v>
      </c>
      <c r="C184" s="549">
        <v>3</v>
      </c>
      <c r="D184" s="549">
        <v>95</v>
      </c>
      <c r="E184" s="549">
        <v>156</v>
      </c>
      <c r="F184" s="549">
        <v>141</v>
      </c>
      <c r="G184" s="549">
        <v>127</v>
      </c>
      <c r="H184" s="549">
        <v>78</v>
      </c>
      <c r="I184" s="549">
        <v>30</v>
      </c>
      <c r="J184" s="549">
        <v>3</v>
      </c>
      <c r="K184" s="549">
        <v>0</v>
      </c>
      <c r="L184" s="549">
        <v>62</v>
      </c>
    </row>
    <row r="185" spans="1:12" s="543" customFormat="1" ht="9" customHeight="1" x14ac:dyDescent="0.25">
      <c r="A185" s="546" t="s">
        <v>46</v>
      </c>
      <c r="B185" s="547">
        <f t="shared" si="9"/>
        <v>130</v>
      </c>
      <c r="C185" s="547">
        <v>0</v>
      </c>
      <c r="D185" s="547">
        <v>21</v>
      </c>
      <c r="E185" s="547">
        <v>29</v>
      </c>
      <c r="F185" s="547">
        <v>32</v>
      </c>
      <c r="G185" s="547">
        <v>20</v>
      </c>
      <c r="H185" s="547">
        <v>12</v>
      </c>
      <c r="I185" s="547">
        <v>5</v>
      </c>
      <c r="J185" s="547">
        <v>1</v>
      </c>
      <c r="K185" s="547">
        <v>0</v>
      </c>
      <c r="L185" s="547">
        <v>10</v>
      </c>
    </row>
    <row r="186" spans="1:12" s="543" customFormat="1" ht="9" customHeight="1" x14ac:dyDescent="0.25">
      <c r="A186" s="546" t="s">
        <v>47</v>
      </c>
      <c r="B186" s="547">
        <f t="shared" si="9"/>
        <v>404</v>
      </c>
      <c r="C186" s="547">
        <v>0</v>
      </c>
      <c r="D186" s="547">
        <v>71</v>
      </c>
      <c r="E186" s="547">
        <v>108</v>
      </c>
      <c r="F186" s="547">
        <v>87</v>
      </c>
      <c r="G186" s="547">
        <v>65</v>
      </c>
      <c r="H186" s="547">
        <v>43</v>
      </c>
      <c r="I186" s="547">
        <v>4</v>
      </c>
      <c r="J186" s="547">
        <v>2</v>
      </c>
      <c r="K186" s="547">
        <v>0</v>
      </c>
      <c r="L186" s="547">
        <v>24</v>
      </c>
    </row>
    <row r="187" spans="1:12" s="543" customFormat="1" ht="9" customHeight="1" x14ac:dyDescent="0.25">
      <c r="A187" s="546" t="s">
        <v>48</v>
      </c>
      <c r="B187" s="547">
        <f t="shared" si="9"/>
        <v>472</v>
      </c>
      <c r="C187" s="547">
        <v>3</v>
      </c>
      <c r="D187" s="547">
        <v>96</v>
      </c>
      <c r="E187" s="547">
        <v>121</v>
      </c>
      <c r="F187" s="547">
        <v>100</v>
      </c>
      <c r="G187" s="547">
        <v>77</v>
      </c>
      <c r="H187" s="547">
        <v>41</v>
      </c>
      <c r="I187" s="547">
        <v>13</v>
      </c>
      <c r="J187" s="547">
        <v>0</v>
      </c>
      <c r="K187" s="547">
        <v>0</v>
      </c>
      <c r="L187" s="547">
        <v>21</v>
      </c>
    </row>
    <row r="188" spans="1:12" s="543" customFormat="1" ht="9" customHeight="1" x14ac:dyDescent="0.25">
      <c r="A188" s="548" t="s">
        <v>49</v>
      </c>
      <c r="B188" s="549">
        <f t="shared" si="9"/>
        <v>429</v>
      </c>
      <c r="C188" s="549">
        <v>2</v>
      </c>
      <c r="D188" s="549">
        <v>58</v>
      </c>
      <c r="E188" s="549">
        <v>121</v>
      </c>
      <c r="F188" s="549">
        <v>123</v>
      </c>
      <c r="G188" s="549">
        <v>67</v>
      </c>
      <c r="H188" s="549">
        <v>31</v>
      </c>
      <c r="I188" s="549">
        <v>9</v>
      </c>
      <c r="J188" s="549">
        <v>0</v>
      </c>
      <c r="K188" s="549">
        <v>0</v>
      </c>
      <c r="L188" s="549">
        <v>18</v>
      </c>
    </row>
    <row r="189" spans="1:12" s="543" customFormat="1" ht="9" customHeight="1" x14ac:dyDescent="0.25">
      <c r="A189" s="546" t="s">
        <v>50</v>
      </c>
      <c r="B189" s="547">
        <f t="shared" si="9"/>
        <v>318</v>
      </c>
      <c r="C189" s="547">
        <v>3</v>
      </c>
      <c r="D189" s="547">
        <v>45</v>
      </c>
      <c r="E189" s="547">
        <v>92</v>
      </c>
      <c r="F189" s="547">
        <v>72</v>
      </c>
      <c r="G189" s="547">
        <v>57</v>
      </c>
      <c r="H189" s="547">
        <v>19</v>
      </c>
      <c r="I189" s="547">
        <v>10</v>
      </c>
      <c r="J189" s="547">
        <v>3</v>
      </c>
      <c r="K189" s="547">
        <v>1</v>
      </c>
      <c r="L189" s="547">
        <v>16</v>
      </c>
    </row>
    <row r="190" spans="1:12" s="543" customFormat="1" ht="9" customHeight="1" x14ac:dyDescent="0.25">
      <c r="A190" s="546" t="s">
        <v>51</v>
      </c>
      <c r="B190" s="547">
        <f t="shared" si="9"/>
        <v>1615</v>
      </c>
      <c r="C190" s="547">
        <v>10</v>
      </c>
      <c r="D190" s="547">
        <v>256</v>
      </c>
      <c r="E190" s="547">
        <v>417</v>
      </c>
      <c r="F190" s="547">
        <v>363</v>
      </c>
      <c r="G190" s="547">
        <v>263</v>
      </c>
      <c r="H190" s="547">
        <v>168</v>
      </c>
      <c r="I190" s="547">
        <v>47</v>
      </c>
      <c r="J190" s="547">
        <v>8</v>
      </c>
      <c r="K190" s="547">
        <v>0</v>
      </c>
      <c r="L190" s="547">
        <v>83</v>
      </c>
    </row>
    <row r="191" spans="1:12" s="543" customFormat="1" ht="9" customHeight="1" x14ac:dyDescent="0.25">
      <c r="A191" s="546" t="s">
        <v>52</v>
      </c>
      <c r="B191" s="547">
        <f t="shared" si="9"/>
        <v>406</v>
      </c>
      <c r="C191" s="547">
        <v>1</v>
      </c>
      <c r="D191" s="547">
        <v>50</v>
      </c>
      <c r="E191" s="547">
        <v>108</v>
      </c>
      <c r="F191" s="547">
        <v>84</v>
      </c>
      <c r="G191" s="547">
        <v>60</v>
      </c>
      <c r="H191" s="547">
        <v>48</v>
      </c>
      <c r="I191" s="547">
        <v>19</v>
      </c>
      <c r="J191" s="547">
        <v>2</v>
      </c>
      <c r="K191" s="547">
        <v>0</v>
      </c>
      <c r="L191" s="547">
        <v>34</v>
      </c>
    </row>
    <row r="192" spans="1:12" s="543" customFormat="1" ht="9" customHeight="1" x14ac:dyDescent="0.25">
      <c r="A192" s="548" t="s">
        <v>53</v>
      </c>
      <c r="B192" s="549">
        <f t="shared" si="9"/>
        <v>387</v>
      </c>
      <c r="C192" s="549">
        <v>1</v>
      </c>
      <c r="D192" s="549">
        <v>48</v>
      </c>
      <c r="E192" s="549">
        <v>100</v>
      </c>
      <c r="F192" s="549">
        <v>77</v>
      </c>
      <c r="G192" s="549">
        <v>63</v>
      </c>
      <c r="H192" s="549">
        <v>52</v>
      </c>
      <c r="I192" s="549">
        <v>24</v>
      </c>
      <c r="J192" s="549">
        <v>1</v>
      </c>
      <c r="K192" s="549">
        <v>0</v>
      </c>
      <c r="L192" s="549">
        <v>21</v>
      </c>
    </row>
    <row r="193" spans="1:12" s="543" customFormat="1" ht="9" customHeight="1" x14ac:dyDescent="0.25">
      <c r="A193" s="546" t="s">
        <v>434</v>
      </c>
      <c r="B193" s="547">
        <f t="shared" si="9"/>
        <v>16</v>
      </c>
      <c r="C193" s="547">
        <v>0</v>
      </c>
      <c r="D193" s="547">
        <v>3</v>
      </c>
      <c r="E193" s="547">
        <v>1</v>
      </c>
      <c r="F193" s="547">
        <v>3</v>
      </c>
      <c r="G193" s="547">
        <v>6</v>
      </c>
      <c r="H193" s="547">
        <v>2</v>
      </c>
      <c r="I193" s="547">
        <v>1</v>
      </c>
      <c r="J193" s="547">
        <v>0</v>
      </c>
      <c r="K193" s="547">
        <v>0</v>
      </c>
      <c r="L193" s="547">
        <v>0</v>
      </c>
    </row>
    <row r="194" spans="1:12" s="543" customFormat="1" ht="9" customHeight="1" x14ac:dyDescent="0.25">
      <c r="A194" s="551"/>
      <c r="B194" s="552"/>
      <c r="C194" s="542"/>
      <c r="D194" s="542"/>
      <c r="E194" s="553"/>
      <c r="F194" s="553"/>
      <c r="G194" s="542"/>
      <c r="H194" s="542"/>
      <c r="I194" s="542"/>
      <c r="J194" s="542"/>
      <c r="K194" s="542"/>
      <c r="L194" s="542"/>
    </row>
    <row r="195" spans="1:12" s="543" customFormat="1" ht="9" customHeight="1" x14ac:dyDescent="0.25">
      <c r="A195" s="541">
        <v>2000</v>
      </c>
      <c r="B195" s="552"/>
      <c r="C195" s="542"/>
      <c r="D195" s="542"/>
      <c r="E195" s="553"/>
      <c r="F195" s="553"/>
      <c r="G195" s="542"/>
      <c r="H195" s="542"/>
      <c r="I195" s="542"/>
      <c r="J195" s="542"/>
      <c r="K195" s="542"/>
      <c r="L195" s="542"/>
    </row>
    <row r="196" spans="1:12" s="543" customFormat="1" ht="9" customHeight="1" x14ac:dyDescent="0.25">
      <c r="A196" s="541" t="s">
        <v>13</v>
      </c>
      <c r="B196" s="544">
        <f t="shared" ref="B196:L196" si="10">SUM(B198:B230)</f>
        <v>26958</v>
      </c>
      <c r="C196" s="544">
        <f t="shared" si="10"/>
        <v>123</v>
      </c>
      <c r="D196" s="544">
        <f t="shared" si="10"/>
        <v>4138</v>
      </c>
      <c r="E196" s="544">
        <f t="shared" si="10"/>
        <v>6831</v>
      </c>
      <c r="F196" s="544">
        <f t="shared" si="10"/>
        <v>6071</v>
      </c>
      <c r="G196" s="544">
        <f t="shared" si="10"/>
        <v>4563</v>
      </c>
      <c r="H196" s="544">
        <f t="shared" si="10"/>
        <v>2888</v>
      </c>
      <c r="I196" s="544">
        <f t="shared" si="10"/>
        <v>978</v>
      </c>
      <c r="J196" s="544">
        <f t="shared" si="10"/>
        <v>104</v>
      </c>
      <c r="K196" s="544">
        <f t="shared" si="10"/>
        <v>6</v>
      </c>
      <c r="L196" s="544">
        <f t="shared" si="10"/>
        <v>1256</v>
      </c>
    </row>
    <row r="197" spans="1:12" s="543" customFormat="1" ht="3" customHeight="1" x14ac:dyDescent="0.25">
      <c r="A197" s="541"/>
      <c r="B197" s="544"/>
      <c r="C197" s="544"/>
      <c r="D197" s="544"/>
      <c r="E197" s="544"/>
      <c r="F197" s="544"/>
      <c r="G197" s="544"/>
      <c r="H197" s="544"/>
      <c r="I197" s="544"/>
      <c r="J197" s="544"/>
      <c r="K197" s="544"/>
      <c r="L197" s="544"/>
    </row>
    <row r="198" spans="1:12" s="543" customFormat="1" ht="9" customHeight="1" x14ac:dyDescent="0.25">
      <c r="A198" s="546" t="s">
        <v>23</v>
      </c>
      <c r="B198" s="547">
        <f t="shared" ref="B198:B230" si="11">SUM(C198:L198)</f>
        <v>260</v>
      </c>
      <c r="C198" s="547">
        <v>1</v>
      </c>
      <c r="D198" s="547">
        <v>38</v>
      </c>
      <c r="E198" s="547">
        <v>57</v>
      </c>
      <c r="F198" s="547">
        <v>57</v>
      </c>
      <c r="G198" s="547">
        <v>40</v>
      </c>
      <c r="H198" s="547">
        <v>33</v>
      </c>
      <c r="I198" s="547">
        <v>14</v>
      </c>
      <c r="J198" s="547">
        <v>3</v>
      </c>
      <c r="K198" s="547">
        <v>0</v>
      </c>
      <c r="L198" s="547">
        <v>17</v>
      </c>
    </row>
    <row r="199" spans="1:12" s="543" customFormat="1" ht="9" customHeight="1" x14ac:dyDescent="0.25">
      <c r="A199" s="546" t="s">
        <v>24</v>
      </c>
      <c r="B199" s="547">
        <f t="shared" si="11"/>
        <v>621</v>
      </c>
      <c r="C199" s="547">
        <v>1</v>
      </c>
      <c r="D199" s="547">
        <v>128</v>
      </c>
      <c r="E199" s="547">
        <v>150</v>
      </c>
      <c r="F199" s="547">
        <v>129</v>
      </c>
      <c r="G199" s="547">
        <v>96</v>
      </c>
      <c r="H199" s="547">
        <v>51</v>
      </c>
      <c r="I199" s="547">
        <v>14</v>
      </c>
      <c r="J199" s="547">
        <v>1</v>
      </c>
      <c r="K199" s="547">
        <v>0</v>
      </c>
      <c r="L199" s="547">
        <v>51</v>
      </c>
    </row>
    <row r="200" spans="1:12" s="543" customFormat="1" ht="9" customHeight="1" x14ac:dyDescent="0.25">
      <c r="A200" s="546" t="s">
        <v>25</v>
      </c>
      <c r="B200" s="547">
        <f t="shared" si="11"/>
        <v>97</v>
      </c>
      <c r="C200" s="547">
        <v>1</v>
      </c>
      <c r="D200" s="547">
        <v>13</v>
      </c>
      <c r="E200" s="547">
        <v>26</v>
      </c>
      <c r="F200" s="547">
        <v>30</v>
      </c>
      <c r="G200" s="547">
        <v>15</v>
      </c>
      <c r="H200" s="547">
        <v>6</v>
      </c>
      <c r="I200" s="547">
        <v>1</v>
      </c>
      <c r="J200" s="547">
        <v>0</v>
      </c>
      <c r="K200" s="547">
        <v>0</v>
      </c>
      <c r="L200" s="547">
        <v>5</v>
      </c>
    </row>
    <row r="201" spans="1:12" s="543" customFormat="1" ht="9" customHeight="1" x14ac:dyDescent="0.25">
      <c r="A201" s="548" t="s">
        <v>26</v>
      </c>
      <c r="B201" s="549">
        <f t="shared" si="11"/>
        <v>135</v>
      </c>
      <c r="C201" s="549">
        <v>1</v>
      </c>
      <c r="D201" s="549">
        <v>23</v>
      </c>
      <c r="E201" s="549">
        <v>36</v>
      </c>
      <c r="F201" s="549">
        <v>27</v>
      </c>
      <c r="G201" s="549">
        <v>25</v>
      </c>
      <c r="H201" s="549">
        <v>9</v>
      </c>
      <c r="I201" s="549">
        <v>5</v>
      </c>
      <c r="J201" s="549">
        <v>0</v>
      </c>
      <c r="K201" s="549">
        <v>0</v>
      </c>
      <c r="L201" s="549">
        <v>9</v>
      </c>
    </row>
    <row r="202" spans="1:12" s="543" customFormat="1" ht="9" customHeight="1" x14ac:dyDescent="0.25">
      <c r="A202" s="546" t="s">
        <v>27</v>
      </c>
      <c r="B202" s="547">
        <f t="shared" si="11"/>
        <v>269</v>
      </c>
      <c r="C202" s="547">
        <v>6</v>
      </c>
      <c r="D202" s="547">
        <v>40</v>
      </c>
      <c r="E202" s="551">
        <v>68</v>
      </c>
      <c r="F202" s="547">
        <v>45</v>
      </c>
      <c r="G202" s="547">
        <v>51</v>
      </c>
      <c r="H202" s="547">
        <v>19</v>
      </c>
      <c r="I202" s="547">
        <v>4</v>
      </c>
      <c r="J202" s="547">
        <v>0</v>
      </c>
      <c r="K202" s="547">
        <v>0</v>
      </c>
      <c r="L202" s="547">
        <v>36</v>
      </c>
    </row>
    <row r="203" spans="1:12" s="543" customFormat="1" ht="9" customHeight="1" x14ac:dyDescent="0.25">
      <c r="A203" s="546" t="s">
        <v>28</v>
      </c>
      <c r="B203" s="547">
        <f t="shared" si="11"/>
        <v>101</v>
      </c>
      <c r="C203" s="547">
        <v>1</v>
      </c>
      <c r="D203" s="547">
        <v>15</v>
      </c>
      <c r="E203" s="547">
        <v>32</v>
      </c>
      <c r="F203" s="547">
        <v>20</v>
      </c>
      <c r="G203" s="547">
        <v>9</v>
      </c>
      <c r="H203" s="547">
        <v>13</v>
      </c>
      <c r="I203" s="547">
        <v>4</v>
      </c>
      <c r="J203" s="547">
        <v>0</v>
      </c>
      <c r="K203" s="547">
        <v>0</v>
      </c>
      <c r="L203" s="547">
        <v>7</v>
      </c>
    </row>
    <row r="204" spans="1:12" s="543" customFormat="1" ht="9" customHeight="1" x14ac:dyDescent="0.25">
      <c r="A204" s="546" t="s">
        <v>29</v>
      </c>
      <c r="B204" s="547">
        <f t="shared" si="11"/>
        <v>1081</v>
      </c>
      <c r="C204" s="547">
        <v>6</v>
      </c>
      <c r="D204" s="547">
        <v>218</v>
      </c>
      <c r="E204" s="547">
        <v>307</v>
      </c>
      <c r="F204" s="547">
        <v>212</v>
      </c>
      <c r="G204" s="547">
        <v>149</v>
      </c>
      <c r="H204" s="547">
        <v>115</v>
      </c>
      <c r="I204" s="547">
        <v>29</v>
      </c>
      <c r="J204" s="547">
        <v>4</v>
      </c>
      <c r="K204" s="547">
        <v>0</v>
      </c>
      <c r="L204" s="547">
        <v>41</v>
      </c>
    </row>
    <row r="205" spans="1:12" s="543" customFormat="1" ht="9" customHeight="1" x14ac:dyDescent="0.25">
      <c r="A205" s="548" t="s">
        <v>30</v>
      </c>
      <c r="B205" s="549">
        <f t="shared" si="11"/>
        <v>645</v>
      </c>
      <c r="C205" s="549">
        <v>3</v>
      </c>
      <c r="D205" s="549">
        <v>121</v>
      </c>
      <c r="E205" s="549">
        <v>163</v>
      </c>
      <c r="F205" s="549">
        <v>141</v>
      </c>
      <c r="G205" s="549">
        <v>92</v>
      </c>
      <c r="H205" s="549">
        <v>50</v>
      </c>
      <c r="I205" s="549">
        <v>20</v>
      </c>
      <c r="J205" s="549">
        <v>0</v>
      </c>
      <c r="K205" s="549">
        <v>1</v>
      </c>
      <c r="L205" s="549">
        <v>54</v>
      </c>
    </row>
    <row r="206" spans="1:12" s="543" customFormat="1" ht="9" customHeight="1" x14ac:dyDescent="0.25">
      <c r="A206" s="550" t="s">
        <v>63</v>
      </c>
      <c r="B206" s="547">
        <f t="shared" si="11"/>
        <v>3007</v>
      </c>
      <c r="C206" s="547">
        <v>11</v>
      </c>
      <c r="D206" s="547">
        <v>425</v>
      </c>
      <c r="E206" s="547">
        <v>744</v>
      </c>
      <c r="F206" s="547">
        <v>759</v>
      </c>
      <c r="G206" s="547">
        <v>630</v>
      </c>
      <c r="H206" s="547">
        <v>279</v>
      </c>
      <c r="I206" s="547">
        <v>80</v>
      </c>
      <c r="J206" s="547">
        <v>11</v>
      </c>
      <c r="K206" s="547">
        <v>0</v>
      </c>
      <c r="L206" s="547">
        <v>68</v>
      </c>
    </row>
    <row r="207" spans="1:12" s="543" customFormat="1" ht="9" customHeight="1" x14ac:dyDescent="0.25">
      <c r="A207" s="546" t="s">
        <v>31</v>
      </c>
      <c r="B207" s="547">
        <f t="shared" si="11"/>
        <v>63</v>
      </c>
      <c r="C207" s="547">
        <v>0</v>
      </c>
      <c r="D207" s="547">
        <v>8</v>
      </c>
      <c r="E207" s="547">
        <v>15</v>
      </c>
      <c r="F207" s="547">
        <v>14</v>
      </c>
      <c r="G207" s="547">
        <v>5</v>
      </c>
      <c r="H207" s="547">
        <v>5</v>
      </c>
      <c r="I207" s="547">
        <v>3</v>
      </c>
      <c r="J207" s="547">
        <v>1</v>
      </c>
      <c r="K207" s="547">
        <v>0</v>
      </c>
      <c r="L207" s="547">
        <v>12</v>
      </c>
    </row>
    <row r="208" spans="1:12" s="543" customFormat="1" ht="9" customHeight="1" x14ac:dyDescent="0.25">
      <c r="A208" s="546" t="s">
        <v>32</v>
      </c>
      <c r="B208" s="547">
        <f t="shared" si="11"/>
        <v>1995</v>
      </c>
      <c r="C208" s="547">
        <v>4</v>
      </c>
      <c r="D208" s="547">
        <v>216</v>
      </c>
      <c r="E208" s="547">
        <v>472</v>
      </c>
      <c r="F208" s="547">
        <v>470</v>
      </c>
      <c r="G208" s="547">
        <v>351</v>
      </c>
      <c r="H208" s="547">
        <v>288</v>
      </c>
      <c r="I208" s="547">
        <v>113</v>
      </c>
      <c r="J208" s="547">
        <v>17</v>
      </c>
      <c r="K208" s="547">
        <v>1</v>
      </c>
      <c r="L208" s="547">
        <v>63</v>
      </c>
    </row>
    <row r="209" spans="1:12" s="543" customFormat="1" ht="9" customHeight="1" x14ac:dyDescent="0.25">
      <c r="A209" s="548" t="s">
        <v>33</v>
      </c>
      <c r="B209" s="549">
        <f t="shared" si="11"/>
        <v>337</v>
      </c>
      <c r="C209" s="549">
        <v>1</v>
      </c>
      <c r="D209" s="549">
        <v>58</v>
      </c>
      <c r="E209" s="554">
        <v>91</v>
      </c>
      <c r="F209" s="549">
        <v>66</v>
      </c>
      <c r="G209" s="549">
        <v>60</v>
      </c>
      <c r="H209" s="549">
        <v>35</v>
      </c>
      <c r="I209" s="549">
        <v>10</v>
      </c>
      <c r="J209" s="549">
        <v>0</v>
      </c>
      <c r="K209" s="549">
        <v>1</v>
      </c>
      <c r="L209" s="549">
        <v>15</v>
      </c>
    </row>
    <row r="210" spans="1:12" s="543" customFormat="1" ht="9" customHeight="1" x14ac:dyDescent="0.25">
      <c r="A210" s="546" t="s">
        <v>34</v>
      </c>
      <c r="B210" s="547">
        <f t="shared" si="11"/>
        <v>610</v>
      </c>
      <c r="C210" s="547">
        <v>5</v>
      </c>
      <c r="D210" s="547">
        <v>86</v>
      </c>
      <c r="E210" s="547">
        <v>159</v>
      </c>
      <c r="F210" s="547">
        <v>164</v>
      </c>
      <c r="G210" s="547">
        <v>85</v>
      </c>
      <c r="H210" s="547">
        <v>62</v>
      </c>
      <c r="I210" s="547">
        <v>12</v>
      </c>
      <c r="J210" s="547">
        <v>0</v>
      </c>
      <c r="K210" s="547">
        <v>0</v>
      </c>
      <c r="L210" s="547">
        <v>37</v>
      </c>
    </row>
    <row r="211" spans="1:12" s="543" customFormat="1" ht="9" customHeight="1" x14ac:dyDescent="0.25">
      <c r="A211" s="546" t="s">
        <v>35</v>
      </c>
      <c r="B211" s="547">
        <f t="shared" si="11"/>
        <v>1999</v>
      </c>
      <c r="C211" s="547">
        <v>11</v>
      </c>
      <c r="D211" s="547">
        <v>294</v>
      </c>
      <c r="E211" s="547">
        <v>472</v>
      </c>
      <c r="F211" s="547">
        <v>433</v>
      </c>
      <c r="G211" s="547">
        <v>365</v>
      </c>
      <c r="H211" s="547">
        <v>221</v>
      </c>
      <c r="I211" s="547">
        <v>91</v>
      </c>
      <c r="J211" s="547">
        <v>9</v>
      </c>
      <c r="K211" s="547">
        <v>0</v>
      </c>
      <c r="L211" s="547">
        <v>103</v>
      </c>
    </row>
    <row r="212" spans="1:12" s="543" customFormat="1" ht="9" customHeight="1" x14ac:dyDescent="0.25">
      <c r="A212" s="546" t="s">
        <v>36</v>
      </c>
      <c r="B212" s="547">
        <f t="shared" si="11"/>
        <v>5365</v>
      </c>
      <c r="C212" s="547">
        <v>22</v>
      </c>
      <c r="D212" s="547">
        <v>858</v>
      </c>
      <c r="E212" s="547">
        <v>1494</v>
      </c>
      <c r="F212" s="547">
        <v>1271</v>
      </c>
      <c r="G212" s="547">
        <v>868</v>
      </c>
      <c r="H212" s="547">
        <v>552</v>
      </c>
      <c r="I212" s="547">
        <v>148</v>
      </c>
      <c r="J212" s="547">
        <v>16</v>
      </c>
      <c r="K212" s="547">
        <v>0</v>
      </c>
      <c r="L212" s="547">
        <v>136</v>
      </c>
    </row>
    <row r="213" spans="1:12" s="543" customFormat="1" ht="9" customHeight="1" x14ac:dyDescent="0.25">
      <c r="A213" s="548" t="s">
        <v>37</v>
      </c>
      <c r="B213" s="549">
        <f t="shared" si="11"/>
        <v>895</v>
      </c>
      <c r="C213" s="549">
        <v>7</v>
      </c>
      <c r="D213" s="549">
        <v>122</v>
      </c>
      <c r="E213" s="549">
        <v>208</v>
      </c>
      <c r="F213" s="549">
        <v>194</v>
      </c>
      <c r="G213" s="549">
        <v>170</v>
      </c>
      <c r="H213" s="549">
        <v>94</v>
      </c>
      <c r="I213" s="549">
        <v>44</v>
      </c>
      <c r="J213" s="549">
        <v>8</v>
      </c>
      <c r="K213" s="549">
        <v>0</v>
      </c>
      <c r="L213" s="549">
        <v>48</v>
      </c>
    </row>
    <row r="214" spans="1:12" s="543" customFormat="1" ht="9" customHeight="1" x14ac:dyDescent="0.25">
      <c r="A214" s="546" t="s">
        <v>38</v>
      </c>
      <c r="B214" s="547">
        <f t="shared" si="11"/>
        <v>410</v>
      </c>
      <c r="C214" s="547">
        <v>1</v>
      </c>
      <c r="D214" s="551">
        <v>68</v>
      </c>
      <c r="E214" s="547">
        <v>95</v>
      </c>
      <c r="F214" s="547">
        <v>86</v>
      </c>
      <c r="G214" s="547">
        <v>71</v>
      </c>
      <c r="H214" s="547">
        <v>41</v>
      </c>
      <c r="I214" s="547">
        <v>17</v>
      </c>
      <c r="J214" s="547">
        <v>2</v>
      </c>
      <c r="K214" s="547">
        <v>0</v>
      </c>
      <c r="L214" s="547">
        <v>29</v>
      </c>
    </row>
    <row r="215" spans="1:12" s="543" customFormat="1" ht="9" customHeight="1" x14ac:dyDescent="0.25">
      <c r="A215" s="546" t="s">
        <v>39</v>
      </c>
      <c r="B215" s="547">
        <f t="shared" si="11"/>
        <v>74</v>
      </c>
      <c r="C215" s="547">
        <v>0</v>
      </c>
      <c r="D215" s="547">
        <v>10</v>
      </c>
      <c r="E215" s="547">
        <v>15</v>
      </c>
      <c r="F215" s="547">
        <v>18</v>
      </c>
      <c r="G215" s="547">
        <v>17</v>
      </c>
      <c r="H215" s="547">
        <v>7</v>
      </c>
      <c r="I215" s="547">
        <v>0</v>
      </c>
      <c r="J215" s="547">
        <v>0</v>
      </c>
      <c r="K215" s="547">
        <v>0</v>
      </c>
      <c r="L215" s="547">
        <v>7</v>
      </c>
    </row>
    <row r="216" spans="1:12" s="543" customFormat="1" ht="9" customHeight="1" x14ac:dyDescent="0.25">
      <c r="A216" s="546" t="s">
        <v>40</v>
      </c>
      <c r="B216" s="547">
        <f t="shared" si="11"/>
        <v>699</v>
      </c>
      <c r="C216" s="547">
        <v>4</v>
      </c>
      <c r="D216" s="547">
        <v>96</v>
      </c>
      <c r="E216" s="547">
        <v>166</v>
      </c>
      <c r="F216" s="547">
        <v>178</v>
      </c>
      <c r="G216" s="547">
        <v>124</v>
      </c>
      <c r="H216" s="547">
        <v>55</v>
      </c>
      <c r="I216" s="547">
        <v>24</v>
      </c>
      <c r="J216" s="547">
        <v>1</v>
      </c>
      <c r="K216" s="547">
        <v>0</v>
      </c>
      <c r="L216" s="547">
        <v>51</v>
      </c>
    </row>
    <row r="217" spans="1:12" s="543" customFormat="1" ht="9" customHeight="1" x14ac:dyDescent="0.25">
      <c r="A217" s="548" t="s">
        <v>41</v>
      </c>
      <c r="B217" s="549">
        <f t="shared" si="11"/>
        <v>897</v>
      </c>
      <c r="C217" s="549">
        <v>5</v>
      </c>
      <c r="D217" s="549">
        <v>139</v>
      </c>
      <c r="E217" s="549">
        <v>217</v>
      </c>
      <c r="F217" s="549">
        <v>170</v>
      </c>
      <c r="G217" s="549">
        <v>142</v>
      </c>
      <c r="H217" s="549">
        <v>125</v>
      </c>
      <c r="I217" s="549">
        <v>60</v>
      </c>
      <c r="J217" s="549">
        <v>1</v>
      </c>
      <c r="K217" s="549">
        <v>0</v>
      </c>
      <c r="L217" s="549">
        <v>38</v>
      </c>
    </row>
    <row r="218" spans="1:12" s="543" customFormat="1" ht="9" customHeight="1" x14ac:dyDescent="0.25">
      <c r="A218" s="546" t="s">
        <v>42</v>
      </c>
      <c r="B218" s="547">
        <f t="shared" si="11"/>
        <v>1967</v>
      </c>
      <c r="C218" s="547">
        <v>10</v>
      </c>
      <c r="D218" s="547">
        <v>340</v>
      </c>
      <c r="E218" s="547">
        <v>468</v>
      </c>
      <c r="F218" s="547">
        <v>388</v>
      </c>
      <c r="G218" s="547">
        <v>294</v>
      </c>
      <c r="H218" s="547">
        <v>235</v>
      </c>
      <c r="I218" s="547">
        <v>90</v>
      </c>
      <c r="J218" s="547">
        <v>9</v>
      </c>
      <c r="K218" s="547">
        <v>1</v>
      </c>
      <c r="L218" s="547">
        <v>132</v>
      </c>
    </row>
    <row r="219" spans="1:12" s="543" customFormat="1" ht="9" customHeight="1" x14ac:dyDescent="0.25">
      <c r="A219" s="546" t="s">
        <v>43</v>
      </c>
      <c r="B219" s="547">
        <f t="shared" si="11"/>
        <v>432</v>
      </c>
      <c r="C219" s="547">
        <v>1</v>
      </c>
      <c r="D219" s="547">
        <v>60</v>
      </c>
      <c r="E219" s="547">
        <v>104</v>
      </c>
      <c r="F219" s="547">
        <v>87</v>
      </c>
      <c r="G219" s="547">
        <v>76</v>
      </c>
      <c r="H219" s="547">
        <v>55</v>
      </c>
      <c r="I219" s="547">
        <v>27</v>
      </c>
      <c r="J219" s="547">
        <v>2</v>
      </c>
      <c r="K219" s="547">
        <v>0</v>
      </c>
      <c r="L219" s="547">
        <v>20</v>
      </c>
    </row>
    <row r="220" spans="1:12" s="543" customFormat="1" ht="9" customHeight="1" x14ac:dyDescent="0.25">
      <c r="A220" s="546" t="s">
        <v>44</v>
      </c>
      <c r="B220" s="547">
        <f t="shared" si="11"/>
        <v>206</v>
      </c>
      <c r="C220" s="547">
        <v>3</v>
      </c>
      <c r="D220" s="547">
        <v>30</v>
      </c>
      <c r="E220" s="547">
        <v>46</v>
      </c>
      <c r="F220" s="547">
        <v>51</v>
      </c>
      <c r="G220" s="547">
        <v>38</v>
      </c>
      <c r="H220" s="547">
        <v>19</v>
      </c>
      <c r="I220" s="547">
        <v>4</v>
      </c>
      <c r="J220" s="547">
        <v>3</v>
      </c>
      <c r="K220" s="547">
        <v>0</v>
      </c>
      <c r="L220" s="547">
        <v>12</v>
      </c>
    </row>
    <row r="221" spans="1:12" s="543" customFormat="1" ht="9" customHeight="1" x14ac:dyDescent="0.25">
      <c r="A221" s="548" t="s">
        <v>45</v>
      </c>
      <c r="B221" s="549">
        <f t="shared" si="11"/>
        <v>709</v>
      </c>
      <c r="C221" s="549">
        <v>0</v>
      </c>
      <c r="D221" s="549">
        <v>107</v>
      </c>
      <c r="E221" s="549">
        <v>164</v>
      </c>
      <c r="F221" s="549">
        <v>154</v>
      </c>
      <c r="G221" s="549">
        <v>119</v>
      </c>
      <c r="H221" s="549">
        <v>84</v>
      </c>
      <c r="I221" s="549">
        <v>28</v>
      </c>
      <c r="J221" s="549">
        <v>2</v>
      </c>
      <c r="K221" s="549">
        <v>2</v>
      </c>
      <c r="L221" s="549">
        <v>49</v>
      </c>
    </row>
    <row r="222" spans="1:12" s="543" customFormat="1" ht="9" customHeight="1" x14ac:dyDescent="0.25">
      <c r="A222" s="546" t="s">
        <v>46</v>
      </c>
      <c r="B222" s="547">
        <f t="shared" si="11"/>
        <v>100</v>
      </c>
      <c r="C222" s="547">
        <v>0</v>
      </c>
      <c r="D222" s="547">
        <v>14</v>
      </c>
      <c r="E222" s="547">
        <v>34</v>
      </c>
      <c r="F222" s="547">
        <v>17</v>
      </c>
      <c r="G222" s="547">
        <v>18</v>
      </c>
      <c r="H222" s="547">
        <v>7</v>
      </c>
      <c r="I222" s="547">
        <v>0</v>
      </c>
      <c r="J222" s="547">
        <v>0</v>
      </c>
      <c r="K222" s="547">
        <v>0</v>
      </c>
      <c r="L222" s="547">
        <v>10</v>
      </c>
    </row>
    <row r="223" spans="1:12" s="543" customFormat="1" ht="9" customHeight="1" x14ac:dyDescent="0.25">
      <c r="A223" s="546" t="s">
        <v>47</v>
      </c>
      <c r="B223" s="547">
        <f t="shared" si="11"/>
        <v>495</v>
      </c>
      <c r="C223" s="547">
        <v>0</v>
      </c>
      <c r="D223" s="547">
        <v>91</v>
      </c>
      <c r="E223" s="547">
        <v>127</v>
      </c>
      <c r="F223" s="547">
        <v>106</v>
      </c>
      <c r="G223" s="547">
        <v>80</v>
      </c>
      <c r="H223" s="547">
        <v>46</v>
      </c>
      <c r="I223" s="547">
        <v>13</v>
      </c>
      <c r="J223" s="547">
        <v>0</v>
      </c>
      <c r="K223" s="547">
        <v>0</v>
      </c>
      <c r="L223" s="547">
        <v>32</v>
      </c>
    </row>
    <row r="224" spans="1:12" s="543" customFormat="1" ht="9" customHeight="1" x14ac:dyDescent="0.25">
      <c r="A224" s="546" t="s">
        <v>48</v>
      </c>
      <c r="B224" s="547">
        <f t="shared" si="11"/>
        <v>450</v>
      </c>
      <c r="C224" s="547">
        <v>4</v>
      </c>
      <c r="D224" s="547">
        <v>80</v>
      </c>
      <c r="E224" s="547">
        <v>121</v>
      </c>
      <c r="F224" s="547">
        <v>101</v>
      </c>
      <c r="G224" s="547">
        <v>61</v>
      </c>
      <c r="H224" s="547">
        <v>43</v>
      </c>
      <c r="I224" s="547">
        <v>19</v>
      </c>
      <c r="J224" s="547">
        <v>1</v>
      </c>
      <c r="K224" s="547">
        <v>0</v>
      </c>
      <c r="L224" s="547">
        <v>20</v>
      </c>
    </row>
    <row r="225" spans="1:12" s="543" customFormat="1" ht="9" customHeight="1" x14ac:dyDescent="0.25">
      <c r="A225" s="548" t="s">
        <v>49</v>
      </c>
      <c r="B225" s="549">
        <f t="shared" si="11"/>
        <v>442</v>
      </c>
      <c r="C225" s="549">
        <v>1</v>
      </c>
      <c r="D225" s="549">
        <v>62</v>
      </c>
      <c r="E225" s="549">
        <v>124</v>
      </c>
      <c r="F225" s="549">
        <v>105</v>
      </c>
      <c r="G225" s="549">
        <v>73</v>
      </c>
      <c r="H225" s="549">
        <v>37</v>
      </c>
      <c r="I225" s="549">
        <v>17</v>
      </c>
      <c r="J225" s="549">
        <v>2</v>
      </c>
      <c r="K225" s="549">
        <v>0</v>
      </c>
      <c r="L225" s="549">
        <v>21</v>
      </c>
    </row>
    <row r="226" spans="1:12" s="543" customFormat="1" ht="9" customHeight="1" x14ac:dyDescent="0.25">
      <c r="A226" s="546" t="s">
        <v>50</v>
      </c>
      <c r="B226" s="547">
        <f t="shared" si="11"/>
        <v>287</v>
      </c>
      <c r="C226" s="547">
        <v>1</v>
      </c>
      <c r="D226" s="547">
        <v>43</v>
      </c>
      <c r="E226" s="547">
        <v>68</v>
      </c>
      <c r="F226" s="547">
        <v>80</v>
      </c>
      <c r="G226" s="547">
        <v>37</v>
      </c>
      <c r="H226" s="547">
        <v>30</v>
      </c>
      <c r="I226" s="547">
        <v>12</v>
      </c>
      <c r="J226" s="547">
        <v>0</v>
      </c>
      <c r="K226" s="547">
        <v>0</v>
      </c>
      <c r="L226" s="547">
        <v>16</v>
      </c>
    </row>
    <row r="227" spans="1:12" s="543" customFormat="1" ht="9" customHeight="1" x14ac:dyDescent="0.25">
      <c r="A227" s="546" t="s">
        <v>51</v>
      </c>
      <c r="B227" s="547">
        <f t="shared" si="11"/>
        <v>1624</v>
      </c>
      <c r="C227" s="547">
        <v>9</v>
      </c>
      <c r="D227" s="547">
        <v>248</v>
      </c>
      <c r="E227" s="547">
        <v>427</v>
      </c>
      <c r="F227" s="547">
        <v>330</v>
      </c>
      <c r="G227" s="547">
        <v>279</v>
      </c>
      <c r="H227" s="547">
        <v>194</v>
      </c>
      <c r="I227" s="547">
        <v>52</v>
      </c>
      <c r="J227" s="547">
        <v>9</v>
      </c>
      <c r="K227" s="547">
        <v>0</v>
      </c>
      <c r="L227" s="547">
        <v>76</v>
      </c>
    </row>
    <row r="228" spans="1:12" s="543" customFormat="1" ht="9" customHeight="1" x14ac:dyDescent="0.25">
      <c r="A228" s="546" t="s">
        <v>52</v>
      </c>
      <c r="B228" s="547">
        <f t="shared" si="11"/>
        <v>388</v>
      </c>
      <c r="C228" s="547">
        <v>1</v>
      </c>
      <c r="D228" s="547">
        <v>49</v>
      </c>
      <c r="E228" s="547">
        <v>89</v>
      </c>
      <c r="F228" s="547">
        <v>96</v>
      </c>
      <c r="G228" s="547">
        <v>73</v>
      </c>
      <c r="H228" s="547">
        <v>41</v>
      </c>
      <c r="I228" s="547">
        <v>12</v>
      </c>
      <c r="J228" s="547">
        <v>1</v>
      </c>
      <c r="K228" s="547">
        <v>0</v>
      </c>
      <c r="L228" s="547">
        <v>26</v>
      </c>
    </row>
    <row r="229" spans="1:12" s="543" customFormat="1" ht="9" customHeight="1" x14ac:dyDescent="0.25">
      <c r="A229" s="548" t="s">
        <v>53</v>
      </c>
      <c r="B229" s="549">
        <f t="shared" si="11"/>
        <v>287</v>
      </c>
      <c r="C229" s="549">
        <v>2</v>
      </c>
      <c r="D229" s="549">
        <v>36</v>
      </c>
      <c r="E229" s="549">
        <v>69</v>
      </c>
      <c r="F229" s="549">
        <v>71</v>
      </c>
      <c r="G229" s="549">
        <v>47</v>
      </c>
      <c r="H229" s="549">
        <v>36</v>
      </c>
      <c r="I229" s="549">
        <v>11</v>
      </c>
      <c r="J229" s="549">
        <v>1</v>
      </c>
      <c r="K229" s="549">
        <v>0</v>
      </c>
      <c r="L229" s="549">
        <v>14</v>
      </c>
    </row>
    <row r="230" spans="1:12" s="543" customFormat="1" ht="9" customHeight="1" x14ac:dyDescent="0.25">
      <c r="A230" s="546" t="s">
        <v>434</v>
      </c>
      <c r="B230" s="547">
        <f t="shared" si="11"/>
        <v>11</v>
      </c>
      <c r="C230" s="547">
        <v>0</v>
      </c>
      <c r="D230" s="547">
        <v>2</v>
      </c>
      <c r="E230" s="547">
        <v>3</v>
      </c>
      <c r="F230" s="547">
        <v>1</v>
      </c>
      <c r="G230" s="547">
        <v>3</v>
      </c>
      <c r="H230" s="547">
        <v>1</v>
      </c>
      <c r="I230" s="547">
        <v>0</v>
      </c>
      <c r="J230" s="547">
        <v>0</v>
      </c>
      <c r="K230" s="547">
        <v>0</v>
      </c>
      <c r="L230" s="547">
        <v>1</v>
      </c>
    </row>
    <row r="231" spans="1:12" s="543" customFormat="1" ht="9" customHeight="1" x14ac:dyDescent="0.25">
      <c r="A231" s="546"/>
      <c r="B231" s="547"/>
      <c r="C231" s="547"/>
      <c r="D231" s="547"/>
      <c r="E231" s="547"/>
      <c r="F231" s="547"/>
      <c r="G231" s="547"/>
      <c r="H231" s="547"/>
      <c r="I231" s="547"/>
      <c r="J231" s="547"/>
      <c r="K231" s="547"/>
      <c r="L231" s="547"/>
    </row>
    <row r="232" spans="1:12" s="543" customFormat="1" ht="9" customHeight="1" x14ac:dyDescent="0.25">
      <c r="A232" s="541">
        <v>2001</v>
      </c>
      <c r="B232" s="552"/>
      <c r="C232" s="542"/>
      <c r="D232" s="542"/>
      <c r="E232" s="553"/>
      <c r="F232" s="553"/>
      <c r="G232" s="542"/>
      <c r="H232" s="542"/>
      <c r="I232" s="542"/>
      <c r="J232" s="542"/>
      <c r="K232" s="542"/>
      <c r="L232" s="542"/>
    </row>
    <row r="233" spans="1:12" s="543" customFormat="1" ht="9" customHeight="1" x14ac:dyDescent="0.25">
      <c r="A233" s="541" t="s">
        <v>13</v>
      </c>
      <c r="B233" s="544">
        <f t="shared" ref="B233:J233" si="12">SUM(B235:B267)</f>
        <v>25567</v>
      </c>
      <c r="C233" s="544">
        <f t="shared" si="12"/>
        <v>135</v>
      </c>
      <c r="D233" s="544">
        <f t="shared" si="12"/>
        <v>3872</v>
      </c>
      <c r="E233" s="544">
        <f t="shared" si="12"/>
        <v>6478</v>
      </c>
      <c r="F233" s="544">
        <f t="shared" si="12"/>
        <v>5976</v>
      </c>
      <c r="G233" s="544">
        <f t="shared" si="12"/>
        <v>4235</v>
      </c>
      <c r="H233" s="544">
        <f t="shared" si="12"/>
        <v>2756</v>
      </c>
      <c r="I233" s="544">
        <f t="shared" si="12"/>
        <v>897</v>
      </c>
      <c r="J233" s="544">
        <f t="shared" si="12"/>
        <v>83</v>
      </c>
      <c r="K233" s="555">
        <v>0</v>
      </c>
      <c r="L233" s="544">
        <f>SUM(L235:L267)</f>
        <v>1135</v>
      </c>
    </row>
    <row r="234" spans="1:12" s="543" customFormat="1" ht="3" customHeight="1" x14ac:dyDescent="0.25">
      <c r="A234" s="541"/>
      <c r="B234" s="544"/>
      <c r="C234" s="544"/>
      <c r="D234" s="544"/>
      <c r="E234" s="544"/>
      <c r="F234" s="544"/>
      <c r="G234" s="544"/>
      <c r="H234" s="544"/>
      <c r="I234" s="544"/>
      <c r="J234" s="544"/>
      <c r="K234" s="544"/>
      <c r="L234" s="544"/>
    </row>
    <row r="235" spans="1:12" s="543" customFormat="1" ht="9" customHeight="1" x14ac:dyDescent="0.25">
      <c r="A235" s="546" t="s">
        <v>23</v>
      </c>
      <c r="B235" s="547">
        <f t="shared" ref="B235:B267" si="13">SUM(C235:L235)</f>
        <v>267</v>
      </c>
      <c r="C235" s="547">
        <v>2</v>
      </c>
      <c r="D235" s="547">
        <v>33</v>
      </c>
      <c r="E235" s="547">
        <v>63</v>
      </c>
      <c r="F235" s="547">
        <v>65</v>
      </c>
      <c r="G235" s="547">
        <v>37</v>
      </c>
      <c r="H235" s="547">
        <v>26</v>
      </c>
      <c r="I235" s="547">
        <v>13</v>
      </c>
      <c r="J235" s="547">
        <v>1</v>
      </c>
      <c r="K235" s="556">
        <v>0</v>
      </c>
      <c r="L235" s="547">
        <v>27</v>
      </c>
    </row>
    <row r="236" spans="1:12" s="543" customFormat="1" ht="9" customHeight="1" x14ac:dyDescent="0.25">
      <c r="A236" s="546" t="s">
        <v>24</v>
      </c>
      <c r="B236" s="547">
        <f t="shared" si="13"/>
        <v>511</v>
      </c>
      <c r="C236" s="547">
        <v>3</v>
      </c>
      <c r="D236" s="547">
        <v>86</v>
      </c>
      <c r="E236" s="547">
        <v>129</v>
      </c>
      <c r="F236" s="547">
        <v>122</v>
      </c>
      <c r="G236" s="547">
        <v>74</v>
      </c>
      <c r="H236" s="547">
        <v>42</v>
      </c>
      <c r="I236" s="547">
        <v>13</v>
      </c>
      <c r="J236" s="547">
        <v>1</v>
      </c>
      <c r="K236" s="556">
        <v>0</v>
      </c>
      <c r="L236" s="547">
        <v>41</v>
      </c>
    </row>
    <row r="237" spans="1:12" s="543" customFormat="1" ht="9" customHeight="1" x14ac:dyDescent="0.25">
      <c r="A237" s="546" t="s">
        <v>25</v>
      </c>
      <c r="B237" s="547">
        <f t="shared" si="13"/>
        <v>92</v>
      </c>
      <c r="C237" s="547">
        <v>2</v>
      </c>
      <c r="D237" s="547">
        <v>19</v>
      </c>
      <c r="E237" s="547">
        <v>29</v>
      </c>
      <c r="F237" s="547">
        <v>22</v>
      </c>
      <c r="G237" s="547">
        <v>4</v>
      </c>
      <c r="H237" s="547">
        <v>11</v>
      </c>
      <c r="I237" s="547">
        <v>3</v>
      </c>
      <c r="J237" s="547">
        <v>0</v>
      </c>
      <c r="K237" s="556">
        <v>0</v>
      </c>
      <c r="L237" s="547">
        <v>2</v>
      </c>
    </row>
    <row r="238" spans="1:12" s="543" customFormat="1" ht="9" customHeight="1" x14ac:dyDescent="0.25">
      <c r="A238" s="548" t="s">
        <v>26</v>
      </c>
      <c r="B238" s="549">
        <f t="shared" si="13"/>
        <v>123</v>
      </c>
      <c r="C238" s="549">
        <v>1</v>
      </c>
      <c r="D238" s="549">
        <v>20</v>
      </c>
      <c r="E238" s="549">
        <v>31</v>
      </c>
      <c r="F238" s="549">
        <v>28</v>
      </c>
      <c r="G238" s="549">
        <v>19</v>
      </c>
      <c r="H238" s="549">
        <v>10</v>
      </c>
      <c r="I238" s="549">
        <v>4</v>
      </c>
      <c r="J238" s="549">
        <v>1</v>
      </c>
      <c r="K238" s="557">
        <v>0</v>
      </c>
      <c r="L238" s="549">
        <v>9</v>
      </c>
    </row>
    <row r="239" spans="1:12" s="543" customFormat="1" ht="9" customHeight="1" x14ac:dyDescent="0.25">
      <c r="A239" s="546" t="s">
        <v>27</v>
      </c>
      <c r="B239" s="547">
        <f t="shared" si="13"/>
        <v>327</v>
      </c>
      <c r="C239" s="547">
        <v>2</v>
      </c>
      <c r="D239" s="547">
        <v>68</v>
      </c>
      <c r="E239" s="551">
        <v>90</v>
      </c>
      <c r="F239" s="547">
        <v>70</v>
      </c>
      <c r="G239" s="547">
        <v>35</v>
      </c>
      <c r="H239" s="547">
        <v>28</v>
      </c>
      <c r="I239" s="547">
        <v>2</v>
      </c>
      <c r="J239" s="547">
        <v>0</v>
      </c>
      <c r="K239" s="556">
        <v>0</v>
      </c>
      <c r="L239" s="547">
        <v>32</v>
      </c>
    </row>
    <row r="240" spans="1:12" s="543" customFormat="1" ht="9" customHeight="1" x14ac:dyDescent="0.25">
      <c r="A240" s="546" t="s">
        <v>28</v>
      </c>
      <c r="B240" s="547">
        <f t="shared" si="13"/>
        <v>95</v>
      </c>
      <c r="C240" s="547">
        <v>0</v>
      </c>
      <c r="D240" s="547">
        <v>16</v>
      </c>
      <c r="E240" s="547">
        <v>28</v>
      </c>
      <c r="F240" s="547">
        <v>17</v>
      </c>
      <c r="G240" s="547">
        <v>15</v>
      </c>
      <c r="H240" s="547">
        <v>8</v>
      </c>
      <c r="I240" s="547">
        <v>3</v>
      </c>
      <c r="J240" s="547">
        <v>0</v>
      </c>
      <c r="K240" s="556">
        <v>0</v>
      </c>
      <c r="L240" s="547">
        <v>8</v>
      </c>
    </row>
    <row r="241" spans="1:12" s="543" customFormat="1" ht="9" customHeight="1" x14ac:dyDescent="0.25">
      <c r="A241" s="546" t="s">
        <v>29</v>
      </c>
      <c r="B241" s="547">
        <f t="shared" si="13"/>
        <v>1071</v>
      </c>
      <c r="C241" s="547">
        <v>7</v>
      </c>
      <c r="D241" s="547">
        <v>195</v>
      </c>
      <c r="E241" s="547">
        <v>277</v>
      </c>
      <c r="F241" s="547">
        <v>235</v>
      </c>
      <c r="G241" s="547">
        <v>160</v>
      </c>
      <c r="H241" s="547">
        <v>115</v>
      </c>
      <c r="I241" s="547">
        <v>36</v>
      </c>
      <c r="J241" s="547">
        <v>3</v>
      </c>
      <c r="K241" s="556">
        <v>0</v>
      </c>
      <c r="L241" s="547">
        <v>43</v>
      </c>
    </row>
    <row r="242" spans="1:12" s="543" customFormat="1" ht="9" customHeight="1" x14ac:dyDescent="0.25">
      <c r="A242" s="548" t="s">
        <v>30</v>
      </c>
      <c r="B242" s="549">
        <f t="shared" si="13"/>
        <v>737</v>
      </c>
      <c r="C242" s="549">
        <v>4</v>
      </c>
      <c r="D242" s="549">
        <v>114</v>
      </c>
      <c r="E242" s="549">
        <v>208</v>
      </c>
      <c r="F242" s="549">
        <v>161</v>
      </c>
      <c r="G242" s="549">
        <v>117</v>
      </c>
      <c r="H242" s="549">
        <v>53</v>
      </c>
      <c r="I242" s="549">
        <v>14</v>
      </c>
      <c r="J242" s="549">
        <v>3</v>
      </c>
      <c r="K242" s="557">
        <v>0</v>
      </c>
      <c r="L242" s="549">
        <v>63</v>
      </c>
    </row>
    <row r="243" spans="1:12" s="543" customFormat="1" ht="9" customHeight="1" x14ac:dyDescent="0.25">
      <c r="A243" s="550" t="s">
        <v>63</v>
      </c>
      <c r="B243" s="547">
        <f t="shared" si="13"/>
        <v>2881</v>
      </c>
      <c r="C243" s="547">
        <v>11</v>
      </c>
      <c r="D243" s="547">
        <v>429</v>
      </c>
      <c r="E243" s="547">
        <v>704</v>
      </c>
      <c r="F243" s="547">
        <v>729</v>
      </c>
      <c r="G243" s="547">
        <v>555</v>
      </c>
      <c r="H243" s="547">
        <v>315</v>
      </c>
      <c r="I243" s="547">
        <v>91</v>
      </c>
      <c r="J243" s="547">
        <v>4</v>
      </c>
      <c r="K243" s="556">
        <v>0</v>
      </c>
      <c r="L243" s="547">
        <v>43</v>
      </c>
    </row>
    <row r="244" spans="1:12" s="543" customFormat="1" ht="9" customHeight="1" x14ac:dyDescent="0.25">
      <c r="A244" s="546" t="s">
        <v>31</v>
      </c>
      <c r="B244" s="547">
        <f t="shared" si="13"/>
        <v>86</v>
      </c>
      <c r="C244" s="547">
        <v>0</v>
      </c>
      <c r="D244" s="547">
        <v>10</v>
      </c>
      <c r="E244" s="547">
        <v>22</v>
      </c>
      <c r="F244" s="547">
        <v>23</v>
      </c>
      <c r="G244" s="547">
        <v>15</v>
      </c>
      <c r="H244" s="547">
        <v>6</v>
      </c>
      <c r="I244" s="547">
        <v>0</v>
      </c>
      <c r="J244" s="547">
        <v>1</v>
      </c>
      <c r="K244" s="556">
        <v>0</v>
      </c>
      <c r="L244" s="547">
        <v>9</v>
      </c>
    </row>
    <row r="245" spans="1:12" s="543" customFormat="1" ht="9" customHeight="1" x14ac:dyDescent="0.25">
      <c r="A245" s="546" t="s">
        <v>32</v>
      </c>
      <c r="B245" s="547">
        <f t="shared" si="13"/>
        <v>1824</v>
      </c>
      <c r="C245" s="547">
        <v>3</v>
      </c>
      <c r="D245" s="547">
        <v>223</v>
      </c>
      <c r="E245" s="547">
        <v>435</v>
      </c>
      <c r="F245" s="547">
        <v>402</v>
      </c>
      <c r="G245" s="547">
        <v>345</v>
      </c>
      <c r="H245" s="547">
        <v>256</v>
      </c>
      <c r="I245" s="547">
        <v>96</v>
      </c>
      <c r="J245" s="547">
        <v>11</v>
      </c>
      <c r="K245" s="556">
        <v>0</v>
      </c>
      <c r="L245" s="547">
        <v>53</v>
      </c>
    </row>
    <row r="246" spans="1:12" s="543" customFormat="1" ht="9" customHeight="1" x14ac:dyDescent="0.25">
      <c r="A246" s="548" t="s">
        <v>33</v>
      </c>
      <c r="B246" s="549">
        <f t="shared" si="13"/>
        <v>274</v>
      </c>
      <c r="C246" s="549">
        <v>1</v>
      </c>
      <c r="D246" s="549">
        <v>49</v>
      </c>
      <c r="E246" s="554">
        <v>71</v>
      </c>
      <c r="F246" s="549">
        <v>58</v>
      </c>
      <c r="G246" s="549">
        <v>41</v>
      </c>
      <c r="H246" s="549">
        <v>36</v>
      </c>
      <c r="I246" s="549">
        <v>9</v>
      </c>
      <c r="J246" s="549">
        <v>1</v>
      </c>
      <c r="K246" s="557">
        <v>0</v>
      </c>
      <c r="L246" s="549">
        <v>8</v>
      </c>
    </row>
    <row r="247" spans="1:12" s="543" customFormat="1" ht="9" customHeight="1" x14ac:dyDescent="0.25">
      <c r="A247" s="546" t="s">
        <v>34</v>
      </c>
      <c r="B247" s="547">
        <f t="shared" si="13"/>
        <v>544</v>
      </c>
      <c r="C247" s="547">
        <v>5</v>
      </c>
      <c r="D247" s="547">
        <v>96</v>
      </c>
      <c r="E247" s="547">
        <v>122</v>
      </c>
      <c r="F247" s="547">
        <v>142</v>
      </c>
      <c r="G247" s="547">
        <v>89</v>
      </c>
      <c r="H247" s="547">
        <v>60</v>
      </c>
      <c r="I247" s="547">
        <v>13</v>
      </c>
      <c r="J247" s="547">
        <v>2</v>
      </c>
      <c r="K247" s="556">
        <v>0</v>
      </c>
      <c r="L247" s="547">
        <v>15</v>
      </c>
    </row>
    <row r="248" spans="1:12" s="543" customFormat="1" ht="9" customHeight="1" x14ac:dyDescent="0.25">
      <c r="A248" s="546" t="s">
        <v>35</v>
      </c>
      <c r="B248" s="547">
        <f t="shared" si="13"/>
        <v>1804</v>
      </c>
      <c r="C248" s="547">
        <v>9</v>
      </c>
      <c r="D248" s="547">
        <v>218</v>
      </c>
      <c r="E248" s="547">
        <v>472</v>
      </c>
      <c r="F248" s="547">
        <v>423</v>
      </c>
      <c r="G248" s="547">
        <v>307</v>
      </c>
      <c r="H248" s="547">
        <v>200</v>
      </c>
      <c r="I248" s="547">
        <v>74</v>
      </c>
      <c r="J248" s="547">
        <v>5</v>
      </c>
      <c r="K248" s="556">
        <v>0</v>
      </c>
      <c r="L248" s="547">
        <v>96</v>
      </c>
    </row>
    <row r="249" spans="1:12" s="543" customFormat="1" ht="9" customHeight="1" x14ac:dyDescent="0.25">
      <c r="A249" s="546" t="s">
        <v>36</v>
      </c>
      <c r="B249" s="547">
        <f t="shared" si="13"/>
        <v>5284</v>
      </c>
      <c r="C249" s="547">
        <v>24</v>
      </c>
      <c r="D249" s="547">
        <v>831</v>
      </c>
      <c r="E249" s="547">
        <v>1393</v>
      </c>
      <c r="F249" s="547">
        <v>1326</v>
      </c>
      <c r="G249" s="547">
        <v>847</v>
      </c>
      <c r="H249" s="547">
        <v>558</v>
      </c>
      <c r="I249" s="547">
        <v>151</v>
      </c>
      <c r="J249" s="547">
        <v>15</v>
      </c>
      <c r="K249" s="556">
        <v>0</v>
      </c>
      <c r="L249" s="547">
        <v>139</v>
      </c>
    </row>
    <row r="250" spans="1:12" s="543" customFormat="1" ht="9" customHeight="1" x14ac:dyDescent="0.25">
      <c r="A250" s="548" t="s">
        <v>37</v>
      </c>
      <c r="B250" s="549">
        <f t="shared" si="13"/>
        <v>783</v>
      </c>
      <c r="C250" s="549">
        <v>3</v>
      </c>
      <c r="D250" s="549">
        <v>106</v>
      </c>
      <c r="E250" s="549">
        <v>196</v>
      </c>
      <c r="F250" s="549">
        <v>170</v>
      </c>
      <c r="G250" s="549">
        <v>140</v>
      </c>
      <c r="H250" s="549">
        <v>96</v>
      </c>
      <c r="I250" s="549">
        <v>36</v>
      </c>
      <c r="J250" s="549">
        <v>5</v>
      </c>
      <c r="K250" s="557">
        <v>0</v>
      </c>
      <c r="L250" s="549">
        <v>31</v>
      </c>
    </row>
    <row r="251" spans="1:12" s="543" customFormat="1" ht="9" customHeight="1" x14ac:dyDescent="0.25">
      <c r="A251" s="546" t="s">
        <v>38</v>
      </c>
      <c r="B251" s="547">
        <f t="shared" si="13"/>
        <v>330</v>
      </c>
      <c r="C251" s="547">
        <v>1</v>
      </c>
      <c r="D251" s="551">
        <v>48</v>
      </c>
      <c r="E251" s="547">
        <v>84</v>
      </c>
      <c r="F251" s="547">
        <v>84</v>
      </c>
      <c r="G251" s="547">
        <v>49</v>
      </c>
      <c r="H251" s="547">
        <v>37</v>
      </c>
      <c r="I251" s="547">
        <v>9</v>
      </c>
      <c r="J251" s="547">
        <v>1</v>
      </c>
      <c r="K251" s="556">
        <v>0</v>
      </c>
      <c r="L251" s="547">
        <v>17</v>
      </c>
    </row>
    <row r="252" spans="1:12" s="543" customFormat="1" ht="9" customHeight="1" x14ac:dyDescent="0.25">
      <c r="A252" s="546" t="s">
        <v>39</v>
      </c>
      <c r="B252" s="547">
        <f t="shared" si="13"/>
        <v>92</v>
      </c>
      <c r="C252" s="547">
        <v>0</v>
      </c>
      <c r="D252" s="547">
        <v>17</v>
      </c>
      <c r="E252" s="547">
        <v>18</v>
      </c>
      <c r="F252" s="547">
        <v>23</v>
      </c>
      <c r="G252" s="547">
        <v>15</v>
      </c>
      <c r="H252" s="547">
        <v>9</v>
      </c>
      <c r="I252" s="547">
        <v>4</v>
      </c>
      <c r="J252" s="547">
        <v>0</v>
      </c>
      <c r="K252" s="556">
        <v>0</v>
      </c>
      <c r="L252" s="547">
        <v>6</v>
      </c>
    </row>
    <row r="253" spans="1:12" s="543" customFormat="1" ht="9" customHeight="1" x14ac:dyDescent="0.25">
      <c r="A253" s="546" t="s">
        <v>40</v>
      </c>
      <c r="B253" s="547">
        <f t="shared" si="13"/>
        <v>642</v>
      </c>
      <c r="C253" s="547">
        <v>2</v>
      </c>
      <c r="D253" s="547">
        <v>71</v>
      </c>
      <c r="E253" s="547">
        <v>169</v>
      </c>
      <c r="F253" s="547">
        <v>157</v>
      </c>
      <c r="G253" s="547">
        <v>111</v>
      </c>
      <c r="H253" s="547">
        <v>52</v>
      </c>
      <c r="I253" s="547">
        <v>16</v>
      </c>
      <c r="J253" s="547">
        <v>0</v>
      </c>
      <c r="K253" s="556">
        <v>0</v>
      </c>
      <c r="L253" s="547">
        <v>64</v>
      </c>
    </row>
    <row r="254" spans="1:12" s="543" customFormat="1" ht="9" customHeight="1" x14ac:dyDescent="0.25">
      <c r="A254" s="548" t="s">
        <v>41</v>
      </c>
      <c r="B254" s="549">
        <f t="shared" si="13"/>
        <v>740</v>
      </c>
      <c r="C254" s="549">
        <v>6</v>
      </c>
      <c r="D254" s="549">
        <v>133</v>
      </c>
      <c r="E254" s="549">
        <v>173</v>
      </c>
      <c r="F254" s="549">
        <v>173</v>
      </c>
      <c r="G254" s="549">
        <v>128</v>
      </c>
      <c r="H254" s="549">
        <v>66</v>
      </c>
      <c r="I254" s="549">
        <v>34</v>
      </c>
      <c r="J254" s="549">
        <v>5</v>
      </c>
      <c r="K254" s="557">
        <v>0</v>
      </c>
      <c r="L254" s="549">
        <v>22</v>
      </c>
    </row>
    <row r="255" spans="1:12" s="543" customFormat="1" ht="9" customHeight="1" x14ac:dyDescent="0.25">
      <c r="A255" s="546" t="s">
        <v>42</v>
      </c>
      <c r="B255" s="547">
        <f t="shared" si="13"/>
        <v>1943</v>
      </c>
      <c r="C255" s="547">
        <v>12</v>
      </c>
      <c r="D255" s="547">
        <v>296</v>
      </c>
      <c r="E255" s="547">
        <v>514</v>
      </c>
      <c r="F255" s="547">
        <v>373</v>
      </c>
      <c r="G255" s="547">
        <v>319</v>
      </c>
      <c r="H255" s="547">
        <v>208</v>
      </c>
      <c r="I255" s="547">
        <v>77</v>
      </c>
      <c r="J255" s="547">
        <v>9</v>
      </c>
      <c r="K255" s="556">
        <v>0</v>
      </c>
      <c r="L255" s="547">
        <v>135</v>
      </c>
    </row>
    <row r="256" spans="1:12" s="543" customFormat="1" ht="9" customHeight="1" x14ac:dyDescent="0.25">
      <c r="A256" s="546" t="s">
        <v>43</v>
      </c>
      <c r="B256" s="547">
        <f t="shared" si="13"/>
        <v>406</v>
      </c>
      <c r="C256" s="547">
        <v>3</v>
      </c>
      <c r="D256" s="547">
        <v>56</v>
      </c>
      <c r="E256" s="547">
        <v>98</v>
      </c>
      <c r="F256" s="547">
        <v>98</v>
      </c>
      <c r="G256" s="547">
        <v>72</v>
      </c>
      <c r="H256" s="547">
        <v>49</v>
      </c>
      <c r="I256" s="547">
        <v>13</v>
      </c>
      <c r="J256" s="547">
        <v>0</v>
      </c>
      <c r="K256" s="556">
        <v>0</v>
      </c>
      <c r="L256" s="547">
        <v>17</v>
      </c>
    </row>
    <row r="257" spans="1:12" s="543" customFormat="1" ht="9" customHeight="1" x14ac:dyDescent="0.25">
      <c r="A257" s="546" t="s">
        <v>44</v>
      </c>
      <c r="B257" s="547">
        <f t="shared" si="13"/>
        <v>239</v>
      </c>
      <c r="C257" s="547">
        <v>2</v>
      </c>
      <c r="D257" s="547">
        <v>42</v>
      </c>
      <c r="E257" s="547">
        <v>49</v>
      </c>
      <c r="F257" s="547">
        <v>68</v>
      </c>
      <c r="G257" s="547">
        <v>36</v>
      </c>
      <c r="H257" s="547">
        <v>21</v>
      </c>
      <c r="I257" s="547">
        <v>7</v>
      </c>
      <c r="J257" s="547">
        <v>2</v>
      </c>
      <c r="K257" s="556">
        <v>0</v>
      </c>
      <c r="L257" s="547">
        <v>12</v>
      </c>
    </row>
    <row r="258" spans="1:12" s="543" customFormat="1" ht="9" customHeight="1" x14ac:dyDescent="0.25">
      <c r="A258" s="548" t="s">
        <v>45</v>
      </c>
      <c r="B258" s="549">
        <f t="shared" si="13"/>
        <v>626</v>
      </c>
      <c r="C258" s="549">
        <v>3</v>
      </c>
      <c r="D258" s="549">
        <v>80</v>
      </c>
      <c r="E258" s="549">
        <v>141</v>
      </c>
      <c r="F258" s="549">
        <v>153</v>
      </c>
      <c r="G258" s="549">
        <v>84</v>
      </c>
      <c r="H258" s="549">
        <v>79</v>
      </c>
      <c r="I258" s="549">
        <v>34</v>
      </c>
      <c r="J258" s="549">
        <v>2</v>
      </c>
      <c r="K258" s="557">
        <v>0</v>
      </c>
      <c r="L258" s="549">
        <v>50</v>
      </c>
    </row>
    <row r="259" spans="1:12" s="543" customFormat="1" ht="9" customHeight="1" x14ac:dyDescent="0.25">
      <c r="A259" s="546" t="s">
        <v>46</v>
      </c>
      <c r="B259" s="547">
        <f t="shared" si="13"/>
        <v>102</v>
      </c>
      <c r="C259" s="547">
        <v>4</v>
      </c>
      <c r="D259" s="547">
        <v>16</v>
      </c>
      <c r="E259" s="547">
        <v>23</v>
      </c>
      <c r="F259" s="547">
        <v>23</v>
      </c>
      <c r="G259" s="547">
        <v>18</v>
      </c>
      <c r="H259" s="547">
        <v>10</v>
      </c>
      <c r="I259" s="547">
        <v>2</v>
      </c>
      <c r="J259" s="547">
        <v>0</v>
      </c>
      <c r="K259" s="556">
        <v>0</v>
      </c>
      <c r="L259" s="547">
        <v>6</v>
      </c>
    </row>
    <row r="260" spans="1:12" s="543" customFormat="1" ht="9" customHeight="1" x14ac:dyDescent="0.25">
      <c r="A260" s="546" t="s">
        <v>47</v>
      </c>
      <c r="B260" s="547">
        <f t="shared" si="13"/>
        <v>437</v>
      </c>
      <c r="C260" s="547">
        <v>3</v>
      </c>
      <c r="D260" s="547">
        <v>83</v>
      </c>
      <c r="E260" s="547">
        <v>106</v>
      </c>
      <c r="F260" s="547">
        <v>102</v>
      </c>
      <c r="G260" s="547">
        <v>61</v>
      </c>
      <c r="H260" s="547">
        <v>39</v>
      </c>
      <c r="I260" s="547">
        <v>19</v>
      </c>
      <c r="J260" s="547">
        <v>0</v>
      </c>
      <c r="K260" s="556">
        <v>0</v>
      </c>
      <c r="L260" s="547">
        <v>24</v>
      </c>
    </row>
    <row r="261" spans="1:12" s="543" customFormat="1" ht="9" customHeight="1" x14ac:dyDescent="0.25">
      <c r="A261" s="546" t="s">
        <v>48</v>
      </c>
      <c r="B261" s="547">
        <f t="shared" si="13"/>
        <v>438</v>
      </c>
      <c r="C261" s="547">
        <v>3</v>
      </c>
      <c r="D261" s="547">
        <v>73</v>
      </c>
      <c r="E261" s="547">
        <v>111</v>
      </c>
      <c r="F261" s="547">
        <v>100</v>
      </c>
      <c r="G261" s="547">
        <v>67</v>
      </c>
      <c r="H261" s="547">
        <v>50</v>
      </c>
      <c r="I261" s="547">
        <v>12</v>
      </c>
      <c r="J261" s="547">
        <v>2</v>
      </c>
      <c r="K261" s="556">
        <v>0</v>
      </c>
      <c r="L261" s="547">
        <v>20</v>
      </c>
    </row>
    <row r="262" spans="1:12" s="543" customFormat="1" ht="9" customHeight="1" x14ac:dyDescent="0.25">
      <c r="A262" s="548" t="s">
        <v>49</v>
      </c>
      <c r="B262" s="549">
        <f t="shared" si="13"/>
        <v>433</v>
      </c>
      <c r="C262" s="549">
        <v>2</v>
      </c>
      <c r="D262" s="549">
        <v>68</v>
      </c>
      <c r="E262" s="549">
        <v>122</v>
      </c>
      <c r="F262" s="549">
        <v>104</v>
      </c>
      <c r="G262" s="549">
        <v>75</v>
      </c>
      <c r="H262" s="549">
        <v>36</v>
      </c>
      <c r="I262" s="549">
        <v>10</v>
      </c>
      <c r="J262" s="549">
        <v>1</v>
      </c>
      <c r="K262" s="557">
        <v>0</v>
      </c>
      <c r="L262" s="549">
        <v>15</v>
      </c>
    </row>
    <row r="263" spans="1:12" s="543" customFormat="1" ht="9" customHeight="1" x14ac:dyDescent="0.25">
      <c r="A263" s="546" t="s">
        <v>50</v>
      </c>
      <c r="B263" s="547">
        <f t="shared" si="13"/>
        <v>284</v>
      </c>
      <c r="C263" s="547">
        <v>2</v>
      </c>
      <c r="D263" s="547">
        <v>35</v>
      </c>
      <c r="E263" s="547">
        <v>68</v>
      </c>
      <c r="F263" s="547">
        <v>62</v>
      </c>
      <c r="G263" s="547">
        <v>47</v>
      </c>
      <c r="H263" s="547">
        <v>36</v>
      </c>
      <c r="I263" s="547">
        <v>15</v>
      </c>
      <c r="J263" s="547">
        <v>1</v>
      </c>
      <c r="K263" s="556">
        <v>0</v>
      </c>
      <c r="L263" s="547">
        <v>18</v>
      </c>
    </row>
    <row r="264" spans="1:12" s="543" customFormat="1" ht="9" customHeight="1" x14ac:dyDescent="0.25">
      <c r="A264" s="546" t="s">
        <v>51</v>
      </c>
      <c r="B264" s="547">
        <f t="shared" si="13"/>
        <v>1548</v>
      </c>
      <c r="C264" s="547">
        <v>9</v>
      </c>
      <c r="D264" s="547">
        <v>263</v>
      </c>
      <c r="E264" s="547">
        <v>385</v>
      </c>
      <c r="F264" s="547">
        <v>336</v>
      </c>
      <c r="G264" s="547">
        <v>256</v>
      </c>
      <c r="H264" s="547">
        <v>166</v>
      </c>
      <c r="I264" s="547">
        <v>53</v>
      </c>
      <c r="J264" s="547">
        <v>5</v>
      </c>
      <c r="K264" s="556">
        <v>0</v>
      </c>
      <c r="L264" s="547">
        <v>75</v>
      </c>
    </row>
    <row r="265" spans="1:12" s="543" customFormat="1" ht="9" customHeight="1" x14ac:dyDescent="0.25">
      <c r="A265" s="546" t="s">
        <v>52</v>
      </c>
      <c r="B265" s="547">
        <f t="shared" si="13"/>
        <v>327</v>
      </c>
      <c r="C265" s="547">
        <v>4</v>
      </c>
      <c r="D265" s="547">
        <v>43</v>
      </c>
      <c r="E265" s="547">
        <v>88</v>
      </c>
      <c r="F265" s="547">
        <v>68</v>
      </c>
      <c r="G265" s="547">
        <v>44</v>
      </c>
      <c r="H265" s="547">
        <v>46</v>
      </c>
      <c r="I265" s="547">
        <v>16</v>
      </c>
      <c r="J265" s="547">
        <v>0</v>
      </c>
      <c r="K265" s="556">
        <v>0</v>
      </c>
      <c r="L265" s="547">
        <v>18</v>
      </c>
    </row>
    <row r="266" spans="1:12" s="543" customFormat="1" ht="9" customHeight="1" x14ac:dyDescent="0.25">
      <c r="A266" s="548" t="s">
        <v>53</v>
      </c>
      <c r="B266" s="549">
        <f t="shared" si="13"/>
        <v>266</v>
      </c>
      <c r="C266" s="549">
        <v>2</v>
      </c>
      <c r="D266" s="549">
        <v>35</v>
      </c>
      <c r="E266" s="549">
        <v>57</v>
      </c>
      <c r="F266" s="549">
        <v>59</v>
      </c>
      <c r="G266" s="549">
        <v>48</v>
      </c>
      <c r="H266" s="549">
        <v>32</v>
      </c>
      <c r="I266" s="549">
        <v>17</v>
      </c>
      <c r="J266" s="549">
        <v>1</v>
      </c>
      <c r="K266" s="557">
        <v>0</v>
      </c>
      <c r="L266" s="549">
        <v>15</v>
      </c>
    </row>
    <row r="267" spans="1:12" s="543" customFormat="1" ht="9" customHeight="1" x14ac:dyDescent="0.25">
      <c r="A267" s="546" t="s">
        <v>434</v>
      </c>
      <c r="B267" s="547">
        <f t="shared" si="13"/>
        <v>11</v>
      </c>
      <c r="C267" s="547">
        <v>0</v>
      </c>
      <c r="D267" s="547">
        <v>0</v>
      </c>
      <c r="E267" s="547">
        <v>2</v>
      </c>
      <c r="F267" s="547">
        <v>0</v>
      </c>
      <c r="G267" s="547">
        <v>5</v>
      </c>
      <c r="H267" s="547">
        <v>0</v>
      </c>
      <c r="I267" s="547">
        <v>1</v>
      </c>
      <c r="J267" s="547">
        <v>1</v>
      </c>
      <c r="K267" s="556">
        <v>0</v>
      </c>
      <c r="L267" s="547">
        <v>2</v>
      </c>
    </row>
    <row r="268" spans="1:12" s="543" customFormat="1" ht="9" customHeight="1" x14ac:dyDescent="0.25">
      <c r="A268" s="546"/>
      <c r="B268" s="547"/>
      <c r="C268" s="547"/>
      <c r="D268" s="547"/>
      <c r="E268" s="547"/>
      <c r="F268" s="547"/>
      <c r="G268" s="547"/>
      <c r="H268" s="547"/>
      <c r="I268" s="547"/>
      <c r="J268" s="547"/>
      <c r="K268" s="556"/>
      <c r="L268" s="547"/>
    </row>
    <row r="269" spans="1:12" s="543" customFormat="1" ht="9" customHeight="1" x14ac:dyDescent="0.25">
      <c r="A269" s="541">
        <v>2002</v>
      </c>
      <c r="B269" s="552"/>
      <c r="C269" s="542"/>
      <c r="D269" s="542"/>
      <c r="E269" s="553"/>
      <c r="F269" s="553"/>
      <c r="G269" s="542"/>
      <c r="H269" s="542"/>
      <c r="I269" s="542"/>
      <c r="J269" s="542"/>
      <c r="K269" s="542"/>
      <c r="L269" s="542"/>
    </row>
    <row r="270" spans="1:12" s="543" customFormat="1" ht="9" customHeight="1" x14ac:dyDescent="0.25">
      <c r="A270" s="541" t="s">
        <v>13</v>
      </c>
      <c r="B270" s="544">
        <f t="shared" ref="B270:L270" si="14">SUM(B272:B304)</f>
        <v>25109</v>
      </c>
      <c r="C270" s="544">
        <f t="shared" si="14"/>
        <v>109</v>
      </c>
      <c r="D270" s="544">
        <f t="shared" si="14"/>
        <v>3705</v>
      </c>
      <c r="E270" s="544">
        <f t="shared" si="14"/>
        <v>6321</v>
      </c>
      <c r="F270" s="544">
        <f t="shared" si="14"/>
        <v>5831</v>
      </c>
      <c r="G270" s="544">
        <f t="shared" si="14"/>
        <v>4333</v>
      </c>
      <c r="H270" s="544">
        <f t="shared" si="14"/>
        <v>2691</v>
      </c>
      <c r="I270" s="544">
        <f t="shared" si="14"/>
        <v>834</v>
      </c>
      <c r="J270" s="544">
        <f t="shared" si="14"/>
        <v>96</v>
      </c>
      <c r="K270" s="544">
        <f t="shared" si="14"/>
        <v>5</v>
      </c>
      <c r="L270" s="544">
        <f t="shared" si="14"/>
        <v>1184</v>
      </c>
    </row>
    <row r="271" spans="1:12" s="543" customFormat="1" ht="3.95" customHeight="1" x14ac:dyDescent="0.25">
      <c r="A271" s="541"/>
      <c r="B271" s="544"/>
      <c r="C271" s="544"/>
      <c r="D271" s="544"/>
      <c r="E271" s="544"/>
      <c r="F271" s="544"/>
      <c r="G271" s="544"/>
      <c r="H271" s="544"/>
      <c r="I271" s="544"/>
      <c r="J271" s="544"/>
      <c r="K271" s="544"/>
      <c r="L271" s="544"/>
    </row>
    <row r="272" spans="1:12" s="543" customFormat="1" ht="9" customHeight="1" x14ac:dyDescent="0.25">
      <c r="A272" s="546" t="s">
        <v>23</v>
      </c>
      <c r="B272" s="547">
        <f t="shared" ref="B272:B304" si="15">SUM(C272:L272)</f>
        <v>252</v>
      </c>
      <c r="C272" s="547">
        <v>0</v>
      </c>
      <c r="D272" s="547">
        <v>27</v>
      </c>
      <c r="E272" s="547">
        <v>59</v>
      </c>
      <c r="F272" s="547">
        <v>55</v>
      </c>
      <c r="G272" s="547">
        <v>47</v>
      </c>
      <c r="H272" s="547">
        <v>39</v>
      </c>
      <c r="I272" s="547">
        <v>12</v>
      </c>
      <c r="J272" s="547">
        <v>3</v>
      </c>
      <c r="K272" s="556">
        <v>0</v>
      </c>
      <c r="L272" s="547">
        <v>10</v>
      </c>
    </row>
    <row r="273" spans="1:12" s="543" customFormat="1" ht="9" customHeight="1" x14ac:dyDescent="0.25">
      <c r="A273" s="546" t="s">
        <v>24</v>
      </c>
      <c r="B273" s="547">
        <f t="shared" si="15"/>
        <v>682</v>
      </c>
      <c r="C273" s="547">
        <v>3</v>
      </c>
      <c r="D273" s="547">
        <v>92</v>
      </c>
      <c r="E273" s="547">
        <v>194</v>
      </c>
      <c r="F273" s="547">
        <v>139</v>
      </c>
      <c r="G273" s="547">
        <v>106</v>
      </c>
      <c r="H273" s="547">
        <v>51</v>
      </c>
      <c r="I273" s="547">
        <v>16</v>
      </c>
      <c r="J273" s="547">
        <v>0</v>
      </c>
      <c r="K273" s="556">
        <v>0</v>
      </c>
      <c r="L273" s="547">
        <v>81</v>
      </c>
    </row>
    <row r="274" spans="1:12" s="543" customFormat="1" ht="9" customHeight="1" x14ac:dyDescent="0.25">
      <c r="A274" s="546" t="s">
        <v>25</v>
      </c>
      <c r="B274" s="547">
        <f t="shared" si="15"/>
        <v>104</v>
      </c>
      <c r="C274" s="547">
        <v>1</v>
      </c>
      <c r="D274" s="547">
        <v>19</v>
      </c>
      <c r="E274" s="547">
        <v>21</v>
      </c>
      <c r="F274" s="547">
        <v>23</v>
      </c>
      <c r="G274" s="547">
        <v>24</v>
      </c>
      <c r="H274" s="547">
        <v>11</v>
      </c>
      <c r="I274" s="547">
        <v>2</v>
      </c>
      <c r="J274" s="547">
        <v>0</v>
      </c>
      <c r="K274" s="556">
        <v>0</v>
      </c>
      <c r="L274" s="547">
        <v>3</v>
      </c>
    </row>
    <row r="275" spans="1:12" s="543" customFormat="1" ht="9" customHeight="1" x14ac:dyDescent="0.25">
      <c r="A275" s="548" t="s">
        <v>26</v>
      </c>
      <c r="B275" s="549">
        <f t="shared" si="15"/>
        <v>112</v>
      </c>
      <c r="C275" s="549">
        <v>0</v>
      </c>
      <c r="D275" s="549">
        <v>16</v>
      </c>
      <c r="E275" s="549">
        <v>36</v>
      </c>
      <c r="F275" s="549">
        <v>17</v>
      </c>
      <c r="G275" s="549">
        <v>22</v>
      </c>
      <c r="H275" s="549">
        <v>8</v>
      </c>
      <c r="I275" s="549">
        <v>4</v>
      </c>
      <c r="J275" s="549">
        <v>1</v>
      </c>
      <c r="K275" s="557">
        <v>0</v>
      </c>
      <c r="L275" s="549">
        <v>8</v>
      </c>
    </row>
    <row r="276" spans="1:12" s="543" customFormat="1" ht="9" customHeight="1" x14ac:dyDescent="0.25">
      <c r="A276" s="546" t="s">
        <v>27</v>
      </c>
      <c r="B276" s="547">
        <f t="shared" si="15"/>
        <v>319</v>
      </c>
      <c r="C276" s="547">
        <v>1</v>
      </c>
      <c r="D276" s="547">
        <v>47</v>
      </c>
      <c r="E276" s="551">
        <v>77</v>
      </c>
      <c r="F276" s="547">
        <v>80</v>
      </c>
      <c r="G276" s="547">
        <v>45</v>
      </c>
      <c r="H276" s="547">
        <v>35</v>
      </c>
      <c r="I276" s="547">
        <v>5</v>
      </c>
      <c r="J276" s="547">
        <v>1</v>
      </c>
      <c r="K276" s="556">
        <v>0</v>
      </c>
      <c r="L276" s="547">
        <v>28</v>
      </c>
    </row>
    <row r="277" spans="1:12" s="543" customFormat="1" ht="9" customHeight="1" x14ac:dyDescent="0.25">
      <c r="A277" s="546" t="s">
        <v>28</v>
      </c>
      <c r="B277" s="547">
        <f t="shared" si="15"/>
        <v>109</v>
      </c>
      <c r="C277" s="547">
        <v>1</v>
      </c>
      <c r="D277" s="547">
        <v>15</v>
      </c>
      <c r="E277" s="547">
        <v>37</v>
      </c>
      <c r="F277" s="547">
        <v>24</v>
      </c>
      <c r="G277" s="547">
        <v>12</v>
      </c>
      <c r="H277" s="547">
        <v>11</v>
      </c>
      <c r="I277" s="547">
        <v>3</v>
      </c>
      <c r="J277" s="547">
        <v>1</v>
      </c>
      <c r="K277" s="556">
        <v>0</v>
      </c>
      <c r="L277" s="547">
        <v>5</v>
      </c>
    </row>
    <row r="278" spans="1:12" s="543" customFormat="1" ht="9" customHeight="1" x14ac:dyDescent="0.25">
      <c r="A278" s="546" t="s">
        <v>29</v>
      </c>
      <c r="B278" s="547">
        <f t="shared" si="15"/>
        <v>1035</v>
      </c>
      <c r="C278" s="547">
        <v>5</v>
      </c>
      <c r="D278" s="547">
        <v>199</v>
      </c>
      <c r="E278" s="547">
        <v>270</v>
      </c>
      <c r="F278" s="547">
        <v>227</v>
      </c>
      <c r="G278" s="547">
        <v>149</v>
      </c>
      <c r="H278" s="547">
        <v>104</v>
      </c>
      <c r="I278" s="547">
        <v>37</v>
      </c>
      <c r="J278" s="547">
        <v>5</v>
      </c>
      <c r="K278" s="556">
        <v>0</v>
      </c>
      <c r="L278" s="547">
        <v>39</v>
      </c>
    </row>
    <row r="279" spans="1:12" s="543" customFormat="1" ht="9" customHeight="1" x14ac:dyDescent="0.25">
      <c r="A279" s="548" t="s">
        <v>30</v>
      </c>
      <c r="B279" s="549">
        <f t="shared" si="15"/>
        <v>606</v>
      </c>
      <c r="C279" s="549">
        <v>2</v>
      </c>
      <c r="D279" s="549">
        <v>93</v>
      </c>
      <c r="E279" s="549">
        <v>139</v>
      </c>
      <c r="F279" s="549">
        <v>146</v>
      </c>
      <c r="G279" s="549">
        <v>101</v>
      </c>
      <c r="H279" s="549">
        <v>66</v>
      </c>
      <c r="I279" s="549">
        <v>7</v>
      </c>
      <c r="J279" s="549">
        <v>1</v>
      </c>
      <c r="K279" s="557">
        <v>1</v>
      </c>
      <c r="L279" s="549">
        <v>50</v>
      </c>
    </row>
    <row r="280" spans="1:12" s="543" customFormat="1" ht="9" customHeight="1" x14ac:dyDescent="0.25">
      <c r="A280" s="550" t="s">
        <v>63</v>
      </c>
      <c r="B280" s="547">
        <f t="shared" si="15"/>
        <v>2736</v>
      </c>
      <c r="C280" s="547">
        <v>6</v>
      </c>
      <c r="D280" s="547">
        <v>398</v>
      </c>
      <c r="E280" s="547">
        <v>758</v>
      </c>
      <c r="F280" s="547">
        <v>639</v>
      </c>
      <c r="G280" s="547">
        <v>523</v>
      </c>
      <c r="H280" s="547">
        <v>274</v>
      </c>
      <c r="I280" s="547">
        <v>78</v>
      </c>
      <c r="J280" s="547">
        <v>4</v>
      </c>
      <c r="K280" s="556">
        <v>0</v>
      </c>
      <c r="L280" s="547">
        <v>56</v>
      </c>
    </row>
    <row r="281" spans="1:12" s="543" customFormat="1" ht="9" customHeight="1" x14ac:dyDescent="0.25">
      <c r="A281" s="546" t="s">
        <v>31</v>
      </c>
      <c r="B281" s="547">
        <f t="shared" si="15"/>
        <v>142</v>
      </c>
      <c r="C281" s="547">
        <v>0</v>
      </c>
      <c r="D281" s="547">
        <v>20</v>
      </c>
      <c r="E281" s="547">
        <v>41</v>
      </c>
      <c r="F281" s="547">
        <v>27</v>
      </c>
      <c r="G281" s="547">
        <v>20</v>
      </c>
      <c r="H281" s="547">
        <v>17</v>
      </c>
      <c r="I281" s="547">
        <v>4</v>
      </c>
      <c r="J281" s="547">
        <v>1</v>
      </c>
      <c r="K281" s="556">
        <v>0</v>
      </c>
      <c r="L281" s="547">
        <v>12</v>
      </c>
    </row>
    <row r="282" spans="1:12" s="543" customFormat="1" ht="9" customHeight="1" x14ac:dyDescent="0.25">
      <c r="A282" s="546" t="s">
        <v>32</v>
      </c>
      <c r="B282" s="547">
        <f t="shared" si="15"/>
        <v>1759</v>
      </c>
      <c r="C282" s="547">
        <v>9</v>
      </c>
      <c r="D282" s="547">
        <v>228</v>
      </c>
      <c r="E282" s="547">
        <v>374</v>
      </c>
      <c r="F282" s="547">
        <v>396</v>
      </c>
      <c r="G282" s="547">
        <v>351</v>
      </c>
      <c r="H282" s="547">
        <v>228</v>
      </c>
      <c r="I282" s="547">
        <v>96</v>
      </c>
      <c r="J282" s="547">
        <v>9</v>
      </c>
      <c r="K282" s="556">
        <v>0</v>
      </c>
      <c r="L282" s="547">
        <v>68</v>
      </c>
    </row>
    <row r="283" spans="1:12" s="543" customFormat="1" ht="9" customHeight="1" x14ac:dyDescent="0.25">
      <c r="A283" s="548" t="s">
        <v>33</v>
      </c>
      <c r="B283" s="549">
        <f t="shared" si="15"/>
        <v>218</v>
      </c>
      <c r="C283" s="549">
        <v>2</v>
      </c>
      <c r="D283" s="549">
        <v>33</v>
      </c>
      <c r="E283" s="554">
        <v>58</v>
      </c>
      <c r="F283" s="549">
        <v>41</v>
      </c>
      <c r="G283" s="549">
        <v>31</v>
      </c>
      <c r="H283" s="549">
        <v>32</v>
      </c>
      <c r="I283" s="549">
        <v>11</v>
      </c>
      <c r="J283" s="549">
        <v>1</v>
      </c>
      <c r="K283" s="557">
        <v>0</v>
      </c>
      <c r="L283" s="549">
        <v>9</v>
      </c>
    </row>
    <row r="284" spans="1:12" s="543" customFormat="1" ht="9" customHeight="1" x14ac:dyDescent="0.25">
      <c r="A284" s="546" t="s">
        <v>34</v>
      </c>
      <c r="B284" s="547">
        <f t="shared" si="15"/>
        <v>523</v>
      </c>
      <c r="C284" s="547">
        <v>2</v>
      </c>
      <c r="D284" s="547">
        <v>91</v>
      </c>
      <c r="E284" s="547">
        <v>133</v>
      </c>
      <c r="F284" s="547">
        <v>102</v>
      </c>
      <c r="G284" s="547">
        <v>87</v>
      </c>
      <c r="H284" s="547">
        <v>44</v>
      </c>
      <c r="I284" s="547">
        <v>24</v>
      </c>
      <c r="J284" s="547">
        <v>1</v>
      </c>
      <c r="K284" s="556">
        <v>0</v>
      </c>
      <c r="L284" s="547">
        <v>39</v>
      </c>
    </row>
    <row r="285" spans="1:12" s="543" customFormat="1" ht="9" customHeight="1" x14ac:dyDescent="0.25">
      <c r="A285" s="546" t="s">
        <v>35</v>
      </c>
      <c r="B285" s="547">
        <f t="shared" si="15"/>
        <v>1849</v>
      </c>
      <c r="C285" s="547">
        <v>8</v>
      </c>
      <c r="D285" s="547">
        <v>250</v>
      </c>
      <c r="E285" s="547">
        <v>449</v>
      </c>
      <c r="F285" s="547">
        <v>418</v>
      </c>
      <c r="G285" s="547">
        <v>336</v>
      </c>
      <c r="H285" s="547">
        <v>213</v>
      </c>
      <c r="I285" s="547">
        <v>65</v>
      </c>
      <c r="J285" s="547">
        <v>10</v>
      </c>
      <c r="K285" s="556">
        <v>0</v>
      </c>
      <c r="L285" s="547">
        <v>100</v>
      </c>
    </row>
    <row r="286" spans="1:12" s="543" customFormat="1" ht="9" customHeight="1" x14ac:dyDescent="0.25">
      <c r="A286" s="546" t="s">
        <v>36</v>
      </c>
      <c r="B286" s="547">
        <f t="shared" si="15"/>
        <v>4981</v>
      </c>
      <c r="C286" s="547">
        <v>12</v>
      </c>
      <c r="D286" s="547">
        <v>734</v>
      </c>
      <c r="E286" s="547">
        <v>1364</v>
      </c>
      <c r="F286" s="547">
        <v>1232</v>
      </c>
      <c r="G286" s="547">
        <v>867</v>
      </c>
      <c r="H286" s="547">
        <v>472</v>
      </c>
      <c r="I286" s="547">
        <v>161</v>
      </c>
      <c r="J286" s="547">
        <v>14</v>
      </c>
      <c r="K286" s="556">
        <v>0</v>
      </c>
      <c r="L286" s="547">
        <v>125</v>
      </c>
    </row>
    <row r="287" spans="1:12" s="543" customFormat="1" ht="9" customHeight="1" x14ac:dyDescent="0.25">
      <c r="A287" s="548" t="s">
        <v>37</v>
      </c>
      <c r="B287" s="549">
        <f t="shared" si="15"/>
        <v>831</v>
      </c>
      <c r="C287" s="549">
        <v>8</v>
      </c>
      <c r="D287" s="549">
        <v>102</v>
      </c>
      <c r="E287" s="549">
        <v>201</v>
      </c>
      <c r="F287" s="549">
        <v>186</v>
      </c>
      <c r="G287" s="549">
        <v>128</v>
      </c>
      <c r="H287" s="549">
        <v>121</v>
      </c>
      <c r="I287" s="549">
        <v>41</v>
      </c>
      <c r="J287" s="549">
        <v>6</v>
      </c>
      <c r="K287" s="557">
        <v>1</v>
      </c>
      <c r="L287" s="549">
        <v>37</v>
      </c>
    </row>
    <row r="288" spans="1:12" s="543" customFormat="1" ht="9" customHeight="1" x14ac:dyDescent="0.25">
      <c r="A288" s="546" t="s">
        <v>38</v>
      </c>
      <c r="B288" s="547">
        <f t="shared" si="15"/>
        <v>359</v>
      </c>
      <c r="C288" s="547">
        <v>2</v>
      </c>
      <c r="D288" s="551">
        <v>71</v>
      </c>
      <c r="E288" s="547">
        <v>96</v>
      </c>
      <c r="F288" s="547">
        <v>84</v>
      </c>
      <c r="G288" s="547">
        <v>46</v>
      </c>
      <c r="H288" s="547">
        <v>35</v>
      </c>
      <c r="I288" s="547">
        <v>13</v>
      </c>
      <c r="J288" s="547">
        <v>0</v>
      </c>
      <c r="K288" s="556">
        <v>0</v>
      </c>
      <c r="L288" s="547">
        <v>12</v>
      </c>
    </row>
    <row r="289" spans="1:12" s="543" customFormat="1" ht="9" customHeight="1" x14ac:dyDescent="0.25">
      <c r="A289" s="546" t="s">
        <v>39</v>
      </c>
      <c r="B289" s="547">
        <f t="shared" si="15"/>
        <v>86</v>
      </c>
      <c r="C289" s="547">
        <v>1</v>
      </c>
      <c r="D289" s="547">
        <v>14</v>
      </c>
      <c r="E289" s="547">
        <v>20</v>
      </c>
      <c r="F289" s="547">
        <v>24</v>
      </c>
      <c r="G289" s="547">
        <v>14</v>
      </c>
      <c r="H289" s="547">
        <v>7</v>
      </c>
      <c r="I289" s="547">
        <v>3</v>
      </c>
      <c r="J289" s="547">
        <v>0</v>
      </c>
      <c r="K289" s="556">
        <v>0</v>
      </c>
      <c r="L289" s="547">
        <v>3</v>
      </c>
    </row>
    <row r="290" spans="1:12" s="543" customFormat="1" ht="9" customHeight="1" x14ac:dyDescent="0.25">
      <c r="A290" s="546" t="s">
        <v>40</v>
      </c>
      <c r="B290" s="547">
        <f t="shared" si="15"/>
        <v>648</v>
      </c>
      <c r="C290" s="547">
        <v>3</v>
      </c>
      <c r="D290" s="547">
        <v>88</v>
      </c>
      <c r="E290" s="547">
        <v>138</v>
      </c>
      <c r="F290" s="547">
        <v>172</v>
      </c>
      <c r="G290" s="547">
        <v>111</v>
      </c>
      <c r="H290" s="547">
        <v>53</v>
      </c>
      <c r="I290" s="547">
        <v>13</v>
      </c>
      <c r="J290" s="547">
        <v>1</v>
      </c>
      <c r="K290" s="556">
        <v>1</v>
      </c>
      <c r="L290" s="547">
        <v>68</v>
      </c>
    </row>
    <row r="291" spans="1:12" s="543" customFormat="1" ht="9" customHeight="1" x14ac:dyDescent="0.25">
      <c r="A291" s="548" t="s">
        <v>41</v>
      </c>
      <c r="B291" s="549">
        <f t="shared" si="15"/>
        <v>801</v>
      </c>
      <c r="C291" s="549">
        <v>6</v>
      </c>
      <c r="D291" s="549">
        <v>119</v>
      </c>
      <c r="E291" s="549">
        <v>184</v>
      </c>
      <c r="F291" s="549">
        <v>172</v>
      </c>
      <c r="G291" s="549">
        <v>149</v>
      </c>
      <c r="H291" s="549">
        <v>94</v>
      </c>
      <c r="I291" s="549">
        <v>38</v>
      </c>
      <c r="J291" s="549">
        <v>7</v>
      </c>
      <c r="K291" s="557">
        <v>0</v>
      </c>
      <c r="L291" s="549">
        <v>32</v>
      </c>
    </row>
    <row r="292" spans="1:12" s="543" customFormat="1" ht="9" customHeight="1" x14ac:dyDescent="0.25">
      <c r="A292" s="546" t="s">
        <v>42</v>
      </c>
      <c r="B292" s="547">
        <f t="shared" si="15"/>
        <v>1898</v>
      </c>
      <c r="C292" s="547">
        <v>8</v>
      </c>
      <c r="D292" s="547">
        <v>276</v>
      </c>
      <c r="E292" s="547">
        <v>481</v>
      </c>
      <c r="F292" s="547">
        <v>428</v>
      </c>
      <c r="G292" s="547">
        <v>272</v>
      </c>
      <c r="H292" s="547">
        <v>226</v>
      </c>
      <c r="I292" s="547">
        <v>54</v>
      </c>
      <c r="J292" s="547">
        <v>9</v>
      </c>
      <c r="K292" s="556">
        <v>0</v>
      </c>
      <c r="L292" s="547">
        <v>144</v>
      </c>
    </row>
    <row r="293" spans="1:12" s="543" customFormat="1" ht="9" customHeight="1" x14ac:dyDescent="0.25">
      <c r="A293" s="546" t="s">
        <v>43</v>
      </c>
      <c r="B293" s="547">
        <f t="shared" si="15"/>
        <v>426</v>
      </c>
      <c r="C293" s="547">
        <v>0</v>
      </c>
      <c r="D293" s="547">
        <v>56</v>
      </c>
      <c r="E293" s="547">
        <v>98</v>
      </c>
      <c r="F293" s="547">
        <v>106</v>
      </c>
      <c r="G293" s="547">
        <v>91</v>
      </c>
      <c r="H293" s="547">
        <v>44</v>
      </c>
      <c r="I293" s="547">
        <v>13</v>
      </c>
      <c r="J293" s="547">
        <v>2</v>
      </c>
      <c r="K293" s="556">
        <v>1</v>
      </c>
      <c r="L293" s="547">
        <v>15</v>
      </c>
    </row>
    <row r="294" spans="1:12" s="543" customFormat="1" ht="9" customHeight="1" x14ac:dyDescent="0.25">
      <c r="A294" s="546" t="s">
        <v>44</v>
      </c>
      <c r="B294" s="547">
        <f t="shared" si="15"/>
        <v>237</v>
      </c>
      <c r="C294" s="547">
        <v>1</v>
      </c>
      <c r="D294" s="547">
        <v>32</v>
      </c>
      <c r="E294" s="547">
        <v>62</v>
      </c>
      <c r="F294" s="547">
        <v>55</v>
      </c>
      <c r="G294" s="547">
        <v>39</v>
      </c>
      <c r="H294" s="547">
        <v>24</v>
      </c>
      <c r="I294" s="547">
        <v>5</v>
      </c>
      <c r="J294" s="547">
        <v>1</v>
      </c>
      <c r="K294" s="556">
        <v>0</v>
      </c>
      <c r="L294" s="547">
        <v>18</v>
      </c>
    </row>
    <row r="295" spans="1:12" s="543" customFormat="1" ht="9" customHeight="1" x14ac:dyDescent="0.25">
      <c r="A295" s="548" t="s">
        <v>45</v>
      </c>
      <c r="B295" s="549">
        <f t="shared" si="15"/>
        <v>572</v>
      </c>
      <c r="C295" s="549">
        <v>0</v>
      </c>
      <c r="D295" s="549">
        <v>80</v>
      </c>
      <c r="E295" s="549">
        <v>116</v>
      </c>
      <c r="F295" s="549">
        <v>140</v>
      </c>
      <c r="G295" s="549">
        <v>101</v>
      </c>
      <c r="H295" s="549">
        <v>74</v>
      </c>
      <c r="I295" s="549">
        <v>25</v>
      </c>
      <c r="J295" s="549">
        <v>3</v>
      </c>
      <c r="K295" s="557">
        <v>0</v>
      </c>
      <c r="L295" s="549">
        <v>33</v>
      </c>
    </row>
    <row r="296" spans="1:12" s="543" customFormat="1" ht="9" customHeight="1" x14ac:dyDescent="0.25">
      <c r="A296" s="546" t="s">
        <v>46</v>
      </c>
      <c r="B296" s="547">
        <f t="shared" si="15"/>
        <v>93</v>
      </c>
      <c r="C296" s="547">
        <v>2</v>
      </c>
      <c r="D296" s="547">
        <v>22</v>
      </c>
      <c r="E296" s="547">
        <v>19</v>
      </c>
      <c r="F296" s="547">
        <v>21</v>
      </c>
      <c r="G296" s="547">
        <v>12</v>
      </c>
      <c r="H296" s="547">
        <v>7</v>
      </c>
      <c r="I296" s="547">
        <v>2</v>
      </c>
      <c r="J296" s="547">
        <v>1</v>
      </c>
      <c r="K296" s="556">
        <v>0</v>
      </c>
      <c r="L296" s="547">
        <v>7</v>
      </c>
    </row>
    <row r="297" spans="1:12" s="543" customFormat="1" ht="9" customHeight="1" x14ac:dyDescent="0.25">
      <c r="A297" s="546" t="s">
        <v>47</v>
      </c>
      <c r="B297" s="547">
        <f t="shared" si="15"/>
        <v>411</v>
      </c>
      <c r="C297" s="547">
        <v>1</v>
      </c>
      <c r="D297" s="547">
        <v>77</v>
      </c>
      <c r="E297" s="547">
        <v>102</v>
      </c>
      <c r="F297" s="547">
        <v>94</v>
      </c>
      <c r="G297" s="547">
        <v>69</v>
      </c>
      <c r="H297" s="547">
        <v>39</v>
      </c>
      <c r="I297" s="547">
        <v>6</v>
      </c>
      <c r="J297" s="547">
        <v>1</v>
      </c>
      <c r="K297" s="556">
        <v>0</v>
      </c>
      <c r="L297" s="547">
        <v>22</v>
      </c>
    </row>
    <row r="298" spans="1:12" s="543" customFormat="1" ht="9" customHeight="1" x14ac:dyDescent="0.25">
      <c r="A298" s="546" t="s">
        <v>48</v>
      </c>
      <c r="B298" s="547">
        <f t="shared" si="15"/>
        <v>428</v>
      </c>
      <c r="C298" s="547">
        <v>3</v>
      </c>
      <c r="D298" s="547">
        <v>65</v>
      </c>
      <c r="E298" s="547">
        <v>107</v>
      </c>
      <c r="F298" s="547">
        <v>94</v>
      </c>
      <c r="G298" s="547">
        <v>75</v>
      </c>
      <c r="H298" s="547">
        <v>50</v>
      </c>
      <c r="I298" s="547">
        <v>17</v>
      </c>
      <c r="J298" s="547">
        <v>2</v>
      </c>
      <c r="K298" s="556">
        <v>0</v>
      </c>
      <c r="L298" s="547">
        <v>15</v>
      </c>
    </row>
    <row r="299" spans="1:12" s="543" customFormat="1" ht="9" customHeight="1" x14ac:dyDescent="0.25">
      <c r="A299" s="548" t="s">
        <v>49</v>
      </c>
      <c r="B299" s="549">
        <f t="shared" si="15"/>
        <v>377</v>
      </c>
      <c r="C299" s="549">
        <v>1</v>
      </c>
      <c r="D299" s="549">
        <v>55</v>
      </c>
      <c r="E299" s="549">
        <v>94</v>
      </c>
      <c r="F299" s="549">
        <v>106</v>
      </c>
      <c r="G299" s="549">
        <v>56</v>
      </c>
      <c r="H299" s="549">
        <v>31</v>
      </c>
      <c r="I299" s="549">
        <v>12</v>
      </c>
      <c r="J299" s="549">
        <v>1</v>
      </c>
      <c r="K299" s="557">
        <v>0</v>
      </c>
      <c r="L299" s="549">
        <v>21</v>
      </c>
    </row>
    <row r="300" spans="1:12" s="543" customFormat="1" ht="9" customHeight="1" x14ac:dyDescent="0.25">
      <c r="A300" s="546" t="s">
        <v>50</v>
      </c>
      <c r="B300" s="547">
        <f t="shared" si="15"/>
        <v>312</v>
      </c>
      <c r="C300" s="547">
        <v>1</v>
      </c>
      <c r="D300" s="547">
        <v>42</v>
      </c>
      <c r="E300" s="547">
        <v>78</v>
      </c>
      <c r="F300" s="547">
        <v>79</v>
      </c>
      <c r="G300" s="547">
        <v>51</v>
      </c>
      <c r="H300" s="547">
        <v>36</v>
      </c>
      <c r="I300" s="547">
        <v>9</v>
      </c>
      <c r="J300" s="547">
        <v>0</v>
      </c>
      <c r="K300" s="556">
        <v>0</v>
      </c>
      <c r="L300" s="547">
        <v>16</v>
      </c>
    </row>
    <row r="301" spans="1:12" s="543" customFormat="1" ht="9" customHeight="1" x14ac:dyDescent="0.25">
      <c r="A301" s="546" t="s">
        <v>51</v>
      </c>
      <c r="B301" s="547">
        <f t="shared" si="15"/>
        <v>1530</v>
      </c>
      <c r="C301" s="547">
        <v>18</v>
      </c>
      <c r="D301" s="547">
        <v>257</v>
      </c>
      <c r="E301" s="547">
        <v>361</v>
      </c>
      <c r="F301" s="547">
        <v>351</v>
      </c>
      <c r="G301" s="547">
        <v>269</v>
      </c>
      <c r="H301" s="547">
        <v>159</v>
      </c>
      <c r="I301" s="547">
        <v>39</v>
      </c>
      <c r="J301" s="547">
        <v>6</v>
      </c>
      <c r="K301" s="556">
        <v>1</v>
      </c>
      <c r="L301" s="547">
        <v>69</v>
      </c>
    </row>
    <row r="302" spans="1:12" s="543" customFormat="1" ht="9" customHeight="1" x14ac:dyDescent="0.25">
      <c r="A302" s="546" t="s">
        <v>52</v>
      </c>
      <c r="B302" s="547">
        <f t="shared" si="15"/>
        <v>369</v>
      </c>
      <c r="C302" s="547">
        <v>0</v>
      </c>
      <c r="D302" s="547">
        <v>48</v>
      </c>
      <c r="E302" s="547">
        <v>98</v>
      </c>
      <c r="F302" s="547">
        <v>84</v>
      </c>
      <c r="G302" s="547">
        <v>68</v>
      </c>
      <c r="H302" s="547">
        <v>40</v>
      </c>
      <c r="I302" s="547">
        <v>10</v>
      </c>
      <c r="J302" s="547">
        <v>3</v>
      </c>
      <c r="K302" s="556">
        <v>0</v>
      </c>
      <c r="L302" s="547">
        <v>18</v>
      </c>
    </row>
    <row r="303" spans="1:12" s="543" customFormat="1" ht="9" customHeight="1" x14ac:dyDescent="0.25">
      <c r="A303" s="548" t="s">
        <v>53</v>
      </c>
      <c r="B303" s="549">
        <f t="shared" si="15"/>
        <v>292</v>
      </c>
      <c r="C303" s="549">
        <v>1</v>
      </c>
      <c r="D303" s="549">
        <v>39</v>
      </c>
      <c r="E303" s="549">
        <v>53</v>
      </c>
      <c r="F303" s="549">
        <v>68</v>
      </c>
      <c r="G303" s="549">
        <v>60</v>
      </c>
      <c r="H303" s="549">
        <v>43</v>
      </c>
      <c r="I303" s="549">
        <v>9</v>
      </c>
      <c r="J303" s="549">
        <v>1</v>
      </c>
      <c r="K303" s="557">
        <v>0</v>
      </c>
      <c r="L303" s="549">
        <v>18</v>
      </c>
    </row>
    <row r="304" spans="1:12" s="543" customFormat="1" ht="9" customHeight="1" x14ac:dyDescent="0.25">
      <c r="A304" s="546" t="s">
        <v>434</v>
      </c>
      <c r="B304" s="547">
        <f t="shared" si="15"/>
        <v>12</v>
      </c>
      <c r="C304" s="547">
        <v>1</v>
      </c>
      <c r="D304" s="547">
        <v>0</v>
      </c>
      <c r="E304" s="547">
        <v>3</v>
      </c>
      <c r="F304" s="547">
        <v>1</v>
      </c>
      <c r="G304" s="547">
        <v>1</v>
      </c>
      <c r="H304" s="547">
        <v>3</v>
      </c>
      <c r="I304" s="547">
        <v>0</v>
      </c>
      <c r="J304" s="547">
        <v>0</v>
      </c>
      <c r="K304" s="556">
        <v>0</v>
      </c>
      <c r="L304" s="547">
        <v>3</v>
      </c>
    </row>
    <row r="305" spans="1:12" s="543" customFormat="1" ht="9" customHeight="1" x14ac:dyDescent="0.25">
      <c r="A305" s="546"/>
      <c r="B305" s="547"/>
      <c r="C305" s="547"/>
      <c r="D305" s="547"/>
      <c r="E305" s="547"/>
      <c r="F305" s="547"/>
      <c r="G305" s="547"/>
      <c r="H305" s="547"/>
      <c r="I305" s="547"/>
      <c r="J305" s="547"/>
      <c r="K305" s="556"/>
      <c r="L305" s="547"/>
    </row>
    <row r="306" spans="1:12" s="543" customFormat="1" ht="9" customHeight="1" x14ac:dyDescent="0.25">
      <c r="A306" s="541">
        <v>2003</v>
      </c>
      <c r="B306" s="552"/>
      <c r="C306" s="542"/>
      <c r="D306" s="542"/>
      <c r="E306" s="553"/>
      <c r="F306" s="553"/>
      <c r="G306" s="542"/>
      <c r="H306" s="542"/>
      <c r="I306" s="542"/>
      <c r="J306" s="542"/>
      <c r="K306" s="542"/>
      <c r="L306" s="542"/>
    </row>
    <row r="307" spans="1:12" s="543" customFormat="1" ht="9" customHeight="1" x14ac:dyDescent="0.25">
      <c r="A307" s="541" t="s">
        <v>13</v>
      </c>
      <c r="B307" s="544">
        <f t="shared" ref="B307:L307" si="16">SUM(B309:B341)</f>
        <v>25011</v>
      </c>
      <c r="C307" s="544">
        <f t="shared" si="16"/>
        <v>137</v>
      </c>
      <c r="D307" s="544">
        <f t="shared" si="16"/>
        <v>3609</v>
      </c>
      <c r="E307" s="544">
        <f t="shared" si="16"/>
        <v>6392</v>
      </c>
      <c r="F307" s="544">
        <f t="shared" si="16"/>
        <v>5638</v>
      </c>
      <c r="G307" s="544">
        <f t="shared" si="16"/>
        <v>4315</v>
      </c>
      <c r="H307" s="544">
        <f t="shared" si="16"/>
        <v>2774</v>
      </c>
      <c r="I307" s="544">
        <f t="shared" si="16"/>
        <v>875</v>
      </c>
      <c r="J307" s="544">
        <f t="shared" si="16"/>
        <v>59</v>
      </c>
      <c r="K307" s="544">
        <f t="shared" si="16"/>
        <v>3</v>
      </c>
      <c r="L307" s="544">
        <f t="shared" si="16"/>
        <v>1209</v>
      </c>
    </row>
    <row r="308" spans="1:12" s="543" customFormat="1" ht="3.95" customHeight="1" x14ac:dyDescent="0.25">
      <c r="A308" s="541"/>
      <c r="B308" s="544"/>
      <c r="C308" s="544"/>
      <c r="D308" s="544"/>
      <c r="E308" s="544"/>
      <c r="F308" s="544"/>
      <c r="G308" s="544"/>
      <c r="H308" s="544"/>
      <c r="I308" s="544"/>
      <c r="J308" s="544"/>
      <c r="K308" s="544"/>
      <c r="L308" s="544"/>
    </row>
    <row r="309" spans="1:12" s="543" customFormat="1" ht="9" customHeight="1" x14ac:dyDescent="0.25">
      <c r="A309" s="546" t="s">
        <v>23</v>
      </c>
      <c r="B309" s="547">
        <f t="shared" ref="B309:B341" si="17">SUM(C309:L309)</f>
        <v>233</v>
      </c>
      <c r="C309" s="547">
        <v>0</v>
      </c>
      <c r="D309" s="547">
        <v>33</v>
      </c>
      <c r="E309" s="547">
        <v>52</v>
      </c>
      <c r="F309" s="547">
        <v>59</v>
      </c>
      <c r="G309" s="547">
        <v>37</v>
      </c>
      <c r="H309" s="547">
        <v>25</v>
      </c>
      <c r="I309" s="547">
        <v>12</v>
      </c>
      <c r="J309" s="547">
        <v>2</v>
      </c>
      <c r="K309" s="556">
        <v>0</v>
      </c>
      <c r="L309" s="547">
        <v>13</v>
      </c>
    </row>
    <row r="310" spans="1:12" s="543" customFormat="1" ht="9" customHeight="1" x14ac:dyDescent="0.25">
      <c r="A310" s="546" t="s">
        <v>24</v>
      </c>
      <c r="B310" s="547">
        <f t="shared" si="17"/>
        <v>768</v>
      </c>
      <c r="C310" s="547">
        <v>3</v>
      </c>
      <c r="D310" s="547">
        <v>124</v>
      </c>
      <c r="E310" s="547">
        <v>197</v>
      </c>
      <c r="F310" s="547">
        <v>149</v>
      </c>
      <c r="G310" s="547">
        <v>106</v>
      </c>
      <c r="H310" s="547">
        <v>56</v>
      </c>
      <c r="I310" s="547">
        <v>19</v>
      </c>
      <c r="J310" s="547">
        <v>0</v>
      </c>
      <c r="K310" s="556">
        <v>0</v>
      </c>
      <c r="L310" s="547">
        <v>114</v>
      </c>
    </row>
    <row r="311" spans="1:12" s="543" customFormat="1" ht="9" customHeight="1" x14ac:dyDescent="0.25">
      <c r="A311" s="546" t="s">
        <v>25</v>
      </c>
      <c r="B311" s="547">
        <f t="shared" si="17"/>
        <v>99</v>
      </c>
      <c r="C311" s="547">
        <v>1</v>
      </c>
      <c r="D311" s="547">
        <v>13</v>
      </c>
      <c r="E311" s="547">
        <v>29</v>
      </c>
      <c r="F311" s="547">
        <v>29</v>
      </c>
      <c r="G311" s="547">
        <v>15</v>
      </c>
      <c r="H311" s="547">
        <v>6</v>
      </c>
      <c r="I311" s="547">
        <v>3</v>
      </c>
      <c r="J311" s="547">
        <v>0</v>
      </c>
      <c r="K311" s="556">
        <v>0</v>
      </c>
      <c r="L311" s="547">
        <v>3</v>
      </c>
    </row>
    <row r="312" spans="1:12" s="543" customFormat="1" ht="9" customHeight="1" x14ac:dyDescent="0.25">
      <c r="A312" s="548" t="s">
        <v>26</v>
      </c>
      <c r="B312" s="549">
        <f t="shared" si="17"/>
        <v>97</v>
      </c>
      <c r="C312" s="549">
        <v>2</v>
      </c>
      <c r="D312" s="549">
        <v>19</v>
      </c>
      <c r="E312" s="549">
        <v>20</v>
      </c>
      <c r="F312" s="549">
        <v>22</v>
      </c>
      <c r="G312" s="549">
        <v>13</v>
      </c>
      <c r="H312" s="549">
        <v>12</v>
      </c>
      <c r="I312" s="549">
        <v>2</v>
      </c>
      <c r="J312" s="549">
        <v>0</v>
      </c>
      <c r="K312" s="557">
        <v>0</v>
      </c>
      <c r="L312" s="549">
        <v>7</v>
      </c>
    </row>
    <row r="313" spans="1:12" s="543" customFormat="1" ht="9" customHeight="1" x14ac:dyDescent="0.25">
      <c r="A313" s="546" t="s">
        <v>27</v>
      </c>
      <c r="B313" s="547">
        <f t="shared" si="17"/>
        <v>315</v>
      </c>
      <c r="C313" s="547">
        <v>0</v>
      </c>
      <c r="D313" s="547">
        <v>41</v>
      </c>
      <c r="E313" s="551">
        <v>97</v>
      </c>
      <c r="F313" s="547">
        <v>62</v>
      </c>
      <c r="G313" s="547">
        <v>58</v>
      </c>
      <c r="H313" s="547">
        <v>29</v>
      </c>
      <c r="I313" s="547">
        <v>7</v>
      </c>
      <c r="J313" s="547">
        <v>0</v>
      </c>
      <c r="K313" s="556">
        <v>0</v>
      </c>
      <c r="L313" s="547">
        <v>21</v>
      </c>
    </row>
    <row r="314" spans="1:12" s="543" customFormat="1" ht="9" customHeight="1" x14ac:dyDescent="0.25">
      <c r="A314" s="546" t="s">
        <v>28</v>
      </c>
      <c r="B314" s="547">
        <f t="shared" si="17"/>
        <v>91</v>
      </c>
      <c r="C314" s="547">
        <v>0</v>
      </c>
      <c r="D314" s="547">
        <v>21</v>
      </c>
      <c r="E314" s="547">
        <v>21</v>
      </c>
      <c r="F314" s="547">
        <v>21</v>
      </c>
      <c r="G314" s="547">
        <v>12</v>
      </c>
      <c r="H314" s="547">
        <v>11</v>
      </c>
      <c r="I314" s="547">
        <v>5</v>
      </c>
      <c r="J314" s="547">
        <v>0</v>
      </c>
      <c r="K314" s="556">
        <v>0</v>
      </c>
      <c r="L314" s="547">
        <v>0</v>
      </c>
    </row>
    <row r="315" spans="1:12" s="543" customFormat="1" ht="9" customHeight="1" x14ac:dyDescent="0.25">
      <c r="A315" s="546" t="s">
        <v>29</v>
      </c>
      <c r="B315" s="547">
        <f t="shared" si="17"/>
        <v>1018</v>
      </c>
      <c r="C315" s="547">
        <v>12</v>
      </c>
      <c r="D315" s="547">
        <v>183</v>
      </c>
      <c r="E315" s="547">
        <v>265</v>
      </c>
      <c r="F315" s="547">
        <v>212</v>
      </c>
      <c r="G315" s="547">
        <v>164</v>
      </c>
      <c r="H315" s="547">
        <v>100</v>
      </c>
      <c r="I315" s="547">
        <v>32</v>
      </c>
      <c r="J315" s="547">
        <v>6</v>
      </c>
      <c r="K315" s="556">
        <v>0</v>
      </c>
      <c r="L315" s="547">
        <v>44</v>
      </c>
    </row>
    <row r="316" spans="1:12" s="543" customFormat="1" ht="9" customHeight="1" x14ac:dyDescent="0.25">
      <c r="A316" s="548" t="s">
        <v>30</v>
      </c>
      <c r="B316" s="549">
        <f t="shared" si="17"/>
        <v>680</v>
      </c>
      <c r="C316" s="549">
        <v>2</v>
      </c>
      <c r="D316" s="549">
        <v>116</v>
      </c>
      <c r="E316" s="549">
        <v>170</v>
      </c>
      <c r="F316" s="549">
        <v>130</v>
      </c>
      <c r="G316" s="549">
        <v>110</v>
      </c>
      <c r="H316" s="549">
        <v>71</v>
      </c>
      <c r="I316" s="549">
        <v>20</v>
      </c>
      <c r="J316" s="549">
        <v>2</v>
      </c>
      <c r="K316" s="557">
        <v>1</v>
      </c>
      <c r="L316" s="549">
        <v>58</v>
      </c>
    </row>
    <row r="317" spans="1:12" s="543" customFormat="1" ht="9" customHeight="1" x14ac:dyDescent="0.25">
      <c r="A317" s="550" t="s">
        <v>63</v>
      </c>
      <c r="B317" s="547">
        <f t="shared" si="17"/>
        <v>2753</v>
      </c>
      <c r="C317" s="547">
        <v>14</v>
      </c>
      <c r="D317" s="547">
        <v>359</v>
      </c>
      <c r="E317" s="547">
        <v>708</v>
      </c>
      <c r="F317" s="547">
        <v>687</v>
      </c>
      <c r="G317" s="547">
        <v>527</v>
      </c>
      <c r="H317" s="547">
        <v>310</v>
      </c>
      <c r="I317" s="547">
        <v>85</v>
      </c>
      <c r="J317" s="547">
        <v>3</v>
      </c>
      <c r="K317" s="556">
        <v>1</v>
      </c>
      <c r="L317" s="547">
        <v>59</v>
      </c>
    </row>
    <row r="318" spans="1:12" s="543" customFormat="1" ht="9" customHeight="1" x14ac:dyDescent="0.25">
      <c r="A318" s="546" t="s">
        <v>31</v>
      </c>
      <c r="B318" s="547">
        <f t="shared" si="17"/>
        <v>177</v>
      </c>
      <c r="C318" s="547">
        <v>0</v>
      </c>
      <c r="D318" s="547">
        <v>19</v>
      </c>
      <c r="E318" s="547">
        <v>48</v>
      </c>
      <c r="F318" s="547">
        <v>42</v>
      </c>
      <c r="G318" s="547">
        <v>20</v>
      </c>
      <c r="H318" s="547">
        <v>15</v>
      </c>
      <c r="I318" s="547">
        <v>10</v>
      </c>
      <c r="J318" s="547">
        <v>0</v>
      </c>
      <c r="K318" s="556">
        <v>0</v>
      </c>
      <c r="L318" s="547">
        <v>23</v>
      </c>
    </row>
    <row r="319" spans="1:12" s="543" customFormat="1" ht="9" customHeight="1" x14ac:dyDescent="0.25">
      <c r="A319" s="546" t="s">
        <v>32</v>
      </c>
      <c r="B319" s="547">
        <f t="shared" si="17"/>
        <v>1674</v>
      </c>
      <c r="C319" s="547">
        <v>4</v>
      </c>
      <c r="D319" s="547">
        <v>213</v>
      </c>
      <c r="E319" s="547">
        <v>374</v>
      </c>
      <c r="F319" s="547">
        <v>398</v>
      </c>
      <c r="G319" s="547">
        <v>296</v>
      </c>
      <c r="H319" s="547">
        <v>238</v>
      </c>
      <c r="I319" s="547">
        <v>92</v>
      </c>
      <c r="J319" s="547">
        <v>5</v>
      </c>
      <c r="K319" s="556">
        <v>0</v>
      </c>
      <c r="L319" s="547">
        <v>54</v>
      </c>
    </row>
    <row r="320" spans="1:12" s="543" customFormat="1" ht="9" customHeight="1" x14ac:dyDescent="0.25">
      <c r="A320" s="548" t="s">
        <v>33</v>
      </c>
      <c r="B320" s="549">
        <f t="shared" si="17"/>
        <v>275</v>
      </c>
      <c r="C320" s="549">
        <v>1</v>
      </c>
      <c r="D320" s="549">
        <v>37</v>
      </c>
      <c r="E320" s="554">
        <v>65</v>
      </c>
      <c r="F320" s="549">
        <v>61</v>
      </c>
      <c r="G320" s="549">
        <v>43</v>
      </c>
      <c r="H320" s="549">
        <v>45</v>
      </c>
      <c r="I320" s="549">
        <v>11</v>
      </c>
      <c r="J320" s="549">
        <v>0</v>
      </c>
      <c r="K320" s="557">
        <v>0</v>
      </c>
      <c r="L320" s="549">
        <v>12</v>
      </c>
    </row>
    <row r="321" spans="1:12" s="543" customFormat="1" ht="9" customHeight="1" x14ac:dyDescent="0.25">
      <c r="A321" s="546" t="s">
        <v>34</v>
      </c>
      <c r="B321" s="547">
        <f t="shared" si="17"/>
        <v>484</v>
      </c>
      <c r="C321" s="547">
        <v>2</v>
      </c>
      <c r="D321" s="547">
        <v>81</v>
      </c>
      <c r="E321" s="547">
        <v>128</v>
      </c>
      <c r="F321" s="547">
        <v>110</v>
      </c>
      <c r="G321" s="547">
        <v>83</v>
      </c>
      <c r="H321" s="547">
        <v>47</v>
      </c>
      <c r="I321" s="547">
        <v>10</v>
      </c>
      <c r="J321" s="547">
        <v>0</v>
      </c>
      <c r="K321" s="556">
        <v>0</v>
      </c>
      <c r="L321" s="547">
        <v>23</v>
      </c>
    </row>
    <row r="322" spans="1:12" s="543" customFormat="1" ht="9" customHeight="1" x14ac:dyDescent="0.25">
      <c r="A322" s="546" t="s">
        <v>35</v>
      </c>
      <c r="B322" s="547">
        <f t="shared" si="17"/>
        <v>1855</v>
      </c>
      <c r="C322" s="547">
        <v>12</v>
      </c>
      <c r="D322" s="547">
        <v>226</v>
      </c>
      <c r="E322" s="547">
        <v>459</v>
      </c>
      <c r="F322" s="547">
        <v>412</v>
      </c>
      <c r="G322" s="547">
        <v>323</v>
      </c>
      <c r="H322" s="547">
        <v>222</v>
      </c>
      <c r="I322" s="547">
        <v>70</v>
      </c>
      <c r="J322" s="547">
        <v>5</v>
      </c>
      <c r="K322" s="556">
        <v>0</v>
      </c>
      <c r="L322" s="547">
        <v>126</v>
      </c>
    </row>
    <row r="323" spans="1:12" s="543" customFormat="1" ht="9" customHeight="1" x14ac:dyDescent="0.25">
      <c r="A323" s="546" t="s">
        <v>36</v>
      </c>
      <c r="B323" s="547">
        <f t="shared" si="17"/>
        <v>5352</v>
      </c>
      <c r="C323" s="547">
        <v>23</v>
      </c>
      <c r="D323" s="547">
        <v>802</v>
      </c>
      <c r="E323" s="547">
        <v>1503</v>
      </c>
      <c r="F323" s="547">
        <v>1252</v>
      </c>
      <c r="G323" s="547">
        <v>901</v>
      </c>
      <c r="H323" s="547">
        <v>536</v>
      </c>
      <c r="I323" s="547">
        <v>177</v>
      </c>
      <c r="J323" s="547">
        <v>10</v>
      </c>
      <c r="K323" s="556">
        <v>0</v>
      </c>
      <c r="L323" s="547">
        <v>148</v>
      </c>
    </row>
    <row r="324" spans="1:12" s="543" customFormat="1" ht="9" customHeight="1" x14ac:dyDescent="0.25">
      <c r="A324" s="548" t="s">
        <v>37</v>
      </c>
      <c r="B324" s="549">
        <f t="shared" si="17"/>
        <v>766</v>
      </c>
      <c r="C324" s="549">
        <v>2</v>
      </c>
      <c r="D324" s="549">
        <v>103</v>
      </c>
      <c r="E324" s="549">
        <v>204</v>
      </c>
      <c r="F324" s="549">
        <v>149</v>
      </c>
      <c r="G324" s="549">
        <v>132</v>
      </c>
      <c r="H324" s="549">
        <v>103</v>
      </c>
      <c r="I324" s="549">
        <v>33</v>
      </c>
      <c r="J324" s="549">
        <v>5</v>
      </c>
      <c r="K324" s="557">
        <v>0</v>
      </c>
      <c r="L324" s="549">
        <v>35</v>
      </c>
    </row>
    <row r="325" spans="1:12" s="543" customFormat="1" ht="9" customHeight="1" x14ac:dyDescent="0.25">
      <c r="A325" s="546" t="s">
        <v>38</v>
      </c>
      <c r="B325" s="547">
        <f t="shared" si="17"/>
        <v>342</v>
      </c>
      <c r="C325" s="547">
        <v>0</v>
      </c>
      <c r="D325" s="551">
        <v>43</v>
      </c>
      <c r="E325" s="547">
        <v>78</v>
      </c>
      <c r="F325" s="547">
        <v>85</v>
      </c>
      <c r="G325" s="547">
        <v>64</v>
      </c>
      <c r="H325" s="547">
        <v>41</v>
      </c>
      <c r="I325" s="547">
        <v>12</v>
      </c>
      <c r="J325" s="547">
        <v>0</v>
      </c>
      <c r="K325" s="556">
        <v>0</v>
      </c>
      <c r="L325" s="547">
        <v>19</v>
      </c>
    </row>
    <row r="326" spans="1:12" s="543" customFormat="1" ht="9" customHeight="1" x14ac:dyDescent="0.25">
      <c r="A326" s="546" t="s">
        <v>39</v>
      </c>
      <c r="B326" s="547">
        <f t="shared" si="17"/>
        <v>79</v>
      </c>
      <c r="C326" s="547">
        <v>1</v>
      </c>
      <c r="D326" s="547">
        <v>13</v>
      </c>
      <c r="E326" s="547">
        <v>15</v>
      </c>
      <c r="F326" s="547">
        <v>23</v>
      </c>
      <c r="G326" s="547">
        <v>10</v>
      </c>
      <c r="H326" s="547">
        <v>10</v>
      </c>
      <c r="I326" s="547">
        <v>5</v>
      </c>
      <c r="J326" s="547">
        <v>0</v>
      </c>
      <c r="K326" s="556">
        <v>0</v>
      </c>
      <c r="L326" s="547">
        <v>2</v>
      </c>
    </row>
    <row r="327" spans="1:12" s="543" customFormat="1" ht="9" customHeight="1" x14ac:dyDescent="0.25">
      <c r="A327" s="546" t="s">
        <v>40</v>
      </c>
      <c r="B327" s="547">
        <f t="shared" si="17"/>
        <v>592</v>
      </c>
      <c r="C327" s="547">
        <v>5</v>
      </c>
      <c r="D327" s="547">
        <v>77</v>
      </c>
      <c r="E327" s="547">
        <v>143</v>
      </c>
      <c r="F327" s="547">
        <v>124</v>
      </c>
      <c r="G327" s="547">
        <v>127</v>
      </c>
      <c r="H327" s="547">
        <v>48</v>
      </c>
      <c r="I327" s="547">
        <v>12</v>
      </c>
      <c r="J327" s="547">
        <v>0</v>
      </c>
      <c r="K327" s="556">
        <v>0</v>
      </c>
      <c r="L327" s="547">
        <v>56</v>
      </c>
    </row>
    <row r="328" spans="1:12" s="543" customFormat="1" ht="9" customHeight="1" x14ac:dyDescent="0.25">
      <c r="A328" s="548" t="s">
        <v>41</v>
      </c>
      <c r="B328" s="549">
        <f t="shared" si="17"/>
        <v>733</v>
      </c>
      <c r="C328" s="549">
        <v>4</v>
      </c>
      <c r="D328" s="549">
        <v>119</v>
      </c>
      <c r="E328" s="549">
        <v>198</v>
      </c>
      <c r="F328" s="549">
        <v>146</v>
      </c>
      <c r="G328" s="549">
        <v>110</v>
      </c>
      <c r="H328" s="549">
        <v>88</v>
      </c>
      <c r="I328" s="549">
        <v>37</v>
      </c>
      <c r="J328" s="549">
        <v>2</v>
      </c>
      <c r="K328" s="557">
        <v>0</v>
      </c>
      <c r="L328" s="549">
        <v>29</v>
      </c>
    </row>
    <row r="329" spans="1:12" s="543" customFormat="1" ht="9" customHeight="1" x14ac:dyDescent="0.25">
      <c r="A329" s="546" t="s">
        <v>42</v>
      </c>
      <c r="B329" s="547">
        <f t="shared" si="17"/>
        <v>1793</v>
      </c>
      <c r="C329" s="547">
        <v>8</v>
      </c>
      <c r="D329" s="547">
        <v>273</v>
      </c>
      <c r="E329" s="547">
        <v>414</v>
      </c>
      <c r="F329" s="547">
        <v>392</v>
      </c>
      <c r="G329" s="547">
        <v>294</v>
      </c>
      <c r="H329" s="547">
        <v>216</v>
      </c>
      <c r="I329" s="547">
        <v>49</v>
      </c>
      <c r="J329" s="547">
        <v>10</v>
      </c>
      <c r="K329" s="556">
        <v>0</v>
      </c>
      <c r="L329" s="547">
        <v>137</v>
      </c>
    </row>
    <row r="330" spans="1:12" s="543" customFormat="1" ht="9" customHeight="1" x14ac:dyDescent="0.25">
      <c r="A330" s="546" t="s">
        <v>43</v>
      </c>
      <c r="B330" s="547">
        <f t="shared" si="17"/>
        <v>425</v>
      </c>
      <c r="C330" s="547">
        <v>2</v>
      </c>
      <c r="D330" s="547">
        <v>44</v>
      </c>
      <c r="E330" s="547">
        <v>106</v>
      </c>
      <c r="F330" s="547">
        <v>99</v>
      </c>
      <c r="G330" s="547">
        <v>83</v>
      </c>
      <c r="H330" s="547">
        <v>63</v>
      </c>
      <c r="I330" s="547">
        <v>14</v>
      </c>
      <c r="J330" s="547">
        <v>0</v>
      </c>
      <c r="K330" s="556">
        <v>0</v>
      </c>
      <c r="L330" s="547">
        <v>14</v>
      </c>
    </row>
    <row r="331" spans="1:12" s="543" customFormat="1" ht="9" customHeight="1" x14ac:dyDescent="0.25">
      <c r="A331" s="546" t="s">
        <v>44</v>
      </c>
      <c r="B331" s="547">
        <f t="shared" si="17"/>
        <v>245</v>
      </c>
      <c r="C331" s="547">
        <v>2</v>
      </c>
      <c r="D331" s="547">
        <v>35</v>
      </c>
      <c r="E331" s="547">
        <v>71</v>
      </c>
      <c r="F331" s="547">
        <v>55</v>
      </c>
      <c r="G331" s="547">
        <v>37</v>
      </c>
      <c r="H331" s="547">
        <v>17</v>
      </c>
      <c r="I331" s="547">
        <v>12</v>
      </c>
      <c r="J331" s="547">
        <v>0</v>
      </c>
      <c r="K331" s="556">
        <v>0</v>
      </c>
      <c r="L331" s="547">
        <v>16</v>
      </c>
    </row>
    <row r="332" spans="1:12" s="543" customFormat="1" ht="9" customHeight="1" x14ac:dyDescent="0.25">
      <c r="A332" s="548" t="s">
        <v>45</v>
      </c>
      <c r="B332" s="549">
        <f t="shared" si="17"/>
        <v>521</v>
      </c>
      <c r="C332" s="549">
        <v>1</v>
      </c>
      <c r="D332" s="549">
        <v>71</v>
      </c>
      <c r="E332" s="549">
        <v>122</v>
      </c>
      <c r="F332" s="549">
        <v>103</v>
      </c>
      <c r="G332" s="549">
        <v>91</v>
      </c>
      <c r="H332" s="549">
        <v>70</v>
      </c>
      <c r="I332" s="549">
        <v>24</v>
      </c>
      <c r="J332" s="549">
        <v>2</v>
      </c>
      <c r="K332" s="557">
        <v>1</v>
      </c>
      <c r="L332" s="549">
        <v>36</v>
      </c>
    </row>
    <row r="333" spans="1:12" s="543" customFormat="1" ht="9" customHeight="1" x14ac:dyDescent="0.25">
      <c r="A333" s="546" t="s">
        <v>46</v>
      </c>
      <c r="B333" s="547">
        <f t="shared" si="17"/>
        <v>87</v>
      </c>
      <c r="C333" s="547">
        <v>1</v>
      </c>
      <c r="D333" s="547">
        <v>14</v>
      </c>
      <c r="E333" s="547">
        <v>18</v>
      </c>
      <c r="F333" s="547">
        <v>19</v>
      </c>
      <c r="G333" s="547">
        <v>17</v>
      </c>
      <c r="H333" s="547">
        <v>8</v>
      </c>
      <c r="I333" s="547">
        <v>1</v>
      </c>
      <c r="J333" s="547">
        <v>0</v>
      </c>
      <c r="K333" s="556">
        <v>0</v>
      </c>
      <c r="L333" s="547">
        <v>9</v>
      </c>
    </row>
    <row r="334" spans="1:12" s="543" customFormat="1" ht="9" customHeight="1" x14ac:dyDescent="0.25">
      <c r="A334" s="546" t="s">
        <v>47</v>
      </c>
      <c r="B334" s="547">
        <f t="shared" si="17"/>
        <v>422</v>
      </c>
      <c r="C334" s="547">
        <v>7</v>
      </c>
      <c r="D334" s="547">
        <v>78</v>
      </c>
      <c r="E334" s="547">
        <v>101</v>
      </c>
      <c r="F334" s="547">
        <v>96</v>
      </c>
      <c r="G334" s="547">
        <v>68</v>
      </c>
      <c r="H334" s="547">
        <v>41</v>
      </c>
      <c r="I334" s="547">
        <v>11</v>
      </c>
      <c r="J334" s="547">
        <v>1</v>
      </c>
      <c r="K334" s="556">
        <v>0</v>
      </c>
      <c r="L334" s="547">
        <v>19</v>
      </c>
    </row>
    <row r="335" spans="1:12" s="543" customFormat="1" ht="9" customHeight="1" x14ac:dyDescent="0.25">
      <c r="A335" s="546" t="s">
        <v>48</v>
      </c>
      <c r="B335" s="547">
        <f t="shared" si="17"/>
        <v>390</v>
      </c>
      <c r="C335" s="547">
        <v>4</v>
      </c>
      <c r="D335" s="547">
        <v>58</v>
      </c>
      <c r="E335" s="547">
        <v>109</v>
      </c>
      <c r="F335" s="547">
        <v>85</v>
      </c>
      <c r="G335" s="547">
        <v>66</v>
      </c>
      <c r="H335" s="547">
        <v>44</v>
      </c>
      <c r="I335" s="547">
        <v>11</v>
      </c>
      <c r="J335" s="547">
        <v>1</v>
      </c>
      <c r="K335" s="556">
        <v>0</v>
      </c>
      <c r="L335" s="547">
        <v>12</v>
      </c>
    </row>
    <row r="336" spans="1:12" s="543" customFormat="1" ht="9" customHeight="1" x14ac:dyDescent="0.25">
      <c r="A336" s="548" t="s">
        <v>49</v>
      </c>
      <c r="B336" s="549">
        <f t="shared" si="17"/>
        <v>360</v>
      </c>
      <c r="C336" s="549">
        <v>4</v>
      </c>
      <c r="D336" s="549">
        <v>45</v>
      </c>
      <c r="E336" s="549">
        <v>84</v>
      </c>
      <c r="F336" s="549">
        <v>103</v>
      </c>
      <c r="G336" s="549">
        <v>66</v>
      </c>
      <c r="H336" s="549">
        <v>31</v>
      </c>
      <c r="I336" s="549">
        <v>11</v>
      </c>
      <c r="J336" s="549">
        <v>1</v>
      </c>
      <c r="K336" s="557">
        <v>0</v>
      </c>
      <c r="L336" s="549">
        <v>15</v>
      </c>
    </row>
    <row r="337" spans="1:12" s="543" customFormat="1" ht="9" customHeight="1" x14ac:dyDescent="0.25">
      <c r="A337" s="546" t="s">
        <v>50</v>
      </c>
      <c r="B337" s="547">
        <f t="shared" si="17"/>
        <v>331</v>
      </c>
      <c r="C337" s="547">
        <v>0</v>
      </c>
      <c r="D337" s="547">
        <v>53</v>
      </c>
      <c r="E337" s="547">
        <v>106</v>
      </c>
      <c r="F337" s="547">
        <v>73</v>
      </c>
      <c r="G337" s="547">
        <v>49</v>
      </c>
      <c r="H337" s="547">
        <v>32</v>
      </c>
      <c r="I337" s="547">
        <v>8</v>
      </c>
      <c r="J337" s="547">
        <v>1</v>
      </c>
      <c r="K337" s="556">
        <v>0</v>
      </c>
      <c r="L337" s="547">
        <v>9</v>
      </c>
    </row>
    <row r="338" spans="1:12" s="543" customFormat="1" ht="9" customHeight="1" x14ac:dyDescent="0.25">
      <c r="A338" s="546" t="s">
        <v>51</v>
      </c>
      <c r="B338" s="547">
        <f t="shared" si="17"/>
        <v>1397</v>
      </c>
      <c r="C338" s="547">
        <v>19</v>
      </c>
      <c r="D338" s="547">
        <v>206</v>
      </c>
      <c r="E338" s="547">
        <v>330</v>
      </c>
      <c r="F338" s="547">
        <v>307</v>
      </c>
      <c r="G338" s="547">
        <v>260</v>
      </c>
      <c r="H338" s="547">
        <v>155</v>
      </c>
      <c r="I338" s="547">
        <v>50</v>
      </c>
      <c r="J338" s="547">
        <v>2</v>
      </c>
      <c r="K338" s="556">
        <v>0</v>
      </c>
      <c r="L338" s="547">
        <v>68</v>
      </c>
    </row>
    <row r="339" spans="1:12" s="543" customFormat="1" ht="9" customHeight="1" x14ac:dyDescent="0.25">
      <c r="A339" s="546" t="s">
        <v>52</v>
      </c>
      <c r="B339" s="547">
        <f t="shared" si="17"/>
        <v>350</v>
      </c>
      <c r="C339" s="547">
        <v>1</v>
      </c>
      <c r="D339" s="547">
        <v>56</v>
      </c>
      <c r="E339" s="547">
        <v>88</v>
      </c>
      <c r="F339" s="547">
        <v>71</v>
      </c>
      <c r="G339" s="547">
        <v>66</v>
      </c>
      <c r="H339" s="547">
        <v>42</v>
      </c>
      <c r="I339" s="547">
        <v>11</v>
      </c>
      <c r="J339" s="547">
        <v>1</v>
      </c>
      <c r="K339" s="556">
        <v>0</v>
      </c>
      <c r="L339" s="547">
        <v>14</v>
      </c>
    </row>
    <row r="340" spans="1:12" s="543" customFormat="1" ht="9" customHeight="1" x14ac:dyDescent="0.25">
      <c r="A340" s="548" t="s">
        <v>53</v>
      </c>
      <c r="B340" s="549">
        <f t="shared" si="17"/>
        <v>299</v>
      </c>
      <c r="C340" s="549">
        <v>0</v>
      </c>
      <c r="D340" s="549">
        <v>33</v>
      </c>
      <c r="E340" s="549">
        <v>68</v>
      </c>
      <c r="F340" s="549">
        <v>61</v>
      </c>
      <c r="G340" s="549">
        <v>65</v>
      </c>
      <c r="H340" s="549">
        <v>40</v>
      </c>
      <c r="I340" s="549">
        <v>18</v>
      </c>
      <c r="J340" s="549">
        <v>0</v>
      </c>
      <c r="K340" s="557">
        <v>0</v>
      </c>
      <c r="L340" s="549">
        <v>14</v>
      </c>
    </row>
    <row r="341" spans="1:12" s="543" customFormat="1" ht="9" customHeight="1" x14ac:dyDescent="0.25">
      <c r="A341" s="546" t="s">
        <v>434</v>
      </c>
      <c r="B341" s="547">
        <f t="shared" si="17"/>
        <v>8</v>
      </c>
      <c r="C341" s="547">
        <v>0</v>
      </c>
      <c r="D341" s="547">
        <v>1</v>
      </c>
      <c r="E341" s="547">
        <v>1</v>
      </c>
      <c r="F341" s="547">
        <v>1</v>
      </c>
      <c r="G341" s="547">
        <v>2</v>
      </c>
      <c r="H341" s="547">
        <v>2</v>
      </c>
      <c r="I341" s="547">
        <v>1</v>
      </c>
      <c r="J341" s="547">
        <v>0</v>
      </c>
      <c r="K341" s="556">
        <v>0</v>
      </c>
      <c r="L341" s="547">
        <v>0</v>
      </c>
    </row>
    <row r="342" spans="1:12" s="543" customFormat="1" ht="9" customHeight="1" x14ac:dyDescent="0.25">
      <c r="A342" s="546"/>
      <c r="B342" s="547"/>
      <c r="C342" s="547"/>
      <c r="D342" s="547"/>
      <c r="E342" s="547"/>
      <c r="F342" s="547"/>
      <c r="G342" s="547"/>
      <c r="H342" s="547"/>
      <c r="I342" s="547"/>
      <c r="J342" s="547"/>
      <c r="K342" s="556"/>
      <c r="L342" s="547"/>
    </row>
    <row r="343" spans="1:12" s="543" customFormat="1" ht="9" customHeight="1" x14ac:dyDescent="0.25">
      <c r="A343" s="541">
        <v>2004</v>
      </c>
      <c r="B343" s="552"/>
      <c r="C343" s="542"/>
      <c r="D343" s="542"/>
      <c r="E343" s="553"/>
      <c r="F343" s="553"/>
      <c r="G343" s="542"/>
      <c r="H343" s="542"/>
      <c r="I343" s="542"/>
      <c r="J343" s="542"/>
      <c r="K343" s="542"/>
      <c r="L343" s="542"/>
    </row>
    <row r="344" spans="1:12" s="543" customFormat="1" ht="9" customHeight="1" x14ac:dyDescent="0.25">
      <c r="A344" s="541" t="s">
        <v>13</v>
      </c>
      <c r="B344" s="544">
        <f t="shared" ref="B344:L344" si="18">SUM(B346:B378)</f>
        <v>24836</v>
      </c>
      <c r="C344" s="544">
        <f t="shared" si="18"/>
        <v>134</v>
      </c>
      <c r="D344" s="544">
        <f t="shared" si="18"/>
        <v>3668</v>
      </c>
      <c r="E344" s="544">
        <f t="shared" si="18"/>
        <v>5976</v>
      </c>
      <c r="F344" s="544">
        <f t="shared" si="18"/>
        <v>5284</v>
      </c>
      <c r="G344" s="544">
        <f t="shared" si="18"/>
        <v>4550</v>
      </c>
      <c r="H344" s="544">
        <f t="shared" si="18"/>
        <v>2532</v>
      </c>
      <c r="I344" s="544">
        <f t="shared" si="18"/>
        <v>812</v>
      </c>
      <c r="J344" s="544">
        <f t="shared" si="18"/>
        <v>65</v>
      </c>
      <c r="K344" s="544">
        <f t="shared" si="18"/>
        <v>2</v>
      </c>
      <c r="L344" s="544">
        <f t="shared" si="18"/>
        <v>1813</v>
      </c>
    </row>
    <row r="345" spans="1:12" s="543" customFormat="1" ht="3.95" customHeight="1" x14ac:dyDescent="0.25">
      <c r="A345" s="541"/>
      <c r="B345" s="544"/>
      <c r="C345" s="544"/>
      <c r="D345" s="544"/>
      <c r="E345" s="544"/>
      <c r="F345" s="544"/>
      <c r="G345" s="544"/>
      <c r="H345" s="544"/>
      <c r="I345" s="544"/>
      <c r="J345" s="544"/>
      <c r="K345" s="544"/>
      <c r="L345" s="544"/>
    </row>
    <row r="346" spans="1:12" s="543" customFormat="1" ht="9" customHeight="1" x14ac:dyDescent="0.25">
      <c r="A346" s="546" t="s">
        <v>23</v>
      </c>
      <c r="B346" s="547">
        <f t="shared" ref="B346:B378" si="19">SUM(C346:L346)</f>
        <v>258</v>
      </c>
      <c r="C346" s="547">
        <v>0</v>
      </c>
      <c r="D346" s="547">
        <v>35</v>
      </c>
      <c r="E346" s="547">
        <v>46</v>
      </c>
      <c r="F346" s="547">
        <v>51</v>
      </c>
      <c r="G346" s="547">
        <v>57</v>
      </c>
      <c r="H346" s="547">
        <v>31</v>
      </c>
      <c r="I346" s="547">
        <v>16</v>
      </c>
      <c r="J346" s="547">
        <v>2</v>
      </c>
      <c r="K346" s="556">
        <v>0</v>
      </c>
      <c r="L346" s="547">
        <v>20</v>
      </c>
    </row>
    <row r="347" spans="1:12" s="543" customFormat="1" ht="9" customHeight="1" x14ac:dyDescent="0.25">
      <c r="A347" s="546" t="s">
        <v>24</v>
      </c>
      <c r="B347" s="547">
        <f t="shared" si="19"/>
        <v>834</v>
      </c>
      <c r="C347" s="547">
        <v>7</v>
      </c>
      <c r="D347" s="547">
        <v>129</v>
      </c>
      <c r="E347" s="547">
        <v>198</v>
      </c>
      <c r="F347" s="547">
        <v>133</v>
      </c>
      <c r="G347" s="547">
        <v>124</v>
      </c>
      <c r="H347" s="547">
        <v>50</v>
      </c>
      <c r="I347" s="547">
        <v>16</v>
      </c>
      <c r="J347" s="547">
        <v>0</v>
      </c>
      <c r="K347" s="556">
        <v>0</v>
      </c>
      <c r="L347" s="547">
        <v>177</v>
      </c>
    </row>
    <row r="348" spans="1:12" s="543" customFormat="1" ht="9" customHeight="1" x14ac:dyDescent="0.25">
      <c r="A348" s="546" t="s">
        <v>25</v>
      </c>
      <c r="B348" s="547">
        <f t="shared" si="19"/>
        <v>86</v>
      </c>
      <c r="C348" s="547">
        <v>0</v>
      </c>
      <c r="D348" s="547">
        <v>23</v>
      </c>
      <c r="E348" s="547">
        <v>23</v>
      </c>
      <c r="F348" s="547">
        <v>17</v>
      </c>
      <c r="G348" s="547">
        <v>16</v>
      </c>
      <c r="H348" s="547">
        <v>5</v>
      </c>
      <c r="I348" s="547">
        <v>0</v>
      </c>
      <c r="J348" s="547">
        <v>0</v>
      </c>
      <c r="K348" s="556">
        <v>0</v>
      </c>
      <c r="L348" s="547">
        <v>2</v>
      </c>
    </row>
    <row r="349" spans="1:12" s="543" customFormat="1" ht="9" customHeight="1" x14ac:dyDescent="0.25">
      <c r="A349" s="548" t="s">
        <v>26</v>
      </c>
      <c r="B349" s="549">
        <f t="shared" si="19"/>
        <v>111</v>
      </c>
      <c r="C349" s="549">
        <v>0</v>
      </c>
      <c r="D349" s="549">
        <v>22</v>
      </c>
      <c r="E349" s="549">
        <v>31</v>
      </c>
      <c r="F349" s="549">
        <v>21</v>
      </c>
      <c r="G349" s="549">
        <v>23</v>
      </c>
      <c r="H349" s="549">
        <v>8</v>
      </c>
      <c r="I349" s="549">
        <v>1</v>
      </c>
      <c r="J349" s="549">
        <v>1</v>
      </c>
      <c r="K349" s="557">
        <v>0</v>
      </c>
      <c r="L349" s="549">
        <v>4</v>
      </c>
    </row>
    <row r="350" spans="1:12" s="543" customFormat="1" ht="9" customHeight="1" x14ac:dyDescent="0.25">
      <c r="A350" s="546" t="s">
        <v>27</v>
      </c>
      <c r="B350" s="547">
        <f t="shared" si="19"/>
        <v>262</v>
      </c>
      <c r="C350" s="547">
        <v>1</v>
      </c>
      <c r="D350" s="547">
        <v>37</v>
      </c>
      <c r="E350" s="551">
        <v>54</v>
      </c>
      <c r="F350" s="547">
        <v>48</v>
      </c>
      <c r="G350" s="547">
        <v>63</v>
      </c>
      <c r="H350" s="547">
        <v>24</v>
      </c>
      <c r="I350" s="547">
        <v>4</v>
      </c>
      <c r="J350" s="547">
        <v>0</v>
      </c>
      <c r="K350" s="556">
        <v>0</v>
      </c>
      <c r="L350" s="547">
        <v>31</v>
      </c>
    </row>
    <row r="351" spans="1:12" s="543" customFormat="1" ht="9" customHeight="1" x14ac:dyDescent="0.25">
      <c r="A351" s="546" t="s">
        <v>28</v>
      </c>
      <c r="B351" s="547">
        <f t="shared" si="19"/>
        <v>102</v>
      </c>
      <c r="C351" s="547">
        <v>0</v>
      </c>
      <c r="D351" s="547">
        <v>24</v>
      </c>
      <c r="E351" s="547">
        <v>16</v>
      </c>
      <c r="F351" s="547">
        <v>26</v>
      </c>
      <c r="G351" s="547">
        <v>15</v>
      </c>
      <c r="H351" s="547">
        <v>9</v>
      </c>
      <c r="I351" s="547">
        <v>6</v>
      </c>
      <c r="J351" s="547">
        <v>0</v>
      </c>
      <c r="K351" s="556">
        <v>0</v>
      </c>
      <c r="L351" s="547">
        <v>6</v>
      </c>
    </row>
    <row r="352" spans="1:12" s="543" customFormat="1" ht="9" customHeight="1" x14ac:dyDescent="0.25">
      <c r="A352" s="546" t="s">
        <v>29</v>
      </c>
      <c r="B352" s="547">
        <f t="shared" si="19"/>
        <v>1018</v>
      </c>
      <c r="C352" s="547">
        <v>7</v>
      </c>
      <c r="D352" s="547">
        <v>195</v>
      </c>
      <c r="E352" s="547">
        <v>265</v>
      </c>
      <c r="F352" s="547">
        <v>190</v>
      </c>
      <c r="G352" s="547">
        <v>162</v>
      </c>
      <c r="H352" s="547">
        <v>105</v>
      </c>
      <c r="I352" s="547">
        <v>36</v>
      </c>
      <c r="J352" s="547">
        <v>2</v>
      </c>
      <c r="K352" s="556">
        <v>0</v>
      </c>
      <c r="L352" s="547">
        <v>56</v>
      </c>
    </row>
    <row r="353" spans="1:12" s="543" customFormat="1" ht="9" customHeight="1" x14ac:dyDescent="0.25">
      <c r="A353" s="548" t="s">
        <v>30</v>
      </c>
      <c r="B353" s="549">
        <f t="shared" si="19"/>
        <v>624</v>
      </c>
      <c r="C353" s="549">
        <v>5</v>
      </c>
      <c r="D353" s="549">
        <v>108</v>
      </c>
      <c r="E353" s="549">
        <v>140</v>
      </c>
      <c r="F353" s="549">
        <v>119</v>
      </c>
      <c r="G353" s="549">
        <v>113</v>
      </c>
      <c r="H353" s="549">
        <v>54</v>
      </c>
      <c r="I353" s="549">
        <v>14</v>
      </c>
      <c r="J353" s="549">
        <v>1</v>
      </c>
      <c r="K353" s="557">
        <v>0</v>
      </c>
      <c r="L353" s="549">
        <v>70</v>
      </c>
    </row>
    <row r="354" spans="1:12" s="543" customFormat="1" ht="9" customHeight="1" x14ac:dyDescent="0.25">
      <c r="A354" s="550" t="s">
        <v>63</v>
      </c>
      <c r="B354" s="547">
        <f t="shared" si="19"/>
        <v>2781</v>
      </c>
      <c r="C354" s="547">
        <v>10</v>
      </c>
      <c r="D354" s="547">
        <v>392</v>
      </c>
      <c r="E354" s="547">
        <v>670</v>
      </c>
      <c r="F354" s="547">
        <v>628</v>
      </c>
      <c r="G354" s="547">
        <v>592</v>
      </c>
      <c r="H354" s="547">
        <v>272</v>
      </c>
      <c r="I354" s="547">
        <v>82</v>
      </c>
      <c r="J354" s="547">
        <v>0</v>
      </c>
      <c r="K354" s="556">
        <v>0</v>
      </c>
      <c r="L354" s="547">
        <v>135</v>
      </c>
    </row>
    <row r="355" spans="1:12" s="543" customFormat="1" ht="9" customHeight="1" x14ac:dyDescent="0.25">
      <c r="A355" s="546" t="s">
        <v>31</v>
      </c>
      <c r="B355" s="547">
        <f t="shared" si="19"/>
        <v>269</v>
      </c>
      <c r="C355" s="547">
        <v>3</v>
      </c>
      <c r="D355" s="547">
        <v>37</v>
      </c>
      <c r="E355" s="547">
        <v>61</v>
      </c>
      <c r="F355" s="547">
        <v>58</v>
      </c>
      <c r="G355" s="547">
        <v>41</v>
      </c>
      <c r="H355" s="547">
        <v>28</v>
      </c>
      <c r="I355" s="547">
        <v>6</v>
      </c>
      <c r="J355" s="547">
        <v>0</v>
      </c>
      <c r="K355" s="556">
        <v>0</v>
      </c>
      <c r="L355" s="547">
        <v>35</v>
      </c>
    </row>
    <row r="356" spans="1:12" s="543" customFormat="1" ht="9" customHeight="1" x14ac:dyDescent="0.25">
      <c r="A356" s="546" t="s">
        <v>32</v>
      </c>
      <c r="B356" s="547">
        <f t="shared" si="19"/>
        <v>1653</v>
      </c>
      <c r="C356" s="547">
        <v>9</v>
      </c>
      <c r="D356" s="547">
        <v>217</v>
      </c>
      <c r="E356" s="547">
        <v>371</v>
      </c>
      <c r="F356" s="547">
        <v>309</v>
      </c>
      <c r="G356" s="547">
        <v>341</v>
      </c>
      <c r="H356" s="547">
        <v>187</v>
      </c>
      <c r="I356" s="547">
        <v>72</v>
      </c>
      <c r="J356" s="547">
        <v>9</v>
      </c>
      <c r="K356" s="556">
        <v>0</v>
      </c>
      <c r="L356" s="547">
        <v>138</v>
      </c>
    </row>
    <row r="357" spans="1:12" s="543" customFormat="1" ht="9" customHeight="1" x14ac:dyDescent="0.25">
      <c r="A357" s="548" t="s">
        <v>33</v>
      </c>
      <c r="B357" s="549">
        <f t="shared" si="19"/>
        <v>268</v>
      </c>
      <c r="C357" s="549">
        <v>3</v>
      </c>
      <c r="D357" s="549">
        <v>42</v>
      </c>
      <c r="E357" s="554">
        <v>60</v>
      </c>
      <c r="F357" s="549">
        <v>60</v>
      </c>
      <c r="G357" s="549">
        <v>40</v>
      </c>
      <c r="H357" s="549">
        <v>36</v>
      </c>
      <c r="I357" s="549">
        <v>8</v>
      </c>
      <c r="J357" s="549">
        <v>3</v>
      </c>
      <c r="K357" s="557">
        <v>0</v>
      </c>
      <c r="L357" s="549">
        <v>16</v>
      </c>
    </row>
    <row r="358" spans="1:12" s="543" customFormat="1" ht="9" customHeight="1" x14ac:dyDescent="0.25">
      <c r="A358" s="546" t="s">
        <v>34</v>
      </c>
      <c r="B358" s="547">
        <f t="shared" si="19"/>
        <v>544</v>
      </c>
      <c r="C358" s="547">
        <v>3</v>
      </c>
      <c r="D358" s="547">
        <v>106</v>
      </c>
      <c r="E358" s="547">
        <v>129</v>
      </c>
      <c r="F358" s="547">
        <v>104</v>
      </c>
      <c r="G358" s="547">
        <v>85</v>
      </c>
      <c r="H358" s="547">
        <v>60</v>
      </c>
      <c r="I358" s="547">
        <v>15</v>
      </c>
      <c r="J358" s="547">
        <v>1</v>
      </c>
      <c r="K358" s="556">
        <v>0</v>
      </c>
      <c r="L358" s="547">
        <v>41</v>
      </c>
    </row>
    <row r="359" spans="1:12" s="543" customFormat="1" ht="9" customHeight="1" x14ac:dyDescent="0.25">
      <c r="A359" s="546" t="s">
        <v>35</v>
      </c>
      <c r="B359" s="547">
        <f t="shared" si="19"/>
        <v>1811</v>
      </c>
      <c r="C359" s="547">
        <v>8</v>
      </c>
      <c r="D359" s="547">
        <v>207</v>
      </c>
      <c r="E359" s="547">
        <v>421</v>
      </c>
      <c r="F359" s="547">
        <v>404</v>
      </c>
      <c r="G359" s="547">
        <v>348</v>
      </c>
      <c r="H359" s="547">
        <v>191</v>
      </c>
      <c r="I359" s="547">
        <v>75</v>
      </c>
      <c r="J359" s="547">
        <v>6</v>
      </c>
      <c r="K359" s="556">
        <v>0</v>
      </c>
      <c r="L359" s="547">
        <v>151</v>
      </c>
    </row>
    <row r="360" spans="1:12" s="543" customFormat="1" ht="9" customHeight="1" x14ac:dyDescent="0.25">
      <c r="A360" s="546" t="s">
        <v>36</v>
      </c>
      <c r="B360" s="547">
        <f t="shared" si="19"/>
        <v>5261</v>
      </c>
      <c r="C360" s="547">
        <v>19</v>
      </c>
      <c r="D360" s="547">
        <v>831</v>
      </c>
      <c r="E360" s="547">
        <v>1375</v>
      </c>
      <c r="F360" s="547">
        <v>1220</v>
      </c>
      <c r="G360" s="547">
        <v>894</v>
      </c>
      <c r="H360" s="547">
        <v>525</v>
      </c>
      <c r="I360" s="547">
        <v>135</v>
      </c>
      <c r="J360" s="547">
        <v>12</v>
      </c>
      <c r="K360" s="556">
        <v>1</v>
      </c>
      <c r="L360" s="547">
        <v>249</v>
      </c>
    </row>
    <row r="361" spans="1:12" s="543" customFormat="1" ht="9" customHeight="1" x14ac:dyDescent="0.25">
      <c r="A361" s="548" t="s">
        <v>37</v>
      </c>
      <c r="B361" s="549">
        <f t="shared" si="19"/>
        <v>642</v>
      </c>
      <c r="C361" s="549">
        <v>4</v>
      </c>
      <c r="D361" s="549">
        <v>76</v>
      </c>
      <c r="E361" s="549">
        <v>144</v>
      </c>
      <c r="F361" s="549">
        <v>138</v>
      </c>
      <c r="G361" s="549">
        <v>134</v>
      </c>
      <c r="H361" s="549">
        <v>72</v>
      </c>
      <c r="I361" s="549">
        <v>40</v>
      </c>
      <c r="J361" s="549">
        <v>0</v>
      </c>
      <c r="K361" s="557">
        <v>0</v>
      </c>
      <c r="L361" s="549">
        <v>34</v>
      </c>
    </row>
    <row r="362" spans="1:12" s="543" customFormat="1" ht="9" customHeight="1" x14ac:dyDescent="0.25">
      <c r="A362" s="546" t="s">
        <v>38</v>
      </c>
      <c r="B362" s="547">
        <f t="shared" si="19"/>
        <v>322</v>
      </c>
      <c r="C362" s="547">
        <v>3</v>
      </c>
      <c r="D362" s="551">
        <v>40</v>
      </c>
      <c r="E362" s="547">
        <v>76</v>
      </c>
      <c r="F362" s="547">
        <v>78</v>
      </c>
      <c r="G362" s="547">
        <v>50</v>
      </c>
      <c r="H362" s="547">
        <v>31</v>
      </c>
      <c r="I362" s="547">
        <v>17</v>
      </c>
      <c r="J362" s="547">
        <v>0</v>
      </c>
      <c r="K362" s="556">
        <v>0</v>
      </c>
      <c r="L362" s="547">
        <v>27</v>
      </c>
    </row>
    <row r="363" spans="1:12" s="543" customFormat="1" ht="9" customHeight="1" x14ac:dyDescent="0.25">
      <c r="A363" s="546" t="s">
        <v>39</v>
      </c>
      <c r="B363" s="547">
        <f t="shared" si="19"/>
        <v>85</v>
      </c>
      <c r="C363" s="547">
        <v>1</v>
      </c>
      <c r="D363" s="547">
        <v>13</v>
      </c>
      <c r="E363" s="547">
        <v>25</v>
      </c>
      <c r="F363" s="547">
        <v>15</v>
      </c>
      <c r="G363" s="547">
        <v>10</v>
      </c>
      <c r="H363" s="547">
        <v>9</v>
      </c>
      <c r="I363" s="547">
        <v>2</v>
      </c>
      <c r="J363" s="547">
        <v>1</v>
      </c>
      <c r="K363" s="556">
        <v>0</v>
      </c>
      <c r="L363" s="547">
        <v>9</v>
      </c>
    </row>
    <row r="364" spans="1:12" s="543" customFormat="1" ht="9" customHeight="1" x14ac:dyDescent="0.25">
      <c r="A364" s="546" t="s">
        <v>40</v>
      </c>
      <c r="B364" s="547">
        <f t="shared" si="19"/>
        <v>611</v>
      </c>
      <c r="C364" s="547">
        <v>7</v>
      </c>
      <c r="D364" s="547">
        <v>83</v>
      </c>
      <c r="E364" s="547">
        <v>152</v>
      </c>
      <c r="F364" s="547">
        <v>129</v>
      </c>
      <c r="G364" s="547">
        <v>109</v>
      </c>
      <c r="H364" s="547">
        <v>58</v>
      </c>
      <c r="I364" s="547">
        <v>15</v>
      </c>
      <c r="J364" s="547">
        <v>2</v>
      </c>
      <c r="K364" s="556">
        <v>0</v>
      </c>
      <c r="L364" s="547">
        <v>56</v>
      </c>
    </row>
    <row r="365" spans="1:12" s="543" customFormat="1" ht="9" customHeight="1" x14ac:dyDescent="0.25">
      <c r="A365" s="548" t="s">
        <v>41</v>
      </c>
      <c r="B365" s="549">
        <f t="shared" si="19"/>
        <v>772</v>
      </c>
      <c r="C365" s="549">
        <v>6</v>
      </c>
      <c r="D365" s="549">
        <v>126</v>
      </c>
      <c r="E365" s="549">
        <v>181</v>
      </c>
      <c r="F365" s="549">
        <v>160</v>
      </c>
      <c r="G365" s="549">
        <v>145</v>
      </c>
      <c r="H365" s="549">
        <v>74</v>
      </c>
      <c r="I365" s="549">
        <v>27</v>
      </c>
      <c r="J365" s="549">
        <v>3</v>
      </c>
      <c r="K365" s="557">
        <v>0</v>
      </c>
      <c r="L365" s="549">
        <v>50</v>
      </c>
    </row>
    <row r="366" spans="1:12" s="543" customFormat="1" ht="9" customHeight="1" x14ac:dyDescent="0.25">
      <c r="A366" s="546" t="s">
        <v>42</v>
      </c>
      <c r="B366" s="547">
        <f t="shared" si="19"/>
        <v>1745</v>
      </c>
      <c r="C366" s="547">
        <v>8</v>
      </c>
      <c r="D366" s="547">
        <v>249</v>
      </c>
      <c r="E366" s="547">
        <v>387</v>
      </c>
      <c r="F366" s="547">
        <v>369</v>
      </c>
      <c r="G366" s="547">
        <v>310</v>
      </c>
      <c r="H366" s="547">
        <v>193</v>
      </c>
      <c r="I366" s="547">
        <v>60</v>
      </c>
      <c r="J366" s="547">
        <v>5</v>
      </c>
      <c r="K366" s="556">
        <v>1</v>
      </c>
      <c r="L366" s="547">
        <v>163</v>
      </c>
    </row>
    <row r="367" spans="1:12" s="543" customFormat="1" ht="9" customHeight="1" x14ac:dyDescent="0.25">
      <c r="A367" s="546" t="s">
        <v>43</v>
      </c>
      <c r="B367" s="547">
        <f t="shared" si="19"/>
        <v>391</v>
      </c>
      <c r="C367" s="547">
        <v>2</v>
      </c>
      <c r="D367" s="547">
        <v>41</v>
      </c>
      <c r="E367" s="547">
        <v>96</v>
      </c>
      <c r="F367" s="547">
        <v>79</v>
      </c>
      <c r="G367" s="547">
        <v>79</v>
      </c>
      <c r="H367" s="547">
        <v>44</v>
      </c>
      <c r="I367" s="547">
        <v>20</v>
      </c>
      <c r="J367" s="547">
        <v>1</v>
      </c>
      <c r="K367" s="556">
        <v>0</v>
      </c>
      <c r="L367" s="547">
        <v>29</v>
      </c>
    </row>
    <row r="368" spans="1:12" s="543" customFormat="1" ht="9" customHeight="1" x14ac:dyDescent="0.25">
      <c r="A368" s="546" t="s">
        <v>44</v>
      </c>
      <c r="B368" s="547">
        <f t="shared" si="19"/>
        <v>246</v>
      </c>
      <c r="C368" s="547">
        <v>1</v>
      </c>
      <c r="D368" s="547">
        <v>41</v>
      </c>
      <c r="E368" s="547">
        <v>60</v>
      </c>
      <c r="F368" s="547">
        <v>59</v>
      </c>
      <c r="G368" s="547">
        <v>39</v>
      </c>
      <c r="H368" s="547">
        <v>11</v>
      </c>
      <c r="I368" s="547">
        <v>8</v>
      </c>
      <c r="J368" s="547">
        <v>0</v>
      </c>
      <c r="K368" s="556">
        <v>0</v>
      </c>
      <c r="L368" s="547">
        <v>27</v>
      </c>
    </row>
    <row r="369" spans="1:12" s="543" customFormat="1" ht="9" customHeight="1" x14ac:dyDescent="0.25">
      <c r="A369" s="548" t="s">
        <v>45</v>
      </c>
      <c r="B369" s="549">
        <f t="shared" si="19"/>
        <v>539</v>
      </c>
      <c r="C369" s="549">
        <v>3</v>
      </c>
      <c r="D369" s="549">
        <v>58</v>
      </c>
      <c r="E369" s="549">
        <v>121</v>
      </c>
      <c r="F369" s="549">
        <v>113</v>
      </c>
      <c r="G369" s="549">
        <v>99</v>
      </c>
      <c r="H369" s="549">
        <v>73</v>
      </c>
      <c r="I369" s="549">
        <v>20</v>
      </c>
      <c r="J369" s="549">
        <v>5</v>
      </c>
      <c r="K369" s="557">
        <v>0</v>
      </c>
      <c r="L369" s="549">
        <v>47</v>
      </c>
    </row>
    <row r="370" spans="1:12" s="543" customFormat="1" ht="9" customHeight="1" x14ac:dyDescent="0.25">
      <c r="A370" s="546" t="s">
        <v>46</v>
      </c>
      <c r="B370" s="547">
        <f t="shared" si="19"/>
        <v>83</v>
      </c>
      <c r="C370" s="547">
        <v>0</v>
      </c>
      <c r="D370" s="547">
        <v>7</v>
      </c>
      <c r="E370" s="547">
        <v>21</v>
      </c>
      <c r="F370" s="547">
        <v>21</v>
      </c>
      <c r="G370" s="547">
        <v>24</v>
      </c>
      <c r="H370" s="547">
        <v>4</v>
      </c>
      <c r="I370" s="547">
        <v>0</v>
      </c>
      <c r="J370" s="547">
        <v>0</v>
      </c>
      <c r="K370" s="556">
        <v>0</v>
      </c>
      <c r="L370" s="547">
        <v>6</v>
      </c>
    </row>
    <row r="371" spans="1:12" s="543" customFormat="1" ht="9" customHeight="1" x14ac:dyDescent="0.25">
      <c r="A371" s="546" t="s">
        <v>47</v>
      </c>
      <c r="B371" s="547">
        <f t="shared" si="19"/>
        <v>412</v>
      </c>
      <c r="C371" s="547">
        <v>7</v>
      </c>
      <c r="D371" s="547">
        <v>71</v>
      </c>
      <c r="E371" s="547">
        <v>101</v>
      </c>
      <c r="F371" s="547">
        <v>78</v>
      </c>
      <c r="G371" s="547">
        <v>70</v>
      </c>
      <c r="H371" s="547">
        <v>41</v>
      </c>
      <c r="I371" s="547">
        <v>10</v>
      </c>
      <c r="J371" s="547">
        <v>2</v>
      </c>
      <c r="K371" s="556">
        <v>0</v>
      </c>
      <c r="L371" s="547">
        <v>32</v>
      </c>
    </row>
    <row r="372" spans="1:12" s="543" customFormat="1" ht="9" customHeight="1" x14ac:dyDescent="0.25">
      <c r="A372" s="546" t="s">
        <v>48</v>
      </c>
      <c r="B372" s="547">
        <f t="shared" si="19"/>
        <v>414</v>
      </c>
      <c r="C372" s="547">
        <v>2</v>
      </c>
      <c r="D372" s="547">
        <v>74</v>
      </c>
      <c r="E372" s="547">
        <v>111</v>
      </c>
      <c r="F372" s="547">
        <v>70</v>
      </c>
      <c r="G372" s="547">
        <v>63</v>
      </c>
      <c r="H372" s="547">
        <v>50</v>
      </c>
      <c r="I372" s="547">
        <v>13</v>
      </c>
      <c r="J372" s="547">
        <v>1</v>
      </c>
      <c r="K372" s="556">
        <v>0</v>
      </c>
      <c r="L372" s="547">
        <v>30</v>
      </c>
    </row>
    <row r="373" spans="1:12" s="543" customFormat="1" ht="9" customHeight="1" x14ac:dyDescent="0.25">
      <c r="A373" s="548" t="s">
        <v>49</v>
      </c>
      <c r="B373" s="549">
        <f t="shared" si="19"/>
        <v>340</v>
      </c>
      <c r="C373" s="549">
        <v>1</v>
      </c>
      <c r="D373" s="549">
        <v>49</v>
      </c>
      <c r="E373" s="549">
        <v>78</v>
      </c>
      <c r="F373" s="549">
        <v>82</v>
      </c>
      <c r="G373" s="549">
        <v>77</v>
      </c>
      <c r="H373" s="549">
        <v>26</v>
      </c>
      <c r="I373" s="549">
        <v>12</v>
      </c>
      <c r="J373" s="549">
        <v>0</v>
      </c>
      <c r="K373" s="557">
        <v>0</v>
      </c>
      <c r="L373" s="549">
        <v>15</v>
      </c>
    </row>
    <row r="374" spans="1:12" s="543" customFormat="1" ht="9" customHeight="1" x14ac:dyDescent="0.25">
      <c r="A374" s="546" t="s">
        <v>50</v>
      </c>
      <c r="B374" s="547">
        <f t="shared" si="19"/>
        <v>325</v>
      </c>
      <c r="C374" s="547">
        <v>2</v>
      </c>
      <c r="D374" s="547">
        <v>52</v>
      </c>
      <c r="E374" s="547">
        <v>92</v>
      </c>
      <c r="F374" s="547">
        <v>64</v>
      </c>
      <c r="G374" s="547">
        <v>55</v>
      </c>
      <c r="H374" s="547">
        <v>28</v>
      </c>
      <c r="I374" s="547">
        <v>7</v>
      </c>
      <c r="J374" s="547">
        <v>0</v>
      </c>
      <c r="K374" s="556">
        <v>0</v>
      </c>
      <c r="L374" s="547">
        <v>25</v>
      </c>
    </row>
    <row r="375" spans="1:12" s="543" customFormat="1" ht="9" customHeight="1" x14ac:dyDescent="0.25">
      <c r="A375" s="546" t="s">
        <v>51</v>
      </c>
      <c r="B375" s="547">
        <f t="shared" si="19"/>
        <v>1361</v>
      </c>
      <c r="C375" s="547">
        <v>10</v>
      </c>
      <c r="D375" s="547">
        <v>195</v>
      </c>
      <c r="E375" s="547">
        <v>308</v>
      </c>
      <c r="F375" s="547">
        <v>279</v>
      </c>
      <c r="G375" s="547">
        <v>262</v>
      </c>
      <c r="H375" s="547">
        <v>165</v>
      </c>
      <c r="I375" s="547">
        <v>49</v>
      </c>
      <c r="J375" s="547">
        <v>5</v>
      </c>
      <c r="K375" s="556">
        <v>0</v>
      </c>
      <c r="L375" s="547">
        <v>88</v>
      </c>
    </row>
    <row r="376" spans="1:12" s="543" customFormat="1" ht="9" customHeight="1" x14ac:dyDescent="0.25">
      <c r="A376" s="546" t="s">
        <v>52</v>
      </c>
      <c r="B376" s="547">
        <f t="shared" si="19"/>
        <v>383</v>
      </c>
      <c r="C376" s="547">
        <v>1</v>
      </c>
      <c r="D376" s="547">
        <v>48</v>
      </c>
      <c r="E376" s="547">
        <v>101</v>
      </c>
      <c r="F376" s="547">
        <v>100</v>
      </c>
      <c r="G376" s="547">
        <v>63</v>
      </c>
      <c r="H376" s="547">
        <v>29</v>
      </c>
      <c r="I376" s="547">
        <v>17</v>
      </c>
      <c r="J376" s="547">
        <v>0</v>
      </c>
      <c r="K376" s="556">
        <v>0</v>
      </c>
      <c r="L376" s="547">
        <v>24</v>
      </c>
    </row>
    <row r="377" spans="1:12" s="543" customFormat="1" ht="9" customHeight="1" x14ac:dyDescent="0.25">
      <c r="A377" s="548" t="s">
        <v>53</v>
      </c>
      <c r="B377" s="549">
        <f t="shared" si="19"/>
        <v>271</v>
      </c>
      <c r="C377" s="549">
        <v>1</v>
      </c>
      <c r="D377" s="549">
        <v>39</v>
      </c>
      <c r="E377" s="549">
        <v>60</v>
      </c>
      <c r="F377" s="549">
        <v>59</v>
      </c>
      <c r="G377" s="549">
        <v>45</v>
      </c>
      <c r="H377" s="549">
        <v>36</v>
      </c>
      <c r="I377" s="549">
        <v>9</v>
      </c>
      <c r="J377" s="549">
        <v>3</v>
      </c>
      <c r="K377" s="557">
        <v>0</v>
      </c>
      <c r="L377" s="549">
        <v>19</v>
      </c>
    </row>
    <row r="378" spans="1:12" s="543" customFormat="1" ht="9" customHeight="1" x14ac:dyDescent="0.25">
      <c r="A378" s="546" t="s">
        <v>434</v>
      </c>
      <c r="B378" s="547">
        <f t="shared" si="19"/>
        <v>12</v>
      </c>
      <c r="C378" s="547">
        <v>0</v>
      </c>
      <c r="D378" s="547">
        <v>1</v>
      </c>
      <c r="E378" s="547">
        <v>2</v>
      </c>
      <c r="F378" s="547">
        <v>3</v>
      </c>
      <c r="G378" s="547">
        <v>2</v>
      </c>
      <c r="H378" s="547">
        <v>3</v>
      </c>
      <c r="I378" s="547">
        <v>0</v>
      </c>
      <c r="J378" s="547">
        <v>0</v>
      </c>
      <c r="K378" s="556">
        <v>0</v>
      </c>
      <c r="L378" s="547">
        <v>1</v>
      </c>
    </row>
    <row r="379" spans="1:12" s="543" customFormat="1" ht="9" customHeight="1" x14ac:dyDescent="0.25">
      <c r="A379" s="546"/>
      <c r="B379" s="547"/>
      <c r="C379" s="547"/>
      <c r="D379" s="547"/>
      <c r="E379" s="547"/>
      <c r="F379" s="547"/>
      <c r="G379" s="547"/>
      <c r="H379" s="547"/>
      <c r="I379" s="547"/>
      <c r="J379" s="547"/>
      <c r="K379" s="556"/>
      <c r="L379" s="547"/>
    </row>
    <row r="380" spans="1:12" s="543" customFormat="1" ht="9" customHeight="1" x14ac:dyDescent="0.25">
      <c r="A380" s="541">
        <v>2005</v>
      </c>
      <c r="B380" s="552"/>
      <c r="C380" s="542"/>
      <c r="D380" s="542"/>
      <c r="E380" s="553"/>
      <c r="F380" s="553"/>
      <c r="G380" s="542"/>
      <c r="H380" s="542"/>
      <c r="I380" s="542"/>
      <c r="J380" s="542"/>
      <c r="K380" s="542"/>
      <c r="L380" s="542"/>
    </row>
    <row r="381" spans="1:12" s="543" customFormat="1" ht="9" customHeight="1" x14ac:dyDescent="0.25">
      <c r="A381" s="541" t="s">
        <v>13</v>
      </c>
      <c r="B381" s="544">
        <f t="shared" ref="B381:L381" si="20">SUM(B383:B415)</f>
        <v>24494</v>
      </c>
      <c r="C381" s="544">
        <f t="shared" si="20"/>
        <v>126</v>
      </c>
      <c r="D381" s="544">
        <f t="shared" si="20"/>
        <v>3661</v>
      </c>
      <c r="E381" s="544">
        <f t="shared" si="20"/>
        <v>5948</v>
      </c>
      <c r="F381" s="544">
        <f t="shared" si="20"/>
        <v>5386</v>
      </c>
      <c r="G381" s="544">
        <f t="shared" si="20"/>
        <v>4181</v>
      </c>
      <c r="H381" s="544">
        <f t="shared" si="20"/>
        <v>2478</v>
      </c>
      <c r="I381" s="544">
        <f t="shared" si="20"/>
        <v>803</v>
      </c>
      <c r="J381" s="544">
        <f t="shared" si="20"/>
        <v>77</v>
      </c>
      <c r="K381" s="544">
        <f t="shared" si="20"/>
        <v>4</v>
      </c>
      <c r="L381" s="544">
        <f t="shared" si="20"/>
        <v>1830</v>
      </c>
    </row>
    <row r="382" spans="1:12" s="543" customFormat="1" ht="3.95" customHeight="1" x14ac:dyDescent="0.25">
      <c r="A382" s="541"/>
      <c r="B382" s="544"/>
      <c r="C382" s="544"/>
      <c r="D382" s="544"/>
      <c r="E382" s="544"/>
      <c r="F382" s="544"/>
      <c r="G382" s="544"/>
      <c r="H382" s="544"/>
      <c r="I382" s="544"/>
      <c r="J382" s="544"/>
      <c r="K382" s="544"/>
      <c r="L382" s="544"/>
    </row>
    <row r="383" spans="1:12" s="543" customFormat="1" ht="9" customHeight="1" x14ac:dyDescent="0.25">
      <c r="A383" s="546" t="s">
        <v>23</v>
      </c>
      <c r="B383" s="547">
        <f t="shared" ref="B383:B415" si="21">SUM(C383:L383)</f>
        <v>229</v>
      </c>
      <c r="C383" s="547">
        <v>0</v>
      </c>
      <c r="D383" s="547">
        <v>35</v>
      </c>
      <c r="E383" s="547">
        <v>53</v>
      </c>
      <c r="F383" s="547">
        <v>52</v>
      </c>
      <c r="G383" s="547">
        <v>38</v>
      </c>
      <c r="H383" s="547">
        <v>23</v>
      </c>
      <c r="I383" s="547">
        <v>8</v>
      </c>
      <c r="J383" s="547">
        <v>1</v>
      </c>
      <c r="K383" s="556">
        <v>0</v>
      </c>
      <c r="L383" s="547">
        <v>19</v>
      </c>
    </row>
    <row r="384" spans="1:12" s="543" customFormat="1" ht="9" customHeight="1" x14ac:dyDescent="0.25">
      <c r="A384" s="546" t="s">
        <v>24</v>
      </c>
      <c r="B384" s="547">
        <f t="shared" si="21"/>
        <v>872</v>
      </c>
      <c r="C384" s="547">
        <v>1</v>
      </c>
      <c r="D384" s="547">
        <v>142</v>
      </c>
      <c r="E384" s="547">
        <v>196</v>
      </c>
      <c r="F384" s="547">
        <v>162</v>
      </c>
      <c r="G384" s="547">
        <v>114</v>
      </c>
      <c r="H384" s="547">
        <v>64</v>
      </c>
      <c r="I384" s="547">
        <v>18</v>
      </c>
      <c r="J384" s="547">
        <v>2</v>
      </c>
      <c r="K384" s="556">
        <v>0</v>
      </c>
      <c r="L384" s="547">
        <v>173</v>
      </c>
    </row>
    <row r="385" spans="1:12" s="543" customFormat="1" ht="9" customHeight="1" x14ac:dyDescent="0.25">
      <c r="A385" s="546" t="s">
        <v>25</v>
      </c>
      <c r="B385" s="547">
        <f t="shared" si="21"/>
        <v>129</v>
      </c>
      <c r="C385" s="547">
        <v>0</v>
      </c>
      <c r="D385" s="547">
        <v>16</v>
      </c>
      <c r="E385" s="547">
        <v>35</v>
      </c>
      <c r="F385" s="547">
        <v>32</v>
      </c>
      <c r="G385" s="547">
        <v>22</v>
      </c>
      <c r="H385" s="547">
        <v>14</v>
      </c>
      <c r="I385" s="547">
        <v>0</v>
      </c>
      <c r="J385" s="547">
        <v>0</v>
      </c>
      <c r="K385" s="556">
        <v>0</v>
      </c>
      <c r="L385" s="547">
        <v>10</v>
      </c>
    </row>
    <row r="386" spans="1:12" s="543" customFormat="1" ht="9" customHeight="1" x14ac:dyDescent="0.25">
      <c r="A386" s="548" t="s">
        <v>26</v>
      </c>
      <c r="B386" s="549">
        <f t="shared" si="21"/>
        <v>99</v>
      </c>
      <c r="C386" s="549">
        <v>1</v>
      </c>
      <c r="D386" s="549">
        <v>18</v>
      </c>
      <c r="E386" s="549">
        <v>24</v>
      </c>
      <c r="F386" s="549">
        <v>19</v>
      </c>
      <c r="G386" s="549">
        <v>17</v>
      </c>
      <c r="H386" s="549">
        <v>13</v>
      </c>
      <c r="I386" s="549">
        <v>4</v>
      </c>
      <c r="J386" s="549">
        <v>0</v>
      </c>
      <c r="K386" s="557">
        <v>0</v>
      </c>
      <c r="L386" s="549">
        <v>3</v>
      </c>
    </row>
    <row r="387" spans="1:12" s="543" customFormat="1" ht="9" customHeight="1" x14ac:dyDescent="0.25">
      <c r="A387" s="546" t="s">
        <v>27</v>
      </c>
      <c r="B387" s="547">
        <f t="shared" si="21"/>
        <v>232</v>
      </c>
      <c r="C387" s="547">
        <v>2</v>
      </c>
      <c r="D387" s="547">
        <v>39</v>
      </c>
      <c r="E387" s="551">
        <v>54</v>
      </c>
      <c r="F387" s="547">
        <v>44</v>
      </c>
      <c r="G387" s="547">
        <v>50</v>
      </c>
      <c r="H387" s="547">
        <v>21</v>
      </c>
      <c r="I387" s="547">
        <v>2</v>
      </c>
      <c r="J387" s="547">
        <v>1</v>
      </c>
      <c r="K387" s="556">
        <v>0</v>
      </c>
      <c r="L387" s="547">
        <v>19</v>
      </c>
    </row>
    <row r="388" spans="1:12" s="543" customFormat="1" ht="9" customHeight="1" x14ac:dyDescent="0.25">
      <c r="A388" s="546" t="s">
        <v>28</v>
      </c>
      <c r="B388" s="547">
        <f t="shared" si="21"/>
        <v>100</v>
      </c>
      <c r="C388" s="547">
        <v>0</v>
      </c>
      <c r="D388" s="547">
        <v>23</v>
      </c>
      <c r="E388" s="547">
        <v>24</v>
      </c>
      <c r="F388" s="547">
        <v>19</v>
      </c>
      <c r="G388" s="547">
        <v>19</v>
      </c>
      <c r="H388" s="547">
        <v>8</v>
      </c>
      <c r="I388" s="547">
        <v>0</v>
      </c>
      <c r="J388" s="547">
        <v>0</v>
      </c>
      <c r="K388" s="556">
        <v>0</v>
      </c>
      <c r="L388" s="547">
        <v>7</v>
      </c>
    </row>
    <row r="389" spans="1:12" s="543" customFormat="1" ht="9" customHeight="1" x14ac:dyDescent="0.25">
      <c r="A389" s="546" t="s">
        <v>29</v>
      </c>
      <c r="B389" s="547">
        <f t="shared" si="21"/>
        <v>934</v>
      </c>
      <c r="C389" s="547">
        <v>2</v>
      </c>
      <c r="D389" s="547">
        <v>173</v>
      </c>
      <c r="E389" s="547">
        <v>242</v>
      </c>
      <c r="F389" s="547">
        <v>219</v>
      </c>
      <c r="G389" s="547">
        <v>140</v>
      </c>
      <c r="H389" s="547">
        <v>84</v>
      </c>
      <c r="I389" s="547">
        <v>31</v>
      </c>
      <c r="J389" s="547">
        <v>4</v>
      </c>
      <c r="K389" s="556">
        <v>0</v>
      </c>
      <c r="L389" s="547">
        <v>39</v>
      </c>
    </row>
    <row r="390" spans="1:12" s="543" customFormat="1" ht="9" customHeight="1" x14ac:dyDescent="0.25">
      <c r="A390" s="548" t="s">
        <v>30</v>
      </c>
      <c r="B390" s="549">
        <f t="shared" si="21"/>
        <v>671</v>
      </c>
      <c r="C390" s="549">
        <v>3</v>
      </c>
      <c r="D390" s="549">
        <v>129</v>
      </c>
      <c r="E390" s="549">
        <v>165</v>
      </c>
      <c r="F390" s="549">
        <v>136</v>
      </c>
      <c r="G390" s="549">
        <v>97</v>
      </c>
      <c r="H390" s="549">
        <v>64</v>
      </c>
      <c r="I390" s="549">
        <v>23</v>
      </c>
      <c r="J390" s="549">
        <v>2</v>
      </c>
      <c r="K390" s="557">
        <v>0</v>
      </c>
      <c r="L390" s="549">
        <v>52</v>
      </c>
    </row>
    <row r="391" spans="1:12" s="543" customFormat="1" ht="9" customHeight="1" x14ac:dyDescent="0.25">
      <c r="A391" s="550" t="s">
        <v>63</v>
      </c>
      <c r="B391" s="547">
        <f t="shared" si="21"/>
        <v>2702</v>
      </c>
      <c r="C391" s="547">
        <v>6</v>
      </c>
      <c r="D391" s="547">
        <v>382</v>
      </c>
      <c r="E391" s="547">
        <v>659</v>
      </c>
      <c r="F391" s="547">
        <v>621</v>
      </c>
      <c r="G391" s="547">
        <v>552</v>
      </c>
      <c r="H391" s="547">
        <v>272</v>
      </c>
      <c r="I391" s="547">
        <v>74</v>
      </c>
      <c r="J391" s="547">
        <v>2</v>
      </c>
      <c r="K391" s="556">
        <v>0</v>
      </c>
      <c r="L391" s="547">
        <v>134</v>
      </c>
    </row>
    <row r="392" spans="1:12" s="543" customFormat="1" ht="9" customHeight="1" x14ac:dyDescent="0.25">
      <c r="A392" s="546" t="s">
        <v>31</v>
      </c>
      <c r="B392" s="547">
        <f t="shared" si="21"/>
        <v>326</v>
      </c>
      <c r="C392" s="547">
        <v>1</v>
      </c>
      <c r="D392" s="547">
        <v>66</v>
      </c>
      <c r="E392" s="547">
        <v>79</v>
      </c>
      <c r="F392" s="547">
        <v>63</v>
      </c>
      <c r="G392" s="547">
        <v>42</v>
      </c>
      <c r="H392" s="547">
        <v>33</v>
      </c>
      <c r="I392" s="547">
        <v>8</v>
      </c>
      <c r="J392" s="547">
        <v>1</v>
      </c>
      <c r="K392" s="556">
        <v>0</v>
      </c>
      <c r="L392" s="547">
        <v>33</v>
      </c>
    </row>
    <row r="393" spans="1:12" s="543" customFormat="1" ht="9" customHeight="1" x14ac:dyDescent="0.25">
      <c r="A393" s="546" t="s">
        <v>32</v>
      </c>
      <c r="B393" s="547">
        <f t="shared" si="21"/>
        <v>1608</v>
      </c>
      <c r="C393" s="547">
        <v>8</v>
      </c>
      <c r="D393" s="547">
        <v>203</v>
      </c>
      <c r="E393" s="547">
        <v>340</v>
      </c>
      <c r="F393" s="547">
        <v>325</v>
      </c>
      <c r="G393" s="547">
        <v>265</v>
      </c>
      <c r="H393" s="547">
        <v>188</v>
      </c>
      <c r="I393" s="547">
        <v>86</v>
      </c>
      <c r="J393" s="547">
        <v>9</v>
      </c>
      <c r="K393" s="556">
        <v>0</v>
      </c>
      <c r="L393" s="547">
        <v>184</v>
      </c>
    </row>
    <row r="394" spans="1:12" s="543" customFormat="1" ht="9" customHeight="1" x14ac:dyDescent="0.25">
      <c r="A394" s="548" t="s">
        <v>33</v>
      </c>
      <c r="B394" s="549">
        <f t="shared" si="21"/>
        <v>196</v>
      </c>
      <c r="C394" s="549">
        <v>4</v>
      </c>
      <c r="D394" s="549">
        <v>36</v>
      </c>
      <c r="E394" s="554">
        <v>43</v>
      </c>
      <c r="F394" s="549">
        <v>41</v>
      </c>
      <c r="G394" s="549">
        <v>33</v>
      </c>
      <c r="H394" s="549">
        <v>23</v>
      </c>
      <c r="I394" s="549">
        <v>5</v>
      </c>
      <c r="J394" s="549">
        <v>0</v>
      </c>
      <c r="K394" s="557">
        <v>0</v>
      </c>
      <c r="L394" s="549">
        <v>11</v>
      </c>
    </row>
    <row r="395" spans="1:12" s="543" customFormat="1" ht="9" customHeight="1" x14ac:dyDescent="0.25">
      <c r="A395" s="546" t="s">
        <v>34</v>
      </c>
      <c r="B395" s="547">
        <f t="shared" si="21"/>
        <v>558</v>
      </c>
      <c r="C395" s="547">
        <v>3</v>
      </c>
      <c r="D395" s="547">
        <v>80</v>
      </c>
      <c r="E395" s="547">
        <v>122</v>
      </c>
      <c r="F395" s="547">
        <v>133</v>
      </c>
      <c r="G395" s="547">
        <v>104</v>
      </c>
      <c r="H395" s="547">
        <v>54</v>
      </c>
      <c r="I395" s="547">
        <v>12</v>
      </c>
      <c r="J395" s="547">
        <v>5</v>
      </c>
      <c r="K395" s="556">
        <v>0</v>
      </c>
      <c r="L395" s="547">
        <v>45</v>
      </c>
    </row>
    <row r="396" spans="1:12" s="543" customFormat="1" ht="9" customHeight="1" x14ac:dyDescent="0.25">
      <c r="A396" s="546" t="s">
        <v>35</v>
      </c>
      <c r="B396" s="547">
        <f t="shared" si="21"/>
        <v>1757</v>
      </c>
      <c r="C396" s="547">
        <v>9</v>
      </c>
      <c r="D396" s="547">
        <v>229</v>
      </c>
      <c r="E396" s="547">
        <v>410</v>
      </c>
      <c r="F396" s="547">
        <v>383</v>
      </c>
      <c r="G396" s="547">
        <v>303</v>
      </c>
      <c r="H396" s="547">
        <v>184</v>
      </c>
      <c r="I396" s="547">
        <v>57</v>
      </c>
      <c r="J396" s="547">
        <v>9</v>
      </c>
      <c r="K396" s="556">
        <v>1</v>
      </c>
      <c r="L396" s="547">
        <v>172</v>
      </c>
    </row>
    <row r="397" spans="1:12" s="543" customFormat="1" ht="9" customHeight="1" x14ac:dyDescent="0.25">
      <c r="A397" s="546" t="s">
        <v>36</v>
      </c>
      <c r="B397" s="547">
        <f t="shared" si="21"/>
        <v>5160</v>
      </c>
      <c r="C397" s="547">
        <v>26</v>
      </c>
      <c r="D397" s="547">
        <v>785</v>
      </c>
      <c r="E397" s="547">
        <v>1377</v>
      </c>
      <c r="F397" s="547">
        <v>1182</v>
      </c>
      <c r="G397" s="547">
        <v>901</v>
      </c>
      <c r="H397" s="547">
        <v>524</v>
      </c>
      <c r="I397" s="547">
        <v>151</v>
      </c>
      <c r="J397" s="547">
        <v>14</v>
      </c>
      <c r="K397" s="556">
        <v>1</v>
      </c>
      <c r="L397" s="547">
        <v>199</v>
      </c>
    </row>
    <row r="398" spans="1:12" s="543" customFormat="1" ht="9" customHeight="1" x14ac:dyDescent="0.25">
      <c r="A398" s="548" t="s">
        <v>37</v>
      </c>
      <c r="B398" s="549">
        <f t="shared" si="21"/>
        <v>615</v>
      </c>
      <c r="C398" s="549">
        <v>4</v>
      </c>
      <c r="D398" s="549">
        <v>85</v>
      </c>
      <c r="E398" s="549">
        <v>152</v>
      </c>
      <c r="F398" s="549">
        <v>118</v>
      </c>
      <c r="G398" s="549">
        <v>100</v>
      </c>
      <c r="H398" s="549">
        <v>70</v>
      </c>
      <c r="I398" s="549">
        <v>30</v>
      </c>
      <c r="J398" s="549">
        <v>2</v>
      </c>
      <c r="K398" s="557">
        <v>0</v>
      </c>
      <c r="L398" s="549">
        <v>54</v>
      </c>
    </row>
    <row r="399" spans="1:12" s="543" customFormat="1" ht="9" customHeight="1" x14ac:dyDescent="0.25">
      <c r="A399" s="546" t="s">
        <v>38</v>
      </c>
      <c r="B399" s="547">
        <f t="shared" si="21"/>
        <v>297</v>
      </c>
      <c r="C399" s="547">
        <v>0</v>
      </c>
      <c r="D399" s="551">
        <v>30</v>
      </c>
      <c r="E399" s="547">
        <v>73</v>
      </c>
      <c r="F399" s="547">
        <v>71</v>
      </c>
      <c r="G399" s="547">
        <v>64</v>
      </c>
      <c r="H399" s="547">
        <v>31</v>
      </c>
      <c r="I399" s="547">
        <v>5</v>
      </c>
      <c r="J399" s="547">
        <v>1</v>
      </c>
      <c r="K399" s="556">
        <v>0</v>
      </c>
      <c r="L399" s="547">
        <v>22</v>
      </c>
    </row>
    <row r="400" spans="1:12" s="543" customFormat="1" ht="9" customHeight="1" x14ac:dyDescent="0.25">
      <c r="A400" s="546" t="s">
        <v>39</v>
      </c>
      <c r="B400" s="547">
        <f t="shared" si="21"/>
        <v>72</v>
      </c>
      <c r="C400" s="547">
        <v>1</v>
      </c>
      <c r="D400" s="547">
        <v>17</v>
      </c>
      <c r="E400" s="547">
        <v>15</v>
      </c>
      <c r="F400" s="547">
        <v>14</v>
      </c>
      <c r="G400" s="547">
        <v>13</v>
      </c>
      <c r="H400" s="547">
        <v>7</v>
      </c>
      <c r="I400" s="547">
        <v>1</v>
      </c>
      <c r="J400" s="547">
        <v>1</v>
      </c>
      <c r="K400" s="556">
        <v>0</v>
      </c>
      <c r="L400" s="547">
        <v>3</v>
      </c>
    </row>
    <row r="401" spans="1:12" s="543" customFormat="1" ht="9" customHeight="1" x14ac:dyDescent="0.25">
      <c r="A401" s="546" t="s">
        <v>40</v>
      </c>
      <c r="B401" s="547">
        <f t="shared" si="21"/>
        <v>764</v>
      </c>
      <c r="C401" s="547">
        <v>2</v>
      </c>
      <c r="D401" s="547">
        <v>132</v>
      </c>
      <c r="E401" s="547">
        <v>157</v>
      </c>
      <c r="F401" s="547">
        <v>179</v>
      </c>
      <c r="G401" s="547">
        <v>128</v>
      </c>
      <c r="H401" s="547">
        <v>66</v>
      </c>
      <c r="I401" s="547">
        <v>19</v>
      </c>
      <c r="J401" s="547">
        <v>0</v>
      </c>
      <c r="K401" s="556">
        <v>0</v>
      </c>
      <c r="L401" s="547">
        <v>81</v>
      </c>
    </row>
    <row r="402" spans="1:12" s="543" customFormat="1" ht="9" customHeight="1" x14ac:dyDescent="0.25">
      <c r="A402" s="548" t="s">
        <v>41</v>
      </c>
      <c r="B402" s="549">
        <f t="shared" si="21"/>
        <v>710</v>
      </c>
      <c r="C402" s="549">
        <v>3</v>
      </c>
      <c r="D402" s="549">
        <v>106</v>
      </c>
      <c r="E402" s="549">
        <v>167</v>
      </c>
      <c r="F402" s="549">
        <v>161</v>
      </c>
      <c r="G402" s="549">
        <v>131</v>
      </c>
      <c r="H402" s="549">
        <v>73</v>
      </c>
      <c r="I402" s="549">
        <v>25</v>
      </c>
      <c r="J402" s="549">
        <v>1</v>
      </c>
      <c r="K402" s="557">
        <v>0</v>
      </c>
      <c r="L402" s="549">
        <v>43</v>
      </c>
    </row>
    <row r="403" spans="1:12" s="543" customFormat="1" ht="9" customHeight="1" x14ac:dyDescent="0.25">
      <c r="A403" s="546" t="s">
        <v>42</v>
      </c>
      <c r="B403" s="547">
        <f t="shared" si="21"/>
        <v>1753</v>
      </c>
      <c r="C403" s="547">
        <v>13</v>
      </c>
      <c r="D403" s="547">
        <v>265</v>
      </c>
      <c r="E403" s="547">
        <v>397</v>
      </c>
      <c r="F403" s="547">
        <v>368</v>
      </c>
      <c r="G403" s="547">
        <v>280</v>
      </c>
      <c r="H403" s="547">
        <v>168</v>
      </c>
      <c r="I403" s="547">
        <v>69</v>
      </c>
      <c r="J403" s="547">
        <v>4</v>
      </c>
      <c r="K403" s="556">
        <v>0</v>
      </c>
      <c r="L403" s="547">
        <v>189</v>
      </c>
    </row>
    <row r="404" spans="1:12" s="543" customFormat="1" ht="9" customHeight="1" x14ac:dyDescent="0.25">
      <c r="A404" s="546" t="s">
        <v>43</v>
      </c>
      <c r="B404" s="547">
        <f t="shared" si="21"/>
        <v>413</v>
      </c>
      <c r="C404" s="547">
        <v>4</v>
      </c>
      <c r="D404" s="547">
        <v>50</v>
      </c>
      <c r="E404" s="547">
        <v>98</v>
      </c>
      <c r="F404" s="547">
        <v>96</v>
      </c>
      <c r="G404" s="547">
        <v>80</v>
      </c>
      <c r="H404" s="547">
        <v>52</v>
      </c>
      <c r="I404" s="547">
        <v>14</v>
      </c>
      <c r="J404" s="547">
        <v>2</v>
      </c>
      <c r="K404" s="556">
        <v>1</v>
      </c>
      <c r="L404" s="547">
        <v>16</v>
      </c>
    </row>
    <row r="405" spans="1:12" s="543" customFormat="1" ht="9" customHeight="1" x14ac:dyDescent="0.25">
      <c r="A405" s="546" t="s">
        <v>44</v>
      </c>
      <c r="B405" s="547">
        <f t="shared" si="21"/>
        <v>250</v>
      </c>
      <c r="C405" s="547">
        <v>3</v>
      </c>
      <c r="D405" s="547">
        <v>47</v>
      </c>
      <c r="E405" s="547">
        <v>62</v>
      </c>
      <c r="F405" s="547">
        <v>54</v>
      </c>
      <c r="G405" s="547">
        <v>34</v>
      </c>
      <c r="H405" s="547">
        <v>27</v>
      </c>
      <c r="I405" s="547">
        <v>7</v>
      </c>
      <c r="J405" s="547">
        <v>1</v>
      </c>
      <c r="K405" s="556">
        <v>0</v>
      </c>
      <c r="L405" s="547">
        <v>15</v>
      </c>
    </row>
    <row r="406" spans="1:12" s="543" customFormat="1" ht="9" customHeight="1" x14ac:dyDescent="0.25">
      <c r="A406" s="548" t="s">
        <v>45</v>
      </c>
      <c r="B406" s="549">
        <f t="shared" si="21"/>
        <v>526</v>
      </c>
      <c r="C406" s="549">
        <v>6</v>
      </c>
      <c r="D406" s="549">
        <v>76</v>
      </c>
      <c r="E406" s="549">
        <v>106</v>
      </c>
      <c r="F406" s="549">
        <v>107</v>
      </c>
      <c r="G406" s="549">
        <v>87</v>
      </c>
      <c r="H406" s="549">
        <v>68</v>
      </c>
      <c r="I406" s="549">
        <v>24</v>
      </c>
      <c r="J406" s="549">
        <v>4</v>
      </c>
      <c r="K406" s="557">
        <v>0</v>
      </c>
      <c r="L406" s="549">
        <v>48</v>
      </c>
    </row>
    <row r="407" spans="1:12" s="543" customFormat="1" ht="9" customHeight="1" x14ac:dyDescent="0.25">
      <c r="A407" s="546" t="s">
        <v>46</v>
      </c>
      <c r="B407" s="547">
        <f t="shared" si="21"/>
        <v>67</v>
      </c>
      <c r="C407" s="547">
        <v>2</v>
      </c>
      <c r="D407" s="547">
        <v>7</v>
      </c>
      <c r="E407" s="547">
        <v>22</v>
      </c>
      <c r="F407" s="547">
        <v>11</v>
      </c>
      <c r="G407" s="547">
        <v>12</v>
      </c>
      <c r="H407" s="547">
        <v>5</v>
      </c>
      <c r="I407" s="547">
        <v>0</v>
      </c>
      <c r="J407" s="547">
        <v>0</v>
      </c>
      <c r="K407" s="556">
        <v>0</v>
      </c>
      <c r="L407" s="547">
        <v>8</v>
      </c>
    </row>
    <row r="408" spans="1:12" s="543" customFormat="1" ht="9" customHeight="1" x14ac:dyDescent="0.25">
      <c r="A408" s="546" t="s">
        <v>47</v>
      </c>
      <c r="B408" s="547">
        <f t="shared" si="21"/>
        <v>440</v>
      </c>
      <c r="C408" s="547">
        <v>4</v>
      </c>
      <c r="D408" s="547">
        <v>64</v>
      </c>
      <c r="E408" s="547">
        <v>118</v>
      </c>
      <c r="F408" s="547">
        <v>101</v>
      </c>
      <c r="G408" s="547">
        <v>66</v>
      </c>
      <c r="H408" s="547">
        <v>32</v>
      </c>
      <c r="I408" s="547">
        <v>12</v>
      </c>
      <c r="J408" s="547">
        <v>0</v>
      </c>
      <c r="K408" s="556">
        <v>0</v>
      </c>
      <c r="L408" s="547">
        <v>43</v>
      </c>
    </row>
    <row r="409" spans="1:12" s="543" customFormat="1" ht="9" customHeight="1" x14ac:dyDescent="0.25">
      <c r="A409" s="546" t="s">
        <v>48</v>
      </c>
      <c r="B409" s="547">
        <f t="shared" si="21"/>
        <v>420</v>
      </c>
      <c r="C409" s="547">
        <v>4</v>
      </c>
      <c r="D409" s="547">
        <v>65</v>
      </c>
      <c r="E409" s="547">
        <v>119</v>
      </c>
      <c r="F409" s="547">
        <v>90</v>
      </c>
      <c r="G409" s="547">
        <v>57</v>
      </c>
      <c r="H409" s="547">
        <v>31</v>
      </c>
      <c r="I409" s="547">
        <v>25</v>
      </c>
      <c r="J409" s="547">
        <v>2</v>
      </c>
      <c r="K409" s="556">
        <v>0</v>
      </c>
      <c r="L409" s="547">
        <v>27</v>
      </c>
    </row>
    <row r="410" spans="1:12" s="543" customFormat="1" ht="9" customHeight="1" x14ac:dyDescent="0.25">
      <c r="A410" s="548" t="s">
        <v>49</v>
      </c>
      <c r="B410" s="549">
        <f t="shared" si="21"/>
        <v>279</v>
      </c>
      <c r="C410" s="549">
        <v>1</v>
      </c>
      <c r="D410" s="549">
        <v>41</v>
      </c>
      <c r="E410" s="549">
        <v>70</v>
      </c>
      <c r="F410" s="549">
        <v>71</v>
      </c>
      <c r="G410" s="549">
        <v>47</v>
      </c>
      <c r="H410" s="549">
        <v>26</v>
      </c>
      <c r="I410" s="549">
        <v>6</v>
      </c>
      <c r="J410" s="549">
        <v>1</v>
      </c>
      <c r="K410" s="557">
        <v>0</v>
      </c>
      <c r="L410" s="549">
        <v>16</v>
      </c>
    </row>
    <row r="411" spans="1:12" s="543" customFormat="1" ht="9" customHeight="1" x14ac:dyDescent="0.25">
      <c r="A411" s="546" t="s">
        <v>50</v>
      </c>
      <c r="B411" s="547">
        <f t="shared" si="21"/>
        <v>285</v>
      </c>
      <c r="C411" s="547">
        <v>2</v>
      </c>
      <c r="D411" s="547">
        <v>27</v>
      </c>
      <c r="E411" s="547">
        <v>73</v>
      </c>
      <c r="F411" s="547">
        <v>72</v>
      </c>
      <c r="G411" s="547">
        <v>46</v>
      </c>
      <c r="H411" s="547">
        <v>28</v>
      </c>
      <c r="I411" s="547">
        <v>12</v>
      </c>
      <c r="J411" s="547">
        <v>3</v>
      </c>
      <c r="K411" s="556">
        <v>0</v>
      </c>
      <c r="L411" s="547">
        <v>22</v>
      </c>
    </row>
    <row r="412" spans="1:12" s="543" customFormat="1" ht="9" customHeight="1" x14ac:dyDescent="0.25">
      <c r="A412" s="546" t="s">
        <v>51</v>
      </c>
      <c r="B412" s="547">
        <f t="shared" si="21"/>
        <v>1422</v>
      </c>
      <c r="C412" s="547">
        <v>7</v>
      </c>
      <c r="D412" s="547">
        <v>209</v>
      </c>
      <c r="E412" s="547">
        <v>343</v>
      </c>
      <c r="F412" s="547">
        <v>311</v>
      </c>
      <c r="G412" s="547">
        <v>237</v>
      </c>
      <c r="H412" s="547">
        <v>164</v>
      </c>
      <c r="I412" s="547">
        <v>50</v>
      </c>
      <c r="J412" s="547">
        <v>3</v>
      </c>
      <c r="K412" s="556">
        <v>0</v>
      </c>
      <c r="L412" s="547">
        <v>98</v>
      </c>
    </row>
    <row r="413" spans="1:12" s="543" customFormat="1" ht="9" customHeight="1" x14ac:dyDescent="0.25">
      <c r="A413" s="546" t="s">
        <v>52</v>
      </c>
      <c r="B413" s="547">
        <f t="shared" si="21"/>
        <v>316</v>
      </c>
      <c r="C413" s="547">
        <v>2</v>
      </c>
      <c r="D413" s="547">
        <v>39</v>
      </c>
      <c r="E413" s="547">
        <v>95</v>
      </c>
      <c r="F413" s="547">
        <v>72</v>
      </c>
      <c r="G413" s="547">
        <v>49</v>
      </c>
      <c r="H413" s="547">
        <v>28</v>
      </c>
      <c r="I413" s="547">
        <v>11</v>
      </c>
      <c r="J413" s="547">
        <v>1</v>
      </c>
      <c r="K413" s="556">
        <v>0</v>
      </c>
      <c r="L413" s="547">
        <v>19</v>
      </c>
    </row>
    <row r="414" spans="1:12" s="543" customFormat="1" ht="9" customHeight="1" x14ac:dyDescent="0.25">
      <c r="A414" s="548" t="s">
        <v>53</v>
      </c>
      <c r="B414" s="549">
        <f t="shared" si="21"/>
        <v>281</v>
      </c>
      <c r="C414" s="549">
        <v>1</v>
      </c>
      <c r="D414" s="549">
        <v>45</v>
      </c>
      <c r="E414" s="549">
        <v>57</v>
      </c>
      <c r="F414" s="549">
        <v>56</v>
      </c>
      <c r="G414" s="549">
        <v>52</v>
      </c>
      <c r="H414" s="549">
        <v>32</v>
      </c>
      <c r="I414" s="549">
        <v>12</v>
      </c>
      <c r="J414" s="549">
        <v>1</v>
      </c>
      <c r="K414" s="557">
        <v>1</v>
      </c>
      <c r="L414" s="549">
        <v>24</v>
      </c>
    </row>
    <row r="415" spans="1:12" s="543" customFormat="1" ht="9" customHeight="1" x14ac:dyDescent="0.25">
      <c r="A415" s="546" t="s">
        <v>434</v>
      </c>
      <c r="B415" s="547">
        <f t="shared" si="21"/>
        <v>11</v>
      </c>
      <c r="C415" s="547">
        <v>1</v>
      </c>
      <c r="D415" s="547">
        <v>0</v>
      </c>
      <c r="E415" s="547">
        <v>1</v>
      </c>
      <c r="F415" s="547">
        <v>3</v>
      </c>
      <c r="G415" s="547">
        <v>1</v>
      </c>
      <c r="H415" s="547">
        <v>1</v>
      </c>
      <c r="I415" s="547">
        <v>2</v>
      </c>
      <c r="J415" s="547">
        <v>0</v>
      </c>
      <c r="K415" s="556">
        <v>0</v>
      </c>
      <c r="L415" s="547">
        <v>2</v>
      </c>
    </row>
    <row r="416" spans="1:12" s="543" customFormat="1" ht="9" customHeight="1" x14ac:dyDescent="0.25">
      <c r="A416" s="546"/>
      <c r="B416" s="547"/>
      <c r="C416" s="547"/>
      <c r="D416" s="547"/>
      <c r="E416" s="547"/>
      <c r="F416" s="547"/>
      <c r="G416" s="547"/>
      <c r="H416" s="547"/>
      <c r="I416" s="547"/>
      <c r="J416" s="547"/>
      <c r="K416" s="556"/>
      <c r="L416" s="547"/>
    </row>
    <row r="417" spans="1:12" s="543" customFormat="1" ht="9" customHeight="1" x14ac:dyDescent="0.25">
      <c r="A417" s="541">
        <v>2006</v>
      </c>
      <c r="B417" s="552"/>
      <c r="C417" s="542"/>
      <c r="D417" s="542"/>
      <c r="E417" s="553"/>
      <c r="F417" s="553"/>
      <c r="G417" s="542"/>
      <c r="H417" s="542"/>
      <c r="I417" s="542"/>
      <c r="J417" s="542"/>
      <c r="K417" s="542"/>
      <c r="L417" s="542"/>
    </row>
    <row r="418" spans="1:12" s="543" customFormat="1" ht="9" customHeight="1" x14ac:dyDescent="0.25">
      <c r="A418" s="541" t="s">
        <v>13</v>
      </c>
      <c r="B418" s="544">
        <f t="shared" ref="B418:L418" si="22">SUM(B420:B452)</f>
        <v>23986</v>
      </c>
      <c r="C418" s="544">
        <f t="shared" si="22"/>
        <v>122</v>
      </c>
      <c r="D418" s="544">
        <f t="shared" si="22"/>
        <v>3591</v>
      </c>
      <c r="E418" s="544">
        <f t="shared" si="22"/>
        <v>5814</v>
      </c>
      <c r="F418" s="544">
        <f t="shared" si="22"/>
        <v>5228</v>
      </c>
      <c r="G418" s="544">
        <f t="shared" si="22"/>
        <v>4107</v>
      </c>
      <c r="H418" s="544">
        <f t="shared" si="22"/>
        <v>2523</v>
      </c>
      <c r="I418" s="544">
        <f t="shared" si="22"/>
        <v>781</v>
      </c>
      <c r="J418" s="544">
        <f t="shared" si="22"/>
        <v>72</v>
      </c>
      <c r="K418" s="544">
        <f t="shared" si="22"/>
        <v>3</v>
      </c>
      <c r="L418" s="544">
        <f t="shared" si="22"/>
        <v>1745</v>
      </c>
    </row>
    <row r="419" spans="1:12" s="543" customFormat="1" ht="3.95" customHeight="1" x14ac:dyDescent="0.25">
      <c r="A419" s="541"/>
      <c r="B419" s="544"/>
      <c r="C419" s="544"/>
      <c r="D419" s="544"/>
      <c r="E419" s="544"/>
      <c r="F419" s="544"/>
      <c r="G419" s="544"/>
      <c r="H419" s="544"/>
      <c r="I419" s="544"/>
      <c r="J419" s="544"/>
      <c r="K419" s="544"/>
      <c r="L419" s="544"/>
    </row>
    <row r="420" spans="1:12" s="543" customFormat="1" ht="9" customHeight="1" x14ac:dyDescent="0.25">
      <c r="A420" s="546" t="s">
        <v>23</v>
      </c>
      <c r="B420" s="547">
        <f t="shared" ref="B420:B452" si="23">SUM(C420:L420)</f>
        <v>247</v>
      </c>
      <c r="C420" s="547">
        <v>2</v>
      </c>
      <c r="D420" s="547">
        <v>26</v>
      </c>
      <c r="E420" s="547">
        <v>67</v>
      </c>
      <c r="F420" s="547">
        <v>53</v>
      </c>
      <c r="G420" s="547">
        <v>43</v>
      </c>
      <c r="H420" s="547">
        <v>27</v>
      </c>
      <c r="I420" s="547">
        <v>10</v>
      </c>
      <c r="J420" s="547">
        <v>1</v>
      </c>
      <c r="K420" s="556">
        <v>0</v>
      </c>
      <c r="L420" s="547">
        <v>18</v>
      </c>
    </row>
    <row r="421" spans="1:12" s="543" customFormat="1" ht="9" customHeight="1" x14ac:dyDescent="0.25">
      <c r="A421" s="546" t="s">
        <v>24</v>
      </c>
      <c r="B421" s="547">
        <f t="shared" si="23"/>
        <v>731</v>
      </c>
      <c r="C421" s="547">
        <v>1</v>
      </c>
      <c r="D421" s="547">
        <v>117</v>
      </c>
      <c r="E421" s="547">
        <v>179</v>
      </c>
      <c r="F421" s="547">
        <v>163</v>
      </c>
      <c r="G421" s="547">
        <v>104</v>
      </c>
      <c r="H421" s="547">
        <v>58</v>
      </c>
      <c r="I421" s="547">
        <v>15</v>
      </c>
      <c r="J421" s="547">
        <v>1</v>
      </c>
      <c r="K421" s="556">
        <v>0</v>
      </c>
      <c r="L421" s="547">
        <v>93</v>
      </c>
    </row>
    <row r="422" spans="1:12" s="543" customFormat="1" ht="9" customHeight="1" x14ac:dyDescent="0.25">
      <c r="A422" s="546" t="s">
        <v>25</v>
      </c>
      <c r="B422" s="547">
        <f t="shared" si="23"/>
        <v>129</v>
      </c>
      <c r="C422" s="547">
        <v>2</v>
      </c>
      <c r="D422" s="547">
        <v>24</v>
      </c>
      <c r="E422" s="547">
        <v>30</v>
      </c>
      <c r="F422" s="547">
        <v>31</v>
      </c>
      <c r="G422" s="547">
        <v>16</v>
      </c>
      <c r="H422" s="547">
        <v>14</v>
      </c>
      <c r="I422" s="547">
        <v>4</v>
      </c>
      <c r="J422" s="547">
        <v>0</v>
      </c>
      <c r="K422" s="556">
        <v>0</v>
      </c>
      <c r="L422" s="547">
        <v>8</v>
      </c>
    </row>
    <row r="423" spans="1:12" s="543" customFormat="1" ht="9" customHeight="1" x14ac:dyDescent="0.25">
      <c r="A423" s="548" t="s">
        <v>26</v>
      </c>
      <c r="B423" s="549">
        <f t="shared" si="23"/>
        <v>104</v>
      </c>
      <c r="C423" s="549">
        <v>1</v>
      </c>
      <c r="D423" s="549">
        <v>11</v>
      </c>
      <c r="E423" s="549">
        <v>29</v>
      </c>
      <c r="F423" s="549">
        <v>36</v>
      </c>
      <c r="G423" s="549">
        <v>14</v>
      </c>
      <c r="H423" s="549">
        <v>8</v>
      </c>
      <c r="I423" s="549">
        <v>0</v>
      </c>
      <c r="J423" s="549">
        <v>0</v>
      </c>
      <c r="K423" s="557">
        <v>0</v>
      </c>
      <c r="L423" s="549">
        <v>5</v>
      </c>
    </row>
    <row r="424" spans="1:12" s="543" customFormat="1" ht="9" customHeight="1" x14ac:dyDescent="0.25">
      <c r="A424" s="546" t="s">
        <v>27</v>
      </c>
      <c r="B424" s="547">
        <f t="shared" si="23"/>
        <v>227</v>
      </c>
      <c r="C424" s="547">
        <v>1</v>
      </c>
      <c r="D424" s="547">
        <v>30</v>
      </c>
      <c r="E424" s="551">
        <v>57</v>
      </c>
      <c r="F424" s="547">
        <v>44</v>
      </c>
      <c r="G424" s="547">
        <v>44</v>
      </c>
      <c r="H424" s="547">
        <v>17</v>
      </c>
      <c r="I424" s="547">
        <v>9</v>
      </c>
      <c r="J424" s="547">
        <v>0</v>
      </c>
      <c r="K424" s="556">
        <v>0</v>
      </c>
      <c r="L424" s="547">
        <v>25</v>
      </c>
    </row>
    <row r="425" spans="1:12" s="543" customFormat="1" ht="9" customHeight="1" x14ac:dyDescent="0.25">
      <c r="A425" s="546" t="s">
        <v>28</v>
      </c>
      <c r="B425" s="547">
        <f t="shared" si="23"/>
        <v>95</v>
      </c>
      <c r="C425" s="547">
        <v>1</v>
      </c>
      <c r="D425" s="547">
        <v>16</v>
      </c>
      <c r="E425" s="547">
        <v>23</v>
      </c>
      <c r="F425" s="547">
        <v>20</v>
      </c>
      <c r="G425" s="547">
        <v>15</v>
      </c>
      <c r="H425" s="547">
        <v>12</v>
      </c>
      <c r="I425" s="547">
        <v>3</v>
      </c>
      <c r="J425" s="547">
        <v>0</v>
      </c>
      <c r="K425" s="556">
        <v>0</v>
      </c>
      <c r="L425" s="547">
        <v>5</v>
      </c>
    </row>
    <row r="426" spans="1:12" s="543" customFormat="1" ht="9" customHeight="1" x14ac:dyDescent="0.25">
      <c r="A426" s="546" t="s">
        <v>29</v>
      </c>
      <c r="B426" s="547">
        <f t="shared" si="23"/>
        <v>926</v>
      </c>
      <c r="C426" s="547">
        <v>6</v>
      </c>
      <c r="D426" s="547">
        <v>164</v>
      </c>
      <c r="E426" s="547">
        <v>213</v>
      </c>
      <c r="F426" s="547">
        <v>193</v>
      </c>
      <c r="G426" s="547">
        <v>134</v>
      </c>
      <c r="H426" s="547">
        <v>106</v>
      </c>
      <c r="I426" s="547">
        <v>37</v>
      </c>
      <c r="J426" s="547">
        <v>10</v>
      </c>
      <c r="K426" s="556">
        <v>0</v>
      </c>
      <c r="L426" s="547">
        <v>63</v>
      </c>
    </row>
    <row r="427" spans="1:12" s="543" customFormat="1" ht="9" customHeight="1" x14ac:dyDescent="0.25">
      <c r="A427" s="548" t="s">
        <v>30</v>
      </c>
      <c r="B427" s="549">
        <f t="shared" si="23"/>
        <v>657</v>
      </c>
      <c r="C427" s="549">
        <v>6</v>
      </c>
      <c r="D427" s="549">
        <v>138</v>
      </c>
      <c r="E427" s="549">
        <v>132</v>
      </c>
      <c r="F427" s="549">
        <v>126</v>
      </c>
      <c r="G427" s="549">
        <v>106</v>
      </c>
      <c r="H427" s="549">
        <v>70</v>
      </c>
      <c r="I427" s="549">
        <v>11</v>
      </c>
      <c r="J427" s="549">
        <v>2</v>
      </c>
      <c r="K427" s="557">
        <v>0</v>
      </c>
      <c r="L427" s="549">
        <v>66</v>
      </c>
    </row>
    <row r="428" spans="1:12" s="543" customFormat="1" ht="9" customHeight="1" x14ac:dyDescent="0.25">
      <c r="A428" s="550" t="s">
        <v>63</v>
      </c>
      <c r="B428" s="547">
        <f t="shared" si="23"/>
        <v>2613</v>
      </c>
      <c r="C428" s="547">
        <v>10</v>
      </c>
      <c r="D428" s="547">
        <v>376</v>
      </c>
      <c r="E428" s="547">
        <v>642</v>
      </c>
      <c r="F428" s="547">
        <v>550</v>
      </c>
      <c r="G428" s="547">
        <v>519</v>
      </c>
      <c r="H428" s="547">
        <v>306</v>
      </c>
      <c r="I428" s="547">
        <v>75</v>
      </c>
      <c r="J428" s="547">
        <v>4</v>
      </c>
      <c r="K428" s="556">
        <v>0</v>
      </c>
      <c r="L428" s="547">
        <v>131</v>
      </c>
    </row>
    <row r="429" spans="1:12" s="543" customFormat="1" ht="9" customHeight="1" x14ac:dyDescent="0.25">
      <c r="A429" s="546" t="s">
        <v>31</v>
      </c>
      <c r="B429" s="547">
        <f t="shared" si="23"/>
        <v>347</v>
      </c>
      <c r="C429" s="547">
        <v>2</v>
      </c>
      <c r="D429" s="547">
        <v>64</v>
      </c>
      <c r="E429" s="547">
        <v>97</v>
      </c>
      <c r="F429" s="547">
        <v>65</v>
      </c>
      <c r="G429" s="547">
        <v>43</v>
      </c>
      <c r="H429" s="547">
        <v>28</v>
      </c>
      <c r="I429" s="547">
        <v>10</v>
      </c>
      <c r="J429" s="547">
        <v>1</v>
      </c>
      <c r="K429" s="556">
        <v>0</v>
      </c>
      <c r="L429" s="547">
        <v>37</v>
      </c>
    </row>
    <row r="430" spans="1:12" s="543" customFormat="1" ht="9" customHeight="1" x14ac:dyDescent="0.25">
      <c r="A430" s="546" t="s">
        <v>32</v>
      </c>
      <c r="B430" s="547">
        <f t="shared" si="23"/>
        <v>1595</v>
      </c>
      <c r="C430" s="547">
        <v>10</v>
      </c>
      <c r="D430" s="547">
        <v>200</v>
      </c>
      <c r="E430" s="547">
        <v>374</v>
      </c>
      <c r="F430" s="547">
        <v>341</v>
      </c>
      <c r="G430" s="547">
        <v>267</v>
      </c>
      <c r="H430" s="547">
        <v>174</v>
      </c>
      <c r="I430" s="547">
        <v>49</v>
      </c>
      <c r="J430" s="547">
        <v>10</v>
      </c>
      <c r="K430" s="556">
        <v>0</v>
      </c>
      <c r="L430" s="547">
        <v>170</v>
      </c>
    </row>
    <row r="431" spans="1:12" s="543" customFormat="1" ht="9" customHeight="1" x14ac:dyDescent="0.25">
      <c r="A431" s="548" t="s">
        <v>33</v>
      </c>
      <c r="B431" s="549">
        <f t="shared" si="23"/>
        <v>145</v>
      </c>
      <c r="C431" s="549">
        <v>2</v>
      </c>
      <c r="D431" s="549">
        <v>24</v>
      </c>
      <c r="E431" s="554">
        <v>35</v>
      </c>
      <c r="F431" s="549">
        <v>35</v>
      </c>
      <c r="G431" s="549">
        <v>23</v>
      </c>
      <c r="H431" s="549">
        <v>16</v>
      </c>
      <c r="I431" s="549">
        <v>2</v>
      </c>
      <c r="J431" s="549">
        <v>1</v>
      </c>
      <c r="K431" s="557">
        <v>0</v>
      </c>
      <c r="L431" s="549">
        <v>7</v>
      </c>
    </row>
    <row r="432" spans="1:12" s="543" customFormat="1" ht="9" customHeight="1" x14ac:dyDescent="0.25">
      <c r="A432" s="546" t="s">
        <v>34</v>
      </c>
      <c r="B432" s="547">
        <f t="shared" si="23"/>
        <v>503</v>
      </c>
      <c r="C432" s="547">
        <v>5</v>
      </c>
      <c r="D432" s="547">
        <v>72</v>
      </c>
      <c r="E432" s="547">
        <v>118</v>
      </c>
      <c r="F432" s="547">
        <v>112</v>
      </c>
      <c r="G432" s="547">
        <v>71</v>
      </c>
      <c r="H432" s="547">
        <v>52</v>
      </c>
      <c r="I432" s="547">
        <v>16</v>
      </c>
      <c r="J432" s="547">
        <v>0</v>
      </c>
      <c r="K432" s="556">
        <v>0</v>
      </c>
      <c r="L432" s="547">
        <v>57</v>
      </c>
    </row>
    <row r="433" spans="1:12" s="543" customFormat="1" ht="9" customHeight="1" x14ac:dyDescent="0.25">
      <c r="A433" s="546" t="s">
        <v>35</v>
      </c>
      <c r="B433" s="547">
        <f t="shared" si="23"/>
        <v>1748</v>
      </c>
      <c r="C433" s="547">
        <v>5</v>
      </c>
      <c r="D433" s="547">
        <v>218</v>
      </c>
      <c r="E433" s="547">
        <v>411</v>
      </c>
      <c r="F433" s="547">
        <v>362</v>
      </c>
      <c r="G433" s="547">
        <v>303</v>
      </c>
      <c r="H433" s="547">
        <v>221</v>
      </c>
      <c r="I433" s="547">
        <v>60</v>
      </c>
      <c r="J433" s="547">
        <v>5</v>
      </c>
      <c r="K433" s="556">
        <v>0</v>
      </c>
      <c r="L433" s="547">
        <v>163</v>
      </c>
    </row>
    <row r="434" spans="1:12" s="543" customFormat="1" ht="9" customHeight="1" x14ac:dyDescent="0.25">
      <c r="A434" s="546" t="s">
        <v>36</v>
      </c>
      <c r="B434" s="547">
        <f t="shared" si="23"/>
        <v>5321</v>
      </c>
      <c r="C434" s="547">
        <v>27</v>
      </c>
      <c r="D434" s="547">
        <v>861</v>
      </c>
      <c r="E434" s="547">
        <v>1379</v>
      </c>
      <c r="F434" s="547">
        <v>1213</v>
      </c>
      <c r="G434" s="547">
        <v>936</v>
      </c>
      <c r="H434" s="547">
        <v>520</v>
      </c>
      <c r="I434" s="547">
        <v>165</v>
      </c>
      <c r="J434" s="547">
        <v>10</v>
      </c>
      <c r="K434" s="556">
        <v>2</v>
      </c>
      <c r="L434" s="547">
        <v>208</v>
      </c>
    </row>
    <row r="435" spans="1:12" s="543" customFormat="1" ht="9" customHeight="1" x14ac:dyDescent="0.25">
      <c r="A435" s="548" t="s">
        <v>37</v>
      </c>
      <c r="B435" s="549">
        <f t="shared" si="23"/>
        <v>623</v>
      </c>
      <c r="C435" s="549">
        <v>2</v>
      </c>
      <c r="D435" s="549">
        <v>76</v>
      </c>
      <c r="E435" s="549">
        <v>139</v>
      </c>
      <c r="F435" s="549">
        <v>144</v>
      </c>
      <c r="G435" s="549">
        <v>113</v>
      </c>
      <c r="H435" s="549">
        <v>75</v>
      </c>
      <c r="I435" s="549">
        <v>19</v>
      </c>
      <c r="J435" s="549">
        <v>5</v>
      </c>
      <c r="K435" s="557">
        <v>0</v>
      </c>
      <c r="L435" s="549">
        <v>50</v>
      </c>
    </row>
    <row r="436" spans="1:12" s="543" customFormat="1" ht="9" customHeight="1" x14ac:dyDescent="0.25">
      <c r="A436" s="546" t="s">
        <v>38</v>
      </c>
      <c r="B436" s="547">
        <f t="shared" si="23"/>
        <v>334</v>
      </c>
      <c r="C436" s="547">
        <v>0</v>
      </c>
      <c r="D436" s="551">
        <v>37</v>
      </c>
      <c r="E436" s="547">
        <v>84</v>
      </c>
      <c r="F436" s="547">
        <v>78</v>
      </c>
      <c r="G436" s="547">
        <v>47</v>
      </c>
      <c r="H436" s="547">
        <v>42</v>
      </c>
      <c r="I436" s="547">
        <v>8</v>
      </c>
      <c r="J436" s="547">
        <v>0</v>
      </c>
      <c r="K436" s="556">
        <v>0</v>
      </c>
      <c r="L436" s="547">
        <v>38</v>
      </c>
    </row>
    <row r="437" spans="1:12" s="543" customFormat="1" ht="9" customHeight="1" x14ac:dyDescent="0.25">
      <c r="A437" s="546" t="s">
        <v>39</v>
      </c>
      <c r="B437" s="547">
        <f t="shared" si="23"/>
        <v>76</v>
      </c>
      <c r="C437" s="547">
        <v>0</v>
      </c>
      <c r="D437" s="547">
        <v>9</v>
      </c>
      <c r="E437" s="547">
        <v>17</v>
      </c>
      <c r="F437" s="547">
        <v>18</v>
      </c>
      <c r="G437" s="547">
        <v>15</v>
      </c>
      <c r="H437" s="547">
        <v>9</v>
      </c>
      <c r="I437" s="547">
        <v>3</v>
      </c>
      <c r="J437" s="547">
        <v>0</v>
      </c>
      <c r="K437" s="556">
        <v>0</v>
      </c>
      <c r="L437" s="547">
        <v>5</v>
      </c>
    </row>
    <row r="438" spans="1:12" s="543" customFormat="1" ht="9" customHeight="1" x14ac:dyDescent="0.25">
      <c r="A438" s="546" t="s">
        <v>40</v>
      </c>
      <c r="B438" s="547">
        <f t="shared" si="23"/>
        <v>735</v>
      </c>
      <c r="C438" s="547">
        <v>2</v>
      </c>
      <c r="D438" s="547">
        <v>129</v>
      </c>
      <c r="E438" s="547">
        <v>163</v>
      </c>
      <c r="F438" s="547">
        <v>145</v>
      </c>
      <c r="G438" s="547">
        <v>134</v>
      </c>
      <c r="H438" s="547">
        <v>64</v>
      </c>
      <c r="I438" s="547">
        <v>28</v>
      </c>
      <c r="J438" s="547">
        <v>0</v>
      </c>
      <c r="K438" s="556">
        <v>0</v>
      </c>
      <c r="L438" s="547">
        <v>70</v>
      </c>
    </row>
    <row r="439" spans="1:12" s="543" customFormat="1" ht="9" customHeight="1" x14ac:dyDescent="0.25">
      <c r="A439" s="548" t="s">
        <v>41</v>
      </c>
      <c r="B439" s="549">
        <f t="shared" si="23"/>
        <v>691</v>
      </c>
      <c r="C439" s="549">
        <v>5</v>
      </c>
      <c r="D439" s="549">
        <v>106</v>
      </c>
      <c r="E439" s="549">
        <v>164</v>
      </c>
      <c r="F439" s="549">
        <v>137</v>
      </c>
      <c r="G439" s="549">
        <v>121</v>
      </c>
      <c r="H439" s="549">
        <v>81</v>
      </c>
      <c r="I439" s="549">
        <v>30</v>
      </c>
      <c r="J439" s="549">
        <v>4</v>
      </c>
      <c r="K439" s="557">
        <v>0</v>
      </c>
      <c r="L439" s="549">
        <v>43</v>
      </c>
    </row>
    <row r="440" spans="1:12" s="543" customFormat="1" ht="9" customHeight="1" x14ac:dyDescent="0.25">
      <c r="A440" s="546" t="s">
        <v>42</v>
      </c>
      <c r="B440" s="547">
        <f t="shared" si="23"/>
        <v>1566</v>
      </c>
      <c r="C440" s="547">
        <v>6</v>
      </c>
      <c r="D440" s="547">
        <v>216</v>
      </c>
      <c r="E440" s="547">
        <v>364</v>
      </c>
      <c r="F440" s="547">
        <v>360</v>
      </c>
      <c r="G440" s="547">
        <v>243</v>
      </c>
      <c r="H440" s="547">
        <v>170</v>
      </c>
      <c r="I440" s="547">
        <v>59</v>
      </c>
      <c r="J440" s="547">
        <v>9</v>
      </c>
      <c r="K440" s="556">
        <v>0</v>
      </c>
      <c r="L440" s="547">
        <v>139</v>
      </c>
    </row>
    <row r="441" spans="1:12" s="543" customFormat="1" ht="9" customHeight="1" x14ac:dyDescent="0.25">
      <c r="A441" s="546" t="s">
        <v>43</v>
      </c>
      <c r="B441" s="547">
        <f t="shared" si="23"/>
        <v>351</v>
      </c>
      <c r="C441" s="547">
        <v>3</v>
      </c>
      <c r="D441" s="547">
        <v>43</v>
      </c>
      <c r="E441" s="547">
        <v>77</v>
      </c>
      <c r="F441" s="547">
        <v>96</v>
      </c>
      <c r="G441" s="547">
        <v>73</v>
      </c>
      <c r="H441" s="547">
        <v>28</v>
      </c>
      <c r="I441" s="547">
        <v>15</v>
      </c>
      <c r="J441" s="547">
        <v>2</v>
      </c>
      <c r="K441" s="556">
        <v>0</v>
      </c>
      <c r="L441" s="547">
        <v>14</v>
      </c>
    </row>
    <row r="442" spans="1:12" s="543" customFormat="1" ht="9" customHeight="1" x14ac:dyDescent="0.25">
      <c r="A442" s="546" t="s">
        <v>44</v>
      </c>
      <c r="B442" s="547">
        <f t="shared" si="23"/>
        <v>274</v>
      </c>
      <c r="C442" s="547">
        <v>3</v>
      </c>
      <c r="D442" s="547">
        <v>35</v>
      </c>
      <c r="E442" s="547">
        <v>63</v>
      </c>
      <c r="F442" s="547">
        <v>53</v>
      </c>
      <c r="G442" s="547">
        <v>53</v>
      </c>
      <c r="H442" s="547">
        <v>21</v>
      </c>
      <c r="I442" s="547">
        <v>13</v>
      </c>
      <c r="J442" s="547">
        <v>0</v>
      </c>
      <c r="K442" s="556">
        <v>0</v>
      </c>
      <c r="L442" s="547">
        <v>33</v>
      </c>
    </row>
    <row r="443" spans="1:12" s="543" customFormat="1" ht="9" customHeight="1" x14ac:dyDescent="0.25">
      <c r="A443" s="548" t="s">
        <v>45</v>
      </c>
      <c r="B443" s="549">
        <f t="shared" si="23"/>
        <v>462</v>
      </c>
      <c r="C443" s="549">
        <v>2</v>
      </c>
      <c r="D443" s="549">
        <v>74</v>
      </c>
      <c r="E443" s="549">
        <v>99</v>
      </c>
      <c r="F443" s="549">
        <v>96</v>
      </c>
      <c r="G443" s="549">
        <v>81</v>
      </c>
      <c r="H443" s="549">
        <v>44</v>
      </c>
      <c r="I443" s="549">
        <v>14</v>
      </c>
      <c r="J443" s="549">
        <v>0</v>
      </c>
      <c r="K443" s="557">
        <v>0</v>
      </c>
      <c r="L443" s="549">
        <v>52</v>
      </c>
    </row>
    <row r="444" spans="1:12" s="543" customFormat="1" ht="9" customHeight="1" x14ac:dyDescent="0.25">
      <c r="A444" s="546" t="s">
        <v>46</v>
      </c>
      <c r="B444" s="547">
        <f t="shared" si="23"/>
        <v>47</v>
      </c>
      <c r="C444" s="547">
        <v>0</v>
      </c>
      <c r="D444" s="547">
        <v>8</v>
      </c>
      <c r="E444" s="547">
        <v>11</v>
      </c>
      <c r="F444" s="547">
        <v>11</v>
      </c>
      <c r="G444" s="547">
        <v>6</v>
      </c>
      <c r="H444" s="547">
        <v>4</v>
      </c>
      <c r="I444" s="547">
        <v>0</v>
      </c>
      <c r="J444" s="547">
        <v>1</v>
      </c>
      <c r="K444" s="556">
        <v>0</v>
      </c>
      <c r="L444" s="547">
        <v>6</v>
      </c>
    </row>
    <row r="445" spans="1:12" s="543" customFormat="1" ht="9" customHeight="1" x14ac:dyDescent="0.25">
      <c r="A445" s="546" t="s">
        <v>47</v>
      </c>
      <c r="B445" s="547">
        <f t="shared" si="23"/>
        <v>416</v>
      </c>
      <c r="C445" s="547">
        <v>2</v>
      </c>
      <c r="D445" s="547">
        <v>60</v>
      </c>
      <c r="E445" s="547">
        <v>104</v>
      </c>
      <c r="F445" s="547">
        <v>101</v>
      </c>
      <c r="G445" s="547">
        <v>72</v>
      </c>
      <c r="H445" s="547">
        <v>34</v>
      </c>
      <c r="I445" s="547">
        <v>9</v>
      </c>
      <c r="J445" s="547">
        <v>1</v>
      </c>
      <c r="K445" s="556">
        <v>0</v>
      </c>
      <c r="L445" s="547">
        <v>33</v>
      </c>
    </row>
    <row r="446" spans="1:12" s="543" customFormat="1" ht="9" customHeight="1" x14ac:dyDescent="0.25">
      <c r="A446" s="546" t="s">
        <v>48</v>
      </c>
      <c r="B446" s="547">
        <f t="shared" si="23"/>
        <v>375</v>
      </c>
      <c r="C446" s="547">
        <v>3</v>
      </c>
      <c r="D446" s="547">
        <v>57</v>
      </c>
      <c r="E446" s="547">
        <v>97</v>
      </c>
      <c r="F446" s="547">
        <v>86</v>
      </c>
      <c r="G446" s="547">
        <v>62</v>
      </c>
      <c r="H446" s="547">
        <v>37</v>
      </c>
      <c r="I446" s="547">
        <v>11</v>
      </c>
      <c r="J446" s="547">
        <v>2</v>
      </c>
      <c r="K446" s="556">
        <v>0</v>
      </c>
      <c r="L446" s="547">
        <v>20</v>
      </c>
    </row>
    <row r="447" spans="1:12" s="543" customFormat="1" ht="9" customHeight="1" x14ac:dyDescent="0.25">
      <c r="A447" s="548" t="s">
        <v>49</v>
      </c>
      <c r="B447" s="549">
        <f t="shared" si="23"/>
        <v>345</v>
      </c>
      <c r="C447" s="549">
        <v>1</v>
      </c>
      <c r="D447" s="549">
        <v>38</v>
      </c>
      <c r="E447" s="549">
        <v>104</v>
      </c>
      <c r="F447" s="549">
        <v>86</v>
      </c>
      <c r="G447" s="549">
        <v>70</v>
      </c>
      <c r="H447" s="549">
        <v>23</v>
      </c>
      <c r="I447" s="549">
        <v>9</v>
      </c>
      <c r="J447" s="549">
        <v>0</v>
      </c>
      <c r="K447" s="557">
        <v>0</v>
      </c>
      <c r="L447" s="549">
        <v>14</v>
      </c>
    </row>
    <row r="448" spans="1:12" s="543" customFormat="1" ht="9" customHeight="1" x14ac:dyDescent="0.25">
      <c r="A448" s="546" t="s">
        <v>50</v>
      </c>
      <c r="B448" s="547">
        <f t="shared" si="23"/>
        <v>311</v>
      </c>
      <c r="C448" s="547">
        <v>1</v>
      </c>
      <c r="D448" s="547">
        <v>53</v>
      </c>
      <c r="E448" s="547">
        <v>83</v>
      </c>
      <c r="F448" s="547">
        <v>57</v>
      </c>
      <c r="G448" s="547">
        <v>49</v>
      </c>
      <c r="H448" s="547">
        <v>34</v>
      </c>
      <c r="I448" s="547">
        <v>9</v>
      </c>
      <c r="J448" s="547">
        <v>1</v>
      </c>
      <c r="K448" s="556">
        <v>0</v>
      </c>
      <c r="L448" s="547">
        <v>24</v>
      </c>
    </row>
    <row r="449" spans="1:12" s="543" customFormat="1" ht="9" customHeight="1" x14ac:dyDescent="0.25">
      <c r="A449" s="546" t="s">
        <v>51</v>
      </c>
      <c r="B449" s="547">
        <f t="shared" si="23"/>
        <v>1364</v>
      </c>
      <c r="C449" s="547">
        <v>6</v>
      </c>
      <c r="D449" s="547">
        <v>218</v>
      </c>
      <c r="E449" s="547">
        <v>320</v>
      </c>
      <c r="F449" s="547">
        <v>281</v>
      </c>
      <c r="G449" s="547">
        <v>218</v>
      </c>
      <c r="H449" s="547">
        <v>159</v>
      </c>
      <c r="I449" s="547">
        <v>56</v>
      </c>
      <c r="J449" s="547">
        <v>1</v>
      </c>
      <c r="K449" s="556">
        <v>0</v>
      </c>
      <c r="L449" s="547">
        <v>105</v>
      </c>
    </row>
    <row r="450" spans="1:12" s="543" customFormat="1" ht="9" customHeight="1" x14ac:dyDescent="0.25">
      <c r="A450" s="546" t="s">
        <v>52</v>
      </c>
      <c r="B450" s="547">
        <f t="shared" si="23"/>
        <v>319</v>
      </c>
      <c r="C450" s="547">
        <v>4</v>
      </c>
      <c r="D450" s="547">
        <v>49</v>
      </c>
      <c r="E450" s="547">
        <v>77</v>
      </c>
      <c r="F450" s="547">
        <v>73</v>
      </c>
      <c r="G450" s="547">
        <v>43</v>
      </c>
      <c r="H450" s="547">
        <v>34</v>
      </c>
      <c r="I450" s="547">
        <v>19</v>
      </c>
      <c r="J450" s="547">
        <v>1</v>
      </c>
      <c r="K450" s="556">
        <v>0</v>
      </c>
      <c r="L450" s="547">
        <v>19</v>
      </c>
    </row>
    <row r="451" spans="1:12" s="543" customFormat="1" ht="9" customHeight="1" x14ac:dyDescent="0.25">
      <c r="A451" s="548" t="s">
        <v>53</v>
      </c>
      <c r="B451" s="549">
        <f t="shared" si="23"/>
        <v>299</v>
      </c>
      <c r="C451" s="549">
        <v>1</v>
      </c>
      <c r="D451" s="549">
        <v>42</v>
      </c>
      <c r="E451" s="549">
        <v>57</v>
      </c>
      <c r="F451" s="549">
        <v>59</v>
      </c>
      <c r="G451" s="549">
        <v>67</v>
      </c>
      <c r="H451" s="549">
        <v>35</v>
      </c>
      <c r="I451" s="549">
        <v>13</v>
      </c>
      <c r="J451" s="549">
        <v>0</v>
      </c>
      <c r="K451" s="557">
        <v>1</v>
      </c>
      <c r="L451" s="549">
        <v>24</v>
      </c>
    </row>
    <row r="452" spans="1:12" s="543" customFormat="1" ht="9" customHeight="1" x14ac:dyDescent="0.25">
      <c r="A452" s="546" t="s">
        <v>434</v>
      </c>
      <c r="B452" s="547">
        <f t="shared" si="23"/>
        <v>10</v>
      </c>
      <c r="C452" s="547">
        <v>0</v>
      </c>
      <c r="D452" s="547">
        <v>0</v>
      </c>
      <c r="E452" s="547">
        <v>5</v>
      </c>
      <c r="F452" s="547">
        <v>3</v>
      </c>
      <c r="G452" s="547">
        <v>2</v>
      </c>
      <c r="H452" s="547">
        <v>0</v>
      </c>
      <c r="I452" s="547">
        <v>0</v>
      </c>
      <c r="J452" s="547">
        <v>0</v>
      </c>
      <c r="K452" s="556">
        <v>0</v>
      </c>
      <c r="L452" s="547">
        <v>0</v>
      </c>
    </row>
    <row r="453" spans="1:12" s="543" customFormat="1" ht="9" customHeight="1" x14ac:dyDescent="0.25">
      <c r="A453" s="546"/>
      <c r="B453" s="547"/>
      <c r="C453" s="547"/>
      <c r="D453" s="547"/>
      <c r="E453" s="547"/>
      <c r="F453" s="547"/>
      <c r="G453" s="547"/>
      <c r="H453" s="547"/>
      <c r="I453" s="547"/>
      <c r="J453" s="547"/>
      <c r="K453" s="556"/>
      <c r="L453" s="547"/>
    </row>
    <row r="454" spans="1:12" s="562" customFormat="1" ht="9" customHeight="1" x14ac:dyDescent="0.25">
      <c r="A454" s="558">
        <v>2007</v>
      </c>
      <c r="B454" s="559"/>
      <c r="C454" s="560"/>
      <c r="D454" s="560"/>
      <c r="E454" s="561"/>
      <c r="F454" s="561"/>
      <c r="G454" s="560"/>
      <c r="H454" s="560"/>
      <c r="I454" s="560"/>
      <c r="J454" s="560"/>
      <c r="K454" s="560"/>
      <c r="L454" s="560"/>
    </row>
    <row r="455" spans="1:12" s="562" customFormat="1" ht="9" customHeight="1" x14ac:dyDescent="0.25">
      <c r="A455" s="558" t="s">
        <v>13</v>
      </c>
      <c r="B455" s="563">
        <f t="shared" ref="B455:L455" si="24">SUM(B457:B489)</f>
        <v>23307</v>
      </c>
      <c r="C455" s="563">
        <f t="shared" si="24"/>
        <v>122</v>
      </c>
      <c r="D455" s="563">
        <f t="shared" si="24"/>
        <v>3582</v>
      </c>
      <c r="E455" s="563">
        <f t="shared" si="24"/>
        <v>5672</v>
      </c>
      <c r="F455" s="563">
        <f t="shared" si="24"/>
        <v>4929</v>
      </c>
      <c r="G455" s="563">
        <f t="shared" si="24"/>
        <v>4057</v>
      </c>
      <c r="H455" s="563">
        <f t="shared" si="24"/>
        <v>2453</v>
      </c>
      <c r="I455" s="563">
        <f t="shared" si="24"/>
        <v>751</v>
      </c>
      <c r="J455" s="563">
        <f t="shared" si="24"/>
        <v>67</v>
      </c>
      <c r="K455" s="563">
        <f t="shared" si="24"/>
        <v>4</v>
      </c>
      <c r="L455" s="563">
        <f t="shared" si="24"/>
        <v>1670</v>
      </c>
    </row>
    <row r="456" spans="1:12" s="562" customFormat="1" ht="3.95" customHeight="1" x14ac:dyDescent="0.25">
      <c r="A456" s="558"/>
      <c r="B456" s="563"/>
      <c r="C456" s="563"/>
      <c r="D456" s="563"/>
      <c r="E456" s="563"/>
      <c r="F456" s="563"/>
      <c r="G456" s="563"/>
      <c r="H456" s="563"/>
      <c r="I456" s="563"/>
      <c r="J456" s="563"/>
      <c r="K456" s="563"/>
      <c r="L456" s="563"/>
    </row>
    <row r="457" spans="1:12" s="562" customFormat="1" ht="9" customHeight="1" x14ac:dyDescent="0.25">
      <c r="A457" s="564" t="s">
        <v>23</v>
      </c>
      <c r="B457" s="565">
        <f t="shared" ref="B457:B489" si="25">SUM(C457:L457)</f>
        <v>218</v>
      </c>
      <c r="C457" s="565">
        <v>0</v>
      </c>
      <c r="D457" s="565">
        <v>37</v>
      </c>
      <c r="E457" s="565">
        <v>51</v>
      </c>
      <c r="F457" s="565">
        <v>49</v>
      </c>
      <c r="G457" s="565">
        <v>42</v>
      </c>
      <c r="H457" s="565">
        <v>22</v>
      </c>
      <c r="I457" s="565">
        <v>8</v>
      </c>
      <c r="J457" s="565">
        <v>0</v>
      </c>
      <c r="K457" s="566">
        <v>0</v>
      </c>
      <c r="L457" s="565">
        <v>9</v>
      </c>
    </row>
    <row r="458" spans="1:12" s="562" customFormat="1" ht="9" customHeight="1" x14ac:dyDescent="0.25">
      <c r="A458" s="564" t="s">
        <v>24</v>
      </c>
      <c r="B458" s="565">
        <f t="shared" si="25"/>
        <v>839</v>
      </c>
      <c r="C458" s="565">
        <v>6</v>
      </c>
      <c r="D458" s="565">
        <v>141</v>
      </c>
      <c r="E458" s="565">
        <v>201</v>
      </c>
      <c r="F458" s="565">
        <v>165</v>
      </c>
      <c r="G458" s="565">
        <v>128</v>
      </c>
      <c r="H458" s="565">
        <v>72</v>
      </c>
      <c r="I458" s="565">
        <v>18</v>
      </c>
      <c r="J458" s="565">
        <v>0</v>
      </c>
      <c r="K458" s="566">
        <v>0</v>
      </c>
      <c r="L458" s="565">
        <v>108</v>
      </c>
    </row>
    <row r="459" spans="1:12" s="562" customFormat="1" ht="9" customHeight="1" x14ac:dyDescent="0.25">
      <c r="A459" s="564" t="s">
        <v>25</v>
      </c>
      <c r="B459" s="565">
        <f t="shared" si="25"/>
        <v>138</v>
      </c>
      <c r="C459" s="565">
        <v>1</v>
      </c>
      <c r="D459" s="565">
        <v>19</v>
      </c>
      <c r="E459" s="565">
        <v>38</v>
      </c>
      <c r="F459" s="565">
        <v>24</v>
      </c>
      <c r="G459" s="565">
        <v>27</v>
      </c>
      <c r="H459" s="565">
        <v>13</v>
      </c>
      <c r="I459" s="565">
        <v>6</v>
      </c>
      <c r="J459" s="565">
        <v>0</v>
      </c>
      <c r="K459" s="566">
        <v>0</v>
      </c>
      <c r="L459" s="565">
        <v>10</v>
      </c>
    </row>
    <row r="460" spans="1:12" s="562" customFormat="1" ht="9" customHeight="1" x14ac:dyDescent="0.25">
      <c r="A460" s="567" t="s">
        <v>26</v>
      </c>
      <c r="B460" s="568">
        <f t="shared" si="25"/>
        <v>93</v>
      </c>
      <c r="C460" s="568">
        <v>0</v>
      </c>
      <c r="D460" s="568">
        <v>12</v>
      </c>
      <c r="E460" s="568">
        <v>29</v>
      </c>
      <c r="F460" s="568">
        <v>15</v>
      </c>
      <c r="G460" s="568">
        <v>17</v>
      </c>
      <c r="H460" s="568">
        <v>10</v>
      </c>
      <c r="I460" s="568">
        <v>1</v>
      </c>
      <c r="J460" s="568">
        <v>1</v>
      </c>
      <c r="K460" s="569">
        <v>0</v>
      </c>
      <c r="L460" s="568">
        <v>8</v>
      </c>
    </row>
    <row r="461" spans="1:12" s="562" customFormat="1" ht="9" customHeight="1" x14ac:dyDescent="0.25">
      <c r="A461" s="564" t="s">
        <v>27</v>
      </c>
      <c r="B461" s="565">
        <f t="shared" si="25"/>
        <v>199</v>
      </c>
      <c r="C461" s="565">
        <v>1</v>
      </c>
      <c r="D461" s="565">
        <v>36</v>
      </c>
      <c r="E461" s="570">
        <v>44</v>
      </c>
      <c r="F461" s="565">
        <v>38</v>
      </c>
      <c r="G461" s="565">
        <v>43</v>
      </c>
      <c r="H461" s="565">
        <v>16</v>
      </c>
      <c r="I461" s="565">
        <v>4</v>
      </c>
      <c r="J461" s="565">
        <v>0</v>
      </c>
      <c r="K461" s="566">
        <v>0</v>
      </c>
      <c r="L461" s="565">
        <v>17</v>
      </c>
    </row>
    <row r="462" spans="1:12" s="562" customFormat="1" ht="9" customHeight="1" x14ac:dyDescent="0.25">
      <c r="A462" s="564" t="s">
        <v>28</v>
      </c>
      <c r="B462" s="565">
        <f t="shared" si="25"/>
        <v>101</v>
      </c>
      <c r="C462" s="565">
        <v>0</v>
      </c>
      <c r="D462" s="565">
        <v>17</v>
      </c>
      <c r="E462" s="565">
        <v>34</v>
      </c>
      <c r="F462" s="565">
        <v>14</v>
      </c>
      <c r="G462" s="565">
        <v>17</v>
      </c>
      <c r="H462" s="565">
        <v>6</v>
      </c>
      <c r="I462" s="565">
        <v>2</v>
      </c>
      <c r="J462" s="565">
        <v>0</v>
      </c>
      <c r="K462" s="566">
        <v>0</v>
      </c>
      <c r="L462" s="565">
        <v>11</v>
      </c>
    </row>
    <row r="463" spans="1:12" s="562" customFormat="1" ht="9" customHeight="1" x14ac:dyDescent="0.25">
      <c r="A463" s="564" t="s">
        <v>29</v>
      </c>
      <c r="B463" s="565">
        <f t="shared" si="25"/>
        <v>931</v>
      </c>
      <c r="C463" s="565">
        <v>9</v>
      </c>
      <c r="D463" s="565">
        <v>142</v>
      </c>
      <c r="E463" s="565">
        <v>248</v>
      </c>
      <c r="F463" s="565">
        <v>178</v>
      </c>
      <c r="G463" s="565">
        <v>146</v>
      </c>
      <c r="H463" s="565">
        <v>100</v>
      </c>
      <c r="I463" s="565">
        <v>39</v>
      </c>
      <c r="J463" s="565">
        <v>2</v>
      </c>
      <c r="K463" s="566">
        <v>0</v>
      </c>
      <c r="L463" s="565">
        <v>67</v>
      </c>
    </row>
    <row r="464" spans="1:12" s="562" customFormat="1" ht="9" customHeight="1" x14ac:dyDescent="0.25">
      <c r="A464" s="567" t="s">
        <v>30</v>
      </c>
      <c r="B464" s="568">
        <f t="shared" si="25"/>
        <v>688</v>
      </c>
      <c r="C464" s="568">
        <v>3</v>
      </c>
      <c r="D464" s="568">
        <v>104</v>
      </c>
      <c r="E464" s="568">
        <v>178</v>
      </c>
      <c r="F464" s="568">
        <v>132</v>
      </c>
      <c r="G464" s="568">
        <v>114</v>
      </c>
      <c r="H464" s="568">
        <v>71</v>
      </c>
      <c r="I464" s="568">
        <v>21</v>
      </c>
      <c r="J464" s="568">
        <v>1</v>
      </c>
      <c r="K464" s="569">
        <v>0</v>
      </c>
      <c r="L464" s="568">
        <v>64</v>
      </c>
    </row>
    <row r="465" spans="1:12" s="562" customFormat="1" ht="9" customHeight="1" x14ac:dyDescent="0.25">
      <c r="A465" s="550" t="s">
        <v>63</v>
      </c>
      <c r="B465" s="565">
        <f t="shared" si="25"/>
        <v>2646</v>
      </c>
      <c r="C465" s="565">
        <v>12</v>
      </c>
      <c r="D465" s="565">
        <v>397</v>
      </c>
      <c r="E465" s="565">
        <v>638</v>
      </c>
      <c r="F465" s="565">
        <v>593</v>
      </c>
      <c r="G465" s="565">
        <v>484</v>
      </c>
      <c r="H465" s="565">
        <v>302</v>
      </c>
      <c r="I465" s="565">
        <v>96</v>
      </c>
      <c r="J465" s="565">
        <v>4</v>
      </c>
      <c r="K465" s="566">
        <v>0</v>
      </c>
      <c r="L465" s="565">
        <v>120</v>
      </c>
    </row>
    <row r="466" spans="1:12" s="562" customFormat="1" ht="9" customHeight="1" x14ac:dyDescent="0.25">
      <c r="A466" s="564" t="s">
        <v>31</v>
      </c>
      <c r="B466" s="565">
        <f t="shared" si="25"/>
        <v>263</v>
      </c>
      <c r="C466" s="565">
        <v>2</v>
      </c>
      <c r="D466" s="565">
        <v>49</v>
      </c>
      <c r="E466" s="565">
        <v>66</v>
      </c>
      <c r="F466" s="565">
        <v>61</v>
      </c>
      <c r="G466" s="565">
        <v>45</v>
      </c>
      <c r="H466" s="565">
        <v>22</v>
      </c>
      <c r="I466" s="565">
        <v>4</v>
      </c>
      <c r="J466" s="565">
        <v>1</v>
      </c>
      <c r="K466" s="566">
        <v>1</v>
      </c>
      <c r="L466" s="565">
        <v>12</v>
      </c>
    </row>
    <row r="467" spans="1:12" s="562" customFormat="1" ht="9" customHeight="1" x14ac:dyDescent="0.25">
      <c r="A467" s="564" t="s">
        <v>32</v>
      </c>
      <c r="B467" s="565">
        <f t="shared" si="25"/>
        <v>1406</v>
      </c>
      <c r="C467" s="565">
        <v>12</v>
      </c>
      <c r="D467" s="565">
        <v>203</v>
      </c>
      <c r="E467" s="565">
        <v>340</v>
      </c>
      <c r="F467" s="565">
        <v>281</v>
      </c>
      <c r="G467" s="565">
        <v>227</v>
      </c>
      <c r="H467" s="565">
        <v>177</v>
      </c>
      <c r="I467" s="565">
        <v>52</v>
      </c>
      <c r="J467" s="565">
        <v>6</v>
      </c>
      <c r="K467" s="566">
        <v>0</v>
      </c>
      <c r="L467" s="565">
        <v>108</v>
      </c>
    </row>
    <row r="468" spans="1:12" s="562" customFormat="1" ht="9" customHeight="1" x14ac:dyDescent="0.25">
      <c r="A468" s="567" t="s">
        <v>33</v>
      </c>
      <c r="B468" s="568">
        <f t="shared" si="25"/>
        <v>117</v>
      </c>
      <c r="C468" s="568">
        <v>0</v>
      </c>
      <c r="D468" s="568">
        <v>14</v>
      </c>
      <c r="E468" s="571">
        <v>25</v>
      </c>
      <c r="F468" s="568">
        <v>31</v>
      </c>
      <c r="G468" s="568">
        <v>19</v>
      </c>
      <c r="H468" s="568">
        <v>13</v>
      </c>
      <c r="I468" s="568">
        <v>5</v>
      </c>
      <c r="J468" s="568">
        <v>1</v>
      </c>
      <c r="K468" s="569">
        <v>0</v>
      </c>
      <c r="L468" s="568">
        <v>9</v>
      </c>
    </row>
    <row r="469" spans="1:12" s="562" customFormat="1" ht="9" customHeight="1" x14ac:dyDescent="0.25">
      <c r="A469" s="564" t="s">
        <v>34</v>
      </c>
      <c r="B469" s="565">
        <f t="shared" si="25"/>
        <v>532</v>
      </c>
      <c r="C469" s="565">
        <v>1</v>
      </c>
      <c r="D469" s="565">
        <v>76</v>
      </c>
      <c r="E469" s="565">
        <v>132</v>
      </c>
      <c r="F469" s="565">
        <v>114</v>
      </c>
      <c r="G469" s="565">
        <v>91</v>
      </c>
      <c r="H469" s="565">
        <v>55</v>
      </c>
      <c r="I469" s="565">
        <v>11</v>
      </c>
      <c r="J469" s="565">
        <v>2</v>
      </c>
      <c r="K469" s="566">
        <v>1</v>
      </c>
      <c r="L469" s="565">
        <v>49</v>
      </c>
    </row>
    <row r="470" spans="1:12" s="562" customFormat="1" ht="9" customHeight="1" x14ac:dyDescent="0.25">
      <c r="A470" s="564" t="s">
        <v>35</v>
      </c>
      <c r="B470" s="565">
        <f t="shared" si="25"/>
        <v>1744</v>
      </c>
      <c r="C470" s="565">
        <v>5</v>
      </c>
      <c r="D470" s="565">
        <v>231</v>
      </c>
      <c r="E470" s="565">
        <v>417</v>
      </c>
      <c r="F470" s="565">
        <v>365</v>
      </c>
      <c r="G470" s="565">
        <v>303</v>
      </c>
      <c r="H470" s="565">
        <v>179</v>
      </c>
      <c r="I470" s="565">
        <v>64</v>
      </c>
      <c r="J470" s="565">
        <v>5</v>
      </c>
      <c r="K470" s="566">
        <v>0</v>
      </c>
      <c r="L470" s="565">
        <v>175</v>
      </c>
    </row>
    <row r="471" spans="1:12" s="562" customFormat="1" ht="9" customHeight="1" x14ac:dyDescent="0.25">
      <c r="A471" s="564" t="s">
        <v>36</v>
      </c>
      <c r="B471" s="565">
        <f t="shared" si="25"/>
        <v>5069</v>
      </c>
      <c r="C471" s="565">
        <v>24</v>
      </c>
      <c r="D471" s="565">
        <v>842</v>
      </c>
      <c r="E471" s="565">
        <v>1288</v>
      </c>
      <c r="F471" s="565">
        <v>1128</v>
      </c>
      <c r="G471" s="565">
        <v>927</v>
      </c>
      <c r="H471" s="565">
        <v>494</v>
      </c>
      <c r="I471" s="565">
        <v>148</v>
      </c>
      <c r="J471" s="565">
        <v>11</v>
      </c>
      <c r="K471" s="566">
        <v>1</v>
      </c>
      <c r="L471" s="565">
        <v>206</v>
      </c>
    </row>
    <row r="472" spans="1:12" s="562" customFormat="1" ht="9" customHeight="1" x14ac:dyDescent="0.25">
      <c r="A472" s="567" t="s">
        <v>37</v>
      </c>
      <c r="B472" s="568">
        <f t="shared" si="25"/>
        <v>578</v>
      </c>
      <c r="C472" s="568">
        <v>4</v>
      </c>
      <c r="D472" s="568">
        <v>85</v>
      </c>
      <c r="E472" s="568">
        <v>142</v>
      </c>
      <c r="F472" s="568">
        <v>116</v>
      </c>
      <c r="G472" s="568">
        <v>85</v>
      </c>
      <c r="H472" s="568">
        <v>64</v>
      </c>
      <c r="I472" s="568">
        <v>22</v>
      </c>
      <c r="J472" s="568">
        <v>6</v>
      </c>
      <c r="K472" s="569">
        <v>0</v>
      </c>
      <c r="L472" s="568">
        <v>54</v>
      </c>
    </row>
    <row r="473" spans="1:12" s="562" customFormat="1" ht="9" customHeight="1" x14ac:dyDescent="0.25">
      <c r="A473" s="564" t="s">
        <v>38</v>
      </c>
      <c r="B473" s="565">
        <f t="shared" si="25"/>
        <v>237</v>
      </c>
      <c r="C473" s="565">
        <v>1</v>
      </c>
      <c r="D473" s="570">
        <v>35</v>
      </c>
      <c r="E473" s="565">
        <v>64</v>
      </c>
      <c r="F473" s="565">
        <v>53</v>
      </c>
      <c r="G473" s="565">
        <v>32</v>
      </c>
      <c r="H473" s="565">
        <v>24</v>
      </c>
      <c r="I473" s="565">
        <v>6</v>
      </c>
      <c r="J473" s="565">
        <v>1</v>
      </c>
      <c r="K473" s="566">
        <v>0</v>
      </c>
      <c r="L473" s="565">
        <v>21</v>
      </c>
    </row>
    <row r="474" spans="1:12" s="562" customFormat="1" ht="9" customHeight="1" x14ac:dyDescent="0.25">
      <c r="A474" s="564" t="s">
        <v>39</v>
      </c>
      <c r="B474" s="565">
        <f t="shared" si="25"/>
        <v>82</v>
      </c>
      <c r="C474" s="565">
        <v>0</v>
      </c>
      <c r="D474" s="565">
        <v>14</v>
      </c>
      <c r="E474" s="565">
        <v>20</v>
      </c>
      <c r="F474" s="565">
        <v>17</v>
      </c>
      <c r="G474" s="565">
        <v>11</v>
      </c>
      <c r="H474" s="565">
        <v>7</v>
      </c>
      <c r="I474" s="565">
        <v>4</v>
      </c>
      <c r="J474" s="565">
        <v>1</v>
      </c>
      <c r="K474" s="566">
        <v>0</v>
      </c>
      <c r="L474" s="565">
        <v>8</v>
      </c>
    </row>
    <row r="475" spans="1:12" s="562" customFormat="1" ht="9" customHeight="1" x14ac:dyDescent="0.25">
      <c r="A475" s="564" t="s">
        <v>40</v>
      </c>
      <c r="B475" s="565">
        <f t="shared" si="25"/>
        <v>808</v>
      </c>
      <c r="C475" s="565">
        <v>4</v>
      </c>
      <c r="D475" s="565">
        <v>136</v>
      </c>
      <c r="E475" s="565">
        <v>203</v>
      </c>
      <c r="F475" s="565">
        <v>152</v>
      </c>
      <c r="G475" s="565">
        <v>149</v>
      </c>
      <c r="H475" s="565">
        <v>73</v>
      </c>
      <c r="I475" s="565">
        <v>18</v>
      </c>
      <c r="J475" s="565">
        <v>2</v>
      </c>
      <c r="K475" s="566">
        <v>0</v>
      </c>
      <c r="L475" s="565">
        <v>71</v>
      </c>
    </row>
    <row r="476" spans="1:12" s="562" customFormat="1" ht="9" customHeight="1" x14ac:dyDescent="0.25">
      <c r="A476" s="567" t="s">
        <v>41</v>
      </c>
      <c r="B476" s="568">
        <f t="shared" si="25"/>
        <v>635</v>
      </c>
      <c r="C476" s="568">
        <v>3</v>
      </c>
      <c r="D476" s="568">
        <v>87</v>
      </c>
      <c r="E476" s="568">
        <v>125</v>
      </c>
      <c r="F476" s="568">
        <v>143</v>
      </c>
      <c r="G476" s="568">
        <v>129</v>
      </c>
      <c r="H476" s="568">
        <v>94</v>
      </c>
      <c r="I476" s="568">
        <v>20</v>
      </c>
      <c r="J476" s="568">
        <v>5</v>
      </c>
      <c r="K476" s="569">
        <v>0</v>
      </c>
      <c r="L476" s="568">
        <v>29</v>
      </c>
    </row>
    <row r="477" spans="1:12" s="562" customFormat="1" ht="9" customHeight="1" x14ac:dyDescent="0.25">
      <c r="A477" s="564" t="s">
        <v>42</v>
      </c>
      <c r="B477" s="565">
        <f t="shared" si="25"/>
        <v>1528</v>
      </c>
      <c r="C477" s="565">
        <v>9</v>
      </c>
      <c r="D477" s="565">
        <v>227</v>
      </c>
      <c r="E477" s="565">
        <v>335</v>
      </c>
      <c r="F477" s="565">
        <v>317</v>
      </c>
      <c r="G477" s="565">
        <v>243</v>
      </c>
      <c r="H477" s="565">
        <v>174</v>
      </c>
      <c r="I477" s="565">
        <v>51</v>
      </c>
      <c r="J477" s="565">
        <v>5</v>
      </c>
      <c r="K477" s="566">
        <v>0</v>
      </c>
      <c r="L477" s="565">
        <v>167</v>
      </c>
    </row>
    <row r="478" spans="1:12" s="562" customFormat="1" ht="9" customHeight="1" x14ac:dyDescent="0.25">
      <c r="A478" s="564" t="s">
        <v>43</v>
      </c>
      <c r="B478" s="565">
        <f t="shared" si="25"/>
        <v>341</v>
      </c>
      <c r="C478" s="565">
        <v>3</v>
      </c>
      <c r="D478" s="565">
        <v>48</v>
      </c>
      <c r="E478" s="565">
        <v>79</v>
      </c>
      <c r="F478" s="565">
        <v>81</v>
      </c>
      <c r="G478" s="565">
        <v>65</v>
      </c>
      <c r="H478" s="565">
        <v>32</v>
      </c>
      <c r="I478" s="565">
        <v>13</v>
      </c>
      <c r="J478" s="565">
        <v>1</v>
      </c>
      <c r="K478" s="566">
        <v>0</v>
      </c>
      <c r="L478" s="565">
        <v>19</v>
      </c>
    </row>
    <row r="479" spans="1:12" s="562" customFormat="1" ht="9" customHeight="1" x14ac:dyDescent="0.25">
      <c r="A479" s="564" t="s">
        <v>44</v>
      </c>
      <c r="B479" s="565">
        <f t="shared" si="25"/>
        <v>271</v>
      </c>
      <c r="C479" s="565">
        <v>1</v>
      </c>
      <c r="D479" s="565">
        <v>40</v>
      </c>
      <c r="E479" s="565">
        <v>61</v>
      </c>
      <c r="F479" s="565">
        <v>58</v>
      </c>
      <c r="G479" s="565">
        <v>52</v>
      </c>
      <c r="H479" s="565">
        <v>25</v>
      </c>
      <c r="I479" s="565">
        <v>9</v>
      </c>
      <c r="J479" s="565">
        <v>0</v>
      </c>
      <c r="K479" s="566">
        <v>0</v>
      </c>
      <c r="L479" s="565">
        <v>25</v>
      </c>
    </row>
    <row r="480" spans="1:12" s="562" customFormat="1" ht="9" customHeight="1" x14ac:dyDescent="0.25">
      <c r="A480" s="567" t="s">
        <v>45</v>
      </c>
      <c r="B480" s="568">
        <f t="shared" si="25"/>
        <v>497</v>
      </c>
      <c r="C480" s="568">
        <v>3</v>
      </c>
      <c r="D480" s="568">
        <v>76</v>
      </c>
      <c r="E480" s="568">
        <v>105</v>
      </c>
      <c r="F480" s="568">
        <v>105</v>
      </c>
      <c r="G480" s="568">
        <v>100</v>
      </c>
      <c r="H480" s="568">
        <v>51</v>
      </c>
      <c r="I480" s="568">
        <v>19</v>
      </c>
      <c r="J480" s="568">
        <v>2</v>
      </c>
      <c r="K480" s="569">
        <v>0</v>
      </c>
      <c r="L480" s="568">
        <v>36</v>
      </c>
    </row>
    <row r="481" spans="1:12" s="562" customFormat="1" ht="9" customHeight="1" x14ac:dyDescent="0.25">
      <c r="A481" s="564" t="s">
        <v>46</v>
      </c>
      <c r="B481" s="565">
        <f t="shared" si="25"/>
        <v>44</v>
      </c>
      <c r="C481" s="565">
        <v>0</v>
      </c>
      <c r="D481" s="565">
        <v>4</v>
      </c>
      <c r="E481" s="565">
        <v>14</v>
      </c>
      <c r="F481" s="565">
        <v>13</v>
      </c>
      <c r="G481" s="565">
        <v>7</v>
      </c>
      <c r="H481" s="565">
        <v>3</v>
      </c>
      <c r="I481" s="565">
        <v>1</v>
      </c>
      <c r="J481" s="565">
        <v>0</v>
      </c>
      <c r="K481" s="566">
        <v>0</v>
      </c>
      <c r="L481" s="565">
        <v>2</v>
      </c>
    </row>
    <row r="482" spans="1:12" s="562" customFormat="1" ht="9" customHeight="1" x14ac:dyDescent="0.25">
      <c r="A482" s="564" t="s">
        <v>47</v>
      </c>
      <c r="B482" s="565">
        <f t="shared" si="25"/>
        <v>381</v>
      </c>
      <c r="C482" s="565">
        <v>0</v>
      </c>
      <c r="D482" s="565">
        <v>76</v>
      </c>
      <c r="E482" s="565">
        <v>98</v>
      </c>
      <c r="F482" s="565">
        <v>73</v>
      </c>
      <c r="G482" s="565">
        <v>63</v>
      </c>
      <c r="H482" s="565">
        <v>29</v>
      </c>
      <c r="I482" s="565">
        <v>9</v>
      </c>
      <c r="J482" s="565">
        <v>1</v>
      </c>
      <c r="K482" s="566">
        <v>0</v>
      </c>
      <c r="L482" s="565">
        <v>32</v>
      </c>
    </row>
    <row r="483" spans="1:12" s="562" customFormat="1" ht="9" customHeight="1" x14ac:dyDescent="0.25">
      <c r="A483" s="564" t="s">
        <v>48</v>
      </c>
      <c r="B483" s="565">
        <f t="shared" si="25"/>
        <v>408</v>
      </c>
      <c r="C483" s="565">
        <v>2</v>
      </c>
      <c r="D483" s="565">
        <v>74</v>
      </c>
      <c r="E483" s="565">
        <v>92</v>
      </c>
      <c r="F483" s="565">
        <v>94</v>
      </c>
      <c r="G483" s="565">
        <v>66</v>
      </c>
      <c r="H483" s="565">
        <v>35</v>
      </c>
      <c r="I483" s="565">
        <v>20</v>
      </c>
      <c r="J483" s="565">
        <v>1</v>
      </c>
      <c r="K483" s="566">
        <v>0</v>
      </c>
      <c r="L483" s="565">
        <v>24</v>
      </c>
    </row>
    <row r="484" spans="1:12" s="562" customFormat="1" ht="9" customHeight="1" x14ac:dyDescent="0.25">
      <c r="A484" s="567" t="s">
        <v>49</v>
      </c>
      <c r="B484" s="568">
        <f t="shared" si="25"/>
        <v>303</v>
      </c>
      <c r="C484" s="568">
        <v>1</v>
      </c>
      <c r="D484" s="568">
        <v>49</v>
      </c>
      <c r="E484" s="568">
        <v>78</v>
      </c>
      <c r="F484" s="568">
        <v>65</v>
      </c>
      <c r="G484" s="568">
        <v>52</v>
      </c>
      <c r="H484" s="568">
        <v>34</v>
      </c>
      <c r="I484" s="568">
        <v>11</v>
      </c>
      <c r="J484" s="568">
        <v>0</v>
      </c>
      <c r="K484" s="569">
        <v>0</v>
      </c>
      <c r="L484" s="568">
        <v>13</v>
      </c>
    </row>
    <row r="485" spans="1:12" s="562" customFormat="1" ht="9" customHeight="1" x14ac:dyDescent="0.25">
      <c r="A485" s="564" t="s">
        <v>50</v>
      </c>
      <c r="B485" s="565">
        <f t="shared" si="25"/>
        <v>271</v>
      </c>
      <c r="C485" s="565">
        <v>1</v>
      </c>
      <c r="D485" s="565">
        <v>44</v>
      </c>
      <c r="E485" s="565">
        <v>63</v>
      </c>
      <c r="F485" s="565">
        <v>62</v>
      </c>
      <c r="G485" s="565">
        <v>45</v>
      </c>
      <c r="H485" s="565">
        <v>21</v>
      </c>
      <c r="I485" s="565">
        <v>5</v>
      </c>
      <c r="J485" s="565">
        <v>0</v>
      </c>
      <c r="K485" s="566">
        <v>0</v>
      </c>
      <c r="L485" s="565">
        <v>30</v>
      </c>
    </row>
    <row r="486" spans="1:12" s="562" customFormat="1" ht="9" customHeight="1" x14ac:dyDescent="0.25">
      <c r="A486" s="564" t="s">
        <v>51</v>
      </c>
      <c r="B486" s="565">
        <f t="shared" si="25"/>
        <v>1281</v>
      </c>
      <c r="C486" s="565">
        <v>11</v>
      </c>
      <c r="D486" s="565">
        <v>177</v>
      </c>
      <c r="E486" s="565">
        <v>314</v>
      </c>
      <c r="F486" s="565">
        <v>253</v>
      </c>
      <c r="G486" s="565">
        <v>220</v>
      </c>
      <c r="H486" s="565">
        <v>153</v>
      </c>
      <c r="I486" s="565">
        <v>41</v>
      </c>
      <c r="J486" s="565">
        <v>5</v>
      </c>
      <c r="K486" s="566">
        <v>1</v>
      </c>
      <c r="L486" s="565">
        <v>106</v>
      </c>
    </row>
    <row r="487" spans="1:12" s="562" customFormat="1" ht="9" customHeight="1" x14ac:dyDescent="0.25">
      <c r="A487" s="564" t="s">
        <v>52</v>
      </c>
      <c r="B487" s="565">
        <f t="shared" si="25"/>
        <v>367</v>
      </c>
      <c r="C487" s="565">
        <v>2</v>
      </c>
      <c r="D487" s="565">
        <v>46</v>
      </c>
      <c r="E487" s="565">
        <v>78</v>
      </c>
      <c r="F487" s="565">
        <v>75</v>
      </c>
      <c r="G487" s="565">
        <v>72</v>
      </c>
      <c r="H487" s="565">
        <v>43</v>
      </c>
      <c r="I487" s="565">
        <v>13</v>
      </c>
      <c r="J487" s="565">
        <v>3</v>
      </c>
      <c r="K487" s="566">
        <v>0</v>
      </c>
      <c r="L487" s="565">
        <v>35</v>
      </c>
    </row>
    <row r="488" spans="1:12" s="562" customFormat="1" ht="9" customHeight="1" x14ac:dyDescent="0.25">
      <c r="A488" s="567" t="s">
        <v>53</v>
      </c>
      <c r="B488" s="568">
        <f t="shared" si="25"/>
        <v>275</v>
      </c>
      <c r="C488" s="568">
        <v>1</v>
      </c>
      <c r="D488" s="568">
        <v>43</v>
      </c>
      <c r="E488" s="568">
        <v>68</v>
      </c>
      <c r="F488" s="568">
        <v>60</v>
      </c>
      <c r="G488" s="568">
        <v>35</v>
      </c>
      <c r="H488" s="568">
        <v>36</v>
      </c>
      <c r="I488" s="568">
        <v>10</v>
      </c>
      <c r="J488" s="568">
        <v>0</v>
      </c>
      <c r="K488" s="569">
        <v>0</v>
      </c>
      <c r="L488" s="568">
        <v>22</v>
      </c>
    </row>
    <row r="489" spans="1:12" s="562" customFormat="1" ht="9" customHeight="1" x14ac:dyDescent="0.25">
      <c r="A489" s="564" t="s">
        <v>434</v>
      </c>
      <c r="B489" s="565">
        <f t="shared" si="25"/>
        <v>16</v>
      </c>
      <c r="C489" s="565">
        <v>0</v>
      </c>
      <c r="D489" s="565">
        <v>1</v>
      </c>
      <c r="E489" s="565">
        <v>4</v>
      </c>
      <c r="F489" s="565">
        <v>4</v>
      </c>
      <c r="G489" s="565">
        <v>1</v>
      </c>
      <c r="H489" s="565">
        <v>3</v>
      </c>
      <c r="I489" s="565">
        <v>0</v>
      </c>
      <c r="J489" s="565">
        <v>0</v>
      </c>
      <c r="K489" s="566">
        <v>0</v>
      </c>
      <c r="L489" s="565">
        <v>3</v>
      </c>
    </row>
    <row r="490" spans="1:12" s="562" customFormat="1" ht="9" customHeight="1" x14ac:dyDescent="0.25">
      <c r="A490" s="564"/>
      <c r="B490" s="565"/>
      <c r="C490" s="565"/>
      <c r="D490" s="565"/>
      <c r="E490" s="565"/>
      <c r="F490" s="565"/>
      <c r="G490" s="565"/>
      <c r="H490" s="565"/>
      <c r="I490" s="565"/>
      <c r="J490" s="565"/>
      <c r="K490" s="566"/>
      <c r="L490" s="565"/>
    </row>
    <row r="491" spans="1:12" s="562" customFormat="1" ht="9" customHeight="1" x14ac:dyDescent="0.25">
      <c r="A491" s="558">
        <v>2008</v>
      </c>
      <c r="B491" s="559"/>
      <c r="C491" s="560"/>
      <c r="D491" s="560"/>
      <c r="E491" s="561"/>
      <c r="F491" s="561"/>
      <c r="G491" s="560"/>
      <c r="H491" s="560"/>
      <c r="I491" s="560"/>
      <c r="J491" s="560"/>
      <c r="K491" s="560"/>
      <c r="L491" s="560"/>
    </row>
    <row r="492" spans="1:12" s="562" customFormat="1" ht="9" customHeight="1" x14ac:dyDescent="0.25">
      <c r="A492" s="558" t="s">
        <v>13</v>
      </c>
      <c r="B492" s="563">
        <f t="shared" ref="B492:L492" si="26">SUM(B494:B526)</f>
        <v>23154</v>
      </c>
      <c r="C492" s="563">
        <f t="shared" si="26"/>
        <v>130</v>
      </c>
      <c r="D492" s="563">
        <f t="shared" si="26"/>
        <v>3738</v>
      </c>
      <c r="E492" s="563">
        <f t="shared" si="26"/>
        <v>5512</v>
      </c>
      <c r="F492" s="563">
        <f t="shared" si="26"/>
        <v>4779</v>
      </c>
      <c r="G492" s="563">
        <f t="shared" si="26"/>
        <v>3995</v>
      </c>
      <c r="H492" s="563">
        <f t="shared" si="26"/>
        <v>2389</v>
      </c>
      <c r="I492" s="563">
        <f t="shared" si="26"/>
        <v>722</v>
      </c>
      <c r="J492" s="563">
        <f t="shared" si="26"/>
        <v>67</v>
      </c>
      <c r="K492" s="563">
        <f t="shared" si="26"/>
        <v>3</v>
      </c>
      <c r="L492" s="563">
        <f t="shared" si="26"/>
        <v>1819</v>
      </c>
    </row>
    <row r="493" spans="1:12" s="562" customFormat="1" ht="3.95" customHeight="1" x14ac:dyDescent="0.25">
      <c r="A493" s="558"/>
      <c r="B493" s="563"/>
      <c r="C493" s="563"/>
      <c r="D493" s="563"/>
      <c r="E493" s="563"/>
      <c r="F493" s="563"/>
      <c r="G493" s="563"/>
      <c r="H493" s="563"/>
      <c r="I493" s="563"/>
      <c r="J493" s="563"/>
      <c r="K493" s="563"/>
      <c r="L493" s="563"/>
    </row>
    <row r="494" spans="1:12" s="562" customFormat="1" ht="9" customHeight="1" x14ac:dyDescent="0.25">
      <c r="A494" s="564" t="s">
        <v>23</v>
      </c>
      <c r="B494" s="565">
        <f t="shared" ref="B494:B526" si="27">SUM(C494:L494)</f>
        <v>205</v>
      </c>
      <c r="C494" s="565">
        <v>0</v>
      </c>
      <c r="D494" s="565">
        <v>38</v>
      </c>
      <c r="E494" s="565">
        <v>40</v>
      </c>
      <c r="F494" s="565">
        <v>45</v>
      </c>
      <c r="G494" s="565">
        <v>44</v>
      </c>
      <c r="H494" s="565">
        <v>18</v>
      </c>
      <c r="I494" s="565">
        <v>9</v>
      </c>
      <c r="J494" s="565">
        <v>0</v>
      </c>
      <c r="K494" s="566">
        <v>0</v>
      </c>
      <c r="L494" s="565">
        <v>11</v>
      </c>
    </row>
    <row r="495" spans="1:12" s="562" customFormat="1" ht="9" customHeight="1" x14ac:dyDescent="0.25">
      <c r="A495" s="564" t="s">
        <v>24</v>
      </c>
      <c r="B495" s="565">
        <f t="shared" si="27"/>
        <v>830</v>
      </c>
      <c r="C495" s="565">
        <v>5</v>
      </c>
      <c r="D495" s="565">
        <v>146</v>
      </c>
      <c r="E495" s="565">
        <v>197</v>
      </c>
      <c r="F495" s="565">
        <v>145</v>
      </c>
      <c r="G495" s="565">
        <v>108</v>
      </c>
      <c r="H495" s="565">
        <v>75</v>
      </c>
      <c r="I495" s="565">
        <v>20</v>
      </c>
      <c r="J495" s="565">
        <v>2</v>
      </c>
      <c r="K495" s="566">
        <v>0</v>
      </c>
      <c r="L495" s="565">
        <v>132</v>
      </c>
    </row>
    <row r="496" spans="1:12" s="562" customFormat="1" ht="9" customHeight="1" x14ac:dyDescent="0.25">
      <c r="A496" s="564" t="s">
        <v>25</v>
      </c>
      <c r="B496" s="565">
        <f t="shared" si="27"/>
        <v>177</v>
      </c>
      <c r="C496" s="565">
        <v>3</v>
      </c>
      <c r="D496" s="565">
        <v>30</v>
      </c>
      <c r="E496" s="565">
        <v>51</v>
      </c>
      <c r="F496" s="565">
        <v>28</v>
      </c>
      <c r="G496" s="565">
        <v>27</v>
      </c>
      <c r="H496" s="565">
        <v>7</v>
      </c>
      <c r="I496" s="565">
        <v>6</v>
      </c>
      <c r="J496" s="565">
        <v>3</v>
      </c>
      <c r="K496" s="566">
        <v>0</v>
      </c>
      <c r="L496" s="565">
        <v>22</v>
      </c>
    </row>
    <row r="497" spans="1:12" s="562" customFormat="1" ht="9" customHeight="1" x14ac:dyDescent="0.25">
      <c r="A497" s="567" t="s">
        <v>26</v>
      </c>
      <c r="B497" s="568">
        <f t="shared" si="27"/>
        <v>84</v>
      </c>
      <c r="C497" s="568">
        <v>0</v>
      </c>
      <c r="D497" s="568">
        <v>16</v>
      </c>
      <c r="E497" s="568">
        <v>18</v>
      </c>
      <c r="F497" s="568">
        <v>21</v>
      </c>
      <c r="G497" s="568">
        <v>13</v>
      </c>
      <c r="H497" s="568">
        <v>10</v>
      </c>
      <c r="I497" s="568">
        <v>3</v>
      </c>
      <c r="J497" s="568">
        <v>1</v>
      </c>
      <c r="K497" s="569">
        <v>0</v>
      </c>
      <c r="L497" s="568">
        <v>2</v>
      </c>
    </row>
    <row r="498" spans="1:12" s="562" customFormat="1" ht="9" customHeight="1" x14ac:dyDescent="0.25">
      <c r="A498" s="564" t="s">
        <v>27</v>
      </c>
      <c r="B498" s="565">
        <f t="shared" si="27"/>
        <v>190</v>
      </c>
      <c r="C498" s="565">
        <v>3</v>
      </c>
      <c r="D498" s="565">
        <v>33</v>
      </c>
      <c r="E498" s="570">
        <v>39</v>
      </c>
      <c r="F498" s="565">
        <v>43</v>
      </c>
      <c r="G498" s="565">
        <v>24</v>
      </c>
      <c r="H498" s="565">
        <v>17</v>
      </c>
      <c r="I498" s="565">
        <v>2</v>
      </c>
      <c r="J498" s="565">
        <v>0</v>
      </c>
      <c r="K498" s="566">
        <v>0</v>
      </c>
      <c r="L498" s="565">
        <v>29</v>
      </c>
    </row>
    <row r="499" spans="1:12" s="562" customFormat="1" ht="9" customHeight="1" x14ac:dyDescent="0.25">
      <c r="A499" s="564" t="s">
        <v>28</v>
      </c>
      <c r="B499" s="565">
        <f t="shared" si="27"/>
        <v>103</v>
      </c>
      <c r="C499" s="565">
        <v>0</v>
      </c>
      <c r="D499" s="565">
        <v>16</v>
      </c>
      <c r="E499" s="565">
        <v>22</v>
      </c>
      <c r="F499" s="565">
        <v>22</v>
      </c>
      <c r="G499" s="565">
        <v>20</v>
      </c>
      <c r="H499" s="565">
        <v>12</v>
      </c>
      <c r="I499" s="565">
        <v>3</v>
      </c>
      <c r="J499" s="565">
        <v>0</v>
      </c>
      <c r="K499" s="566">
        <v>0</v>
      </c>
      <c r="L499" s="565">
        <v>8</v>
      </c>
    </row>
    <row r="500" spans="1:12" s="562" customFormat="1" ht="9" customHeight="1" x14ac:dyDescent="0.25">
      <c r="A500" s="564" t="s">
        <v>29</v>
      </c>
      <c r="B500" s="565">
        <f t="shared" si="27"/>
        <v>897</v>
      </c>
      <c r="C500" s="565">
        <v>5</v>
      </c>
      <c r="D500" s="565">
        <v>161</v>
      </c>
      <c r="E500" s="565">
        <v>214</v>
      </c>
      <c r="F500" s="565">
        <v>195</v>
      </c>
      <c r="G500" s="565">
        <v>147</v>
      </c>
      <c r="H500" s="565">
        <v>85</v>
      </c>
      <c r="I500" s="565">
        <v>26</v>
      </c>
      <c r="J500" s="565">
        <v>4</v>
      </c>
      <c r="K500" s="566">
        <v>0</v>
      </c>
      <c r="L500" s="565">
        <v>60</v>
      </c>
    </row>
    <row r="501" spans="1:12" s="562" customFormat="1" ht="9" customHeight="1" x14ac:dyDescent="0.25">
      <c r="A501" s="567" t="s">
        <v>30</v>
      </c>
      <c r="B501" s="568">
        <f t="shared" si="27"/>
        <v>719</v>
      </c>
      <c r="C501" s="568">
        <v>3</v>
      </c>
      <c r="D501" s="568">
        <v>150</v>
      </c>
      <c r="E501" s="568">
        <v>164</v>
      </c>
      <c r="F501" s="568">
        <v>120</v>
      </c>
      <c r="G501" s="568">
        <v>117</v>
      </c>
      <c r="H501" s="568">
        <v>74</v>
      </c>
      <c r="I501" s="568">
        <v>13</v>
      </c>
      <c r="J501" s="568">
        <v>1</v>
      </c>
      <c r="K501" s="569">
        <v>0</v>
      </c>
      <c r="L501" s="568">
        <v>77</v>
      </c>
    </row>
    <row r="502" spans="1:12" s="562" customFormat="1" ht="9" customHeight="1" x14ac:dyDescent="0.25">
      <c r="A502" s="550" t="s">
        <v>63</v>
      </c>
      <c r="B502" s="565">
        <f t="shared" si="27"/>
        <v>2526</v>
      </c>
      <c r="C502" s="565">
        <v>13</v>
      </c>
      <c r="D502" s="565">
        <v>400</v>
      </c>
      <c r="E502" s="565">
        <v>624</v>
      </c>
      <c r="F502" s="565">
        <v>508</v>
      </c>
      <c r="G502" s="565">
        <v>476</v>
      </c>
      <c r="H502" s="565">
        <v>278</v>
      </c>
      <c r="I502" s="565">
        <v>92</v>
      </c>
      <c r="J502" s="565">
        <v>8</v>
      </c>
      <c r="K502" s="566">
        <v>0</v>
      </c>
      <c r="L502" s="565">
        <v>127</v>
      </c>
    </row>
    <row r="503" spans="1:12" s="562" customFormat="1" ht="9" customHeight="1" x14ac:dyDescent="0.25">
      <c r="A503" s="564" t="s">
        <v>31</v>
      </c>
      <c r="B503" s="565">
        <f t="shared" si="27"/>
        <v>326</v>
      </c>
      <c r="C503" s="565">
        <v>2</v>
      </c>
      <c r="D503" s="565">
        <v>71</v>
      </c>
      <c r="E503" s="565">
        <v>66</v>
      </c>
      <c r="F503" s="565">
        <v>57</v>
      </c>
      <c r="G503" s="565">
        <v>51</v>
      </c>
      <c r="H503" s="565">
        <v>30</v>
      </c>
      <c r="I503" s="565">
        <v>8</v>
      </c>
      <c r="J503" s="565">
        <v>2</v>
      </c>
      <c r="K503" s="566">
        <v>0</v>
      </c>
      <c r="L503" s="565">
        <v>39</v>
      </c>
    </row>
    <row r="504" spans="1:12" s="562" customFormat="1" ht="9" customHeight="1" x14ac:dyDescent="0.25">
      <c r="A504" s="564" t="s">
        <v>32</v>
      </c>
      <c r="B504" s="565">
        <f t="shared" si="27"/>
        <v>1452</v>
      </c>
      <c r="C504" s="565">
        <v>9</v>
      </c>
      <c r="D504" s="565">
        <v>216</v>
      </c>
      <c r="E504" s="565">
        <v>347</v>
      </c>
      <c r="F504" s="565">
        <v>300</v>
      </c>
      <c r="G504" s="565">
        <v>259</v>
      </c>
      <c r="H504" s="565">
        <v>166</v>
      </c>
      <c r="I504" s="565">
        <v>51</v>
      </c>
      <c r="J504" s="565">
        <v>9</v>
      </c>
      <c r="K504" s="566">
        <v>0</v>
      </c>
      <c r="L504" s="565">
        <v>95</v>
      </c>
    </row>
    <row r="505" spans="1:12" s="562" customFormat="1" ht="9" customHeight="1" x14ac:dyDescent="0.25">
      <c r="A505" s="567" t="s">
        <v>33</v>
      </c>
      <c r="B505" s="568">
        <f t="shared" si="27"/>
        <v>111</v>
      </c>
      <c r="C505" s="568">
        <v>1</v>
      </c>
      <c r="D505" s="568">
        <v>17</v>
      </c>
      <c r="E505" s="571">
        <v>22</v>
      </c>
      <c r="F505" s="568">
        <v>23</v>
      </c>
      <c r="G505" s="568">
        <v>20</v>
      </c>
      <c r="H505" s="568">
        <v>14</v>
      </c>
      <c r="I505" s="568">
        <v>4</v>
      </c>
      <c r="J505" s="568">
        <v>1</v>
      </c>
      <c r="K505" s="569">
        <v>0</v>
      </c>
      <c r="L505" s="568">
        <v>9</v>
      </c>
    </row>
    <row r="506" spans="1:12" s="562" customFormat="1" ht="9" customHeight="1" x14ac:dyDescent="0.25">
      <c r="A506" s="564" t="s">
        <v>34</v>
      </c>
      <c r="B506" s="565">
        <f t="shared" si="27"/>
        <v>499</v>
      </c>
      <c r="C506" s="565">
        <v>1</v>
      </c>
      <c r="D506" s="565">
        <v>81</v>
      </c>
      <c r="E506" s="565">
        <v>125</v>
      </c>
      <c r="F506" s="565">
        <v>107</v>
      </c>
      <c r="G506" s="565">
        <v>82</v>
      </c>
      <c r="H506" s="565">
        <v>49</v>
      </c>
      <c r="I506" s="565">
        <v>14</v>
      </c>
      <c r="J506" s="565">
        <v>1</v>
      </c>
      <c r="K506" s="566">
        <v>0</v>
      </c>
      <c r="L506" s="565">
        <v>39</v>
      </c>
    </row>
    <row r="507" spans="1:12" s="562" customFormat="1" ht="9" customHeight="1" x14ac:dyDescent="0.25">
      <c r="A507" s="564" t="s">
        <v>35</v>
      </c>
      <c r="B507" s="565">
        <f t="shared" si="27"/>
        <v>1578</v>
      </c>
      <c r="C507" s="565">
        <v>4</v>
      </c>
      <c r="D507" s="565">
        <v>224</v>
      </c>
      <c r="E507" s="565">
        <v>357</v>
      </c>
      <c r="F507" s="565">
        <v>319</v>
      </c>
      <c r="G507" s="565">
        <v>260</v>
      </c>
      <c r="H507" s="565">
        <v>202</v>
      </c>
      <c r="I507" s="565">
        <v>54</v>
      </c>
      <c r="J507" s="565">
        <v>2</v>
      </c>
      <c r="K507" s="566">
        <v>1</v>
      </c>
      <c r="L507" s="565">
        <v>155</v>
      </c>
    </row>
    <row r="508" spans="1:12" s="562" customFormat="1" ht="9" customHeight="1" x14ac:dyDescent="0.25">
      <c r="A508" s="564" t="s">
        <v>36</v>
      </c>
      <c r="B508" s="565">
        <f t="shared" si="27"/>
        <v>5249</v>
      </c>
      <c r="C508" s="565">
        <v>28</v>
      </c>
      <c r="D508" s="565">
        <v>876</v>
      </c>
      <c r="E508" s="565">
        <v>1373</v>
      </c>
      <c r="F508" s="565">
        <v>1140</v>
      </c>
      <c r="G508" s="565">
        <v>944</v>
      </c>
      <c r="H508" s="565">
        <v>510</v>
      </c>
      <c r="I508" s="565">
        <v>150</v>
      </c>
      <c r="J508" s="565">
        <v>12</v>
      </c>
      <c r="K508" s="566">
        <v>1</v>
      </c>
      <c r="L508" s="565">
        <v>215</v>
      </c>
    </row>
    <row r="509" spans="1:12" s="562" customFormat="1" ht="9" customHeight="1" x14ac:dyDescent="0.25">
      <c r="A509" s="567" t="s">
        <v>37</v>
      </c>
      <c r="B509" s="568">
        <f t="shared" si="27"/>
        <v>541</v>
      </c>
      <c r="C509" s="568">
        <v>2</v>
      </c>
      <c r="D509" s="568">
        <v>105</v>
      </c>
      <c r="E509" s="568">
        <v>113</v>
      </c>
      <c r="F509" s="568">
        <v>104</v>
      </c>
      <c r="G509" s="568">
        <v>86</v>
      </c>
      <c r="H509" s="568">
        <v>55</v>
      </c>
      <c r="I509" s="568">
        <v>24</v>
      </c>
      <c r="J509" s="568">
        <v>3</v>
      </c>
      <c r="K509" s="569">
        <v>0</v>
      </c>
      <c r="L509" s="568">
        <v>49</v>
      </c>
    </row>
    <row r="510" spans="1:12" s="562" customFormat="1" ht="9" customHeight="1" x14ac:dyDescent="0.25">
      <c r="A510" s="564" t="s">
        <v>38</v>
      </c>
      <c r="B510" s="565">
        <f t="shared" si="27"/>
        <v>238</v>
      </c>
      <c r="C510" s="565">
        <v>1</v>
      </c>
      <c r="D510" s="570">
        <v>30</v>
      </c>
      <c r="E510" s="565">
        <v>62</v>
      </c>
      <c r="F510" s="565">
        <v>49</v>
      </c>
      <c r="G510" s="565">
        <v>35</v>
      </c>
      <c r="H510" s="565">
        <v>31</v>
      </c>
      <c r="I510" s="565">
        <v>7</v>
      </c>
      <c r="J510" s="565">
        <v>0</v>
      </c>
      <c r="K510" s="566">
        <v>0</v>
      </c>
      <c r="L510" s="565">
        <v>23</v>
      </c>
    </row>
    <row r="511" spans="1:12" s="562" customFormat="1" ht="9" customHeight="1" x14ac:dyDescent="0.25">
      <c r="A511" s="564" t="s">
        <v>39</v>
      </c>
      <c r="B511" s="565">
        <f t="shared" si="27"/>
        <v>84</v>
      </c>
      <c r="C511" s="565">
        <v>1</v>
      </c>
      <c r="D511" s="565">
        <v>14</v>
      </c>
      <c r="E511" s="565">
        <v>18</v>
      </c>
      <c r="F511" s="565">
        <v>16</v>
      </c>
      <c r="G511" s="565">
        <v>13</v>
      </c>
      <c r="H511" s="565">
        <v>8</v>
      </c>
      <c r="I511" s="565">
        <v>2</v>
      </c>
      <c r="J511" s="565">
        <v>0</v>
      </c>
      <c r="K511" s="566">
        <v>0</v>
      </c>
      <c r="L511" s="565">
        <v>12</v>
      </c>
    </row>
    <row r="512" spans="1:12" s="562" customFormat="1" ht="9" customHeight="1" x14ac:dyDescent="0.25">
      <c r="A512" s="564" t="s">
        <v>40</v>
      </c>
      <c r="B512" s="565">
        <f t="shared" si="27"/>
        <v>726</v>
      </c>
      <c r="C512" s="565">
        <v>4</v>
      </c>
      <c r="D512" s="565">
        <v>110</v>
      </c>
      <c r="E512" s="565">
        <v>174</v>
      </c>
      <c r="F512" s="565">
        <v>139</v>
      </c>
      <c r="G512" s="565">
        <v>114</v>
      </c>
      <c r="H512" s="565">
        <v>70</v>
      </c>
      <c r="I512" s="565">
        <v>18</v>
      </c>
      <c r="J512" s="565">
        <v>1</v>
      </c>
      <c r="K512" s="566">
        <v>0</v>
      </c>
      <c r="L512" s="565">
        <v>96</v>
      </c>
    </row>
    <row r="513" spans="1:12" s="562" customFormat="1" ht="9" customHeight="1" x14ac:dyDescent="0.25">
      <c r="A513" s="567" t="s">
        <v>41</v>
      </c>
      <c r="B513" s="568">
        <f t="shared" si="27"/>
        <v>613</v>
      </c>
      <c r="C513" s="568">
        <v>5</v>
      </c>
      <c r="D513" s="568">
        <v>81</v>
      </c>
      <c r="E513" s="568">
        <v>117</v>
      </c>
      <c r="F513" s="568">
        <v>148</v>
      </c>
      <c r="G513" s="568">
        <v>116</v>
      </c>
      <c r="H513" s="568">
        <v>59</v>
      </c>
      <c r="I513" s="568">
        <v>30</v>
      </c>
      <c r="J513" s="568">
        <v>1</v>
      </c>
      <c r="K513" s="569">
        <v>0</v>
      </c>
      <c r="L513" s="568">
        <v>56</v>
      </c>
    </row>
    <row r="514" spans="1:12" s="562" customFormat="1" ht="9" customHeight="1" x14ac:dyDescent="0.25">
      <c r="A514" s="564" t="s">
        <v>42</v>
      </c>
      <c r="B514" s="565">
        <f t="shared" si="27"/>
        <v>1484</v>
      </c>
      <c r="C514" s="565">
        <v>11</v>
      </c>
      <c r="D514" s="565">
        <v>229</v>
      </c>
      <c r="E514" s="565">
        <v>344</v>
      </c>
      <c r="F514" s="565">
        <v>279</v>
      </c>
      <c r="G514" s="565">
        <v>240</v>
      </c>
      <c r="H514" s="565">
        <v>146</v>
      </c>
      <c r="I514" s="565">
        <v>46</v>
      </c>
      <c r="J514" s="565">
        <v>4</v>
      </c>
      <c r="K514" s="566">
        <v>1</v>
      </c>
      <c r="L514" s="565">
        <v>184</v>
      </c>
    </row>
    <row r="515" spans="1:12" s="562" customFormat="1" ht="9" customHeight="1" x14ac:dyDescent="0.25">
      <c r="A515" s="564" t="s">
        <v>43</v>
      </c>
      <c r="B515" s="565">
        <f t="shared" si="27"/>
        <v>326</v>
      </c>
      <c r="C515" s="565">
        <v>1</v>
      </c>
      <c r="D515" s="565">
        <v>47</v>
      </c>
      <c r="E515" s="565">
        <v>70</v>
      </c>
      <c r="F515" s="565">
        <v>72</v>
      </c>
      <c r="G515" s="565">
        <v>74</v>
      </c>
      <c r="H515" s="565">
        <v>35</v>
      </c>
      <c r="I515" s="565">
        <v>8</v>
      </c>
      <c r="J515" s="565">
        <v>0</v>
      </c>
      <c r="K515" s="566">
        <v>0</v>
      </c>
      <c r="L515" s="565">
        <v>19</v>
      </c>
    </row>
    <row r="516" spans="1:12" s="562" customFormat="1" ht="9" customHeight="1" x14ac:dyDescent="0.25">
      <c r="A516" s="564" t="s">
        <v>44</v>
      </c>
      <c r="B516" s="565">
        <f t="shared" si="27"/>
        <v>250</v>
      </c>
      <c r="C516" s="565">
        <v>3</v>
      </c>
      <c r="D516" s="565">
        <v>43</v>
      </c>
      <c r="E516" s="565">
        <v>61</v>
      </c>
      <c r="F516" s="565">
        <v>48</v>
      </c>
      <c r="G516" s="565">
        <v>40</v>
      </c>
      <c r="H516" s="565">
        <v>29</v>
      </c>
      <c r="I516" s="565">
        <v>6</v>
      </c>
      <c r="J516" s="565">
        <v>0</v>
      </c>
      <c r="K516" s="566">
        <v>0</v>
      </c>
      <c r="L516" s="565">
        <v>20</v>
      </c>
    </row>
    <row r="517" spans="1:12" s="562" customFormat="1" ht="9" customHeight="1" x14ac:dyDescent="0.25">
      <c r="A517" s="567" t="s">
        <v>45</v>
      </c>
      <c r="B517" s="568">
        <f t="shared" si="27"/>
        <v>452</v>
      </c>
      <c r="C517" s="568">
        <v>2</v>
      </c>
      <c r="D517" s="568">
        <v>81</v>
      </c>
      <c r="E517" s="568">
        <v>90</v>
      </c>
      <c r="F517" s="568">
        <v>81</v>
      </c>
      <c r="G517" s="568">
        <v>83</v>
      </c>
      <c r="H517" s="568">
        <v>44</v>
      </c>
      <c r="I517" s="568">
        <v>17</v>
      </c>
      <c r="J517" s="568">
        <v>5</v>
      </c>
      <c r="K517" s="569">
        <v>0</v>
      </c>
      <c r="L517" s="568">
        <v>49</v>
      </c>
    </row>
    <row r="518" spans="1:12" s="562" customFormat="1" ht="9" customHeight="1" x14ac:dyDescent="0.25">
      <c r="A518" s="564" t="s">
        <v>46</v>
      </c>
      <c r="B518" s="565">
        <f t="shared" si="27"/>
        <v>295</v>
      </c>
      <c r="C518" s="565">
        <v>1</v>
      </c>
      <c r="D518" s="565">
        <v>65</v>
      </c>
      <c r="E518" s="565">
        <v>70</v>
      </c>
      <c r="F518" s="565">
        <v>57</v>
      </c>
      <c r="G518" s="565">
        <v>42</v>
      </c>
      <c r="H518" s="565">
        <v>22</v>
      </c>
      <c r="I518" s="565">
        <v>7</v>
      </c>
      <c r="J518" s="565">
        <v>0</v>
      </c>
      <c r="K518" s="566">
        <v>0</v>
      </c>
      <c r="L518" s="565">
        <v>31</v>
      </c>
    </row>
    <row r="519" spans="1:12" s="562" customFormat="1" ht="9" customHeight="1" x14ac:dyDescent="0.25">
      <c r="A519" s="564" t="s">
        <v>47</v>
      </c>
      <c r="B519" s="565">
        <f t="shared" si="27"/>
        <v>352</v>
      </c>
      <c r="C519" s="565">
        <v>2</v>
      </c>
      <c r="D519" s="565">
        <v>62</v>
      </c>
      <c r="E519" s="565">
        <v>82</v>
      </c>
      <c r="F519" s="565">
        <v>84</v>
      </c>
      <c r="G519" s="565">
        <v>53</v>
      </c>
      <c r="H519" s="565">
        <v>26</v>
      </c>
      <c r="I519" s="565">
        <v>11</v>
      </c>
      <c r="J519" s="565">
        <v>0</v>
      </c>
      <c r="K519" s="566">
        <v>0</v>
      </c>
      <c r="L519" s="565">
        <v>32</v>
      </c>
    </row>
    <row r="520" spans="1:12" s="562" customFormat="1" ht="9" customHeight="1" x14ac:dyDescent="0.25">
      <c r="A520" s="564" t="s">
        <v>48</v>
      </c>
      <c r="B520" s="565">
        <f t="shared" si="27"/>
        <v>352</v>
      </c>
      <c r="C520" s="565">
        <v>2</v>
      </c>
      <c r="D520" s="565">
        <v>40</v>
      </c>
      <c r="E520" s="565">
        <v>82</v>
      </c>
      <c r="F520" s="565">
        <v>78</v>
      </c>
      <c r="G520" s="565">
        <v>71</v>
      </c>
      <c r="H520" s="565">
        <v>37</v>
      </c>
      <c r="I520" s="565">
        <v>12</v>
      </c>
      <c r="J520" s="565">
        <v>1</v>
      </c>
      <c r="K520" s="566">
        <v>0</v>
      </c>
      <c r="L520" s="565">
        <v>29</v>
      </c>
    </row>
    <row r="521" spans="1:12" s="562" customFormat="1" ht="9" customHeight="1" x14ac:dyDescent="0.25">
      <c r="A521" s="567" t="s">
        <v>49</v>
      </c>
      <c r="B521" s="568">
        <f t="shared" si="27"/>
        <v>272</v>
      </c>
      <c r="C521" s="568">
        <v>2</v>
      </c>
      <c r="D521" s="568">
        <v>31</v>
      </c>
      <c r="E521" s="568">
        <v>66</v>
      </c>
      <c r="F521" s="568">
        <v>61</v>
      </c>
      <c r="G521" s="568">
        <v>58</v>
      </c>
      <c r="H521" s="568">
        <v>26</v>
      </c>
      <c r="I521" s="568">
        <v>7</v>
      </c>
      <c r="J521" s="568">
        <v>0</v>
      </c>
      <c r="K521" s="569">
        <v>0</v>
      </c>
      <c r="L521" s="568">
        <v>21</v>
      </c>
    </row>
    <row r="522" spans="1:12" s="562" customFormat="1" ht="9" customHeight="1" x14ac:dyDescent="0.25">
      <c r="A522" s="564" t="s">
        <v>50</v>
      </c>
      <c r="B522" s="565">
        <f t="shared" si="27"/>
        <v>258</v>
      </c>
      <c r="C522" s="565">
        <v>1</v>
      </c>
      <c r="D522" s="565">
        <v>35</v>
      </c>
      <c r="E522" s="565">
        <v>77</v>
      </c>
      <c r="F522" s="565">
        <v>58</v>
      </c>
      <c r="G522" s="565">
        <v>37</v>
      </c>
      <c r="H522" s="565">
        <v>25</v>
      </c>
      <c r="I522" s="565">
        <v>5</v>
      </c>
      <c r="J522" s="565">
        <v>0</v>
      </c>
      <c r="K522" s="566">
        <v>0</v>
      </c>
      <c r="L522" s="565">
        <v>20</v>
      </c>
    </row>
    <row r="523" spans="1:12" s="562" customFormat="1" ht="9" customHeight="1" x14ac:dyDescent="0.25">
      <c r="A523" s="564" t="s">
        <v>51</v>
      </c>
      <c r="B523" s="565">
        <f t="shared" si="27"/>
        <v>1310</v>
      </c>
      <c r="C523" s="565">
        <v>10</v>
      </c>
      <c r="D523" s="565">
        <v>202</v>
      </c>
      <c r="E523" s="565">
        <v>281</v>
      </c>
      <c r="F523" s="565">
        <v>262</v>
      </c>
      <c r="G523" s="565">
        <v>233</v>
      </c>
      <c r="H523" s="565">
        <v>153</v>
      </c>
      <c r="I523" s="565">
        <v>47</v>
      </c>
      <c r="J523" s="565">
        <v>4</v>
      </c>
      <c r="K523" s="566">
        <v>0</v>
      </c>
      <c r="L523" s="565">
        <v>118</v>
      </c>
    </row>
    <row r="524" spans="1:12" s="562" customFormat="1" ht="9" customHeight="1" x14ac:dyDescent="0.25">
      <c r="A524" s="564" t="s">
        <v>52</v>
      </c>
      <c r="B524" s="565">
        <f t="shared" si="27"/>
        <v>399</v>
      </c>
      <c r="C524" s="565">
        <v>1</v>
      </c>
      <c r="D524" s="565">
        <v>48</v>
      </c>
      <c r="E524" s="565">
        <v>82</v>
      </c>
      <c r="F524" s="565">
        <v>114</v>
      </c>
      <c r="G524" s="565">
        <v>67</v>
      </c>
      <c r="H524" s="565">
        <v>46</v>
      </c>
      <c r="I524" s="565">
        <v>14</v>
      </c>
      <c r="J524" s="565">
        <v>1</v>
      </c>
      <c r="K524" s="566">
        <v>0</v>
      </c>
      <c r="L524" s="565">
        <v>26</v>
      </c>
    </row>
    <row r="525" spans="1:12" s="562" customFormat="1" ht="9" customHeight="1" x14ac:dyDescent="0.25">
      <c r="A525" s="567" t="s">
        <v>53</v>
      </c>
      <c r="B525" s="568">
        <f t="shared" si="27"/>
        <v>243</v>
      </c>
      <c r="C525" s="568">
        <v>4</v>
      </c>
      <c r="D525" s="568">
        <v>39</v>
      </c>
      <c r="E525" s="568">
        <v>62</v>
      </c>
      <c r="F525" s="568">
        <v>54</v>
      </c>
      <c r="G525" s="568">
        <v>37</v>
      </c>
      <c r="H525" s="568">
        <v>27</v>
      </c>
      <c r="I525" s="568">
        <v>6</v>
      </c>
      <c r="J525" s="568">
        <v>1</v>
      </c>
      <c r="K525" s="569">
        <v>0</v>
      </c>
      <c r="L525" s="568">
        <v>13</v>
      </c>
    </row>
    <row r="526" spans="1:12" s="562" customFormat="1" ht="9" customHeight="1" x14ac:dyDescent="0.25">
      <c r="A526" s="564" t="s">
        <v>434</v>
      </c>
      <c r="B526" s="565">
        <f t="shared" si="27"/>
        <v>13</v>
      </c>
      <c r="C526" s="565">
        <v>0</v>
      </c>
      <c r="D526" s="565">
        <v>1</v>
      </c>
      <c r="E526" s="565">
        <v>2</v>
      </c>
      <c r="F526" s="565">
        <v>2</v>
      </c>
      <c r="G526" s="565">
        <v>4</v>
      </c>
      <c r="H526" s="565">
        <v>3</v>
      </c>
      <c r="I526" s="565">
        <v>0</v>
      </c>
      <c r="J526" s="565">
        <v>0</v>
      </c>
      <c r="K526" s="566">
        <v>0</v>
      </c>
      <c r="L526" s="565">
        <v>1</v>
      </c>
    </row>
    <row r="527" spans="1:12" s="562" customFormat="1" ht="9" customHeight="1" x14ac:dyDescent="0.25">
      <c r="A527" s="564"/>
      <c r="B527" s="565"/>
      <c r="C527" s="565"/>
      <c r="D527" s="565"/>
      <c r="E527" s="565"/>
      <c r="F527" s="565"/>
      <c r="G527" s="565"/>
      <c r="H527" s="565"/>
      <c r="I527" s="565"/>
      <c r="J527" s="565"/>
      <c r="K527" s="566"/>
      <c r="L527" s="565"/>
    </row>
    <row r="528" spans="1:12" s="562" customFormat="1" ht="9" customHeight="1" x14ac:dyDescent="0.25">
      <c r="A528" s="558">
        <v>2009</v>
      </c>
      <c r="B528" s="559"/>
      <c r="C528" s="560"/>
      <c r="D528" s="560"/>
      <c r="E528" s="561"/>
      <c r="F528" s="561"/>
      <c r="G528" s="560"/>
      <c r="H528" s="560"/>
      <c r="I528" s="560"/>
      <c r="J528" s="560"/>
      <c r="K528" s="560"/>
      <c r="L528" s="560"/>
    </row>
    <row r="529" spans="1:12" s="562" customFormat="1" ht="9" customHeight="1" x14ac:dyDescent="0.25">
      <c r="A529" s="558" t="s">
        <v>13</v>
      </c>
      <c r="B529" s="563">
        <f t="shared" ref="B529:L529" si="28">SUM(B531:B563)</f>
        <v>23192</v>
      </c>
      <c r="C529" s="563">
        <f t="shared" si="28"/>
        <v>132</v>
      </c>
      <c r="D529" s="563">
        <f t="shared" si="28"/>
        <v>3567</v>
      </c>
      <c r="E529" s="563">
        <f t="shared" si="28"/>
        <v>5546</v>
      </c>
      <c r="F529" s="563">
        <f t="shared" si="28"/>
        <v>4691</v>
      </c>
      <c r="G529" s="563">
        <f t="shared" si="28"/>
        <v>3778</v>
      </c>
      <c r="H529" s="563">
        <f t="shared" si="28"/>
        <v>2376</v>
      </c>
      <c r="I529" s="563">
        <f t="shared" si="28"/>
        <v>674</v>
      </c>
      <c r="J529" s="563">
        <f t="shared" si="28"/>
        <v>60</v>
      </c>
      <c r="K529" s="563">
        <f t="shared" si="28"/>
        <v>5</v>
      </c>
      <c r="L529" s="563">
        <f t="shared" si="28"/>
        <v>2363</v>
      </c>
    </row>
    <row r="530" spans="1:12" s="562" customFormat="1" ht="3.95" customHeight="1" x14ac:dyDescent="0.25">
      <c r="A530" s="558"/>
      <c r="B530" s="563"/>
      <c r="C530" s="563"/>
      <c r="D530" s="563"/>
      <c r="E530" s="563"/>
      <c r="F530" s="563"/>
      <c r="G530" s="563"/>
      <c r="H530" s="563"/>
      <c r="I530" s="563"/>
      <c r="J530" s="563"/>
      <c r="K530" s="563"/>
      <c r="L530" s="563"/>
    </row>
    <row r="531" spans="1:12" s="562" customFormat="1" ht="9" customHeight="1" x14ac:dyDescent="0.25">
      <c r="A531" s="564" t="s">
        <v>23</v>
      </c>
      <c r="B531" s="565">
        <f t="shared" ref="B531:B563" si="29">SUM(C531:L531)</f>
        <v>183</v>
      </c>
      <c r="C531" s="565">
        <v>0</v>
      </c>
      <c r="D531" s="565">
        <v>28</v>
      </c>
      <c r="E531" s="565">
        <v>36</v>
      </c>
      <c r="F531" s="565">
        <v>39</v>
      </c>
      <c r="G531" s="565">
        <v>31</v>
      </c>
      <c r="H531" s="565">
        <v>18</v>
      </c>
      <c r="I531" s="565">
        <v>6</v>
      </c>
      <c r="J531" s="565">
        <v>0</v>
      </c>
      <c r="K531" s="566">
        <v>0</v>
      </c>
      <c r="L531" s="565">
        <v>25</v>
      </c>
    </row>
    <row r="532" spans="1:12" s="562" customFormat="1" ht="9" customHeight="1" x14ac:dyDescent="0.25">
      <c r="A532" s="564" t="s">
        <v>24</v>
      </c>
      <c r="B532" s="565">
        <f t="shared" si="29"/>
        <v>789</v>
      </c>
      <c r="C532" s="565">
        <v>3</v>
      </c>
      <c r="D532" s="565">
        <v>126</v>
      </c>
      <c r="E532" s="565">
        <v>189</v>
      </c>
      <c r="F532" s="565">
        <v>150</v>
      </c>
      <c r="G532" s="565">
        <v>106</v>
      </c>
      <c r="H532" s="565">
        <v>65</v>
      </c>
      <c r="I532" s="565">
        <v>12</v>
      </c>
      <c r="J532" s="565">
        <v>1</v>
      </c>
      <c r="K532" s="566">
        <v>0</v>
      </c>
      <c r="L532" s="565">
        <v>137</v>
      </c>
    </row>
    <row r="533" spans="1:12" s="562" customFormat="1" ht="9" customHeight="1" x14ac:dyDescent="0.25">
      <c r="A533" s="564" t="s">
        <v>25</v>
      </c>
      <c r="B533" s="565">
        <f t="shared" si="29"/>
        <v>149</v>
      </c>
      <c r="C533" s="565">
        <v>0</v>
      </c>
      <c r="D533" s="565">
        <v>21</v>
      </c>
      <c r="E533" s="565">
        <v>40</v>
      </c>
      <c r="F533" s="565">
        <v>34</v>
      </c>
      <c r="G533" s="565">
        <v>25</v>
      </c>
      <c r="H533" s="565">
        <v>14</v>
      </c>
      <c r="I533" s="565">
        <v>4</v>
      </c>
      <c r="J533" s="565">
        <v>0</v>
      </c>
      <c r="K533" s="566">
        <v>0</v>
      </c>
      <c r="L533" s="565">
        <v>11</v>
      </c>
    </row>
    <row r="534" spans="1:12" s="562" customFormat="1" ht="9" customHeight="1" x14ac:dyDescent="0.25">
      <c r="A534" s="567" t="s">
        <v>26</v>
      </c>
      <c r="B534" s="568">
        <f t="shared" si="29"/>
        <v>84</v>
      </c>
      <c r="C534" s="568">
        <v>0</v>
      </c>
      <c r="D534" s="568">
        <v>12</v>
      </c>
      <c r="E534" s="568">
        <v>24</v>
      </c>
      <c r="F534" s="568">
        <v>20</v>
      </c>
      <c r="G534" s="568">
        <v>11</v>
      </c>
      <c r="H534" s="568">
        <v>7</v>
      </c>
      <c r="I534" s="568">
        <v>3</v>
      </c>
      <c r="J534" s="568">
        <v>0</v>
      </c>
      <c r="K534" s="569">
        <v>0</v>
      </c>
      <c r="L534" s="568">
        <v>7</v>
      </c>
    </row>
    <row r="535" spans="1:12" s="562" customFormat="1" ht="9" customHeight="1" x14ac:dyDescent="0.25">
      <c r="A535" s="564" t="s">
        <v>27</v>
      </c>
      <c r="B535" s="565">
        <f t="shared" si="29"/>
        <v>143</v>
      </c>
      <c r="C535" s="565">
        <v>0</v>
      </c>
      <c r="D535" s="565">
        <v>18</v>
      </c>
      <c r="E535" s="570">
        <v>38</v>
      </c>
      <c r="F535" s="565">
        <v>24</v>
      </c>
      <c r="G535" s="565">
        <v>20</v>
      </c>
      <c r="H535" s="565">
        <v>9</v>
      </c>
      <c r="I535" s="565">
        <v>0</v>
      </c>
      <c r="J535" s="565">
        <v>1</v>
      </c>
      <c r="K535" s="566">
        <v>0</v>
      </c>
      <c r="L535" s="565">
        <v>33</v>
      </c>
    </row>
    <row r="536" spans="1:12" s="562" customFormat="1" ht="9" customHeight="1" x14ac:dyDescent="0.25">
      <c r="A536" s="564" t="s">
        <v>28</v>
      </c>
      <c r="B536" s="565">
        <f t="shared" si="29"/>
        <v>106</v>
      </c>
      <c r="C536" s="565">
        <v>2</v>
      </c>
      <c r="D536" s="565">
        <v>12</v>
      </c>
      <c r="E536" s="565">
        <v>21</v>
      </c>
      <c r="F536" s="565">
        <v>28</v>
      </c>
      <c r="G536" s="565">
        <v>20</v>
      </c>
      <c r="H536" s="565">
        <v>11</v>
      </c>
      <c r="I536" s="565">
        <v>3</v>
      </c>
      <c r="J536" s="565">
        <v>0</v>
      </c>
      <c r="K536" s="566">
        <v>0</v>
      </c>
      <c r="L536" s="565">
        <v>9</v>
      </c>
    </row>
    <row r="537" spans="1:12" s="562" customFormat="1" ht="9" customHeight="1" x14ac:dyDescent="0.25">
      <c r="A537" s="564" t="s">
        <v>29</v>
      </c>
      <c r="B537" s="565">
        <f t="shared" si="29"/>
        <v>945</v>
      </c>
      <c r="C537" s="565">
        <v>5</v>
      </c>
      <c r="D537" s="565">
        <v>136</v>
      </c>
      <c r="E537" s="565">
        <v>234</v>
      </c>
      <c r="F537" s="565">
        <v>192</v>
      </c>
      <c r="G537" s="565">
        <v>142</v>
      </c>
      <c r="H537" s="565">
        <v>86</v>
      </c>
      <c r="I537" s="565">
        <v>37</v>
      </c>
      <c r="J537" s="565">
        <v>3</v>
      </c>
      <c r="K537" s="566">
        <v>1</v>
      </c>
      <c r="L537" s="565">
        <v>109</v>
      </c>
    </row>
    <row r="538" spans="1:12" s="562" customFormat="1" ht="9" customHeight="1" x14ac:dyDescent="0.25">
      <c r="A538" s="567" t="s">
        <v>30</v>
      </c>
      <c r="B538" s="568">
        <f t="shared" si="29"/>
        <v>651</v>
      </c>
      <c r="C538" s="568">
        <v>3</v>
      </c>
      <c r="D538" s="568">
        <v>128</v>
      </c>
      <c r="E538" s="568">
        <v>155</v>
      </c>
      <c r="F538" s="568">
        <v>122</v>
      </c>
      <c r="G538" s="568">
        <v>87</v>
      </c>
      <c r="H538" s="568">
        <v>72</v>
      </c>
      <c r="I538" s="568">
        <v>18</v>
      </c>
      <c r="J538" s="568">
        <v>2</v>
      </c>
      <c r="K538" s="569">
        <v>0</v>
      </c>
      <c r="L538" s="568">
        <v>64</v>
      </c>
    </row>
    <row r="539" spans="1:12" s="562" customFormat="1" ht="9" customHeight="1" x14ac:dyDescent="0.25">
      <c r="A539" s="550" t="s">
        <v>63</v>
      </c>
      <c r="B539" s="565">
        <f t="shared" si="29"/>
        <v>2423</v>
      </c>
      <c r="C539" s="565">
        <v>12</v>
      </c>
      <c r="D539" s="565">
        <v>341</v>
      </c>
      <c r="E539" s="565">
        <v>607</v>
      </c>
      <c r="F539" s="565">
        <v>507</v>
      </c>
      <c r="G539" s="565">
        <v>414</v>
      </c>
      <c r="H539" s="565">
        <v>282</v>
      </c>
      <c r="I539" s="565">
        <v>72</v>
      </c>
      <c r="J539" s="565">
        <v>7</v>
      </c>
      <c r="K539" s="566">
        <v>0</v>
      </c>
      <c r="L539" s="565">
        <v>181</v>
      </c>
    </row>
    <row r="540" spans="1:12" s="562" customFormat="1" ht="9" customHeight="1" x14ac:dyDescent="0.25">
      <c r="A540" s="564" t="s">
        <v>31</v>
      </c>
      <c r="B540" s="565">
        <f t="shared" si="29"/>
        <v>283</v>
      </c>
      <c r="C540" s="565">
        <v>3</v>
      </c>
      <c r="D540" s="565">
        <v>52</v>
      </c>
      <c r="E540" s="565">
        <v>72</v>
      </c>
      <c r="F540" s="565">
        <v>49</v>
      </c>
      <c r="G540" s="565">
        <v>42</v>
      </c>
      <c r="H540" s="565">
        <v>30</v>
      </c>
      <c r="I540" s="565">
        <v>12</v>
      </c>
      <c r="J540" s="565">
        <v>0</v>
      </c>
      <c r="K540" s="566">
        <v>0</v>
      </c>
      <c r="L540" s="565">
        <v>23</v>
      </c>
    </row>
    <row r="541" spans="1:12" s="562" customFormat="1" ht="9" customHeight="1" x14ac:dyDescent="0.25">
      <c r="A541" s="564" t="s">
        <v>32</v>
      </c>
      <c r="B541" s="565">
        <f t="shared" si="29"/>
        <v>1512</v>
      </c>
      <c r="C541" s="565">
        <v>10</v>
      </c>
      <c r="D541" s="565">
        <v>215</v>
      </c>
      <c r="E541" s="565">
        <v>348</v>
      </c>
      <c r="F541" s="565">
        <v>313</v>
      </c>
      <c r="G541" s="565">
        <v>244</v>
      </c>
      <c r="H541" s="565">
        <v>147</v>
      </c>
      <c r="I541" s="565">
        <v>51</v>
      </c>
      <c r="J541" s="565">
        <v>6</v>
      </c>
      <c r="K541" s="566">
        <v>0</v>
      </c>
      <c r="L541" s="565">
        <v>178</v>
      </c>
    </row>
    <row r="542" spans="1:12" s="562" customFormat="1" ht="9" customHeight="1" x14ac:dyDescent="0.25">
      <c r="A542" s="567" t="s">
        <v>33</v>
      </c>
      <c r="B542" s="568">
        <f t="shared" si="29"/>
        <v>104</v>
      </c>
      <c r="C542" s="568">
        <v>1</v>
      </c>
      <c r="D542" s="568">
        <v>15</v>
      </c>
      <c r="E542" s="571">
        <v>28</v>
      </c>
      <c r="F542" s="568">
        <v>23</v>
      </c>
      <c r="G542" s="568">
        <v>14</v>
      </c>
      <c r="H542" s="568">
        <v>11</v>
      </c>
      <c r="I542" s="568">
        <v>3</v>
      </c>
      <c r="J542" s="568">
        <v>1</v>
      </c>
      <c r="K542" s="569">
        <v>0</v>
      </c>
      <c r="L542" s="568">
        <v>8</v>
      </c>
    </row>
    <row r="543" spans="1:12" s="562" customFormat="1" ht="9" customHeight="1" x14ac:dyDescent="0.25">
      <c r="A543" s="564" t="s">
        <v>34</v>
      </c>
      <c r="B543" s="565">
        <f t="shared" si="29"/>
        <v>488</v>
      </c>
      <c r="C543" s="565">
        <v>4</v>
      </c>
      <c r="D543" s="565">
        <v>74</v>
      </c>
      <c r="E543" s="565">
        <v>127</v>
      </c>
      <c r="F543" s="565">
        <v>103</v>
      </c>
      <c r="G543" s="565">
        <v>84</v>
      </c>
      <c r="H543" s="565">
        <v>38</v>
      </c>
      <c r="I543" s="565">
        <v>15</v>
      </c>
      <c r="J543" s="565">
        <v>2</v>
      </c>
      <c r="K543" s="566">
        <v>0</v>
      </c>
      <c r="L543" s="565">
        <v>41</v>
      </c>
    </row>
    <row r="544" spans="1:12" s="562" customFormat="1" ht="9" customHeight="1" x14ac:dyDescent="0.25">
      <c r="A544" s="564" t="s">
        <v>35</v>
      </c>
      <c r="B544" s="565">
        <f t="shared" si="29"/>
        <v>1723</v>
      </c>
      <c r="C544" s="565">
        <v>6</v>
      </c>
      <c r="D544" s="565">
        <v>230</v>
      </c>
      <c r="E544" s="565">
        <v>417</v>
      </c>
      <c r="F544" s="565">
        <v>330</v>
      </c>
      <c r="G544" s="565">
        <v>293</v>
      </c>
      <c r="H544" s="565">
        <v>182</v>
      </c>
      <c r="I544" s="565">
        <v>48</v>
      </c>
      <c r="J544" s="565">
        <v>1</v>
      </c>
      <c r="K544" s="566">
        <v>0</v>
      </c>
      <c r="L544" s="565">
        <v>216</v>
      </c>
    </row>
    <row r="545" spans="1:12" s="562" customFormat="1" ht="9" customHeight="1" x14ac:dyDescent="0.25">
      <c r="A545" s="564" t="s">
        <v>36</v>
      </c>
      <c r="B545" s="565">
        <f t="shared" si="29"/>
        <v>5245</v>
      </c>
      <c r="C545" s="565">
        <v>37</v>
      </c>
      <c r="D545" s="565">
        <v>892</v>
      </c>
      <c r="E545" s="565">
        <v>1338</v>
      </c>
      <c r="F545" s="565">
        <v>1113</v>
      </c>
      <c r="G545" s="565">
        <v>858</v>
      </c>
      <c r="H545" s="565">
        <v>524</v>
      </c>
      <c r="I545" s="565">
        <v>138</v>
      </c>
      <c r="J545" s="565">
        <v>16</v>
      </c>
      <c r="K545" s="566">
        <v>3</v>
      </c>
      <c r="L545" s="565">
        <v>326</v>
      </c>
    </row>
    <row r="546" spans="1:12" s="562" customFormat="1" ht="9" customHeight="1" x14ac:dyDescent="0.25">
      <c r="A546" s="567" t="s">
        <v>37</v>
      </c>
      <c r="B546" s="568">
        <f t="shared" si="29"/>
        <v>541</v>
      </c>
      <c r="C546" s="568">
        <v>3</v>
      </c>
      <c r="D546" s="568">
        <v>74</v>
      </c>
      <c r="E546" s="568">
        <v>132</v>
      </c>
      <c r="F546" s="568">
        <v>99</v>
      </c>
      <c r="G546" s="568">
        <v>76</v>
      </c>
      <c r="H546" s="568">
        <v>63</v>
      </c>
      <c r="I546" s="568">
        <v>22</v>
      </c>
      <c r="J546" s="568">
        <v>1</v>
      </c>
      <c r="K546" s="569">
        <v>0</v>
      </c>
      <c r="L546" s="568">
        <v>71</v>
      </c>
    </row>
    <row r="547" spans="1:12" s="562" customFormat="1" ht="9" customHeight="1" x14ac:dyDescent="0.25">
      <c r="A547" s="564" t="s">
        <v>38</v>
      </c>
      <c r="B547" s="565">
        <f t="shared" si="29"/>
        <v>223</v>
      </c>
      <c r="C547" s="565">
        <v>1</v>
      </c>
      <c r="D547" s="570">
        <v>33</v>
      </c>
      <c r="E547" s="565">
        <v>50</v>
      </c>
      <c r="F547" s="565">
        <v>39</v>
      </c>
      <c r="G547" s="565">
        <v>47</v>
      </c>
      <c r="H547" s="565">
        <v>31</v>
      </c>
      <c r="I547" s="565">
        <v>3</v>
      </c>
      <c r="J547" s="565">
        <v>1</v>
      </c>
      <c r="K547" s="566">
        <v>0</v>
      </c>
      <c r="L547" s="565">
        <v>18</v>
      </c>
    </row>
    <row r="548" spans="1:12" s="562" customFormat="1" ht="9" customHeight="1" x14ac:dyDescent="0.25">
      <c r="A548" s="564" t="s">
        <v>39</v>
      </c>
      <c r="B548" s="565">
        <f t="shared" si="29"/>
        <v>79</v>
      </c>
      <c r="C548" s="565">
        <v>0</v>
      </c>
      <c r="D548" s="565">
        <v>11</v>
      </c>
      <c r="E548" s="565">
        <v>12</v>
      </c>
      <c r="F548" s="565">
        <v>18</v>
      </c>
      <c r="G548" s="565">
        <v>15</v>
      </c>
      <c r="H548" s="565">
        <v>7</v>
      </c>
      <c r="I548" s="565">
        <v>2</v>
      </c>
      <c r="J548" s="565">
        <v>0</v>
      </c>
      <c r="K548" s="566">
        <v>0</v>
      </c>
      <c r="L548" s="565">
        <v>14</v>
      </c>
    </row>
    <row r="549" spans="1:12" s="562" customFormat="1" ht="9" customHeight="1" x14ac:dyDescent="0.25">
      <c r="A549" s="564" t="s">
        <v>40</v>
      </c>
      <c r="B549" s="565">
        <f t="shared" si="29"/>
        <v>788</v>
      </c>
      <c r="C549" s="565">
        <v>5</v>
      </c>
      <c r="D549" s="565">
        <v>112</v>
      </c>
      <c r="E549" s="565">
        <v>158</v>
      </c>
      <c r="F549" s="565">
        <v>151</v>
      </c>
      <c r="G549" s="565">
        <v>137</v>
      </c>
      <c r="H549" s="565">
        <v>68</v>
      </c>
      <c r="I549" s="565">
        <v>35</v>
      </c>
      <c r="J549" s="565">
        <v>2</v>
      </c>
      <c r="K549" s="566">
        <v>0</v>
      </c>
      <c r="L549" s="565">
        <v>120</v>
      </c>
    </row>
    <row r="550" spans="1:12" s="562" customFormat="1" ht="9" customHeight="1" x14ac:dyDescent="0.25">
      <c r="A550" s="567" t="s">
        <v>41</v>
      </c>
      <c r="B550" s="568">
        <f t="shared" si="29"/>
        <v>586</v>
      </c>
      <c r="C550" s="568">
        <v>3</v>
      </c>
      <c r="D550" s="568">
        <v>98</v>
      </c>
      <c r="E550" s="568">
        <v>111</v>
      </c>
      <c r="F550" s="568">
        <v>117</v>
      </c>
      <c r="G550" s="568">
        <v>96</v>
      </c>
      <c r="H550" s="568">
        <v>77</v>
      </c>
      <c r="I550" s="568">
        <v>26</v>
      </c>
      <c r="J550" s="568">
        <v>1</v>
      </c>
      <c r="K550" s="569">
        <v>1</v>
      </c>
      <c r="L550" s="568">
        <v>56</v>
      </c>
    </row>
    <row r="551" spans="1:12" s="562" customFormat="1" ht="9" customHeight="1" x14ac:dyDescent="0.25">
      <c r="A551" s="564" t="s">
        <v>42</v>
      </c>
      <c r="B551" s="565">
        <f t="shared" si="29"/>
        <v>1593</v>
      </c>
      <c r="C551" s="565">
        <v>13</v>
      </c>
      <c r="D551" s="565">
        <v>251</v>
      </c>
      <c r="E551" s="565">
        <v>344</v>
      </c>
      <c r="F551" s="565">
        <v>297</v>
      </c>
      <c r="G551" s="565">
        <v>266</v>
      </c>
      <c r="H551" s="565">
        <v>167</v>
      </c>
      <c r="I551" s="565">
        <v>43</v>
      </c>
      <c r="J551" s="565">
        <v>6</v>
      </c>
      <c r="K551" s="566">
        <v>0</v>
      </c>
      <c r="L551" s="565">
        <v>206</v>
      </c>
    </row>
    <row r="552" spans="1:12" s="562" customFormat="1" ht="9" customHeight="1" x14ac:dyDescent="0.25">
      <c r="A552" s="564" t="s">
        <v>43</v>
      </c>
      <c r="B552" s="565">
        <f t="shared" si="29"/>
        <v>346</v>
      </c>
      <c r="C552" s="565">
        <v>2</v>
      </c>
      <c r="D552" s="565">
        <v>47</v>
      </c>
      <c r="E552" s="565">
        <v>89</v>
      </c>
      <c r="F552" s="565">
        <v>72</v>
      </c>
      <c r="G552" s="565">
        <v>70</v>
      </c>
      <c r="H552" s="565">
        <v>40</v>
      </c>
      <c r="I552" s="565">
        <v>8</v>
      </c>
      <c r="J552" s="565">
        <v>3</v>
      </c>
      <c r="K552" s="566">
        <v>0</v>
      </c>
      <c r="L552" s="565">
        <v>15</v>
      </c>
    </row>
    <row r="553" spans="1:12" s="562" customFormat="1" ht="9" customHeight="1" x14ac:dyDescent="0.25">
      <c r="A553" s="564" t="s">
        <v>44</v>
      </c>
      <c r="B553" s="565">
        <f t="shared" si="29"/>
        <v>271</v>
      </c>
      <c r="C553" s="565">
        <v>0</v>
      </c>
      <c r="D553" s="565">
        <v>41</v>
      </c>
      <c r="E553" s="565">
        <v>70</v>
      </c>
      <c r="F553" s="565">
        <v>51</v>
      </c>
      <c r="G553" s="565">
        <v>37</v>
      </c>
      <c r="H553" s="565">
        <v>26</v>
      </c>
      <c r="I553" s="565">
        <v>10</v>
      </c>
      <c r="J553" s="565">
        <v>0</v>
      </c>
      <c r="K553" s="566">
        <v>0</v>
      </c>
      <c r="L553" s="565">
        <v>36</v>
      </c>
    </row>
    <row r="554" spans="1:12" s="562" customFormat="1" ht="9" customHeight="1" x14ac:dyDescent="0.25">
      <c r="A554" s="567" t="s">
        <v>45</v>
      </c>
      <c r="B554" s="568">
        <f t="shared" si="29"/>
        <v>433</v>
      </c>
      <c r="C554" s="568">
        <v>1</v>
      </c>
      <c r="D554" s="568">
        <v>61</v>
      </c>
      <c r="E554" s="568">
        <v>79</v>
      </c>
      <c r="F554" s="568">
        <v>90</v>
      </c>
      <c r="G554" s="568">
        <v>84</v>
      </c>
      <c r="H554" s="568">
        <v>53</v>
      </c>
      <c r="I554" s="568">
        <v>13</v>
      </c>
      <c r="J554" s="568">
        <v>1</v>
      </c>
      <c r="K554" s="569">
        <v>0</v>
      </c>
      <c r="L554" s="568">
        <v>51</v>
      </c>
    </row>
    <row r="555" spans="1:12" s="562" customFormat="1" ht="9" customHeight="1" x14ac:dyDescent="0.25">
      <c r="A555" s="564" t="s">
        <v>46</v>
      </c>
      <c r="B555" s="565">
        <f t="shared" si="29"/>
        <v>295</v>
      </c>
      <c r="C555" s="565">
        <v>1</v>
      </c>
      <c r="D555" s="565">
        <v>60</v>
      </c>
      <c r="E555" s="565">
        <v>69</v>
      </c>
      <c r="F555" s="565">
        <v>55</v>
      </c>
      <c r="G555" s="565">
        <v>38</v>
      </c>
      <c r="H555" s="565">
        <v>20</v>
      </c>
      <c r="I555" s="565">
        <v>3</v>
      </c>
      <c r="J555" s="565">
        <v>1</v>
      </c>
      <c r="K555" s="566">
        <v>0</v>
      </c>
      <c r="L555" s="565">
        <v>48</v>
      </c>
    </row>
    <row r="556" spans="1:12" s="562" customFormat="1" ht="9" customHeight="1" x14ac:dyDescent="0.25">
      <c r="A556" s="564" t="s">
        <v>47</v>
      </c>
      <c r="B556" s="565">
        <f t="shared" si="29"/>
        <v>446</v>
      </c>
      <c r="C556" s="565">
        <v>2</v>
      </c>
      <c r="D556" s="565">
        <v>70</v>
      </c>
      <c r="E556" s="565">
        <v>98</v>
      </c>
      <c r="F556" s="565">
        <v>95</v>
      </c>
      <c r="G556" s="565">
        <v>64</v>
      </c>
      <c r="H556" s="565">
        <v>33</v>
      </c>
      <c r="I556" s="565">
        <v>11</v>
      </c>
      <c r="J556" s="565">
        <v>0</v>
      </c>
      <c r="K556" s="566">
        <v>0</v>
      </c>
      <c r="L556" s="565">
        <v>73</v>
      </c>
    </row>
    <row r="557" spans="1:12" s="562" customFormat="1" ht="9" customHeight="1" x14ac:dyDescent="0.25">
      <c r="A557" s="564" t="s">
        <v>48</v>
      </c>
      <c r="B557" s="565">
        <f t="shared" si="29"/>
        <v>314</v>
      </c>
      <c r="C557" s="565">
        <v>3</v>
      </c>
      <c r="D557" s="565">
        <v>55</v>
      </c>
      <c r="E557" s="565">
        <v>60</v>
      </c>
      <c r="F557" s="565">
        <v>70</v>
      </c>
      <c r="G557" s="565">
        <v>41</v>
      </c>
      <c r="H557" s="565">
        <v>23</v>
      </c>
      <c r="I557" s="565">
        <v>5</v>
      </c>
      <c r="J557" s="565">
        <v>1</v>
      </c>
      <c r="K557" s="566">
        <v>0</v>
      </c>
      <c r="L557" s="565">
        <v>56</v>
      </c>
    </row>
    <row r="558" spans="1:12" s="562" customFormat="1" ht="9" customHeight="1" x14ac:dyDescent="0.25">
      <c r="A558" s="567" t="s">
        <v>49</v>
      </c>
      <c r="B558" s="568">
        <f t="shared" si="29"/>
        <v>248</v>
      </c>
      <c r="C558" s="568">
        <v>1</v>
      </c>
      <c r="D558" s="568">
        <v>37</v>
      </c>
      <c r="E558" s="568">
        <v>62</v>
      </c>
      <c r="F558" s="568">
        <v>58</v>
      </c>
      <c r="G558" s="568">
        <v>44</v>
      </c>
      <c r="H558" s="568">
        <v>18</v>
      </c>
      <c r="I558" s="568">
        <v>5</v>
      </c>
      <c r="J558" s="568">
        <v>0</v>
      </c>
      <c r="K558" s="569">
        <v>0</v>
      </c>
      <c r="L558" s="568">
        <v>23</v>
      </c>
    </row>
    <row r="559" spans="1:12" s="562" customFormat="1" ht="9" customHeight="1" x14ac:dyDescent="0.25">
      <c r="A559" s="564" t="s">
        <v>50</v>
      </c>
      <c r="B559" s="565">
        <f t="shared" si="29"/>
        <v>263</v>
      </c>
      <c r="C559" s="565">
        <v>0</v>
      </c>
      <c r="D559" s="565">
        <v>39</v>
      </c>
      <c r="E559" s="565">
        <v>58</v>
      </c>
      <c r="F559" s="565">
        <v>67</v>
      </c>
      <c r="G559" s="565">
        <v>43</v>
      </c>
      <c r="H559" s="565">
        <v>26</v>
      </c>
      <c r="I559" s="565">
        <v>6</v>
      </c>
      <c r="J559" s="565">
        <v>0</v>
      </c>
      <c r="K559" s="566">
        <v>0</v>
      </c>
      <c r="L559" s="565">
        <v>24</v>
      </c>
    </row>
    <row r="560" spans="1:12" s="562" customFormat="1" ht="9" customHeight="1" x14ac:dyDescent="0.25">
      <c r="A560" s="564" t="s">
        <v>51</v>
      </c>
      <c r="B560" s="565">
        <f t="shared" si="29"/>
        <v>1289</v>
      </c>
      <c r="C560" s="565">
        <v>11</v>
      </c>
      <c r="D560" s="565">
        <v>189</v>
      </c>
      <c r="E560" s="565">
        <v>328</v>
      </c>
      <c r="F560" s="565">
        <v>245</v>
      </c>
      <c r="G560" s="565">
        <v>222</v>
      </c>
      <c r="H560" s="565">
        <v>142</v>
      </c>
      <c r="I560" s="565">
        <v>39</v>
      </c>
      <c r="J560" s="565">
        <v>1</v>
      </c>
      <c r="K560" s="566">
        <v>0</v>
      </c>
      <c r="L560" s="565">
        <v>112</v>
      </c>
    </row>
    <row r="561" spans="1:12" s="562" customFormat="1" ht="9" customHeight="1" x14ac:dyDescent="0.25">
      <c r="A561" s="564" t="s">
        <v>52</v>
      </c>
      <c r="B561" s="565">
        <f t="shared" si="29"/>
        <v>380</v>
      </c>
      <c r="C561" s="565">
        <v>0</v>
      </c>
      <c r="D561" s="565">
        <v>48</v>
      </c>
      <c r="E561" s="565">
        <v>88</v>
      </c>
      <c r="F561" s="565">
        <v>74</v>
      </c>
      <c r="G561" s="565">
        <v>67</v>
      </c>
      <c r="H561" s="565">
        <v>47</v>
      </c>
      <c r="I561" s="565">
        <v>5</v>
      </c>
      <c r="J561" s="565">
        <v>1</v>
      </c>
      <c r="K561" s="566">
        <v>0</v>
      </c>
      <c r="L561" s="565">
        <v>50</v>
      </c>
    </row>
    <row r="562" spans="1:12" s="562" customFormat="1" ht="9" customHeight="1" x14ac:dyDescent="0.25">
      <c r="A562" s="567" t="s">
        <v>53</v>
      </c>
      <c r="B562" s="568">
        <f t="shared" si="29"/>
        <v>253</v>
      </c>
      <c r="C562" s="568">
        <v>0</v>
      </c>
      <c r="D562" s="568">
        <v>38</v>
      </c>
      <c r="E562" s="568">
        <v>63</v>
      </c>
      <c r="F562" s="568">
        <v>44</v>
      </c>
      <c r="G562" s="568">
        <v>38</v>
      </c>
      <c r="H562" s="568">
        <v>36</v>
      </c>
      <c r="I562" s="568">
        <v>16</v>
      </c>
      <c r="J562" s="568">
        <v>1</v>
      </c>
      <c r="K562" s="569">
        <v>0</v>
      </c>
      <c r="L562" s="568">
        <v>17</v>
      </c>
    </row>
    <row r="563" spans="1:12" s="562" customFormat="1" ht="9" customHeight="1" x14ac:dyDescent="0.25">
      <c r="A563" s="564" t="s">
        <v>434</v>
      </c>
      <c r="B563" s="565">
        <f t="shared" si="29"/>
        <v>16</v>
      </c>
      <c r="C563" s="565">
        <v>0</v>
      </c>
      <c r="D563" s="565">
        <v>3</v>
      </c>
      <c r="E563" s="565">
        <v>1</v>
      </c>
      <c r="F563" s="565">
        <v>2</v>
      </c>
      <c r="G563" s="565">
        <v>2</v>
      </c>
      <c r="H563" s="565">
        <v>3</v>
      </c>
      <c r="I563" s="565">
        <v>0</v>
      </c>
      <c r="J563" s="565">
        <v>0</v>
      </c>
      <c r="K563" s="566">
        <v>0</v>
      </c>
      <c r="L563" s="565">
        <v>5</v>
      </c>
    </row>
    <row r="564" spans="1:12" s="562" customFormat="1" ht="9" customHeight="1" x14ac:dyDescent="0.25">
      <c r="A564" s="564"/>
      <c r="B564" s="565"/>
      <c r="C564" s="565"/>
      <c r="D564" s="565"/>
      <c r="E564" s="565"/>
      <c r="F564" s="565"/>
      <c r="G564" s="565"/>
      <c r="H564" s="565"/>
      <c r="I564" s="565"/>
      <c r="J564" s="565"/>
      <c r="K564" s="566"/>
      <c r="L564" s="565"/>
    </row>
    <row r="565" spans="1:12" s="562" customFormat="1" ht="9" customHeight="1" x14ac:dyDescent="0.25">
      <c r="A565" s="558">
        <v>2010</v>
      </c>
      <c r="B565" s="559"/>
      <c r="C565" s="560"/>
      <c r="D565" s="560"/>
      <c r="E565" s="561"/>
      <c r="F565" s="561"/>
      <c r="G565" s="560"/>
      <c r="H565" s="560"/>
      <c r="I565" s="560"/>
      <c r="J565" s="560"/>
      <c r="K565" s="560"/>
      <c r="L565" s="560"/>
    </row>
    <row r="566" spans="1:12" s="562" customFormat="1" ht="9" customHeight="1" x14ac:dyDescent="0.25">
      <c r="A566" s="558" t="s">
        <v>13</v>
      </c>
      <c r="B566" s="572">
        <f t="shared" ref="B566:L566" si="30">SUM(B568:B600)</f>
        <v>23081</v>
      </c>
      <c r="C566" s="572">
        <f t="shared" si="30"/>
        <v>122</v>
      </c>
      <c r="D566" s="572">
        <f t="shared" si="30"/>
        <v>3438</v>
      </c>
      <c r="E566" s="572">
        <f t="shared" si="30"/>
        <v>5321</v>
      </c>
      <c r="F566" s="572">
        <f t="shared" si="30"/>
        <v>4491</v>
      </c>
      <c r="G566" s="572">
        <f t="shared" si="30"/>
        <v>3628</v>
      </c>
      <c r="H566" s="572">
        <f t="shared" si="30"/>
        <v>2303</v>
      </c>
      <c r="I566" s="572">
        <f t="shared" si="30"/>
        <v>680</v>
      </c>
      <c r="J566" s="572">
        <f t="shared" si="30"/>
        <v>64</v>
      </c>
      <c r="K566" s="572">
        <f t="shared" si="30"/>
        <v>7</v>
      </c>
      <c r="L566" s="572">
        <f t="shared" si="30"/>
        <v>3027</v>
      </c>
    </row>
    <row r="567" spans="1:12" s="562" customFormat="1" ht="3.95" customHeight="1" x14ac:dyDescent="0.25">
      <c r="A567" s="558"/>
      <c r="B567" s="572"/>
      <c r="C567" s="572"/>
      <c r="D567" s="572"/>
      <c r="E567" s="572"/>
      <c r="F567" s="572"/>
      <c r="G567" s="572"/>
      <c r="H567" s="572"/>
      <c r="I567" s="572"/>
      <c r="J567" s="572"/>
      <c r="K567" s="572"/>
      <c r="L567" s="572"/>
    </row>
    <row r="568" spans="1:12" s="562" customFormat="1" ht="9" customHeight="1" x14ac:dyDescent="0.25">
      <c r="A568" s="564" t="s">
        <v>23</v>
      </c>
      <c r="B568" s="573">
        <f t="shared" ref="B568:B600" si="31">SUM(C568:L568)</f>
        <v>205</v>
      </c>
      <c r="C568" s="573">
        <v>1</v>
      </c>
      <c r="D568" s="573">
        <v>29</v>
      </c>
      <c r="E568" s="573">
        <v>45</v>
      </c>
      <c r="F568" s="573">
        <v>34</v>
      </c>
      <c r="G568" s="573">
        <v>35</v>
      </c>
      <c r="H568" s="573">
        <v>17</v>
      </c>
      <c r="I568" s="573">
        <v>7</v>
      </c>
      <c r="J568" s="573">
        <v>0</v>
      </c>
      <c r="K568" s="574">
        <v>0</v>
      </c>
      <c r="L568" s="573">
        <v>37</v>
      </c>
    </row>
    <row r="569" spans="1:12" s="562" customFormat="1" ht="9" customHeight="1" x14ac:dyDescent="0.25">
      <c r="A569" s="564" t="s">
        <v>24</v>
      </c>
      <c r="B569" s="573">
        <f t="shared" si="31"/>
        <v>827</v>
      </c>
      <c r="C569" s="573">
        <v>3</v>
      </c>
      <c r="D569" s="573">
        <v>146</v>
      </c>
      <c r="E569" s="573">
        <v>193</v>
      </c>
      <c r="F569" s="573">
        <v>140</v>
      </c>
      <c r="G569" s="573">
        <v>113</v>
      </c>
      <c r="H569" s="573">
        <v>58</v>
      </c>
      <c r="I569" s="573">
        <v>20</v>
      </c>
      <c r="J569" s="573">
        <v>0</v>
      </c>
      <c r="K569" s="574">
        <v>1</v>
      </c>
      <c r="L569" s="573">
        <v>153</v>
      </c>
    </row>
    <row r="570" spans="1:12" s="562" customFormat="1" ht="9" customHeight="1" x14ac:dyDescent="0.25">
      <c r="A570" s="564" t="s">
        <v>25</v>
      </c>
      <c r="B570" s="573">
        <f t="shared" si="31"/>
        <v>133</v>
      </c>
      <c r="C570" s="573">
        <v>0</v>
      </c>
      <c r="D570" s="573">
        <v>12</v>
      </c>
      <c r="E570" s="573">
        <v>19</v>
      </c>
      <c r="F570" s="573">
        <v>39</v>
      </c>
      <c r="G570" s="573">
        <v>26</v>
      </c>
      <c r="H570" s="573">
        <v>9</v>
      </c>
      <c r="I570" s="573">
        <v>2</v>
      </c>
      <c r="J570" s="573">
        <v>1</v>
      </c>
      <c r="K570" s="574">
        <v>0</v>
      </c>
      <c r="L570" s="573">
        <v>25</v>
      </c>
    </row>
    <row r="571" spans="1:12" s="562" customFormat="1" ht="9" customHeight="1" x14ac:dyDescent="0.25">
      <c r="A571" s="575" t="s">
        <v>26</v>
      </c>
      <c r="B571" s="576">
        <f t="shared" si="31"/>
        <v>125</v>
      </c>
      <c r="C571" s="576">
        <v>1</v>
      </c>
      <c r="D571" s="576">
        <v>21</v>
      </c>
      <c r="E571" s="576">
        <v>28</v>
      </c>
      <c r="F571" s="576">
        <v>24</v>
      </c>
      <c r="G571" s="576">
        <v>16</v>
      </c>
      <c r="H571" s="576">
        <v>12</v>
      </c>
      <c r="I571" s="576">
        <v>3</v>
      </c>
      <c r="J571" s="576">
        <v>0</v>
      </c>
      <c r="K571" s="577">
        <v>0</v>
      </c>
      <c r="L571" s="576">
        <v>20</v>
      </c>
    </row>
    <row r="572" spans="1:12" s="562" customFormat="1" ht="9" customHeight="1" x14ac:dyDescent="0.25">
      <c r="A572" s="564" t="s">
        <v>27</v>
      </c>
      <c r="B572" s="573">
        <f t="shared" si="31"/>
        <v>100</v>
      </c>
      <c r="C572" s="573">
        <v>1</v>
      </c>
      <c r="D572" s="573">
        <v>14</v>
      </c>
      <c r="E572" s="578">
        <v>21</v>
      </c>
      <c r="F572" s="573">
        <v>14</v>
      </c>
      <c r="G572" s="573">
        <v>11</v>
      </c>
      <c r="H572" s="573">
        <v>6</v>
      </c>
      <c r="I572" s="573">
        <v>1</v>
      </c>
      <c r="J572" s="573">
        <v>0</v>
      </c>
      <c r="K572" s="574">
        <v>0</v>
      </c>
      <c r="L572" s="573">
        <v>32</v>
      </c>
    </row>
    <row r="573" spans="1:12" s="562" customFormat="1" ht="9" customHeight="1" x14ac:dyDescent="0.25">
      <c r="A573" s="564" t="s">
        <v>28</v>
      </c>
      <c r="B573" s="573">
        <f t="shared" si="31"/>
        <v>105</v>
      </c>
      <c r="C573" s="573">
        <v>0</v>
      </c>
      <c r="D573" s="573">
        <v>18</v>
      </c>
      <c r="E573" s="573">
        <v>29</v>
      </c>
      <c r="F573" s="573">
        <v>19</v>
      </c>
      <c r="G573" s="573">
        <v>15</v>
      </c>
      <c r="H573" s="573">
        <v>4</v>
      </c>
      <c r="I573" s="573">
        <v>2</v>
      </c>
      <c r="J573" s="573">
        <v>1</v>
      </c>
      <c r="K573" s="574">
        <v>0</v>
      </c>
      <c r="L573" s="573">
        <v>17</v>
      </c>
    </row>
    <row r="574" spans="1:12" s="562" customFormat="1" ht="9" customHeight="1" x14ac:dyDescent="0.25">
      <c r="A574" s="564" t="s">
        <v>29</v>
      </c>
      <c r="B574" s="573">
        <f t="shared" si="31"/>
        <v>868</v>
      </c>
      <c r="C574" s="573">
        <v>6</v>
      </c>
      <c r="D574" s="573">
        <v>122</v>
      </c>
      <c r="E574" s="573">
        <v>199</v>
      </c>
      <c r="F574" s="573">
        <v>171</v>
      </c>
      <c r="G574" s="573">
        <v>123</v>
      </c>
      <c r="H574" s="573">
        <v>95</v>
      </c>
      <c r="I574" s="573">
        <v>33</v>
      </c>
      <c r="J574" s="573">
        <v>0</v>
      </c>
      <c r="K574" s="574">
        <v>0</v>
      </c>
      <c r="L574" s="573">
        <v>119</v>
      </c>
    </row>
    <row r="575" spans="1:12" s="562" customFormat="1" ht="9" customHeight="1" x14ac:dyDescent="0.25">
      <c r="A575" s="575" t="s">
        <v>30</v>
      </c>
      <c r="B575" s="576">
        <f t="shared" si="31"/>
        <v>656</v>
      </c>
      <c r="C575" s="576">
        <v>4</v>
      </c>
      <c r="D575" s="576">
        <v>115</v>
      </c>
      <c r="E575" s="576">
        <v>152</v>
      </c>
      <c r="F575" s="576">
        <v>117</v>
      </c>
      <c r="G575" s="576">
        <v>102</v>
      </c>
      <c r="H575" s="576">
        <v>65</v>
      </c>
      <c r="I575" s="576">
        <v>13</v>
      </c>
      <c r="J575" s="576">
        <v>1</v>
      </c>
      <c r="K575" s="577">
        <v>0</v>
      </c>
      <c r="L575" s="576">
        <v>87</v>
      </c>
    </row>
    <row r="576" spans="1:12" s="562" customFormat="1" ht="9" customHeight="1" x14ac:dyDescent="0.25">
      <c r="A576" s="550" t="s">
        <v>63</v>
      </c>
      <c r="B576" s="573">
        <f t="shared" si="31"/>
        <v>2456</v>
      </c>
      <c r="C576" s="573">
        <v>5</v>
      </c>
      <c r="D576" s="573">
        <v>341</v>
      </c>
      <c r="E576" s="573">
        <v>549</v>
      </c>
      <c r="F576" s="573">
        <v>508</v>
      </c>
      <c r="G576" s="573">
        <v>407</v>
      </c>
      <c r="H576" s="573">
        <v>287</v>
      </c>
      <c r="I576" s="573">
        <v>79</v>
      </c>
      <c r="J576" s="573">
        <v>7</v>
      </c>
      <c r="K576" s="574">
        <v>0</v>
      </c>
      <c r="L576" s="573">
        <v>273</v>
      </c>
    </row>
    <row r="577" spans="1:12" s="562" customFormat="1" ht="9" customHeight="1" x14ac:dyDescent="0.25">
      <c r="A577" s="564" t="s">
        <v>31</v>
      </c>
      <c r="B577" s="573">
        <f t="shared" si="31"/>
        <v>253</v>
      </c>
      <c r="C577" s="573">
        <v>1</v>
      </c>
      <c r="D577" s="573">
        <v>54</v>
      </c>
      <c r="E577" s="573">
        <v>57</v>
      </c>
      <c r="F577" s="573">
        <v>41</v>
      </c>
      <c r="G577" s="573">
        <v>37</v>
      </c>
      <c r="H577" s="573">
        <v>18</v>
      </c>
      <c r="I577" s="573">
        <v>8</v>
      </c>
      <c r="J577" s="573">
        <v>0</v>
      </c>
      <c r="K577" s="574">
        <v>0</v>
      </c>
      <c r="L577" s="573">
        <v>37</v>
      </c>
    </row>
    <row r="578" spans="1:12" s="562" customFormat="1" ht="9" customHeight="1" x14ac:dyDescent="0.25">
      <c r="A578" s="564" t="s">
        <v>32</v>
      </c>
      <c r="B578" s="573">
        <f t="shared" si="31"/>
        <v>1437</v>
      </c>
      <c r="C578" s="573">
        <v>9</v>
      </c>
      <c r="D578" s="573">
        <v>166</v>
      </c>
      <c r="E578" s="573">
        <v>313</v>
      </c>
      <c r="F578" s="573">
        <v>294</v>
      </c>
      <c r="G578" s="573">
        <v>220</v>
      </c>
      <c r="H578" s="573">
        <v>158</v>
      </c>
      <c r="I578" s="573">
        <v>52</v>
      </c>
      <c r="J578" s="573">
        <v>8</v>
      </c>
      <c r="K578" s="574">
        <v>1</v>
      </c>
      <c r="L578" s="573">
        <v>216</v>
      </c>
    </row>
    <row r="579" spans="1:12" s="562" customFormat="1" ht="9" customHeight="1" x14ac:dyDescent="0.25">
      <c r="A579" s="575" t="s">
        <v>33</v>
      </c>
      <c r="B579" s="576">
        <f t="shared" si="31"/>
        <v>92</v>
      </c>
      <c r="C579" s="576">
        <v>0</v>
      </c>
      <c r="D579" s="576">
        <v>18</v>
      </c>
      <c r="E579" s="579">
        <v>18</v>
      </c>
      <c r="F579" s="576">
        <v>17</v>
      </c>
      <c r="G579" s="576">
        <v>15</v>
      </c>
      <c r="H579" s="576">
        <v>14</v>
      </c>
      <c r="I579" s="576">
        <v>3</v>
      </c>
      <c r="J579" s="576">
        <v>0</v>
      </c>
      <c r="K579" s="577">
        <v>0</v>
      </c>
      <c r="L579" s="576">
        <v>7</v>
      </c>
    </row>
    <row r="580" spans="1:12" s="562" customFormat="1" ht="9" customHeight="1" x14ac:dyDescent="0.25">
      <c r="A580" s="564" t="s">
        <v>34</v>
      </c>
      <c r="B580" s="573">
        <f t="shared" si="31"/>
        <v>456</v>
      </c>
      <c r="C580" s="573">
        <v>6</v>
      </c>
      <c r="D580" s="573">
        <v>82</v>
      </c>
      <c r="E580" s="573">
        <v>118</v>
      </c>
      <c r="F580" s="573">
        <v>81</v>
      </c>
      <c r="G580" s="573">
        <v>64</v>
      </c>
      <c r="H580" s="573">
        <v>52</v>
      </c>
      <c r="I580" s="573">
        <v>7</v>
      </c>
      <c r="J580" s="573">
        <v>1</v>
      </c>
      <c r="K580" s="574">
        <v>0</v>
      </c>
      <c r="L580" s="573">
        <v>45</v>
      </c>
    </row>
    <row r="581" spans="1:12" s="562" customFormat="1" ht="9" customHeight="1" x14ac:dyDescent="0.25">
      <c r="A581" s="564" t="s">
        <v>35</v>
      </c>
      <c r="B581" s="573">
        <f t="shared" si="31"/>
        <v>1762</v>
      </c>
      <c r="C581" s="573">
        <v>4</v>
      </c>
      <c r="D581" s="573">
        <v>242</v>
      </c>
      <c r="E581" s="573">
        <v>372</v>
      </c>
      <c r="F581" s="573">
        <v>354</v>
      </c>
      <c r="G581" s="573">
        <v>265</v>
      </c>
      <c r="H581" s="573">
        <v>202</v>
      </c>
      <c r="I581" s="573">
        <v>50</v>
      </c>
      <c r="J581" s="573">
        <v>10</v>
      </c>
      <c r="K581" s="574">
        <v>0</v>
      </c>
      <c r="L581" s="573">
        <v>263</v>
      </c>
    </row>
    <row r="582" spans="1:12" s="562" customFormat="1" ht="9" customHeight="1" x14ac:dyDescent="0.25">
      <c r="A582" s="564" t="s">
        <v>36</v>
      </c>
      <c r="B582" s="573">
        <f t="shared" si="31"/>
        <v>5103</v>
      </c>
      <c r="C582" s="573">
        <v>28</v>
      </c>
      <c r="D582" s="573">
        <v>826</v>
      </c>
      <c r="E582" s="573">
        <v>1363</v>
      </c>
      <c r="F582" s="573">
        <v>1055</v>
      </c>
      <c r="G582" s="573">
        <v>843</v>
      </c>
      <c r="H582" s="573">
        <v>481</v>
      </c>
      <c r="I582" s="573">
        <v>137</v>
      </c>
      <c r="J582" s="573">
        <v>13</v>
      </c>
      <c r="K582" s="574">
        <v>3</v>
      </c>
      <c r="L582" s="573">
        <v>354</v>
      </c>
    </row>
    <row r="583" spans="1:12" s="562" customFormat="1" ht="9" customHeight="1" x14ac:dyDescent="0.25">
      <c r="A583" s="575" t="s">
        <v>37</v>
      </c>
      <c r="B583" s="576">
        <f t="shared" si="31"/>
        <v>570</v>
      </c>
      <c r="C583" s="576">
        <v>2</v>
      </c>
      <c r="D583" s="576">
        <v>83</v>
      </c>
      <c r="E583" s="576">
        <v>119</v>
      </c>
      <c r="F583" s="576">
        <v>105</v>
      </c>
      <c r="G583" s="576">
        <v>73</v>
      </c>
      <c r="H583" s="576">
        <v>64</v>
      </c>
      <c r="I583" s="576">
        <v>18</v>
      </c>
      <c r="J583" s="576">
        <v>1</v>
      </c>
      <c r="K583" s="577">
        <v>0</v>
      </c>
      <c r="L583" s="576">
        <v>105</v>
      </c>
    </row>
    <row r="584" spans="1:12" s="562" customFormat="1" ht="9" customHeight="1" x14ac:dyDescent="0.25">
      <c r="A584" s="564" t="s">
        <v>38</v>
      </c>
      <c r="B584" s="573">
        <f t="shared" si="31"/>
        <v>246</v>
      </c>
      <c r="C584" s="573">
        <v>1</v>
      </c>
      <c r="D584" s="578">
        <v>22</v>
      </c>
      <c r="E584" s="573">
        <v>64</v>
      </c>
      <c r="F584" s="573">
        <v>50</v>
      </c>
      <c r="G584" s="573">
        <v>42</v>
      </c>
      <c r="H584" s="573">
        <v>26</v>
      </c>
      <c r="I584" s="573">
        <v>5</v>
      </c>
      <c r="J584" s="573">
        <v>0</v>
      </c>
      <c r="K584" s="574">
        <v>0</v>
      </c>
      <c r="L584" s="573">
        <v>36</v>
      </c>
    </row>
    <row r="585" spans="1:12" s="562" customFormat="1" ht="9" customHeight="1" x14ac:dyDescent="0.25">
      <c r="A585" s="564" t="s">
        <v>39</v>
      </c>
      <c r="B585" s="573">
        <f t="shared" si="31"/>
        <v>77</v>
      </c>
      <c r="C585" s="573">
        <v>0</v>
      </c>
      <c r="D585" s="573">
        <v>1</v>
      </c>
      <c r="E585" s="573">
        <v>17</v>
      </c>
      <c r="F585" s="573">
        <v>16</v>
      </c>
      <c r="G585" s="573">
        <v>13</v>
      </c>
      <c r="H585" s="573">
        <v>6</v>
      </c>
      <c r="I585" s="573">
        <v>1</v>
      </c>
      <c r="J585" s="573">
        <v>0</v>
      </c>
      <c r="K585" s="574">
        <v>0</v>
      </c>
      <c r="L585" s="573">
        <v>23</v>
      </c>
    </row>
    <row r="586" spans="1:12" s="562" customFormat="1" ht="9" customHeight="1" x14ac:dyDescent="0.25">
      <c r="A586" s="564" t="s">
        <v>40</v>
      </c>
      <c r="B586" s="573">
        <f t="shared" si="31"/>
        <v>683</v>
      </c>
      <c r="C586" s="573">
        <v>5</v>
      </c>
      <c r="D586" s="573">
        <v>95</v>
      </c>
      <c r="E586" s="573">
        <v>145</v>
      </c>
      <c r="F586" s="573">
        <v>121</v>
      </c>
      <c r="G586" s="573">
        <v>125</v>
      </c>
      <c r="H586" s="573">
        <v>63</v>
      </c>
      <c r="I586" s="573">
        <v>14</v>
      </c>
      <c r="J586" s="573">
        <v>2</v>
      </c>
      <c r="K586" s="574">
        <v>0</v>
      </c>
      <c r="L586" s="573">
        <v>113</v>
      </c>
    </row>
    <row r="587" spans="1:12" s="562" customFormat="1" ht="9" customHeight="1" x14ac:dyDescent="0.25">
      <c r="A587" s="575" t="s">
        <v>41</v>
      </c>
      <c r="B587" s="576">
        <f t="shared" si="31"/>
        <v>624</v>
      </c>
      <c r="C587" s="576">
        <v>7</v>
      </c>
      <c r="D587" s="576">
        <v>88</v>
      </c>
      <c r="E587" s="576">
        <v>122</v>
      </c>
      <c r="F587" s="576">
        <v>94</v>
      </c>
      <c r="G587" s="576">
        <v>118</v>
      </c>
      <c r="H587" s="576">
        <v>76</v>
      </c>
      <c r="I587" s="576">
        <v>25</v>
      </c>
      <c r="J587" s="576">
        <v>2</v>
      </c>
      <c r="K587" s="577">
        <v>2</v>
      </c>
      <c r="L587" s="576">
        <v>90</v>
      </c>
    </row>
    <row r="588" spans="1:12" s="562" customFormat="1" ht="9" customHeight="1" x14ac:dyDescent="0.25">
      <c r="A588" s="564" t="s">
        <v>42</v>
      </c>
      <c r="B588" s="573">
        <f t="shared" si="31"/>
        <v>1583</v>
      </c>
      <c r="C588" s="573">
        <v>9</v>
      </c>
      <c r="D588" s="573">
        <v>233</v>
      </c>
      <c r="E588" s="573">
        <v>324</v>
      </c>
      <c r="F588" s="573">
        <v>266</v>
      </c>
      <c r="G588" s="573">
        <v>218</v>
      </c>
      <c r="H588" s="573">
        <v>154</v>
      </c>
      <c r="I588" s="573">
        <v>46</v>
      </c>
      <c r="J588" s="573">
        <v>9</v>
      </c>
      <c r="K588" s="574">
        <v>0</v>
      </c>
      <c r="L588" s="573">
        <v>324</v>
      </c>
    </row>
    <row r="589" spans="1:12" s="562" customFormat="1" ht="9" customHeight="1" x14ac:dyDescent="0.25">
      <c r="A589" s="564" t="s">
        <v>43</v>
      </c>
      <c r="B589" s="573">
        <f t="shared" si="31"/>
        <v>363</v>
      </c>
      <c r="C589" s="573">
        <v>1</v>
      </c>
      <c r="D589" s="573">
        <v>48</v>
      </c>
      <c r="E589" s="573">
        <v>84</v>
      </c>
      <c r="F589" s="573">
        <v>81</v>
      </c>
      <c r="G589" s="573">
        <v>57</v>
      </c>
      <c r="H589" s="573">
        <v>54</v>
      </c>
      <c r="I589" s="573">
        <v>19</v>
      </c>
      <c r="J589" s="573">
        <v>1</v>
      </c>
      <c r="K589" s="574">
        <v>0</v>
      </c>
      <c r="L589" s="573">
        <v>18</v>
      </c>
    </row>
    <row r="590" spans="1:12" s="562" customFormat="1" ht="9" customHeight="1" x14ac:dyDescent="0.25">
      <c r="A590" s="564" t="s">
        <v>44</v>
      </c>
      <c r="B590" s="573">
        <f t="shared" si="31"/>
        <v>249</v>
      </c>
      <c r="C590" s="573">
        <v>1</v>
      </c>
      <c r="D590" s="573">
        <v>34</v>
      </c>
      <c r="E590" s="573">
        <v>51</v>
      </c>
      <c r="F590" s="573">
        <v>46</v>
      </c>
      <c r="G590" s="573">
        <v>44</v>
      </c>
      <c r="H590" s="573">
        <v>19</v>
      </c>
      <c r="I590" s="573">
        <v>9</v>
      </c>
      <c r="J590" s="573">
        <v>0</v>
      </c>
      <c r="K590" s="574">
        <v>0</v>
      </c>
      <c r="L590" s="573">
        <v>45</v>
      </c>
    </row>
    <row r="591" spans="1:12" s="562" customFormat="1" ht="9" customHeight="1" x14ac:dyDescent="0.25">
      <c r="A591" s="575" t="s">
        <v>45</v>
      </c>
      <c r="B591" s="576">
        <f t="shared" si="31"/>
        <v>428</v>
      </c>
      <c r="C591" s="576">
        <v>0</v>
      </c>
      <c r="D591" s="576">
        <v>59</v>
      </c>
      <c r="E591" s="576">
        <v>96</v>
      </c>
      <c r="F591" s="576">
        <v>76</v>
      </c>
      <c r="G591" s="576">
        <v>71</v>
      </c>
      <c r="H591" s="576">
        <v>40</v>
      </c>
      <c r="I591" s="576">
        <v>12</v>
      </c>
      <c r="J591" s="576">
        <v>2</v>
      </c>
      <c r="K591" s="577">
        <v>0</v>
      </c>
      <c r="L591" s="576">
        <v>72</v>
      </c>
    </row>
    <row r="592" spans="1:12" s="562" customFormat="1" ht="9" customHeight="1" x14ac:dyDescent="0.25">
      <c r="A592" s="564" t="s">
        <v>46</v>
      </c>
      <c r="B592" s="573">
        <f t="shared" si="31"/>
        <v>379</v>
      </c>
      <c r="C592" s="573">
        <v>2</v>
      </c>
      <c r="D592" s="573">
        <v>63</v>
      </c>
      <c r="E592" s="573">
        <v>86</v>
      </c>
      <c r="F592" s="573">
        <v>58</v>
      </c>
      <c r="G592" s="573">
        <v>56</v>
      </c>
      <c r="H592" s="573">
        <v>17</v>
      </c>
      <c r="I592" s="573">
        <v>9</v>
      </c>
      <c r="J592" s="573">
        <v>0</v>
      </c>
      <c r="K592" s="574">
        <v>0</v>
      </c>
      <c r="L592" s="573">
        <v>88</v>
      </c>
    </row>
    <row r="593" spans="1:12" s="562" customFormat="1" ht="9" customHeight="1" x14ac:dyDescent="0.25">
      <c r="A593" s="564" t="s">
        <v>47</v>
      </c>
      <c r="B593" s="573">
        <f t="shared" si="31"/>
        <v>536</v>
      </c>
      <c r="C593" s="573">
        <v>11</v>
      </c>
      <c r="D593" s="573">
        <v>80</v>
      </c>
      <c r="E593" s="573">
        <v>128</v>
      </c>
      <c r="F593" s="573">
        <v>115</v>
      </c>
      <c r="G593" s="573">
        <v>86</v>
      </c>
      <c r="H593" s="573">
        <v>36</v>
      </c>
      <c r="I593" s="573">
        <v>10</v>
      </c>
      <c r="J593" s="573">
        <v>0</v>
      </c>
      <c r="K593" s="574">
        <v>0</v>
      </c>
      <c r="L593" s="573">
        <v>70</v>
      </c>
    </row>
    <row r="594" spans="1:12" s="562" customFormat="1" ht="9" customHeight="1" x14ac:dyDescent="0.25">
      <c r="A594" s="564" t="s">
        <v>48</v>
      </c>
      <c r="B594" s="573">
        <f t="shared" si="31"/>
        <v>298</v>
      </c>
      <c r="C594" s="573">
        <v>2</v>
      </c>
      <c r="D594" s="573">
        <v>46</v>
      </c>
      <c r="E594" s="573">
        <v>69</v>
      </c>
      <c r="F594" s="573">
        <v>48</v>
      </c>
      <c r="G594" s="573">
        <v>40</v>
      </c>
      <c r="H594" s="573">
        <v>26</v>
      </c>
      <c r="I594" s="573">
        <v>4</v>
      </c>
      <c r="J594" s="573">
        <v>1</v>
      </c>
      <c r="K594" s="574">
        <v>0</v>
      </c>
      <c r="L594" s="573">
        <v>62</v>
      </c>
    </row>
    <row r="595" spans="1:12" s="562" customFormat="1" ht="9" customHeight="1" x14ac:dyDescent="0.25">
      <c r="A595" s="575" t="s">
        <v>49</v>
      </c>
      <c r="B595" s="576">
        <f t="shared" si="31"/>
        <v>284</v>
      </c>
      <c r="C595" s="576">
        <v>1</v>
      </c>
      <c r="D595" s="576">
        <v>45</v>
      </c>
      <c r="E595" s="576">
        <v>74</v>
      </c>
      <c r="F595" s="576">
        <v>57</v>
      </c>
      <c r="G595" s="576">
        <v>44</v>
      </c>
      <c r="H595" s="576">
        <v>25</v>
      </c>
      <c r="I595" s="576">
        <v>3</v>
      </c>
      <c r="J595" s="576">
        <v>0</v>
      </c>
      <c r="K595" s="577">
        <v>0</v>
      </c>
      <c r="L595" s="576">
        <v>35</v>
      </c>
    </row>
    <row r="596" spans="1:12" s="562" customFormat="1" ht="9" customHeight="1" x14ac:dyDescent="0.25">
      <c r="A596" s="564" t="s">
        <v>50</v>
      </c>
      <c r="B596" s="573">
        <f t="shared" si="31"/>
        <v>230</v>
      </c>
      <c r="C596" s="573">
        <v>2</v>
      </c>
      <c r="D596" s="573">
        <v>33</v>
      </c>
      <c r="E596" s="573">
        <v>36</v>
      </c>
      <c r="F596" s="573">
        <v>50</v>
      </c>
      <c r="G596" s="573">
        <v>29</v>
      </c>
      <c r="H596" s="573">
        <v>22</v>
      </c>
      <c r="I596" s="573">
        <v>9</v>
      </c>
      <c r="J596" s="573">
        <v>0</v>
      </c>
      <c r="K596" s="574">
        <v>0</v>
      </c>
      <c r="L596" s="573">
        <v>49</v>
      </c>
    </row>
    <row r="597" spans="1:12" s="562" customFormat="1" ht="9" customHeight="1" x14ac:dyDescent="0.25">
      <c r="A597" s="564" t="s">
        <v>51</v>
      </c>
      <c r="B597" s="573">
        <f t="shared" si="31"/>
        <v>1301</v>
      </c>
      <c r="C597" s="573">
        <v>7</v>
      </c>
      <c r="D597" s="573">
        <v>198</v>
      </c>
      <c r="E597" s="573">
        <v>299</v>
      </c>
      <c r="F597" s="573">
        <v>263</v>
      </c>
      <c r="G597" s="573">
        <v>217</v>
      </c>
      <c r="H597" s="573">
        <v>132</v>
      </c>
      <c r="I597" s="573">
        <v>59</v>
      </c>
      <c r="J597" s="573">
        <v>4</v>
      </c>
      <c r="K597" s="574">
        <v>0</v>
      </c>
      <c r="L597" s="573">
        <v>122</v>
      </c>
    </row>
    <row r="598" spans="1:12" s="562" customFormat="1" ht="9" customHeight="1" x14ac:dyDescent="0.25">
      <c r="A598" s="564" t="s">
        <v>52</v>
      </c>
      <c r="B598" s="573">
        <f t="shared" si="31"/>
        <v>368</v>
      </c>
      <c r="C598" s="573">
        <v>2</v>
      </c>
      <c r="D598" s="573">
        <v>47</v>
      </c>
      <c r="E598" s="573">
        <v>75</v>
      </c>
      <c r="F598" s="573">
        <v>78</v>
      </c>
      <c r="G598" s="573">
        <v>52</v>
      </c>
      <c r="H598" s="573">
        <v>38</v>
      </c>
      <c r="I598" s="573">
        <v>12</v>
      </c>
      <c r="J598" s="573">
        <v>0</v>
      </c>
      <c r="K598" s="574">
        <v>0</v>
      </c>
      <c r="L598" s="573">
        <v>64</v>
      </c>
    </row>
    <row r="599" spans="1:12" s="562" customFormat="1" ht="9" customHeight="1" x14ac:dyDescent="0.25">
      <c r="A599" s="575" t="s">
        <v>53</v>
      </c>
      <c r="B599" s="576">
        <f t="shared" si="31"/>
        <v>273</v>
      </c>
      <c r="C599" s="576">
        <v>0</v>
      </c>
      <c r="D599" s="576">
        <v>55</v>
      </c>
      <c r="E599" s="576">
        <v>54</v>
      </c>
      <c r="F599" s="576">
        <v>55</v>
      </c>
      <c r="G599" s="576">
        <v>51</v>
      </c>
      <c r="H599" s="576">
        <v>26</v>
      </c>
      <c r="I599" s="576">
        <v>8</v>
      </c>
      <c r="J599" s="576">
        <v>0</v>
      </c>
      <c r="K599" s="577">
        <v>0</v>
      </c>
      <c r="L599" s="576">
        <v>24</v>
      </c>
    </row>
    <row r="600" spans="1:12" s="562" customFormat="1" ht="9" customHeight="1" x14ac:dyDescent="0.25">
      <c r="A600" s="564" t="s">
        <v>434</v>
      </c>
      <c r="B600" s="573">
        <f t="shared" si="31"/>
        <v>11</v>
      </c>
      <c r="C600" s="573">
        <v>0</v>
      </c>
      <c r="D600" s="573">
        <v>2</v>
      </c>
      <c r="E600" s="573">
        <v>2</v>
      </c>
      <c r="F600" s="573">
        <v>4</v>
      </c>
      <c r="G600" s="573">
        <v>0</v>
      </c>
      <c r="H600" s="573">
        <v>1</v>
      </c>
      <c r="I600" s="573">
        <v>0</v>
      </c>
      <c r="J600" s="573">
        <v>0</v>
      </c>
      <c r="K600" s="574">
        <v>0</v>
      </c>
      <c r="L600" s="573">
        <v>2</v>
      </c>
    </row>
    <row r="601" spans="1:12" s="562" customFormat="1" ht="9" customHeight="1" x14ac:dyDescent="0.15">
      <c r="A601" s="564"/>
      <c r="B601" s="565"/>
      <c r="C601" s="580"/>
      <c r="D601" s="580"/>
      <c r="E601" s="580"/>
      <c r="F601" s="580"/>
      <c r="G601" s="580"/>
      <c r="H601" s="580"/>
      <c r="I601" s="580"/>
      <c r="J601" s="580"/>
      <c r="K601" s="580"/>
      <c r="L601" s="580"/>
    </row>
    <row r="602" spans="1:12" s="585" customFormat="1" ht="9" customHeight="1" x14ac:dyDescent="0.25">
      <c r="A602" s="581" t="s">
        <v>435</v>
      </c>
      <c r="B602" s="582"/>
      <c r="C602" s="583"/>
      <c r="D602" s="583"/>
      <c r="E602" s="584"/>
      <c r="F602" s="584"/>
      <c r="G602" s="583"/>
      <c r="H602" s="583"/>
      <c r="I602" s="583"/>
      <c r="J602" s="583"/>
      <c r="K602" s="583"/>
      <c r="L602" s="583"/>
    </row>
    <row r="603" spans="1:12" s="585" customFormat="1" ht="9" customHeight="1" x14ac:dyDescent="0.25">
      <c r="A603" s="586" t="s">
        <v>13</v>
      </c>
      <c r="B603" s="572">
        <f t="shared" ref="B603:L603" si="32">SUM(B605:B637)</f>
        <v>23135</v>
      </c>
      <c r="C603" s="572">
        <f t="shared" si="32"/>
        <v>137</v>
      </c>
      <c r="D603" s="572">
        <f t="shared" si="32"/>
        <v>3502</v>
      </c>
      <c r="E603" s="572">
        <f t="shared" si="32"/>
        <v>5110</v>
      </c>
      <c r="F603" s="572">
        <f t="shared" si="32"/>
        <v>4322</v>
      </c>
      <c r="G603" s="572">
        <f t="shared" si="32"/>
        <v>3490</v>
      </c>
      <c r="H603" s="572">
        <f t="shared" si="32"/>
        <v>2377</v>
      </c>
      <c r="I603" s="572">
        <f t="shared" si="32"/>
        <v>689</v>
      </c>
      <c r="J603" s="572">
        <f t="shared" si="32"/>
        <v>48</v>
      </c>
      <c r="K603" s="572">
        <f t="shared" si="32"/>
        <v>5</v>
      </c>
      <c r="L603" s="572">
        <f t="shared" si="32"/>
        <v>3455</v>
      </c>
    </row>
    <row r="604" spans="1:12" s="585" customFormat="1" ht="3.95" customHeight="1" x14ac:dyDescent="0.25">
      <c r="A604" s="587"/>
      <c r="B604" s="572"/>
      <c r="C604" s="572"/>
      <c r="D604" s="572"/>
      <c r="E604" s="572"/>
      <c r="F604" s="572"/>
      <c r="G604" s="572"/>
      <c r="H604" s="572"/>
      <c r="I604" s="572"/>
      <c r="J604" s="572"/>
      <c r="K604" s="572"/>
      <c r="L604" s="572"/>
    </row>
    <row r="605" spans="1:12" s="585" customFormat="1" ht="9" customHeight="1" x14ac:dyDescent="0.25">
      <c r="A605" s="588" t="s">
        <v>23</v>
      </c>
      <c r="B605" s="573">
        <f t="shared" ref="B605:B637" si="33">SUM(C605:L605)</f>
        <v>216</v>
      </c>
      <c r="C605" s="565">
        <v>1</v>
      </c>
      <c r="D605" s="565">
        <v>24</v>
      </c>
      <c r="E605" s="565">
        <v>44</v>
      </c>
      <c r="F605" s="565">
        <v>35</v>
      </c>
      <c r="G605" s="565">
        <v>38</v>
      </c>
      <c r="H605" s="565">
        <v>25</v>
      </c>
      <c r="I605" s="565">
        <v>10</v>
      </c>
      <c r="J605" s="565">
        <v>0</v>
      </c>
      <c r="K605" s="566">
        <v>0</v>
      </c>
      <c r="L605" s="565">
        <v>39</v>
      </c>
    </row>
    <row r="606" spans="1:12" s="585" customFormat="1" ht="9" customHeight="1" x14ac:dyDescent="0.25">
      <c r="A606" s="588" t="s">
        <v>24</v>
      </c>
      <c r="B606" s="573">
        <f t="shared" si="33"/>
        <v>825</v>
      </c>
      <c r="C606" s="565">
        <v>4</v>
      </c>
      <c r="D606" s="565">
        <v>141</v>
      </c>
      <c r="E606" s="565">
        <v>190</v>
      </c>
      <c r="F606" s="565">
        <v>167</v>
      </c>
      <c r="G606" s="565">
        <v>108</v>
      </c>
      <c r="H606" s="565">
        <v>67</v>
      </c>
      <c r="I606" s="565">
        <v>15</v>
      </c>
      <c r="J606" s="565">
        <v>0</v>
      </c>
      <c r="K606" s="566">
        <v>0</v>
      </c>
      <c r="L606" s="565">
        <v>133</v>
      </c>
    </row>
    <row r="607" spans="1:12" s="585" customFormat="1" ht="9" customHeight="1" x14ac:dyDescent="0.25">
      <c r="A607" s="588" t="s">
        <v>25</v>
      </c>
      <c r="B607" s="573">
        <f t="shared" si="33"/>
        <v>125</v>
      </c>
      <c r="C607" s="565">
        <v>0</v>
      </c>
      <c r="D607" s="565">
        <v>11</v>
      </c>
      <c r="E607" s="565">
        <v>25</v>
      </c>
      <c r="F607" s="565">
        <v>31</v>
      </c>
      <c r="G607" s="565">
        <v>11</v>
      </c>
      <c r="H607" s="565">
        <v>9</v>
      </c>
      <c r="I607" s="565">
        <v>3</v>
      </c>
      <c r="J607" s="565">
        <v>0</v>
      </c>
      <c r="K607" s="566">
        <v>0</v>
      </c>
      <c r="L607" s="565">
        <v>35</v>
      </c>
    </row>
    <row r="608" spans="1:12" s="585" customFormat="1" ht="9" customHeight="1" x14ac:dyDescent="0.25">
      <c r="A608" s="589" t="s">
        <v>26</v>
      </c>
      <c r="B608" s="576">
        <f t="shared" si="33"/>
        <v>112</v>
      </c>
      <c r="C608" s="568">
        <v>1</v>
      </c>
      <c r="D608" s="568">
        <v>22</v>
      </c>
      <c r="E608" s="568">
        <v>32</v>
      </c>
      <c r="F608" s="568">
        <v>22</v>
      </c>
      <c r="G608" s="568">
        <v>5</v>
      </c>
      <c r="H608" s="568">
        <v>13</v>
      </c>
      <c r="I608" s="568">
        <v>3</v>
      </c>
      <c r="J608" s="568">
        <v>0</v>
      </c>
      <c r="K608" s="569">
        <v>0</v>
      </c>
      <c r="L608" s="568">
        <v>14</v>
      </c>
    </row>
    <row r="609" spans="1:12" s="585" customFormat="1" ht="9" customHeight="1" x14ac:dyDescent="0.25">
      <c r="A609" s="588" t="s">
        <v>27</v>
      </c>
      <c r="B609" s="573">
        <f t="shared" si="33"/>
        <v>136</v>
      </c>
      <c r="C609" s="565">
        <v>0</v>
      </c>
      <c r="D609" s="565">
        <v>12</v>
      </c>
      <c r="E609" s="570">
        <v>23</v>
      </c>
      <c r="F609" s="565">
        <v>27</v>
      </c>
      <c r="G609" s="565">
        <v>18</v>
      </c>
      <c r="H609" s="565">
        <v>15</v>
      </c>
      <c r="I609" s="565">
        <v>4</v>
      </c>
      <c r="J609" s="565">
        <v>1</v>
      </c>
      <c r="K609" s="566">
        <v>1</v>
      </c>
      <c r="L609" s="565">
        <v>35</v>
      </c>
    </row>
    <row r="610" spans="1:12" s="585" customFormat="1" ht="9" customHeight="1" x14ac:dyDescent="0.25">
      <c r="A610" s="588" t="s">
        <v>28</v>
      </c>
      <c r="B610" s="573">
        <f t="shared" si="33"/>
        <v>90</v>
      </c>
      <c r="C610" s="565">
        <v>1</v>
      </c>
      <c r="D610" s="565">
        <v>11</v>
      </c>
      <c r="E610" s="565">
        <v>23</v>
      </c>
      <c r="F610" s="565">
        <v>9</v>
      </c>
      <c r="G610" s="565">
        <v>18</v>
      </c>
      <c r="H610" s="565">
        <v>12</v>
      </c>
      <c r="I610" s="565">
        <v>2</v>
      </c>
      <c r="J610" s="565">
        <v>0</v>
      </c>
      <c r="K610" s="566">
        <v>0</v>
      </c>
      <c r="L610" s="565">
        <v>14</v>
      </c>
    </row>
    <row r="611" spans="1:12" s="585" customFormat="1" ht="9" customHeight="1" x14ac:dyDescent="0.25">
      <c r="A611" s="588" t="s">
        <v>29</v>
      </c>
      <c r="B611" s="573">
        <f t="shared" si="33"/>
        <v>856</v>
      </c>
      <c r="C611" s="565">
        <v>8</v>
      </c>
      <c r="D611" s="565">
        <v>114</v>
      </c>
      <c r="E611" s="565">
        <v>178</v>
      </c>
      <c r="F611" s="565">
        <v>165</v>
      </c>
      <c r="G611" s="565">
        <v>107</v>
      </c>
      <c r="H611" s="565">
        <v>97</v>
      </c>
      <c r="I611" s="565">
        <v>38</v>
      </c>
      <c r="J611" s="565">
        <v>4</v>
      </c>
      <c r="K611" s="566">
        <v>0</v>
      </c>
      <c r="L611" s="565">
        <v>145</v>
      </c>
    </row>
    <row r="612" spans="1:12" s="585" customFormat="1" ht="9" customHeight="1" x14ac:dyDescent="0.25">
      <c r="A612" s="589" t="s">
        <v>30</v>
      </c>
      <c r="B612" s="576">
        <f t="shared" si="33"/>
        <v>558</v>
      </c>
      <c r="C612" s="568">
        <v>2</v>
      </c>
      <c r="D612" s="568">
        <v>100</v>
      </c>
      <c r="E612" s="568">
        <v>125</v>
      </c>
      <c r="F612" s="568">
        <v>105</v>
      </c>
      <c r="G612" s="568">
        <v>91</v>
      </c>
      <c r="H612" s="568">
        <v>51</v>
      </c>
      <c r="I612" s="568">
        <v>9</v>
      </c>
      <c r="J612" s="568">
        <v>2</v>
      </c>
      <c r="K612" s="569">
        <v>0</v>
      </c>
      <c r="L612" s="568">
        <v>73</v>
      </c>
    </row>
    <row r="613" spans="1:12" s="585" customFormat="1" ht="9" customHeight="1" x14ac:dyDescent="0.25">
      <c r="A613" s="550" t="s">
        <v>63</v>
      </c>
      <c r="B613" s="573">
        <f t="shared" si="33"/>
        <v>2476</v>
      </c>
      <c r="C613" s="565">
        <v>11</v>
      </c>
      <c r="D613" s="565">
        <v>410</v>
      </c>
      <c r="E613" s="565">
        <v>553</v>
      </c>
      <c r="F613" s="565">
        <v>489</v>
      </c>
      <c r="G613" s="565">
        <v>388</v>
      </c>
      <c r="H613" s="565">
        <v>306</v>
      </c>
      <c r="I613" s="565">
        <v>68</v>
      </c>
      <c r="J613" s="565">
        <v>4</v>
      </c>
      <c r="K613" s="566">
        <v>2</v>
      </c>
      <c r="L613" s="565">
        <v>245</v>
      </c>
    </row>
    <row r="614" spans="1:12" s="585" customFormat="1" ht="9" customHeight="1" x14ac:dyDescent="0.25">
      <c r="A614" s="588" t="s">
        <v>31</v>
      </c>
      <c r="B614" s="573">
        <f t="shared" si="33"/>
        <v>238</v>
      </c>
      <c r="C614" s="565">
        <v>3</v>
      </c>
      <c r="D614" s="565">
        <v>48</v>
      </c>
      <c r="E614" s="565">
        <v>65</v>
      </c>
      <c r="F614" s="565">
        <v>34</v>
      </c>
      <c r="G614" s="565">
        <v>35</v>
      </c>
      <c r="H614" s="565">
        <v>22</v>
      </c>
      <c r="I614" s="565">
        <v>4</v>
      </c>
      <c r="J614" s="565">
        <v>1</v>
      </c>
      <c r="K614" s="566">
        <v>0</v>
      </c>
      <c r="L614" s="565">
        <v>26</v>
      </c>
    </row>
    <row r="615" spans="1:12" s="585" customFormat="1" ht="9" customHeight="1" x14ac:dyDescent="0.25">
      <c r="A615" s="588" t="s">
        <v>32</v>
      </c>
      <c r="B615" s="573">
        <f t="shared" si="33"/>
        <v>1577</v>
      </c>
      <c r="C615" s="565">
        <v>7</v>
      </c>
      <c r="D615" s="565">
        <v>225</v>
      </c>
      <c r="E615" s="565">
        <v>323</v>
      </c>
      <c r="F615" s="565">
        <v>314</v>
      </c>
      <c r="G615" s="565">
        <v>253</v>
      </c>
      <c r="H615" s="565">
        <v>153</v>
      </c>
      <c r="I615" s="565">
        <v>46</v>
      </c>
      <c r="J615" s="565">
        <v>7</v>
      </c>
      <c r="K615" s="566">
        <v>1</v>
      </c>
      <c r="L615" s="565">
        <v>248</v>
      </c>
    </row>
    <row r="616" spans="1:12" s="585" customFormat="1" ht="9" customHeight="1" x14ac:dyDescent="0.25">
      <c r="A616" s="589" t="s">
        <v>33</v>
      </c>
      <c r="B616" s="576">
        <f t="shared" si="33"/>
        <v>106</v>
      </c>
      <c r="C616" s="568">
        <v>1</v>
      </c>
      <c r="D616" s="568">
        <v>13</v>
      </c>
      <c r="E616" s="571">
        <v>22</v>
      </c>
      <c r="F616" s="568">
        <v>24</v>
      </c>
      <c r="G616" s="568">
        <v>14</v>
      </c>
      <c r="H616" s="568">
        <v>11</v>
      </c>
      <c r="I616" s="568">
        <v>3</v>
      </c>
      <c r="J616" s="568">
        <v>0</v>
      </c>
      <c r="K616" s="569">
        <v>0</v>
      </c>
      <c r="L616" s="568">
        <v>18</v>
      </c>
    </row>
    <row r="617" spans="1:12" s="585" customFormat="1" ht="9" customHeight="1" x14ac:dyDescent="0.25">
      <c r="A617" s="588" t="s">
        <v>34</v>
      </c>
      <c r="B617" s="573">
        <f t="shared" si="33"/>
        <v>449</v>
      </c>
      <c r="C617" s="565">
        <v>4</v>
      </c>
      <c r="D617" s="565">
        <v>55</v>
      </c>
      <c r="E617" s="565">
        <v>108</v>
      </c>
      <c r="F617" s="565">
        <v>75</v>
      </c>
      <c r="G617" s="565">
        <v>76</v>
      </c>
      <c r="H617" s="565">
        <v>47</v>
      </c>
      <c r="I617" s="565">
        <v>15</v>
      </c>
      <c r="J617" s="565">
        <v>0</v>
      </c>
      <c r="K617" s="566">
        <v>0</v>
      </c>
      <c r="L617" s="565">
        <v>69</v>
      </c>
    </row>
    <row r="618" spans="1:12" s="585" customFormat="1" ht="9" customHeight="1" x14ac:dyDescent="0.25">
      <c r="A618" s="588" t="s">
        <v>35</v>
      </c>
      <c r="B618" s="573">
        <f t="shared" si="33"/>
        <v>1729</v>
      </c>
      <c r="C618" s="565">
        <v>7</v>
      </c>
      <c r="D618" s="565">
        <v>222</v>
      </c>
      <c r="E618" s="565">
        <v>362</v>
      </c>
      <c r="F618" s="565">
        <v>304</v>
      </c>
      <c r="G618" s="565">
        <v>254</v>
      </c>
      <c r="H618" s="565">
        <v>198</v>
      </c>
      <c r="I618" s="565">
        <v>51</v>
      </c>
      <c r="J618" s="565">
        <v>2</v>
      </c>
      <c r="K618" s="566">
        <v>1</v>
      </c>
      <c r="L618" s="565">
        <v>328</v>
      </c>
    </row>
    <row r="619" spans="1:12" s="585" customFormat="1" ht="9" customHeight="1" x14ac:dyDescent="0.25">
      <c r="A619" s="588" t="s">
        <v>36</v>
      </c>
      <c r="B619" s="573">
        <f t="shared" si="33"/>
        <v>5336</v>
      </c>
      <c r="C619" s="565">
        <v>33</v>
      </c>
      <c r="D619" s="565">
        <v>933</v>
      </c>
      <c r="E619" s="565">
        <v>1324</v>
      </c>
      <c r="F619" s="565">
        <v>1031</v>
      </c>
      <c r="G619" s="565">
        <v>819</v>
      </c>
      <c r="H619" s="565">
        <v>544</v>
      </c>
      <c r="I619" s="565">
        <v>152</v>
      </c>
      <c r="J619" s="565">
        <v>10</v>
      </c>
      <c r="K619" s="566">
        <v>0</v>
      </c>
      <c r="L619" s="565">
        <v>490</v>
      </c>
    </row>
    <row r="620" spans="1:12" s="585" customFormat="1" ht="9" customHeight="1" x14ac:dyDescent="0.25">
      <c r="A620" s="589" t="s">
        <v>37</v>
      </c>
      <c r="B620" s="576">
        <f t="shared" si="33"/>
        <v>623</v>
      </c>
      <c r="C620" s="568">
        <v>4</v>
      </c>
      <c r="D620" s="568">
        <v>72</v>
      </c>
      <c r="E620" s="568">
        <v>143</v>
      </c>
      <c r="F620" s="568">
        <v>92</v>
      </c>
      <c r="G620" s="568">
        <v>93</v>
      </c>
      <c r="H620" s="568">
        <v>61</v>
      </c>
      <c r="I620" s="568">
        <v>16</v>
      </c>
      <c r="J620" s="568">
        <v>1</v>
      </c>
      <c r="K620" s="569">
        <v>0</v>
      </c>
      <c r="L620" s="568">
        <v>141</v>
      </c>
    </row>
    <row r="621" spans="1:12" s="585" customFormat="1" ht="9" customHeight="1" x14ac:dyDescent="0.25">
      <c r="A621" s="588" t="s">
        <v>38</v>
      </c>
      <c r="B621" s="573">
        <f t="shared" si="33"/>
        <v>276</v>
      </c>
      <c r="C621" s="565">
        <v>2</v>
      </c>
      <c r="D621" s="570">
        <v>29</v>
      </c>
      <c r="E621" s="565">
        <v>53</v>
      </c>
      <c r="F621" s="565">
        <v>45</v>
      </c>
      <c r="G621" s="565">
        <v>42</v>
      </c>
      <c r="H621" s="565">
        <v>33</v>
      </c>
      <c r="I621" s="565">
        <v>15</v>
      </c>
      <c r="J621" s="565">
        <v>0</v>
      </c>
      <c r="K621" s="566">
        <v>0</v>
      </c>
      <c r="L621" s="565">
        <v>57</v>
      </c>
    </row>
    <row r="622" spans="1:12" s="585" customFormat="1" ht="9" customHeight="1" x14ac:dyDescent="0.25">
      <c r="A622" s="588" t="s">
        <v>39</v>
      </c>
      <c r="B622" s="573">
        <f t="shared" si="33"/>
        <v>75</v>
      </c>
      <c r="C622" s="565">
        <v>1</v>
      </c>
      <c r="D622" s="565">
        <v>6</v>
      </c>
      <c r="E622" s="565">
        <v>19</v>
      </c>
      <c r="F622" s="565">
        <v>12</v>
      </c>
      <c r="G622" s="565">
        <v>8</v>
      </c>
      <c r="H622" s="565">
        <v>4</v>
      </c>
      <c r="I622" s="565">
        <v>3</v>
      </c>
      <c r="J622" s="565">
        <v>0</v>
      </c>
      <c r="K622" s="566">
        <v>0</v>
      </c>
      <c r="L622" s="565">
        <v>22</v>
      </c>
    </row>
    <row r="623" spans="1:12" s="585" customFormat="1" ht="9" customHeight="1" x14ac:dyDescent="0.25">
      <c r="A623" s="588" t="s">
        <v>40</v>
      </c>
      <c r="B623" s="573">
        <f t="shared" si="33"/>
        <v>640</v>
      </c>
      <c r="C623" s="565">
        <v>1</v>
      </c>
      <c r="D623" s="565">
        <v>108</v>
      </c>
      <c r="E623" s="565">
        <v>136</v>
      </c>
      <c r="F623" s="565">
        <v>120</v>
      </c>
      <c r="G623" s="565">
        <v>97</v>
      </c>
      <c r="H623" s="565">
        <v>66</v>
      </c>
      <c r="I623" s="565">
        <v>14</v>
      </c>
      <c r="J623" s="565">
        <v>1</v>
      </c>
      <c r="K623" s="566">
        <v>0</v>
      </c>
      <c r="L623" s="565">
        <v>97</v>
      </c>
    </row>
    <row r="624" spans="1:12" s="585" customFormat="1" ht="9" customHeight="1" x14ac:dyDescent="0.25">
      <c r="A624" s="589" t="s">
        <v>41</v>
      </c>
      <c r="B624" s="576">
        <f t="shared" si="33"/>
        <v>595</v>
      </c>
      <c r="C624" s="568">
        <v>5</v>
      </c>
      <c r="D624" s="568">
        <v>66</v>
      </c>
      <c r="E624" s="568">
        <v>104</v>
      </c>
      <c r="F624" s="568">
        <v>118</v>
      </c>
      <c r="G624" s="568">
        <v>89</v>
      </c>
      <c r="H624" s="568">
        <v>57</v>
      </c>
      <c r="I624" s="568">
        <v>34</v>
      </c>
      <c r="J624" s="568">
        <v>2</v>
      </c>
      <c r="K624" s="569">
        <v>0</v>
      </c>
      <c r="L624" s="568">
        <v>120</v>
      </c>
    </row>
    <row r="625" spans="1:14" s="585" customFormat="1" ht="9" customHeight="1" x14ac:dyDescent="0.25">
      <c r="A625" s="588" t="s">
        <v>42</v>
      </c>
      <c r="B625" s="573">
        <f t="shared" si="33"/>
        <v>1535</v>
      </c>
      <c r="C625" s="565">
        <v>11</v>
      </c>
      <c r="D625" s="565">
        <v>205</v>
      </c>
      <c r="E625" s="565">
        <v>307</v>
      </c>
      <c r="F625" s="565">
        <v>256</v>
      </c>
      <c r="G625" s="565">
        <v>214</v>
      </c>
      <c r="H625" s="565">
        <v>147</v>
      </c>
      <c r="I625" s="565">
        <v>42</v>
      </c>
      <c r="J625" s="565">
        <v>0</v>
      </c>
      <c r="K625" s="566">
        <v>0</v>
      </c>
      <c r="L625" s="565">
        <v>353</v>
      </c>
    </row>
    <row r="626" spans="1:14" s="585" customFormat="1" ht="9" customHeight="1" x14ac:dyDescent="0.25">
      <c r="A626" s="588" t="s">
        <v>43</v>
      </c>
      <c r="B626" s="573">
        <f t="shared" si="33"/>
        <v>376</v>
      </c>
      <c r="C626" s="565">
        <v>0</v>
      </c>
      <c r="D626" s="565">
        <v>52</v>
      </c>
      <c r="E626" s="565">
        <v>80</v>
      </c>
      <c r="F626" s="565">
        <v>78</v>
      </c>
      <c r="G626" s="565">
        <v>76</v>
      </c>
      <c r="H626" s="565">
        <v>46</v>
      </c>
      <c r="I626" s="565">
        <v>21</v>
      </c>
      <c r="J626" s="565">
        <v>1</v>
      </c>
      <c r="K626" s="566">
        <v>0</v>
      </c>
      <c r="L626" s="565">
        <v>22</v>
      </c>
    </row>
    <row r="627" spans="1:14" s="585" customFormat="1" ht="9" customHeight="1" x14ac:dyDescent="0.25">
      <c r="A627" s="588" t="s">
        <v>44</v>
      </c>
      <c r="B627" s="573">
        <f t="shared" si="33"/>
        <v>226</v>
      </c>
      <c r="C627" s="565">
        <v>2</v>
      </c>
      <c r="D627" s="565">
        <v>28</v>
      </c>
      <c r="E627" s="565">
        <v>41</v>
      </c>
      <c r="F627" s="565">
        <v>46</v>
      </c>
      <c r="G627" s="565">
        <v>31</v>
      </c>
      <c r="H627" s="565">
        <v>15</v>
      </c>
      <c r="I627" s="565">
        <v>8</v>
      </c>
      <c r="J627" s="565">
        <v>0</v>
      </c>
      <c r="K627" s="566">
        <v>0</v>
      </c>
      <c r="L627" s="565">
        <v>55</v>
      </c>
    </row>
    <row r="628" spans="1:14" s="585" customFormat="1" ht="9" customHeight="1" x14ac:dyDescent="0.25">
      <c r="A628" s="589" t="s">
        <v>45</v>
      </c>
      <c r="B628" s="576">
        <f t="shared" si="33"/>
        <v>428</v>
      </c>
      <c r="C628" s="568">
        <v>5</v>
      </c>
      <c r="D628" s="568">
        <v>65</v>
      </c>
      <c r="E628" s="568">
        <v>71</v>
      </c>
      <c r="F628" s="568">
        <v>78</v>
      </c>
      <c r="G628" s="568">
        <v>63</v>
      </c>
      <c r="H628" s="568">
        <v>60</v>
      </c>
      <c r="I628" s="568">
        <v>15</v>
      </c>
      <c r="J628" s="568">
        <v>2</v>
      </c>
      <c r="K628" s="569">
        <v>0</v>
      </c>
      <c r="L628" s="568">
        <v>69</v>
      </c>
    </row>
    <row r="629" spans="1:14" s="585" customFormat="1" ht="9" customHeight="1" x14ac:dyDescent="0.25">
      <c r="A629" s="588" t="s">
        <v>46</v>
      </c>
      <c r="B629" s="573">
        <f t="shared" si="33"/>
        <v>303</v>
      </c>
      <c r="C629" s="565">
        <v>1</v>
      </c>
      <c r="D629" s="565">
        <v>68</v>
      </c>
      <c r="E629" s="565">
        <v>66</v>
      </c>
      <c r="F629" s="565">
        <v>57</v>
      </c>
      <c r="G629" s="565">
        <v>30</v>
      </c>
      <c r="H629" s="565">
        <v>24</v>
      </c>
      <c r="I629" s="565">
        <v>2</v>
      </c>
      <c r="J629" s="565">
        <v>0</v>
      </c>
      <c r="K629" s="566">
        <v>0</v>
      </c>
      <c r="L629" s="565">
        <v>55</v>
      </c>
    </row>
    <row r="630" spans="1:14" s="585" customFormat="1" ht="9" customHeight="1" x14ac:dyDescent="0.25">
      <c r="A630" s="588" t="s">
        <v>47</v>
      </c>
      <c r="B630" s="573">
        <f t="shared" si="33"/>
        <v>458</v>
      </c>
      <c r="C630" s="565">
        <v>5</v>
      </c>
      <c r="D630" s="565">
        <v>71</v>
      </c>
      <c r="E630" s="565">
        <v>100</v>
      </c>
      <c r="F630" s="565">
        <v>89</v>
      </c>
      <c r="G630" s="565">
        <v>70</v>
      </c>
      <c r="H630" s="565">
        <v>52</v>
      </c>
      <c r="I630" s="565">
        <v>11</v>
      </c>
      <c r="J630" s="565">
        <v>1</v>
      </c>
      <c r="K630" s="566">
        <v>0</v>
      </c>
      <c r="L630" s="565">
        <v>59</v>
      </c>
    </row>
    <row r="631" spans="1:14" s="585" customFormat="1" ht="9" customHeight="1" x14ac:dyDescent="0.25">
      <c r="A631" s="588" t="s">
        <v>48</v>
      </c>
      <c r="B631" s="573">
        <f t="shared" si="33"/>
        <v>346</v>
      </c>
      <c r="C631" s="565">
        <v>3</v>
      </c>
      <c r="D631" s="565">
        <v>38</v>
      </c>
      <c r="E631" s="565">
        <v>64</v>
      </c>
      <c r="F631" s="565">
        <v>51</v>
      </c>
      <c r="G631" s="565">
        <v>62</v>
      </c>
      <c r="H631" s="565">
        <v>29</v>
      </c>
      <c r="I631" s="565">
        <v>8</v>
      </c>
      <c r="J631" s="565">
        <v>0</v>
      </c>
      <c r="K631" s="566">
        <v>0</v>
      </c>
      <c r="L631" s="565">
        <v>91</v>
      </c>
    </row>
    <row r="632" spans="1:14" s="585" customFormat="1" ht="9" customHeight="1" x14ac:dyDescent="0.25">
      <c r="A632" s="589" t="s">
        <v>49</v>
      </c>
      <c r="B632" s="576">
        <f t="shared" si="33"/>
        <v>264</v>
      </c>
      <c r="C632" s="568">
        <v>1</v>
      </c>
      <c r="D632" s="568">
        <v>39</v>
      </c>
      <c r="E632" s="568">
        <v>58</v>
      </c>
      <c r="F632" s="568">
        <v>46</v>
      </c>
      <c r="G632" s="568">
        <v>42</v>
      </c>
      <c r="H632" s="568">
        <v>26</v>
      </c>
      <c r="I632" s="568">
        <v>8</v>
      </c>
      <c r="J632" s="568">
        <v>0</v>
      </c>
      <c r="K632" s="569">
        <v>0</v>
      </c>
      <c r="L632" s="568">
        <v>44</v>
      </c>
    </row>
    <row r="633" spans="1:14" s="585" customFormat="1" ht="9" customHeight="1" x14ac:dyDescent="0.25">
      <c r="A633" s="588" t="s">
        <v>50</v>
      </c>
      <c r="B633" s="573">
        <f t="shared" si="33"/>
        <v>293</v>
      </c>
      <c r="C633" s="565">
        <v>1</v>
      </c>
      <c r="D633" s="565">
        <v>41</v>
      </c>
      <c r="E633" s="565">
        <v>46</v>
      </c>
      <c r="F633" s="565">
        <v>54</v>
      </c>
      <c r="G633" s="565">
        <v>48</v>
      </c>
      <c r="H633" s="565">
        <v>19</v>
      </c>
      <c r="I633" s="565">
        <v>9</v>
      </c>
      <c r="J633" s="565">
        <v>0</v>
      </c>
      <c r="K633" s="566">
        <v>0</v>
      </c>
      <c r="L633" s="565">
        <v>75</v>
      </c>
    </row>
    <row r="634" spans="1:14" s="585" customFormat="1" ht="9" customHeight="1" x14ac:dyDescent="0.25">
      <c r="A634" s="588" t="s">
        <v>51</v>
      </c>
      <c r="B634" s="573">
        <f t="shared" si="33"/>
        <v>1212</v>
      </c>
      <c r="C634" s="565">
        <v>8</v>
      </c>
      <c r="D634" s="565">
        <v>180</v>
      </c>
      <c r="E634" s="565">
        <v>277</v>
      </c>
      <c r="F634" s="565">
        <v>234</v>
      </c>
      <c r="G634" s="565">
        <v>186</v>
      </c>
      <c r="H634" s="565">
        <v>99</v>
      </c>
      <c r="I634" s="565">
        <v>36</v>
      </c>
      <c r="J634" s="565">
        <v>8</v>
      </c>
      <c r="K634" s="566">
        <v>0</v>
      </c>
      <c r="L634" s="565">
        <v>184</v>
      </c>
    </row>
    <row r="635" spans="1:14" s="585" customFormat="1" ht="9" customHeight="1" x14ac:dyDescent="0.25">
      <c r="A635" s="588" t="s">
        <v>52</v>
      </c>
      <c r="B635" s="573">
        <f t="shared" si="33"/>
        <v>335</v>
      </c>
      <c r="C635" s="565">
        <v>2</v>
      </c>
      <c r="D635" s="565">
        <v>34</v>
      </c>
      <c r="E635" s="565">
        <v>77</v>
      </c>
      <c r="F635" s="565">
        <v>59</v>
      </c>
      <c r="G635" s="565">
        <v>55</v>
      </c>
      <c r="H635" s="565">
        <v>35</v>
      </c>
      <c r="I635" s="565">
        <v>11</v>
      </c>
      <c r="J635" s="565">
        <v>0</v>
      </c>
      <c r="K635" s="566">
        <v>0</v>
      </c>
      <c r="L635" s="565">
        <v>62</v>
      </c>
    </row>
    <row r="636" spans="1:14" s="585" customFormat="1" ht="9" customHeight="1" x14ac:dyDescent="0.25">
      <c r="A636" s="589" t="s">
        <v>53</v>
      </c>
      <c r="B636" s="576">
        <f t="shared" si="33"/>
        <v>308</v>
      </c>
      <c r="C636" s="568">
        <v>2</v>
      </c>
      <c r="D636" s="568">
        <v>57</v>
      </c>
      <c r="E636" s="568">
        <v>67</v>
      </c>
      <c r="F636" s="568">
        <v>55</v>
      </c>
      <c r="G636" s="568">
        <v>45</v>
      </c>
      <c r="H636" s="568">
        <v>31</v>
      </c>
      <c r="I636" s="568">
        <v>13</v>
      </c>
      <c r="J636" s="568">
        <v>1</v>
      </c>
      <c r="K636" s="569">
        <v>0</v>
      </c>
      <c r="L636" s="568">
        <v>37</v>
      </c>
    </row>
    <row r="637" spans="1:14" s="585" customFormat="1" ht="9" customHeight="1" x14ac:dyDescent="0.25">
      <c r="A637" s="588" t="s">
        <v>434</v>
      </c>
      <c r="B637" s="573">
        <f t="shared" si="33"/>
        <v>13</v>
      </c>
      <c r="C637" s="565">
        <v>0</v>
      </c>
      <c r="D637" s="565">
        <v>2</v>
      </c>
      <c r="E637" s="565">
        <v>4</v>
      </c>
      <c r="F637" s="565">
        <v>0</v>
      </c>
      <c r="G637" s="565">
        <v>4</v>
      </c>
      <c r="H637" s="565">
        <v>3</v>
      </c>
      <c r="I637" s="565">
        <v>0</v>
      </c>
      <c r="J637" s="565">
        <v>0</v>
      </c>
      <c r="K637" s="566">
        <v>0</v>
      </c>
      <c r="L637" s="565">
        <v>0</v>
      </c>
    </row>
    <row r="638" spans="1:14" s="562" customFormat="1" ht="9" customHeight="1" x14ac:dyDescent="0.15">
      <c r="A638" s="564"/>
      <c r="B638" s="565"/>
      <c r="C638" s="580"/>
      <c r="D638" s="580"/>
      <c r="E638" s="580"/>
      <c r="F638" s="580"/>
      <c r="G638" s="580"/>
      <c r="H638" s="580"/>
      <c r="I638" s="580"/>
      <c r="J638" s="580"/>
      <c r="K638" s="580"/>
      <c r="L638" s="580"/>
    </row>
    <row r="639" spans="1:14" s="585" customFormat="1" ht="9" customHeight="1" x14ac:dyDescent="0.25">
      <c r="A639" s="581" t="s">
        <v>436</v>
      </c>
      <c r="B639" s="582"/>
      <c r="C639" s="583"/>
      <c r="D639" s="583"/>
      <c r="E639" s="584"/>
      <c r="F639" s="584"/>
      <c r="G639" s="583"/>
      <c r="H639" s="583"/>
      <c r="I639" s="583"/>
      <c r="J639" s="583"/>
      <c r="K639" s="583"/>
      <c r="L639" s="583"/>
    </row>
    <row r="640" spans="1:14" s="585" customFormat="1" ht="9" customHeight="1" x14ac:dyDescent="0.25">
      <c r="A640" s="586" t="s">
        <v>13</v>
      </c>
      <c r="B640" s="572">
        <f t="shared" ref="B640:L640" si="34">SUM(B642:B674)</f>
        <v>22758</v>
      </c>
      <c r="C640" s="572">
        <f t="shared" si="34"/>
        <v>166</v>
      </c>
      <c r="D640" s="572">
        <f t="shared" si="34"/>
        <v>3698</v>
      </c>
      <c r="E640" s="572">
        <f t="shared" si="34"/>
        <v>5487</v>
      </c>
      <c r="F640" s="572">
        <f t="shared" si="34"/>
        <v>4638</v>
      </c>
      <c r="G640" s="572">
        <f t="shared" si="34"/>
        <v>3700</v>
      </c>
      <c r="H640" s="572">
        <f t="shared" si="34"/>
        <v>2421</v>
      </c>
      <c r="I640" s="572">
        <f t="shared" si="34"/>
        <v>706</v>
      </c>
      <c r="J640" s="572">
        <f t="shared" si="34"/>
        <v>53</v>
      </c>
      <c r="K640" s="572">
        <f t="shared" si="34"/>
        <v>8</v>
      </c>
      <c r="L640" s="572">
        <f t="shared" si="34"/>
        <v>1881</v>
      </c>
      <c r="N640" s="590"/>
    </row>
    <row r="641" spans="1:14" s="585" customFormat="1" ht="3.95" customHeight="1" x14ac:dyDescent="0.25">
      <c r="A641" s="587"/>
      <c r="B641" s="572"/>
      <c r="C641" s="572"/>
      <c r="D641" s="572"/>
      <c r="E641" s="572"/>
      <c r="F641" s="572"/>
      <c r="G641" s="572"/>
      <c r="H641" s="572"/>
      <c r="I641" s="572"/>
      <c r="J641" s="572"/>
      <c r="K641" s="572"/>
      <c r="L641" s="572"/>
    </row>
    <row r="642" spans="1:14" s="585" customFormat="1" ht="9" customHeight="1" x14ac:dyDescent="0.25">
      <c r="A642" s="588" t="s">
        <v>23</v>
      </c>
      <c r="B642" s="573">
        <f t="shared" ref="B642:B674" si="35">SUM(C642:L642)</f>
        <v>182</v>
      </c>
      <c r="C642" s="565">
        <v>3</v>
      </c>
      <c r="D642" s="565">
        <v>36</v>
      </c>
      <c r="E642" s="565">
        <v>50</v>
      </c>
      <c r="F642" s="565">
        <v>31</v>
      </c>
      <c r="G642" s="565">
        <v>25</v>
      </c>
      <c r="H642" s="565">
        <v>17</v>
      </c>
      <c r="I642" s="565">
        <v>6</v>
      </c>
      <c r="J642" s="565">
        <v>1</v>
      </c>
      <c r="K642" s="566">
        <v>0</v>
      </c>
      <c r="L642" s="565">
        <v>13</v>
      </c>
      <c r="N642" s="590"/>
    </row>
    <row r="643" spans="1:14" s="585" customFormat="1" ht="9" customHeight="1" x14ac:dyDescent="0.25">
      <c r="A643" s="588" t="s">
        <v>24</v>
      </c>
      <c r="B643" s="573">
        <f t="shared" si="35"/>
        <v>790</v>
      </c>
      <c r="C643" s="565">
        <v>3</v>
      </c>
      <c r="D643" s="565">
        <v>110</v>
      </c>
      <c r="E643" s="565">
        <v>179</v>
      </c>
      <c r="F643" s="565">
        <v>147</v>
      </c>
      <c r="G643" s="565">
        <v>129</v>
      </c>
      <c r="H643" s="565">
        <v>62</v>
      </c>
      <c r="I643" s="565">
        <v>17</v>
      </c>
      <c r="J643" s="565">
        <v>1</v>
      </c>
      <c r="K643" s="566">
        <v>0</v>
      </c>
      <c r="L643" s="565">
        <v>142</v>
      </c>
      <c r="N643" s="590"/>
    </row>
    <row r="644" spans="1:14" s="585" customFormat="1" ht="9" customHeight="1" x14ac:dyDescent="0.25">
      <c r="A644" s="588" t="s">
        <v>25</v>
      </c>
      <c r="B644" s="573">
        <f t="shared" si="35"/>
        <v>132</v>
      </c>
      <c r="C644" s="565">
        <v>2</v>
      </c>
      <c r="D644" s="565">
        <v>25</v>
      </c>
      <c r="E644" s="565">
        <v>21</v>
      </c>
      <c r="F644" s="565">
        <v>34</v>
      </c>
      <c r="G644" s="565">
        <v>27</v>
      </c>
      <c r="H644" s="565">
        <v>11</v>
      </c>
      <c r="I644" s="565">
        <v>4</v>
      </c>
      <c r="J644" s="565">
        <v>0</v>
      </c>
      <c r="K644" s="566">
        <v>0</v>
      </c>
      <c r="L644" s="565">
        <v>8</v>
      </c>
      <c r="N644" s="590"/>
    </row>
    <row r="645" spans="1:14" s="585" customFormat="1" ht="9" customHeight="1" x14ac:dyDescent="0.25">
      <c r="A645" s="589" t="s">
        <v>26</v>
      </c>
      <c r="B645" s="576">
        <f t="shared" si="35"/>
        <v>110</v>
      </c>
      <c r="C645" s="568">
        <v>0</v>
      </c>
      <c r="D645" s="568">
        <v>16</v>
      </c>
      <c r="E645" s="568">
        <v>39</v>
      </c>
      <c r="F645" s="568">
        <v>20</v>
      </c>
      <c r="G645" s="568">
        <v>17</v>
      </c>
      <c r="H645" s="568">
        <v>7</v>
      </c>
      <c r="I645" s="568">
        <v>3</v>
      </c>
      <c r="J645" s="568">
        <v>0</v>
      </c>
      <c r="K645" s="569">
        <v>0</v>
      </c>
      <c r="L645" s="568">
        <v>8</v>
      </c>
      <c r="N645" s="590"/>
    </row>
    <row r="646" spans="1:14" s="585" customFormat="1" ht="9" customHeight="1" x14ac:dyDescent="0.25">
      <c r="A646" s="588" t="s">
        <v>27</v>
      </c>
      <c r="B646" s="573">
        <f t="shared" si="35"/>
        <v>121</v>
      </c>
      <c r="C646" s="565">
        <v>0</v>
      </c>
      <c r="D646" s="565">
        <v>29</v>
      </c>
      <c r="E646" s="570">
        <v>27</v>
      </c>
      <c r="F646" s="565">
        <v>25</v>
      </c>
      <c r="G646" s="565">
        <v>16</v>
      </c>
      <c r="H646" s="565">
        <v>11</v>
      </c>
      <c r="I646" s="565">
        <v>1</v>
      </c>
      <c r="J646" s="565">
        <v>0</v>
      </c>
      <c r="K646" s="566">
        <v>0</v>
      </c>
      <c r="L646" s="565">
        <v>12</v>
      </c>
      <c r="N646" s="590"/>
    </row>
    <row r="647" spans="1:14" s="585" customFormat="1" ht="9" customHeight="1" x14ac:dyDescent="0.25">
      <c r="A647" s="588" t="s">
        <v>28</v>
      </c>
      <c r="B647" s="573">
        <f t="shared" si="35"/>
        <v>93</v>
      </c>
      <c r="C647" s="565">
        <v>0</v>
      </c>
      <c r="D647" s="565">
        <v>19</v>
      </c>
      <c r="E647" s="565">
        <v>15</v>
      </c>
      <c r="F647" s="565">
        <v>19</v>
      </c>
      <c r="G647" s="565">
        <v>14</v>
      </c>
      <c r="H647" s="565">
        <v>14</v>
      </c>
      <c r="I647" s="565">
        <v>6</v>
      </c>
      <c r="J647" s="565">
        <v>0</v>
      </c>
      <c r="K647" s="566">
        <v>0</v>
      </c>
      <c r="L647" s="565">
        <v>6</v>
      </c>
      <c r="N647" s="590"/>
    </row>
    <row r="648" spans="1:14" s="585" customFormat="1" ht="9" customHeight="1" x14ac:dyDescent="0.25">
      <c r="A648" s="588" t="s">
        <v>29</v>
      </c>
      <c r="B648" s="573">
        <f t="shared" si="35"/>
        <v>826</v>
      </c>
      <c r="C648" s="565">
        <v>3</v>
      </c>
      <c r="D648" s="565">
        <v>123</v>
      </c>
      <c r="E648" s="565">
        <v>197</v>
      </c>
      <c r="F648" s="565">
        <v>149</v>
      </c>
      <c r="G648" s="565">
        <v>140</v>
      </c>
      <c r="H648" s="565">
        <v>99</v>
      </c>
      <c r="I648" s="565">
        <v>36</v>
      </c>
      <c r="J648" s="565">
        <v>4</v>
      </c>
      <c r="K648" s="566">
        <v>1</v>
      </c>
      <c r="L648" s="565">
        <v>74</v>
      </c>
      <c r="N648" s="590"/>
    </row>
    <row r="649" spans="1:14" s="585" customFormat="1" ht="9" customHeight="1" x14ac:dyDescent="0.25">
      <c r="A649" s="589" t="s">
        <v>30</v>
      </c>
      <c r="B649" s="576">
        <f t="shared" si="35"/>
        <v>735</v>
      </c>
      <c r="C649" s="568">
        <v>7</v>
      </c>
      <c r="D649" s="568">
        <v>136</v>
      </c>
      <c r="E649" s="568">
        <v>174</v>
      </c>
      <c r="F649" s="568">
        <v>140</v>
      </c>
      <c r="G649" s="568">
        <v>98</v>
      </c>
      <c r="H649" s="568">
        <v>59</v>
      </c>
      <c r="I649" s="568">
        <v>21</v>
      </c>
      <c r="J649" s="568">
        <v>0</v>
      </c>
      <c r="K649" s="569">
        <v>0</v>
      </c>
      <c r="L649" s="568">
        <v>100</v>
      </c>
      <c r="N649" s="590"/>
    </row>
    <row r="650" spans="1:14" s="585" customFormat="1" ht="9" customHeight="1" x14ac:dyDescent="0.25">
      <c r="A650" s="550" t="s">
        <v>63</v>
      </c>
      <c r="B650" s="573">
        <f t="shared" si="35"/>
        <v>2338</v>
      </c>
      <c r="C650" s="565">
        <v>21</v>
      </c>
      <c r="D650" s="565">
        <v>407</v>
      </c>
      <c r="E650" s="565">
        <v>531</v>
      </c>
      <c r="F650" s="565">
        <v>479</v>
      </c>
      <c r="G650" s="565">
        <v>442</v>
      </c>
      <c r="H650" s="565">
        <v>308</v>
      </c>
      <c r="I650" s="565">
        <v>75</v>
      </c>
      <c r="J650" s="565">
        <v>5</v>
      </c>
      <c r="K650" s="566">
        <v>0</v>
      </c>
      <c r="L650" s="565">
        <v>70</v>
      </c>
      <c r="N650" s="590"/>
    </row>
    <row r="651" spans="1:14" s="585" customFormat="1" ht="9" customHeight="1" x14ac:dyDescent="0.25">
      <c r="A651" s="588" t="s">
        <v>31</v>
      </c>
      <c r="B651" s="573">
        <f t="shared" si="35"/>
        <v>278</v>
      </c>
      <c r="C651" s="565">
        <v>3</v>
      </c>
      <c r="D651" s="565">
        <v>40</v>
      </c>
      <c r="E651" s="565">
        <v>75</v>
      </c>
      <c r="F651" s="565">
        <v>58</v>
      </c>
      <c r="G651" s="565">
        <v>48</v>
      </c>
      <c r="H651" s="565">
        <v>12</v>
      </c>
      <c r="I651" s="565">
        <v>9</v>
      </c>
      <c r="J651" s="565">
        <v>0</v>
      </c>
      <c r="K651" s="566">
        <v>0</v>
      </c>
      <c r="L651" s="565">
        <v>33</v>
      </c>
      <c r="N651" s="590"/>
    </row>
    <row r="652" spans="1:14" s="585" customFormat="1" ht="9" customHeight="1" x14ac:dyDescent="0.25">
      <c r="A652" s="588" t="s">
        <v>32</v>
      </c>
      <c r="B652" s="573">
        <f t="shared" si="35"/>
        <v>1633</v>
      </c>
      <c r="C652" s="565">
        <v>17</v>
      </c>
      <c r="D652" s="565">
        <v>256</v>
      </c>
      <c r="E652" s="565">
        <v>445</v>
      </c>
      <c r="F652" s="565">
        <v>350</v>
      </c>
      <c r="G652" s="565">
        <v>256</v>
      </c>
      <c r="H652" s="565">
        <v>189</v>
      </c>
      <c r="I652" s="565">
        <v>54</v>
      </c>
      <c r="J652" s="565">
        <v>6</v>
      </c>
      <c r="K652" s="566">
        <v>1</v>
      </c>
      <c r="L652" s="565">
        <v>59</v>
      </c>
      <c r="N652" s="590"/>
    </row>
    <row r="653" spans="1:14" s="585" customFormat="1" ht="9" customHeight="1" x14ac:dyDescent="0.25">
      <c r="A653" s="589" t="s">
        <v>33</v>
      </c>
      <c r="B653" s="576">
        <f t="shared" si="35"/>
        <v>117</v>
      </c>
      <c r="C653" s="568">
        <v>0</v>
      </c>
      <c r="D653" s="568">
        <v>17</v>
      </c>
      <c r="E653" s="571">
        <v>24</v>
      </c>
      <c r="F653" s="568">
        <v>18</v>
      </c>
      <c r="G653" s="568">
        <v>17</v>
      </c>
      <c r="H653" s="568">
        <v>14</v>
      </c>
      <c r="I653" s="568">
        <v>2</v>
      </c>
      <c r="J653" s="568">
        <v>0</v>
      </c>
      <c r="K653" s="569">
        <v>0</v>
      </c>
      <c r="L653" s="568">
        <v>25</v>
      </c>
      <c r="N653" s="590"/>
    </row>
    <row r="654" spans="1:14" s="585" customFormat="1" ht="9" customHeight="1" x14ac:dyDescent="0.25">
      <c r="A654" s="588" t="s">
        <v>34</v>
      </c>
      <c r="B654" s="573">
        <f t="shared" si="35"/>
        <v>454</v>
      </c>
      <c r="C654" s="565">
        <v>2</v>
      </c>
      <c r="D654" s="565">
        <v>71</v>
      </c>
      <c r="E654" s="565">
        <v>102</v>
      </c>
      <c r="F654" s="565">
        <v>92</v>
      </c>
      <c r="G654" s="565">
        <v>56</v>
      </c>
      <c r="H654" s="565">
        <v>45</v>
      </c>
      <c r="I654" s="565">
        <v>15</v>
      </c>
      <c r="J654" s="565">
        <v>0</v>
      </c>
      <c r="K654" s="566">
        <v>0</v>
      </c>
      <c r="L654" s="565">
        <v>71</v>
      </c>
      <c r="N654" s="590"/>
    </row>
    <row r="655" spans="1:14" s="585" customFormat="1" ht="9" customHeight="1" x14ac:dyDescent="0.25">
      <c r="A655" s="588" t="s">
        <v>35</v>
      </c>
      <c r="B655" s="573">
        <f t="shared" si="35"/>
        <v>1710</v>
      </c>
      <c r="C655" s="565">
        <v>9</v>
      </c>
      <c r="D655" s="565">
        <v>255</v>
      </c>
      <c r="E655" s="565">
        <v>377</v>
      </c>
      <c r="F655" s="565">
        <v>370</v>
      </c>
      <c r="G655" s="565">
        <v>277</v>
      </c>
      <c r="H655" s="565">
        <v>198</v>
      </c>
      <c r="I655" s="565">
        <v>72</v>
      </c>
      <c r="J655" s="565">
        <v>5</v>
      </c>
      <c r="K655" s="566">
        <v>0</v>
      </c>
      <c r="L655" s="565">
        <v>147</v>
      </c>
      <c r="N655" s="590"/>
    </row>
    <row r="656" spans="1:14" s="585" customFormat="1" ht="9" customHeight="1" x14ac:dyDescent="0.25">
      <c r="A656" s="588" t="s">
        <v>36</v>
      </c>
      <c r="B656" s="573">
        <f t="shared" si="35"/>
        <v>5149</v>
      </c>
      <c r="C656" s="565">
        <v>26</v>
      </c>
      <c r="D656" s="565">
        <v>918</v>
      </c>
      <c r="E656" s="565">
        <v>1306</v>
      </c>
      <c r="F656" s="565">
        <v>1071</v>
      </c>
      <c r="G656" s="565">
        <v>834</v>
      </c>
      <c r="H656" s="565">
        <v>527</v>
      </c>
      <c r="I656" s="565">
        <v>138</v>
      </c>
      <c r="J656" s="565">
        <v>13</v>
      </c>
      <c r="K656" s="566">
        <v>3</v>
      </c>
      <c r="L656" s="565">
        <v>313</v>
      </c>
      <c r="N656" s="590"/>
    </row>
    <row r="657" spans="1:14" s="585" customFormat="1" ht="9" customHeight="1" x14ac:dyDescent="0.25">
      <c r="A657" s="589" t="s">
        <v>37</v>
      </c>
      <c r="B657" s="576">
        <f t="shared" si="35"/>
        <v>548</v>
      </c>
      <c r="C657" s="568">
        <v>7</v>
      </c>
      <c r="D657" s="568">
        <v>89</v>
      </c>
      <c r="E657" s="568">
        <v>122</v>
      </c>
      <c r="F657" s="568">
        <v>95</v>
      </c>
      <c r="G657" s="568">
        <v>82</v>
      </c>
      <c r="H657" s="568">
        <v>71</v>
      </c>
      <c r="I657" s="568">
        <v>20</v>
      </c>
      <c r="J657" s="568">
        <v>3</v>
      </c>
      <c r="K657" s="569">
        <v>0</v>
      </c>
      <c r="L657" s="568">
        <v>59</v>
      </c>
      <c r="N657" s="590"/>
    </row>
    <row r="658" spans="1:14" s="585" customFormat="1" ht="9" customHeight="1" x14ac:dyDescent="0.25">
      <c r="A658" s="588" t="s">
        <v>38</v>
      </c>
      <c r="B658" s="573">
        <f t="shared" si="35"/>
        <v>288</v>
      </c>
      <c r="C658" s="565">
        <v>1</v>
      </c>
      <c r="D658" s="570">
        <v>49</v>
      </c>
      <c r="E658" s="565">
        <v>63</v>
      </c>
      <c r="F658" s="565">
        <v>68</v>
      </c>
      <c r="G658" s="565">
        <v>46</v>
      </c>
      <c r="H658" s="565">
        <v>38</v>
      </c>
      <c r="I658" s="565">
        <v>13</v>
      </c>
      <c r="J658" s="565">
        <v>0</v>
      </c>
      <c r="K658" s="566">
        <v>0</v>
      </c>
      <c r="L658" s="565">
        <v>10</v>
      </c>
      <c r="N658" s="590"/>
    </row>
    <row r="659" spans="1:14" s="585" customFormat="1" ht="9" customHeight="1" x14ac:dyDescent="0.25">
      <c r="A659" s="588" t="s">
        <v>39</v>
      </c>
      <c r="B659" s="573">
        <f t="shared" si="35"/>
        <v>89</v>
      </c>
      <c r="C659" s="565">
        <v>2</v>
      </c>
      <c r="D659" s="565">
        <v>14</v>
      </c>
      <c r="E659" s="565">
        <v>24</v>
      </c>
      <c r="F659" s="565">
        <v>12</v>
      </c>
      <c r="G659" s="565">
        <v>13</v>
      </c>
      <c r="H659" s="565">
        <v>14</v>
      </c>
      <c r="I659" s="565">
        <v>1</v>
      </c>
      <c r="J659" s="565">
        <v>1</v>
      </c>
      <c r="K659" s="566">
        <v>0</v>
      </c>
      <c r="L659" s="565">
        <v>8</v>
      </c>
      <c r="N659" s="590"/>
    </row>
    <row r="660" spans="1:14" s="585" customFormat="1" ht="9" customHeight="1" x14ac:dyDescent="0.25">
      <c r="A660" s="588" t="s">
        <v>40</v>
      </c>
      <c r="B660" s="573">
        <f t="shared" si="35"/>
        <v>491</v>
      </c>
      <c r="C660" s="565">
        <v>3</v>
      </c>
      <c r="D660" s="565">
        <v>65</v>
      </c>
      <c r="E660" s="565">
        <v>111</v>
      </c>
      <c r="F660" s="565">
        <v>117</v>
      </c>
      <c r="G660" s="565">
        <v>88</v>
      </c>
      <c r="H660" s="565">
        <v>52</v>
      </c>
      <c r="I660" s="565">
        <v>8</v>
      </c>
      <c r="J660" s="565">
        <v>0</v>
      </c>
      <c r="K660" s="566">
        <v>0</v>
      </c>
      <c r="L660" s="565">
        <v>47</v>
      </c>
      <c r="N660" s="590"/>
    </row>
    <row r="661" spans="1:14" s="585" customFormat="1" ht="9" customHeight="1" x14ac:dyDescent="0.25">
      <c r="A661" s="589" t="s">
        <v>41</v>
      </c>
      <c r="B661" s="576">
        <f t="shared" si="35"/>
        <v>604</v>
      </c>
      <c r="C661" s="568">
        <v>2</v>
      </c>
      <c r="D661" s="568">
        <v>89</v>
      </c>
      <c r="E661" s="568">
        <v>131</v>
      </c>
      <c r="F661" s="568">
        <v>99</v>
      </c>
      <c r="G661" s="568">
        <v>106</v>
      </c>
      <c r="H661" s="568">
        <v>79</v>
      </c>
      <c r="I661" s="568">
        <v>22</v>
      </c>
      <c r="J661" s="568">
        <v>2</v>
      </c>
      <c r="K661" s="569">
        <v>1</v>
      </c>
      <c r="L661" s="568">
        <v>73</v>
      </c>
      <c r="N661" s="590"/>
    </row>
    <row r="662" spans="1:14" s="585" customFormat="1" ht="9" customHeight="1" x14ac:dyDescent="0.25">
      <c r="A662" s="588" t="s">
        <v>42</v>
      </c>
      <c r="B662" s="573">
        <f t="shared" si="35"/>
        <v>1478</v>
      </c>
      <c r="C662" s="565">
        <v>10</v>
      </c>
      <c r="D662" s="565">
        <v>240</v>
      </c>
      <c r="E662" s="565">
        <v>359</v>
      </c>
      <c r="F662" s="565">
        <v>306</v>
      </c>
      <c r="G662" s="565">
        <v>228</v>
      </c>
      <c r="H662" s="565">
        <v>152</v>
      </c>
      <c r="I662" s="565">
        <v>41</v>
      </c>
      <c r="J662" s="565">
        <v>2</v>
      </c>
      <c r="K662" s="566">
        <v>0</v>
      </c>
      <c r="L662" s="565">
        <v>140</v>
      </c>
      <c r="N662" s="590"/>
    </row>
    <row r="663" spans="1:14" s="585" customFormat="1" ht="9" customHeight="1" x14ac:dyDescent="0.25">
      <c r="A663" s="588" t="s">
        <v>43</v>
      </c>
      <c r="B663" s="573">
        <f t="shared" si="35"/>
        <v>353</v>
      </c>
      <c r="C663" s="565">
        <v>1</v>
      </c>
      <c r="D663" s="565">
        <v>56</v>
      </c>
      <c r="E663" s="565">
        <v>86</v>
      </c>
      <c r="F663" s="565">
        <v>76</v>
      </c>
      <c r="G663" s="565">
        <v>66</v>
      </c>
      <c r="H663" s="565">
        <v>43</v>
      </c>
      <c r="I663" s="565">
        <v>15</v>
      </c>
      <c r="J663" s="565">
        <v>3</v>
      </c>
      <c r="K663" s="566">
        <v>1</v>
      </c>
      <c r="L663" s="565">
        <v>6</v>
      </c>
      <c r="N663" s="590"/>
    </row>
    <row r="664" spans="1:14" s="585" customFormat="1" ht="9" customHeight="1" x14ac:dyDescent="0.25">
      <c r="A664" s="588" t="s">
        <v>44</v>
      </c>
      <c r="B664" s="573">
        <f t="shared" si="35"/>
        <v>245</v>
      </c>
      <c r="C664" s="565">
        <v>1</v>
      </c>
      <c r="D664" s="565">
        <v>38</v>
      </c>
      <c r="E664" s="565">
        <v>60</v>
      </c>
      <c r="F664" s="565">
        <v>58</v>
      </c>
      <c r="G664" s="565">
        <v>40</v>
      </c>
      <c r="H664" s="565">
        <v>23</v>
      </c>
      <c r="I664" s="565">
        <v>5</v>
      </c>
      <c r="J664" s="565">
        <v>0</v>
      </c>
      <c r="K664" s="566">
        <v>0</v>
      </c>
      <c r="L664" s="565">
        <v>20</v>
      </c>
      <c r="N664" s="590"/>
    </row>
    <row r="665" spans="1:14" s="585" customFormat="1" ht="9" customHeight="1" x14ac:dyDescent="0.25">
      <c r="A665" s="589" t="s">
        <v>45</v>
      </c>
      <c r="B665" s="576">
        <f t="shared" si="35"/>
        <v>425</v>
      </c>
      <c r="C665" s="568">
        <v>5</v>
      </c>
      <c r="D665" s="568">
        <v>72</v>
      </c>
      <c r="E665" s="568">
        <v>82</v>
      </c>
      <c r="F665" s="568">
        <v>95</v>
      </c>
      <c r="G665" s="568">
        <v>56</v>
      </c>
      <c r="H665" s="568">
        <v>33</v>
      </c>
      <c r="I665" s="568">
        <v>11</v>
      </c>
      <c r="J665" s="568">
        <v>0</v>
      </c>
      <c r="K665" s="569">
        <v>0</v>
      </c>
      <c r="L665" s="568">
        <v>71</v>
      </c>
      <c r="N665" s="590"/>
    </row>
    <row r="666" spans="1:14" s="585" customFormat="1" ht="9" customHeight="1" x14ac:dyDescent="0.25">
      <c r="A666" s="588" t="s">
        <v>46</v>
      </c>
      <c r="B666" s="573">
        <f t="shared" si="35"/>
        <v>320</v>
      </c>
      <c r="C666" s="565">
        <v>6</v>
      </c>
      <c r="D666" s="565">
        <v>51</v>
      </c>
      <c r="E666" s="565">
        <v>84</v>
      </c>
      <c r="F666" s="565">
        <v>57</v>
      </c>
      <c r="G666" s="565">
        <v>40</v>
      </c>
      <c r="H666" s="565">
        <v>23</v>
      </c>
      <c r="I666" s="565">
        <v>6</v>
      </c>
      <c r="J666" s="565">
        <v>0</v>
      </c>
      <c r="K666" s="566">
        <v>0</v>
      </c>
      <c r="L666" s="565">
        <v>53</v>
      </c>
      <c r="N666" s="590"/>
    </row>
    <row r="667" spans="1:14" s="585" customFormat="1" ht="9" customHeight="1" x14ac:dyDescent="0.25">
      <c r="A667" s="588" t="s">
        <v>47</v>
      </c>
      <c r="B667" s="573">
        <f t="shared" si="35"/>
        <v>522</v>
      </c>
      <c r="C667" s="565">
        <v>2</v>
      </c>
      <c r="D667" s="565">
        <v>87</v>
      </c>
      <c r="E667" s="565">
        <v>135</v>
      </c>
      <c r="F667" s="565">
        <v>103</v>
      </c>
      <c r="G667" s="565">
        <v>74</v>
      </c>
      <c r="H667" s="565">
        <v>44</v>
      </c>
      <c r="I667" s="565">
        <v>14</v>
      </c>
      <c r="J667" s="565">
        <v>0</v>
      </c>
      <c r="K667" s="566">
        <v>0</v>
      </c>
      <c r="L667" s="565">
        <v>63</v>
      </c>
      <c r="N667" s="590"/>
    </row>
    <row r="668" spans="1:14" s="585" customFormat="1" ht="9" customHeight="1" x14ac:dyDescent="0.25">
      <c r="A668" s="588" t="s">
        <v>48</v>
      </c>
      <c r="B668" s="573">
        <f t="shared" si="35"/>
        <v>325</v>
      </c>
      <c r="C668" s="565">
        <v>3</v>
      </c>
      <c r="D668" s="565">
        <v>54</v>
      </c>
      <c r="E668" s="565">
        <v>93</v>
      </c>
      <c r="F668" s="565">
        <v>60</v>
      </c>
      <c r="G668" s="565">
        <v>52</v>
      </c>
      <c r="H668" s="565">
        <v>27</v>
      </c>
      <c r="I668" s="565">
        <v>8</v>
      </c>
      <c r="J668" s="565">
        <v>0</v>
      </c>
      <c r="K668" s="566">
        <v>0</v>
      </c>
      <c r="L668" s="565">
        <v>28</v>
      </c>
      <c r="N668" s="590"/>
    </row>
    <row r="669" spans="1:14" s="585" customFormat="1" ht="9" customHeight="1" x14ac:dyDescent="0.25">
      <c r="A669" s="589" t="s">
        <v>49</v>
      </c>
      <c r="B669" s="576">
        <f t="shared" si="35"/>
        <v>258</v>
      </c>
      <c r="C669" s="568">
        <v>4</v>
      </c>
      <c r="D669" s="568">
        <v>34</v>
      </c>
      <c r="E669" s="568">
        <v>54</v>
      </c>
      <c r="F669" s="568">
        <v>60</v>
      </c>
      <c r="G669" s="568">
        <v>47</v>
      </c>
      <c r="H669" s="568">
        <v>20</v>
      </c>
      <c r="I669" s="568">
        <v>8</v>
      </c>
      <c r="J669" s="568">
        <v>1</v>
      </c>
      <c r="K669" s="569">
        <v>0</v>
      </c>
      <c r="L669" s="568">
        <v>30</v>
      </c>
      <c r="N669" s="590"/>
    </row>
    <row r="670" spans="1:14" s="585" customFormat="1" ht="9" customHeight="1" x14ac:dyDescent="0.25">
      <c r="A670" s="588" t="s">
        <v>50</v>
      </c>
      <c r="B670" s="573">
        <f t="shared" si="35"/>
        <v>267</v>
      </c>
      <c r="C670" s="565">
        <v>3</v>
      </c>
      <c r="D670" s="565">
        <v>32</v>
      </c>
      <c r="E670" s="565">
        <v>78</v>
      </c>
      <c r="F670" s="565">
        <v>58</v>
      </c>
      <c r="G670" s="565">
        <v>39</v>
      </c>
      <c r="H670" s="565">
        <v>19</v>
      </c>
      <c r="I670" s="565">
        <v>9</v>
      </c>
      <c r="J670" s="565">
        <v>2</v>
      </c>
      <c r="K670" s="566">
        <v>0</v>
      </c>
      <c r="L670" s="565">
        <v>27</v>
      </c>
      <c r="N670" s="590"/>
    </row>
    <row r="671" spans="1:14" s="585" customFormat="1" ht="9" customHeight="1" x14ac:dyDescent="0.25">
      <c r="A671" s="588" t="s">
        <v>51</v>
      </c>
      <c r="B671" s="573">
        <f t="shared" si="35"/>
        <v>1220</v>
      </c>
      <c r="C671" s="565">
        <v>15</v>
      </c>
      <c r="D671" s="565">
        <v>171</v>
      </c>
      <c r="E671" s="565">
        <v>282</v>
      </c>
      <c r="F671" s="565">
        <v>249</v>
      </c>
      <c r="G671" s="565">
        <v>214</v>
      </c>
      <c r="H671" s="565">
        <v>134</v>
      </c>
      <c r="I671" s="565">
        <v>41</v>
      </c>
      <c r="J671" s="565">
        <v>3</v>
      </c>
      <c r="K671" s="566">
        <v>1</v>
      </c>
      <c r="L671" s="565">
        <v>110</v>
      </c>
      <c r="N671" s="590"/>
    </row>
    <row r="672" spans="1:14" s="585" customFormat="1" ht="9" customHeight="1" x14ac:dyDescent="0.25">
      <c r="A672" s="588" t="s">
        <v>52</v>
      </c>
      <c r="B672" s="573">
        <f t="shared" si="35"/>
        <v>317</v>
      </c>
      <c r="C672" s="565">
        <v>2</v>
      </c>
      <c r="D672" s="565">
        <v>51</v>
      </c>
      <c r="E672" s="565">
        <v>80</v>
      </c>
      <c r="F672" s="565">
        <v>70</v>
      </c>
      <c r="G672" s="565">
        <v>45</v>
      </c>
      <c r="H672" s="565">
        <v>33</v>
      </c>
      <c r="I672" s="565">
        <v>13</v>
      </c>
      <c r="J672" s="565">
        <v>0</v>
      </c>
      <c r="K672" s="566">
        <v>0</v>
      </c>
      <c r="L672" s="565">
        <v>23</v>
      </c>
      <c r="N672" s="590"/>
    </row>
    <row r="673" spans="1:14" s="585" customFormat="1" ht="9" customHeight="1" x14ac:dyDescent="0.25">
      <c r="A673" s="589" t="s">
        <v>53</v>
      </c>
      <c r="B673" s="576">
        <f t="shared" si="35"/>
        <v>326</v>
      </c>
      <c r="C673" s="568">
        <v>3</v>
      </c>
      <c r="D673" s="568">
        <v>47</v>
      </c>
      <c r="E673" s="568">
        <v>79</v>
      </c>
      <c r="F673" s="568">
        <v>50</v>
      </c>
      <c r="G673" s="568">
        <v>63</v>
      </c>
      <c r="H673" s="568">
        <v>42</v>
      </c>
      <c r="I673" s="568">
        <v>9</v>
      </c>
      <c r="J673" s="568">
        <v>1</v>
      </c>
      <c r="K673" s="569">
        <v>0</v>
      </c>
      <c r="L673" s="568">
        <v>32</v>
      </c>
      <c r="N673" s="590"/>
    </row>
    <row r="674" spans="1:14" s="585" customFormat="1" ht="9" customHeight="1" x14ac:dyDescent="0.25">
      <c r="A674" s="588" t="s">
        <v>434</v>
      </c>
      <c r="B674" s="573">
        <f t="shared" si="35"/>
        <v>14</v>
      </c>
      <c r="C674" s="565">
        <v>0</v>
      </c>
      <c r="D674" s="565">
        <v>1</v>
      </c>
      <c r="E674" s="565">
        <v>2</v>
      </c>
      <c r="F674" s="565">
        <v>2</v>
      </c>
      <c r="G674" s="565">
        <v>5</v>
      </c>
      <c r="H674" s="565">
        <v>1</v>
      </c>
      <c r="I674" s="565">
        <v>3</v>
      </c>
      <c r="J674" s="565">
        <v>0</v>
      </c>
      <c r="K674" s="566">
        <v>0</v>
      </c>
      <c r="L674" s="565">
        <v>0</v>
      </c>
      <c r="N674" s="590"/>
    </row>
    <row r="675" spans="1:14" s="585" customFormat="1" ht="9" customHeight="1" x14ac:dyDescent="0.25">
      <c r="A675" s="588"/>
      <c r="B675" s="573"/>
      <c r="C675" s="565"/>
      <c r="D675" s="565"/>
      <c r="E675" s="565"/>
      <c r="F675" s="565"/>
      <c r="G675" s="565"/>
      <c r="H675" s="565"/>
      <c r="I675" s="565"/>
      <c r="J675" s="565"/>
      <c r="K675" s="566"/>
      <c r="L675" s="565"/>
      <c r="N675" s="590"/>
    </row>
    <row r="676" spans="1:14" s="585" customFormat="1" ht="9" customHeight="1" x14ac:dyDescent="0.25">
      <c r="A676" s="581">
        <v>2013</v>
      </c>
      <c r="B676" s="582"/>
      <c r="C676" s="583"/>
      <c r="D676" s="583"/>
      <c r="E676" s="584"/>
      <c r="F676" s="584"/>
      <c r="G676" s="583"/>
      <c r="H676" s="583"/>
      <c r="I676" s="583"/>
      <c r="J676" s="583"/>
      <c r="K676" s="583"/>
      <c r="L676" s="583"/>
      <c r="N676" s="590"/>
    </row>
    <row r="677" spans="1:14" s="585" customFormat="1" ht="9" customHeight="1" x14ac:dyDescent="0.25">
      <c r="A677" s="586" t="s">
        <v>13</v>
      </c>
      <c r="B677" s="572">
        <f t="shared" ref="B677:L677" si="36">SUM(B679:B711)</f>
        <v>22578</v>
      </c>
      <c r="C677" s="572">
        <f t="shared" si="36"/>
        <v>169</v>
      </c>
      <c r="D677" s="572">
        <f t="shared" si="36"/>
        <v>3800</v>
      </c>
      <c r="E677" s="572">
        <f t="shared" si="36"/>
        <v>5686</v>
      </c>
      <c r="F677" s="572">
        <f t="shared" si="36"/>
        <v>4735</v>
      </c>
      <c r="G677" s="572">
        <f t="shared" si="36"/>
        <v>3757</v>
      </c>
      <c r="H677" s="572">
        <f t="shared" si="36"/>
        <v>2454</v>
      </c>
      <c r="I677" s="572">
        <f t="shared" si="36"/>
        <v>717</v>
      </c>
      <c r="J677" s="572">
        <f t="shared" si="36"/>
        <v>47</v>
      </c>
      <c r="K677" s="572">
        <f t="shared" si="36"/>
        <v>4</v>
      </c>
      <c r="L677" s="572">
        <f t="shared" si="36"/>
        <v>1209</v>
      </c>
      <c r="N677" s="590"/>
    </row>
    <row r="678" spans="1:14" s="585" customFormat="1" ht="3.95" customHeight="1" x14ac:dyDescent="0.25">
      <c r="A678" s="587"/>
      <c r="B678" s="572"/>
      <c r="C678" s="572"/>
      <c r="D678" s="572"/>
      <c r="E678" s="572"/>
      <c r="F678" s="572"/>
      <c r="G678" s="572"/>
      <c r="H678" s="572"/>
      <c r="I678" s="572"/>
      <c r="J678" s="572"/>
      <c r="K678" s="572"/>
      <c r="L678" s="572"/>
      <c r="N678" s="590"/>
    </row>
    <row r="679" spans="1:14" s="585" customFormat="1" ht="9" customHeight="1" x14ac:dyDescent="0.25">
      <c r="A679" s="588" t="s">
        <v>23</v>
      </c>
      <c r="B679" s="573">
        <f t="shared" ref="B679:B711" si="37">SUM(C679:L679)</f>
        <v>191</v>
      </c>
      <c r="C679" s="565">
        <v>4</v>
      </c>
      <c r="D679" s="565">
        <v>33</v>
      </c>
      <c r="E679" s="565">
        <v>41</v>
      </c>
      <c r="F679" s="565">
        <v>43</v>
      </c>
      <c r="G679" s="565">
        <v>38</v>
      </c>
      <c r="H679" s="565">
        <v>15</v>
      </c>
      <c r="I679" s="565">
        <v>7</v>
      </c>
      <c r="J679" s="565">
        <v>1</v>
      </c>
      <c r="K679" s="566">
        <v>0</v>
      </c>
      <c r="L679" s="565">
        <v>9</v>
      </c>
      <c r="N679" s="590"/>
    </row>
    <row r="680" spans="1:14" s="585" customFormat="1" ht="9" customHeight="1" x14ac:dyDescent="0.25">
      <c r="A680" s="588" t="s">
        <v>24</v>
      </c>
      <c r="B680" s="573">
        <f t="shared" si="37"/>
        <v>777</v>
      </c>
      <c r="C680" s="565">
        <v>5</v>
      </c>
      <c r="D680" s="565">
        <v>135</v>
      </c>
      <c r="E680" s="565">
        <v>187</v>
      </c>
      <c r="F680" s="565">
        <v>147</v>
      </c>
      <c r="G680" s="565">
        <v>120</v>
      </c>
      <c r="H680" s="565">
        <v>66</v>
      </c>
      <c r="I680" s="565">
        <v>21</v>
      </c>
      <c r="J680" s="565">
        <v>0</v>
      </c>
      <c r="K680" s="566">
        <v>0</v>
      </c>
      <c r="L680" s="565">
        <v>96</v>
      </c>
      <c r="N680" s="590"/>
    </row>
    <row r="681" spans="1:14" s="585" customFormat="1" ht="9" customHeight="1" x14ac:dyDescent="0.25">
      <c r="A681" s="588" t="s">
        <v>25</v>
      </c>
      <c r="B681" s="573">
        <f t="shared" si="37"/>
        <v>109</v>
      </c>
      <c r="C681" s="565">
        <v>3</v>
      </c>
      <c r="D681" s="565">
        <v>20</v>
      </c>
      <c r="E681" s="565">
        <v>25</v>
      </c>
      <c r="F681" s="565">
        <v>32</v>
      </c>
      <c r="G681" s="565">
        <v>11</v>
      </c>
      <c r="H681" s="565">
        <v>12</v>
      </c>
      <c r="I681" s="565">
        <v>3</v>
      </c>
      <c r="J681" s="565">
        <v>0</v>
      </c>
      <c r="K681" s="566">
        <v>0</v>
      </c>
      <c r="L681" s="565">
        <v>3</v>
      </c>
      <c r="N681" s="590"/>
    </row>
    <row r="682" spans="1:14" s="585" customFormat="1" ht="9" customHeight="1" x14ac:dyDescent="0.25">
      <c r="A682" s="589" t="s">
        <v>26</v>
      </c>
      <c r="B682" s="576">
        <f t="shared" si="37"/>
        <v>130</v>
      </c>
      <c r="C682" s="568">
        <v>2</v>
      </c>
      <c r="D682" s="568">
        <v>28</v>
      </c>
      <c r="E682" s="568">
        <v>34</v>
      </c>
      <c r="F682" s="568">
        <v>27</v>
      </c>
      <c r="G682" s="568">
        <v>20</v>
      </c>
      <c r="H682" s="568">
        <v>13</v>
      </c>
      <c r="I682" s="568">
        <v>2</v>
      </c>
      <c r="J682" s="568">
        <v>0</v>
      </c>
      <c r="K682" s="569">
        <v>0</v>
      </c>
      <c r="L682" s="568">
        <v>4</v>
      </c>
      <c r="N682" s="590"/>
    </row>
    <row r="683" spans="1:14" s="585" customFormat="1" ht="9" customHeight="1" x14ac:dyDescent="0.25">
      <c r="A683" s="588" t="s">
        <v>27</v>
      </c>
      <c r="B683" s="573">
        <f t="shared" si="37"/>
        <v>157</v>
      </c>
      <c r="C683" s="565">
        <v>0</v>
      </c>
      <c r="D683" s="565">
        <v>21</v>
      </c>
      <c r="E683" s="570">
        <v>42</v>
      </c>
      <c r="F683" s="565">
        <v>34</v>
      </c>
      <c r="G683" s="565">
        <v>34</v>
      </c>
      <c r="H683" s="565">
        <v>10</v>
      </c>
      <c r="I683" s="565">
        <v>2</v>
      </c>
      <c r="J683" s="565">
        <v>0</v>
      </c>
      <c r="K683" s="566">
        <v>0</v>
      </c>
      <c r="L683" s="565">
        <v>14</v>
      </c>
      <c r="N683" s="590"/>
    </row>
    <row r="684" spans="1:14" s="585" customFormat="1" ht="9" customHeight="1" x14ac:dyDescent="0.25">
      <c r="A684" s="588" t="s">
        <v>28</v>
      </c>
      <c r="B684" s="573">
        <f t="shared" si="37"/>
        <v>82</v>
      </c>
      <c r="C684" s="565">
        <v>0</v>
      </c>
      <c r="D684" s="565">
        <v>15</v>
      </c>
      <c r="E684" s="565">
        <v>21</v>
      </c>
      <c r="F684" s="565">
        <v>18</v>
      </c>
      <c r="G684" s="565">
        <v>16</v>
      </c>
      <c r="H684" s="565">
        <v>10</v>
      </c>
      <c r="I684" s="565">
        <v>0</v>
      </c>
      <c r="J684" s="565">
        <v>0</v>
      </c>
      <c r="K684" s="566">
        <v>0</v>
      </c>
      <c r="L684" s="565">
        <v>2</v>
      </c>
      <c r="N684" s="590"/>
    </row>
    <row r="685" spans="1:14" s="585" customFormat="1" ht="9" customHeight="1" x14ac:dyDescent="0.25">
      <c r="A685" s="588" t="s">
        <v>29</v>
      </c>
      <c r="B685" s="573">
        <f t="shared" si="37"/>
        <v>838</v>
      </c>
      <c r="C685" s="565">
        <v>7</v>
      </c>
      <c r="D685" s="565">
        <v>131</v>
      </c>
      <c r="E685" s="565">
        <v>186</v>
      </c>
      <c r="F685" s="565">
        <v>181</v>
      </c>
      <c r="G685" s="565">
        <v>157</v>
      </c>
      <c r="H685" s="565">
        <v>104</v>
      </c>
      <c r="I685" s="565">
        <v>33</v>
      </c>
      <c r="J685" s="565">
        <v>3</v>
      </c>
      <c r="K685" s="566">
        <v>0</v>
      </c>
      <c r="L685" s="565">
        <v>36</v>
      </c>
      <c r="N685" s="590"/>
    </row>
    <row r="686" spans="1:14" s="585" customFormat="1" ht="9" customHeight="1" x14ac:dyDescent="0.25">
      <c r="A686" s="589" t="s">
        <v>30</v>
      </c>
      <c r="B686" s="576">
        <f t="shared" si="37"/>
        <v>592</v>
      </c>
      <c r="C686" s="568">
        <v>3</v>
      </c>
      <c r="D686" s="568">
        <v>115</v>
      </c>
      <c r="E686" s="568">
        <v>149</v>
      </c>
      <c r="F686" s="568">
        <v>118</v>
      </c>
      <c r="G686" s="568">
        <v>79</v>
      </c>
      <c r="H686" s="568">
        <v>61</v>
      </c>
      <c r="I686" s="568">
        <v>19</v>
      </c>
      <c r="J686" s="568">
        <v>4</v>
      </c>
      <c r="K686" s="569">
        <v>0</v>
      </c>
      <c r="L686" s="568">
        <v>44</v>
      </c>
      <c r="N686" s="590"/>
    </row>
    <row r="687" spans="1:14" s="585" customFormat="1" ht="9" customHeight="1" x14ac:dyDescent="0.25">
      <c r="A687" s="550" t="s">
        <v>63</v>
      </c>
      <c r="B687" s="573">
        <f t="shared" si="37"/>
        <v>2258</v>
      </c>
      <c r="C687" s="565">
        <v>14</v>
      </c>
      <c r="D687" s="565">
        <v>364</v>
      </c>
      <c r="E687" s="565">
        <v>572</v>
      </c>
      <c r="F687" s="565">
        <v>470</v>
      </c>
      <c r="G687" s="565">
        <v>381</v>
      </c>
      <c r="H687" s="565">
        <v>323</v>
      </c>
      <c r="I687" s="565">
        <v>90</v>
      </c>
      <c r="J687" s="565">
        <v>4</v>
      </c>
      <c r="K687" s="566">
        <v>0</v>
      </c>
      <c r="L687" s="565">
        <v>40</v>
      </c>
      <c r="N687" s="590"/>
    </row>
    <row r="688" spans="1:14" s="585" customFormat="1" ht="9" customHeight="1" x14ac:dyDescent="0.25">
      <c r="A688" s="588" t="s">
        <v>31</v>
      </c>
      <c r="B688" s="573">
        <f t="shared" si="37"/>
        <v>333</v>
      </c>
      <c r="C688" s="565">
        <v>3</v>
      </c>
      <c r="D688" s="565">
        <v>61</v>
      </c>
      <c r="E688" s="565">
        <v>81</v>
      </c>
      <c r="F688" s="565">
        <v>59</v>
      </c>
      <c r="G688" s="565">
        <v>54</v>
      </c>
      <c r="H688" s="565">
        <v>35</v>
      </c>
      <c r="I688" s="565">
        <v>8</v>
      </c>
      <c r="J688" s="565">
        <v>0</v>
      </c>
      <c r="K688" s="566">
        <v>0</v>
      </c>
      <c r="L688" s="565">
        <v>32</v>
      </c>
      <c r="N688" s="590"/>
    </row>
    <row r="689" spans="1:14" s="585" customFormat="1" ht="9" customHeight="1" x14ac:dyDescent="0.25">
      <c r="A689" s="588" t="s">
        <v>32</v>
      </c>
      <c r="B689" s="573">
        <f t="shared" si="37"/>
        <v>1555</v>
      </c>
      <c r="C689" s="565">
        <v>17</v>
      </c>
      <c r="D689" s="565">
        <v>291</v>
      </c>
      <c r="E689" s="565">
        <v>361</v>
      </c>
      <c r="F689" s="565">
        <v>310</v>
      </c>
      <c r="G689" s="565">
        <v>290</v>
      </c>
      <c r="H689" s="565">
        <v>180</v>
      </c>
      <c r="I689" s="565">
        <v>66</v>
      </c>
      <c r="J689" s="565">
        <v>6</v>
      </c>
      <c r="K689" s="566">
        <v>2</v>
      </c>
      <c r="L689" s="565">
        <v>32</v>
      </c>
      <c r="N689" s="590"/>
    </row>
    <row r="690" spans="1:14" s="585" customFormat="1" ht="9" customHeight="1" x14ac:dyDescent="0.25">
      <c r="A690" s="589" t="s">
        <v>33</v>
      </c>
      <c r="B690" s="576">
        <f t="shared" si="37"/>
        <v>101</v>
      </c>
      <c r="C690" s="568">
        <v>1</v>
      </c>
      <c r="D690" s="568">
        <v>13</v>
      </c>
      <c r="E690" s="571">
        <v>26</v>
      </c>
      <c r="F690" s="568">
        <v>15</v>
      </c>
      <c r="G690" s="568">
        <v>16</v>
      </c>
      <c r="H690" s="568">
        <v>8</v>
      </c>
      <c r="I690" s="568">
        <v>1</v>
      </c>
      <c r="J690" s="568">
        <v>0</v>
      </c>
      <c r="K690" s="569">
        <v>0</v>
      </c>
      <c r="L690" s="568">
        <v>21</v>
      </c>
      <c r="N690" s="590"/>
    </row>
    <row r="691" spans="1:14" s="585" customFormat="1" ht="9" customHeight="1" x14ac:dyDescent="0.25">
      <c r="A691" s="588" t="s">
        <v>34</v>
      </c>
      <c r="B691" s="573">
        <f t="shared" si="37"/>
        <v>443</v>
      </c>
      <c r="C691" s="565">
        <v>3</v>
      </c>
      <c r="D691" s="565">
        <v>56</v>
      </c>
      <c r="E691" s="565">
        <v>113</v>
      </c>
      <c r="F691" s="565">
        <v>95</v>
      </c>
      <c r="G691" s="565">
        <v>77</v>
      </c>
      <c r="H691" s="565">
        <v>39</v>
      </c>
      <c r="I691" s="565">
        <v>13</v>
      </c>
      <c r="J691" s="565">
        <v>1</v>
      </c>
      <c r="K691" s="566">
        <v>0</v>
      </c>
      <c r="L691" s="565">
        <v>46</v>
      </c>
      <c r="N691" s="590"/>
    </row>
    <row r="692" spans="1:14" s="585" customFormat="1" ht="9" customHeight="1" x14ac:dyDescent="0.25">
      <c r="A692" s="588" t="s">
        <v>35</v>
      </c>
      <c r="B692" s="573">
        <f t="shared" si="37"/>
        <v>1593</v>
      </c>
      <c r="C692" s="565">
        <v>14</v>
      </c>
      <c r="D692" s="565">
        <v>239</v>
      </c>
      <c r="E692" s="565">
        <v>362</v>
      </c>
      <c r="F692" s="565">
        <v>334</v>
      </c>
      <c r="G692" s="565">
        <v>288</v>
      </c>
      <c r="H692" s="565">
        <v>203</v>
      </c>
      <c r="I692" s="565">
        <v>53</v>
      </c>
      <c r="J692" s="565">
        <v>3</v>
      </c>
      <c r="K692" s="566">
        <v>0</v>
      </c>
      <c r="L692" s="565">
        <v>97</v>
      </c>
      <c r="N692" s="590"/>
    </row>
    <row r="693" spans="1:14" s="585" customFormat="1" ht="9" customHeight="1" x14ac:dyDescent="0.25">
      <c r="A693" s="588" t="s">
        <v>36</v>
      </c>
      <c r="B693" s="573">
        <f t="shared" si="37"/>
        <v>5072</v>
      </c>
      <c r="C693" s="565">
        <v>33</v>
      </c>
      <c r="D693" s="565">
        <v>908</v>
      </c>
      <c r="E693" s="565">
        <v>1420</v>
      </c>
      <c r="F693" s="565">
        <v>1114</v>
      </c>
      <c r="G693" s="565">
        <v>794</v>
      </c>
      <c r="H693" s="565">
        <v>464</v>
      </c>
      <c r="I693" s="565">
        <v>137</v>
      </c>
      <c r="J693" s="565">
        <v>9</v>
      </c>
      <c r="K693" s="566">
        <v>1</v>
      </c>
      <c r="L693" s="565">
        <v>192</v>
      </c>
      <c r="N693" s="590"/>
    </row>
    <row r="694" spans="1:14" s="585" customFormat="1" ht="9" customHeight="1" x14ac:dyDescent="0.25">
      <c r="A694" s="589" t="s">
        <v>37</v>
      </c>
      <c r="B694" s="576">
        <f t="shared" si="37"/>
        <v>538</v>
      </c>
      <c r="C694" s="568">
        <v>2</v>
      </c>
      <c r="D694" s="568">
        <v>105</v>
      </c>
      <c r="E694" s="568">
        <v>133</v>
      </c>
      <c r="F694" s="568">
        <v>109</v>
      </c>
      <c r="G694" s="568">
        <v>87</v>
      </c>
      <c r="H694" s="568">
        <v>51</v>
      </c>
      <c r="I694" s="568">
        <v>17</v>
      </c>
      <c r="J694" s="568">
        <v>1</v>
      </c>
      <c r="K694" s="569">
        <v>0</v>
      </c>
      <c r="L694" s="568">
        <v>33</v>
      </c>
      <c r="N694" s="590"/>
    </row>
    <row r="695" spans="1:14" s="585" customFormat="1" ht="9" customHeight="1" x14ac:dyDescent="0.25">
      <c r="A695" s="588" t="s">
        <v>38</v>
      </c>
      <c r="B695" s="573">
        <f t="shared" si="37"/>
        <v>269</v>
      </c>
      <c r="C695" s="565">
        <v>5</v>
      </c>
      <c r="D695" s="570">
        <v>40</v>
      </c>
      <c r="E695" s="565">
        <v>66</v>
      </c>
      <c r="F695" s="565">
        <v>57</v>
      </c>
      <c r="G695" s="565">
        <v>50</v>
      </c>
      <c r="H695" s="565">
        <v>34</v>
      </c>
      <c r="I695" s="565">
        <v>5</v>
      </c>
      <c r="J695" s="565">
        <v>0</v>
      </c>
      <c r="K695" s="566">
        <v>0</v>
      </c>
      <c r="L695" s="565">
        <v>12</v>
      </c>
      <c r="N695" s="590"/>
    </row>
    <row r="696" spans="1:14" s="585" customFormat="1" ht="9" customHeight="1" x14ac:dyDescent="0.25">
      <c r="A696" s="588" t="s">
        <v>39</v>
      </c>
      <c r="B696" s="573">
        <f t="shared" si="37"/>
        <v>96</v>
      </c>
      <c r="C696" s="565">
        <v>0</v>
      </c>
      <c r="D696" s="565">
        <v>17</v>
      </c>
      <c r="E696" s="565">
        <v>22</v>
      </c>
      <c r="F696" s="565">
        <v>23</v>
      </c>
      <c r="G696" s="565">
        <v>16</v>
      </c>
      <c r="H696" s="565">
        <v>12</v>
      </c>
      <c r="I696" s="565">
        <v>1</v>
      </c>
      <c r="J696" s="565">
        <v>0</v>
      </c>
      <c r="K696" s="566">
        <v>0</v>
      </c>
      <c r="L696" s="565">
        <v>5</v>
      </c>
      <c r="N696" s="590"/>
    </row>
    <row r="697" spans="1:14" s="585" customFormat="1" ht="9" customHeight="1" x14ac:dyDescent="0.25">
      <c r="A697" s="588" t="s">
        <v>40</v>
      </c>
      <c r="B697" s="573">
        <f t="shared" si="37"/>
        <v>703</v>
      </c>
      <c r="C697" s="565">
        <v>2</v>
      </c>
      <c r="D697" s="565">
        <v>110</v>
      </c>
      <c r="E697" s="565">
        <v>153</v>
      </c>
      <c r="F697" s="565">
        <v>123</v>
      </c>
      <c r="G697" s="565">
        <v>107</v>
      </c>
      <c r="H697" s="565">
        <v>78</v>
      </c>
      <c r="I697" s="565">
        <v>25</v>
      </c>
      <c r="J697" s="565">
        <v>4</v>
      </c>
      <c r="K697" s="566">
        <v>0</v>
      </c>
      <c r="L697" s="565">
        <v>101</v>
      </c>
      <c r="N697" s="590"/>
    </row>
    <row r="698" spans="1:14" s="585" customFormat="1" ht="9" customHeight="1" x14ac:dyDescent="0.25">
      <c r="A698" s="589" t="s">
        <v>41</v>
      </c>
      <c r="B698" s="576">
        <f t="shared" si="37"/>
        <v>527</v>
      </c>
      <c r="C698" s="568">
        <v>1</v>
      </c>
      <c r="D698" s="568">
        <v>88</v>
      </c>
      <c r="E698" s="568">
        <v>117</v>
      </c>
      <c r="F698" s="568">
        <v>105</v>
      </c>
      <c r="G698" s="568">
        <v>81</v>
      </c>
      <c r="H698" s="568">
        <v>71</v>
      </c>
      <c r="I698" s="568">
        <v>21</v>
      </c>
      <c r="J698" s="568">
        <v>0</v>
      </c>
      <c r="K698" s="569">
        <v>0</v>
      </c>
      <c r="L698" s="568">
        <v>43</v>
      </c>
      <c r="N698" s="590"/>
    </row>
    <row r="699" spans="1:14" s="585" customFormat="1" ht="9" customHeight="1" x14ac:dyDescent="0.25">
      <c r="A699" s="588" t="s">
        <v>42</v>
      </c>
      <c r="B699" s="573">
        <f t="shared" si="37"/>
        <v>1431</v>
      </c>
      <c r="C699" s="565">
        <v>10</v>
      </c>
      <c r="D699" s="565">
        <v>237</v>
      </c>
      <c r="E699" s="565">
        <v>348</v>
      </c>
      <c r="F699" s="565">
        <v>309</v>
      </c>
      <c r="G699" s="565">
        <v>241</v>
      </c>
      <c r="H699" s="565">
        <v>153</v>
      </c>
      <c r="I699" s="565">
        <v>49</v>
      </c>
      <c r="J699" s="565">
        <v>4</v>
      </c>
      <c r="K699" s="566">
        <v>0</v>
      </c>
      <c r="L699" s="565">
        <v>80</v>
      </c>
      <c r="N699" s="590"/>
    </row>
    <row r="700" spans="1:14" s="585" customFormat="1" ht="9" customHeight="1" x14ac:dyDescent="0.25">
      <c r="A700" s="588" t="s">
        <v>43</v>
      </c>
      <c r="B700" s="573">
        <f t="shared" si="37"/>
        <v>327</v>
      </c>
      <c r="C700" s="565">
        <v>6</v>
      </c>
      <c r="D700" s="565">
        <v>59</v>
      </c>
      <c r="E700" s="565">
        <v>84</v>
      </c>
      <c r="F700" s="565">
        <v>62</v>
      </c>
      <c r="G700" s="565">
        <v>58</v>
      </c>
      <c r="H700" s="565">
        <v>42</v>
      </c>
      <c r="I700" s="565">
        <v>7</v>
      </c>
      <c r="J700" s="565">
        <v>0</v>
      </c>
      <c r="K700" s="566">
        <v>0</v>
      </c>
      <c r="L700" s="565">
        <v>9</v>
      </c>
      <c r="N700" s="590"/>
    </row>
    <row r="701" spans="1:14" s="585" customFormat="1" ht="9" customHeight="1" x14ac:dyDescent="0.25">
      <c r="A701" s="588" t="s">
        <v>44</v>
      </c>
      <c r="B701" s="573">
        <f t="shared" si="37"/>
        <v>219</v>
      </c>
      <c r="C701" s="565">
        <v>1</v>
      </c>
      <c r="D701" s="565">
        <v>34</v>
      </c>
      <c r="E701" s="565">
        <v>57</v>
      </c>
      <c r="F701" s="565">
        <v>58</v>
      </c>
      <c r="G701" s="565">
        <v>35</v>
      </c>
      <c r="H701" s="565">
        <v>14</v>
      </c>
      <c r="I701" s="565">
        <v>8</v>
      </c>
      <c r="J701" s="565">
        <v>0</v>
      </c>
      <c r="K701" s="566">
        <v>0</v>
      </c>
      <c r="L701" s="565">
        <v>12</v>
      </c>
      <c r="N701" s="590"/>
    </row>
    <row r="702" spans="1:14" s="585" customFormat="1" ht="9" customHeight="1" x14ac:dyDescent="0.25">
      <c r="A702" s="589" t="s">
        <v>45</v>
      </c>
      <c r="B702" s="576">
        <f t="shared" si="37"/>
        <v>485</v>
      </c>
      <c r="C702" s="568">
        <v>2</v>
      </c>
      <c r="D702" s="568">
        <v>67</v>
      </c>
      <c r="E702" s="568">
        <v>134</v>
      </c>
      <c r="F702" s="568">
        <v>105</v>
      </c>
      <c r="G702" s="568">
        <v>93</v>
      </c>
      <c r="H702" s="568">
        <v>44</v>
      </c>
      <c r="I702" s="568">
        <v>15</v>
      </c>
      <c r="J702" s="568">
        <v>0</v>
      </c>
      <c r="K702" s="569">
        <v>0</v>
      </c>
      <c r="L702" s="568">
        <v>25</v>
      </c>
      <c r="N702" s="590"/>
    </row>
    <row r="703" spans="1:14" s="585" customFormat="1" ht="9" customHeight="1" x14ac:dyDescent="0.25">
      <c r="A703" s="588" t="s">
        <v>46</v>
      </c>
      <c r="B703" s="573">
        <f t="shared" si="37"/>
        <v>330</v>
      </c>
      <c r="C703" s="565">
        <v>1</v>
      </c>
      <c r="D703" s="565">
        <v>57</v>
      </c>
      <c r="E703" s="565">
        <v>83</v>
      </c>
      <c r="F703" s="565">
        <v>71</v>
      </c>
      <c r="G703" s="565">
        <v>50</v>
      </c>
      <c r="H703" s="565">
        <v>28</v>
      </c>
      <c r="I703" s="565">
        <v>7</v>
      </c>
      <c r="J703" s="565">
        <v>0</v>
      </c>
      <c r="K703" s="566">
        <v>0</v>
      </c>
      <c r="L703" s="565">
        <v>33</v>
      </c>
      <c r="N703" s="590"/>
    </row>
    <row r="704" spans="1:14" s="585" customFormat="1" ht="9" customHeight="1" x14ac:dyDescent="0.25">
      <c r="A704" s="588" t="s">
        <v>47</v>
      </c>
      <c r="B704" s="573">
        <f t="shared" si="37"/>
        <v>537</v>
      </c>
      <c r="C704" s="565">
        <v>4</v>
      </c>
      <c r="D704" s="565">
        <v>118</v>
      </c>
      <c r="E704" s="565">
        <v>120</v>
      </c>
      <c r="F704" s="565">
        <v>111</v>
      </c>
      <c r="G704" s="565">
        <v>89</v>
      </c>
      <c r="H704" s="565">
        <v>43</v>
      </c>
      <c r="I704" s="565">
        <v>17</v>
      </c>
      <c r="J704" s="565">
        <v>1</v>
      </c>
      <c r="K704" s="566">
        <v>0</v>
      </c>
      <c r="L704" s="565">
        <v>34</v>
      </c>
      <c r="N704" s="590"/>
    </row>
    <row r="705" spans="1:15" s="585" customFormat="1" ht="9" customHeight="1" x14ac:dyDescent="0.25">
      <c r="A705" s="588" t="s">
        <v>48</v>
      </c>
      <c r="B705" s="573">
        <f t="shared" si="37"/>
        <v>343</v>
      </c>
      <c r="C705" s="565">
        <v>4</v>
      </c>
      <c r="D705" s="565">
        <v>53</v>
      </c>
      <c r="E705" s="565">
        <v>83</v>
      </c>
      <c r="F705" s="565">
        <v>77</v>
      </c>
      <c r="G705" s="565">
        <v>76</v>
      </c>
      <c r="H705" s="565">
        <v>30</v>
      </c>
      <c r="I705" s="565">
        <v>5</v>
      </c>
      <c r="J705" s="565">
        <v>2</v>
      </c>
      <c r="K705" s="566">
        <v>0</v>
      </c>
      <c r="L705" s="565">
        <v>13</v>
      </c>
      <c r="N705" s="590"/>
    </row>
    <row r="706" spans="1:15" s="585" customFormat="1" ht="9" customHeight="1" x14ac:dyDescent="0.25">
      <c r="A706" s="589" t="s">
        <v>49</v>
      </c>
      <c r="B706" s="576">
        <f t="shared" si="37"/>
        <v>229</v>
      </c>
      <c r="C706" s="568">
        <v>0</v>
      </c>
      <c r="D706" s="568">
        <v>25</v>
      </c>
      <c r="E706" s="568">
        <v>63</v>
      </c>
      <c r="F706" s="568">
        <v>48</v>
      </c>
      <c r="G706" s="568">
        <v>39</v>
      </c>
      <c r="H706" s="568">
        <v>27</v>
      </c>
      <c r="I706" s="568">
        <v>7</v>
      </c>
      <c r="J706" s="568">
        <v>1</v>
      </c>
      <c r="K706" s="569">
        <v>0</v>
      </c>
      <c r="L706" s="568">
        <v>19</v>
      </c>
      <c r="N706" s="590"/>
    </row>
    <row r="707" spans="1:15" s="585" customFormat="1" ht="9" customHeight="1" x14ac:dyDescent="0.25">
      <c r="A707" s="588" t="s">
        <v>50</v>
      </c>
      <c r="B707" s="573">
        <f t="shared" si="37"/>
        <v>283</v>
      </c>
      <c r="C707" s="565">
        <v>3</v>
      </c>
      <c r="D707" s="565">
        <v>42</v>
      </c>
      <c r="E707" s="565">
        <v>80</v>
      </c>
      <c r="F707" s="565">
        <v>67</v>
      </c>
      <c r="G707" s="565">
        <v>44</v>
      </c>
      <c r="H707" s="565">
        <v>31</v>
      </c>
      <c r="I707" s="565">
        <v>7</v>
      </c>
      <c r="J707" s="565">
        <v>0</v>
      </c>
      <c r="K707" s="566">
        <v>0</v>
      </c>
      <c r="L707" s="565">
        <v>9</v>
      </c>
      <c r="N707" s="590"/>
    </row>
    <row r="708" spans="1:15" s="585" customFormat="1" ht="9" customHeight="1" x14ac:dyDescent="0.25">
      <c r="A708" s="588" t="s">
        <v>51</v>
      </c>
      <c r="B708" s="573">
        <f t="shared" si="37"/>
        <v>1305</v>
      </c>
      <c r="C708" s="565">
        <v>14</v>
      </c>
      <c r="D708" s="565">
        <v>202</v>
      </c>
      <c r="E708" s="565">
        <v>322</v>
      </c>
      <c r="F708" s="565">
        <v>271</v>
      </c>
      <c r="G708" s="565">
        <v>208</v>
      </c>
      <c r="H708" s="565">
        <v>162</v>
      </c>
      <c r="I708" s="565">
        <v>46</v>
      </c>
      <c r="J708" s="565">
        <v>3</v>
      </c>
      <c r="K708" s="566">
        <v>1</v>
      </c>
      <c r="L708" s="565">
        <v>76</v>
      </c>
      <c r="N708" s="590"/>
    </row>
    <row r="709" spans="1:15" s="585" customFormat="1" ht="9" customHeight="1" x14ac:dyDescent="0.25">
      <c r="A709" s="588" t="s">
        <v>52</v>
      </c>
      <c r="B709" s="573">
        <f t="shared" si="37"/>
        <v>381</v>
      </c>
      <c r="C709" s="565">
        <v>3</v>
      </c>
      <c r="D709" s="565">
        <v>62</v>
      </c>
      <c r="E709" s="565">
        <v>114</v>
      </c>
      <c r="F709" s="565">
        <v>79</v>
      </c>
      <c r="G709" s="565">
        <v>53</v>
      </c>
      <c r="H709" s="565">
        <v>47</v>
      </c>
      <c r="I709" s="565">
        <v>11</v>
      </c>
      <c r="J709" s="565">
        <v>0</v>
      </c>
      <c r="K709" s="566">
        <v>0</v>
      </c>
      <c r="L709" s="565">
        <v>12</v>
      </c>
      <c r="N709" s="590"/>
    </row>
    <row r="710" spans="1:15" s="585" customFormat="1" ht="9" customHeight="1" x14ac:dyDescent="0.25">
      <c r="A710" s="589" t="s">
        <v>53</v>
      </c>
      <c r="B710" s="576">
        <f t="shared" si="37"/>
        <v>329</v>
      </c>
      <c r="C710" s="568">
        <v>1</v>
      </c>
      <c r="D710" s="568">
        <v>52</v>
      </c>
      <c r="E710" s="568">
        <v>79</v>
      </c>
      <c r="F710" s="568">
        <v>62</v>
      </c>
      <c r="G710" s="568">
        <v>55</v>
      </c>
      <c r="H710" s="568">
        <v>41</v>
      </c>
      <c r="I710" s="568">
        <v>14</v>
      </c>
      <c r="J710" s="568">
        <v>0</v>
      </c>
      <c r="K710" s="569">
        <v>0</v>
      </c>
      <c r="L710" s="568">
        <v>25</v>
      </c>
      <c r="N710" s="590"/>
    </row>
    <row r="711" spans="1:15" s="585" customFormat="1" ht="9" customHeight="1" x14ac:dyDescent="0.25">
      <c r="A711" s="588" t="s">
        <v>434</v>
      </c>
      <c r="B711" s="573">
        <f t="shared" si="37"/>
        <v>15</v>
      </c>
      <c r="C711" s="565">
        <v>1</v>
      </c>
      <c r="D711" s="565">
        <v>2</v>
      </c>
      <c r="E711" s="565">
        <v>8</v>
      </c>
      <c r="F711" s="565">
        <v>1</v>
      </c>
      <c r="G711" s="565">
        <v>0</v>
      </c>
      <c r="H711" s="565">
        <v>3</v>
      </c>
      <c r="I711" s="565">
        <v>0</v>
      </c>
      <c r="J711" s="565">
        <v>0</v>
      </c>
      <c r="K711" s="566">
        <v>0</v>
      </c>
      <c r="L711" s="565">
        <v>0</v>
      </c>
      <c r="N711" s="590"/>
    </row>
    <row r="712" spans="1:15" s="562" customFormat="1" ht="9" customHeight="1" x14ac:dyDescent="0.15">
      <c r="A712" s="564"/>
      <c r="B712" s="565"/>
      <c r="C712" s="580"/>
      <c r="D712" s="580"/>
      <c r="E712" s="580"/>
      <c r="F712" s="580"/>
      <c r="G712" s="580"/>
      <c r="H712" s="580"/>
      <c r="I712" s="580"/>
      <c r="J712" s="580"/>
      <c r="K712" s="580"/>
      <c r="L712" s="580"/>
    </row>
    <row r="713" spans="1:15" s="585" customFormat="1" ht="9" customHeight="1" x14ac:dyDescent="0.25">
      <c r="A713" s="587">
        <v>2014</v>
      </c>
      <c r="B713" s="582"/>
      <c r="C713" s="583"/>
      <c r="D713" s="583"/>
      <c r="E713" s="584"/>
      <c r="F713" s="584"/>
      <c r="G713" s="583"/>
      <c r="H713" s="583"/>
      <c r="I713" s="583"/>
      <c r="J713" s="583"/>
      <c r="K713" s="583"/>
      <c r="L713" s="583"/>
    </row>
    <row r="714" spans="1:15" s="585" customFormat="1" ht="9" customHeight="1" x14ac:dyDescent="0.25">
      <c r="A714" s="586" t="s">
        <v>13</v>
      </c>
      <c r="B714" s="572">
        <f t="shared" ref="B714:L714" si="38">SUM(B716:B748)</f>
        <v>22511</v>
      </c>
      <c r="C714" s="572">
        <f t="shared" si="38"/>
        <v>149</v>
      </c>
      <c r="D714" s="572">
        <f t="shared" si="38"/>
        <v>3840</v>
      </c>
      <c r="E714" s="572">
        <f t="shared" si="38"/>
        <v>5824</v>
      </c>
      <c r="F714" s="572">
        <f t="shared" si="38"/>
        <v>4748</v>
      </c>
      <c r="G714" s="572">
        <f t="shared" si="38"/>
        <v>3818</v>
      </c>
      <c r="H714" s="572">
        <f t="shared" si="38"/>
        <v>2436</v>
      </c>
      <c r="I714" s="572">
        <f t="shared" si="38"/>
        <v>823</v>
      </c>
      <c r="J714" s="572">
        <f t="shared" si="38"/>
        <v>55</v>
      </c>
      <c r="K714" s="572">
        <f t="shared" si="38"/>
        <v>2</v>
      </c>
      <c r="L714" s="572">
        <f t="shared" si="38"/>
        <v>816</v>
      </c>
      <c r="N714" s="590"/>
      <c r="O714" s="590"/>
    </row>
    <row r="715" spans="1:15" s="585" customFormat="1" ht="3.95" customHeight="1" x14ac:dyDescent="0.25">
      <c r="A715" s="587"/>
      <c r="B715" s="572"/>
      <c r="C715" s="572"/>
      <c r="D715" s="572"/>
      <c r="E715" s="572"/>
      <c r="F715" s="572"/>
      <c r="G715" s="572"/>
      <c r="H715" s="572"/>
      <c r="I715" s="572"/>
      <c r="J715" s="572"/>
      <c r="K715" s="572"/>
      <c r="L715" s="572"/>
    </row>
    <row r="716" spans="1:15" s="585" customFormat="1" ht="9" customHeight="1" x14ac:dyDescent="0.25">
      <c r="A716" s="588" t="s">
        <v>23</v>
      </c>
      <c r="B716" s="573">
        <f t="shared" ref="B716:B748" si="39">SUM(C716:L716)</f>
        <v>184</v>
      </c>
      <c r="C716" s="565">
        <v>1</v>
      </c>
      <c r="D716" s="565">
        <v>30</v>
      </c>
      <c r="E716" s="565">
        <v>42</v>
      </c>
      <c r="F716" s="565">
        <v>40</v>
      </c>
      <c r="G716" s="565">
        <v>36</v>
      </c>
      <c r="H716" s="565">
        <v>24</v>
      </c>
      <c r="I716" s="565">
        <v>3</v>
      </c>
      <c r="J716" s="565">
        <v>0</v>
      </c>
      <c r="K716" s="566">
        <v>0</v>
      </c>
      <c r="L716" s="565">
        <v>8</v>
      </c>
      <c r="O716" s="590"/>
    </row>
    <row r="717" spans="1:15" s="585" customFormat="1" ht="9" customHeight="1" x14ac:dyDescent="0.25">
      <c r="A717" s="588" t="s">
        <v>24</v>
      </c>
      <c r="B717" s="573">
        <f t="shared" si="39"/>
        <v>741</v>
      </c>
      <c r="C717" s="565">
        <v>2</v>
      </c>
      <c r="D717" s="565">
        <v>113</v>
      </c>
      <c r="E717" s="565">
        <v>182</v>
      </c>
      <c r="F717" s="565">
        <v>143</v>
      </c>
      <c r="G717" s="565">
        <v>101</v>
      </c>
      <c r="H717" s="565">
        <v>82</v>
      </c>
      <c r="I717" s="565">
        <v>33</v>
      </c>
      <c r="J717" s="565">
        <v>0</v>
      </c>
      <c r="K717" s="566">
        <v>0</v>
      </c>
      <c r="L717" s="565">
        <v>85</v>
      </c>
      <c r="N717" s="590"/>
      <c r="O717" s="590"/>
    </row>
    <row r="718" spans="1:15" s="585" customFormat="1" ht="9" customHeight="1" x14ac:dyDescent="0.25">
      <c r="A718" s="588" t="s">
        <v>25</v>
      </c>
      <c r="B718" s="573">
        <f t="shared" si="39"/>
        <v>121</v>
      </c>
      <c r="C718" s="565">
        <v>0</v>
      </c>
      <c r="D718" s="565">
        <v>17</v>
      </c>
      <c r="E718" s="565">
        <v>31</v>
      </c>
      <c r="F718" s="565">
        <v>30</v>
      </c>
      <c r="G718" s="565">
        <v>22</v>
      </c>
      <c r="H718" s="565">
        <v>9</v>
      </c>
      <c r="I718" s="565">
        <v>7</v>
      </c>
      <c r="J718" s="565">
        <v>0</v>
      </c>
      <c r="K718" s="566">
        <v>0</v>
      </c>
      <c r="L718" s="565">
        <v>5</v>
      </c>
      <c r="N718" s="590"/>
      <c r="O718" s="590"/>
    </row>
    <row r="719" spans="1:15" s="585" customFormat="1" ht="9" customHeight="1" x14ac:dyDescent="0.25">
      <c r="A719" s="589" t="s">
        <v>26</v>
      </c>
      <c r="B719" s="576">
        <f t="shared" si="39"/>
        <v>131</v>
      </c>
      <c r="C719" s="568">
        <v>2</v>
      </c>
      <c r="D719" s="568">
        <v>21</v>
      </c>
      <c r="E719" s="568">
        <v>46</v>
      </c>
      <c r="F719" s="568">
        <v>20</v>
      </c>
      <c r="G719" s="568">
        <v>26</v>
      </c>
      <c r="H719" s="568">
        <v>11</v>
      </c>
      <c r="I719" s="568">
        <v>2</v>
      </c>
      <c r="J719" s="568">
        <v>0</v>
      </c>
      <c r="K719" s="569">
        <v>0</v>
      </c>
      <c r="L719" s="568">
        <v>3</v>
      </c>
      <c r="N719" s="590"/>
      <c r="O719" s="590"/>
    </row>
    <row r="720" spans="1:15" s="585" customFormat="1" ht="9" customHeight="1" x14ac:dyDescent="0.25">
      <c r="A720" s="588" t="s">
        <v>27</v>
      </c>
      <c r="B720" s="573">
        <f t="shared" si="39"/>
        <v>157</v>
      </c>
      <c r="C720" s="565">
        <v>2</v>
      </c>
      <c r="D720" s="565">
        <v>26</v>
      </c>
      <c r="E720" s="570">
        <v>45</v>
      </c>
      <c r="F720" s="565">
        <v>37</v>
      </c>
      <c r="G720" s="565">
        <v>19</v>
      </c>
      <c r="H720" s="565">
        <v>13</v>
      </c>
      <c r="I720" s="565">
        <v>8</v>
      </c>
      <c r="J720" s="565">
        <v>1</v>
      </c>
      <c r="K720" s="566">
        <v>0</v>
      </c>
      <c r="L720" s="565">
        <v>6</v>
      </c>
      <c r="N720" s="590"/>
      <c r="O720" s="590"/>
    </row>
    <row r="721" spans="1:15" s="585" customFormat="1" ht="9" customHeight="1" x14ac:dyDescent="0.25">
      <c r="A721" s="588" t="s">
        <v>28</v>
      </c>
      <c r="B721" s="573">
        <f t="shared" si="39"/>
        <v>108</v>
      </c>
      <c r="C721" s="565">
        <v>0</v>
      </c>
      <c r="D721" s="565">
        <v>17</v>
      </c>
      <c r="E721" s="565">
        <v>26</v>
      </c>
      <c r="F721" s="565">
        <v>32</v>
      </c>
      <c r="G721" s="565">
        <v>16</v>
      </c>
      <c r="H721" s="565">
        <v>8</v>
      </c>
      <c r="I721" s="565">
        <v>6</v>
      </c>
      <c r="J721" s="565">
        <v>0</v>
      </c>
      <c r="K721" s="566">
        <v>0</v>
      </c>
      <c r="L721" s="565">
        <v>3</v>
      </c>
      <c r="N721" s="590"/>
      <c r="O721" s="590"/>
    </row>
    <row r="722" spans="1:15" s="585" customFormat="1" ht="9" customHeight="1" x14ac:dyDescent="0.25">
      <c r="A722" s="588" t="s">
        <v>29</v>
      </c>
      <c r="B722" s="573">
        <f t="shared" si="39"/>
        <v>870</v>
      </c>
      <c r="C722" s="565">
        <v>7</v>
      </c>
      <c r="D722" s="565">
        <v>152</v>
      </c>
      <c r="E722" s="565">
        <v>214</v>
      </c>
      <c r="F722" s="565">
        <v>189</v>
      </c>
      <c r="G722" s="565">
        <v>158</v>
      </c>
      <c r="H722" s="565">
        <v>103</v>
      </c>
      <c r="I722" s="565">
        <v>30</v>
      </c>
      <c r="J722" s="565">
        <v>4</v>
      </c>
      <c r="K722" s="566">
        <v>0</v>
      </c>
      <c r="L722" s="565">
        <v>13</v>
      </c>
      <c r="N722" s="590"/>
      <c r="O722" s="590"/>
    </row>
    <row r="723" spans="1:15" s="585" customFormat="1" ht="9" customHeight="1" x14ac:dyDescent="0.25">
      <c r="A723" s="589" t="s">
        <v>30</v>
      </c>
      <c r="B723" s="576">
        <f t="shared" si="39"/>
        <v>584</v>
      </c>
      <c r="C723" s="568">
        <v>5</v>
      </c>
      <c r="D723" s="568">
        <v>139</v>
      </c>
      <c r="E723" s="568">
        <v>140</v>
      </c>
      <c r="F723" s="568">
        <v>110</v>
      </c>
      <c r="G723" s="568">
        <v>92</v>
      </c>
      <c r="H723" s="568">
        <v>52</v>
      </c>
      <c r="I723" s="568">
        <v>14</v>
      </c>
      <c r="J723" s="568">
        <v>0</v>
      </c>
      <c r="K723" s="569">
        <v>0</v>
      </c>
      <c r="L723" s="568">
        <v>32</v>
      </c>
      <c r="N723" s="590"/>
      <c r="O723" s="590"/>
    </row>
    <row r="724" spans="1:15" s="585" customFormat="1" ht="9" customHeight="1" x14ac:dyDescent="0.25">
      <c r="A724" s="550" t="s">
        <v>63</v>
      </c>
      <c r="B724" s="573">
        <f t="shared" si="39"/>
        <v>2157</v>
      </c>
      <c r="C724" s="565">
        <v>10</v>
      </c>
      <c r="D724" s="565">
        <v>358</v>
      </c>
      <c r="E724" s="565">
        <v>526</v>
      </c>
      <c r="F724" s="565">
        <v>478</v>
      </c>
      <c r="G724" s="565">
        <v>400</v>
      </c>
      <c r="H724" s="565">
        <v>259</v>
      </c>
      <c r="I724" s="565">
        <v>88</v>
      </c>
      <c r="J724" s="565">
        <v>7</v>
      </c>
      <c r="K724" s="566">
        <v>0</v>
      </c>
      <c r="L724" s="565">
        <v>31</v>
      </c>
      <c r="N724" s="590"/>
      <c r="O724" s="590"/>
    </row>
    <row r="725" spans="1:15" s="585" customFormat="1" ht="9" customHeight="1" x14ac:dyDescent="0.25">
      <c r="A725" s="588" t="s">
        <v>31</v>
      </c>
      <c r="B725" s="573">
        <f t="shared" si="39"/>
        <v>359</v>
      </c>
      <c r="C725" s="565">
        <v>3</v>
      </c>
      <c r="D725" s="565">
        <v>57</v>
      </c>
      <c r="E725" s="565">
        <v>85</v>
      </c>
      <c r="F725" s="565">
        <v>69</v>
      </c>
      <c r="G725" s="565">
        <v>52</v>
      </c>
      <c r="H725" s="565">
        <v>41</v>
      </c>
      <c r="I725" s="565">
        <v>15</v>
      </c>
      <c r="J725" s="565">
        <v>2</v>
      </c>
      <c r="K725" s="566">
        <v>0</v>
      </c>
      <c r="L725" s="565">
        <v>35</v>
      </c>
      <c r="N725" s="590"/>
      <c r="O725" s="590"/>
    </row>
    <row r="726" spans="1:15" s="585" customFormat="1" ht="9" customHeight="1" x14ac:dyDescent="0.25">
      <c r="A726" s="588" t="s">
        <v>32</v>
      </c>
      <c r="B726" s="573">
        <f t="shared" si="39"/>
        <v>1538</v>
      </c>
      <c r="C726" s="565">
        <v>9</v>
      </c>
      <c r="D726" s="565">
        <v>314</v>
      </c>
      <c r="E726" s="565">
        <v>382</v>
      </c>
      <c r="F726" s="565">
        <v>324</v>
      </c>
      <c r="G726" s="565">
        <v>255</v>
      </c>
      <c r="H726" s="565">
        <v>165</v>
      </c>
      <c r="I726" s="565">
        <v>60</v>
      </c>
      <c r="J726" s="565">
        <v>4</v>
      </c>
      <c r="K726" s="566">
        <v>0</v>
      </c>
      <c r="L726" s="565">
        <v>25</v>
      </c>
      <c r="N726" s="590"/>
      <c r="O726" s="590"/>
    </row>
    <row r="727" spans="1:15" s="585" customFormat="1" ht="9" customHeight="1" x14ac:dyDescent="0.25">
      <c r="A727" s="589" t="s">
        <v>33</v>
      </c>
      <c r="B727" s="576">
        <f t="shared" si="39"/>
        <v>93</v>
      </c>
      <c r="C727" s="568">
        <v>0</v>
      </c>
      <c r="D727" s="568">
        <v>18</v>
      </c>
      <c r="E727" s="571">
        <v>23</v>
      </c>
      <c r="F727" s="568">
        <v>19</v>
      </c>
      <c r="G727" s="568">
        <v>11</v>
      </c>
      <c r="H727" s="568">
        <v>8</v>
      </c>
      <c r="I727" s="568">
        <v>5</v>
      </c>
      <c r="J727" s="568">
        <v>0</v>
      </c>
      <c r="K727" s="569">
        <v>0</v>
      </c>
      <c r="L727" s="568">
        <v>9</v>
      </c>
      <c r="N727" s="590"/>
      <c r="O727" s="590"/>
    </row>
    <row r="728" spans="1:15" s="585" customFormat="1" ht="9" customHeight="1" x14ac:dyDescent="0.25">
      <c r="A728" s="588" t="s">
        <v>34</v>
      </c>
      <c r="B728" s="573">
        <f t="shared" si="39"/>
        <v>453</v>
      </c>
      <c r="C728" s="565">
        <v>6</v>
      </c>
      <c r="D728" s="565">
        <v>69</v>
      </c>
      <c r="E728" s="565">
        <v>119</v>
      </c>
      <c r="F728" s="565">
        <v>107</v>
      </c>
      <c r="G728" s="565">
        <v>72</v>
      </c>
      <c r="H728" s="565">
        <v>42</v>
      </c>
      <c r="I728" s="565">
        <v>14</v>
      </c>
      <c r="J728" s="565">
        <v>0</v>
      </c>
      <c r="K728" s="566">
        <v>0</v>
      </c>
      <c r="L728" s="565">
        <v>24</v>
      </c>
      <c r="N728" s="590"/>
      <c r="O728" s="590"/>
    </row>
    <row r="729" spans="1:15" s="585" customFormat="1" ht="9" customHeight="1" x14ac:dyDescent="0.25">
      <c r="A729" s="588" t="s">
        <v>35</v>
      </c>
      <c r="B729" s="573">
        <f t="shared" si="39"/>
        <v>1705</v>
      </c>
      <c r="C729" s="565">
        <v>16</v>
      </c>
      <c r="D729" s="565">
        <v>208</v>
      </c>
      <c r="E729" s="565">
        <v>422</v>
      </c>
      <c r="F729" s="565">
        <v>385</v>
      </c>
      <c r="G729" s="565">
        <v>309</v>
      </c>
      <c r="H729" s="565">
        <v>195</v>
      </c>
      <c r="I729" s="565">
        <v>75</v>
      </c>
      <c r="J729" s="565">
        <v>4</v>
      </c>
      <c r="K729" s="566">
        <v>0</v>
      </c>
      <c r="L729" s="565">
        <v>91</v>
      </c>
      <c r="N729" s="590"/>
      <c r="O729" s="590"/>
    </row>
    <row r="730" spans="1:15" s="585" customFormat="1" ht="9" customHeight="1" x14ac:dyDescent="0.25">
      <c r="A730" s="588" t="s">
        <v>36</v>
      </c>
      <c r="B730" s="573">
        <f t="shared" si="39"/>
        <v>5121</v>
      </c>
      <c r="C730" s="565">
        <v>34</v>
      </c>
      <c r="D730" s="565">
        <v>931</v>
      </c>
      <c r="E730" s="565">
        <v>1463</v>
      </c>
      <c r="F730" s="565">
        <v>1042</v>
      </c>
      <c r="G730" s="565">
        <v>846</v>
      </c>
      <c r="H730" s="565">
        <v>491</v>
      </c>
      <c r="I730" s="565">
        <v>166</v>
      </c>
      <c r="J730" s="565">
        <v>17</v>
      </c>
      <c r="K730" s="566">
        <v>1</v>
      </c>
      <c r="L730" s="565">
        <v>130</v>
      </c>
      <c r="N730" s="590"/>
      <c r="O730" s="590"/>
    </row>
    <row r="731" spans="1:15" s="585" customFormat="1" ht="9" customHeight="1" x14ac:dyDescent="0.25">
      <c r="A731" s="589" t="s">
        <v>37</v>
      </c>
      <c r="B731" s="576">
        <f t="shared" si="39"/>
        <v>553</v>
      </c>
      <c r="C731" s="568">
        <v>2</v>
      </c>
      <c r="D731" s="568">
        <v>92</v>
      </c>
      <c r="E731" s="568">
        <v>135</v>
      </c>
      <c r="F731" s="568">
        <v>126</v>
      </c>
      <c r="G731" s="568">
        <v>86</v>
      </c>
      <c r="H731" s="568">
        <v>69</v>
      </c>
      <c r="I731" s="568">
        <v>22</v>
      </c>
      <c r="J731" s="568">
        <v>2</v>
      </c>
      <c r="K731" s="569">
        <v>0</v>
      </c>
      <c r="L731" s="568">
        <v>19</v>
      </c>
      <c r="N731" s="590"/>
      <c r="O731" s="590"/>
    </row>
    <row r="732" spans="1:15" s="585" customFormat="1" ht="9" customHeight="1" x14ac:dyDescent="0.25">
      <c r="A732" s="588" t="s">
        <v>38</v>
      </c>
      <c r="B732" s="573">
        <f t="shared" si="39"/>
        <v>275</v>
      </c>
      <c r="C732" s="565">
        <v>0</v>
      </c>
      <c r="D732" s="570">
        <v>35</v>
      </c>
      <c r="E732" s="565">
        <v>76</v>
      </c>
      <c r="F732" s="565">
        <v>68</v>
      </c>
      <c r="G732" s="565">
        <v>46</v>
      </c>
      <c r="H732" s="565">
        <v>37</v>
      </c>
      <c r="I732" s="565">
        <v>7</v>
      </c>
      <c r="J732" s="565">
        <v>0</v>
      </c>
      <c r="K732" s="566">
        <v>0</v>
      </c>
      <c r="L732" s="565">
        <v>6</v>
      </c>
      <c r="N732" s="590"/>
      <c r="O732" s="590"/>
    </row>
    <row r="733" spans="1:15" s="585" customFormat="1" ht="9" customHeight="1" x14ac:dyDescent="0.25">
      <c r="A733" s="588" t="s">
        <v>39</v>
      </c>
      <c r="B733" s="573">
        <f t="shared" si="39"/>
        <v>81</v>
      </c>
      <c r="C733" s="565">
        <v>1</v>
      </c>
      <c r="D733" s="565">
        <v>17</v>
      </c>
      <c r="E733" s="565">
        <v>17</v>
      </c>
      <c r="F733" s="565">
        <v>19</v>
      </c>
      <c r="G733" s="565">
        <v>15</v>
      </c>
      <c r="H733" s="565">
        <v>8</v>
      </c>
      <c r="I733" s="565">
        <v>2</v>
      </c>
      <c r="J733" s="565">
        <v>0</v>
      </c>
      <c r="K733" s="566">
        <v>0</v>
      </c>
      <c r="L733" s="565">
        <v>2</v>
      </c>
      <c r="N733" s="590"/>
      <c r="O733" s="590"/>
    </row>
    <row r="734" spans="1:15" s="585" customFormat="1" ht="9" customHeight="1" x14ac:dyDescent="0.25">
      <c r="A734" s="588" t="s">
        <v>40</v>
      </c>
      <c r="B734" s="573">
        <f t="shared" si="39"/>
        <v>685</v>
      </c>
      <c r="C734" s="565">
        <v>8</v>
      </c>
      <c r="D734" s="565">
        <v>123</v>
      </c>
      <c r="E734" s="565">
        <v>167</v>
      </c>
      <c r="F734" s="565">
        <v>123</v>
      </c>
      <c r="G734" s="565">
        <v>132</v>
      </c>
      <c r="H734" s="565">
        <v>73</v>
      </c>
      <c r="I734" s="565">
        <v>20</v>
      </c>
      <c r="J734" s="565">
        <v>1</v>
      </c>
      <c r="K734" s="566">
        <v>0</v>
      </c>
      <c r="L734" s="565">
        <v>38</v>
      </c>
      <c r="N734" s="590"/>
      <c r="O734" s="590"/>
    </row>
    <row r="735" spans="1:15" s="585" customFormat="1" ht="9" customHeight="1" x14ac:dyDescent="0.25">
      <c r="A735" s="589" t="s">
        <v>41</v>
      </c>
      <c r="B735" s="576">
        <f t="shared" si="39"/>
        <v>535</v>
      </c>
      <c r="C735" s="568">
        <v>3</v>
      </c>
      <c r="D735" s="568">
        <v>74</v>
      </c>
      <c r="E735" s="568">
        <v>149</v>
      </c>
      <c r="F735" s="568">
        <v>88</v>
      </c>
      <c r="G735" s="568">
        <v>109</v>
      </c>
      <c r="H735" s="568">
        <v>63</v>
      </c>
      <c r="I735" s="568">
        <v>20</v>
      </c>
      <c r="J735" s="568">
        <v>1</v>
      </c>
      <c r="K735" s="569">
        <v>0</v>
      </c>
      <c r="L735" s="568">
        <v>28</v>
      </c>
      <c r="N735" s="590"/>
      <c r="O735" s="590"/>
    </row>
    <row r="736" spans="1:15" s="585" customFormat="1" ht="9" customHeight="1" x14ac:dyDescent="0.25">
      <c r="A736" s="588" t="s">
        <v>42</v>
      </c>
      <c r="B736" s="573">
        <f t="shared" si="39"/>
        <v>1362</v>
      </c>
      <c r="C736" s="565">
        <v>5</v>
      </c>
      <c r="D736" s="565">
        <v>243</v>
      </c>
      <c r="E736" s="565">
        <v>384</v>
      </c>
      <c r="F736" s="565">
        <v>279</v>
      </c>
      <c r="G736" s="565">
        <v>210</v>
      </c>
      <c r="H736" s="565">
        <v>147</v>
      </c>
      <c r="I736" s="565">
        <v>57</v>
      </c>
      <c r="J736" s="565">
        <v>2</v>
      </c>
      <c r="K736" s="566">
        <v>0</v>
      </c>
      <c r="L736" s="565">
        <v>35</v>
      </c>
      <c r="N736" s="590"/>
      <c r="O736" s="590"/>
    </row>
    <row r="737" spans="1:15" s="585" customFormat="1" ht="9" customHeight="1" x14ac:dyDescent="0.25">
      <c r="A737" s="588" t="s">
        <v>43</v>
      </c>
      <c r="B737" s="573">
        <f t="shared" si="39"/>
        <v>322</v>
      </c>
      <c r="C737" s="565">
        <v>2</v>
      </c>
      <c r="D737" s="565">
        <v>49</v>
      </c>
      <c r="E737" s="565">
        <v>82</v>
      </c>
      <c r="F737" s="565">
        <v>64</v>
      </c>
      <c r="G737" s="565">
        <v>56</v>
      </c>
      <c r="H737" s="565">
        <v>49</v>
      </c>
      <c r="I737" s="565">
        <v>12</v>
      </c>
      <c r="J737" s="565">
        <v>1</v>
      </c>
      <c r="K737" s="566">
        <v>0</v>
      </c>
      <c r="L737" s="565">
        <v>7</v>
      </c>
      <c r="N737" s="590"/>
      <c r="O737" s="590"/>
    </row>
    <row r="738" spans="1:15" s="585" customFormat="1" ht="9" customHeight="1" x14ac:dyDescent="0.25">
      <c r="A738" s="588" t="s">
        <v>44</v>
      </c>
      <c r="B738" s="573">
        <f t="shared" si="39"/>
        <v>258</v>
      </c>
      <c r="C738" s="565">
        <v>0</v>
      </c>
      <c r="D738" s="565">
        <v>55</v>
      </c>
      <c r="E738" s="565">
        <v>64</v>
      </c>
      <c r="F738" s="565">
        <v>53</v>
      </c>
      <c r="G738" s="565">
        <v>35</v>
      </c>
      <c r="H738" s="565">
        <v>36</v>
      </c>
      <c r="I738" s="565">
        <v>5</v>
      </c>
      <c r="J738" s="565">
        <v>0</v>
      </c>
      <c r="K738" s="566">
        <v>0</v>
      </c>
      <c r="L738" s="565">
        <v>10</v>
      </c>
      <c r="N738" s="590"/>
      <c r="O738" s="590"/>
    </row>
    <row r="739" spans="1:15" s="585" customFormat="1" ht="9" customHeight="1" x14ac:dyDescent="0.25">
      <c r="A739" s="589" t="s">
        <v>45</v>
      </c>
      <c r="B739" s="576">
        <f t="shared" si="39"/>
        <v>578</v>
      </c>
      <c r="C739" s="568">
        <v>8</v>
      </c>
      <c r="D739" s="568">
        <v>88</v>
      </c>
      <c r="E739" s="568">
        <v>136</v>
      </c>
      <c r="F739" s="568">
        <v>125</v>
      </c>
      <c r="G739" s="568">
        <v>103</v>
      </c>
      <c r="H739" s="568">
        <v>66</v>
      </c>
      <c r="I739" s="568">
        <v>20</v>
      </c>
      <c r="J739" s="568">
        <v>1</v>
      </c>
      <c r="K739" s="569">
        <v>0</v>
      </c>
      <c r="L739" s="568">
        <v>31</v>
      </c>
      <c r="N739" s="590"/>
      <c r="O739" s="590"/>
    </row>
    <row r="740" spans="1:15" s="585" customFormat="1" ht="9" customHeight="1" x14ac:dyDescent="0.25">
      <c r="A740" s="588" t="s">
        <v>46</v>
      </c>
      <c r="B740" s="573">
        <f t="shared" si="39"/>
        <v>314</v>
      </c>
      <c r="C740" s="565">
        <v>0</v>
      </c>
      <c r="D740" s="565">
        <v>53</v>
      </c>
      <c r="E740" s="565">
        <v>82</v>
      </c>
      <c r="F740" s="565">
        <v>65</v>
      </c>
      <c r="G740" s="565">
        <v>49</v>
      </c>
      <c r="H740" s="565">
        <v>35</v>
      </c>
      <c r="I740" s="565">
        <v>6</v>
      </c>
      <c r="J740" s="565">
        <v>0</v>
      </c>
      <c r="K740" s="566">
        <v>0</v>
      </c>
      <c r="L740" s="565">
        <v>24</v>
      </c>
      <c r="N740" s="590"/>
      <c r="O740" s="590"/>
    </row>
    <row r="741" spans="1:15" s="585" customFormat="1" ht="9" customHeight="1" x14ac:dyDescent="0.25">
      <c r="A741" s="588" t="s">
        <v>47</v>
      </c>
      <c r="B741" s="573">
        <f t="shared" si="39"/>
        <v>568</v>
      </c>
      <c r="C741" s="565">
        <v>7</v>
      </c>
      <c r="D741" s="565">
        <v>96</v>
      </c>
      <c r="E741" s="565">
        <v>133</v>
      </c>
      <c r="F741" s="565">
        <v>129</v>
      </c>
      <c r="G741" s="565">
        <v>89</v>
      </c>
      <c r="H741" s="565">
        <v>55</v>
      </c>
      <c r="I741" s="565">
        <v>24</v>
      </c>
      <c r="J741" s="565">
        <v>3</v>
      </c>
      <c r="K741" s="566">
        <v>0</v>
      </c>
      <c r="L741" s="565">
        <v>32</v>
      </c>
      <c r="N741" s="590"/>
      <c r="O741" s="590"/>
    </row>
    <row r="742" spans="1:15" s="585" customFormat="1" ht="9" customHeight="1" x14ac:dyDescent="0.25">
      <c r="A742" s="588" t="s">
        <v>48</v>
      </c>
      <c r="B742" s="573">
        <f t="shared" si="39"/>
        <v>307</v>
      </c>
      <c r="C742" s="565">
        <v>3</v>
      </c>
      <c r="D742" s="565">
        <v>51</v>
      </c>
      <c r="E742" s="565">
        <v>77</v>
      </c>
      <c r="F742" s="565">
        <v>71</v>
      </c>
      <c r="G742" s="565">
        <v>49</v>
      </c>
      <c r="H742" s="565">
        <v>30</v>
      </c>
      <c r="I742" s="565">
        <v>14</v>
      </c>
      <c r="J742" s="565">
        <v>0</v>
      </c>
      <c r="K742" s="566">
        <v>0</v>
      </c>
      <c r="L742" s="565">
        <v>12</v>
      </c>
      <c r="N742" s="590"/>
      <c r="O742" s="590"/>
    </row>
    <row r="743" spans="1:15" s="585" customFormat="1" ht="9" customHeight="1" x14ac:dyDescent="0.25">
      <c r="A743" s="589" t="s">
        <v>49</v>
      </c>
      <c r="B743" s="576">
        <f t="shared" si="39"/>
        <v>237</v>
      </c>
      <c r="C743" s="568">
        <v>2</v>
      </c>
      <c r="D743" s="568">
        <v>40</v>
      </c>
      <c r="E743" s="568">
        <v>59</v>
      </c>
      <c r="F743" s="568">
        <v>60</v>
      </c>
      <c r="G743" s="568">
        <v>46</v>
      </c>
      <c r="H743" s="568">
        <v>19</v>
      </c>
      <c r="I743" s="568">
        <v>7</v>
      </c>
      <c r="J743" s="568">
        <v>0</v>
      </c>
      <c r="K743" s="569">
        <v>0</v>
      </c>
      <c r="L743" s="568">
        <v>4</v>
      </c>
      <c r="N743" s="590"/>
      <c r="O743" s="590"/>
    </row>
    <row r="744" spans="1:15" s="585" customFormat="1" ht="9" customHeight="1" x14ac:dyDescent="0.25">
      <c r="A744" s="588" t="s">
        <v>50</v>
      </c>
      <c r="B744" s="573">
        <f t="shared" si="39"/>
        <v>257</v>
      </c>
      <c r="C744" s="565">
        <v>2</v>
      </c>
      <c r="D744" s="565">
        <v>59</v>
      </c>
      <c r="E744" s="565">
        <v>73</v>
      </c>
      <c r="F744" s="565">
        <v>50</v>
      </c>
      <c r="G744" s="565">
        <v>38</v>
      </c>
      <c r="H744" s="565">
        <v>21</v>
      </c>
      <c r="I744" s="565">
        <v>7</v>
      </c>
      <c r="J744" s="565">
        <v>0</v>
      </c>
      <c r="K744" s="566">
        <v>0</v>
      </c>
      <c r="L744" s="565">
        <v>7</v>
      </c>
      <c r="N744" s="590"/>
      <c r="O744" s="590"/>
    </row>
    <row r="745" spans="1:15" s="585" customFormat="1" ht="9" customHeight="1" x14ac:dyDescent="0.25">
      <c r="A745" s="588" t="s">
        <v>51</v>
      </c>
      <c r="B745" s="573">
        <f t="shared" si="39"/>
        <v>1192</v>
      </c>
      <c r="C745" s="565">
        <v>7</v>
      </c>
      <c r="D745" s="565">
        <v>189</v>
      </c>
      <c r="E745" s="565">
        <v>274</v>
      </c>
      <c r="F745" s="565">
        <v>254</v>
      </c>
      <c r="G745" s="565">
        <v>226</v>
      </c>
      <c r="H745" s="565">
        <v>148</v>
      </c>
      <c r="I745" s="565">
        <v>48</v>
      </c>
      <c r="J745" s="565">
        <v>4</v>
      </c>
      <c r="K745" s="566">
        <v>0</v>
      </c>
      <c r="L745" s="565">
        <v>42</v>
      </c>
      <c r="N745" s="590"/>
      <c r="O745" s="590"/>
    </row>
    <row r="746" spans="1:15" s="585" customFormat="1" ht="9" customHeight="1" x14ac:dyDescent="0.25">
      <c r="A746" s="588" t="s">
        <v>52</v>
      </c>
      <c r="B746" s="573">
        <f t="shared" si="39"/>
        <v>401</v>
      </c>
      <c r="C746" s="565">
        <v>0</v>
      </c>
      <c r="D746" s="565">
        <v>63</v>
      </c>
      <c r="E746" s="565">
        <v>101</v>
      </c>
      <c r="F746" s="565">
        <v>98</v>
      </c>
      <c r="G746" s="565">
        <v>72</v>
      </c>
      <c r="H746" s="565">
        <v>45</v>
      </c>
      <c r="I746" s="565">
        <v>13</v>
      </c>
      <c r="J746" s="565">
        <v>1</v>
      </c>
      <c r="K746" s="566">
        <v>0</v>
      </c>
      <c r="L746" s="565">
        <v>8</v>
      </c>
      <c r="N746" s="590"/>
      <c r="O746" s="590"/>
    </row>
    <row r="747" spans="1:15" s="585" customFormat="1" ht="9" customHeight="1" x14ac:dyDescent="0.25">
      <c r="A747" s="589" t="s">
        <v>53</v>
      </c>
      <c r="B747" s="576">
        <f t="shared" si="39"/>
        <v>252</v>
      </c>
      <c r="C747" s="568">
        <v>2</v>
      </c>
      <c r="D747" s="568">
        <v>40</v>
      </c>
      <c r="E747" s="568">
        <v>67</v>
      </c>
      <c r="F747" s="568">
        <v>50</v>
      </c>
      <c r="G747" s="568">
        <v>39</v>
      </c>
      <c r="H747" s="568">
        <v>30</v>
      </c>
      <c r="I747" s="568">
        <v>12</v>
      </c>
      <c r="J747" s="568">
        <v>0</v>
      </c>
      <c r="K747" s="569">
        <v>1</v>
      </c>
      <c r="L747" s="568">
        <v>11</v>
      </c>
      <c r="N747" s="590"/>
      <c r="O747" s="590"/>
    </row>
    <row r="748" spans="1:15" s="585" customFormat="1" ht="9" customHeight="1" x14ac:dyDescent="0.25">
      <c r="A748" s="588" t="s">
        <v>434</v>
      </c>
      <c r="B748" s="573">
        <f t="shared" si="39"/>
        <v>12</v>
      </c>
      <c r="C748" s="565">
        <v>0</v>
      </c>
      <c r="D748" s="565">
        <v>3</v>
      </c>
      <c r="E748" s="565">
        <v>2</v>
      </c>
      <c r="F748" s="565">
        <v>1</v>
      </c>
      <c r="G748" s="565">
        <v>3</v>
      </c>
      <c r="H748" s="565">
        <v>2</v>
      </c>
      <c r="I748" s="565">
        <v>1</v>
      </c>
      <c r="J748" s="565">
        <v>0</v>
      </c>
      <c r="K748" s="566">
        <v>0</v>
      </c>
      <c r="L748" s="565">
        <v>0</v>
      </c>
      <c r="N748" s="590"/>
      <c r="O748" s="590"/>
    </row>
    <row r="749" spans="1:15" s="562" customFormat="1" ht="9" customHeight="1" x14ac:dyDescent="0.15">
      <c r="A749" s="564"/>
      <c r="B749" s="565"/>
      <c r="C749" s="580"/>
      <c r="D749" s="580"/>
      <c r="E749" s="580"/>
      <c r="F749" s="580"/>
      <c r="G749" s="580"/>
      <c r="H749" s="580"/>
      <c r="I749" s="580"/>
      <c r="J749" s="580"/>
      <c r="K749" s="580"/>
      <c r="L749" s="580"/>
    </row>
    <row r="750" spans="1:15" s="585" customFormat="1" ht="9" customHeight="1" x14ac:dyDescent="0.25">
      <c r="A750" s="587">
        <v>2015</v>
      </c>
      <c r="B750" s="582"/>
      <c r="C750" s="583"/>
      <c r="D750" s="583"/>
      <c r="E750" s="584"/>
      <c r="F750" s="584"/>
      <c r="G750" s="583"/>
      <c r="H750" s="583"/>
      <c r="I750" s="583"/>
      <c r="J750" s="583"/>
      <c r="K750" s="583"/>
      <c r="L750" s="583"/>
    </row>
    <row r="751" spans="1:15" s="585" customFormat="1" ht="9" customHeight="1" x14ac:dyDescent="0.25">
      <c r="A751" s="586" t="s">
        <v>13</v>
      </c>
      <c r="B751" s="572">
        <f>SUM(B753:B786)</f>
        <v>22703</v>
      </c>
      <c r="C751" s="572">
        <f t="shared" ref="C751:L751" si="40">SUM(C753:C786)</f>
        <v>153</v>
      </c>
      <c r="D751" s="572">
        <f t="shared" si="40"/>
        <v>3638</v>
      </c>
      <c r="E751" s="572">
        <f t="shared" si="40"/>
        <v>5820</v>
      </c>
      <c r="F751" s="572">
        <f t="shared" si="40"/>
        <v>4952</v>
      </c>
      <c r="G751" s="572">
        <f t="shared" si="40"/>
        <v>3879</v>
      </c>
      <c r="H751" s="572">
        <f t="shared" si="40"/>
        <v>2545</v>
      </c>
      <c r="I751" s="572">
        <f t="shared" si="40"/>
        <v>824</v>
      </c>
      <c r="J751" s="572">
        <f t="shared" si="40"/>
        <v>67</v>
      </c>
      <c r="K751" s="572">
        <f t="shared" si="40"/>
        <v>8</v>
      </c>
      <c r="L751" s="572">
        <f t="shared" si="40"/>
        <v>817</v>
      </c>
      <c r="N751" s="590"/>
      <c r="O751" s="590"/>
    </row>
    <row r="752" spans="1:15" s="585" customFormat="1" ht="3.95" customHeight="1" x14ac:dyDescent="0.25">
      <c r="A752" s="587"/>
      <c r="B752" s="572"/>
      <c r="C752" s="572"/>
      <c r="D752" s="572"/>
      <c r="E752" s="572"/>
      <c r="F752" s="572"/>
      <c r="G752" s="572"/>
      <c r="H752" s="572"/>
      <c r="I752" s="572"/>
      <c r="J752" s="572"/>
      <c r="K752" s="572"/>
      <c r="L752" s="572"/>
    </row>
    <row r="753" spans="1:15" s="585" customFormat="1" ht="9" customHeight="1" x14ac:dyDescent="0.25">
      <c r="A753" s="588" t="s">
        <v>23</v>
      </c>
      <c r="B753" s="573">
        <f t="shared" ref="B753:B786" si="41">SUM(C753:L753)</f>
        <v>166</v>
      </c>
      <c r="C753" s="565">
        <v>1</v>
      </c>
      <c r="D753" s="565">
        <v>28</v>
      </c>
      <c r="E753" s="565">
        <v>46</v>
      </c>
      <c r="F753" s="565">
        <v>39</v>
      </c>
      <c r="G753" s="565">
        <v>27</v>
      </c>
      <c r="H753" s="565">
        <v>11</v>
      </c>
      <c r="I753" s="565">
        <v>7</v>
      </c>
      <c r="J753" s="565">
        <v>0</v>
      </c>
      <c r="K753" s="566">
        <v>0</v>
      </c>
      <c r="L753" s="565">
        <v>7</v>
      </c>
      <c r="O753" s="590"/>
    </row>
    <row r="754" spans="1:15" s="585" customFormat="1" ht="9" customHeight="1" x14ac:dyDescent="0.25">
      <c r="A754" s="588" t="s">
        <v>24</v>
      </c>
      <c r="B754" s="573">
        <f t="shared" si="41"/>
        <v>680</v>
      </c>
      <c r="C754" s="565">
        <v>3</v>
      </c>
      <c r="D754" s="565">
        <v>99</v>
      </c>
      <c r="E754" s="565">
        <v>188</v>
      </c>
      <c r="F754" s="565">
        <v>119</v>
      </c>
      <c r="G754" s="565">
        <v>118</v>
      </c>
      <c r="H754" s="565">
        <v>74</v>
      </c>
      <c r="I754" s="565">
        <v>16</v>
      </c>
      <c r="J754" s="565">
        <v>0</v>
      </c>
      <c r="K754" s="566">
        <v>0</v>
      </c>
      <c r="L754" s="565">
        <v>63</v>
      </c>
      <c r="N754" s="590"/>
      <c r="O754" s="590"/>
    </row>
    <row r="755" spans="1:15" s="585" customFormat="1" ht="9" customHeight="1" x14ac:dyDescent="0.25">
      <c r="A755" s="588" t="s">
        <v>25</v>
      </c>
      <c r="B755" s="573">
        <f t="shared" si="41"/>
        <v>124</v>
      </c>
      <c r="C755" s="565">
        <v>4</v>
      </c>
      <c r="D755" s="565">
        <v>12</v>
      </c>
      <c r="E755" s="565">
        <v>34</v>
      </c>
      <c r="F755" s="565">
        <v>25</v>
      </c>
      <c r="G755" s="565">
        <v>35</v>
      </c>
      <c r="H755" s="565">
        <v>8</v>
      </c>
      <c r="I755" s="565">
        <v>3</v>
      </c>
      <c r="J755" s="565">
        <v>0</v>
      </c>
      <c r="K755" s="566">
        <v>0</v>
      </c>
      <c r="L755" s="565">
        <v>3</v>
      </c>
      <c r="N755" s="590"/>
      <c r="O755" s="590"/>
    </row>
    <row r="756" spans="1:15" s="585" customFormat="1" ht="9" customHeight="1" x14ac:dyDescent="0.25">
      <c r="A756" s="589" t="s">
        <v>26</v>
      </c>
      <c r="B756" s="576">
        <f t="shared" si="41"/>
        <v>121</v>
      </c>
      <c r="C756" s="568">
        <v>1</v>
      </c>
      <c r="D756" s="568">
        <v>20</v>
      </c>
      <c r="E756" s="568">
        <v>33</v>
      </c>
      <c r="F756" s="568">
        <v>35</v>
      </c>
      <c r="G756" s="568">
        <v>14</v>
      </c>
      <c r="H756" s="568">
        <v>8</v>
      </c>
      <c r="I756" s="568">
        <v>8</v>
      </c>
      <c r="J756" s="568">
        <v>0</v>
      </c>
      <c r="K756" s="569">
        <v>0</v>
      </c>
      <c r="L756" s="568">
        <v>2</v>
      </c>
      <c r="N756" s="590"/>
      <c r="O756" s="590"/>
    </row>
    <row r="757" spans="1:15" s="585" customFormat="1" ht="9" customHeight="1" x14ac:dyDescent="0.25">
      <c r="A757" s="588" t="s">
        <v>27</v>
      </c>
      <c r="B757" s="573">
        <f t="shared" si="41"/>
        <v>170</v>
      </c>
      <c r="C757" s="565">
        <v>1</v>
      </c>
      <c r="D757" s="565">
        <v>29</v>
      </c>
      <c r="E757" s="570">
        <v>37</v>
      </c>
      <c r="F757" s="565">
        <v>45</v>
      </c>
      <c r="G757" s="565">
        <v>32</v>
      </c>
      <c r="H757" s="565">
        <v>15</v>
      </c>
      <c r="I757" s="565">
        <v>4</v>
      </c>
      <c r="J757" s="565">
        <v>0</v>
      </c>
      <c r="K757" s="566">
        <v>0</v>
      </c>
      <c r="L757" s="565">
        <v>7</v>
      </c>
      <c r="N757" s="590"/>
      <c r="O757" s="590"/>
    </row>
    <row r="758" spans="1:15" s="585" customFormat="1" ht="9" customHeight="1" x14ac:dyDescent="0.25">
      <c r="A758" s="588" t="s">
        <v>28</v>
      </c>
      <c r="B758" s="573">
        <f t="shared" si="41"/>
        <v>136</v>
      </c>
      <c r="C758" s="565">
        <v>1</v>
      </c>
      <c r="D758" s="565">
        <v>21</v>
      </c>
      <c r="E758" s="565">
        <v>34</v>
      </c>
      <c r="F758" s="565">
        <v>29</v>
      </c>
      <c r="G758" s="565">
        <v>27</v>
      </c>
      <c r="H758" s="565">
        <v>15</v>
      </c>
      <c r="I758" s="565">
        <v>7</v>
      </c>
      <c r="J758" s="565">
        <v>0</v>
      </c>
      <c r="K758" s="566">
        <v>0</v>
      </c>
      <c r="L758" s="565">
        <v>2</v>
      </c>
      <c r="N758" s="590"/>
      <c r="O758" s="590"/>
    </row>
    <row r="759" spans="1:15" s="585" customFormat="1" ht="9" customHeight="1" x14ac:dyDescent="0.25">
      <c r="A759" s="588" t="s">
        <v>29</v>
      </c>
      <c r="B759" s="573">
        <f t="shared" si="41"/>
        <v>826</v>
      </c>
      <c r="C759" s="565">
        <v>5</v>
      </c>
      <c r="D759" s="565">
        <v>103</v>
      </c>
      <c r="E759" s="565">
        <v>218</v>
      </c>
      <c r="F759" s="565">
        <v>202</v>
      </c>
      <c r="G759" s="565">
        <v>136</v>
      </c>
      <c r="H759" s="565">
        <v>109</v>
      </c>
      <c r="I759" s="565">
        <v>33</v>
      </c>
      <c r="J759" s="565">
        <v>3</v>
      </c>
      <c r="K759" s="566">
        <v>0</v>
      </c>
      <c r="L759" s="565">
        <v>17</v>
      </c>
      <c r="N759" s="590"/>
      <c r="O759" s="590"/>
    </row>
    <row r="760" spans="1:15" s="585" customFormat="1" ht="9" customHeight="1" x14ac:dyDescent="0.25">
      <c r="A760" s="589" t="s">
        <v>30</v>
      </c>
      <c r="B760" s="576">
        <f t="shared" si="41"/>
        <v>702</v>
      </c>
      <c r="C760" s="568">
        <v>4</v>
      </c>
      <c r="D760" s="568">
        <v>146</v>
      </c>
      <c r="E760" s="568">
        <v>172</v>
      </c>
      <c r="F760" s="568">
        <v>155</v>
      </c>
      <c r="G760" s="568">
        <v>100</v>
      </c>
      <c r="H760" s="568">
        <v>70</v>
      </c>
      <c r="I760" s="568">
        <v>11</v>
      </c>
      <c r="J760" s="568">
        <v>2</v>
      </c>
      <c r="K760" s="569">
        <v>0</v>
      </c>
      <c r="L760" s="568">
        <v>42</v>
      </c>
      <c r="N760" s="590"/>
      <c r="O760" s="590"/>
    </row>
    <row r="761" spans="1:15" s="585" customFormat="1" ht="9" customHeight="1" x14ac:dyDescent="0.25">
      <c r="A761" s="550" t="s">
        <v>63</v>
      </c>
      <c r="B761" s="573">
        <f t="shared" si="41"/>
        <v>2043</v>
      </c>
      <c r="C761" s="565">
        <v>9</v>
      </c>
      <c r="D761" s="565">
        <v>279</v>
      </c>
      <c r="E761" s="565">
        <v>489</v>
      </c>
      <c r="F761" s="565">
        <v>402</v>
      </c>
      <c r="G761" s="565">
        <v>411</v>
      </c>
      <c r="H761" s="565">
        <v>291</v>
      </c>
      <c r="I761" s="565">
        <v>82</v>
      </c>
      <c r="J761" s="565">
        <v>5</v>
      </c>
      <c r="K761" s="566">
        <v>5</v>
      </c>
      <c r="L761" s="565">
        <v>70</v>
      </c>
      <c r="N761" s="590"/>
      <c r="O761" s="590"/>
    </row>
    <row r="762" spans="1:15" s="585" customFormat="1" ht="9" customHeight="1" x14ac:dyDescent="0.25">
      <c r="A762" s="588" t="s">
        <v>31</v>
      </c>
      <c r="B762" s="573">
        <f t="shared" si="41"/>
        <v>454</v>
      </c>
      <c r="C762" s="565">
        <v>1</v>
      </c>
      <c r="D762" s="565">
        <v>77</v>
      </c>
      <c r="E762" s="565">
        <v>124</v>
      </c>
      <c r="F762" s="565">
        <v>105</v>
      </c>
      <c r="G762" s="565">
        <v>73</v>
      </c>
      <c r="H762" s="565">
        <v>38</v>
      </c>
      <c r="I762" s="565">
        <v>4</v>
      </c>
      <c r="J762" s="565">
        <v>2</v>
      </c>
      <c r="K762" s="566">
        <v>0</v>
      </c>
      <c r="L762" s="565">
        <v>30</v>
      </c>
      <c r="N762" s="590"/>
      <c r="O762" s="590"/>
    </row>
    <row r="763" spans="1:15" s="585" customFormat="1" ht="9" customHeight="1" x14ac:dyDescent="0.25">
      <c r="A763" s="588" t="s">
        <v>32</v>
      </c>
      <c r="B763" s="573">
        <f t="shared" si="41"/>
        <v>1607</v>
      </c>
      <c r="C763" s="565">
        <v>11</v>
      </c>
      <c r="D763" s="565">
        <v>267</v>
      </c>
      <c r="E763" s="565">
        <v>404</v>
      </c>
      <c r="F763" s="565">
        <v>345</v>
      </c>
      <c r="G763" s="565">
        <v>290</v>
      </c>
      <c r="H763" s="565">
        <v>202</v>
      </c>
      <c r="I763" s="565">
        <v>62</v>
      </c>
      <c r="J763" s="565">
        <v>5</v>
      </c>
      <c r="K763" s="566">
        <v>1</v>
      </c>
      <c r="L763" s="565">
        <v>20</v>
      </c>
      <c r="N763" s="590"/>
      <c r="O763" s="590"/>
    </row>
    <row r="764" spans="1:15" s="585" customFormat="1" ht="9" customHeight="1" x14ac:dyDescent="0.25">
      <c r="A764" s="589" t="s">
        <v>33</v>
      </c>
      <c r="B764" s="576">
        <f t="shared" si="41"/>
        <v>106</v>
      </c>
      <c r="C764" s="568">
        <v>1</v>
      </c>
      <c r="D764" s="568">
        <v>20</v>
      </c>
      <c r="E764" s="571">
        <v>17</v>
      </c>
      <c r="F764" s="568">
        <v>15</v>
      </c>
      <c r="G764" s="568">
        <v>21</v>
      </c>
      <c r="H764" s="568">
        <v>15</v>
      </c>
      <c r="I764" s="568">
        <v>5</v>
      </c>
      <c r="J764" s="568">
        <v>0</v>
      </c>
      <c r="K764" s="569">
        <v>0</v>
      </c>
      <c r="L764" s="568">
        <v>12</v>
      </c>
      <c r="N764" s="590"/>
      <c r="O764" s="590"/>
    </row>
    <row r="765" spans="1:15" s="585" customFormat="1" ht="9" customHeight="1" x14ac:dyDescent="0.25">
      <c r="A765" s="588" t="s">
        <v>34</v>
      </c>
      <c r="B765" s="573">
        <f t="shared" si="41"/>
        <v>455</v>
      </c>
      <c r="C765" s="565">
        <v>6</v>
      </c>
      <c r="D765" s="565">
        <v>62</v>
      </c>
      <c r="E765" s="565">
        <v>114</v>
      </c>
      <c r="F765" s="565">
        <v>120</v>
      </c>
      <c r="G765" s="565">
        <v>79</v>
      </c>
      <c r="H765" s="565">
        <v>46</v>
      </c>
      <c r="I765" s="565">
        <v>11</v>
      </c>
      <c r="J765" s="565">
        <v>1</v>
      </c>
      <c r="K765" s="566">
        <v>0</v>
      </c>
      <c r="L765" s="565">
        <v>16</v>
      </c>
      <c r="N765" s="590"/>
      <c r="O765" s="590"/>
    </row>
    <row r="766" spans="1:15" s="585" customFormat="1" ht="9" customHeight="1" x14ac:dyDescent="0.25">
      <c r="A766" s="588" t="s">
        <v>35</v>
      </c>
      <c r="B766" s="573">
        <f t="shared" si="41"/>
        <v>1498</v>
      </c>
      <c r="C766" s="565">
        <v>10</v>
      </c>
      <c r="D766" s="565">
        <v>215</v>
      </c>
      <c r="E766" s="565">
        <v>346</v>
      </c>
      <c r="F766" s="565">
        <v>326</v>
      </c>
      <c r="G766" s="565">
        <v>262</v>
      </c>
      <c r="H766" s="565">
        <v>178</v>
      </c>
      <c r="I766" s="565">
        <v>76</v>
      </c>
      <c r="J766" s="565">
        <v>7</v>
      </c>
      <c r="K766" s="566">
        <v>0</v>
      </c>
      <c r="L766" s="565">
        <v>78</v>
      </c>
      <c r="N766" s="590"/>
      <c r="O766" s="590"/>
    </row>
    <row r="767" spans="1:15" s="585" customFormat="1" ht="9" customHeight="1" x14ac:dyDescent="0.25">
      <c r="A767" s="588" t="s">
        <v>36</v>
      </c>
      <c r="B767" s="573">
        <f t="shared" si="41"/>
        <v>5231</v>
      </c>
      <c r="C767" s="565">
        <v>36</v>
      </c>
      <c r="D767" s="565">
        <v>899</v>
      </c>
      <c r="E767" s="565">
        <v>1435</v>
      </c>
      <c r="F767" s="565">
        <v>1145</v>
      </c>
      <c r="G767" s="565">
        <v>812</v>
      </c>
      <c r="H767" s="565">
        <v>538</v>
      </c>
      <c r="I767" s="565">
        <v>197</v>
      </c>
      <c r="J767" s="565">
        <v>17</v>
      </c>
      <c r="K767" s="566">
        <v>1</v>
      </c>
      <c r="L767" s="565">
        <v>151</v>
      </c>
      <c r="N767" s="590"/>
      <c r="O767" s="590"/>
    </row>
    <row r="768" spans="1:15" s="585" customFormat="1" ht="9" customHeight="1" x14ac:dyDescent="0.25">
      <c r="A768" s="589" t="s">
        <v>37</v>
      </c>
      <c r="B768" s="576">
        <f t="shared" si="41"/>
        <v>506</v>
      </c>
      <c r="C768" s="568">
        <v>3</v>
      </c>
      <c r="D768" s="568">
        <v>78</v>
      </c>
      <c r="E768" s="568">
        <v>105</v>
      </c>
      <c r="F768" s="568">
        <v>109</v>
      </c>
      <c r="G768" s="568">
        <v>111</v>
      </c>
      <c r="H768" s="568">
        <v>57</v>
      </c>
      <c r="I768" s="568">
        <v>17</v>
      </c>
      <c r="J768" s="568">
        <v>4</v>
      </c>
      <c r="K768" s="569">
        <v>0</v>
      </c>
      <c r="L768" s="568">
        <v>22</v>
      </c>
      <c r="N768" s="590"/>
      <c r="O768" s="590"/>
    </row>
    <row r="769" spans="1:15" s="585" customFormat="1" ht="9" customHeight="1" x14ac:dyDescent="0.25">
      <c r="A769" s="588" t="s">
        <v>38</v>
      </c>
      <c r="B769" s="573">
        <f t="shared" si="41"/>
        <v>315</v>
      </c>
      <c r="C769" s="565">
        <v>4</v>
      </c>
      <c r="D769" s="570">
        <v>41</v>
      </c>
      <c r="E769" s="565">
        <v>81</v>
      </c>
      <c r="F769" s="565">
        <v>73</v>
      </c>
      <c r="G769" s="565">
        <v>61</v>
      </c>
      <c r="H769" s="565">
        <v>34</v>
      </c>
      <c r="I769" s="565">
        <v>13</v>
      </c>
      <c r="J769" s="565">
        <v>2</v>
      </c>
      <c r="K769" s="566">
        <v>0</v>
      </c>
      <c r="L769" s="565">
        <v>6</v>
      </c>
      <c r="N769" s="590"/>
      <c r="O769" s="590"/>
    </row>
    <row r="770" spans="1:15" s="585" customFormat="1" ht="9" customHeight="1" x14ac:dyDescent="0.25">
      <c r="A770" s="588" t="s">
        <v>39</v>
      </c>
      <c r="B770" s="573">
        <f t="shared" si="41"/>
        <v>84</v>
      </c>
      <c r="C770" s="565">
        <v>0</v>
      </c>
      <c r="D770" s="565">
        <v>14</v>
      </c>
      <c r="E770" s="565">
        <v>20</v>
      </c>
      <c r="F770" s="565">
        <v>15</v>
      </c>
      <c r="G770" s="565">
        <v>14</v>
      </c>
      <c r="H770" s="565">
        <v>10</v>
      </c>
      <c r="I770" s="565">
        <v>3</v>
      </c>
      <c r="J770" s="565">
        <v>1</v>
      </c>
      <c r="K770" s="566">
        <v>0</v>
      </c>
      <c r="L770" s="565">
        <v>7</v>
      </c>
      <c r="N770" s="590"/>
      <c r="O770" s="590"/>
    </row>
    <row r="771" spans="1:15" s="585" customFormat="1" ht="9" customHeight="1" x14ac:dyDescent="0.25">
      <c r="A771" s="588" t="s">
        <v>40</v>
      </c>
      <c r="B771" s="573">
        <f t="shared" si="41"/>
        <v>685</v>
      </c>
      <c r="C771" s="565">
        <v>4</v>
      </c>
      <c r="D771" s="565">
        <v>111</v>
      </c>
      <c r="E771" s="565">
        <v>180</v>
      </c>
      <c r="F771" s="565">
        <v>155</v>
      </c>
      <c r="G771" s="565">
        <v>124</v>
      </c>
      <c r="H771" s="565">
        <v>77</v>
      </c>
      <c r="I771" s="565">
        <v>14</v>
      </c>
      <c r="J771" s="565">
        <v>2</v>
      </c>
      <c r="K771" s="566">
        <v>0</v>
      </c>
      <c r="L771" s="565">
        <v>18</v>
      </c>
      <c r="N771" s="590"/>
      <c r="O771" s="590"/>
    </row>
    <row r="772" spans="1:15" s="585" customFormat="1" ht="9" customHeight="1" x14ac:dyDescent="0.25">
      <c r="A772" s="589" t="s">
        <v>41</v>
      </c>
      <c r="B772" s="576">
        <f t="shared" si="41"/>
        <v>552</v>
      </c>
      <c r="C772" s="568">
        <v>8</v>
      </c>
      <c r="D772" s="568">
        <v>70</v>
      </c>
      <c r="E772" s="568">
        <v>148</v>
      </c>
      <c r="F772" s="568">
        <v>122</v>
      </c>
      <c r="G772" s="568">
        <v>95</v>
      </c>
      <c r="H772" s="568">
        <v>67</v>
      </c>
      <c r="I772" s="568">
        <v>26</v>
      </c>
      <c r="J772" s="568">
        <v>1</v>
      </c>
      <c r="K772" s="569">
        <v>0</v>
      </c>
      <c r="L772" s="568">
        <v>15</v>
      </c>
      <c r="N772" s="590"/>
      <c r="O772" s="590"/>
    </row>
    <row r="773" spans="1:15" s="585" customFormat="1" ht="9" customHeight="1" x14ac:dyDescent="0.25">
      <c r="A773" s="588" t="s">
        <v>42</v>
      </c>
      <c r="B773" s="573">
        <f t="shared" si="41"/>
        <v>1386</v>
      </c>
      <c r="C773" s="565">
        <v>9</v>
      </c>
      <c r="D773" s="565">
        <v>215</v>
      </c>
      <c r="E773" s="565">
        <v>376</v>
      </c>
      <c r="F773" s="565">
        <v>292</v>
      </c>
      <c r="G773" s="565">
        <v>231</v>
      </c>
      <c r="H773" s="565">
        <v>150</v>
      </c>
      <c r="I773" s="565">
        <v>53</v>
      </c>
      <c r="J773" s="565">
        <v>4</v>
      </c>
      <c r="K773" s="566">
        <v>0</v>
      </c>
      <c r="L773" s="565">
        <v>56</v>
      </c>
      <c r="N773" s="590"/>
      <c r="O773" s="590"/>
    </row>
    <row r="774" spans="1:15" s="585" customFormat="1" ht="9" customHeight="1" x14ac:dyDescent="0.25">
      <c r="A774" s="588" t="s">
        <v>43</v>
      </c>
      <c r="B774" s="573">
        <f t="shared" si="41"/>
        <v>348</v>
      </c>
      <c r="C774" s="565">
        <v>1</v>
      </c>
      <c r="D774" s="565">
        <v>64</v>
      </c>
      <c r="E774" s="565">
        <v>83</v>
      </c>
      <c r="F774" s="565">
        <v>87</v>
      </c>
      <c r="G774" s="565">
        <v>58</v>
      </c>
      <c r="H774" s="565">
        <v>39</v>
      </c>
      <c r="I774" s="565">
        <v>12</v>
      </c>
      <c r="J774" s="565">
        <v>2</v>
      </c>
      <c r="K774" s="566">
        <v>0</v>
      </c>
      <c r="L774" s="565">
        <v>2</v>
      </c>
      <c r="N774" s="590"/>
      <c r="O774" s="590"/>
    </row>
    <row r="775" spans="1:15" s="585" customFormat="1" ht="9" customHeight="1" x14ac:dyDescent="0.25">
      <c r="A775" s="588" t="s">
        <v>44</v>
      </c>
      <c r="B775" s="573">
        <f t="shared" si="41"/>
        <v>224</v>
      </c>
      <c r="C775" s="565">
        <v>4</v>
      </c>
      <c r="D775" s="565">
        <v>23</v>
      </c>
      <c r="E775" s="565">
        <v>60</v>
      </c>
      <c r="F775" s="565">
        <v>59</v>
      </c>
      <c r="G775" s="565">
        <v>33</v>
      </c>
      <c r="H775" s="565">
        <v>26</v>
      </c>
      <c r="I775" s="565">
        <v>4</v>
      </c>
      <c r="J775" s="565">
        <v>0</v>
      </c>
      <c r="K775" s="566">
        <v>0</v>
      </c>
      <c r="L775" s="565">
        <v>15</v>
      </c>
      <c r="N775" s="590"/>
      <c r="O775" s="590"/>
    </row>
    <row r="776" spans="1:15" s="585" customFormat="1" ht="9" customHeight="1" x14ac:dyDescent="0.25">
      <c r="A776" s="589" t="s">
        <v>45</v>
      </c>
      <c r="B776" s="576">
        <f t="shared" si="41"/>
        <v>596</v>
      </c>
      <c r="C776" s="568">
        <v>2</v>
      </c>
      <c r="D776" s="568">
        <v>95</v>
      </c>
      <c r="E776" s="568">
        <v>158</v>
      </c>
      <c r="F776" s="568">
        <v>126</v>
      </c>
      <c r="G776" s="568">
        <v>97</v>
      </c>
      <c r="H776" s="568">
        <v>64</v>
      </c>
      <c r="I776" s="568">
        <v>30</v>
      </c>
      <c r="J776" s="568">
        <v>3</v>
      </c>
      <c r="K776" s="569">
        <v>0</v>
      </c>
      <c r="L776" s="568">
        <v>21</v>
      </c>
      <c r="N776" s="590"/>
      <c r="O776" s="590"/>
    </row>
    <row r="777" spans="1:15" s="585" customFormat="1" ht="9" customHeight="1" x14ac:dyDescent="0.25">
      <c r="A777" s="588" t="s">
        <v>46</v>
      </c>
      <c r="B777" s="573">
        <f t="shared" si="41"/>
        <v>342</v>
      </c>
      <c r="C777" s="565">
        <v>3</v>
      </c>
      <c r="D777" s="565">
        <v>84</v>
      </c>
      <c r="E777" s="565">
        <v>89</v>
      </c>
      <c r="F777" s="565">
        <v>67</v>
      </c>
      <c r="G777" s="565">
        <v>59</v>
      </c>
      <c r="H777" s="565">
        <v>27</v>
      </c>
      <c r="I777" s="565">
        <v>4</v>
      </c>
      <c r="J777" s="565">
        <v>0</v>
      </c>
      <c r="K777" s="566">
        <v>0</v>
      </c>
      <c r="L777" s="565">
        <v>9</v>
      </c>
      <c r="N777" s="590"/>
      <c r="O777" s="590"/>
    </row>
    <row r="778" spans="1:15" s="585" customFormat="1" ht="9" customHeight="1" x14ac:dyDescent="0.25">
      <c r="A778" s="588" t="s">
        <v>47</v>
      </c>
      <c r="B778" s="573">
        <f t="shared" si="41"/>
        <v>566</v>
      </c>
      <c r="C778" s="565">
        <v>2</v>
      </c>
      <c r="D778" s="565">
        <v>103</v>
      </c>
      <c r="E778" s="565">
        <v>143</v>
      </c>
      <c r="F778" s="565">
        <v>133</v>
      </c>
      <c r="G778" s="565">
        <v>89</v>
      </c>
      <c r="H778" s="565">
        <v>55</v>
      </c>
      <c r="I778" s="565">
        <v>11</v>
      </c>
      <c r="J778" s="565">
        <v>1</v>
      </c>
      <c r="K778" s="566">
        <v>0</v>
      </c>
      <c r="L778" s="565">
        <v>29</v>
      </c>
      <c r="N778" s="590"/>
      <c r="O778" s="590"/>
    </row>
    <row r="779" spans="1:15" s="585" customFormat="1" ht="9" customHeight="1" x14ac:dyDescent="0.25">
      <c r="A779" s="588" t="s">
        <v>48</v>
      </c>
      <c r="B779" s="573">
        <f t="shared" si="41"/>
        <v>299</v>
      </c>
      <c r="C779" s="565">
        <v>4</v>
      </c>
      <c r="D779" s="565">
        <v>55</v>
      </c>
      <c r="E779" s="565">
        <v>64</v>
      </c>
      <c r="F779" s="565">
        <v>67</v>
      </c>
      <c r="G779" s="565">
        <v>50</v>
      </c>
      <c r="H779" s="565">
        <v>37</v>
      </c>
      <c r="I779" s="565">
        <v>14</v>
      </c>
      <c r="J779" s="565">
        <v>1</v>
      </c>
      <c r="K779" s="566">
        <v>1</v>
      </c>
      <c r="L779" s="565">
        <v>6</v>
      </c>
      <c r="N779" s="590"/>
      <c r="O779" s="590"/>
    </row>
    <row r="780" spans="1:15" s="585" customFormat="1" ht="9" customHeight="1" x14ac:dyDescent="0.25">
      <c r="A780" s="589" t="s">
        <v>49</v>
      </c>
      <c r="B780" s="576">
        <f t="shared" si="41"/>
        <v>245</v>
      </c>
      <c r="C780" s="568">
        <v>0</v>
      </c>
      <c r="D780" s="568">
        <v>31</v>
      </c>
      <c r="E780" s="568">
        <v>60</v>
      </c>
      <c r="F780" s="568">
        <v>58</v>
      </c>
      <c r="G780" s="568">
        <v>52</v>
      </c>
      <c r="H780" s="568">
        <v>29</v>
      </c>
      <c r="I780" s="568">
        <v>8</v>
      </c>
      <c r="J780" s="568">
        <v>0</v>
      </c>
      <c r="K780" s="569">
        <v>0</v>
      </c>
      <c r="L780" s="568">
        <v>7</v>
      </c>
      <c r="N780" s="590"/>
      <c r="O780" s="590"/>
    </row>
    <row r="781" spans="1:15" s="585" customFormat="1" ht="9" customHeight="1" x14ac:dyDescent="0.25">
      <c r="A781" s="588" t="s">
        <v>50</v>
      </c>
      <c r="B781" s="573">
        <f t="shared" si="41"/>
        <v>253</v>
      </c>
      <c r="C781" s="565">
        <v>1</v>
      </c>
      <c r="D781" s="565">
        <v>43</v>
      </c>
      <c r="E781" s="565">
        <v>66</v>
      </c>
      <c r="F781" s="565">
        <v>66</v>
      </c>
      <c r="G781" s="565">
        <v>44</v>
      </c>
      <c r="H781" s="565">
        <v>22</v>
      </c>
      <c r="I781" s="565">
        <v>8</v>
      </c>
      <c r="J781" s="565">
        <v>1</v>
      </c>
      <c r="K781" s="566">
        <v>0</v>
      </c>
      <c r="L781" s="565">
        <v>2</v>
      </c>
      <c r="N781" s="590"/>
      <c r="O781" s="590"/>
    </row>
    <row r="782" spans="1:15" s="585" customFormat="1" ht="9" customHeight="1" x14ac:dyDescent="0.25">
      <c r="A782" s="588" t="s">
        <v>51</v>
      </c>
      <c r="B782" s="573">
        <f t="shared" si="41"/>
        <v>1283</v>
      </c>
      <c r="C782" s="565">
        <v>10</v>
      </c>
      <c r="D782" s="565">
        <v>216</v>
      </c>
      <c r="E782" s="565">
        <v>322</v>
      </c>
      <c r="F782" s="565">
        <v>264</v>
      </c>
      <c r="G782" s="565">
        <v>209</v>
      </c>
      <c r="H782" s="565">
        <v>151</v>
      </c>
      <c r="I782" s="565">
        <v>50</v>
      </c>
      <c r="J782" s="565">
        <v>1</v>
      </c>
      <c r="K782" s="566">
        <v>0</v>
      </c>
      <c r="L782" s="565">
        <v>60</v>
      </c>
      <c r="N782" s="590"/>
      <c r="O782" s="590"/>
    </row>
    <row r="783" spans="1:15" s="585" customFormat="1" ht="9" customHeight="1" x14ac:dyDescent="0.25">
      <c r="A783" s="588" t="s">
        <v>52</v>
      </c>
      <c r="B783" s="573">
        <f t="shared" si="41"/>
        <v>393</v>
      </c>
      <c r="C783" s="565">
        <v>0</v>
      </c>
      <c r="D783" s="565">
        <v>60</v>
      </c>
      <c r="E783" s="565">
        <v>102</v>
      </c>
      <c r="F783" s="565">
        <v>79</v>
      </c>
      <c r="G783" s="565">
        <v>75</v>
      </c>
      <c r="H783" s="565">
        <v>45</v>
      </c>
      <c r="I783" s="565">
        <v>18</v>
      </c>
      <c r="J783" s="565">
        <v>0</v>
      </c>
      <c r="K783" s="566">
        <v>0</v>
      </c>
      <c r="L783" s="565">
        <v>14</v>
      </c>
      <c r="N783" s="590"/>
      <c r="O783" s="590"/>
    </row>
    <row r="784" spans="1:15" s="585" customFormat="1" ht="9" customHeight="1" x14ac:dyDescent="0.25">
      <c r="A784" s="589" t="s">
        <v>53</v>
      </c>
      <c r="B784" s="576">
        <f t="shared" si="41"/>
        <v>284</v>
      </c>
      <c r="C784" s="568">
        <v>4</v>
      </c>
      <c r="D784" s="568">
        <v>53</v>
      </c>
      <c r="E784" s="568">
        <v>67</v>
      </c>
      <c r="F784" s="568">
        <v>70</v>
      </c>
      <c r="G784" s="568">
        <v>37</v>
      </c>
      <c r="H784" s="568">
        <v>33</v>
      </c>
      <c r="I784" s="568">
        <v>13</v>
      </c>
      <c r="J784" s="568">
        <v>2</v>
      </c>
      <c r="K784" s="569">
        <v>0</v>
      </c>
      <c r="L784" s="568">
        <v>5</v>
      </c>
      <c r="N784" s="590"/>
      <c r="O784" s="590"/>
    </row>
    <row r="785" spans="1:15" s="585" customFormat="1" ht="9" customHeight="1" x14ac:dyDescent="0.25">
      <c r="A785" s="588" t="s">
        <v>434</v>
      </c>
      <c r="B785" s="573">
        <f t="shared" si="41"/>
        <v>19</v>
      </c>
      <c r="C785" s="565">
        <v>0</v>
      </c>
      <c r="D785" s="565">
        <v>5</v>
      </c>
      <c r="E785" s="565">
        <v>4</v>
      </c>
      <c r="F785" s="565">
        <v>3</v>
      </c>
      <c r="G785" s="565">
        <v>3</v>
      </c>
      <c r="H785" s="565">
        <v>4</v>
      </c>
      <c r="I785" s="565">
        <v>0</v>
      </c>
      <c r="J785" s="565">
        <v>0</v>
      </c>
      <c r="K785" s="566">
        <v>0</v>
      </c>
      <c r="L785" s="565">
        <v>0</v>
      </c>
      <c r="N785" s="590"/>
      <c r="O785" s="590"/>
    </row>
    <row r="786" spans="1:15" s="585" customFormat="1" ht="9" customHeight="1" x14ac:dyDescent="0.25">
      <c r="A786" s="588" t="s">
        <v>54</v>
      </c>
      <c r="B786" s="573">
        <f t="shared" si="41"/>
        <v>4</v>
      </c>
      <c r="C786" s="565">
        <v>0</v>
      </c>
      <c r="D786" s="565">
        <v>0</v>
      </c>
      <c r="E786" s="565">
        <v>1</v>
      </c>
      <c r="F786" s="565">
        <v>0</v>
      </c>
      <c r="G786" s="565">
        <v>0</v>
      </c>
      <c r="H786" s="565">
        <v>0</v>
      </c>
      <c r="I786" s="565">
        <v>0</v>
      </c>
      <c r="J786" s="565">
        <v>0</v>
      </c>
      <c r="K786" s="566">
        <v>0</v>
      </c>
      <c r="L786" s="565">
        <v>3</v>
      </c>
      <c r="N786" s="590"/>
      <c r="O786" s="590"/>
    </row>
    <row r="787" spans="1:15" s="562" customFormat="1" ht="9" customHeight="1" x14ac:dyDescent="0.15">
      <c r="A787" s="564"/>
      <c r="B787" s="565"/>
      <c r="C787" s="580"/>
      <c r="D787" s="580"/>
      <c r="E787" s="580"/>
      <c r="F787" s="580"/>
      <c r="G787" s="580"/>
      <c r="H787" s="580"/>
      <c r="I787" s="580"/>
      <c r="J787" s="580"/>
      <c r="K787" s="580"/>
      <c r="L787" s="580"/>
    </row>
    <row r="788" spans="1:15" s="585" customFormat="1" ht="9" customHeight="1" x14ac:dyDescent="0.25">
      <c r="A788" s="587">
        <v>2016</v>
      </c>
      <c r="B788" s="582"/>
      <c r="C788" s="583"/>
      <c r="D788" s="583"/>
      <c r="E788" s="584"/>
      <c r="F788" s="584"/>
      <c r="G788" s="583"/>
      <c r="H788" s="583"/>
      <c r="I788" s="583"/>
      <c r="J788" s="583"/>
      <c r="K788" s="583"/>
      <c r="L788" s="583"/>
    </row>
    <row r="789" spans="1:15" s="585" customFormat="1" ht="9" customHeight="1" x14ac:dyDescent="0.25">
      <c r="A789" s="586" t="s">
        <v>13</v>
      </c>
      <c r="B789" s="572">
        <f>SUM(B791:B824)</f>
        <v>22208</v>
      </c>
      <c r="C789" s="572">
        <f t="shared" ref="C789:L789" si="42">SUM(C791:C824)</f>
        <v>142</v>
      </c>
      <c r="D789" s="572">
        <f t="shared" si="42"/>
        <v>3559</v>
      </c>
      <c r="E789" s="572">
        <f t="shared" si="42"/>
        <v>5616</v>
      </c>
      <c r="F789" s="572">
        <f t="shared" si="42"/>
        <v>4932</v>
      </c>
      <c r="G789" s="572">
        <f t="shared" si="42"/>
        <v>3886</v>
      </c>
      <c r="H789" s="572">
        <f t="shared" si="42"/>
        <v>2452</v>
      </c>
      <c r="I789" s="572">
        <f t="shared" si="42"/>
        <v>809</v>
      </c>
      <c r="J789" s="572">
        <f t="shared" si="42"/>
        <v>62</v>
      </c>
      <c r="K789" s="572">
        <f t="shared" si="42"/>
        <v>6</v>
      </c>
      <c r="L789" s="572">
        <f t="shared" si="42"/>
        <v>744</v>
      </c>
      <c r="N789" s="590"/>
      <c r="O789" s="590"/>
    </row>
    <row r="790" spans="1:15" s="585" customFormat="1" ht="3.95" customHeight="1" x14ac:dyDescent="0.25">
      <c r="A790" s="587"/>
      <c r="B790" s="572"/>
      <c r="C790" s="572"/>
      <c r="D790" s="572"/>
      <c r="E790" s="572"/>
      <c r="F790" s="572"/>
      <c r="G790" s="572"/>
      <c r="H790" s="572"/>
      <c r="I790" s="572"/>
      <c r="J790" s="572"/>
      <c r="K790" s="572"/>
      <c r="L790" s="572"/>
    </row>
    <row r="791" spans="1:15" s="585" customFormat="1" ht="9" customHeight="1" x14ac:dyDescent="0.25">
      <c r="A791" s="588" t="s">
        <v>23</v>
      </c>
      <c r="B791" s="573">
        <f t="shared" ref="B791:B824" si="43">SUM(C791:L791)</f>
        <v>177</v>
      </c>
      <c r="C791" s="565">
        <v>3</v>
      </c>
      <c r="D791" s="565">
        <v>32</v>
      </c>
      <c r="E791" s="565">
        <v>39</v>
      </c>
      <c r="F791" s="565">
        <v>38</v>
      </c>
      <c r="G791" s="565">
        <v>31</v>
      </c>
      <c r="H791" s="565">
        <v>16</v>
      </c>
      <c r="I791" s="565">
        <v>8</v>
      </c>
      <c r="J791" s="565">
        <v>1</v>
      </c>
      <c r="K791" s="566">
        <v>0</v>
      </c>
      <c r="L791" s="565">
        <v>9</v>
      </c>
      <c r="O791" s="590"/>
    </row>
    <row r="792" spans="1:15" s="585" customFormat="1" ht="9" customHeight="1" x14ac:dyDescent="0.25">
      <c r="A792" s="588" t="s">
        <v>24</v>
      </c>
      <c r="B792" s="573">
        <f t="shared" si="43"/>
        <v>703</v>
      </c>
      <c r="C792" s="565">
        <v>3</v>
      </c>
      <c r="D792" s="565">
        <v>109</v>
      </c>
      <c r="E792" s="565">
        <v>184</v>
      </c>
      <c r="F792" s="565">
        <v>150</v>
      </c>
      <c r="G792" s="565">
        <v>105</v>
      </c>
      <c r="H792" s="565">
        <v>78</v>
      </c>
      <c r="I792" s="565">
        <v>16</v>
      </c>
      <c r="J792" s="565">
        <v>3</v>
      </c>
      <c r="K792" s="566">
        <v>0</v>
      </c>
      <c r="L792" s="565">
        <v>55</v>
      </c>
      <c r="N792" s="590"/>
      <c r="O792" s="590"/>
    </row>
    <row r="793" spans="1:15" s="585" customFormat="1" ht="9" customHeight="1" x14ac:dyDescent="0.25">
      <c r="A793" s="588" t="s">
        <v>25</v>
      </c>
      <c r="B793" s="573">
        <f t="shared" si="43"/>
        <v>126</v>
      </c>
      <c r="C793" s="565">
        <v>0</v>
      </c>
      <c r="D793" s="565">
        <v>23</v>
      </c>
      <c r="E793" s="565">
        <v>45</v>
      </c>
      <c r="F793" s="565">
        <v>21</v>
      </c>
      <c r="G793" s="565">
        <v>19</v>
      </c>
      <c r="H793" s="565">
        <v>10</v>
      </c>
      <c r="I793" s="565">
        <v>1</v>
      </c>
      <c r="J793" s="565">
        <v>0</v>
      </c>
      <c r="K793" s="566">
        <v>0</v>
      </c>
      <c r="L793" s="565">
        <v>7</v>
      </c>
      <c r="N793" s="590"/>
      <c r="O793" s="590"/>
    </row>
    <row r="794" spans="1:15" s="585" customFormat="1" ht="9" customHeight="1" x14ac:dyDescent="0.25">
      <c r="A794" s="589" t="s">
        <v>26</v>
      </c>
      <c r="B794" s="576">
        <f t="shared" si="43"/>
        <v>186</v>
      </c>
      <c r="C794" s="568">
        <v>0</v>
      </c>
      <c r="D794" s="568">
        <v>33</v>
      </c>
      <c r="E794" s="568">
        <v>43</v>
      </c>
      <c r="F794" s="568">
        <v>38</v>
      </c>
      <c r="G794" s="568">
        <v>39</v>
      </c>
      <c r="H794" s="568">
        <v>21</v>
      </c>
      <c r="I794" s="568">
        <v>6</v>
      </c>
      <c r="J794" s="568">
        <v>0</v>
      </c>
      <c r="K794" s="569">
        <v>0</v>
      </c>
      <c r="L794" s="568">
        <v>6</v>
      </c>
      <c r="N794" s="590"/>
      <c r="O794" s="590"/>
    </row>
    <row r="795" spans="1:15" s="585" customFormat="1" ht="9" customHeight="1" x14ac:dyDescent="0.25">
      <c r="A795" s="588" t="s">
        <v>27</v>
      </c>
      <c r="B795" s="573">
        <f t="shared" si="43"/>
        <v>166</v>
      </c>
      <c r="C795" s="565">
        <v>0</v>
      </c>
      <c r="D795" s="565">
        <v>24</v>
      </c>
      <c r="E795" s="570">
        <v>44</v>
      </c>
      <c r="F795" s="565">
        <v>32</v>
      </c>
      <c r="G795" s="565">
        <v>29</v>
      </c>
      <c r="H795" s="565">
        <v>22</v>
      </c>
      <c r="I795" s="565">
        <v>6</v>
      </c>
      <c r="J795" s="565">
        <v>0</v>
      </c>
      <c r="K795" s="566">
        <v>0</v>
      </c>
      <c r="L795" s="565">
        <v>9</v>
      </c>
      <c r="N795" s="590"/>
      <c r="O795" s="590"/>
    </row>
    <row r="796" spans="1:15" s="585" customFormat="1" ht="9" customHeight="1" x14ac:dyDescent="0.25">
      <c r="A796" s="588" t="s">
        <v>28</v>
      </c>
      <c r="B796" s="573">
        <f t="shared" si="43"/>
        <v>141</v>
      </c>
      <c r="C796" s="565">
        <v>1</v>
      </c>
      <c r="D796" s="565">
        <v>20</v>
      </c>
      <c r="E796" s="565">
        <v>36</v>
      </c>
      <c r="F796" s="565">
        <v>40</v>
      </c>
      <c r="G796" s="565">
        <v>26</v>
      </c>
      <c r="H796" s="565">
        <v>10</v>
      </c>
      <c r="I796" s="565">
        <v>3</v>
      </c>
      <c r="J796" s="565">
        <v>1</v>
      </c>
      <c r="K796" s="566">
        <v>0</v>
      </c>
      <c r="L796" s="565">
        <v>4</v>
      </c>
      <c r="N796" s="590"/>
      <c r="O796" s="590"/>
    </row>
    <row r="797" spans="1:15" s="585" customFormat="1" ht="9" customHeight="1" x14ac:dyDescent="0.25">
      <c r="A797" s="588" t="s">
        <v>29</v>
      </c>
      <c r="B797" s="573">
        <f t="shared" si="43"/>
        <v>725</v>
      </c>
      <c r="C797" s="565">
        <v>4</v>
      </c>
      <c r="D797" s="565">
        <v>107</v>
      </c>
      <c r="E797" s="565">
        <v>175</v>
      </c>
      <c r="F797" s="565">
        <v>166</v>
      </c>
      <c r="G797" s="565">
        <v>115</v>
      </c>
      <c r="H797" s="565">
        <v>92</v>
      </c>
      <c r="I797" s="565">
        <v>33</v>
      </c>
      <c r="J797" s="565">
        <v>9</v>
      </c>
      <c r="K797" s="566">
        <v>0</v>
      </c>
      <c r="L797" s="565">
        <v>24</v>
      </c>
      <c r="N797" s="590"/>
      <c r="O797" s="590"/>
    </row>
    <row r="798" spans="1:15" s="585" customFormat="1" ht="9" customHeight="1" x14ac:dyDescent="0.25">
      <c r="A798" s="589" t="s">
        <v>30</v>
      </c>
      <c r="B798" s="576">
        <f t="shared" si="43"/>
        <v>652</v>
      </c>
      <c r="C798" s="568">
        <v>6</v>
      </c>
      <c r="D798" s="568">
        <v>117</v>
      </c>
      <c r="E798" s="568">
        <v>159</v>
      </c>
      <c r="F798" s="568">
        <v>150</v>
      </c>
      <c r="G798" s="568">
        <v>107</v>
      </c>
      <c r="H798" s="568">
        <v>55</v>
      </c>
      <c r="I798" s="568">
        <v>16</v>
      </c>
      <c r="J798" s="568">
        <v>3</v>
      </c>
      <c r="K798" s="569">
        <v>0</v>
      </c>
      <c r="L798" s="568">
        <v>39</v>
      </c>
      <c r="N798" s="590"/>
      <c r="O798" s="590"/>
    </row>
    <row r="799" spans="1:15" s="585" customFormat="1" ht="9" customHeight="1" x14ac:dyDescent="0.25">
      <c r="A799" s="550" t="s">
        <v>63</v>
      </c>
      <c r="B799" s="573">
        <f t="shared" si="43"/>
        <v>1993</v>
      </c>
      <c r="C799" s="565">
        <v>10</v>
      </c>
      <c r="D799" s="565">
        <v>264</v>
      </c>
      <c r="E799" s="565">
        <v>478</v>
      </c>
      <c r="F799" s="565">
        <v>442</v>
      </c>
      <c r="G799" s="565">
        <v>403</v>
      </c>
      <c r="H799" s="565">
        <v>253</v>
      </c>
      <c r="I799" s="565">
        <v>101</v>
      </c>
      <c r="J799" s="565">
        <v>5</v>
      </c>
      <c r="K799" s="566">
        <v>0</v>
      </c>
      <c r="L799" s="565">
        <v>37</v>
      </c>
      <c r="N799" s="590"/>
      <c r="O799" s="590"/>
    </row>
    <row r="800" spans="1:15" s="585" customFormat="1" ht="9" customHeight="1" x14ac:dyDescent="0.25">
      <c r="A800" s="588" t="s">
        <v>31</v>
      </c>
      <c r="B800" s="573">
        <f t="shared" si="43"/>
        <v>429</v>
      </c>
      <c r="C800" s="565">
        <v>4</v>
      </c>
      <c r="D800" s="565">
        <v>65</v>
      </c>
      <c r="E800" s="565">
        <v>101</v>
      </c>
      <c r="F800" s="565">
        <v>113</v>
      </c>
      <c r="G800" s="565">
        <v>54</v>
      </c>
      <c r="H800" s="565">
        <v>39</v>
      </c>
      <c r="I800" s="565">
        <v>14</v>
      </c>
      <c r="J800" s="565">
        <v>1</v>
      </c>
      <c r="K800" s="566">
        <v>0</v>
      </c>
      <c r="L800" s="565">
        <v>38</v>
      </c>
      <c r="N800" s="590"/>
      <c r="O800" s="590"/>
    </row>
    <row r="801" spans="1:15" s="585" customFormat="1" ht="9" customHeight="1" x14ac:dyDescent="0.25">
      <c r="A801" s="588" t="s">
        <v>32</v>
      </c>
      <c r="B801" s="573">
        <f t="shared" si="43"/>
        <v>1671</v>
      </c>
      <c r="C801" s="565">
        <v>8</v>
      </c>
      <c r="D801" s="565">
        <v>272</v>
      </c>
      <c r="E801" s="565">
        <v>418</v>
      </c>
      <c r="F801" s="565">
        <v>402</v>
      </c>
      <c r="G801" s="565">
        <v>307</v>
      </c>
      <c r="H801" s="565">
        <v>195</v>
      </c>
      <c r="I801" s="565">
        <v>50</v>
      </c>
      <c r="J801" s="565">
        <v>2</v>
      </c>
      <c r="K801" s="566">
        <v>0</v>
      </c>
      <c r="L801" s="565">
        <v>17</v>
      </c>
      <c r="N801" s="590"/>
      <c r="O801" s="590"/>
    </row>
    <row r="802" spans="1:15" s="585" customFormat="1" ht="9" customHeight="1" x14ac:dyDescent="0.25">
      <c r="A802" s="589" t="s">
        <v>33</v>
      </c>
      <c r="B802" s="576">
        <f t="shared" si="43"/>
        <v>114</v>
      </c>
      <c r="C802" s="568">
        <v>0</v>
      </c>
      <c r="D802" s="568">
        <v>10</v>
      </c>
      <c r="E802" s="571">
        <v>24</v>
      </c>
      <c r="F802" s="568">
        <v>22</v>
      </c>
      <c r="G802" s="568">
        <v>15</v>
      </c>
      <c r="H802" s="568">
        <v>22</v>
      </c>
      <c r="I802" s="568">
        <v>7</v>
      </c>
      <c r="J802" s="568">
        <v>0</v>
      </c>
      <c r="K802" s="569">
        <v>0</v>
      </c>
      <c r="L802" s="568">
        <v>14</v>
      </c>
      <c r="N802" s="590"/>
      <c r="O802" s="590"/>
    </row>
    <row r="803" spans="1:15" s="585" customFormat="1" ht="9" customHeight="1" x14ac:dyDescent="0.25">
      <c r="A803" s="588" t="s">
        <v>34</v>
      </c>
      <c r="B803" s="573">
        <f t="shared" si="43"/>
        <v>441</v>
      </c>
      <c r="C803" s="565">
        <v>1</v>
      </c>
      <c r="D803" s="565">
        <v>84</v>
      </c>
      <c r="E803" s="565">
        <v>95</v>
      </c>
      <c r="F803" s="565">
        <v>102</v>
      </c>
      <c r="G803" s="565">
        <v>76</v>
      </c>
      <c r="H803" s="565">
        <v>55</v>
      </c>
      <c r="I803" s="565">
        <v>12</v>
      </c>
      <c r="J803" s="565">
        <v>0</v>
      </c>
      <c r="K803" s="566">
        <v>0</v>
      </c>
      <c r="L803" s="565">
        <v>16</v>
      </c>
      <c r="N803" s="590"/>
      <c r="O803" s="590"/>
    </row>
    <row r="804" spans="1:15" s="585" customFormat="1" ht="9" customHeight="1" x14ac:dyDescent="0.25">
      <c r="A804" s="588" t="s">
        <v>35</v>
      </c>
      <c r="B804" s="573">
        <f t="shared" si="43"/>
        <v>1421</v>
      </c>
      <c r="C804" s="565">
        <v>9</v>
      </c>
      <c r="D804" s="565">
        <v>228</v>
      </c>
      <c r="E804" s="565">
        <v>342</v>
      </c>
      <c r="F804" s="565">
        <v>299</v>
      </c>
      <c r="G804" s="565">
        <v>281</v>
      </c>
      <c r="H804" s="565">
        <v>159</v>
      </c>
      <c r="I804" s="565">
        <v>53</v>
      </c>
      <c r="J804" s="565">
        <v>5</v>
      </c>
      <c r="K804" s="566">
        <v>0</v>
      </c>
      <c r="L804" s="565">
        <v>45</v>
      </c>
      <c r="N804" s="590"/>
      <c r="O804" s="590"/>
    </row>
    <row r="805" spans="1:15" s="585" customFormat="1" ht="9" customHeight="1" x14ac:dyDescent="0.25">
      <c r="A805" s="588" t="s">
        <v>36</v>
      </c>
      <c r="B805" s="573">
        <f t="shared" si="43"/>
        <v>5037</v>
      </c>
      <c r="C805" s="565">
        <v>31</v>
      </c>
      <c r="D805" s="565">
        <v>856</v>
      </c>
      <c r="E805" s="565">
        <v>1362</v>
      </c>
      <c r="F805" s="565">
        <v>1117</v>
      </c>
      <c r="G805" s="565">
        <v>827</v>
      </c>
      <c r="H805" s="565">
        <v>527</v>
      </c>
      <c r="I805" s="565">
        <v>179</v>
      </c>
      <c r="J805" s="565">
        <v>11</v>
      </c>
      <c r="K805" s="566">
        <v>4</v>
      </c>
      <c r="L805" s="565">
        <v>123</v>
      </c>
      <c r="N805" s="590"/>
      <c r="O805" s="590"/>
    </row>
    <row r="806" spans="1:15" s="585" customFormat="1" ht="9" customHeight="1" x14ac:dyDescent="0.25">
      <c r="A806" s="589" t="s">
        <v>37</v>
      </c>
      <c r="B806" s="576">
        <f t="shared" si="43"/>
        <v>493</v>
      </c>
      <c r="C806" s="568">
        <v>4</v>
      </c>
      <c r="D806" s="568">
        <v>89</v>
      </c>
      <c r="E806" s="568">
        <v>101</v>
      </c>
      <c r="F806" s="568">
        <v>115</v>
      </c>
      <c r="G806" s="568">
        <v>97</v>
      </c>
      <c r="H806" s="568">
        <v>56</v>
      </c>
      <c r="I806" s="568">
        <v>20</v>
      </c>
      <c r="J806" s="568">
        <v>1</v>
      </c>
      <c r="K806" s="569">
        <v>0</v>
      </c>
      <c r="L806" s="568">
        <v>10</v>
      </c>
      <c r="N806" s="590"/>
      <c r="O806" s="590"/>
    </row>
    <row r="807" spans="1:15" s="585" customFormat="1" ht="9" customHeight="1" x14ac:dyDescent="0.25">
      <c r="A807" s="588" t="s">
        <v>38</v>
      </c>
      <c r="B807" s="573">
        <f t="shared" si="43"/>
        <v>233</v>
      </c>
      <c r="C807" s="565">
        <v>2</v>
      </c>
      <c r="D807" s="570">
        <v>37</v>
      </c>
      <c r="E807" s="565">
        <v>63</v>
      </c>
      <c r="F807" s="565">
        <v>52</v>
      </c>
      <c r="G807" s="565">
        <v>42</v>
      </c>
      <c r="H807" s="565">
        <v>23</v>
      </c>
      <c r="I807" s="565">
        <v>8</v>
      </c>
      <c r="J807" s="565">
        <v>1</v>
      </c>
      <c r="K807" s="566">
        <v>0</v>
      </c>
      <c r="L807" s="565">
        <v>5</v>
      </c>
      <c r="N807" s="590"/>
      <c r="O807" s="590"/>
    </row>
    <row r="808" spans="1:15" s="585" customFormat="1" ht="9" customHeight="1" x14ac:dyDescent="0.25">
      <c r="A808" s="588" t="s">
        <v>39</v>
      </c>
      <c r="B808" s="573">
        <f t="shared" si="43"/>
        <v>92</v>
      </c>
      <c r="C808" s="565">
        <v>0</v>
      </c>
      <c r="D808" s="565">
        <v>22</v>
      </c>
      <c r="E808" s="565">
        <v>17</v>
      </c>
      <c r="F808" s="565">
        <v>16</v>
      </c>
      <c r="G808" s="565">
        <v>14</v>
      </c>
      <c r="H808" s="565">
        <v>15</v>
      </c>
      <c r="I808" s="565">
        <v>4</v>
      </c>
      <c r="J808" s="565">
        <v>0</v>
      </c>
      <c r="K808" s="566">
        <v>0</v>
      </c>
      <c r="L808" s="565">
        <v>4</v>
      </c>
      <c r="N808" s="590"/>
      <c r="O808" s="590"/>
    </row>
    <row r="809" spans="1:15" s="585" customFormat="1" ht="9" customHeight="1" x14ac:dyDescent="0.25">
      <c r="A809" s="588" t="s">
        <v>40</v>
      </c>
      <c r="B809" s="573">
        <f t="shared" si="43"/>
        <v>736</v>
      </c>
      <c r="C809" s="565">
        <v>4</v>
      </c>
      <c r="D809" s="565">
        <v>117</v>
      </c>
      <c r="E809" s="565">
        <v>184</v>
      </c>
      <c r="F809" s="565">
        <v>181</v>
      </c>
      <c r="G809" s="565">
        <v>119</v>
      </c>
      <c r="H809" s="565">
        <v>88</v>
      </c>
      <c r="I809" s="565">
        <v>22</v>
      </c>
      <c r="J809" s="565">
        <v>3</v>
      </c>
      <c r="K809" s="566">
        <v>0</v>
      </c>
      <c r="L809" s="565">
        <v>18</v>
      </c>
      <c r="N809" s="590"/>
      <c r="O809" s="590"/>
    </row>
    <row r="810" spans="1:15" s="585" customFormat="1" ht="9" customHeight="1" x14ac:dyDescent="0.25">
      <c r="A810" s="589" t="s">
        <v>41</v>
      </c>
      <c r="B810" s="576">
        <f t="shared" si="43"/>
        <v>527</v>
      </c>
      <c r="C810" s="568">
        <v>2</v>
      </c>
      <c r="D810" s="568">
        <v>74</v>
      </c>
      <c r="E810" s="568">
        <v>127</v>
      </c>
      <c r="F810" s="568">
        <v>114</v>
      </c>
      <c r="G810" s="568">
        <v>93</v>
      </c>
      <c r="H810" s="568">
        <v>55</v>
      </c>
      <c r="I810" s="568">
        <v>30</v>
      </c>
      <c r="J810" s="568">
        <v>1</v>
      </c>
      <c r="K810" s="569">
        <v>0</v>
      </c>
      <c r="L810" s="568">
        <v>31</v>
      </c>
      <c r="N810" s="590"/>
      <c r="O810" s="590"/>
    </row>
    <row r="811" spans="1:15" s="585" customFormat="1" ht="9" customHeight="1" x14ac:dyDescent="0.25">
      <c r="A811" s="588" t="s">
        <v>42</v>
      </c>
      <c r="B811" s="573">
        <f t="shared" si="43"/>
        <v>1429</v>
      </c>
      <c r="C811" s="565">
        <v>12</v>
      </c>
      <c r="D811" s="565">
        <v>239</v>
      </c>
      <c r="E811" s="565">
        <v>356</v>
      </c>
      <c r="F811" s="565">
        <v>304</v>
      </c>
      <c r="G811" s="565">
        <v>262</v>
      </c>
      <c r="H811" s="565">
        <v>152</v>
      </c>
      <c r="I811" s="565">
        <v>58</v>
      </c>
      <c r="J811" s="565">
        <v>4</v>
      </c>
      <c r="K811" s="566">
        <v>0</v>
      </c>
      <c r="L811" s="565">
        <v>42</v>
      </c>
      <c r="N811" s="590"/>
      <c r="O811" s="590"/>
    </row>
    <row r="812" spans="1:15" s="585" customFormat="1" ht="9" customHeight="1" x14ac:dyDescent="0.25">
      <c r="A812" s="588" t="s">
        <v>43</v>
      </c>
      <c r="B812" s="573">
        <f t="shared" si="43"/>
        <v>374</v>
      </c>
      <c r="C812" s="565">
        <v>2</v>
      </c>
      <c r="D812" s="565">
        <v>37</v>
      </c>
      <c r="E812" s="565">
        <v>100</v>
      </c>
      <c r="F812" s="565">
        <v>90</v>
      </c>
      <c r="G812" s="565">
        <v>74</v>
      </c>
      <c r="H812" s="565">
        <v>52</v>
      </c>
      <c r="I812" s="565">
        <v>13</v>
      </c>
      <c r="J812" s="565">
        <v>2</v>
      </c>
      <c r="K812" s="566">
        <v>1</v>
      </c>
      <c r="L812" s="565">
        <v>3</v>
      </c>
      <c r="N812" s="590"/>
      <c r="O812" s="590"/>
    </row>
    <row r="813" spans="1:15" s="585" customFormat="1" ht="9" customHeight="1" x14ac:dyDescent="0.25">
      <c r="A813" s="588" t="s">
        <v>44</v>
      </c>
      <c r="B813" s="573">
        <f t="shared" si="43"/>
        <v>232</v>
      </c>
      <c r="C813" s="565">
        <v>0</v>
      </c>
      <c r="D813" s="565">
        <v>42</v>
      </c>
      <c r="E813" s="565">
        <v>56</v>
      </c>
      <c r="F813" s="565">
        <v>46</v>
      </c>
      <c r="G813" s="565">
        <v>47</v>
      </c>
      <c r="H813" s="565">
        <v>19</v>
      </c>
      <c r="I813" s="565">
        <v>13</v>
      </c>
      <c r="J813" s="565">
        <v>0</v>
      </c>
      <c r="K813" s="566">
        <v>0</v>
      </c>
      <c r="L813" s="565">
        <v>9</v>
      </c>
      <c r="N813" s="590"/>
      <c r="O813" s="590"/>
    </row>
    <row r="814" spans="1:15" s="585" customFormat="1" ht="9" customHeight="1" x14ac:dyDescent="0.25">
      <c r="A814" s="589" t="s">
        <v>45</v>
      </c>
      <c r="B814" s="576">
        <f t="shared" si="43"/>
        <v>526</v>
      </c>
      <c r="C814" s="568">
        <v>3</v>
      </c>
      <c r="D814" s="568">
        <v>88</v>
      </c>
      <c r="E814" s="568">
        <v>136</v>
      </c>
      <c r="F814" s="568">
        <v>124</v>
      </c>
      <c r="G814" s="568">
        <v>79</v>
      </c>
      <c r="H814" s="568">
        <v>65</v>
      </c>
      <c r="I814" s="568">
        <v>18</v>
      </c>
      <c r="J814" s="568">
        <v>1</v>
      </c>
      <c r="K814" s="569">
        <v>0</v>
      </c>
      <c r="L814" s="568">
        <v>12</v>
      </c>
      <c r="N814" s="590"/>
      <c r="O814" s="590"/>
    </row>
    <row r="815" spans="1:15" s="585" customFormat="1" ht="9" customHeight="1" x14ac:dyDescent="0.25">
      <c r="A815" s="588" t="s">
        <v>46</v>
      </c>
      <c r="B815" s="573">
        <f t="shared" si="43"/>
        <v>354</v>
      </c>
      <c r="C815" s="565">
        <v>1</v>
      </c>
      <c r="D815" s="565">
        <v>57</v>
      </c>
      <c r="E815" s="565">
        <v>107</v>
      </c>
      <c r="F815" s="565">
        <v>82</v>
      </c>
      <c r="G815" s="565">
        <v>53</v>
      </c>
      <c r="H815" s="565">
        <v>37</v>
      </c>
      <c r="I815" s="565">
        <v>13</v>
      </c>
      <c r="J815" s="565">
        <v>0</v>
      </c>
      <c r="K815" s="566">
        <v>1</v>
      </c>
      <c r="L815" s="565">
        <v>3</v>
      </c>
      <c r="N815" s="590"/>
      <c r="O815" s="590"/>
    </row>
    <row r="816" spans="1:15" s="585" customFormat="1" ht="9" customHeight="1" x14ac:dyDescent="0.25">
      <c r="A816" s="588" t="s">
        <v>47</v>
      </c>
      <c r="B816" s="573">
        <f t="shared" si="43"/>
        <v>641</v>
      </c>
      <c r="C816" s="565">
        <v>6</v>
      </c>
      <c r="D816" s="565">
        <v>105</v>
      </c>
      <c r="E816" s="565">
        <v>173</v>
      </c>
      <c r="F816" s="565">
        <v>127</v>
      </c>
      <c r="G816" s="565">
        <v>112</v>
      </c>
      <c r="H816" s="565">
        <v>68</v>
      </c>
      <c r="I816" s="565">
        <v>20</v>
      </c>
      <c r="J816" s="565">
        <v>3</v>
      </c>
      <c r="K816" s="566">
        <v>0</v>
      </c>
      <c r="L816" s="565">
        <v>27</v>
      </c>
      <c r="N816" s="590"/>
      <c r="O816" s="590"/>
    </row>
    <row r="817" spans="1:15" s="585" customFormat="1" ht="9" customHeight="1" x14ac:dyDescent="0.25">
      <c r="A817" s="588" t="s">
        <v>48</v>
      </c>
      <c r="B817" s="573">
        <f t="shared" si="43"/>
        <v>312</v>
      </c>
      <c r="C817" s="565">
        <v>5</v>
      </c>
      <c r="D817" s="565">
        <v>44</v>
      </c>
      <c r="E817" s="565">
        <v>87</v>
      </c>
      <c r="F817" s="565">
        <v>79</v>
      </c>
      <c r="G817" s="565">
        <v>49</v>
      </c>
      <c r="H817" s="565">
        <v>28</v>
      </c>
      <c r="I817" s="565">
        <v>9</v>
      </c>
      <c r="J817" s="565">
        <v>0</v>
      </c>
      <c r="K817" s="566">
        <v>0</v>
      </c>
      <c r="L817" s="565">
        <v>11</v>
      </c>
      <c r="N817" s="590"/>
      <c r="O817" s="590"/>
    </row>
    <row r="818" spans="1:15" s="585" customFormat="1" ht="9" customHeight="1" x14ac:dyDescent="0.25">
      <c r="A818" s="589" t="s">
        <v>49</v>
      </c>
      <c r="B818" s="576">
        <f t="shared" si="43"/>
        <v>218</v>
      </c>
      <c r="C818" s="568">
        <v>1</v>
      </c>
      <c r="D818" s="568">
        <v>27</v>
      </c>
      <c r="E818" s="568">
        <v>54</v>
      </c>
      <c r="F818" s="568">
        <v>59</v>
      </c>
      <c r="G818" s="568">
        <v>46</v>
      </c>
      <c r="H818" s="568">
        <v>20</v>
      </c>
      <c r="I818" s="568">
        <v>7</v>
      </c>
      <c r="J818" s="568">
        <v>0</v>
      </c>
      <c r="K818" s="569">
        <v>0</v>
      </c>
      <c r="L818" s="568">
        <v>4</v>
      </c>
      <c r="N818" s="590"/>
      <c r="O818" s="590"/>
    </row>
    <row r="819" spans="1:15" s="585" customFormat="1" ht="9" customHeight="1" x14ac:dyDescent="0.25">
      <c r="A819" s="588" t="s">
        <v>50</v>
      </c>
      <c r="B819" s="573">
        <f t="shared" si="43"/>
        <v>236</v>
      </c>
      <c r="C819" s="565">
        <v>2</v>
      </c>
      <c r="D819" s="565">
        <v>47</v>
      </c>
      <c r="E819" s="565">
        <v>81</v>
      </c>
      <c r="F819" s="565">
        <v>44</v>
      </c>
      <c r="G819" s="565">
        <v>37</v>
      </c>
      <c r="H819" s="565">
        <v>17</v>
      </c>
      <c r="I819" s="565">
        <v>6</v>
      </c>
      <c r="J819" s="565">
        <v>0</v>
      </c>
      <c r="K819" s="566">
        <v>0</v>
      </c>
      <c r="L819" s="565">
        <v>2</v>
      </c>
      <c r="N819" s="590"/>
      <c r="O819" s="590"/>
    </row>
    <row r="820" spans="1:15" s="585" customFormat="1" ht="9" customHeight="1" x14ac:dyDescent="0.25">
      <c r="A820" s="588" t="s">
        <v>51</v>
      </c>
      <c r="B820" s="573">
        <f t="shared" si="43"/>
        <v>1085</v>
      </c>
      <c r="C820" s="565">
        <v>11</v>
      </c>
      <c r="D820" s="565">
        <v>186</v>
      </c>
      <c r="E820" s="565">
        <v>266</v>
      </c>
      <c r="F820" s="565">
        <v>211</v>
      </c>
      <c r="G820" s="565">
        <v>198</v>
      </c>
      <c r="H820" s="565">
        <v>119</v>
      </c>
      <c r="I820" s="565">
        <v>48</v>
      </c>
      <c r="J820" s="565">
        <v>3</v>
      </c>
      <c r="K820" s="566">
        <v>0</v>
      </c>
      <c r="L820" s="565">
        <v>43</v>
      </c>
      <c r="N820" s="590"/>
      <c r="O820" s="590"/>
    </row>
    <row r="821" spans="1:15" s="585" customFormat="1" ht="9" customHeight="1" x14ac:dyDescent="0.25">
      <c r="A821" s="588" t="s">
        <v>52</v>
      </c>
      <c r="B821" s="573">
        <f t="shared" si="43"/>
        <v>364</v>
      </c>
      <c r="C821" s="565">
        <v>4</v>
      </c>
      <c r="D821" s="565">
        <v>46</v>
      </c>
      <c r="E821" s="565">
        <v>92</v>
      </c>
      <c r="F821" s="565">
        <v>80</v>
      </c>
      <c r="G821" s="565">
        <v>74</v>
      </c>
      <c r="H821" s="565">
        <v>50</v>
      </c>
      <c r="I821" s="565">
        <v>10</v>
      </c>
      <c r="J821" s="565">
        <v>0</v>
      </c>
      <c r="K821" s="566">
        <v>0</v>
      </c>
      <c r="L821" s="565">
        <v>8</v>
      </c>
      <c r="N821" s="590"/>
      <c r="O821" s="590"/>
    </row>
    <row r="822" spans="1:15" s="585" customFormat="1" ht="9" customHeight="1" x14ac:dyDescent="0.25">
      <c r="A822" s="589" t="s">
        <v>53</v>
      </c>
      <c r="B822" s="576">
        <f t="shared" si="43"/>
        <v>297</v>
      </c>
      <c r="C822" s="568">
        <v>2</v>
      </c>
      <c r="D822" s="568">
        <v>53</v>
      </c>
      <c r="E822" s="568">
        <v>69</v>
      </c>
      <c r="F822" s="568">
        <v>74</v>
      </c>
      <c r="G822" s="568">
        <v>54</v>
      </c>
      <c r="H822" s="568">
        <v>33</v>
      </c>
      <c r="I822" s="568">
        <v>5</v>
      </c>
      <c r="J822" s="568">
        <v>2</v>
      </c>
      <c r="K822" s="569">
        <v>0</v>
      </c>
      <c r="L822" s="568">
        <v>5</v>
      </c>
      <c r="N822" s="590"/>
      <c r="O822" s="590"/>
    </row>
    <row r="823" spans="1:15" s="585" customFormat="1" ht="9" customHeight="1" x14ac:dyDescent="0.25">
      <c r="A823" s="588" t="s">
        <v>434</v>
      </c>
      <c r="B823" s="573">
        <f t="shared" si="43"/>
        <v>5</v>
      </c>
      <c r="C823" s="565">
        <v>0</v>
      </c>
      <c r="D823" s="565">
        <v>2</v>
      </c>
      <c r="E823" s="565">
        <v>1</v>
      </c>
      <c r="F823" s="565">
        <v>0</v>
      </c>
      <c r="G823" s="565">
        <v>1</v>
      </c>
      <c r="H823" s="565">
        <v>1</v>
      </c>
      <c r="I823" s="565">
        <v>0</v>
      </c>
      <c r="J823" s="565">
        <v>0</v>
      </c>
      <c r="K823" s="566">
        <v>0</v>
      </c>
      <c r="L823" s="565">
        <v>0</v>
      </c>
      <c r="N823" s="590"/>
      <c r="O823" s="590"/>
    </row>
    <row r="824" spans="1:15" s="585" customFormat="1" ht="9" customHeight="1" x14ac:dyDescent="0.25">
      <c r="A824" s="588" t="s">
        <v>54</v>
      </c>
      <c r="B824" s="573">
        <f t="shared" si="43"/>
        <v>72</v>
      </c>
      <c r="C824" s="565">
        <v>1</v>
      </c>
      <c r="D824" s="565">
        <v>3</v>
      </c>
      <c r="E824" s="565">
        <v>1</v>
      </c>
      <c r="F824" s="565">
        <v>2</v>
      </c>
      <c r="G824" s="565">
        <v>1</v>
      </c>
      <c r="H824" s="565">
        <v>0</v>
      </c>
      <c r="I824" s="565">
        <v>0</v>
      </c>
      <c r="J824" s="565">
        <v>0</v>
      </c>
      <c r="K824" s="566">
        <v>0</v>
      </c>
      <c r="L824" s="565">
        <v>64</v>
      </c>
      <c r="N824" s="590"/>
      <c r="O824" s="590"/>
    </row>
    <row r="825" spans="1:15" s="562" customFormat="1" ht="9" customHeight="1" x14ac:dyDescent="0.15">
      <c r="A825" s="564"/>
      <c r="B825" s="565"/>
      <c r="C825" s="580"/>
      <c r="D825" s="580"/>
      <c r="E825" s="580"/>
      <c r="F825" s="580"/>
      <c r="G825" s="580"/>
      <c r="H825" s="580"/>
      <c r="I825" s="580"/>
      <c r="J825" s="580"/>
      <c r="K825" s="580"/>
      <c r="L825" s="580"/>
    </row>
    <row r="826" spans="1:15" s="585" customFormat="1" ht="9" customHeight="1" x14ac:dyDescent="0.25">
      <c r="A826" s="587">
        <v>2017</v>
      </c>
      <c r="B826" s="582"/>
      <c r="C826" s="583"/>
      <c r="D826" s="583"/>
      <c r="E826" s="584"/>
      <c r="F826" s="584"/>
      <c r="G826" s="583"/>
      <c r="H826" s="583"/>
      <c r="I826" s="583"/>
      <c r="J826" s="583"/>
      <c r="K826" s="583"/>
      <c r="L826" s="583"/>
    </row>
    <row r="827" spans="1:15" s="585" customFormat="1" ht="9" customHeight="1" x14ac:dyDescent="0.25">
      <c r="A827" s="586" t="s">
        <v>13</v>
      </c>
      <c r="B827" s="572">
        <f>SUM(B829:B862)</f>
        <v>22336</v>
      </c>
      <c r="C827" s="572">
        <f t="shared" ref="C827:L827" si="44">SUM(C829:C862)</f>
        <v>147</v>
      </c>
      <c r="D827" s="572">
        <f t="shared" si="44"/>
        <v>3669</v>
      </c>
      <c r="E827" s="572">
        <f t="shared" si="44"/>
        <v>5429</v>
      </c>
      <c r="F827" s="572">
        <f t="shared" si="44"/>
        <v>5093</v>
      </c>
      <c r="G827" s="572">
        <f t="shared" si="44"/>
        <v>4014</v>
      </c>
      <c r="H827" s="572">
        <f t="shared" si="44"/>
        <v>2490</v>
      </c>
      <c r="I827" s="572">
        <f t="shared" si="44"/>
        <v>833</v>
      </c>
      <c r="J827" s="572">
        <f t="shared" si="44"/>
        <v>66</v>
      </c>
      <c r="K827" s="572">
        <f t="shared" si="44"/>
        <v>6</v>
      </c>
      <c r="L827" s="572">
        <f t="shared" si="44"/>
        <v>589</v>
      </c>
      <c r="N827" s="590"/>
      <c r="O827" s="590"/>
    </row>
    <row r="828" spans="1:15" s="585" customFormat="1" ht="3.95" customHeight="1" x14ac:dyDescent="0.25">
      <c r="A828" s="587"/>
      <c r="B828" s="572"/>
      <c r="C828" s="572"/>
      <c r="D828" s="572"/>
      <c r="E828" s="572"/>
      <c r="F828" s="572"/>
      <c r="G828" s="572"/>
      <c r="H828" s="572"/>
      <c r="I828" s="572"/>
      <c r="J828" s="572"/>
      <c r="K828" s="572"/>
      <c r="L828" s="572"/>
    </row>
    <row r="829" spans="1:15" s="585" customFormat="1" ht="9" customHeight="1" x14ac:dyDescent="0.25">
      <c r="A829" s="588" t="s">
        <v>23</v>
      </c>
      <c r="B829" s="573">
        <f t="shared" ref="B829:B862" si="45">SUM(C829:L829)</f>
        <v>149</v>
      </c>
      <c r="C829" s="565">
        <v>3</v>
      </c>
      <c r="D829" s="565">
        <v>21</v>
      </c>
      <c r="E829" s="565">
        <v>32</v>
      </c>
      <c r="F829" s="565">
        <v>29</v>
      </c>
      <c r="G829" s="565">
        <v>36</v>
      </c>
      <c r="H829" s="565">
        <v>17</v>
      </c>
      <c r="I829" s="565">
        <v>5</v>
      </c>
      <c r="J829" s="565">
        <v>1</v>
      </c>
      <c r="K829" s="566">
        <v>0</v>
      </c>
      <c r="L829" s="565">
        <v>5</v>
      </c>
      <c r="O829" s="590"/>
    </row>
    <row r="830" spans="1:15" s="585" customFormat="1" ht="9" customHeight="1" x14ac:dyDescent="0.25">
      <c r="A830" s="588" t="s">
        <v>24</v>
      </c>
      <c r="B830" s="573">
        <f t="shared" si="45"/>
        <v>738</v>
      </c>
      <c r="C830" s="565">
        <v>3</v>
      </c>
      <c r="D830" s="565">
        <v>117</v>
      </c>
      <c r="E830" s="565">
        <v>188</v>
      </c>
      <c r="F830" s="565">
        <v>172</v>
      </c>
      <c r="G830" s="565">
        <v>131</v>
      </c>
      <c r="H830" s="565">
        <v>65</v>
      </c>
      <c r="I830" s="565">
        <v>26</v>
      </c>
      <c r="J830" s="565">
        <v>1</v>
      </c>
      <c r="K830" s="566">
        <v>0</v>
      </c>
      <c r="L830" s="565">
        <v>35</v>
      </c>
      <c r="O830" s="590"/>
    </row>
    <row r="831" spans="1:15" s="585" customFormat="1" ht="9" customHeight="1" x14ac:dyDescent="0.25">
      <c r="A831" s="588" t="s">
        <v>25</v>
      </c>
      <c r="B831" s="573">
        <f t="shared" si="45"/>
        <v>131</v>
      </c>
      <c r="C831" s="565">
        <v>1</v>
      </c>
      <c r="D831" s="565">
        <v>17</v>
      </c>
      <c r="E831" s="565">
        <v>40</v>
      </c>
      <c r="F831" s="565">
        <v>28</v>
      </c>
      <c r="G831" s="565">
        <v>27</v>
      </c>
      <c r="H831" s="565">
        <v>12</v>
      </c>
      <c r="I831" s="565">
        <v>4</v>
      </c>
      <c r="J831" s="565">
        <v>0</v>
      </c>
      <c r="K831" s="566">
        <v>0</v>
      </c>
      <c r="L831" s="565">
        <v>2</v>
      </c>
      <c r="N831" s="590"/>
      <c r="O831" s="590"/>
    </row>
    <row r="832" spans="1:15" s="585" customFormat="1" ht="9" customHeight="1" x14ac:dyDescent="0.25">
      <c r="A832" s="589" t="s">
        <v>26</v>
      </c>
      <c r="B832" s="576">
        <f t="shared" si="45"/>
        <v>148</v>
      </c>
      <c r="C832" s="568">
        <v>1</v>
      </c>
      <c r="D832" s="568">
        <v>32</v>
      </c>
      <c r="E832" s="568">
        <v>35</v>
      </c>
      <c r="F832" s="568">
        <v>25</v>
      </c>
      <c r="G832" s="568">
        <v>25</v>
      </c>
      <c r="H832" s="568">
        <v>19</v>
      </c>
      <c r="I832" s="568">
        <v>3</v>
      </c>
      <c r="J832" s="568">
        <v>0</v>
      </c>
      <c r="K832" s="569">
        <v>0</v>
      </c>
      <c r="L832" s="568">
        <v>8</v>
      </c>
      <c r="N832" s="590"/>
      <c r="O832" s="590"/>
    </row>
    <row r="833" spans="1:15" s="585" customFormat="1" ht="9" customHeight="1" x14ac:dyDescent="0.25">
      <c r="A833" s="588" t="s">
        <v>27</v>
      </c>
      <c r="B833" s="573">
        <f t="shared" si="45"/>
        <v>166</v>
      </c>
      <c r="C833" s="565">
        <v>0</v>
      </c>
      <c r="D833" s="565">
        <v>34</v>
      </c>
      <c r="E833" s="570">
        <v>38</v>
      </c>
      <c r="F833" s="565">
        <v>37</v>
      </c>
      <c r="G833" s="565">
        <v>27</v>
      </c>
      <c r="H833" s="565">
        <v>18</v>
      </c>
      <c r="I833" s="565">
        <v>2</v>
      </c>
      <c r="J833" s="565">
        <v>0</v>
      </c>
      <c r="K833" s="566">
        <v>0</v>
      </c>
      <c r="L833" s="565">
        <v>10</v>
      </c>
      <c r="N833" s="590"/>
      <c r="O833" s="590"/>
    </row>
    <row r="834" spans="1:15" s="585" customFormat="1" ht="9" customHeight="1" x14ac:dyDescent="0.25">
      <c r="A834" s="588" t="s">
        <v>28</v>
      </c>
      <c r="B834" s="573">
        <f t="shared" si="45"/>
        <v>116</v>
      </c>
      <c r="C834" s="565">
        <v>0</v>
      </c>
      <c r="D834" s="565">
        <v>21</v>
      </c>
      <c r="E834" s="565">
        <v>28</v>
      </c>
      <c r="F834" s="565">
        <v>29</v>
      </c>
      <c r="G834" s="565">
        <v>16</v>
      </c>
      <c r="H834" s="565">
        <v>17</v>
      </c>
      <c r="I834" s="565">
        <v>4</v>
      </c>
      <c r="J834" s="565">
        <v>1</v>
      </c>
      <c r="K834" s="566">
        <v>0</v>
      </c>
      <c r="L834" s="565">
        <v>0</v>
      </c>
      <c r="N834" s="590"/>
      <c r="O834" s="590"/>
    </row>
    <row r="835" spans="1:15" s="585" customFormat="1" ht="9" customHeight="1" x14ac:dyDescent="0.25">
      <c r="A835" s="588" t="s">
        <v>29</v>
      </c>
      <c r="B835" s="573">
        <f t="shared" si="45"/>
        <v>732</v>
      </c>
      <c r="C835" s="565">
        <v>6</v>
      </c>
      <c r="D835" s="565">
        <v>103</v>
      </c>
      <c r="E835" s="565">
        <v>179</v>
      </c>
      <c r="F835" s="565">
        <v>164</v>
      </c>
      <c r="G835" s="565">
        <v>130</v>
      </c>
      <c r="H835" s="565">
        <v>91</v>
      </c>
      <c r="I835" s="565">
        <v>39</v>
      </c>
      <c r="J835" s="565">
        <v>3</v>
      </c>
      <c r="K835" s="566">
        <v>0</v>
      </c>
      <c r="L835" s="565">
        <v>17</v>
      </c>
      <c r="N835" s="590"/>
      <c r="O835" s="590"/>
    </row>
    <row r="836" spans="1:15" s="585" customFormat="1" ht="9" customHeight="1" x14ac:dyDescent="0.25">
      <c r="A836" s="589" t="s">
        <v>30</v>
      </c>
      <c r="B836" s="576">
        <f t="shared" si="45"/>
        <v>625</v>
      </c>
      <c r="C836" s="568">
        <v>7</v>
      </c>
      <c r="D836" s="568">
        <v>91</v>
      </c>
      <c r="E836" s="568">
        <v>167</v>
      </c>
      <c r="F836" s="568">
        <v>148</v>
      </c>
      <c r="G836" s="568">
        <v>102</v>
      </c>
      <c r="H836" s="568">
        <v>58</v>
      </c>
      <c r="I836" s="568">
        <v>18</v>
      </c>
      <c r="J836" s="568">
        <v>3</v>
      </c>
      <c r="K836" s="569">
        <v>0</v>
      </c>
      <c r="L836" s="568">
        <v>31</v>
      </c>
      <c r="N836" s="590"/>
      <c r="O836" s="590"/>
    </row>
    <row r="837" spans="1:15" s="585" customFormat="1" ht="9" customHeight="1" x14ac:dyDescent="0.25">
      <c r="A837" s="550" t="s">
        <v>63</v>
      </c>
      <c r="B837" s="573">
        <f t="shared" si="45"/>
        <v>1959</v>
      </c>
      <c r="C837" s="565">
        <v>10</v>
      </c>
      <c r="D837" s="565">
        <v>276</v>
      </c>
      <c r="E837" s="565">
        <v>414</v>
      </c>
      <c r="F837" s="565">
        <v>464</v>
      </c>
      <c r="G837" s="565">
        <v>368</v>
      </c>
      <c r="H837" s="565">
        <v>274</v>
      </c>
      <c r="I837" s="565">
        <v>119</v>
      </c>
      <c r="J837" s="565">
        <v>4</v>
      </c>
      <c r="K837" s="566">
        <v>2</v>
      </c>
      <c r="L837" s="565">
        <v>28</v>
      </c>
      <c r="N837" s="590"/>
      <c r="O837" s="590"/>
    </row>
    <row r="838" spans="1:15" s="585" customFormat="1" ht="9" customHeight="1" x14ac:dyDescent="0.25">
      <c r="A838" s="588" t="s">
        <v>31</v>
      </c>
      <c r="B838" s="573">
        <f t="shared" si="45"/>
        <v>370</v>
      </c>
      <c r="C838" s="565">
        <v>5</v>
      </c>
      <c r="D838" s="565">
        <v>79</v>
      </c>
      <c r="E838" s="565">
        <v>97</v>
      </c>
      <c r="F838" s="565">
        <v>73</v>
      </c>
      <c r="G838" s="565">
        <v>62</v>
      </c>
      <c r="H838" s="565">
        <v>27</v>
      </c>
      <c r="I838" s="565">
        <v>15</v>
      </c>
      <c r="J838" s="565">
        <v>2</v>
      </c>
      <c r="K838" s="566">
        <v>0</v>
      </c>
      <c r="L838" s="565">
        <v>10</v>
      </c>
      <c r="N838" s="590"/>
      <c r="O838" s="590"/>
    </row>
    <row r="839" spans="1:15" s="585" customFormat="1" ht="9" customHeight="1" x14ac:dyDescent="0.25">
      <c r="A839" s="588" t="s">
        <v>32</v>
      </c>
      <c r="B839" s="573">
        <f t="shared" si="45"/>
        <v>1642</v>
      </c>
      <c r="C839" s="565">
        <v>6</v>
      </c>
      <c r="D839" s="565">
        <v>275</v>
      </c>
      <c r="E839" s="565">
        <v>400</v>
      </c>
      <c r="F839" s="565">
        <v>391</v>
      </c>
      <c r="G839" s="565">
        <v>296</v>
      </c>
      <c r="H839" s="565">
        <v>182</v>
      </c>
      <c r="I839" s="565">
        <v>65</v>
      </c>
      <c r="J839" s="565">
        <v>10</v>
      </c>
      <c r="K839" s="566">
        <v>0</v>
      </c>
      <c r="L839" s="565">
        <v>17</v>
      </c>
      <c r="N839" s="590"/>
      <c r="O839" s="590"/>
    </row>
    <row r="840" spans="1:15" s="585" customFormat="1" ht="9" customHeight="1" x14ac:dyDescent="0.25">
      <c r="A840" s="589" t="s">
        <v>33</v>
      </c>
      <c r="B840" s="576">
        <f t="shared" si="45"/>
        <v>112</v>
      </c>
      <c r="C840" s="568">
        <v>1</v>
      </c>
      <c r="D840" s="568">
        <v>12</v>
      </c>
      <c r="E840" s="571">
        <v>23</v>
      </c>
      <c r="F840" s="568">
        <v>26</v>
      </c>
      <c r="G840" s="568">
        <v>35</v>
      </c>
      <c r="H840" s="568">
        <v>9</v>
      </c>
      <c r="I840" s="568">
        <v>2</v>
      </c>
      <c r="J840" s="568">
        <v>0</v>
      </c>
      <c r="K840" s="569">
        <v>1</v>
      </c>
      <c r="L840" s="568">
        <v>3</v>
      </c>
      <c r="N840" s="590"/>
      <c r="O840" s="590"/>
    </row>
    <row r="841" spans="1:15" s="585" customFormat="1" ht="9" customHeight="1" x14ac:dyDescent="0.25">
      <c r="A841" s="588" t="s">
        <v>34</v>
      </c>
      <c r="B841" s="573">
        <f t="shared" si="45"/>
        <v>453</v>
      </c>
      <c r="C841" s="565">
        <v>2</v>
      </c>
      <c r="D841" s="565">
        <v>89</v>
      </c>
      <c r="E841" s="565">
        <v>126</v>
      </c>
      <c r="F841" s="565">
        <v>94</v>
      </c>
      <c r="G841" s="565">
        <v>65</v>
      </c>
      <c r="H841" s="565">
        <v>51</v>
      </c>
      <c r="I841" s="565">
        <v>15</v>
      </c>
      <c r="J841" s="565">
        <v>2</v>
      </c>
      <c r="K841" s="566">
        <v>0</v>
      </c>
      <c r="L841" s="565">
        <v>9</v>
      </c>
      <c r="N841" s="590"/>
      <c r="O841" s="590"/>
    </row>
    <row r="842" spans="1:15" s="585" customFormat="1" ht="9" customHeight="1" x14ac:dyDescent="0.25">
      <c r="A842" s="588" t="s">
        <v>35</v>
      </c>
      <c r="B842" s="573">
        <f t="shared" si="45"/>
        <v>1420</v>
      </c>
      <c r="C842" s="565">
        <v>10</v>
      </c>
      <c r="D842" s="565">
        <v>250</v>
      </c>
      <c r="E842" s="565">
        <v>327</v>
      </c>
      <c r="F842" s="565">
        <v>321</v>
      </c>
      <c r="G842" s="565">
        <v>253</v>
      </c>
      <c r="H842" s="565">
        <v>164</v>
      </c>
      <c r="I842" s="565">
        <v>61</v>
      </c>
      <c r="J842" s="565">
        <v>3</v>
      </c>
      <c r="K842" s="566">
        <v>1</v>
      </c>
      <c r="L842" s="565">
        <v>30</v>
      </c>
      <c r="N842" s="590"/>
      <c r="O842" s="590"/>
    </row>
    <row r="843" spans="1:15" s="585" customFormat="1" ht="9" customHeight="1" x14ac:dyDescent="0.25">
      <c r="A843" s="588" t="s">
        <v>36</v>
      </c>
      <c r="B843" s="573">
        <f t="shared" si="45"/>
        <v>5131</v>
      </c>
      <c r="C843" s="565">
        <v>34</v>
      </c>
      <c r="D843" s="565">
        <v>869</v>
      </c>
      <c r="E843" s="565">
        <v>1317</v>
      </c>
      <c r="F843" s="565">
        <v>1211</v>
      </c>
      <c r="G843" s="565">
        <v>889</v>
      </c>
      <c r="H843" s="565">
        <v>543</v>
      </c>
      <c r="I843" s="565">
        <v>164</v>
      </c>
      <c r="J843" s="565">
        <v>12</v>
      </c>
      <c r="K843" s="566">
        <v>1</v>
      </c>
      <c r="L843" s="565">
        <v>91</v>
      </c>
      <c r="N843" s="590"/>
      <c r="O843" s="590"/>
    </row>
    <row r="844" spans="1:15" s="585" customFormat="1" ht="9" customHeight="1" x14ac:dyDescent="0.25">
      <c r="A844" s="589" t="s">
        <v>37</v>
      </c>
      <c r="B844" s="576">
        <f t="shared" si="45"/>
        <v>513</v>
      </c>
      <c r="C844" s="568">
        <v>2</v>
      </c>
      <c r="D844" s="568">
        <v>75</v>
      </c>
      <c r="E844" s="568">
        <v>133</v>
      </c>
      <c r="F844" s="568">
        <v>123</v>
      </c>
      <c r="G844" s="568">
        <v>101</v>
      </c>
      <c r="H844" s="568">
        <v>51</v>
      </c>
      <c r="I844" s="568">
        <v>17</v>
      </c>
      <c r="J844" s="568">
        <v>4</v>
      </c>
      <c r="K844" s="569">
        <v>0</v>
      </c>
      <c r="L844" s="568">
        <v>7</v>
      </c>
      <c r="N844" s="590"/>
      <c r="O844" s="590"/>
    </row>
    <row r="845" spans="1:15" s="585" customFormat="1" ht="9" customHeight="1" x14ac:dyDescent="0.25">
      <c r="A845" s="588" t="s">
        <v>38</v>
      </c>
      <c r="B845" s="573">
        <f t="shared" si="45"/>
        <v>296</v>
      </c>
      <c r="C845" s="565">
        <v>2</v>
      </c>
      <c r="D845" s="570">
        <v>50</v>
      </c>
      <c r="E845" s="565">
        <v>83</v>
      </c>
      <c r="F845" s="565">
        <v>66</v>
      </c>
      <c r="G845" s="565">
        <v>49</v>
      </c>
      <c r="H845" s="565">
        <v>26</v>
      </c>
      <c r="I845" s="565">
        <v>14</v>
      </c>
      <c r="J845" s="565">
        <v>0</v>
      </c>
      <c r="K845" s="566">
        <v>0</v>
      </c>
      <c r="L845" s="565">
        <v>6</v>
      </c>
      <c r="N845" s="590"/>
      <c r="O845" s="590"/>
    </row>
    <row r="846" spans="1:15" s="585" customFormat="1" ht="9" customHeight="1" x14ac:dyDescent="0.25">
      <c r="A846" s="588" t="s">
        <v>39</v>
      </c>
      <c r="B846" s="573">
        <f t="shared" si="45"/>
        <v>82</v>
      </c>
      <c r="C846" s="565">
        <v>0</v>
      </c>
      <c r="D846" s="565">
        <v>11</v>
      </c>
      <c r="E846" s="565">
        <v>17</v>
      </c>
      <c r="F846" s="565">
        <v>22</v>
      </c>
      <c r="G846" s="565">
        <v>15</v>
      </c>
      <c r="H846" s="565">
        <v>14</v>
      </c>
      <c r="I846" s="565">
        <v>3</v>
      </c>
      <c r="J846" s="565">
        <v>0</v>
      </c>
      <c r="K846" s="566">
        <v>0</v>
      </c>
      <c r="L846" s="565">
        <v>0</v>
      </c>
      <c r="N846" s="590"/>
      <c r="O846" s="590"/>
    </row>
    <row r="847" spans="1:15" s="585" customFormat="1" ht="9" customHeight="1" x14ac:dyDescent="0.25">
      <c r="A847" s="588" t="s">
        <v>40</v>
      </c>
      <c r="B847" s="573">
        <f t="shared" si="45"/>
        <v>785</v>
      </c>
      <c r="C847" s="565">
        <v>3</v>
      </c>
      <c r="D847" s="565">
        <v>133</v>
      </c>
      <c r="E847" s="565">
        <v>202</v>
      </c>
      <c r="F847" s="565">
        <v>175</v>
      </c>
      <c r="G847" s="565">
        <v>146</v>
      </c>
      <c r="H847" s="565">
        <v>76</v>
      </c>
      <c r="I847" s="565">
        <v>22</v>
      </c>
      <c r="J847" s="565">
        <v>4</v>
      </c>
      <c r="K847" s="566">
        <v>0</v>
      </c>
      <c r="L847" s="565">
        <v>24</v>
      </c>
      <c r="N847" s="590"/>
      <c r="O847" s="590"/>
    </row>
    <row r="848" spans="1:15" s="585" customFormat="1" ht="9" customHeight="1" x14ac:dyDescent="0.25">
      <c r="A848" s="589" t="s">
        <v>41</v>
      </c>
      <c r="B848" s="576">
        <f t="shared" si="45"/>
        <v>499</v>
      </c>
      <c r="C848" s="568">
        <v>1</v>
      </c>
      <c r="D848" s="568">
        <v>71</v>
      </c>
      <c r="E848" s="568">
        <v>121</v>
      </c>
      <c r="F848" s="568">
        <v>117</v>
      </c>
      <c r="G848" s="568">
        <v>86</v>
      </c>
      <c r="H848" s="568">
        <v>72</v>
      </c>
      <c r="I848" s="568">
        <v>19</v>
      </c>
      <c r="J848" s="568">
        <v>2</v>
      </c>
      <c r="K848" s="569">
        <v>0</v>
      </c>
      <c r="L848" s="568">
        <v>10</v>
      </c>
      <c r="N848" s="590"/>
      <c r="O848" s="590"/>
    </row>
    <row r="849" spans="1:15" s="585" customFormat="1" ht="9" customHeight="1" x14ac:dyDescent="0.25">
      <c r="A849" s="588" t="s">
        <v>42</v>
      </c>
      <c r="B849" s="573">
        <f t="shared" si="45"/>
        <v>1447</v>
      </c>
      <c r="C849" s="565">
        <v>10</v>
      </c>
      <c r="D849" s="565">
        <v>243</v>
      </c>
      <c r="E849" s="565">
        <v>361</v>
      </c>
      <c r="F849" s="565">
        <v>336</v>
      </c>
      <c r="G849" s="565">
        <v>267</v>
      </c>
      <c r="H849" s="565">
        <v>152</v>
      </c>
      <c r="I849" s="565">
        <v>54</v>
      </c>
      <c r="J849" s="565">
        <v>6</v>
      </c>
      <c r="K849" s="566">
        <v>0</v>
      </c>
      <c r="L849" s="565">
        <v>18</v>
      </c>
      <c r="N849" s="590"/>
      <c r="O849" s="590"/>
    </row>
    <row r="850" spans="1:15" s="585" customFormat="1" ht="9" customHeight="1" x14ac:dyDescent="0.25">
      <c r="A850" s="588" t="s">
        <v>43</v>
      </c>
      <c r="B850" s="573">
        <f t="shared" si="45"/>
        <v>396</v>
      </c>
      <c r="C850" s="565">
        <v>4</v>
      </c>
      <c r="D850" s="565">
        <v>66</v>
      </c>
      <c r="E850" s="565">
        <v>101</v>
      </c>
      <c r="F850" s="565">
        <v>84</v>
      </c>
      <c r="G850" s="565">
        <v>72</v>
      </c>
      <c r="H850" s="565">
        <v>49</v>
      </c>
      <c r="I850" s="565">
        <v>17</v>
      </c>
      <c r="J850" s="565">
        <v>0</v>
      </c>
      <c r="K850" s="566">
        <v>0</v>
      </c>
      <c r="L850" s="565">
        <v>3</v>
      </c>
      <c r="N850" s="590"/>
      <c r="O850" s="590"/>
    </row>
    <row r="851" spans="1:15" s="585" customFormat="1" ht="9" customHeight="1" x14ac:dyDescent="0.25">
      <c r="A851" s="588" t="s">
        <v>44</v>
      </c>
      <c r="B851" s="573">
        <f t="shared" si="45"/>
        <v>213</v>
      </c>
      <c r="C851" s="565">
        <v>1</v>
      </c>
      <c r="D851" s="565">
        <v>32</v>
      </c>
      <c r="E851" s="565">
        <v>58</v>
      </c>
      <c r="F851" s="565">
        <v>53</v>
      </c>
      <c r="G851" s="565">
        <v>37</v>
      </c>
      <c r="H851" s="565">
        <v>20</v>
      </c>
      <c r="I851" s="565">
        <v>3</v>
      </c>
      <c r="J851" s="565">
        <v>0</v>
      </c>
      <c r="K851" s="566">
        <v>0</v>
      </c>
      <c r="L851" s="565">
        <v>9</v>
      </c>
      <c r="N851" s="590"/>
      <c r="O851" s="590"/>
    </row>
    <row r="852" spans="1:15" s="585" customFormat="1" ht="9" customHeight="1" x14ac:dyDescent="0.25">
      <c r="A852" s="589" t="s">
        <v>45</v>
      </c>
      <c r="B852" s="576">
        <f t="shared" si="45"/>
        <v>544</v>
      </c>
      <c r="C852" s="568">
        <v>3</v>
      </c>
      <c r="D852" s="568">
        <v>107</v>
      </c>
      <c r="E852" s="568">
        <v>132</v>
      </c>
      <c r="F852" s="568">
        <v>119</v>
      </c>
      <c r="G852" s="568">
        <v>83</v>
      </c>
      <c r="H852" s="568">
        <v>59</v>
      </c>
      <c r="I852" s="568">
        <v>22</v>
      </c>
      <c r="J852" s="568">
        <v>0</v>
      </c>
      <c r="K852" s="569">
        <v>0</v>
      </c>
      <c r="L852" s="568">
        <v>19</v>
      </c>
      <c r="N852" s="590"/>
      <c r="O852" s="590"/>
    </row>
    <row r="853" spans="1:15" s="585" customFormat="1" ht="9" customHeight="1" x14ac:dyDescent="0.25">
      <c r="A853" s="588" t="s">
        <v>46</v>
      </c>
      <c r="B853" s="573">
        <f t="shared" si="45"/>
        <v>407</v>
      </c>
      <c r="C853" s="565">
        <v>7</v>
      </c>
      <c r="D853" s="565">
        <v>68</v>
      </c>
      <c r="E853" s="565">
        <v>103</v>
      </c>
      <c r="F853" s="565">
        <v>92</v>
      </c>
      <c r="G853" s="565">
        <v>81</v>
      </c>
      <c r="H853" s="565">
        <v>44</v>
      </c>
      <c r="I853" s="565">
        <v>10</v>
      </c>
      <c r="J853" s="565">
        <v>0</v>
      </c>
      <c r="K853" s="566">
        <v>0</v>
      </c>
      <c r="L853" s="565">
        <v>2</v>
      </c>
      <c r="N853" s="590"/>
      <c r="O853" s="590"/>
    </row>
    <row r="854" spans="1:15" s="585" customFormat="1" ht="9" customHeight="1" x14ac:dyDescent="0.25">
      <c r="A854" s="588" t="s">
        <v>47</v>
      </c>
      <c r="B854" s="573">
        <f t="shared" si="45"/>
        <v>607</v>
      </c>
      <c r="C854" s="565">
        <v>4</v>
      </c>
      <c r="D854" s="565">
        <v>108</v>
      </c>
      <c r="E854" s="565">
        <v>145</v>
      </c>
      <c r="F854" s="565">
        <v>136</v>
      </c>
      <c r="G854" s="565">
        <v>108</v>
      </c>
      <c r="H854" s="565">
        <v>71</v>
      </c>
      <c r="I854" s="565">
        <v>18</v>
      </c>
      <c r="J854" s="565">
        <v>2</v>
      </c>
      <c r="K854" s="566">
        <v>0</v>
      </c>
      <c r="L854" s="565">
        <v>15</v>
      </c>
      <c r="N854" s="590"/>
      <c r="O854" s="590"/>
    </row>
    <row r="855" spans="1:15" s="585" customFormat="1" ht="9" customHeight="1" x14ac:dyDescent="0.25">
      <c r="A855" s="588" t="s">
        <v>48</v>
      </c>
      <c r="B855" s="573">
        <f t="shared" si="45"/>
        <v>264</v>
      </c>
      <c r="C855" s="565">
        <v>1</v>
      </c>
      <c r="D855" s="565">
        <v>32</v>
      </c>
      <c r="E855" s="565">
        <v>56</v>
      </c>
      <c r="F855" s="565">
        <v>62</v>
      </c>
      <c r="G855" s="565">
        <v>54</v>
      </c>
      <c r="H855" s="565">
        <v>38</v>
      </c>
      <c r="I855" s="565">
        <v>13</v>
      </c>
      <c r="J855" s="565">
        <v>1</v>
      </c>
      <c r="K855" s="566">
        <v>0</v>
      </c>
      <c r="L855" s="565">
        <v>7</v>
      </c>
      <c r="N855" s="590"/>
      <c r="O855" s="590"/>
    </row>
    <row r="856" spans="1:15" s="585" customFormat="1" ht="9" customHeight="1" x14ac:dyDescent="0.25">
      <c r="A856" s="589" t="s">
        <v>49</v>
      </c>
      <c r="B856" s="576">
        <f t="shared" si="45"/>
        <v>222</v>
      </c>
      <c r="C856" s="568">
        <v>1</v>
      </c>
      <c r="D856" s="568">
        <v>35</v>
      </c>
      <c r="E856" s="568">
        <v>45</v>
      </c>
      <c r="F856" s="568">
        <v>57</v>
      </c>
      <c r="G856" s="568">
        <v>47</v>
      </c>
      <c r="H856" s="568">
        <v>29</v>
      </c>
      <c r="I856" s="568">
        <v>3</v>
      </c>
      <c r="J856" s="568">
        <v>0</v>
      </c>
      <c r="K856" s="569">
        <v>0</v>
      </c>
      <c r="L856" s="568">
        <v>5</v>
      </c>
      <c r="N856" s="590"/>
      <c r="O856" s="590"/>
    </row>
    <row r="857" spans="1:15" s="585" customFormat="1" ht="9" customHeight="1" x14ac:dyDescent="0.25">
      <c r="A857" s="588" t="s">
        <v>50</v>
      </c>
      <c r="B857" s="573">
        <f t="shared" si="45"/>
        <v>256</v>
      </c>
      <c r="C857" s="565">
        <v>1</v>
      </c>
      <c r="D857" s="565">
        <v>32</v>
      </c>
      <c r="E857" s="565">
        <v>62</v>
      </c>
      <c r="F857" s="565">
        <v>57</v>
      </c>
      <c r="G857" s="565">
        <v>45</v>
      </c>
      <c r="H857" s="565">
        <v>37</v>
      </c>
      <c r="I857" s="565">
        <v>15</v>
      </c>
      <c r="J857" s="565">
        <v>1</v>
      </c>
      <c r="K857" s="566">
        <v>1</v>
      </c>
      <c r="L857" s="565">
        <v>5</v>
      </c>
      <c r="N857" s="590"/>
      <c r="O857" s="590"/>
    </row>
    <row r="858" spans="1:15" s="585" customFormat="1" ht="9" customHeight="1" x14ac:dyDescent="0.25">
      <c r="A858" s="588" t="s">
        <v>51</v>
      </c>
      <c r="B858" s="573">
        <f t="shared" si="45"/>
        <v>1015</v>
      </c>
      <c r="C858" s="565">
        <v>11</v>
      </c>
      <c r="D858" s="565">
        <v>174</v>
      </c>
      <c r="E858" s="565">
        <v>233</v>
      </c>
      <c r="F858" s="565">
        <v>214</v>
      </c>
      <c r="G858" s="565">
        <v>192</v>
      </c>
      <c r="H858" s="565">
        <v>117</v>
      </c>
      <c r="I858" s="565">
        <v>43</v>
      </c>
      <c r="J858" s="565">
        <v>4</v>
      </c>
      <c r="K858" s="566">
        <v>0</v>
      </c>
      <c r="L858" s="565">
        <v>27</v>
      </c>
      <c r="N858" s="590"/>
      <c r="O858" s="590"/>
    </row>
    <row r="859" spans="1:15" s="585" customFormat="1" ht="9" customHeight="1" x14ac:dyDescent="0.25">
      <c r="A859" s="588" t="s">
        <v>52</v>
      </c>
      <c r="B859" s="573">
        <f t="shared" si="45"/>
        <v>434</v>
      </c>
      <c r="C859" s="565">
        <v>5</v>
      </c>
      <c r="D859" s="565">
        <v>67</v>
      </c>
      <c r="E859" s="565">
        <v>97</v>
      </c>
      <c r="F859" s="565">
        <v>94</v>
      </c>
      <c r="G859" s="565">
        <v>107</v>
      </c>
      <c r="H859" s="565">
        <v>42</v>
      </c>
      <c r="I859" s="565">
        <v>10</v>
      </c>
      <c r="J859" s="565">
        <v>0</v>
      </c>
      <c r="K859" s="566">
        <v>0</v>
      </c>
      <c r="L859" s="565">
        <v>12</v>
      </c>
      <c r="N859" s="590"/>
      <c r="O859" s="590"/>
    </row>
    <row r="860" spans="1:15" s="585" customFormat="1" ht="9" customHeight="1" x14ac:dyDescent="0.25">
      <c r="A860" s="589" t="s">
        <v>53</v>
      </c>
      <c r="B860" s="576">
        <f t="shared" si="45"/>
        <v>263</v>
      </c>
      <c r="C860" s="568">
        <v>1</v>
      </c>
      <c r="D860" s="568">
        <v>56</v>
      </c>
      <c r="E860" s="568">
        <v>50</v>
      </c>
      <c r="F860" s="568">
        <v>58</v>
      </c>
      <c r="G860" s="568">
        <v>52</v>
      </c>
      <c r="H860" s="568">
        <v>34</v>
      </c>
      <c r="I860" s="568">
        <v>7</v>
      </c>
      <c r="J860" s="568">
        <v>0</v>
      </c>
      <c r="K860" s="569">
        <v>0</v>
      </c>
      <c r="L860" s="568">
        <v>5</v>
      </c>
      <c r="N860" s="590"/>
      <c r="O860" s="590"/>
    </row>
    <row r="861" spans="1:15" s="585" customFormat="1" ht="9" customHeight="1" x14ac:dyDescent="0.25">
      <c r="A861" s="588" t="s">
        <v>434</v>
      </c>
      <c r="B861" s="573">
        <f t="shared" si="45"/>
        <v>19</v>
      </c>
      <c r="C861" s="565">
        <v>0</v>
      </c>
      <c r="D861" s="565">
        <v>3</v>
      </c>
      <c r="E861" s="565">
        <v>2</v>
      </c>
      <c r="F861" s="565">
        <v>3</v>
      </c>
      <c r="G861" s="565">
        <v>4</v>
      </c>
      <c r="H861" s="565">
        <v>4</v>
      </c>
      <c r="I861" s="565">
        <v>1</v>
      </c>
      <c r="J861" s="565">
        <v>0</v>
      </c>
      <c r="K861" s="566">
        <v>0</v>
      </c>
      <c r="L861" s="565">
        <v>2</v>
      </c>
      <c r="N861" s="590"/>
      <c r="O861" s="590"/>
    </row>
    <row r="862" spans="1:15" s="585" customFormat="1" ht="9" customHeight="1" x14ac:dyDescent="0.25">
      <c r="A862" s="588" t="s">
        <v>54</v>
      </c>
      <c r="B862" s="573">
        <f t="shared" si="45"/>
        <v>182</v>
      </c>
      <c r="C862" s="565">
        <v>1</v>
      </c>
      <c r="D862" s="565">
        <v>20</v>
      </c>
      <c r="E862" s="565">
        <v>17</v>
      </c>
      <c r="F862" s="565">
        <v>13</v>
      </c>
      <c r="G862" s="565">
        <v>6</v>
      </c>
      <c r="H862" s="565">
        <v>8</v>
      </c>
      <c r="I862" s="565">
        <v>0</v>
      </c>
      <c r="J862" s="565">
        <v>0</v>
      </c>
      <c r="K862" s="566">
        <v>0</v>
      </c>
      <c r="L862" s="565">
        <v>117</v>
      </c>
      <c r="N862" s="590"/>
      <c r="O862" s="590"/>
    </row>
    <row r="863" spans="1:15" s="562" customFormat="1" ht="9" customHeight="1" x14ac:dyDescent="0.15">
      <c r="A863" s="564"/>
      <c r="B863" s="565"/>
      <c r="C863" s="580"/>
      <c r="D863" s="580"/>
      <c r="E863" s="580"/>
      <c r="F863" s="580"/>
      <c r="G863" s="580"/>
      <c r="H863" s="580"/>
      <c r="I863" s="580"/>
      <c r="J863" s="580"/>
      <c r="K863" s="580"/>
      <c r="L863" s="580"/>
    </row>
    <row r="864" spans="1:15" s="585" customFormat="1" ht="9" customHeight="1" x14ac:dyDescent="0.25">
      <c r="A864" s="587" t="s">
        <v>62</v>
      </c>
      <c r="B864" s="582"/>
      <c r="C864" s="583"/>
      <c r="D864" s="583"/>
      <c r="E864" s="584"/>
      <c r="F864" s="584"/>
      <c r="G864" s="583"/>
      <c r="H864" s="583"/>
      <c r="I864" s="583"/>
      <c r="J864" s="583"/>
      <c r="K864" s="583"/>
      <c r="L864" s="583"/>
    </row>
    <row r="865" spans="1:15" s="585" customFormat="1" ht="9" customHeight="1" x14ac:dyDescent="0.25">
      <c r="A865" s="586" t="s">
        <v>13</v>
      </c>
      <c r="B865" s="572">
        <f>SUM(B867:B900)</f>
        <v>21195</v>
      </c>
      <c r="C865" s="572">
        <f t="shared" ref="C865:L865" si="46">SUM(C867:C900)</f>
        <v>126</v>
      </c>
      <c r="D865" s="572">
        <f t="shared" si="46"/>
        <v>3212</v>
      </c>
      <c r="E865" s="572">
        <f t="shared" si="46"/>
        <v>5079</v>
      </c>
      <c r="F865" s="572">
        <f t="shared" si="46"/>
        <v>4761</v>
      </c>
      <c r="G865" s="572">
        <f t="shared" si="46"/>
        <v>3805</v>
      </c>
      <c r="H865" s="572">
        <f t="shared" si="46"/>
        <v>2481</v>
      </c>
      <c r="I865" s="572">
        <f t="shared" si="46"/>
        <v>758</v>
      </c>
      <c r="J865" s="572">
        <f t="shared" si="46"/>
        <v>62</v>
      </c>
      <c r="K865" s="572">
        <f t="shared" si="46"/>
        <v>3</v>
      </c>
      <c r="L865" s="572">
        <f t="shared" si="46"/>
        <v>908</v>
      </c>
      <c r="N865" s="590"/>
      <c r="O865" s="590"/>
    </row>
    <row r="866" spans="1:15" s="585" customFormat="1" ht="3.95" customHeight="1" x14ac:dyDescent="0.25">
      <c r="A866" s="587"/>
      <c r="B866" s="572"/>
      <c r="C866" s="572"/>
      <c r="D866" s="572"/>
      <c r="E866" s="572"/>
      <c r="F866" s="572"/>
      <c r="G866" s="572"/>
      <c r="H866" s="572"/>
      <c r="I866" s="572"/>
      <c r="J866" s="572"/>
      <c r="K866" s="572"/>
      <c r="L866" s="572"/>
    </row>
    <row r="867" spans="1:15" s="585" customFormat="1" ht="9" customHeight="1" x14ac:dyDescent="0.25">
      <c r="A867" s="588" t="s">
        <v>23</v>
      </c>
      <c r="B867" s="573">
        <f t="shared" ref="B867:B900" si="47">SUM(C867:L867)</f>
        <v>129</v>
      </c>
      <c r="C867" s="565">
        <v>1</v>
      </c>
      <c r="D867" s="565">
        <v>32</v>
      </c>
      <c r="E867" s="565">
        <v>34</v>
      </c>
      <c r="F867" s="565">
        <v>20</v>
      </c>
      <c r="G867" s="565">
        <v>21</v>
      </c>
      <c r="H867" s="565">
        <v>13</v>
      </c>
      <c r="I867" s="565">
        <v>5</v>
      </c>
      <c r="J867" s="565">
        <v>0</v>
      </c>
      <c r="K867" s="566">
        <v>0</v>
      </c>
      <c r="L867" s="565">
        <v>3</v>
      </c>
      <c r="O867" s="590"/>
    </row>
    <row r="868" spans="1:15" s="585" customFormat="1" ht="9" customHeight="1" x14ac:dyDescent="0.25">
      <c r="A868" s="588" t="s">
        <v>24</v>
      </c>
      <c r="B868" s="573">
        <f t="shared" si="47"/>
        <v>562</v>
      </c>
      <c r="C868" s="565">
        <v>2</v>
      </c>
      <c r="D868" s="565">
        <v>82</v>
      </c>
      <c r="E868" s="565">
        <v>138</v>
      </c>
      <c r="F868" s="565">
        <v>132</v>
      </c>
      <c r="G868" s="565">
        <v>94</v>
      </c>
      <c r="H868" s="565">
        <v>62</v>
      </c>
      <c r="I868" s="565">
        <v>25</v>
      </c>
      <c r="J868" s="565">
        <v>1</v>
      </c>
      <c r="K868" s="566">
        <v>1</v>
      </c>
      <c r="L868" s="565">
        <v>25</v>
      </c>
      <c r="O868" s="590"/>
    </row>
    <row r="869" spans="1:15" s="585" customFormat="1" ht="9" customHeight="1" x14ac:dyDescent="0.25">
      <c r="A869" s="588" t="s">
        <v>25</v>
      </c>
      <c r="B869" s="573">
        <f t="shared" si="47"/>
        <v>116</v>
      </c>
      <c r="C869" s="565">
        <v>0</v>
      </c>
      <c r="D869" s="565">
        <v>22</v>
      </c>
      <c r="E869" s="565">
        <v>32</v>
      </c>
      <c r="F869" s="565">
        <v>29</v>
      </c>
      <c r="G869" s="565">
        <v>20</v>
      </c>
      <c r="H869" s="565">
        <v>5</v>
      </c>
      <c r="I869" s="565">
        <v>4</v>
      </c>
      <c r="J869" s="565">
        <v>1</v>
      </c>
      <c r="K869" s="566">
        <v>0</v>
      </c>
      <c r="L869" s="565">
        <v>3</v>
      </c>
      <c r="N869" s="590"/>
      <c r="O869" s="590"/>
    </row>
    <row r="870" spans="1:15" s="585" customFormat="1" ht="9" customHeight="1" x14ac:dyDescent="0.25">
      <c r="A870" s="589" t="s">
        <v>26</v>
      </c>
      <c r="B870" s="576">
        <f t="shared" si="47"/>
        <v>152</v>
      </c>
      <c r="C870" s="568">
        <v>4</v>
      </c>
      <c r="D870" s="568">
        <v>12</v>
      </c>
      <c r="E870" s="568">
        <v>39</v>
      </c>
      <c r="F870" s="568">
        <v>40</v>
      </c>
      <c r="G870" s="568">
        <v>24</v>
      </c>
      <c r="H870" s="568">
        <v>25</v>
      </c>
      <c r="I870" s="568">
        <v>7</v>
      </c>
      <c r="J870" s="568">
        <v>0</v>
      </c>
      <c r="K870" s="569">
        <v>0</v>
      </c>
      <c r="L870" s="568">
        <v>1</v>
      </c>
      <c r="N870" s="590"/>
      <c r="O870" s="590"/>
    </row>
    <row r="871" spans="1:15" s="585" customFormat="1" ht="9" customHeight="1" x14ac:dyDescent="0.25">
      <c r="A871" s="588" t="s">
        <v>27</v>
      </c>
      <c r="B871" s="573">
        <f t="shared" si="47"/>
        <v>106</v>
      </c>
      <c r="C871" s="565">
        <v>0</v>
      </c>
      <c r="D871" s="565">
        <v>12</v>
      </c>
      <c r="E871" s="570">
        <v>36</v>
      </c>
      <c r="F871" s="565">
        <v>23</v>
      </c>
      <c r="G871" s="565">
        <v>21</v>
      </c>
      <c r="H871" s="565">
        <v>10</v>
      </c>
      <c r="I871" s="565">
        <v>3</v>
      </c>
      <c r="J871" s="565">
        <v>0</v>
      </c>
      <c r="K871" s="566">
        <v>0</v>
      </c>
      <c r="L871" s="565">
        <v>1</v>
      </c>
      <c r="N871" s="590"/>
      <c r="O871" s="590"/>
    </row>
    <row r="872" spans="1:15" s="585" customFormat="1" ht="9" customHeight="1" x14ac:dyDescent="0.25">
      <c r="A872" s="588" t="s">
        <v>28</v>
      </c>
      <c r="B872" s="573">
        <f t="shared" si="47"/>
        <v>128</v>
      </c>
      <c r="C872" s="565">
        <v>0</v>
      </c>
      <c r="D872" s="565">
        <v>18</v>
      </c>
      <c r="E872" s="565">
        <v>34</v>
      </c>
      <c r="F872" s="565">
        <v>30</v>
      </c>
      <c r="G872" s="565">
        <v>26</v>
      </c>
      <c r="H872" s="565">
        <v>14</v>
      </c>
      <c r="I872" s="565">
        <v>4</v>
      </c>
      <c r="J872" s="565">
        <v>1</v>
      </c>
      <c r="K872" s="566">
        <v>0</v>
      </c>
      <c r="L872" s="565">
        <v>1</v>
      </c>
      <c r="N872" s="590"/>
      <c r="O872" s="590"/>
    </row>
    <row r="873" spans="1:15" s="585" customFormat="1" ht="9" customHeight="1" x14ac:dyDescent="0.25">
      <c r="A873" s="588" t="s">
        <v>29</v>
      </c>
      <c r="B873" s="573">
        <f t="shared" si="47"/>
        <v>676</v>
      </c>
      <c r="C873" s="565">
        <v>3</v>
      </c>
      <c r="D873" s="565">
        <v>116</v>
      </c>
      <c r="E873" s="565">
        <v>161</v>
      </c>
      <c r="F873" s="565">
        <v>149</v>
      </c>
      <c r="G873" s="565">
        <v>128</v>
      </c>
      <c r="H873" s="565">
        <v>83</v>
      </c>
      <c r="I873" s="565">
        <v>32</v>
      </c>
      <c r="J873" s="565">
        <v>3</v>
      </c>
      <c r="K873" s="566">
        <v>0</v>
      </c>
      <c r="L873" s="565">
        <v>1</v>
      </c>
      <c r="N873" s="590"/>
      <c r="O873" s="590"/>
    </row>
    <row r="874" spans="1:15" s="585" customFormat="1" ht="9" customHeight="1" x14ac:dyDescent="0.25">
      <c r="A874" s="589" t="s">
        <v>30</v>
      </c>
      <c r="B874" s="576">
        <f t="shared" si="47"/>
        <v>599</v>
      </c>
      <c r="C874" s="568">
        <v>7</v>
      </c>
      <c r="D874" s="568">
        <v>84</v>
      </c>
      <c r="E874" s="568">
        <v>157</v>
      </c>
      <c r="F874" s="568">
        <v>159</v>
      </c>
      <c r="G874" s="568">
        <v>84</v>
      </c>
      <c r="H874" s="568">
        <v>68</v>
      </c>
      <c r="I874" s="568">
        <v>26</v>
      </c>
      <c r="J874" s="568">
        <v>1</v>
      </c>
      <c r="K874" s="569">
        <v>0</v>
      </c>
      <c r="L874" s="568">
        <v>13</v>
      </c>
      <c r="N874" s="590"/>
      <c r="O874" s="590"/>
    </row>
    <row r="875" spans="1:15" s="585" customFormat="1" ht="9" customHeight="1" x14ac:dyDescent="0.25">
      <c r="A875" s="550" t="s">
        <v>63</v>
      </c>
      <c r="B875" s="573">
        <f t="shared" si="47"/>
        <v>1976</v>
      </c>
      <c r="C875" s="565">
        <v>11</v>
      </c>
      <c r="D875" s="565">
        <v>216</v>
      </c>
      <c r="E875" s="565">
        <v>460</v>
      </c>
      <c r="F875" s="565">
        <v>452</v>
      </c>
      <c r="G875" s="565">
        <v>426</v>
      </c>
      <c r="H875" s="565">
        <v>289</v>
      </c>
      <c r="I875" s="565">
        <v>87</v>
      </c>
      <c r="J875" s="565">
        <v>7</v>
      </c>
      <c r="K875" s="566">
        <v>0</v>
      </c>
      <c r="L875" s="565">
        <v>28</v>
      </c>
      <c r="N875" s="590"/>
      <c r="O875" s="590"/>
    </row>
    <row r="876" spans="1:15" s="585" customFormat="1" ht="9" customHeight="1" x14ac:dyDescent="0.25">
      <c r="A876" s="588" t="s">
        <v>31</v>
      </c>
      <c r="B876" s="573">
        <f t="shared" si="47"/>
        <v>365</v>
      </c>
      <c r="C876" s="565">
        <v>2</v>
      </c>
      <c r="D876" s="565">
        <v>73</v>
      </c>
      <c r="E876" s="565">
        <v>90</v>
      </c>
      <c r="F876" s="565">
        <v>73</v>
      </c>
      <c r="G876" s="565">
        <v>57</v>
      </c>
      <c r="H876" s="565">
        <v>34</v>
      </c>
      <c r="I876" s="565">
        <v>11</v>
      </c>
      <c r="J876" s="565">
        <v>0</v>
      </c>
      <c r="K876" s="566">
        <v>0</v>
      </c>
      <c r="L876" s="565">
        <v>25</v>
      </c>
      <c r="N876" s="590"/>
      <c r="O876" s="590"/>
    </row>
    <row r="877" spans="1:15" s="585" customFormat="1" ht="9" customHeight="1" x14ac:dyDescent="0.25">
      <c r="A877" s="588" t="s">
        <v>32</v>
      </c>
      <c r="B877" s="573">
        <f t="shared" si="47"/>
        <v>1597</v>
      </c>
      <c r="C877" s="565">
        <v>14</v>
      </c>
      <c r="D877" s="565">
        <v>243</v>
      </c>
      <c r="E877" s="565">
        <v>427</v>
      </c>
      <c r="F877" s="565">
        <v>366</v>
      </c>
      <c r="G877" s="565">
        <v>288</v>
      </c>
      <c r="H877" s="565">
        <v>166</v>
      </c>
      <c r="I877" s="565">
        <v>50</v>
      </c>
      <c r="J877" s="565">
        <v>6</v>
      </c>
      <c r="K877" s="566">
        <v>0</v>
      </c>
      <c r="L877" s="565">
        <v>37</v>
      </c>
      <c r="N877" s="590"/>
      <c r="O877" s="590"/>
    </row>
    <row r="878" spans="1:15" s="585" customFormat="1" ht="9" customHeight="1" x14ac:dyDescent="0.25">
      <c r="A878" s="589" t="s">
        <v>33</v>
      </c>
      <c r="B878" s="576">
        <f t="shared" si="47"/>
        <v>73</v>
      </c>
      <c r="C878" s="568">
        <v>1</v>
      </c>
      <c r="D878" s="568">
        <v>10</v>
      </c>
      <c r="E878" s="571">
        <v>20</v>
      </c>
      <c r="F878" s="568">
        <v>13</v>
      </c>
      <c r="G878" s="568">
        <v>15</v>
      </c>
      <c r="H878" s="568">
        <v>8</v>
      </c>
      <c r="I878" s="568">
        <v>2</v>
      </c>
      <c r="J878" s="568">
        <v>0</v>
      </c>
      <c r="K878" s="569">
        <v>0</v>
      </c>
      <c r="L878" s="568">
        <v>4</v>
      </c>
      <c r="N878" s="590"/>
      <c r="O878" s="590"/>
    </row>
    <row r="879" spans="1:15" s="585" customFormat="1" ht="9" customHeight="1" x14ac:dyDescent="0.25">
      <c r="A879" s="588" t="s">
        <v>34</v>
      </c>
      <c r="B879" s="573">
        <f t="shared" si="47"/>
        <v>443</v>
      </c>
      <c r="C879" s="565">
        <v>2</v>
      </c>
      <c r="D879" s="565">
        <v>77</v>
      </c>
      <c r="E879" s="565">
        <v>102</v>
      </c>
      <c r="F879" s="565">
        <v>95</v>
      </c>
      <c r="G879" s="565">
        <v>96</v>
      </c>
      <c r="H879" s="565">
        <v>44</v>
      </c>
      <c r="I879" s="565">
        <v>16</v>
      </c>
      <c r="J879" s="565">
        <v>0</v>
      </c>
      <c r="K879" s="566">
        <v>0</v>
      </c>
      <c r="L879" s="565">
        <v>11</v>
      </c>
      <c r="N879" s="590"/>
      <c r="O879" s="590"/>
    </row>
    <row r="880" spans="1:15" s="585" customFormat="1" ht="9" customHeight="1" x14ac:dyDescent="0.25">
      <c r="A880" s="588" t="s">
        <v>35</v>
      </c>
      <c r="B880" s="573">
        <f t="shared" si="47"/>
        <v>1384</v>
      </c>
      <c r="C880" s="565">
        <v>12</v>
      </c>
      <c r="D880" s="565">
        <v>221</v>
      </c>
      <c r="E880" s="565">
        <v>317</v>
      </c>
      <c r="F880" s="565">
        <v>293</v>
      </c>
      <c r="G880" s="565">
        <v>255</v>
      </c>
      <c r="H880" s="565">
        <v>197</v>
      </c>
      <c r="I880" s="565">
        <v>54</v>
      </c>
      <c r="J880" s="565">
        <v>6</v>
      </c>
      <c r="K880" s="566">
        <v>0</v>
      </c>
      <c r="L880" s="565">
        <v>29</v>
      </c>
      <c r="N880" s="590"/>
      <c r="O880" s="590"/>
    </row>
    <row r="881" spans="1:15" s="585" customFormat="1" ht="9" customHeight="1" x14ac:dyDescent="0.25">
      <c r="A881" s="588" t="s">
        <v>36</v>
      </c>
      <c r="B881" s="573">
        <f t="shared" si="47"/>
        <v>4768</v>
      </c>
      <c r="C881" s="565">
        <v>26</v>
      </c>
      <c r="D881" s="565">
        <v>795</v>
      </c>
      <c r="E881" s="565">
        <v>1203</v>
      </c>
      <c r="F881" s="565">
        <v>1085</v>
      </c>
      <c r="G881" s="565">
        <v>846</v>
      </c>
      <c r="H881" s="565">
        <v>551</v>
      </c>
      <c r="I881" s="565">
        <v>159</v>
      </c>
      <c r="J881" s="565">
        <v>10</v>
      </c>
      <c r="K881" s="566">
        <v>1</v>
      </c>
      <c r="L881" s="565">
        <v>92</v>
      </c>
      <c r="N881" s="590"/>
      <c r="O881" s="590"/>
    </row>
    <row r="882" spans="1:15" s="585" customFormat="1" ht="9" customHeight="1" x14ac:dyDescent="0.25">
      <c r="A882" s="589" t="s">
        <v>37</v>
      </c>
      <c r="B882" s="576">
        <f t="shared" si="47"/>
        <v>478</v>
      </c>
      <c r="C882" s="568">
        <v>1</v>
      </c>
      <c r="D882" s="568">
        <v>61</v>
      </c>
      <c r="E882" s="568">
        <v>96</v>
      </c>
      <c r="F882" s="568">
        <v>116</v>
      </c>
      <c r="G882" s="568">
        <v>98</v>
      </c>
      <c r="H882" s="568">
        <v>74</v>
      </c>
      <c r="I882" s="568">
        <v>17</v>
      </c>
      <c r="J882" s="568">
        <v>3</v>
      </c>
      <c r="K882" s="569">
        <v>0</v>
      </c>
      <c r="L882" s="568">
        <v>12</v>
      </c>
      <c r="N882" s="590"/>
      <c r="O882" s="590"/>
    </row>
    <row r="883" spans="1:15" s="585" customFormat="1" ht="9" customHeight="1" x14ac:dyDescent="0.25">
      <c r="A883" s="588" t="s">
        <v>38</v>
      </c>
      <c r="B883" s="573">
        <f t="shared" si="47"/>
        <v>275</v>
      </c>
      <c r="C883" s="565">
        <v>0</v>
      </c>
      <c r="D883" s="570">
        <v>30</v>
      </c>
      <c r="E883" s="565">
        <v>74</v>
      </c>
      <c r="F883" s="565">
        <v>68</v>
      </c>
      <c r="G883" s="565">
        <v>55</v>
      </c>
      <c r="H883" s="565">
        <v>35</v>
      </c>
      <c r="I883" s="565">
        <v>10</v>
      </c>
      <c r="J883" s="565">
        <v>0</v>
      </c>
      <c r="K883" s="566">
        <v>0</v>
      </c>
      <c r="L883" s="565">
        <v>3</v>
      </c>
      <c r="N883" s="590"/>
      <c r="O883" s="590"/>
    </row>
    <row r="884" spans="1:15" s="585" customFormat="1" ht="9" customHeight="1" x14ac:dyDescent="0.25">
      <c r="A884" s="588" t="s">
        <v>39</v>
      </c>
      <c r="B884" s="573">
        <f t="shared" si="47"/>
        <v>73</v>
      </c>
      <c r="C884" s="565">
        <v>0</v>
      </c>
      <c r="D884" s="565">
        <v>11</v>
      </c>
      <c r="E884" s="565">
        <v>16</v>
      </c>
      <c r="F884" s="565">
        <v>18</v>
      </c>
      <c r="G884" s="565">
        <v>18</v>
      </c>
      <c r="H884" s="565">
        <v>5</v>
      </c>
      <c r="I884" s="565">
        <v>3</v>
      </c>
      <c r="J884" s="565">
        <v>0</v>
      </c>
      <c r="K884" s="566">
        <v>0</v>
      </c>
      <c r="L884" s="565">
        <v>2</v>
      </c>
      <c r="N884" s="590"/>
      <c r="O884" s="590"/>
    </row>
    <row r="885" spans="1:15" s="585" customFormat="1" ht="9" customHeight="1" x14ac:dyDescent="0.25">
      <c r="A885" s="588" t="s">
        <v>40</v>
      </c>
      <c r="B885" s="573">
        <f t="shared" si="47"/>
        <v>782</v>
      </c>
      <c r="C885" s="565">
        <v>4</v>
      </c>
      <c r="D885" s="565">
        <v>141</v>
      </c>
      <c r="E885" s="565">
        <v>191</v>
      </c>
      <c r="F885" s="565">
        <v>159</v>
      </c>
      <c r="G885" s="565">
        <v>135</v>
      </c>
      <c r="H885" s="565">
        <v>92</v>
      </c>
      <c r="I885" s="565">
        <v>32</v>
      </c>
      <c r="J885" s="565">
        <v>1</v>
      </c>
      <c r="K885" s="566">
        <v>0</v>
      </c>
      <c r="L885" s="565">
        <v>27</v>
      </c>
      <c r="N885" s="590"/>
      <c r="O885" s="590"/>
    </row>
    <row r="886" spans="1:15" s="585" customFormat="1" ht="9" customHeight="1" x14ac:dyDescent="0.25">
      <c r="A886" s="589" t="s">
        <v>41</v>
      </c>
      <c r="B886" s="576">
        <f t="shared" si="47"/>
        <v>406</v>
      </c>
      <c r="C886" s="568">
        <v>3</v>
      </c>
      <c r="D886" s="568">
        <v>61</v>
      </c>
      <c r="E886" s="568">
        <v>80</v>
      </c>
      <c r="F886" s="568">
        <v>102</v>
      </c>
      <c r="G886" s="568">
        <v>69</v>
      </c>
      <c r="H886" s="568">
        <v>54</v>
      </c>
      <c r="I886" s="568">
        <v>19</v>
      </c>
      <c r="J886" s="568">
        <v>4</v>
      </c>
      <c r="K886" s="569">
        <v>0</v>
      </c>
      <c r="L886" s="568">
        <v>14</v>
      </c>
      <c r="N886" s="590"/>
      <c r="O886" s="590"/>
    </row>
    <row r="887" spans="1:15" s="585" customFormat="1" ht="9" customHeight="1" x14ac:dyDescent="0.25">
      <c r="A887" s="588" t="s">
        <v>42</v>
      </c>
      <c r="B887" s="573">
        <f t="shared" si="47"/>
        <v>1405</v>
      </c>
      <c r="C887" s="565">
        <v>13</v>
      </c>
      <c r="D887" s="565">
        <v>243</v>
      </c>
      <c r="E887" s="565">
        <v>383</v>
      </c>
      <c r="F887" s="565">
        <v>342</v>
      </c>
      <c r="G887" s="565">
        <v>227</v>
      </c>
      <c r="H887" s="565">
        <v>139</v>
      </c>
      <c r="I887" s="565">
        <v>45</v>
      </c>
      <c r="J887" s="565">
        <v>5</v>
      </c>
      <c r="K887" s="566">
        <v>0</v>
      </c>
      <c r="L887" s="565">
        <v>8</v>
      </c>
      <c r="N887" s="590"/>
      <c r="O887" s="590"/>
    </row>
    <row r="888" spans="1:15" s="585" customFormat="1" ht="9" customHeight="1" x14ac:dyDescent="0.25">
      <c r="A888" s="588" t="s">
        <v>43</v>
      </c>
      <c r="B888" s="573">
        <f t="shared" si="47"/>
        <v>384</v>
      </c>
      <c r="C888" s="565">
        <v>1</v>
      </c>
      <c r="D888" s="565">
        <v>62</v>
      </c>
      <c r="E888" s="565">
        <v>89</v>
      </c>
      <c r="F888" s="565">
        <v>91</v>
      </c>
      <c r="G888" s="565">
        <v>79</v>
      </c>
      <c r="H888" s="565">
        <v>43</v>
      </c>
      <c r="I888" s="565">
        <v>12</v>
      </c>
      <c r="J888" s="565">
        <v>2</v>
      </c>
      <c r="K888" s="566">
        <v>0</v>
      </c>
      <c r="L888" s="565">
        <v>5</v>
      </c>
      <c r="N888" s="590"/>
      <c r="O888" s="590"/>
    </row>
    <row r="889" spans="1:15" s="585" customFormat="1" ht="9" customHeight="1" x14ac:dyDescent="0.25">
      <c r="A889" s="588" t="s">
        <v>44</v>
      </c>
      <c r="B889" s="573">
        <f t="shared" si="47"/>
        <v>220</v>
      </c>
      <c r="C889" s="565">
        <v>2</v>
      </c>
      <c r="D889" s="565">
        <v>23</v>
      </c>
      <c r="E889" s="565">
        <v>45</v>
      </c>
      <c r="F889" s="565">
        <v>49</v>
      </c>
      <c r="G889" s="565">
        <v>51</v>
      </c>
      <c r="H889" s="565">
        <v>34</v>
      </c>
      <c r="I889" s="565">
        <v>10</v>
      </c>
      <c r="J889" s="565">
        <v>1</v>
      </c>
      <c r="K889" s="566">
        <v>0</v>
      </c>
      <c r="L889" s="565">
        <v>5</v>
      </c>
      <c r="N889" s="590"/>
      <c r="O889" s="590"/>
    </row>
    <row r="890" spans="1:15" s="585" customFormat="1" ht="9" customHeight="1" x14ac:dyDescent="0.25">
      <c r="A890" s="589" t="s">
        <v>45</v>
      </c>
      <c r="B890" s="576">
        <f t="shared" si="47"/>
        <v>580</v>
      </c>
      <c r="C890" s="568">
        <v>4</v>
      </c>
      <c r="D890" s="568">
        <v>98</v>
      </c>
      <c r="E890" s="568">
        <v>143</v>
      </c>
      <c r="F890" s="568">
        <v>124</v>
      </c>
      <c r="G890" s="568">
        <v>105</v>
      </c>
      <c r="H890" s="568">
        <v>80</v>
      </c>
      <c r="I890" s="568">
        <v>11</v>
      </c>
      <c r="J890" s="568">
        <v>3</v>
      </c>
      <c r="K890" s="569">
        <v>0</v>
      </c>
      <c r="L890" s="568">
        <v>12</v>
      </c>
      <c r="N890" s="590"/>
      <c r="O890" s="590"/>
    </row>
    <row r="891" spans="1:15" s="585" customFormat="1" ht="9" customHeight="1" x14ac:dyDescent="0.25">
      <c r="A891" s="588" t="s">
        <v>46</v>
      </c>
      <c r="B891" s="573">
        <f t="shared" si="47"/>
        <v>296</v>
      </c>
      <c r="C891" s="565">
        <v>1</v>
      </c>
      <c r="D891" s="565">
        <v>8</v>
      </c>
      <c r="E891" s="565">
        <v>13</v>
      </c>
      <c r="F891" s="565">
        <v>19</v>
      </c>
      <c r="G891" s="565">
        <v>19</v>
      </c>
      <c r="H891" s="565">
        <v>8</v>
      </c>
      <c r="I891" s="565">
        <v>5</v>
      </c>
      <c r="J891" s="565">
        <v>0</v>
      </c>
      <c r="K891" s="566">
        <v>0</v>
      </c>
      <c r="L891" s="565">
        <v>223</v>
      </c>
      <c r="N891" s="590"/>
      <c r="O891" s="590"/>
    </row>
    <row r="892" spans="1:15" s="585" customFormat="1" ht="9" customHeight="1" x14ac:dyDescent="0.25">
      <c r="A892" s="588" t="s">
        <v>47</v>
      </c>
      <c r="B892" s="573">
        <f t="shared" si="47"/>
        <v>540</v>
      </c>
      <c r="C892" s="565">
        <v>4</v>
      </c>
      <c r="D892" s="565">
        <v>78</v>
      </c>
      <c r="E892" s="565">
        <v>131</v>
      </c>
      <c r="F892" s="565">
        <v>138</v>
      </c>
      <c r="G892" s="565">
        <v>98</v>
      </c>
      <c r="H892" s="565">
        <v>62</v>
      </c>
      <c r="I892" s="565">
        <v>17</v>
      </c>
      <c r="J892" s="565">
        <v>2</v>
      </c>
      <c r="K892" s="566">
        <v>0</v>
      </c>
      <c r="L892" s="565">
        <v>10</v>
      </c>
      <c r="N892" s="590"/>
      <c r="O892" s="590"/>
    </row>
    <row r="893" spans="1:15" s="585" customFormat="1" ht="9" customHeight="1" x14ac:dyDescent="0.25">
      <c r="A893" s="588" t="s">
        <v>48</v>
      </c>
      <c r="B893" s="573">
        <f t="shared" si="47"/>
        <v>235</v>
      </c>
      <c r="C893" s="565">
        <v>3</v>
      </c>
      <c r="D893" s="565">
        <v>37</v>
      </c>
      <c r="E893" s="565">
        <v>49</v>
      </c>
      <c r="F893" s="565">
        <v>46</v>
      </c>
      <c r="G893" s="565">
        <v>43</v>
      </c>
      <c r="H893" s="565">
        <v>32</v>
      </c>
      <c r="I893" s="565">
        <v>13</v>
      </c>
      <c r="J893" s="565">
        <v>1</v>
      </c>
      <c r="K893" s="566">
        <v>0</v>
      </c>
      <c r="L893" s="565">
        <v>11</v>
      </c>
      <c r="N893" s="590"/>
      <c r="O893" s="590"/>
    </row>
    <row r="894" spans="1:15" s="585" customFormat="1" ht="9" customHeight="1" x14ac:dyDescent="0.25">
      <c r="A894" s="589" t="s">
        <v>49</v>
      </c>
      <c r="B894" s="576">
        <f t="shared" si="47"/>
        <v>180</v>
      </c>
      <c r="C894" s="568">
        <v>0</v>
      </c>
      <c r="D894" s="568">
        <v>31</v>
      </c>
      <c r="E894" s="568">
        <v>38</v>
      </c>
      <c r="F894" s="568">
        <v>51</v>
      </c>
      <c r="G894" s="568">
        <v>28</v>
      </c>
      <c r="H894" s="568">
        <v>21</v>
      </c>
      <c r="I894" s="568">
        <v>6</v>
      </c>
      <c r="J894" s="568">
        <v>2</v>
      </c>
      <c r="K894" s="569">
        <v>0</v>
      </c>
      <c r="L894" s="568">
        <v>3</v>
      </c>
      <c r="N894" s="590"/>
      <c r="O894" s="590"/>
    </row>
    <row r="895" spans="1:15" s="585" customFormat="1" ht="9" customHeight="1" x14ac:dyDescent="0.25">
      <c r="A895" s="588" t="s">
        <v>50</v>
      </c>
      <c r="B895" s="573">
        <f t="shared" si="47"/>
        <v>228</v>
      </c>
      <c r="C895" s="565">
        <v>0</v>
      </c>
      <c r="D895" s="565">
        <v>41</v>
      </c>
      <c r="E895" s="565">
        <v>66</v>
      </c>
      <c r="F895" s="565">
        <v>58</v>
      </c>
      <c r="G895" s="565">
        <v>29</v>
      </c>
      <c r="H895" s="565">
        <v>23</v>
      </c>
      <c r="I895" s="565">
        <v>6</v>
      </c>
      <c r="J895" s="565">
        <v>0</v>
      </c>
      <c r="K895" s="566">
        <v>0</v>
      </c>
      <c r="L895" s="565">
        <v>5</v>
      </c>
      <c r="N895" s="590"/>
      <c r="O895" s="590"/>
    </row>
    <row r="896" spans="1:15" s="585" customFormat="1" ht="9" customHeight="1" x14ac:dyDescent="0.25">
      <c r="A896" s="588" t="s">
        <v>51</v>
      </c>
      <c r="B896" s="573">
        <f t="shared" si="47"/>
        <v>986</v>
      </c>
      <c r="C896" s="565">
        <v>2</v>
      </c>
      <c r="D896" s="565">
        <v>164</v>
      </c>
      <c r="E896" s="565">
        <v>223</v>
      </c>
      <c r="F896" s="565">
        <v>228</v>
      </c>
      <c r="G896" s="565">
        <v>185</v>
      </c>
      <c r="H896" s="565">
        <v>100</v>
      </c>
      <c r="I896" s="565">
        <v>37</v>
      </c>
      <c r="J896" s="565">
        <v>2</v>
      </c>
      <c r="K896" s="566">
        <v>0</v>
      </c>
      <c r="L896" s="565">
        <v>45</v>
      </c>
      <c r="N896" s="590"/>
      <c r="O896" s="590"/>
    </row>
    <row r="897" spans="1:15" s="585" customFormat="1" ht="9" customHeight="1" x14ac:dyDescent="0.25">
      <c r="A897" s="588" t="s">
        <v>52</v>
      </c>
      <c r="B897" s="573">
        <f t="shared" si="47"/>
        <v>427</v>
      </c>
      <c r="C897" s="565">
        <v>1</v>
      </c>
      <c r="D897" s="565">
        <v>51</v>
      </c>
      <c r="E897" s="565">
        <v>101</v>
      </c>
      <c r="F897" s="565">
        <v>103</v>
      </c>
      <c r="G897" s="565">
        <v>78</v>
      </c>
      <c r="H897" s="565">
        <v>73</v>
      </c>
      <c r="I897" s="565">
        <v>12</v>
      </c>
      <c r="J897" s="565">
        <v>0</v>
      </c>
      <c r="K897" s="566">
        <v>0</v>
      </c>
      <c r="L897" s="565">
        <v>8</v>
      </c>
      <c r="N897" s="590"/>
      <c r="O897" s="590"/>
    </row>
    <row r="898" spans="1:15" s="585" customFormat="1" ht="9" customHeight="1" x14ac:dyDescent="0.25">
      <c r="A898" s="589" t="s">
        <v>53</v>
      </c>
      <c r="B898" s="576">
        <f t="shared" si="47"/>
        <v>250</v>
      </c>
      <c r="C898" s="568">
        <v>2</v>
      </c>
      <c r="D898" s="568">
        <v>32</v>
      </c>
      <c r="E898" s="568">
        <v>51</v>
      </c>
      <c r="F898" s="568">
        <v>62</v>
      </c>
      <c r="G898" s="568">
        <v>54</v>
      </c>
      <c r="H898" s="568">
        <v>23</v>
      </c>
      <c r="I898" s="568">
        <v>14</v>
      </c>
      <c r="J898" s="568">
        <v>0</v>
      </c>
      <c r="K898" s="569">
        <v>0</v>
      </c>
      <c r="L898" s="568">
        <v>12</v>
      </c>
      <c r="N898" s="590"/>
      <c r="O898" s="590"/>
    </row>
    <row r="899" spans="1:15" s="585" customFormat="1" ht="9" customHeight="1" x14ac:dyDescent="0.25">
      <c r="A899" s="588" t="s">
        <v>434</v>
      </c>
      <c r="B899" s="573">
        <f t="shared" si="47"/>
        <v>19</v>
      </c>
      <c r="C899" s="565">
        <v>0</v>
      </c>
      <c r="D899" s="565">
        <v>1</v>
      </c>
      <c r="E899" s="565">
        <v>6</v>
      </c>
      <c r="F899" s="565">
        <v>6</v>
      </c>
      <c r="G899" s="565">
        <v>3</v>
      </c>
      <c r="H899" s="565">
        <v>2</v>
      </c>
      <c r="I899" s="565">
        <v>0</v>
      </c>
      <c r="J899" s="565">
        <v>0</v>
      </c>
      <c r="K899" s="566">
        <v>0</v>
      </c>
      <c r="L899" s="565">
        <v>1</v>
      </c>
      <c r="N899" s="590"/>
      <c r="O899" s="590"/>
    </row>
    <row r="900" spans="1:15" s="585" customFormat="1" ht="9" customHeight="1" x14ac:dyDescent="0.25">
      <c r="A900" s="588" t="s">
        <v>54</v>
      </c>
      <c r="B900" s="573">
        <f t="shared" si="47"/>
        <v>357</v>
      </c>
      <c r="C900" s="565">
        <v>0</v>
      </c>
      <c r="D900" s="565">
        <v>26</v>
      </c>
      <c r="E900" s="565">
        <v>34</v>
      </c>
      <c r="F900" s="565">
        <v>22</v>
      </c>
      <c r="G900" s="565">
        <v>30</v>
      </c>
      <c r="H900" s="565">
        <v>12</v>
      </c>
      <c r="I900" s="565">
        <v>4</v>
      </c>
      <c r="J900" s="565">
        <v>0</v>
      </c>
      <c r="K900" s="566">
        <v>1</v>
      </c>
      <c r="L900" s="565">
        <v>228</v>
      </c>
      <c r="N900" s="590"/>
      <c r="O900" s="590"/>
    </row>
    <row r="901" spans="1:15" ht="3" customHeight="1" x14ac:dyDescent="0.25">
      <c r="A901" s="531"/>
      <c r="B901" s="531"/>
      <c r="C901" s="531"/>
      <c r="D901" s="531"/>
      <c r="E901" s="531"/>
      <c r="F901" s="531"/>
      <c r="G901" s="531"/>
      <c r="H901" s="531"/>
      <c r="I901" s="531"/>
      <c r="J901" s="531"/>
      <c r="K901" s="531"/>
      <c r="L901" s="531"/>
    </row>
    <row r="902" spans="1:15" ht="3" customHeight="1" x14ac:dyDescent="0.25">
      <c r="A902" s="533"/>
    </row>
    <row r="903" spans="1:15" s="537" customFormat="1" ht="9" customHeight="1" x14ac:dyDescent="0.25">
      <c r="A903" s="592" t="s">
        <v>437</v>
      </c>
      <c r="B903" s="593"/>
      <c r="C903" s="594"/>
      <c r="D903" s="594"/>
      <c r="E903" s="594"/>
      <c r="F903" s="594"/>
      <c r="G903" s="594"/>
      <c r="H903" s="594"/>
      <c r="I903" s="594"/>
      <c r="J903" s="594"/>
      <c r="K903" s="594"/>
      <c r="L903" s="594"/>
    </row>
    <row r="904" spans="1:15" ht="11.25" hidden="1" customHeight="1" x14ac:dyDescent="0.25">
      <c r="M904" s="595" t="s">
        <v>74</v>
      </c>
    </row>
  </sheetData>
  <sheetProtection sheet="1" objects="1" scenarios="1"/>
  <mergeCells count="12">
    <mergeCell ref="K6:K7"/>
    <mergeCell ref="L6:L7"/>
    <mergeCell ref="K1:L1"/>
    <mergeCell ref="A6:A7"/>
    <mergeCell ref="C6:C7"/>
    <mergeCell ref="D6:D7"/>
    <mergeCell ref="E6:E7"/>
    <mergeCell ref="F6:F7"/>
    <mergeCell ref="G6:G7"/>
    <mergeCell ref="H6:H7"/>
    <mergeCell ref="I6:I7"/>
    <mergeCell ref="J6:J7"/>
  </mergeCells>
  <hyperlinks>
    <hyperlink ref="K1" location="Índice!A1" display="Índice!A1"/>
    <hyperlink ref="A903:B903" r:id="rId1" display="Fuente: INEGI. Estadísticas de Mortalidad."/>
    <hyperlink ref="K1:L1" location="Índice!A1" tooltip="Ir a Índice" display="Índice!A1"/>
  </hyperlinks>
  <printOptions horizontalCentered="1" verticalCentered="1" gridLinesSet="0"/>
  <pageMargins left="0.39370078740157483" right="0.39370078740157483" top="0.39370078740157483" bottom="0.39370078740157483" header="0.39370078740157483" footer="0.39370078740157483"/>
  <pageSetup orientation="portrait" r:id="rId2"/>
  <headerFooter>
    <oddHeader>&amp;L&amp;"Arial,Normal"&amp;10&amp;K000080INEGI. Anuario estadístico y geográfico por entidad federativa 2019.</oddHeader>
  </headerFooter>
  <rowBreaks count="11" manualBreakCount="11">
    <brk id="83" max="11" man="1"/>
    <brk id="157" max="11" man="1"/>
    <brk id="231" max="11" man="1"/>
    <brk id="305" max="11" man="1"/>
    <brk id="379" max="11" man="1"/>
    <brk id="453" max="11" man="1"/>
    <brk id="527" max="11" man="1"/>
    <brk id="601" max="11" man="1"/>
    <brk id="675" max="11" man="1"/>
    <brk id="749" max="11" man="1"/>
    <brk id="825" max="11" man="1"/>
  </rowBreak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47"/>
  <sheetViews>
    <sheetView showGridLines="0" showRowColHeaders="0" zoomScale="130" zoomScaleNormal="130" workbookViewId="0">
      <pane xSplit="1" ySplit="6" topLeftCell="B7" activePane="bottomRight" state="frozen"/>
      <selection activeCell="B5" sqref="B5"/>
      <selection pane="topRight" activeCell="B5" sqref="B5"/>
      <selection pane="bottomLeft" activeCell="B5" sqref="B5"/>
      <selection pane="bottomRight"/>
    </sheetView>
  </sheetViews>
  <sheetFormatPr baseColWidth="10" defaultColWidth="0" defaultRowHeight="11.25" customHeight="1" zeroHeight="1" x14ac:dyDescent="0.25"/>
  <cols>
    <col min="1" max="1" width="17.28515625" style="702" customWidth="1"/>
    <col min="2" max="2" width="4.140625" style="702" customWidth="1"/>
    <col min="3" max="13" width="4.7109375" style="702" customWidth="1"/>
    <col min="14" max="25" width="4.7109375" style="704" customWidth="1"/>
    <col min="26" max="26" width="0.85546875" style="702" customWidth="1"/>
    <col min="27" max="28" width="7.7109375" style="702" hidden="1" customWidth="1"/>
    <col min="29" max="16384" width="11.42578125" style="702" hidden="1"/>
  </cols>
  <sheetData>
    <row r="1" spans="1:28" s="695" customFormat="1" ht="12" customHeight="1" x14ac:dyDescent="0.2">
      <c r="A1" s="524" t="s">
        <v>555</v>
      </c>
      <c r="B1" s="525"/>
      <c r="F1" s="696"/>
      <c r="G1" s="696"/>
      <c r="H1" s="696"/>
      <c r="I1" s="696"/>
      <c r="J1" s="696"/>
      <c r="L1" s="696"/>
      <c r="M1" s="696"/>
      <c r="N1" s="697"/>
      <c r="O1" s="697"/>
      <c r="P1" s="53"/>
      <c r="Q1" s="53"/>
      <c r="R1" s="53"/>
      <c r="S1" s="53"/>
      <c r="U1" s="761"/>
      <c r="V1" s="761"/>
      <c r="W1" s="761"/>
      <c r="X1" s="761"/>
      <c r="Y1" s="761" t="s">
        <v>556</v>
      </c>
      <c r="AA1" s="524"/>
    </row>
    <row r="2" spans="1:28" s="695" customFormat="1" ht="12" customHeight="1" x14ac:dyDescent="0.2">
      <c r="A2" s="529" t="s">
        <v>423</v>
      </c>
      <c r="B2" s="525"/>
      <c r="C2" s="525"/>
      <c r="D2" s="525"/>
      <c r="N2" s="698"/>
      <c r="O2" s="698"/>
      <c r="P2" s="698"/>
      <c r="Q2" s="698"/>
      <c r="R2" s="698"/>
      <c r="S2" s="698"/>
      <c r="T2" s="698"/>
      <c r="U2" s="698"/>
      <c r="V2" s="698"/>
      <c r="W2" s="698"/>
      <c r="X2" s="698"/>
      <c r="Y2" s="698"/>
      <c r="AA2" s="699"/>
    </row>
    <row r="3" spans="1:28" ht="3" customHeight="1" x14ac:dyDescent="0.25">
      <c r="A3" s="700"/>
      <c r="B3" s="700"/>
      <c r="C3" s="700"/>
      <c r="D3" s="700"/>
      <c r="E3" s="700"/>
      <c r="F3" s="700"/>
      <c r="G3" s="700"/>
      <c r="H3" s="700"/>
      <c r="I3" s="700"/>
      <c r="J3" s="700"/>
      <c r="K3" s="700"/>
      <c r="L3" s="700"/>
      <c r="M3" s="700"/>
      <c r="N3" s="701"/>
      <c r="O3" s="701"/>
      <c r="P3" s="701"/>
      <c r="Q3" s="701"/>
      <c r="R3" s="701"/>
      <c r="S3" s="701"/>
      <c r="T3" s="701"/>
      <c r="U3" s="701"/>
      <c r="V3" s="701"/>
      <c r="W3" s="701"/>
      <c r="X3" s="701"/>
      <c r="Y3" s="701"/>
    </row>
    <row r="4" spans="1:28" ht="3" customHeight="1" x14ac:dyDescent="0.25">
      <c r="A4" s="703"/>
      <c r="B4" s="703"/>
      <c r="C4" s="703"/>
      <c r="D4" s="703"/>
    </row>
    <row r="5" spans="1:28" s="594" customFormat="1" ht="9" customHeight="1" x14ac:dyDescent="0.15">
      <c r="A5" s="705" t="s">
        <v>557</v>
      </c>
      <c r="B5" s="768">
        <v>1995</v>
      </c>
      <c r="C5" s="706">
        <v>1996</v>
      </c>
      <c r="D5" s="706">
        <v>1997</v>
      </c>
      <c r="E5" s="706">
        <v>1998</v>
      </c>
      <c r="F5" s="706">
        <v>1999</v>
      </c>
      <c r="G5" s="706">
        <v>2000</v>
      </c>
      <c r="H5" s="706">
        <v>2001</v>
      </c>
      <c r="I5" s="706">
        <v>2002</v>
      </c>
      <c r="J5" s="706">
        <v>2003</v>
      </c>
      <c r="K5" s="706">
        <v>2004</v>
      </c>
      <c r="L5" s="706">
        <v>2005</v>
      </c>
      <c r="M5" s="706">
        <v>2006</v>
      </c>
      <c r="N5" s="707">
        <v>2007</v>
      </c>
      <c r="O5" s="707">
        <v>2008</v>
      </c>
      <c r="P5" s="707">
        <v>2009</v>
      </c>
      <c r="Q5" s="708">
        <v>2010</v>
      </c>
      <c r="R5" s="708">
        <v>2011</v>
      </c>
      <c r="S5" s="708">
        <v>2012</v>
      </c>
      <c r="T5" s="708">
        <v>2013</v>
      </c>
      <c r="U5" s="708">
        <v>2014</v>
      </c>
      <c r="V5" s="708">
        <v>2015</v>
      </c>
      <c r="W5" s="708">
        <v>2016</v>
      </c>
      <c r="X5" s="708">
        <v>2017</v>
      </c>
      <c r="Y5" s="708" t="s">
        <v>62</v>
      </c>
      <c r="Z5" s="767"/>
      <c r="AA5" s="709"/>
    </row>
    <row r="6" spans="1:28" ht="3" customHeight="1" x14ac:dyDescent="0.2">
      <c r="A6" s="700"/>
      <c r="B6" s="710"/>
      <c r="C6" s="710"/>
      <c r="D6" s="700"/>
      <c r="E6" s="700"/>
      <c r="F6" s="700"/>
      <c r="G6" s="700"/>
      <c r="H6" s="700"/>
      <c r="I6" s="700"/>
      <c r="J6" s="700"/>
      <c r="K6" s="700"/>
      <c r="L6" s="700"/>
      <c r="M6" s="700"/>
      <c r="N6" s="701"/>
      <c r="O6" s="701"/>
      <c r="P6" s="701"/>
      <c r="Q6" s="711"/>
      <c r="R6" s="711"/>
      <c r="S6" s="711"/>
      <c r="T6" s="711"/>
      <c r="U6" s="711"/>
      <c r="V6" s="711"/>
      <c r="W6" s="711"/>
      <c r="X6" s="711"/>
      <c r="Y6" s="711"/>
    </row>
    <row r="7" spans="1:28" ht="3" customHeight="1" x14ac:dyDescent="0.2">
      <c r="A7" s="703"/>
      <c r="B7" s="712"/>
      <c r="C7" s="703"/>
      <c r="Q7" s="713"/>
      <c r="R7" s="713"/>
      <c r="S7" s="713"/>
      <c r="T7" s="713"/>
      <c r="U7" s="713"/>
      <c r="V7" s="713"/>
      <c r="W7" s="713"/>
      <c r="X7" s="713"/>
      <c r="Y7" s="713"/>
    </row>
    <row r="8" spans="1:28" s="718" customFormat="1" ht="9" customHeight="1" x14ac:dyDescent="0.25">
      <c r="A8" s="714" t="s">
        <v>13</v>
      </c>
      <c r="B8" s="715">
        <f t="shared" ref="B8:W8" si="0">SUM(B10:B42)</f>
        <v>4029</v>
      </c>
      <c r="C8" s="715">
        <f t="shared" si="0"/>
        <v>4373</v>
      </c>
      <c r="D8" s="715">
        <f t="shared" si="0"/>
        <v>4201</v>
      </c>
      <c r="E8" s="715">
        <f t="shared" si="0"/>
        <v>4100</v>
      </c>
      <c r="F8" s="715">
        <f t="shared" si="0"/>
        <v>4204</v>
      </c>
      <c r="G8" s="715">
        <f t="shared" si="0"/>
        <v>4219</v>
      </c>
      <c r="H8" s="715">
        <f t="shared" si="0"/>
        <v>4324</v>
      </c>
      <c r="I8" s="715">
        <f t="shared" si="0"/>
        <v>4479</v>
      </c>
      <c r="J8" s="715">
        <f t="shared" si="0"/>
        <v>4615</v>
      </c>
      <c r="K8" s="715">
        <f t="shared" si="0"/>
        <v>4723</v>
      </c>
      <c r="L8" s="715">
        <f t="shared" si="0"/>
        <v>4654</v>
      </c>
      <c r="M8" s="715">
        <f t="shared" si="0"/>
        <v>4949</v>
      </c>
      <c r="N8" s="716">
        <f t="shared" si="0"/>
        <v>5099</v>
      </c>
      <c r="O8" s="716">
        <f t="shared" si="0"/>
        <v>5189</v>
      </c>
      <c r="P8" s="716">
        <f t="shared" si="0"/>
        <v>5121</v>
      </c>
      <c r="Q8" s="717">
        <f t="shared" si="0"/>
        <v>4860</v>
      </c>
      <c r="R8" s="717">
        <f t="shared" si="0"/>
        <v>5043</v>
      </c>
      <c r="S8" s="717">
        <f t="shared" si="0"/>
        <v>4974</v>
      </c>
      <c r="T8" s="717">
        <f t="shared" si="0"/>
        <v>4981</v>
      </c>
      <c r="U8" s="717">
        <f t="shared" si="0"/>
        <v>4811</v>
      </c>
      <c r="V8" s="717">
        <f t="shared" si="0"/>
        <v>4756</v>
      </c>
      <c r="W8" s="717">
        <f t="shared" si="0"/>
        <v>4630</v>
      </c>
      <c r="X8" s="717">
        <f>SUM(X10:X43)</f>
        <v>4720</v>
      </c>
      <c r="Y8" s="717">
        <f>SUM(Y10:Y43)</f>
        <v>5043</v>
      </c>
      <c r="AB8" s="719"/>
    </row>
    <row r="9" spans="1:28" s="718" customFormat="1" ht="3.95" customHeight="1" x14ac:dyDescent="0.25">
      <c r="A9" s="714"/>
      <c r="B9" s="715"/>
      <c r="C9" s="715"/>
      <c r="D9" s="715"/>
      <c r="E9" s="715"/>
      <c r="F9" s="715"/>
      <c r="G9" s="715"/>
      <c r="H9" s="715"/>
      <c r="I9" s="715"/>
      <c r="J9" s="715"/>
      <c r="K9" s="715"/>
      <c r="L9" s="715"/>
      <c r="M9" s="715"/>
      <c r="N9" s="716"/>
      <c r="O9" s="716"/>
      <c r="P9" s="716"/>
      <c r="Q9" s="717"/>
      <c r="R9" s="717"/>
      <c r="S9" s="717"/>
      <c r="T9" s="717"/>
      <c r="U9" s="717"/>
      <c r="V9" s="717"/>
      <c r="W9" s="717"/>
      <c r="X9" s="717"/>
      <c r="Y9" s="717"/>
      <c r="AB9" s="719"/>
    </row>
    <row r="10" spans="1:28" s="551" customFormat="1" ht="9" customHeight="1" x14ac:dyDescent="0.25">
      <c r="A10" s="546" t="s">
        <v>23</v>
      </c>
      <c r="B10" s="551">
        <v>23</v>
      </c>
      <c r="C10" s="551">
        <v>24</v>
      </c>
      <c r="D10" s="551">
        <v>22</v>
      </c>
      <c r="E10" s="551">
        <v>23</v>
      </c>
      <c r="F10" s="551">
        <v>26</v>
      </c>
      <c r="G10" s="551">
        <v>18</v>
      </c>
      <c r="H10" s="551">
        <v>31</v>
      </c>
      <c r="I10" s="551">
        <v>18</v>
      </c>
      <c r="J10" s="551">
        <v>37</v>
      </c>
      <c r="K10" s="551">
        <v>35</v>
      </c>
      <c r="L10" s="551">
        <v>39</v>
      </c>
      <c r="M10" s="551">
        <v>41</v>
      </c>
      <c r="N10" s="570">
        <v>35</v>
      </c>
      <c r="O10" s="570">
        <v>20</v>
      </c>
      <c r="P10" s="570">
        <v>26</v>
      </c>
      <c r="Q10" s="578">
        <v>22</v>
      </c>
      <c r="R10" s="578">
        <v>22</v>
      </c>
      <c r="S10" s="578">
        <v>27</v>
      </c>
      <c r="T10" s="578">
        <v>34</v>
      </c>
      <c r="U10" s="578">
        <v>27</v>
      </c>
      <c r="V10" s="578">
        <v>22</v>
      </c>
      <c r="W10" s="578">
        <v>30</v>
      </c>
      <c r="X10" s="578">
        <v>13</v>
      </c>
      <c r="Y10" s="578">
        <v>24</v>
      </c>
      <c r="AB10" s="719"/>
    </row>
    <row r="11" spans="1:28" s="551" customFormat="1" ht="9" customHeight="1" x14ac:dyDescent="0.25">
      <c r="A11" s="546" t="s">
        <v>24</v>
      </c>
      <c r="B11" s="551">
        <v>181</v>
      </c>
      <c r="C11" s="551">
        <v>213</v>
      </c>
      <c r="D11" s="551">
        <v>205</v>
      </c>
      <c r="E11" s="551">
        <v>207</v>
      </c>
      <c r="F11" s="551">
        <v>234</v>
      </c>
      <c r="G11" s="551">
        <v>270</v>
      </c>
      <c r="H11" s="551">
        <v>203</v>
      </c>
      <c r="I11" s="551">
        <v>254</v>
      </c>
      <c r="J11" s="551">
        <v>234</v>
      </c>
      <c r="K11" s="551">
        <v>281</v>
      </c>
      <c r="L11" s="551">
        <v>269</v>
      </c>
      <c r="M11" s="551">
        <v>275</v>
      </c>
      <c r="N11" s="570">
        <v>290</v>
      </c>
      <c r="O11" s="570">
        <v>279</v>
      </c>
      <c r="P11" s="570">
        <v>275</v>
      </c>
      <c r="Q11" s="578">
        <v>262</v>
      </c>
      <c r="R11" s="578">
        <v>282</v>
      </c>
      <c r="S11" s="578">
        <v>285</v>
      </c>
      <c r="T11" s="578">
        <v>275</v>
      </c>
      <c r="U11" s="578">
        <v>223</v>
      </c>
      <c r="V11" s="578">
        <v>260</v>
      </c>
      <c r="W11" s="578">
        <v>278</v>
      </c>
      <c r="X11" s="578">
        <v>270</v>
      </c>
      <c r="Y11" s="578">
        <v>283</v>
      </c>
      <c r="AB11" s="719"/>
    </row>
    <row r="12" spans="1:28" s="551" customFormat="1" ht="9" customHeight="1" x14ac:dyDescent="0.25">
      <c r="A12" s="546" t="s">
        <v>25</v>
      </c>
      <c r="B12" s="551">
        <v>16</v>
      </c>
      <c r="C12" s="551">
        <v>8</v>
      </c>
      <c r="D12" s="551">
        <v>19</v>
      </c>
      <c r="E12" s="551">
        <v>19</v>
      </c>
      <c r="F12" s="551">
        <v>15</v>
      </c>
      <c r="G12" s="551">
        <v>23</v>
      </c>
      <c r="H12" s="551">
        <v>20</v>
      </c>
      <c r="I12" s="551">
        <v>22</v>
      </c>
      <c r="J12" s="551">
        <v>24</v>
      </c>
      <c r="K12" s="551">
        <v>34</v>
      </c>
      <c r="L12" s="551">
        <v>32</v>
      </c>
      <c r="M12" s="551">
        <v>45</v>
      </c>
      <c r="N12" s="570">
        <v>23</v>
      </c>
      <c r="O12" s="570">
        <v>44</v>
      </c>
      <c r="P12" s="570">
        <v>34</v>
      </c>
      <c r="Q12" s="578">
        <v>36</v>
      </c>
      <c r="R12" s="578">
        <v>53</v>
      </c>
      <c r="S12" s="578">
        <v>46</v>
      </c>
      <c r="T12" s="578">
        <v>40</v>
      </c>
      <c r="U12" s="578">
        <v>52</v>
      </c>
      <c r="V12" s="578">
        <v>38</v>
      </c>
      <c r="W12" s="578">
        <v>36</v>
      </c>
      <c r="X12" s="578">
        <v>37</v>
      </c>
      <c r="Y12" s="578">
        <v>33</v>
      </c>
      <c r="AB12" s="719"/>
    </row>
    <row r="13" spans="1:28" s="551" customFormat="1" ht="9" customHeight="1" x14ac:dyDescent="0.25">
      <c r="A13" s="548" t="s">
        <v>26</v>
      </c>
      <c r="B13" s="554">
        <v>14</v>
      </c>
      <c r="C13" s="554">
        <v>21</v>
      </c>
      <c r="D13" s="554">
        <v>21</v>
      </c>
      <c r="E13" s="554">
        <v>26</v>
      </c>
      <c r="F13" s="554">
        <v>20</v>
      </c>
      <c r="G13" s="554">
        <v>36</v>
      </c>
      <c r="H13" s="554">
        <v>31</v>
      </c>
      <c r="I13" s="554">
        <v>47</v>
      </c>
      <c r="J13" s="554">
        <v>42</v>
      </c>
      <c r="K13" s="554">
        <v>37</v>
      </c>
      <c r="L13" s="554">
        <v>35</v>
      </c>
      <c r="M13" s="554">
        <v>42</v>
      </c>
      <c r="N13" s="571">
        <v>63</v>
      </c>
      <c r="O13" s="571">
        <v>59</v>
      </c>
      <c r="P13" s="571">
        <v>58</v>
      </c>
      <c r="Q13" s="579">
        <v>45</v>
      </c>
      <c r="R13" s="579">
        <v>50</v>
      </c>
      <c r="S13" s="579">
        <v>77</v>
      </c>
      <c r="T13" s="579">
        <v>63</v>
      </c>
      <c r="U13" s="579">
        <v>79</v>
      </c>
      <c r="V13" s="579">
        <v>79</v>
      </c>
      <c r="W13" s="579">
        <v>79</v>
      </c>
      <c r="X13" s="579">
        <v>84</v>
      </c>
      <c r="Y13" s="579">
        <v>88</v>
      </c>
      <c r="AB13" s="719"/>
    </row>
    <row r="14" spans="1:28" s="551" customFormat="1" ht="9" customHeight="1" x14ac:dyDescent="0.25">
      <c r="A14" s="546" t="s">
        <v>27</v>
      </c>
      <c r="B14" s="551">
        <v>52</v>
      </c>
      <c r="C14" s="551">
        <v>68</v>
      </c>
      <c r="D14" s="551">
        <v>48</v>
      </c>
      <c r="E14" s="551">
        <v>61</v>
      </c>
      <c r="F14" s="551">
        <v>48</v>
      </c>
      <c r="G14" s="551">
        <v>63</v>
      </c>
      <c r="H14" s="551">
        <v>58</v>
      </c>
      <c r="I14" s="551">
        <v>78</v>
      </c>
      <c r="J14" s="551">
        <v>74</v>
      </c>
      <c r="K14" s="551">
        <v>82</v>
      </c>
      <c r="L14" s="551">
        <v>72</v>
      </c>
      <c r="M14" s="551">
        <v>79</v>
      </c>
      <c r="N14" s="570">
        <v>92</v>
      </c>
      <c r="O14" s="570">
        <v>74</v>
      </c>
      <c r="P14" s="570">
        <v>85</v>
      </c>
      <c r="Q14" s="578">
        <v>74</v>
      </c>
      <c r="R14" s="578">
        <v>77</v>
      </c>
      <c r="S14" s="578">
        <v>87</v>
      </c>
      <c r="T14" s="578">
        <v>108</v>
      </c>
      <c r="U14" s="578">
        <v>70</v>
      </c>
      <c r="V14" s="578">
        <v>67</v>
      </c>
      <c r="W14" s="578">
        <v>70</v>
      </c>
      <c r="X14" s="578">
        <v>90</v>
      </c>
      <c r="Y14" s="578">
        <v>80</v>
      </c>
      <c r="AB14" s="719"/>
    </row>
    <row r="15" spans="1:28" s="551" customFormat="1" ht="9" customHeight="1" x14ac:dyDescent="0.25">
      <c r="A15" s="546" t="s">
        <v>28</v>
      </c>
      <c r="B15" s="551">
        <v>27</v>
      </c>
      <c r="C15" s="551">
        <v>18</v>
      </c>
      <c r="D15" s="551">
        <v>32</v>
      </c>
      <c r="E15" s="551">
        <v>28</v>
      </c>
      <c r="F15" s="551">
        <v>33</v>
      </c>
      <c r="G15" s="551">
        <v>21</v>
      </c>
      <c r="H15" s="551">
        <v>27</v>
      </c>
      <c r="I15" s="551">
        <v>32</v>
      </c>
      <c r="J15" s="551">
        <v>29</v>
      </c>
      <c r="K15" s="551">
        <v>29</v>
      </c>
      <c r="L15" s="551">
        <v>32</v>
      </c>
      <c r="M15" s="551">
        <v>31</v>
      </c>
      <c r="N15" s="570">
        <v>49</v>
      </c>
      <c r="O15" s="570">
        <v>42</v>
      </c>
      <c r="P15" s="570">
        <v>46</v>
      </c>
      <c r="Q15" s="578">
        <v>32</v>
      </c>
      <c r="R15" s="578">
        <v>46</v>
      </c>
      <c r="S15" s="578">
        <v>60</v>
      </c>
      <c r="T15" s="578">
        <v>53</v>
      </c>
      <c r="U15" s="578">
        <v>48</v>
      </c>
      <c r="V15" s="578">
        <v>58</v>
      </c>
      <c r="W15" s="578">
        <v>44</v>
      </c>
      <c r="X15" s="578">
        <v>55</v>
      </c>
      <c r="Y15" s="578">
        <v>69</v>
      </c>
      <c r="AB15" s="719"/>
    </row>
    <row r="16" spans="1:28" s="551" customFormat="1" ht="9" customHeight="1" x14ac:dyDescent="0.25">
      <c r="A16" s="546" t="s">
        <v>29</v>
      </c>
      <c r="B16" s="551">
        <v>50</v>
      </c>
      <c r="C16" s="551">
        <v>64</v>
      </c>
      <c r="D16" s="551">
        <v>72</v>
      </c>
      <c r="E16" s="551">
        <v>100</v>
      </c>
      <c r="F16" s="551">
        <v>115</v>
      </c>
      <c r="G16" s="551">
        <v>143</v>
      </c>
      <c r="H16" s="551">
        <v>164</v>
      </c>
      <c r="I16" s="551">
        <v>153</v>
      </c>
      <c r="J16" s="551">
        <v>189</v>
      </c>
      <c r="K16" s="551">
        <v>203</v>
      </c>
      <c r="L16" s="551">
        <v>225</v>
      </c>
      <c r="M16" s="551">
        <v>256</v>
      </c>
      <c r="N16" s="570">
        <v>243</v>
      </c>
      <c r="O16" s="570">
        <v>261</v>
      </c>
      <c r="P16" s="570">
        <v>266</v>
      </c>
      <c r="Q16" s="578">
        <v>226</v>
      </c>
      <c r="R16" s="578">
        <v>241</v>
      </c>
      <c r="S16" s="578">
        <v>249</v>
      </c>
      <c r="T16" s="578">
        <v>245</v>
      </c>
      <c r="U16" s="578">
        <v>232</v>
      </c>
      <c r="V16" s="578">
        <v>230</v>
      </c>
      <c r="W16" s="578">
        <v>283</v>
      </c>
      <c r="X16" s="578">
        <v>242</v>
      </c>
      <c r="Y16" s="578">
        <v>229</v>
      </c>
      <c r="AB16" s="719"/>
    </row>
    <row r="17" spans="1:28" s="551" customFormat="1" ht="9" customHeight="1" x14ac:dyDescent="0.25">
      <c r="A17" s="548" t="s">
        <v>30</v>
      </c>
      <c r="B17" s="554">
        <v>85</v>
      </c>
      <c r="C17" s="554">
        <v>77</v>
      </c>
      <c r="D17" s="554">
        <v>114</v>
      </c>
      <c r="E17" s="554">
        <v>93</v>
      </c>
      <c r="F17" s="554">
        <v>112</v>
      </c>
      <c r="G17" s="554">
        <v>126</v>
      </c>
      <c r="H17" s="554">
        <v>139</v>
      </c>
      <c r="I17" s="554">
        <v>162</v>
      </c>
      <c r="J17" s="554">
        <v>183</v>
      </c>
      <c r="K17" s="554">
        <v>172</v>
      </c>
      <c r="L17" s="554">
        <v>170</v>
      </c>
      <c r="M17" s="554">
        <v>199</v>
      </c>
      <c r="N17" s="571">
        <v>202</v>
      </c>
      <c r="O17" s="571">
        <v>216</v>
      </c>
      <c r="P17" s="571">
        <v>161</v>
      </c>
      <c r="Q17" s="579">
        <v>166</v>
      </c>
      <c r="R17" s="579">
        <v>166</v>
      </c>
      <c r="S17" s="579">
        <v>142</v>
      </c>
      <c r="T17" s="579">
        <v>131</v>
      </c>
      <c r="U17" s="579">
        <v>135</v>
      </c>
      <c r="V17" s="579">
        <v>160</v>
      </c>
      <c r="W17" s="579">
        <v>121</v>
      </c>
      <c r="X17" s="579">
        <v>124</v>
      </c>
      <c r="Y17" s="579">
        <v>136</v>
      </c>
      <c r="AB17" s="719"/>
    </row>
    <row r="18" spans="1:28" s="551" customFormat="1" ht="9" customHeight="1" x14ac:dyDescent="0.25">
      <c r="A18" s="550" t="s">
        <v>63</v>
      </c>
      <c r="B18" s="551">
        <v>983</v>
      </c>
      <c r="C18" s="551">
        <v>981</v>
      </c>
      <c r="D18" s="551">
        <v>890</v>
      </c>
      <c r="E18" s="551">
        <v>773</v>
      </c>
      <c r="F18" s="551">
        <v>689</v>
      </c>
      <c r="G18" s="551">
        <v>623</v>
      </c>
      <c r="H18" s="551">
        <v>609</v>
      </c>
      <c r="I18" s="551">
        <v>549</v>
      </c>
      <c r="J18" s="551">
        <v>553</v>
      </c>
      <c r="K18" s="551">
        <v>520</v>
      </c>
      <c r="L18" s="551">
        <v>512</v>
      </c>
      <c r="M18" s="551">
        <v>506</v>
      </c>
      <c r="N18" s="570">
        <v>542</v>
      </c>
      <c r="O18" s="570">
        <v>510</v>
      </c>
      <c r="P18" s="570">
        <v>502</v>
      </c>
      <c r="Q18" s="578">
        <v>417</v>
      </c>
      <c r="R18" s="578">
        <v>401</v>
      </c>
      <c r="S18" s="578">
        <v>426</v>
      </c>
      <c r="T18" s="578">
        <v>409</v>
      </c>
      <c r="U18" s="578">
        <v>373</v>
      </c>
      <c r="V18" s="578">
        <v>363</v>
      </c>
      <c r="W18" s="578">
        <v>347</v>
      </c>
      <c r="X18" s="578">
        <v>292</v>
      </c>
      <c r="Y18" s="578">
        <v>409</v>
      </c>
      <c r="AB18" s="719"/>
    </row>
    <row r="19" spans="1:28" s="551" customFormat="1" ht="9" customHeight="1" x14ac:dyDescent="0.25">
      <c r="A19" s="546" t="s">
        <v>31</v>
      </c>
      <c r="B19" s="551">
        <v>31</v>
      </c>
      <c r="C19" s="551">
        <v>29</v>
      </c>
      <c r="D19" s="551">
        <v>30</v>
      </c>
      <c r="E19" s="551">
        <v>23</v>
      </c>
      <c r="F19" s="551">
        <v>38</v>
      </c>
      <c r="G19" s="551">
        <v>29</v>
      </c>
      <c r="H19" s="551">
        <v>28</v>
      </c>
      <c r="I19" s="551">
        <v>37</v>
      </c>
      <c r="J19" s="551">
        <v>31</v>
      </c>
      <c r="K19" s="551">
        <v>43</v>
      </c>
      <c r="L19" s="551">
        <v>43</v>
      </c>
      <c r="M19" s="551">
        <v>31</v>
      </c>
      <c r="N19" s="570">
        <v>46</v>
      </c>
      <c r="O19" s="570">
        <v>38</v>
      </c>
      <c r="P19" s="570">
        <v>38</v>
      </c>
      <c r="Q19" s="578">
        <v>39</v>
      </c>
      <c r="R19" s="578">
        <v>43</v>
      </c>
      <c r="S19" s="578">
        <v>28</v>
      </c>
      <c r="T19" s="578">
        <v>44</v>
      </c>
      <c r="U19" s="578">
        <v>55</v>
      </c>
      <c r="V19" s="578">
        <v>35</v>
      </c>
      <c r="W19" s="578">
        <v>34</v>
      </c>
      <c r="X19" s="578">
        <v>29</v>
      </c>
      <c r="Y19" s="578">
        <v>42</v>
      </c>
      <c r="AB19" s="719"/>
    </row>
    <row r="20" spans="1:28" s="551" customFormat="1" ht="9" customHeight="1" x14ac:dyDescent="0.25">
      <c r="A20" s="546" t="s">
        <v>32</v>
      </c>
      <c r="B20" s="551">
        <v>75</v>
      </c>
      <c r="C20" s="551">
        <v>102</v>
      </c>
      <c r="D20" s="551">
        <v>81</v>
      </c>
      <c r="E20" s="551">
        <v>89</v>
      </c>
      <c r="F20" s="551">
        <v>113</v>
      </c>
      <c r="G20" s="551">
        <v>109</v>
      </c>
      <c r="H20" s="551">
        <v>111</v>
      </c>
      <c r="I20" s="551">
        <v>122</v>
      </c>
      <c r="J20" s="551">
        <v>127</v>
      </c>
      <c r="K20" s="551">
        <v>122</v>
      </c>
      <c r="L20" s="551">
        <v>114</v>
      </c>
      <c r="M20" s="551">
        <v>96</v>
      </c>
      <c r="N20" s="570">
        <v>121</v>
      </c>
      <c r="O20" s="570">
        <v>93</v>
      </c>
      <c r="P20" s="570">
        <v>95</v>
      </c>
      <c r="Q20" s="578">
        <v>91</v>
      </c>
      <c r="R20" s="578">
        <v>112</v>
      </c>
      <c r="S20" s="578">
        <v>90</v>
      </c>
      <c r="T20" s="578">
        <v>82</v>
      </c>
      <c r="U20" s="578">
        <v>89</v>
      </c>
      <c r="V20" s="578">
        <v>101</v>
      </c>
      <c r="W20" s="578">
        <v>100</v>
      </c>
      <c r="X20" s="578">
        <v>100</v>
      </c>
      <c r="Y20" s="578">
        <v>114</v>
      </c>
      <c r="AB20" s="719"/>
    </row>
    <row r="21" spans="1:28" s="551" customFormat="1" ht="9" customHeight="1" x14ac:dyDescent="0.25">
      <c r="A21" s="548" t="s">
        <v>33</v>
      </c>
      <c r="B21" s="554">
        <v>112</v>
      </c>
      <c r="C21" s="554">
        <v>117</v>
      </c>
      <c r="D21" s="554">
        <v>138</v>
      </c>
      <c r="E21" s="554">
        <v>147</v>
      </c>
      <c r="F21" s="554">
        <v>145</v>
      </c>
      <c r="G21" s="554">
        <v>146</v>
      </c>
      <c r="H21" s="554">
        <v>167</v>
      </c>
      <c r="I21" s="554">
        <v>174</v>
      </c>
      <c r="J21" s="554">
        <v>188</v>
      </c>
      <c r="K21" s="554">
        <v>183</v>
      </c>
      <c r="L21" s="554">
        <v>174</v>
      </c>
      <c r="M21" s="554">
        <v>184</v>
      </c>
      <c r="N21" s="571">
        <v>176</v>
      </c>
      <c r="O21" s="571">
        <v>185</v>
      </c>
      <c r="P21" s="571">
        <v>186</v>
      </c>
      <c r="Q21" s="579">
        <v>200</v>
      </c>
      <c r="R21" s="579">
        <v>173</v>
      </c>
      <c r="S21" s="579">
        <v>152</v>
      </c>
      <c r="T21" s="579">
        <v>180</v>
      </c>
      <c r="U21" s="579">
        <v>174</v>
      </c>
      <c r="V21" s="579">
        <v>167</v>
      </c>
      <c r="W21" s="579">
        <v>137</v>
      </c>
      <c r="X21" s="579">
        <v>123</v>
      </c>
      <c r="Y21" s="579">
        <v>133</v>
      </c>
      <c r="AB21" s="719"/>
    </row>
    <row r="22" spans="1:28" s="551" customFormat="1" ht="9" customHeight="1" x14ac:dyDescent="0.25">
      <c r="A22" s="546" t="s">
        <v>34</v>
      </c>
      <c r="B22" s="551">
        <v>36</v>
      </c>
      <c r="C22" s="551">
        <v>40</v>
      </c>
      <c r="D22" s="551">
        <v>32</v>
      </c>
      <c r="E22" s="551">
        <v>39</v>
      </c>
      <c r="F22" s="551">
        <v>37</v>
      </c>
      <c r="G22" s="551">
        <v>36</v>
      </c>
      <c r="H22" s="551">
        <v>51</v>
      </c>
      <c r="I22" s="551">
        <v>45</v>
      </c>
      <c r="J22" s="551">
        <v>40</v>
      </c>
      <c r="K22" s="551">
        <v>45</v>
      </c>
      <c r="L22" s="551">
        <v>34</v>
      </c>
      <c r="M22" s="551">
        <v>42</v>
      </c>
      <c r="N22" s="570">
        <v>47</v>
      </c>
      <c r="O22" s="570">
        <v>43</v>
      </c>
      <c r="P22" s="570">
        <v>56</v>
      </c>
      <c r="Q22" s="578">
        <v>46</v>
      </c>
      <c r="R22" s="578">
        <v>45</v>
      </c>
      <c r="S22" s="578">
        <v>48</v>
      </c>
      <c r="T22" s="578">
        <v>54</v>
      </c>
      <c r="U22" s="578">
        <v>40</v>
      </c>
      <c r="V22" s="578">
        <v>39</v>
      </c>
      <c r="W22" s="578">
        <v>48</v>
      </c>
      <c r="X22" s="578">
        <v>58</v>
      </c>
      <c r="Y22" s="578">
        <v>73</v>
      </c>
      <c r="AB22" s="719"/>
    </row>
    <row r="23" spans="1:28" s="551" customFormat="1" ht="9" customHeight="1" x14ac:dyDescent="0.25">
      <c r="A23" s="546" t="s">
        <v>35</v>
      </c>
      <c r="B23" s="551">
        <v>427</v>
      </c>
      <c r="C23" s="551">
        <v>416</v>
      </c>
      <c r="D23" s="551">
        <v>347</v>
      </c>
      <c r="E23" s="551">
        <v>363</v>
      </c>
      <c r="F23" s="551">
        <v>394</v>
      </c>
      <c r="G23" s="551">
        <v>338</v>
      </c>
      <c r="H23" s="551">
        <v>341</v>
      </c>
      <c r="I23" s="551">
        <v>347</v>
      </c>
      <c r="J23" s="551">
        <v>374</v>
      </c>
      <c r="K23" s="551">
        <v>322</v>
      </c>
      <c r="L23" s="551">
        <v>317</v>
      </c>
      <c r="M23" s="551">
        <v>284</v>
      </c>
      <c r="N23" s="570">
        <v>290</v>
      </c>
      <c r="O23" s="570">
        <v>279</v>
      </c>
      <c r="P23" s="570">
        <v>287</v>
      </c>
      <c r="Q23" s="578">
        <v>283</v>
      </c>
      <c r="R23" s="578">
        <v>293</v>
      </c>
      <c r="S23" s="578">
        <v>268</v>
      </c>
      <c r="T23" s="578">
        <v>290</v>
      </c>
      <c r="U23" s="578">
        <v>237</v>
      </c>
      <c r="V23" s="578">
        <v>229</v>
      </c>
      <c r="W23" s="578">
        <v>249</v>
      </c>
      <c r="X23" s="578">
        <v>298</v>
      </c>
      <c r="Y23" s="578">
        <v>361</v>
      </c>
      <c r="AB23" s="719"/>
    </row>
    <row r="24" spans="1:28" s="551" customFormat="1" ht="9" customHeight="1" x14ac:dyDescent="0.25">
      <c r="A24" s="546" t="s">
        <v>36</v>
      </c>
      <c r="B24" s="551">
        <v>531</v>
      </c>
      <c r="C24" s="551">
        <v>583</v>
      </c>
      <c r="D24" s="551">
        <v>546</v>
      </c>
      <c r="E24" s="551">
        <v>480</v>
      </c>
      <c r="F24" s="551">
        <v>481</v>
      </c>
      <c r="G24" s="551">
        <v>463</v>
      </c>
      <c r="H24" s="551">
        <v>434</v>
      </c>
      <c r="I24" s="551">
        <v>410</v>
      </c>
      <c r="J24" s="551">
        <v>383</v>
      </c>
      <c r="K24" s="551">
        <v>388</v>
      </c>
      <c r="L24" s="551">
        <v>399</v>
      </c>
      <c r="M24" s="551">
        <v>421</v>
      </c>
      <c r="N24" s="570">
        <v>440</v>
      </c>
      <c r="O24" s="570">
        <v>450</v>
      </c>
      <c r="P24" s="570">
        <v>431</v>
      </c>
      <c r="Q24" s="578">
        <v>406</v>
      </c>
      <c r="R24" s="578">
        <v>447</v>
      </c>
      <c r="S24" s="578">
        <v>450</v>
      </c>
      <c r="T24" s="578">
        <v>432</v>
      </c>
      <c r="U24" s="578">
        <v>388</v>
      </c>
      <c r="V24" s="578">
        <v>417</v>
      </c>
      <c r="W24" s="578">
        <v>424</v>
      </c>
      <c r="X24" s="578">
        <v>401</v>
      </c>
      <c r="Y24" s="578">
        <v>460</v>
      </c>
      <c r="AB24" s="719"/>
    </row>
    <row r="25" spans="1:28" s="551" customFormat="1" ht="9" customHeight="1" x14ac:dyDescent="0.25">
      <c r="A25" s="548" t="s">
        <v>37</v>
      </c>
      <c r="B25" s="554">
        <v>77</v>
      </c>
      <c r="C25" s="554">
        <v>100</v>
      </c>
      <c r="D25" s="554">
        <v>74</v>
      </c>
      <c r="E25" s="554">
        <v>91</v>
      </c>
      <c r="F25" s="554">
        <v>103</v>
      </c>
      <c r="G25" s="554">
        <v>93</v>
      </c>
      <c r="H25" s="554">
        <v>94</v>
      </c>
      <c r="I25" s="554">
        <v>103</v>
      </c>
      <c r="J25" s="554">
        <v>97</v>
      </c>
      <c r="K25" s="554">
        <v>94</v>
      </c>
      <c r="L25" s="554">
        <v>94</v>
      </c>
      <c r="M25" s="554">
        <v>84</v>
      </c>
      <c r="N25" s="571">
        <v>97</v>
      </c>
      <c r="O25" s="571">
        <v>80</v>
      </c>
      <c r="P25" s="571">
        <v>100</v>
      </c>
      <c r="Q25" s="579">
        <v>107</v>
      </c>
      <c r="R25" s="579">
        <v>92</v>
      </c>
      <c r="S25" s="579">
        <v>113</v>
      </c>
      <c r="T25" s="579">
        <v>91</v>
      </c>
      <c r="U25" s="579">
        <v>85</v>
      </c>
      <c r="V25" s="579">
        <v>97</v>
      </c>
      <c r="W25" s="579">
        <v>71</v>
      </c>
      <c r="X25" s="579">
        <v>74</v>
      </c>
      <c r="Y25" s="579">
        <v>64</v>
      </c>
      <c r="AB25" s="719"/>
    </row>
    <row r="26" spans="1:28" s="551" customFormat="1" ht="9" customHeight="1" x14ac:dyDescent="0.25">
      <c r="A26" s="546" t="s">
        <v>38</v>
      </c>
      <c r="B26" s="551">
        <v>91</v>
      </c>
      <c r="C26" s="551">
        <v>108</v>
      </c>
      <c r="D26" s="551">
        <v>92</v>
      </c>
      <c r="E26" s="551">
        <v>89</v>
      </c>
      <c r="F26" s="551">
        <v>116</v>
      </c>
      <c r="G26" s="551">
        <v>87</v>
      </c>
      <c r="H26" s="551">
        <v>84</v>
      </c>
      <c r="I26" s="551">
        <v>96</v>
      </c>
      <c r="J26" s="551">
        <v>81</v>
      </c>
      <c r="K26" s="551">
        <v>82</v>
      </c>
      <c r="L26" s="551">
        <v>80</v>
      </c>
      <c r="M26" s="551">
        <v>81</v>
      </c>
      <c r="N26" s="570">
        <v>79</v>
      </c>
      <c r="O26" s="570">
        <v>87</v>
      </c>
      <c r="P26" s="570">
        <v>98</v>
      </c>
      <c r="Q26" s="578">
        <v>66</v>
      </c>
      <c r="R26" s="578">
        <v>77</v>
      </c>
      <c r="S26" s="578">
        <v>78</v>
      </c>
      <c r="T26" s="578">
        <v>92</v>
      </c>
      <c r="U26" s="578">
        <v>91</v>
      </c>
      <c r="V26" s="578">
        <v>86</v>
      </c>
      <c r="W26" s="578">
        <v>88</v>
      </c>
      <c r="X26" s="578">
        <v>93</v>
      </c>
      <c r="Y26" s="578">
        <v>89</v>
      </c>
      <c r="AB26" s="719"/>
    </row>
    <row r="27" spans="1:28" s="551" customFormat="1" ht="9" customHeight="1" x14ac:dyDescent="0.25">
      <c r="A27" s="546" t="s">
        <v>39</v>
      </c>
      <c r="B27" s="551">
        <v>37</v>
      </c>
      <c r="C27" s="551">
        <v>46</v>
      </c>
      <c r="D27" s="551">
        <v>52</v>
      </c>
      <c r="E27" s="551">
        <v>34</v>
      </c>
      <c r="F27" s="551">
        <v>40</v>
      </c>
      <c r="G27" s="551">
        <v>42</v>
      </c>
      <c r="H27" s="551">
        <v>49</v>
      </c>
      <c r="I27" s="551">
        <v>51</v>
      </c>
      <c r="J27" s="551">
        <v>62</v>
      </c>
      <c r="K27" s="551">
        <v>50</v>
      </c>
      <c r="L27" s="551">
        <v>65</v>
      </c>
      <c r="M27" s="551">
        <v>53</v>
      </c>
      <c r="N27" s="570">
        <v>65</v>
      </c>
      <c r="O27" s="570">
        <v>60</v>
      </c>
      <c r="P27" s="570">
        <v>47</v>
      </c>
      <c r="Q27" s="578">
        <v>64</v>
      </c>
      <c r="R27" s="578">
        <v>80</v>
      </c>
      <c r="S27" s="578">
        <v>60</v>
      </c>
      <c r="T27" s="578">
        <v>71</v>
      </c>
      <c r="U27" s="578">
        <v>79</v>
      </c>
      <c r="V27" s="578">
        <v>68</v>
      </c>
      <c r="W27" s="578">
        <v>60</v>
      </c>
      <c r="X27" s="578">
        <v>71</v>
      </c>
      <c r="Y27" s="578">
        <v>64</v>
      </c>
      <c r="AB27" s="719"/>
    </row>
    <row r="28" spans="1:28" s="551" customFormat="1" ht="9" customHeight="1" x14ac:dyDescent="0.25">
      <c r="A28" s="546" t="s">
        <v>40</v>
      </c>
      <c r="B28" s="551">
        <v>155</v>
      </c>
      <c r="C28" s="551">
        <v>150</v>
      </c>
      <c r="D28" s="551">
        <v>132</v>
      </c>
      <c r="E28" s="551">
        <v>149</v>
      </c>
      <c r="F28" s="551">
        <v>154</v>
      </c>
      <c r="G28" s="551">
        <v>128</v>
      </c>
      <c r="H28" s="551">
        <v>161</v>
      </c>
      <c r="I28" s="551">
        <v>151</v>
      </c>
      <c r="J28" s="551">
        <v>155</v>
      </c>
      <c r="K28" s="551">
        <v>179</v>
      </c>
      <c r="L28" s="551">
        <v>166</v>
      </c>
      <c r="M28" s="551">
        <v>182</v>
      </c>
      <c r="N28" s="570">
        <v>152</v>
      </c>
      <c r="O28" s="570">
        <v>191</v>
      </c>
      <c r="P28" s="570">
        <v>190</v>
      </c>
      <c r="Q28" s="578">
        <v>216</v>
      </c>
      <c r="R28" s="578">
        <v>176</v>
      </c>
      <c r="S28" s="578">
        <v>187</v>
      </c>
      <c r="T28" s="578">
        <v>193</v>
      </c>
      <c r="U28" s="578">
        <v>212</v>
      </c>
      <c r="V28" s="578">
        <v>187</v>
      </c>
      <c r="W28" s="578">
        <v>199</v>
      </c>
      <c r="X28" s="578">
        <v>207</v>
      </c>
      <c r="Y28" s="578">
        <v>128</v>
      </c>
      <c r="AB28" s="719"/>
    </row>
    <row r="29" spans="1:28" s="551" customFormat="1" ht="9" customHeight="1" x14ac:dyDescent="0.25">
      <c r="A29" s="548" t="s">
        <v>41</v>
      </c>
      <c r="B29" s="554">
        <v>77</v>
      </c>
      <c r="C29" s="554">
        <v>94</v>
      </c>
      <c r="D29" s="554">
        <v>97</v>
      </c>
      <c r="E29" s="554">
        <v>128</v>
      </c>
      <c r="F29" s="554">
        <v>113</v>
      </c>
      <c r="G29" s="554">
        <v>129</v>
      </c>
      <c r="H29" s="554">
        <v>141</v>
      </c>
      <c r="I29" s="554">
        <v>138</v>
      </c>
      <c r="J29" s="554">
        <v>127</v>
      </c>
      <c r="K29" s="554">
        <v>137</v>
      </c>
      <c r="L29" s="554">
        <v>157</v>
      </c>
      <c r="M29" s="554">
        <v>204</v>
      </c>
      <c r="N29" s="571">
        <v>188</v>
      </c>
      <c r="O29" s="571">
        <v>200</v>
      </c>
      <c r="P29" s="571">
        <v>187</v>
      </c>
      <c r="Q29" s="579">
        <v>155</v>
      </c>
      <c r="R29" s="579">
        <v>151</v>
      </c>
      <c r="S29" s="579">
        <v>133</v>
      </c>
      <c r="T29" s="579">
        <v>153</v>
      </c>
      <c r="U29" s="579">
        <v>149</v>
      </c>
      <c r="V29" s="579">
        <v>97</v>
      </c>
      <c r="W29" s="579">
        <v>104</v>
      </c>
      <c r="X29" s="579">
        <v>104</v>
      </c>
      <c r="Y29" s="579">
        <v>98</v>
      </c>
      <c r="AB29" s="719"/>
    </row>
    <row r="30" spans="1:28" s="551" customFormat="1" ht="9" customHeight="1" x14ac:dyDescent="0.25">
      <c r="A30" s="546" t="s">
        <v>42</v>
      </c>
      <c r="B30" s="551">
        <v>197</v>
      </c>
      <c r="C30" s="551">
        <v>251</v>
      </c>
      <c r="D30" s="551">
        <v>247</v>
      </c>
      <c r="E30" s="551">
        <v>222</v>
      </c>
      <c r="F30" s="551">
        <v>211</v>
      </c>
      <c r="G30" s="551">
        <v>206</v>
      </c>
      <c r="H30" s="551">
        <v>194</v>
      </c>
      <c r="I30" s="551">
        <v>226</v>
      </c>
      <c r="J30" s="551">
        <v>202</v>
      </c>
      <c r="K30" s="551">
        <v>252</v>
      </c>
      <c r="L30" s="551">
        <v>177</v>
      </c>
      <c r="M30" s="551">
        <v>197</v>
      </c>
      <c r="N30" s="570">
        <v>224</v>
      </c>
      <c r="O30" s="570">
        <v>206</v>
      </c>
      <c r="P30" s="570">
        <v>193</v>
      </c>
      <c r="Q30" s="578">
        <v>168</v>
      </c>
      <c r="R30" s="578">
        <v>200</v>
      </c>
      <c r="S30" s="578">
        <v>199</v>
      </c>
      <c r="T30" s="578">
        <v>186</v>
      </c>
      <c r="U30" s="578">
        <v>181</v>
      </c>
      <c r="V30" s="578">
        <v>176</v>
      </c>
      <c r="W30" s="578">
        <v>203</v>
      </c>
      <c r="X30" s="578">
        <v>179</v>
      </c>
      <c r="Y30" s="578">
        <v>182</v>
      </c>
      <c r="AB30" s="719"/>
    </row>
    <row r="31" spans="1:28" s="551" customFormat="1" ht="9" customHeight="1" x14ac:dyDescent="0.25">
      <c r="A31" s="546" t="s">
        <v>43</v>
      </c>
      <c r="B31" s="551">
        <v>26</v>
      </c>
      <c r="C31" s="551">
        <v>32</v>
      </c>
      <c r="D31" s="551">
        <v>34</v>
      </c>
      <c r="E31" s="551">
        <v>35</v>
      </c>
      <c r="F31" s="551">
        <v>26</v>
      </c>
      <c r="G31" s="551">
        <v>28</v>
      </c>
      <c r="H31" s="551">
        <v>28</v>
      </c>
      <c r="I31" s="551">
        <v>27</v>
      </c>
      <c r="J31" s="551">
        <v>35</v>
      </c>
      <c r="K31" s="551">
        <v>27</v>
      </c>
      <c r="L31" s="551">
        <v>27</v>
      </c>
      <c r="M31" s="551">
        <v>46</v>
      </c>
      <c r="N31" s="570">
        <v>51</v>
      </c>
      <c r="O31" s="570">
        <v>33</v>
      </c>
      <c r="P31" s="570">
        <v>55</v>
      </c>
      <c r="Q31" s="578">
        <v>33</v>
      </c>
      <c r="R31" s="578">
        <v>41</v>
      </c>
      <c r="S31" s="578">
        <v>51</v>
      </c>
      <c r="T31" s="578">
        <v>61</v>
      </c>
      <c r="U31" s="578">
        <v>51</v>
      </c>
      <c r="V31" s="578">
        <v>54</v>
      </c>
      <c r="W31" s="578">
        <v>53</v>
      </c>
      <c r="X31" s="578">
        <v>54</v>
      </c>
      <c r="Y31" s="578">
        <v>69</v>
      </c>
      <c r="AB31" s="719"/>
    </row>
    <row r="32" spans="1:28" s="551" customFormat="1" ht="9" customHeight="1" x14ac:dyDescent="0.25">
      <c r="A32" s="546" t="s">
        <v>44</v>
      </c>
      <c r="B32" s="551">
        <v>19</v>
      </c>
      <c r="C32" s="551">
        <v>41</v>
      </c>
      <c r="D32" s="551">
        <v>43</v>
      </c>
      <c r="E32" s="551">
        <v>36</v>
      </c>
      <c r="F32" s="551">
        <v>52</v>
      </c>
      <c r="G32" s="551">
        <v>73</v>
      </c>
      <c r="H32" s="551">
        <v>65</v>
      </c>
      <c r="I32" s="551">
        <v>63</v>
      </c>
      <c r="J32" s="551">
        <v>75</v>
      </c>
      <c r="K32" s="551">
        <v>98</v>
      </c>
      <c r="L32" s="551">
        <v>87</v>
      </c>
      <c r="M32" s="551">
        <v>95</v>
      </c>
      <c r="N32" s="570">
        <v>93</v>
      </c>
      <c r="O32" s="570">
        <v>93</v>
      </c>
      <c r="P32" s="570">
        <v>105</v>
      </c>
      <c r="Q32" s="578">
        <v>134</v>
      </c>
      <c r="R32" s="578">
        <v>135</v>
      </c>
      <c r="S32" s="578">
        <v>120</v>
      </c>
      <c r="T32" s="578">
        <v>134</v>
      </c>
      <c r="U32" s="578">
        <v>153</v>
      </c>
      <c r="V32" s="578">
        <v>150</v>
      </c>
      <c r="W32" s="578">
        <v>142</v>
      </c>
      <c r="X32" s="578">
        <v>170</v>
      </c>
      <c r="Y32" s="578">
        <v>168</v>
      </c>
      <c r="AB32" s="719"/>
    </row>
    <row r="33" spans="1:28" s="551" customFormat="1" ht="9" customHeight="1" x14ac:dyDescent="0.25">
      <c r="A33" s="548" t="s">
        <v>45</v>
      </c>
      <c r="B33" s="554">
        <v>37</v>
      </c>
      <c r="C33" s="554">
        <v>42</v>
      </c>
      <c r="D33" s="554">
        <v>46</v>
      </c>
      <c r="E33" s="554">
        <v>36</v>
      </c>
      <c r="F33" s="554">
        <v>54</v>
      </c>
      <c r="G33" s="554">
        <v>36</v>
      </c>
      <c r="H33" s="554">
        <v>50</v>
      </c>
      <c r="I33" s="554">
        <v>48</v>
      </c>
      <c r="J33" s="554">
        <v>55</v>
      </c>
      <c r="K33" s="554">
        <v>45</v>
      </c>
      <c r="L33" s="554">
        <v>51</v>
      </c>
      <c r="M33" s="554">
        <v>66</v>
      </c>
      <c r="N33" s="571">
        <v>61</v>
      </c>
      <c r="O33" s="571">
        <v>68</v>
      </c>
      <c r="P33" s="571">
        <v>68</v>
      </c>
      <c r="Q33" s="579">
        <v>63</v>
      </c>
      <c r="R33" s="579">
        <v>61</v>
      </c>
      <c r="S33" s="579">
        <v>75</v>
      </c>
      <c r="T33" s="579">
        <v>52</v>
      </c>
      <c r="U33" s="579">
        <v>79</v>
      </c>
      <c r="V33" s="579">
        <v>65</v>
      </c>
      <c r="W33" s="579">
        <v>55</v>
      </c>
      <c r="X33" s="579">
        <v>78</v>
      </c>
      <c r="Y33" s="579">
        <v>76</v>
      </c>
      <c r="AB33" s="719"/>
    </row>
    <row r="34" spans="1:28" s="551" customFormat="1" ht="9" customHeight="1" x14ac:dyDescent="0.25">
      <c r="A34" s="546" t="s">
        <v>46</v>
      </c>
      <c r="B34" s="551">
        <v>72</v>
      </c>
      <c r="C34" s="551">
        <v>100</v>
      </c>
      <c r="D34" s="551">
        <v>91</v>
      </c>
      <c r="E34" s="551">
        <v>69</v>
      </c>
      <c r="F34" s="551">
        <v>75</v>
      </c>
      <c r="G34" s="551">
        <v>57</v>
      </c>
      <c r="H34" s="551">
        <v>81</v>
      </c>
      <c r="I34" s="551">
        <v>86</v>
      </c>
      <c r="J34" s="551">
        <v>82</v>
      </c>
      <c r="K34" s="551">
        <v>103</v>
      </c>
      <c r="L34" s="551">
        <v>91</v>
      </c>
      <c r="M34" s="551">
        <v>111</v>
      </c>
      <c r="N34" s="570">
        <v>97</v>
      </c>
      <c r="O34" s="570">
        <v>118</v>
      </c>
      <c r="P34" s="570">
        <v>87</v>
      </c>
      <c r="Q34" s="578">
        <v>88</v>
      </c>
      <c r="R34" s="578">
        <v>102</v>
      </c>
      <c r="S34" s="578">
        <v>84</v>
      </c>
      <c r="T34" s="578">
        <v>91</v>
      </c>
      <c r="U34" s="578">
        <v>80</v>
      </c>
      <c r="V34" s="578">
        <v>82</v>
      </c>
      <c r="W34" s="578">
        <v>85</v>
      </c>
      <c r="X34" s="578">
        <v>89</v>
      </c>
      <c r="Y34" s="578">
        <v>89</v>
      </c>
      <c r="AB34" s="719"/>
    </row>
    <row r="35" spans="1:28" s="551" customFormat="1" ht="9" customHeight="1" x14ac:dyDescent="0.25">
      <c r="A35" s="546" t="s">
        <v>47</v>
      </c>
      <c r="B35" s="551">
        <v>49</v>
      </c>
      <c r="C35" s="551">
        <v>40</v>
      </c>
      <c r="D35" s="551">
        <v>47</v>
      </c>
      <c r="E35" s="551">
        <v>59</v>
      </c>
      <c r="F35" s="551">
        <v>46</v>
      </c>
      <c r="G35" s="551">
        <v>54</v>
      </c>
      <c r="H35" s="551">
        <v>59</v>
      </c>
      <c r="I35" s="551">
        <v>69</v>
      </c>
      <c r="J35" s="551">
        <v>81</v>
      </c>
      <c r="K35" s="551">
        <v>84</v>
      </c>
      <c r="L35" s="551">
        <v>94</v>
      </c>
      <c r="M35" s="551">
        <v>96</v>
      </c>
      <c r="N35" s="570">
        <v>100</v>
      </c>
      <c r="O35" s="570">
        <v>111</v>
      </c>
      <c r="P35" s="570">
        <v>127</v>
      </c>
      <c r="Q35" s="578">
        <v>117</v>
      </c>
      <c r="R35" s="578">
        <v>114</v>
      </c>
      <c r="S35" s="578">
        <v>134</v>
      </c>
      <c r="T35" s="578">
        <v>127</v>
      </c>
      <c r="U35" s="578">
        <v>119</v>
      </c>
      <c r="V35" s="578">
        <v>117</v>
      </c>
      <c r="W35" s="578">
        <v>107</v>
      </c>
      <c r="X35" s="578">
        <v>140</v>
      </c>
      <c r="Y35" s="578">
        <v>154</v>
      </c>
      <c r="AB35" s="719"/>
    </row>
    <row r="36" spans="1:28" s="551" customFormat="1" ht="9" customHeight="1" x14ac:dyDescent="0.25">
      <c r="A36" s="546" t="s">
        <v>48</v>
      </c>
      <c r="B36" s="551">
        <v>41</v>
      </c>
      <c r="C36" s="551">
        <v>58</v>
      </c>
      <c r="D36" s="551">
        <v>78</v>
      </c>
      <c r="E36" s="551">
        <v>86</v>
      </c>
      <c r="F36" s="551">
        <v>87</v>
      </c>
      <c r="G36" s="551">
        <v>90</v>
      </c>
      <c r="H36" s="551">
        <v>105</v>
      </c>
      <c r="I36" s="551">
        <v>134</v>
      </c>
      <c r="J36" s="551">
        <v>153</v>
      </c>
      <c r="K36" s="551">
        <v>143</v>
      </c>
      <c r="L36" s="551">
        <v>157</v>
      </c>
      <c r="M36" s="551">
        <v>192</v>
      </c>
      <c r="N36" s="570">
        <v>196</v>
      </c>
      <c r="O36" s="570">
        <v>226</v>
      </c>
      <c r="P36" s="570">
        <v>218</v>
      </c>
      <c r="Q36" s="578">
        <v>253</v>
      </c>
      <c r="R36" s="578">
        <v>243</v>
      </c>
      <c r="S36" s="578">
        <v>251</v>
      </c>
      <c r="T36" s="578">
        <v>247</v>
      </c>
      <c r="U36" s="578">
        <v>263</v>
      </c>
      <c r="V36" s="578">
        <v>248</v>
      </c>
      <c r="W36" s="578">
        <v>195</v>
      </c>
      <c r="X36" s="578">
        <v>201</v>
      </c>
      <c r="Y36" s="578">
        <v>206</v>
      </c>
      <c r="AB36" s="719"/>
    </row>
    <row r="37" spans="1:28" s="551" customFormat="1" ht="9" customHeight="1" x14ac:dyDescent="0.25">
      <c r="A37" s="548" t="s">
        <v>49</v>
      </c>
      <c r="B37" s="554">
        <v>63</v>
      </c>
      <c r="C37" s="554">
        <v>72</v>
      </c>
      <c r="D37" s="554">
        <v>73</v>
      </c>
      <c r="E37" s="554">
        <v>68</v>
      </c>
      <c r="F37" s="554">
        <v>79</v>
      </c>
      <c r="G37" s="554">
        <v>107</v>
      </c>
      <c r="H37" s="554">
        <v>105</v>
      </c>
      <c r="I37" s="554">
        <v>106</v>
      </c>
      <c r="J37" s="554">
        <v>146</v>
      </c>
      <c r="K37" s="554">
        <v>144</v>
      </c>
      <c r="L37" s="554">
        <v>148</v>
      </c>
      <c r="M37" s="554">
        <v>185</v>
      </c>
      <c r="N37" s="571">
        <v>186</v>
      </c>
      <c r="O37" s="571">
        <v>183</v>
      </c>
      <c r="P37" s="571">
        <v>187</v>
      </c>
      <c r="Q37" s="579">
        <v>183</v>
      </c>
      <c r="R37" s="579">
        <v>217</v>
      </c>
      <c r="S37" s="579">
        <v>186</v>
      </c>
      <c r="T37" s="579">
        <v>195</v>
      </c>
      <c r="U37" s="579">
        <v>200</v>
      </c>
      <c r="V37" s="579">
        <v>202</v>
      </c>
      <c r="W37" s="579">
        <v>186</v>
      </c>
      <c r="X37" s="579">
        <v>191</v>
      </c>
      <c r="Y37" s="579">
        <v>215</v>
      </c>
      <c r="AB37" s="719"/>
    </row>
    <row r="38" spans="1:28" s="551" customFormat="1" ht="9" customHeight="1" x14ac:dyDescent="0.25">
      <c r="A38" s="546" t="s">
        <v>50</v>
      </c>
      <c r="B38" s="551">
        <v>31</v>
      </c>
      <c r="C38" s="551">
        <v>27</v>
      </c>
      <c r="D38" s="551">
        <v>23</v>
      </c>
      <c r="E38" s="551">
        <v>26</v>
      </c>
      <c r="F38" s="551">
        <v>26</v>
      </c>
      <c r="G38" s="551">
        <v>25</v>
      </c>
      <c r="H38" s="551">
        <v>26</v>
      </c>
      <c r="I38" s="551">
        <v>29</v>
      </c>
      <c r="J38" s="551">
        <v>24</v>
      </c>
      <c r="K38" s="551">
        <v>21</v>
      </c>
      <c r="L38" s="551">
        <v>28</v>
      </c>
      <c r="M38" s="551">
        <v>28</v>
      </c>
      <c r="N38" s="570">
        <v>21</v>
      </c>
      <c r="O38" s="570">
        <v>22</v>
      </c>
      <c r="P38" s="570">
        <v>26</v>
      </c>
      <c r="Q38" s="578">
        <v>34</v>
      </c>
      <c r="R38" s="578">
        <v>27</v>
      </c>
      <c r="S38" s="578">
        <v>21</v>
      </c>
      <c r="T38" s="578">
        <v>28</v>
      </c>
      <c r="U38" s="578">
        <v>18</v>
      </c>
      <c r="V38" s="578">
        <v>29</v>
      </c>
      <c r="W38" s="578">
        <v>21</v>
      </c>
      <c r="X38" s="578">
        <v>16</v>
      </c>
      <c r="Y38" s="578">
        <v>15</v>
      </c>
      <c r="AB38" s="719"/>
    </row>
    <row r="39" spans="1:28" s="551" customFormat="1" ht="9" customHeight="1" x14ac:dyDescent="0.25">
      <c r="A39" s="546" t="s">
        <v>51</v>
      </c>
      <c r="B39" s="551">
        <v>271</v>
      </c>
      <c r="C39" s="551">
        <v>311</v>
      </c>
      <c r="D39" s="551">
        <v>333</v>
      </c>
      <c r="E39" s="551">
        <v>377</v>
      </c>
      <c r="F39" s="551">
        <v>395</v>
      </c>
      <c r="G39" s="551">
        <v>495</v>
      </c>
      <c r="H39" s="551">
        <v>554</v>
      </c>
      <c r="I39" s="551">
        <v>580</v>
      </c>
      <c r="J39" s="551">
        <v>630</v>
      </c>
      <c r="K39" s="551">
        <v>643</v>
      </c>
      <c r="L39" s="551">
        <v>655</v>
      </c>
      <c r="M39" s="551">
        <v>692</v>
      </c>
      <c r="N39" s="570">
        <v>698</v>
      </c>
      <c r="O39" s="570">
        <v>779</v>
      </c>
      <c r="P39" s="570">
        <v>740</v>
      </c>
      <c r="Q39" s="578">
        <v>684</v>
      </c>
      <c r="R39" s="578">
        <v>733</v>
      </c>
      <c r="S39" s="578">
        <v>701</v>
      </c>
      <c r="T39" s="578">
        <v>685</v>
      </c>
      <c r="U39" s="578">
        <v>681</v>
      </c>
      <c r="V39" s="578">
        <v>700</v>
      </c>
      <c r="W39" s="578">
        <v>647</v>
      </c>
      <c r="X39" s="578">
        <v>666</v>
      </c>
      <c r="Y39" s="578">
        <v>686</v>
      </c>
      <c r="AB39" s="719"/>
    </row>
    <row r="40" spans="1:28" s="551" customFormat="1" ht="9" customHeight="1" x14ac:dyDescent="0.25">
      <c r="A40" s="546" t="s">
        <v>52</v>
      </c>
      <c r="B40" s="551">
        <v>73</v>
      </c>
      <c r="C40" s="551">
        <v>85</v>
      </c>
      <c r="D40" s="551">
        <v>97</v>
      </c>
      <c r="E40" s="551">
        <v>94</v>
      </c>
      <c r="F40" s="551">
        <v>82</v>
      </c>
      <c r="G40" s="551">
        <v>82</v>
      </c>
      <c r="H40" s="551">
        <v>92</v>
      </c>
      <c r="I40" s="551">
        <v>82</v>
      </c>
      <c r="J40" s="551">
        <v>75</v>
      </c>
      <c r="K40" s="551">
        <v>95</v>
      </c>
      <c r="L40" s="551">
        <v>85</v>
      </c>
      <c r="M40" s="551">
        <v>80</v>
      </c>
      <c r="N40" s="570">
        <v>111</v>
      </c>
      <c r="O40" s="570">
        <v>113</v>
      </c>
      <c r="P40" s="570">
        <v>118</v>
      </c>
      <c r="Q40" s="578">
        <v>120</v>
      </c>
      <c r="R40" s="578">
        <v>112</v>
      </c>
      <c r="S40" s="578">
        <v>133</v>
      </c>
      <c r="T40" s="578">
        <v>113</v>
      </c>
      <c r="U40" s="578">
        <v>117</v>
      </c>
      <c r="V40" s="578">
        <v>115</v>
      </c>
      <c r="W40" s="578">
        <v>116</v>
      </c>
      <c r="X40" s="578">
        <v>108</v>
      </c>
      <c r="Y40" s="578">
        <v>118</v>
      </c>
      <c r="AB40" s="719"/>
    </row>
    <row r="41" spans="1:28" s="551" customFormat="1" ht="9" customHeight="1" x14ac:dyDescent="0.25">
      <c r="A41" s="548" t="s">
        <v>53</v>
      </c>
      <c r="B41" s="554">
        <v>20</v>
      </c>
      <c r="C41" s="554">
        <v>20</v>
      </c>
      <c r="D41" s="554">
        <v>15</v>
      </c>
      <c r="E41" s="554">
        <v>12</v>
      </c>
      <c r="F41" s="554">
        <v>22</v>
      </c>
      <c r="G41" s="554">
        <v>20</v>
      </c>
      <c r="H41" s="554">
        <v>15</v>
      </c>
      <c r="I41" s="554">
        <v>24</v>
      </c>
      <c r="J41" s="554">
        <v>19</v>
      </c>
      <c r="K41" s="554">
        <v>26</v>
      </c>
      <c r="L41" s="554">
        <v>21</v>
      </c>
      <c r="M41" s="554">
        <v>20</v>
      </c>
      <c r="N41" s="571">
        <v>15</v>
      </c>
      <c r="O41" s="571">
        <v>20</v>
      </c>
      <c r="P41" s="571">
        <v>22</v>
      </c>
      <c r="Q41" s="579">
        <v>27</v>
      </c>
      <c r="R41" s="579">
        <v>24</v>
      </c>
      <c r="S41" s="579">
        <v>11</v>
      </c>
      <c r="T41" s="579">
        <v>16</v>
      </c>
      <c r="U41" s="579">
        <v>27</v>
      </c>
      <c r="V41" s="579">
        <v>13</v>
      </c>
      <c r="W41" s="579">
        <v>16</v>
      </c>
      <c r="X41" s="579">
        <v>19</v>
      </c>
      <c r="Y41" s="579">
        <v>20</v>
      </c>
      <c r="AB41" s="719"/>
    </row>
    <row r="42" spans="1:28" s="551" customFormat="1" ht="9" customHeight="1" x14ac:dyDescent="0.25">
      <c r="A42" s="551" t="s">
        <v>434</v>
      </c>
      <c r="B42" s="551">
        <v>50</v>
      </c>
      <c r="C42" s="551">
        <v>35</v>
      </c>
      <c r="D42" s="551">
        <v>30</v>
      </c>
      <c r="E42" s="551">
        <v>18</v>
      </c>
      <c r="F42" s="551">
        <v>23</v>
      </c>
      <c r="G42" s="551">
        <v>23</v>
      </c>
      <c r="H42" s="551">
        <v>7</v>
      </c>
      <c r="I42" s="551">
        <v>16</v>
      </c>
      <c r="J42" s="551">
        <v>8</v>
      </c>
      <c r="K42" s="551">
        <v>4</v>
      </c>
      <c r="L42" s="551">
        <v>4</v>
      </c>
      <c r="M42" s="551">
        <v>5</v>
      </c>
      <c r="N42" s="570">
        <v>6</v>
      </c>
      <c r="O42" s="570">
        <v>6</v>
      </c>
      <c r="P42" s="570">
        <v>7</v>
      </c>
      <c r="Q42" s="578">
        <v>3</v>
      </c>
      <c r="R42" s="578">
        <v>7</v>
      </c>
      <c r="S42" s="578">
        <v>2</v>
      </c>
      <c r="T42" s="578">
        <v>6</v>
      </c>
      <c r="U42" s="578">
        <v>4</v>
      </c>
      <c r="V42" s="578">
        <v>5</v>
      </c>
      <c r="W42" s="578">
        <v>2</v>
      </c>
      <c r="X42" s="578">
        <v>2</v>
      </c>
      <c r="Y42" s="578">
        <v>3</v>
      </c>
      <c r="AB42" s="719"/>
    </row>
    <row r="43" spans="1:28" s="551" customFormat="1" ht="9" customHeight="1" x14ac:dyDescent="0.25">
      <c r="A43" s="551" t="s">
        <v>54</v>
      </c>
      <c r="B43" s="720" t="s">
        <v>22</v>
      </c>
      <c r="C43" s="720" t="s">
        <v>22</v>
      </c>
      <c r="D43" s="720" t="s">
        <v>22</v>
      </c>
      <c r="E43" s="720" t="s">
        <v>22</v>
      </c>
      <c r="F43" s="720" t="s">
        <v>22</v>
      </c>
      <c r="G43" s="720" t="s">
        <v>22</v>
      </c>
      <c r="H43" s="720" t="s">
        <v>22</v>
      </c>
      <c r="I43" s="720" t="s">
        <v>22</v>
      </c>
      <c r="J43" s="720" t="s">
        <v>22</v>
      </c>
      <c r="K43" s="720" t="s">
        <v>22</v>
      </c>
      <c r="L43" s="720" t="s">
        <v>22</v>
      </c>
      <c r="M43" s="720" t="s">
        <v>22</v>
      </c>
      <c r="N43" s="720" t="s">
        <v>22</v>
      </c>
      <c r="O43" s="720" t="s">
        <v>22</v>
      </c>
      <c r="P43" s="720" t="s">
        <v>22</v>
      </c>
      <c r="Q43" s="720" t="s">
        <v>22</v>
      </c>
      <c r="R43" s="720" t="s">
        <v>22</v>
      </c>
      <c r="S43" s="720" t="s">
        <v>22</v>
      </c>
      <c r="T43" s="720" t="s">
        <v>22</v>
      </c>
      <c r="U43" s="720" t="s">
        <v>22</v>
      </c>
      <c r="V43" s="720" t="s">
        <v>22</v>
      </c>
      <c r="W43" s="720" t="s">
        <v>22</v>
      </c>
      <c r="X43" s="578">
        <v>42</v>
      </c>
      <c r="Y43" s="578">
        <v>65</v>
      </c>
      <c r="AB43" s="719"/>
    </row>
    <row r="44" spans="1:28" ht="3" customHeight="1" x14ac:dyDescent="0.25">
      <c r="A44" s="700"/>
      <c r="B44" s="700"/>
      <c r="C44" s="700"/>
      <c r="D44" s="700"/>
      <c r="E44" s="700"/>
      <c r="F44" s="700"/>
      <c r="G44" s="700"/>
      <c r="H44" s="700"/>
      <c r="I44" s="700"/>
      <c r="J44" s="700"/>
      <c r="K44" s="700"/>
      <c r="L44" s="700"/>
      <c r="M44" s="700"/>
      <c r="N44" s="701"/>
      <c r="O44" s="701"/>
      <c r="P44" s="701"/>
      <c r="Q44" s="701"/>
      <c r="R44" s="701"/>
      <c r="S44" s="701"/>
      <c r="T44" s="701"/>
      <c r="U44" s="701"/>
      <c r="V44" s="701"/>
      <c r="W44" s="701"/>
      <c r="X44" s="701"/>
      <c r="Y44" s="701"/>
    </row>
    <row r="45" spans="1:28" ht="3" customHeight="1" x14ac:dyDescent="0.25"/>
    <row r="46" spans="1:28" s="594" customFormat="1" ht="9" customHeight="1" x14ac:dyDescent="0.25">
      <c r="A46" s="592" t="s">
        <v>437</v>
      </c>
      <c r="B46" s="454"/>
      <c r="N46" s="721"/>
      <c r="O46" s="721"/>
      <c r="P46" s="721"/>
      <c r="Q46" s="721"/>
      <c r="R46" s="721"/>
      <c r="S46" s="721"/>
      <c r="T46" s="721"/>
      <c r="U46" s="721"/>
      <c r="V46" s="721"/>
      <c r="W46" s="721"/>
      <c r="X46" s="721"/>
      <c r="Y46" s="721"/>
    </row>
    <row r="47" spans="1:28" ht="12.75" hidden="1" customHeight="1" x14ac:dyDescent="0.25">
      <c r="A47" s="722"/>
      <c r="Z47" s="702" t="s">
        <v>74</v>
      </c>
    </row>
  </sheetData>
  <sheetProtection sheet="1" objects="1" scenarios="1"/>
  <hyperlinks>
    <hyperlink ref="Y1" location="Índice!A1" display="Índice!A1"/>
    <hyperlink ref="A46:B46" r:id="rId1" display="Fuente: INEGI. Estadísticas de Mortalidad."/>
    <hyperlink ref="T1:W1" location="Índice!A1" tooltip="Ir a Índice" display="Índice!A1"/>
    <hyperlink ref="U1" location="Índice!A1" tooltip="Ir a Índice" display="Índice!A1"/>
    <hyperlink ref="V1" location="Índice!A1" tooltip="Ir a Índice" display="Índice!A1"/>
  </hyperlinks>
  <printOptions horizontalCentered="1" verticalCentered="1" gridLinesSet="0"/>
  <pageMargins left="0.39370078740157483" right="0.39370078740157483" top="0.39370078740157483" bottom="0.39370078740157483" header="0.39370078740157483" footer="0.39370078740157483"/>
  <pageSetup orientation="landscape" r:id="rId2"/>
  <headerFooter>
    <oddHeader>&amp;L&amp;"Arial,Normal"&amp;10&amp;K000080INEGI. Anuario estadístico y geográfico por entidad federativa 2019.</oddHead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929"/>
  <sheetViews>
    <sheetView showGridLines="0" showRowColHeaders="0" zoomScale="130" zoomScaleNormal="130" workbookViewId="0">
      <pane xSplit="1" ySplit="10" topLeftCell="B11" activePane="bottomRight" state="frozen"/>
      <selection activeCell="B5" sqref="B5"/>
      <selection pane="topRight" activeCell="B5" sqref="B5"/>
      <selection pane="bottomLeft" activeCell="B5" sqref="B5"/>
      <selection pane="bottomRight"/>
    </sheetView>
  </sheetViews>
  <sheetFormatPr baseColWidth="10" defaultColWidth="0" defaultRowHeight="0" customHeight="1" zeroHeight="1" x14ac:dyDescent="0.25"/>
  <cols>
    <col min="1" max="1" width="18" style="702" customWidth="1"/>
    <col min="2" max="2" width="10" style="702" customWidth="1"/>
    <col min="3" max="3" width="11.140625" style="702" customWidth="1"/>
    <col min="4" max="4" width="9.42578125" style="702" customWidth="1"/>
    <col min="5" max="5" width="9.5703125" style="702" customWidth="1"/>
    <col min="6" max="6" width="8.5703125" style="702" customWidth="1"/>
    <col min="7" max="7" width="8.85546875" style="702" customWidth="1"/>
    <col min="8" max="9" width="8.5703125" style="702" customWidth="1"/>
    <col min="10" max="10" width="0.85546875" style="702" customWidth="1"/>
    <col min="11" max="16384" width="11.42578125" style="702" hidden="1"/>
  </cols>
  <sheetData>
    <row r="1" spans="1:9" s="695" customFormat="1" ht="12" customHeight="1" x14ac:dyDescent="0.2">
      <c r="A1" s="524" t="s">
        <v>558</v>
      </c>
      <c r="B1" s="525"/>
      <c r="C1" s="525"/>
      <c r="D1" s="525"/>
      <c r="E1" s="525"/>
      <c r="F1" s="525"/>
      <c r="G1" s="525"/>
      <c r="H1" s="823" t="s">
        <v>559</v>
      </c>
      <c r="I1" s="823"/>
    </row>
    <row r="2" spans="1:9" s="695" customFormat="1" ht="12" customHeight="1" x14ac:dyDescent="0.2">
      <c r="A2" s="524" t="s">
        <v>560</v>
      </c>
      <c r="B2" s="525"/>
      <c r="C2" s="525"/>
      <c r="D2" s="525"/>
      <c r="E2" s="525"/>
      <c r="F2" s="525"/>
      <c r="G2" s="525"/>
      <c r="H2" s="525"/>
      <c r="I2" s="723"/>
    </row>
    <row r="3" spans="1:9" s="695" customFormat="1" ht="12" customHeight="1" x14ac:dyDescent="0.25">
      <c r="A3" s="529" t="s">
        <v>526</v>
      </c>
      <c r="B3" s="525"/>
      <c r="C3" s="525"/>
      <c r="D3" s="525"/>
      <c r="E3" s="525"/>
      <c r="F3" s="525"/>
      <c r="G3" s="525"/>
      <c r="H3" s="525"/>
    </row>
    <row r="4" spans="1:9" ht="3" customHeight="1" x14ac:dyDescent="0.25">
      <c r="A4" s="700"/>
      <c r="B4" s="700"/>
      <c r="C4" s="700"/>
      <c r="D4" s="700"/>
      <c r="E4" s="700"/>
      <c r="F4" s="700"/>
      <c r="G4" s="700"/>
      <c r="H4" s="700"/>
      <c r="I4" s="700"/>
    </row>
    <row r="5" spans="1:9" ht="3" customHeight="1" x14ac:dyDescent="0.25">
      <c r="A5" s="703"/>
      <c r="B5" s="703"/>
      <c r="C5" s="703"/>
      <c r="D5" s="703"/>
      <c r="E5" s="703"/>
      <c r="F5" s="703"/>
      <c r="G5" s="703"/>
      <c r="H5" s="703"/>
    </row>
    <row r="6" spans="1:9" s="594" customFormat="1" ht="8.4499999999999993" customHeight="1" x14ac:dyDescent="0.15">
      <c r="A6" s="843" t="s">
        <v>424</v>
      </c>
      <c r="B6" s="768" t="s">
        <v>13</v>
      </c>
      <c r="C6" s="848" t="s">
        <v>561</v>
      </c>
      <c r="D6" s="848" t="s">
        <v>562</v>
      </c>
      <c r="E6" s="848" t="s">
        <v>563</v>
      </c>
      <c r="F6" s="848" t="s">
        <v>564</v>
      </c>
      <c r="G6" s="848" t="s">
        <v>565</v>
      </c>
      <c r="H6" s="848" t="s">
        <v>566</v>
      </c>
      <c r="I6" s="848" t="s">
        <v>567</v>
      </c>
    </row>
    <row r="7" spans="1:9" s="594" customFormat="1" ht="8.4499999999999993" customHeight="1" x14ac:dyDescent="0.15">
      <c r="A7" s="844"/>
      <c r="B7" s="768"/>
      <c r="C7" s="849"/>
      <c r="D7" s="849"/>
      <c r="E7" s="849"/>
      <c r="F7" s="848"/>
      <c r="G7" s="849"/>
      <c r="H7" s="849"/>
      <c r="I7" s="849"/>
    </row>
    <row r="8" spans="1:9" s="594" customFormat="1" ht="8.4499999999999993" customHeight="1" x14ac:dyDescent="0.15">
      <c r="A8" s="844"/>
      <c r="B8" s="768"/>
      <c r="C8" s="849"/>
      <c r="D8" s="849"/>
      <c r="E8" s="849"/>
      <c r="F8" s="848"/>
      <c r="G8" s="849"/>
      <c r="H8" s="849"/>
      <c r="I8" s="849"/>
    </row>
    <row r="9" spans="1:9" s="594" customFormat="1" ht="8.4499999999999993" customHeight="1" x14ac:dyDescent="0.15">
      <c r="A9" s="844"/>
      <c r="B9" s="768"/>
      <c r="C9" s="849"/>
      <c r="D9" s="849"/>
      <c r="E9" s="849"/>
      <c r="F9" s="848"/>
      <c r="G9" s="849"/>
      <c r="H9" s="849"/>
      <c r="I9" s="849"/>
    </row>
    <row r="10" spans="1:9" ht="3" customHeight="1" x14ac:dyDescent="0.2">
      <c r="A10" s="700"/>
      <c r="B10" s="710"/>
      <c r="C10" s="724"/>
      <c r="D10" s="724"/>
      <c r="E10" s="724"/>
      <c r="F10" s="724"/>
      <c r="G10" s="724"/>
      <c r="H10" s="724"/>
      <c r="I10" s="700"/>
    </row>
    <row r="11" spans="1:9" ht="3" customHeight="1" x14ac:dyDescent="0.2">
      <c r="A11" s="703"/>
      <c r="B11" s="725"/>
      <c r="C11" s="726"/>
      <c r="D11" s="726"/>
      <c r="E11" s="726"/>
      <c r="F11" s="726"/>
      <c r="G11" s="726"/>
      <c r="H11" s="726"/>
    </row>
    <row r="12" spans="1:9" s="551" customFormat="1" ht="9" customHeight="1" x14ac:dyDescent="0.25">
      <c r="A12" s="727">
        <v>1998</v>
      </c>
      <c r="B12" s="728"/>
      <c r="C12" s="728"/>
      <c r="D12" s="728"/>
      <c r="E12" s="728"/>
      <c r="F12" s="728"/>
      <c r="H12" s="728"/>
    </row>
    <row r="13" spans="1:9" s="551" customFormat="1" ht="9" customHeight="1" x14ac:dyDescent="0.25">
      <c r="A13" s="718" t="s">
        <v>13</v>
      </c>
      <c r="B13" s="544">
        <f t="shared" ref="B13:I13" si="0">SUM(B15:B47)</f>
        <v>52670</v>
      </c>
      <c r="C13" s="544">
        <f t="shared" si="0"/>
        <v>6225</v>
      </c>
      <c r="D13" s="544">
        <f t="shared" si="0"/>
        <v>4697</v>
      </c>
      <c r="E13" s="544">
        <f t="shared" si="0"/>
        <v>4545</v>
      </c>
      <c r="F13" s="544">
        <f t="shared" si="0"/>
        <v>3542</v>
      </c>
      <c r="G13" s="544">
        <f t="shared" si="0"/>
        <v>3380</v>
      </c>
      <c r="H13" s="544">
        <f t="shared" si="0"/>
        <v>3215</v>
      </c>
      <c r="I13" s="544">
        <f t="shared" si="0"/>
        <v>27066</v>
      </c>
    </row>
    <row r="14" spans="1:9" s="551" customFormat="1" ht="3.95" customHeight="1" x14ac:dyDescent="0.25">
      <c r="A14" s="718"/>
      <c r="B14" s="544"/>
      <c r="C14" s="544"/>
      <c r="D14" s="544"/>
      <c r="E14" s="544"/>
      <c r="F14" s="544"/>
      <c r="G14" s="544"/>
      <c r="H14" s="544"/>
      <c r="I14" s="544"/>
    </row>
    <row r="15" spans="1:9" s="551" customFormat="1" ht="9" customHeight="1" x14ac:dyDescent="0.25">
      <c r="A15" s="551" t="s">
        <v>23</v>
      </c>
      <c r="B15" s="547">
        <f t="shared" ref="B15:B47" si="1">SUM(C15:I15)</f>
        <v>499</v>
      </c>
      <c r="C15" s="547">
        <v>83</v>
      </c>
      <c r="D15" s="547">
        <v>35</v>
      </c>
      <c r="E15" s="547">
        <v>29</v>
      </c>
      <c r="F15" s="547">
        <v>34</v>
      </c>
      <c r="G15" s="547">
        <v>38</v>
      </c>
      <c r="H15" s="547">
        <v>44</v>
      </c>
      <c r="I15" s="547">
        <v>236</v>
      </c>
    </row>
    <row r="16" spans="1:9" s="551" customFormat="1" ht="9" customHeight="1" x14ac:dyDescent="0.25">
      <c r="A16" s="551" t="s">
        <v>24</v>
      </c>
      <c r="B16" s="547">
        <f t="shared" si="1"/>
        <v>1354</v>
      </c>
      <c r="C16" s="547">
        <v>219</v>
      </c>
      <c r="D16" s="547">
        <v>99</v>
      </c>
      <c r="E16" s="547">
        <v>99</v>
      </c>
      <c r="F16" s="547">
        <v>89</v>
      </c>
      <c r="G16" s="547">
        <v>73</v>
      </c>
      <c r="H16" s="547">
        <v>77</v>
      </c>
      <c r="I16" s="547">
        <v>698</v>
      </c>
    </row>
    <row r="17" spans="1:9" s="551" customFormat="1" ht="9" customHeight="1" x14ac:dyDescent="0.25">
      <c r="A17" s="551" t="s">
        <v>25</v>
      </c>
      <c r="B17" s="547">
        <f t="shared" si="1"/>
        <v>242</v>
      </c>
      <c r="C17" s="547">
        <v>55</v>
      </c>
      <c r="D17" s="547">
        <v>14</v>
      </c>
      <c r="E17" s="547">
        <v>15</v>
      </c>
      <c r="F17" s="547">
        <v>16</v>
      </c>
      <c r="G17" s="547">
        <v>6</v>
      </c>
      <c r="H17" s="547">
        <v>20</v>
      </c>
      <c r="I17" s="547">
        <v>116</v>
      </c>
    </row>
    <row r="18" spans="1:9" s="551" customFormat="1" ht="9" customHeight="1" x14ac:dyDescent="0.25">
      <c r="A18" s="554" t="s">
        <v>26</v>
      </c>
      <c r="B18" s="549">
        <f t="shared" si="1"/>
        <v>348</v>
      </c>
      <c r="C18" s="549">
        <v>34</v>
      </c>
      <c r="D18" s="549">
        <v>45</v>
      </c>
      <c r="E18" s="549">
        <v>40</v>
      </c>
      <c r="F18" s="549">
        <v>21</v>
      </c>
      <c r="G18" s="549">
        <v>13</v>
      </c>
      <c r="H18" s="549">
        <v>21</v>
      </c>
      <c r="I18" s="549">
        <v>174</v>
      </c>
    </row>
    <row r="19" spans="1:9" s="551" customFormat="1" ht="9" customHeight="1" x14ac:dyDescent="0.25">
      <c r="A19" s="551" t="s">
        <v>27</v>
      </c>
      <c r="B19" s="547">
        <f t="shared" si="1"/>
        <v>1389</v>
      </c>
      <c r="C19" s="547">
        <v>219</v>
      </c>
      <c r="D19" s="547">
        <v>98</v>
      </c>
      <c r="E19" s="547">
        <v>101</v>
      </c>
      <c r="F19" s="547">
        <v>100</v>
      </c>
      <c r="G19" s="547">
        <v>128</v>
      </c>
      <c r="H19" s="547">
        <v>71</v>
      </c>
      <c r="I19" s="547">
        <v>672</v>
      </c>
    </row>
    <row r="20" spans="1:9" s="551" customFormat="1" ht="9" customHeight="1" x14ac:dyDescent="0.25">
      <c r="A20" s="551" t="s">
        <v>28</v>
      </c>
      <c r="B20" s="547">
        <f t="shared" si="1"/>
        <v>321</v>
      </c>
      <c r="C20" s="547">
        <v>44</v>
      </c>
      <c r="D20" s="547">
        <v>17</v>
      </c>
      <c r="E20" s="547">
        <v>37</v>
      </c>
      <c r="F20" s="547">
        <v>25</v>
      </c>
      <c r="G20" s="547">
        <v>30</v>
      </c>
      <c r="H20" s="547">
        <v>12</v>
      </c>
      <c r="I20" s="547">
        <v>156</v>
      </c>
    </row>
    <row r="21" spans="1:9" s="551" customFormat="1" ht="9" customHeight="1" x14ac:dyDescent="0.25">
      <c r="A21" s="551" t="s">
        <v>29</v>
      </c>
      <c r="B21" s="547">
        <f t="shared" si="1"/>
        <v>1603</v>
      </c>
      <c r="C21" s="547">
        <v>115</v>
      </c>
      <c r="D21" s="547">
        <v>245</v>
      </c>
      <c r="E21" s="547">
        <v>199</v>
      </c>
      <c r="F21" s="547">
        <v>71</v>
      </c>
      <c r="G21" s="547">
        <v>53</v>
      </c>
      <c r="H21" s="547">
        <v>116</v>
      </c>
      <c r="I21" s="547">
        <v>804</v>
      </c>
    </row>
    <row r="22" spans="1:9" s="551" customFormat="1" ht="9" customHeight="1" x14ac:dyDescent="0.25">
      <c r="A22" s="554" t="s">
        <v>30</v>
      </c>
      <c r="B22" s="549">
        <f t="shared" si="1"/>
        <v>1864</v>
      </c>
      <c r="C22" s="549">
        <v>313</v>
      </c>
      <c r="D22" s="549">
        <v>140</v>
      </c>
      <c r="E22" s="549">
        <v>133</v>
      </c>
      <c r="F22" s="549">
        <v>107</v>
      </c>
      <c r="G22" s="549">
        <v>141</v>
      </c>
      <c r="H22" s="549">
        <v>85</v>
      </c>
      <c r="I22" s="549">
        <v>945</v>
      </c>
    </row>
    <row r="23" spans="1:9" s="551" customFormat="1" ht="9" customHeight="1" x14ac:dyDescent="0.25">
      <c r="A23" s="551" t="s">
        <v>63</v>
      </c>
      <c r="B23" s="547">
        <f t="shared" si="1"/>
        <v>6240</v>
      </c>
      <c r="C23" s="547">
        <v>611</v>
      </c>
      <c r="D23" s="547">
        <v>489</v>
      </c>
      <c r="E23" s="547">
        <v>383</v>
      </c>
      <c r="F23" s="547">
        <v>464</v>
      </c>
      <c r="G23" s="547">
        <v>529</v>
      </c>
      <c r="H23" s="547">
        <v>338</v>
      </c>
      <c r="I23" s="547">
        <v>3426</v>
      </c>
    </row>
    <row r="24" spans="1:9" s="551" customFormat="1" ht="9" customHeight="1" x14ac:dyDescent="0.25">
      <c r="A24" s="551" t="s">
        <v>31</v>
      </c>
      <c r="B24" s="547">
        <f t="shared" si="1"/>
        <v>777</v>
      </c>
      <c r="C24" s="547">
        <v>126</v>
      </c>
      <c r="D24" s="547">
        <v>72</v>
      </c>
      <c r="E24" s="547">
        <v>48</v>
      </c>
      <c r="F24" s="547">
        <v>79</v>
      </c>
      <c r="G24" s="547">
        <v>33</v>
      </c>
      <c r="H24" s="547">
        <v>34</v>
      </c>
      <c r="I24" s="547">
        <v>385</v>
      </c>
    </row>
    <row r="25" spans="1:9" s="551" customFormat="1" ht="9" customHeight="1" x14ac:dyDescent="0.25">
      <c r="A25" s="551" t="s">
        <v>32</v>
      </c>
      <c r="B25" s="547">
        <f t="shared" si="1"/>
        <v>2202</v>
      </c>
      <c r="C25" s="547">
        <v>265</v>
      </c>
      <c r="D25" s="547">
        <v>201</v>
      </c>
      <c r="E25" s="547">
        <v>175</v>
      </c>
      <c r="F25" s="547">
        <v>164</v>
      </c>
      <c r="G25" s="547">
        <v>141</v>
      </c>
      <c r="H25" s="547">
        <v>146</v>
      </c>
      <c r="I25" s="547">
        <v>1110</v>
      </c>
    </row>
    <row r="26" spans="1:9" s="551" customFormat="1" ht="9" customHeight="1" x14ac:dyDescent="0.25">
      <c r="A26" s="554" t="s">
        <v>33</v>
      </c>
      <c r="B26" s="549">
        <f t="shared" si="1"/>
        <v>1136</v>
      </c>
      <c r="C26" s="549">
        <v>117</v>
      </c>
      <c r="D26" s="549">
        <v>164</v>
      </c>
      <c r="E26" s="549">
        <v>133</v>
      </c>
      <c r="F26" s="549">
        <v>73</v>
      </c>
      <c r="G26" s="549">
        <v>55</v>
      </c>
      <c r="H26" s="549">
        <v>62</v>
      </c>
      <c r="I26" s="549">
        <v>532</v>
      </c>
    </row>
    <row r="27" spans="1:9" s="551" customFormat="1" ht="9" customHeight="1" x14ac:dyDescent="0.25">
      <c r="A27" s="551" t="s">
        <v>34</v>
      </c>
      <c r="B27" s="547">
        <f t="shared" si="1"/>
        <v>1029</v>
      </c>
      <c r="C27" s="547">
        <v>77</v>
      </c>
      <c r="D27" s="547">
        <v>102</v>
      </c>
      <c r="E27" s="547">
        <v>76</v>
      </c>
      <c r="F27" s="547">
        <v>50</v>
      </c>
      <c r="G27" s="547">
        <v>60</v>
      </c>
      <c r="H27" s="547">
        <v>64</v>
      </c>
      <c r="I27" s="547">
        <v>600</v>
      </c>
    </row>
    <row r="28" spans="1:9" s="551" customFormat="1" ht="9" customHeight="1" x14ac:dyDescent="0.25">
      <c r="A28" s="551" t="s">
        <v>35</v>
      </c>
      <c r="B28" s="547">
        <f t="shared" si="1"/>
        <v>4005</v>
      </c>
      <c r="C28" s="547">
        <v>588</v>
      </c>
      <c r="D28" s="547">
        <v>346</v>
      </c>
      <c r="E28" s="547">
        <v>304</v>
      </c>
      <c r="F28" s="547">
        <v>316</v>
      </c>
      <c r="G28" s="547">
        <v>283</v>
      </c>
      <c r="H28" s="547">
        <v>230</v>
      </c>
      <c r="I28" s="547">
        <v>1938</v>
      </c>
    </row>
    <row r="29" spans="1:9" s="551" customFormat="1" ht="9" customHeight="1" x14ac:dyDescent="0.25">
      <c r="A29" s="551" t="s">
        <v>36</v>
      </c>
      <c r="B29" s="547">
        <f t="shared" si="1"/>
        <v>5082</v>
      </c>
      <c r="C29" s="547">
        <v>452</v>
      </c>
      <c r="D29" s="547">
        <v>419</v>
      </c>
      <c r="E29" s="547">
        <v>447</v>
      </c>
      <c r="F29" s="547">
        <v>303</v>
      </c>
      <c r="G29" s="547">
        <v>358</v>
      </c>
      <c r="H29" s="547">
        <v>389</v>
      </c>
      <c r="I29" s="547">
        <v>2714</v>
      </c>
    </row>
    <row r="30" spans="1:9" s="551" customFormat="1" ht="9" customHeight="1" x14ac:dyDescent="0.25">
      <c r="A30" s="554" t="s">
        <v>37</v>
      </c>
      <c r="B30" s="549">
        <f t="shared" si="1"/>
        <v>2297</v>
      </c>
      <c r="C30" s="549">
        <v>293</v>
      </c>
      <c r="D30" s="549">
        <v>220</v>
      </c>
      <c r="E30" s="549">
        <v>205</v>
      </c>
      <c r="F30" s="549">
        <v>194</v>
      </c>
      <c r="G30" s="549">
        <v>116</v>
      </c>
      <c r="H30" s="549">
        <v>140</v>
      </c>
      <c r="I30" s="549">
        <v>1129</v>
      </c>
    </row>
    <row r="31" spans="1:9" s="551" customFormat="1" ht="9" customHeight="1" x14ac:dyDescent="0.25">
      <c r="A31" s="551" t="s">
        <v>38</v>
      </c>
      <c r="B31" s="547">
        <f t="shared" si="1"/>
        <v>863</v>
      </c>
      <c r="C31" s="547">
        <v>68</v>
      </c>
      <c r="D31" s="547">
        <v>81</v>
      </c>
      <c r="E31" s="547">
        <v>96</v>
      </c>
      <c r="F31" s="547">
        <v>62</v>
      </c>
      <c r="G31" s="547">
        <v>51</v>
      </c>
      <c r="H31" s="547">
        <v>44</v>
      </c>
      <c r="I31" s="547">
        <v>461</v>
      </c>
    </row>
    <row r="32" spans="1:9" s="551" customFormat="1" ht="9" customHeight="1" x14ac:dyDescent="0.25">
      <c r="A32" s="551" t="s">
        <v>39</v>
      </c>
      <c r="B32" s="547">
        <f t="shared" si="1"/>
        <v>578</v>
      </c>
      <c r="C32" s="547">
        <v>88</v>
      </c>
      <c r="D32" s="547">
        <v>48</v>
      </c>
      <c r="E32" s="547">
        <v>74</v>
      </c>
      <c r="F32" s="547">
        <v>40</v>
      </c>
      <c r="G32" s="547">
        <v>16</v>
      </c>
      <c r="H32" s="547">
        <v>20</v>
      </c>
      <c r="I32" s="547">
        <v>292</v>
      </c>
    </row>
    <row r="33" spans="1:9" s="551" customFormat="1" ht="9" customHeight="1" x14ac:dyDescent="0.25">
      <c r="A33" s="551" t="s">
        <v>40</v>
      </c>
      <c r="B33" s="547">
        <f t="shared" si="1"/>
        <v>2400</v>
      </c>
      <c r="C33" s="547">
        <v>378</v>
      </c>
      <c r="D33" s="547">
        <v>132</v>
      </c>
      <c r="E33" s="547">
        <v>138</v>
      </c>
      <c r="F33" s="547">
        <v>150</v>
      </c>
      <c r="G33" s="547">
        <v>190</v>
      </c>
      <c r="H33" s="547">
        <v>145</v>
      </c>
      <c r="I33" s="547">
        <v>1267</v>
      </c>
    </row>
    <row r="34" spans="1:9" s="551" customFormat="1" ht="9" customHeight="1" x14ac:dyDescent="0.25">
      <c r="A34" s="554" t="s">
        <v>41</v>
      </c>
      <c r="B34" s="549">
        <f t="shared" si="1"/>
        <v>1686</v>
      </c>
      <c r="C34" s="549">
        <v>105</v>
      </c>
      <c r="D34" s="549">
        <v>234</v>
      </c>
      <c r="E34" s="549">
        <v>191</v>
      </c>
      <c r="F34" s="549">
        <v>82</v>
      </c>
      <c r="G34" s="549">
        <v>78</v>
      </c>
      <c r="H34" s="549">
        <v>105</v>
      </c>
      <c r="I34" s="549">
        <v>891</v>
      </c>
    </row>
    <row r="35" spans="1:9" s="551" customFormat="1" ht="9" customHeight="1" x14ac:dyDescent="0.25">
      <c r="A35" s="551" t="s">
        <v>42</v>
      </c>
      <c r="B35" s="547">
        <f t="shared" si="1"/>
        <v>2286</v>
      </c>
      <c r="C35" s="547">
        <v>136</v>
      </c>
      <c r="D35" s="547">
        <v>234</v>
      </c>
      <c r="E35" s="547">
        <v>287</v>
      </c>
      <c r="F35" s="547">
        <v>142</v>
      </c>
      <c r="G35" s="547">
        <v>127</v>
      </c>
      <c r="H35" s="547">
        <v>171</v>
      </c>
      <c r="I35" s="547">
        <v>1189</v>
      </c>
    </row>
    <row r="36" spans="1:9" s="551" customFormat="1" ht="9" customHeight="1" x14ac:dyDescent="0.25">
      <c r="A36" s="551" t="s">
        <v>43</v>
      </c>
      <c r="B36" s="547">
        <f t="shared" si="1"/>
        <v>580</v>
      </c>
      <c r="C36" s="547">
        <v>45</v>
      </c>
      <c r="D36" s="547">
        <v>62</v>
      </c>
      <c r="E36" s="547">
        <v>48</v>
      </c>
      <c r="F36" s="547">
        <v>38</v>
      </c>
      <c r="G36" s="547">
        <v>36</v>
      </c>
      <c r="H36" s="547">
        <v>54</v>
      </c>
      <c r="I36" s="547">
        <v>297</v>
      </c>
    </row>
    <row r="37" spans="1:9" s="551" customFormat="1" ht="9" customHeight="1" x14ac:dyDescent="0.25">
      <c r="A37" s="551" t="s">
        <v>44</v>
      </c>
      <c r="B37" s="547">
        <f t="shared" si="1"/>
        <v>240</v>
      </c>
      <c r="C37" s="547">
        <v>23</v>
      </c>
      <c r="D37" s="547">
        <v>21</v>
      </c>
      <c r="E37" s="547">
        <v>34</v>
      </c>
      <c r="F37" s="547">
        <v>14</v>
      </c>
      <c r="G37" s="547">
        <v>12</v>
      </c>
      <c r="H37" s="547">
        <v>27</v>
      </c>
      <c r="I37" s="547">
        <v>109</v>
      </c>
    </row>
    <row r="38" spans="1:9" s="551" customFormat="1" ht="9" customHeight="1" x14ac:dyDescent="0.25">
      <c r="A38" s="554" t="s">
        <v>45</v>
      </c>
      <c r="B38" s="549">
        <f t="shared" si="1"/>
        <v>1242</v>
      </c>
      <c r="C38" s="549">
        <v>117</v>
      </c>
      <c r="D38" s="549">
        <v>107</v>
      </c>
      <c r="E38" s="549">
        <v>104</v>
      </c>
      <c r="F38" s="549">
        <v>106</v>
      </c>
      <c r="G38" s="549">
        <v>79</v>
      </c>
      <c r="H38" s="549">
        <v>78</v>
      </c>
      <c r="I38" s="549">
        <v>651</v>
      </c>
    </row>
    <row r="39" spans="1:9" s="551" customFormat="1" ht="9" customHeight="1" x14ac:dyDescent="0.25">
      <c r="A39" s="551" t="s">
        <v>46</v>
      </c>
      <c r="B39" s="547">
        <f t="shared" si="1"/>
        <v>1648</v>
      </c>
      <c r="C39" s="547">
        <v>371</v>
      </c>
      <c r="D39" s="547">
        <v>124</v>
      </c>
      <c r="E39" s="547">
        <v>120</v>
      </c>
      <c r="F39" s="547">
        <v>116</v>
      </c>
      <c r="G39" s="547">
        <v>120</v>
      </c>
      <c r="H39" s="547">
        <v>77</v>
      </c>
      <c r="I39" s="547">
        <v>720</v>
      </c>
    </row>
    <row r="40" spans="1:9" s="551" customFormat="1" ht="9" customHeight="1" x14ac:dyDescent="0.25">
      <c r="A40" s="551" t="s">
        <v>47</v>
      </c>
      <c r="B40" s="547">
        <f t="shared" si="1"/>
        <v>1523</v>
      </c>
      <c r="C40" s="547">
        <v>310</v>
      </c>
      <c r="D40" s="547">
        <v>128</v>
      </c>
      <c r="E40" s="547">
        <v>104</v>
      </c>
      <c r="F40" s="547">
        <v>83</v>
      </c>
      <c r="G40" s="547">
        <v>98</v>
      </c>
      <c r="H40" s="547">
        <v>78</v>
      </c>
      <c r="I40" s="547">
        <v>722</v>
      </c>
    </row>
    <row r="41" spans="1:9" s="551" customFormat="1" ht="9" customHeight="1" x14ac:dyDescent="0.25">
      <c r="A41" s="551" t="s">
        <v>48</v>
      </c>
      <c r="B41" s="547">
        <f t="shared" si="1"/>
        <v>897</v>
      </c>
      <c r="C41" s="547">
        <v>79</v>
      </c>
      <c r="D41" s="547">
        <v>80</v>
      </c>
      <c r="E41" s="547">
        <v>91</v>
      </c>
      <c r="F41" s="547">
        <v>85</v>
      </c>
      <c r="G41" s="547">
        <v>46</v>
      </c>
      <c r="H41" s="547">
        <v>53</v>
      </c>
      <c r="I41" s="547">
        <v>463</v>
      </c>
    </row>
    <row r="42" spans="1:9" s="551" customFormat="1" ht="9" customHeight="1" x14ac:dyDescent="0.25">
      <c r="A42" s="554" t="s">
        <v>49</v>
      </c>
      <c r="B42" s="549">
        <f t="shared" si="1"/>
        <v>1643</v>
      </c>
      <c r="C42" s="549">
        <v>231</v>
      </c>
      <c r="D42" s="549">
        <v>84</v>
      </c>
      <c r="E42" s="549">
        <v>147</v>
      </c>
      <c r="F42" s="549">
        <v>104</v>
      </c>
      <c r="G42" s="549">
        <v>141</v>
      </c>
      <c r="H42" s="549">
        <v>86</v>
      </c>
      <c r="I42" s="549">
        <v>850</v>
      </c>
    </row>
    <row r="43" spans="1:9" s="551" customFormat="1" ht="9" customHeight="1" x14ac:dyDescent="0.25">
      <c r="A43" s="551" t="s">
        <v>50</v>
      </c>
      <c r="B43" s="547">
        <f t="shared" si="1"/>
        <v>382</v>
      </c>
      <c r="C43" s="547">
        <v>22</v>
      </c>
      <c r="D43" s="547">
        <v>30</v>
      </c>
      <c r="E43" s="547">
        <v>41</v>
      </c>
      <c r="F43" s="547">
        <v>21</v>
      </c>
      <c r="G43" s="547">
        <v>29</v>
      </c>
      <c r="H43" s="547">
        <v>37</v>
      </c>
      <c r="I43" s="547">
        <v>202</v>
      </c>
    </row>
    <row r="44" spans="1:9" s="551" customFormat="1" ht="9" customHeight="1" x14ac:dyDescent="0.25">
      <c r="A44" s="551" t="s">
        <v>51</v>
      </c>
      <c r="B44" s="547">
        <f t="shared" si="1"/>
        <v>4109</v>
      </c>
      <c r="C44" s="547">
        <v>369</v>
      </c>
      <c r="D44" s="547">
        <v>402</v>
      </c>
      <c r="E44" s="547">
        <v>449</v>
      </c>
      <c r="F44" s="547">
        <v>259</v>
      </c>
      <c r="G44" s="547">
        <v>184</v>
      </c>
      <c r="H44" s="547">
        <v>250</v>
      </c>
      <c r="I44" s="547">
        <v>2196</v>
      </c>
    </row>
    <row r="45" spans="1:9" s="551" customFormat="1" ht="9" customHeight="1" x14ac:dyDescent="0.25">
      <c r="A45" s="551" t="s">
        <v>52</v>
      </c>
      <c r="B45" s="547">
        <f t="shared" si="1"/>
        <v>1008</v>
      </c>
      <c r="C45" s="547">
        <v>90</v>
      </c>
      <c r="D45" s="547">
        <v>111</v>
      </c>
      <c r="E45" s="547">
        <v>125</v>
      </c>
      <c r="F45" s="547">
        <v>57</v>
      </c>
      <c r="G45" s="547">
        <v>51</v>
      </c>
      <c r="H45" s="547">
        <v>57</v>
      </c>
      <c r="I45" s="547">
        <v>517</v>
      </c>
    </row>
    <row r="46" spans="1:9" s="551" customFormat="1" ht="9" customHeight="1" x14ac:dyDescent="0.25">
      <c r="A46" s="554" t="s">
        <v>53</v>
      </c>
      <c r="B46" s="549">
        <f t="shared" si="1"/>
        <v>846</v>
      </c>
      <c r="C46" s="549">
        <v>125</v>
      </c>
      <c r="D46" s="549">
        <v>94</v>
      </c>
      <c r="E46" s="549">
        <v>58</v>
      </c>
      <c r="F46" s="549">
        <v>63</v>
      </c>
      <c r="G46" s="549">
        <v>41</v>
      </c>
      <c r="H46" s="549">
        <v>58</v>
      </c>
      <c r="I46" s="549">
        <v>407</v>
      </c>
    </row>
    <row r="47" spans="1:9" s="551" customFormat="1" ht="9" customHeight="1" x14ac:dyDescent="0.25">
      <c r="A47" s="551" t="s">
        <v>434</v>
      </c>
      <c r="B47" s="547">
        <f t="shared" si="1"/>
        <v>351</v>
      </c>
      <c r="C47" s="547">
        <v>57</v>
      </c>
      <c r="D47" s="547">
        <v>19</v>
      </c>
      <c r="E47" s="547">
        <v>14</v>
      </c>
      <c r="F47" s="547">
        <v>14</v>
      </c>
      <c r="G47" s="547">
        <v>24</v>
      </c>
      <c r="H47" s="547">
        <v>26</v>
      </c>
      <c r="I47" s="547">
        <v>197</v>
      </c>
    </row>
    <row r="48" spans="1:9" s="551" customFormat="1" ht="4.1500000000000004" customHeight="1" x14ac:dyDescent="0.25">
      <c r="B48" s="547"/>
      <c r="C48" s="547"/>
      <c r="D48" s="547"/>
      <c r="E48" s="547"/>
      <c r="F48" s="547"/>
      <c r="G48" s="547"/>
      <c r="H48" s="547"/>
      <c r="I48" s="547"/>
    </row>
    <row r="49" spans="1:9" s="551" customFormat="1" ht="9" customHeight="1" x14ac:dyDescent="0.25">
      <c r="A49" s="727">
        <v>1999</v>
      </c>
      <c r="B49" s="729"/>
      <c r="C49" s="728"/>
      <c r="D49" s="728"/>
      <c r="E49" s="728"/>
      <c r="F49" s="728"/>
      <c r="G49" s="728"/>
      <c r="I49" s="547"/>
    </row>
    <row r="50" spans="1:9" s="551" customFormat="1" ht="9" customHeight="1" x14ac:dyDescent="0.25">
      <c r="A50" s="718" t="s">
        <v>13</v>
      </c>
      <c r="B50" s="544">
        <f t="shared" ref="B50:I50" si="2">SUM(B52:B84)</f>
        <v>53662</v>
      </c>
      <c r="C50" s="544">
        <f t="shared" si="2"/>
        <v>6377</v>
      </c>
      <c r="D50" s="544">
        <f t="shared" si="2"/>
        <v>4974</v>
      </c>
      <c r="E50" s="544">
        <f t="shared" si="2"/>
        <v>4590</v>
      </c>
      <c r="F50" s="544">
        <f t="shared" si="2"/>
        <v>3766</v>
      </c>
      <c r="G50" s="553">
        <f t="shared" si="2"/>
        <v>3425</v>
      </c>
      <c r="H50" s="544">
        <f t="shared" si="2"/>
        <v>3151</v>
      </c>
      <c r="I50" s="544">
        <f t="shared" si="2"/>
        <v>27379</v>
      </c>
    </row>
    <row r="51" spans="1:9" s="551" customFormat="1" ht="3" customHeight="1" x14ac:dyDescent="0.25">
      <c r="A51" s="718"/>
      <c r="B51" s="544"/>
      <c r="C51" s="544"/>
      <c r="D51" s="544"/>
      <c r="E51" s="544"/>
      <c r="F51" s="544"/>
      <c r="G51" s="544"/>
      <c r="H51" s="544"/>
      <c r="I51" s="544"/>
    </row>
    <row r="52" spans="1:9" s="551" customFormat="1" ht="9" customHeight="1" x14ac:dyDescent="0.25">
      <c r="A52" s="551" t="s">
        <v>23</v>
      </c>
      <c r="B52" s="547">
        <f t="shared" ref="B52:B84" si="3">SUM(C52:I52)</f>
        <v>484</v>
      </c>
      <c r="C52" s="547">
        <v>79</v>
      </c>
      <c r="D52" s="547">
        <v>50</v>
      </c>
      <c r="E52" s="547">
        <v>34</v>
      </c>
      <c r="F52" s="547">
        <v>34</v>
      </c>
      <c r="G52" s="547">
        <v>31</v>
      </c>
      <c r="H52" s="547">
        <v>35</v>
      </c>
      <c r="I52" s="547">
        <v>221</v>
      </c>
    </row>
    <row r="53" spans="1:9" s="551" customFormat="1" ht="9" customHeight="1" x14ac:dyDescent="0.25">
      <c r="A53" s="551" t="s">
        <v>24</v>
      </c>
      <c r="B53" s="547">
        <f t="shared" si="3"/>
        <v>1324</v>
      </c>
      <c r="C53" s="547">
        <v>203</v>
      </c>
      <c r="D53" s="547">
        <v>83</v>
      </c>
      <c r="E53" s="547">
        <v>83</v>
      </c>
      <c r="F53" s="547">
        <v>76</v>
      </c>
      <c r="G53" s="547">
        <v>108</v>
      </c>
      <c r="H53" s="547">
        <v>82</v>
      </c>
      <c r="I53" s="547">
        <v>689</v>
      </c>
    </row>
    <row r="54" spans="1:9" s="551" customFormat="1" ht="9" customHeight="1" x14ac:dyDescent="0.25">
      <c r="A54" s="551" t="s">
        <v>25</v>
      </c>
      <c r="B54" s="547">
        <f t="shared" si="3"/>
        <v>254</v>
      </c>
      <c r="C54" s="547">
        <v>56</v>
      </c>
      <c r="D54" s="547">
        <v>18</v>
      </c>
      <c r="E54" s="547">
        <v>17</v>
      </c>
      <c r="F54" s="547">
        <v>23</v>
      </c>
      <c r="G54" s="547">
        <v>10</v>
      </c>
      <c r="H54" s="547">
        <v>7</v>
      </c>
      <c r="I54" s="547">
        <v>123</v>
      </c>
    </row>
    <row r="55" spans="1:9" s="551" customFormat="1" ht="9" customHeight="1" x14ac:dyDescent="0.25">
      <c r="A55" s="554" t="s">
        <v>26</v>
      </c>
      <c r="B55" s="549">
        <f t="shared" si="3"/>
        <v>319</v>
      </c>
      <c r="C55" s="549">
        <v>31</v>
      </c>
      <c r="D55" s="549">
        <v>50</v>
      </c>
      <c r="E55" s="549">
        <v>36</v>
      </c>
      <c r="F55" s="549">
        <v>16</v>
      </c>
      <c r="G55" s="549">
        <v>13</v>
      </c>
      <c r="H55" s="549">
        <v>28</v>
      </c>
      <c r="I55" s="549">
        <v>145</v>
      </c>
    </row>
    <row r="56" spans="1:9" s="551" customFormat="1" ht="9" customHeight="1" x14ac:dyDescent="0.25">
      <c r="A56" s="551" t="s">
        <v>27</v>
      </c>
      <c r="B56" s="547">
        <f t="shared" si="3"/>
        <v>1396</v>
      </c>
      <c r="C56" s="547">
        <v>250</v>
      </c>
      <c r="D56" s="547">
        <v>99</v>
      </c>
      <c r="E56" s="547">
        <v>83</v>
      </c>
      <c r="F56" s="547">
        <v>93</v>
      </c>
      <c r="G56" s="547">
        <v>126</v>
      </c>
      <c r="H56" s="547">
        <v>69</v>
      </c>
      <c r="I56" s="547">
        <v>676</v>
      </c>
    </row>
    <row r="57" spans="1:9" s="551" customFormat="1" ht="9" customHeight="1" x14ac:dyDescent="0.25">
      <c r="A57" s="551" t="s">
        <v>28</v>
      </c>
      <c r="B57" s="547">
        <f t="shared" si="3"/>
        <v>300</v>
      </c>
      <c r="C57" s="547">
        <v>43</v>
      </c>
      <c r="D57" s="547">
        <v>13</v>
      </c>
      <c r="E57" s="547">
        <v>29</v>
      </c>
      <c r="F57" s="547">
        <v>22</v>
      </c>
      <c r="G57" s="547">
        <v>15</v>
      </c>
      <c r="H57" s="547">
        <v>8</v>
      </c>
      <c r="I57" s="547">
        <v>170</v>
      </c>
    </row>
    <row r="58" spans="1:9" s="551" customFormat="1" ht="9" customHeight="1" x14ac:dyDescent="0.25">
      <c r="A58" s="551" t="s">
        <v>29</v>
      </c>
      <c r="B58" s="547">
        <f t="shared" si="3"/>
        <v>1681</v>
      </c>
      <c r="C58" s="547">
        <v>140</v>
      </c>
      <c r="D58" s="547">
        <v>274</v>
      </c>
      <c r="E58" s="547">
        <v>183</v>
      </c>
      <c r="F58" s="547">
        <v>98</v>
      </c>
      <c r="G58" s="547">
        <v>75</v>
      </c>
      <c r="H58" s="547">
        <v>102</v>
      </c>
      <c r="I58" s="547">
        <v>809</v>
      </c>
    </row>
    <row r="59" spans="1:9" s="551" customFormat="1" ht="9" customHeight="1" x14ac:dyDescent="0.25">
      <c r="A59" s="554" t="s">
        <v>30</v>
      </c>
      <c r="B59" s="549">
        <f t="shared" si="3"/>
        <v>1952</v>
      </c>
      <c r="C59" s="549">
        <v>297</v>
      </c>
      <c r="D59" s="549">
        <v>152</v>
      </c>
      <c r="E59" s="549">
        <v>143</v>
      </c>
      <c r="F59" s="549">
        <v>123</v>
      </c>
      <c r="G59" s="549">
        <v>145</v>
      </c>
      <c r="H59" s="549">
        <v>93</v>
      </c>
      <c r="I59" s="549">
        <v>999</v>
      </c>
    </row>
    <row r="60" spans="1:9" s="551" customFormat="1" ht="9" customHeight="1" x14ac:dyDescent="0.25">
      <c r="A60" s="551" t="s">
        <v>63</v>
      </c>
      <c r="B60" s="547">
        <f t="shared" si="3"/>
        <v>6232</v>
      </c>
      <c r="C60" s="547">
        <v>621</v>
      </c>
      <c r="D60" s="547">
        <v>507</v>
      </c>
      <c r="E60" s="547">
        <v>365</v>
      </c>
      <c r="F60" s="547">
        <v>466</v>
      </c>
      <c r="G60" s="547">
        <v>533</v>
      </c>
      <c r="H60" s="547">
        <v>317</v>
      </c>
      <c r="I60" s="547">
        <v>3423</v>
      </c>
    </row>
    <row r="61" spans="1:9" s="551" customFormat="1" ht="9" customHeight="1" x14ac:dyDescent="0.25">
      <c r="A61" s="551" t="s">
        <v>31</v>
      </c>
      <c r="B61" s="547">
        <f t="shared" si="3"/>
        <v>810</v>
      </c>
      <c r="C61" s="547">
        <v>117</v>
      </c>
      <c r="D61" s="547">
        <v>65</v>
      </c>
      <c r="E61" s="547">
        <v>71</v>
      </c>
      <c r="F61" s="547">
        <v>68</v>
      </c>
      <c r="G61" s="547">
        <v>44</v>
      </c>
      <c r="H61" s="547">
        <v>45</v>
      </c>
      <c r="I61" s="547">
        <v>400</v>
      </c>
    </row>
    <row r="62" spans="1:9" s="551" customFormat="1" ht="9" customHeight="1" x14ac:dyDescent="0.25">
      <c r="A62" s="551" t="s">
        <v>32</v>
      </c>
      <c r="B62" s="547">
        <f t="shared" si="3"/>
        <v>2332</v>
      </c>
      <c r="C62" s="547">
        <v>255</v>
      </c>
      <c r="D62" s="547">
        <v>205</v>
      </c>
      <c r="E62" s="547">
        <v>194</v>
      </c>
      <c r="F62" s="547">
        <v>186</v>
      </c>
      <c r="G62" s="547">
        <v>136</v>
      </c>
      <c r="H62" s="547">
        <v>175</v>
      </c>
      <c r="I62" s="547">
        <v>1181</v>
      </c>
    </row>
    <row r="63" spans="1:9" s="551" customFormat="1" ht="9" customHeight="1" x14ac:dyDescent="0.25">
      <c r="A63" s="554" t="s">
        <v>33</v>
      </c>
      <c r="B63" s="549">
        <f t="shared" si="3"/>
        <v>1197</v>
      </c>
      <c r="C63" s="549">
        <v>132</v>
      </c>
      <c r="D63" s="549">
        <v>181</v>
      </c>
      <c r="E63" s="549">
        <v>137</v>
      </c>
      <c r="F63" s="549">
        <v>79</v>
      </c>
      <c r="G63" s="549">
        <v>49</v>
      </c>
      <c r="H63" s="549">
        <v>62</v>
      </c>
      <c r="I63" s="549">
        <v>557</v>
      </c>
    </row>
    <row r="64" spans="1:9" s="551" customFormat="1" ht="9" customHeight="1" x14ac:dyDescent="0.25">
      <c r="A64" s="551" t="s">
        <v>34</v>
      </c>
      <c r="B64" s="547">
        <f t="shared" si="3"/>
        <v>1130</v>
      </c>
      <c r="C64" s="547">
        <v>67</v>
      </c>
      <c r="D64" s="547">
        <v>107</v>
      </c>
      <c r="E64" s="547">
        <v>77</v>
      </c>
      <c r="F64" s="547">
        <v>98</v>
      </c>
      <c r="G64" s="547">
        <v>63</v>
      </c>
      <c r="H64" s="547">
        <v>68</v>
      </c>
      <c r="I64" s="547">
        <v>650</v>
      </c>
    </row>
    <row r="65" spans="1:9" s="551" customFormat="1" ht="9" customHeight="1" x14ac:dyDescent="0.25">
      <c r="A65" s="551" t="s">
        <v>35</v>
      </c>
      <c r="B65" s="547">
        <f t="shared" si="3"/>
        <v>4150</v>
      </c>
      <c r="C65" s="547">
        <v>597</v>
      </c>
      <c r="D65" s="547">
        <v>336</v>
      </c>
      <c r="E65" s="547">
        <v>315</v>
      </c>
      <c r="F65" s="547">
        <v>358</v>
      </c>
      <c r="G65" s="547">
        <v>283</v>
      </c>
      <c r="H65" s="547">
        <v>210</v>
      </c>
      <c r="I65" s="547">
        <v>2051</v>
      </c>
    </row>
    <row r="66" spans="1:9" s="551" customFormat="1" ht="9" customHeight="1" x14ac:dyDescent="0.25">
      <c r="A66" s="551" t="s">
        <v>36</v>
      </c>
      <c r="B66" s="547">
        <f t="shared" si="3"/>
        <v>5251</v>
      </c>
      <c r="C66" s="547">
        <v>455</v>
      </c>
      <c r="D66" s="547">
        <v>459</v>
      </c>
      <c r="E66" s="547">
        <v>509</v>
      </c>
      <c r="F66" s="547">
        <v>319</v>
      </c>
      <c r="G66" s="547">
        <v>392</v>
      </c>
      <c r="H66" s="547">
        <v>404</v>
      </c>
      <c r="I66" s="547">
        <v>2713</v>
      </c>
    </row>
    <row r="67" spans="1:9" s="551" customFormat="1" ht="9" customHeight="1" x14ac:dyDescent="0.25">
      <c r="A67" s="554" t="s">
        <v>37</v>
      </c>
      <c r="B67" s="549">
        <f t="shared" si="3"/>
        <v>2282</v>
      </c>
      <c r="C67" s="549">
        <v>278</v>
      </c>
      <c r="D67" s="549">
        <v>224</v>
      </c>
      <c r="E67" s="549">
        <v>207</v>
      </c>
      <c r="F67" s="549">
        <v>238</v>
      </c>
      <c r="G67" s="549">
        <v>127</v>
      </c>
      <c r="H67" s="549">
        <v>125</v>
      </c>
      <c r="I67" s="549">
        <v>1083</v>
      </c>
    </row>
    <row r="68" spans="1:9" s="551" customFormat="1" ht="9" customHeight="1" x14ac:dyDescent="0.25">
      <c r="A68" s="551" t="s">
        <v>38</v>
      </c>
      <c r="B68" s="547">
        <f t="shared" si="3"/>
        <v>843</v>
      </c>
      <c r="C68" s="547">
        <v>67</v>
      </c>
      <c r="D68" s="547">
        <v>88</v>
      </c>
      <c r="E68" s="547">
        <v>100</v>
      </c>
      <c r="F68" s="547">
        <v>54</v>
      </c>
      <c r="G68" s="547">
        <v>48</v>
      </c>
      <c r="H68" s="547">
        <v>48</v>
      </c>
      <c r="I68" s="547">
        <v>438</v>
      </c>
    </row>
    <row r="69" spans="1:9" s="551" customFormat="1" ht="9" customHeight="1" x14ac:dyDescent="0.25">
      <c r="A69" s="551" t="s">
        <v>39</v>
      </c>
      <c r="B69" s="547">
        <f t="shared" si="3"/>
        <v>560</v>
      </c>
      <c r="C69" s="547">
        <v>113</v>
      </c>
      <c r="D69" s="547">
        <v>42</v>
      </c>
      <c r="E69" s="547">
        <v>58</v>
      </c>
      <c r="F69" s="547">
        <v>45</v>
      </c>
      <c r="G69" s="547">
        <v>37</v>
      </c>
      <c r="H69" s="547">
        <v>31</v>
      </c>
      <c r="I69" s="547">
        <v>234</v>
      </c>
    </row>
    <row r="70" spans="1:9" s="551" customFormat="1" ht="9" customHeight="1" x14ac:dyDescent="0.25">
      <c r="A70" s="551" t="s">
        <v>40</v>
      </c>
      <c r="B70" s="547">
        <f t="shared" si="3"/>
        <v>2525</v>
      </c>
      <c r="C70" s="547">
        <v>431</v>
      </c>
      <c r="D70" s="547">
        <v>178</v>
      </c>
      <c r="E70" s="547">
        <v>131</v>
      </c>
      <c r="F70" s="547">
        <v>132</v>
      </c>
      <c r="G70" s="547">
        <v>213</v>
      </c>
      <c r="H70" s="547">
        <v>130</v>
      </c>
      <c r="I70" s="547">
        <v>1310</v>
      </c>
    </row>
    <row r="71" spans="1:9" s="551" customFormat="1" ht="9" customHeight="1" x14ac:dyDescent="0.25">
      <c r="A71" s="554" t="s">
        <v>41</v>
      </c>
      <c r="B71" s="549">
        <f t="shared" si="3"/>
        <v>1746</v>
      </c>
      <c r="C71" s="549">
        <v>97</v>
      </c>
      <c r="D71" s="549">
        <v>237</v>
      </c>
      <c r="E71" s="549">
        <v>215</v>
      </c>
      <c r="F71" s="549">
        <v>116</v>
      </c>
      <c r="G71" s="549">
        <v>56</v>
      </c>
      <c r="H71" s="549">
        <v>108</v>
      </c>
      <c r="I71" s="549">
        <v>917</v>
      </c>
    </row>
    <row r="72" spans="1:9" s="551" customFormat="1" ht="9" customHeight="1" x14ac:dyDescent="0.25">
      <c r="A72" s="551" t="s">
        <v>42</v>
      </c>
      <c r="B72" s="547">
        <f t="shared" si="3"/>
        <v>2358</v>
      </c>
      <c r="C72" s="547">
        <v>142</v>
      </c>
      <c r="D72" s="547">
        <v>255</v>
      </c>
      <c r="E72" s="547">
        <v>285</v>
      </c>
      <c r="F72" s="547">
        <v>131</v>
      </c>
      <c r="G72" s="547">
        <v>115</v>
      </c>
      <c r="H72" s="547">
        <v>177</v>
      </c>
      <c r="I72" s="547">
        <v>1253</v>
      </c>
    </row>
    <row r="73" spans="1:9" s="551" customFormat="1" ht="9" customHeight="1" x14ac:dyDescent="0.25">
      <c r="A73" s="551" t="s">
        <v>43</v>
      </c>
      <c r="B73" s="547">
        <f t="shared" si="3"/>
        <v>598</v>
      </c>
      <c r="C73" s="547">
        <v>52</v>
      </c>
      <c r="D73" s="547">
        <v>53</v>
      </c>
      <c r="E73" s="547">
        <v>44</v>
      </c>
      <c r="F73" s="547">
        <v>44</v>
      </c>
      <c r="G73" s="547">
        <v>48</v>
      </c>
      <c r="H73" s="547">
        <v>51</v>
      </c>
      <c r="I73" s="547">
        <v>306</v>
      </c>
    </row>
    <row r="74" spans="1:9" s="551" customFormat="1" ht="9" customHeight="1" x14ac:dyDescent="0.25">
      <c r="A74" s="551" t="s">
        <v>44</v>
      </c>
      <c r="B74" s="547">
        <f t="shared" si="3"/>
        <v>286</v>
      </c>
      <c r="C74" s="547">
        <v>27</v>
      </c>
      <c r="D74" s="547">
        <v>23</v>
      </c>
      <c r="E74" s="547">
        <v>35</v>
      </c>
      <c r="F74" s="547">
        <v>16</v>
      </c>
      <c r="G74" s="547">
        <v>8</v>
      </c>
      <c r="H74" s="547">
        <v>28</v>
      </c>
      <c r="I74" s="547">
        <v>149</v>
      </c>
    </row>
    <row r="75" spans="1:9" s="551" customFormat="1" ht="9" customHeight="1" x14ac:dyDescent="0.25">
      <c r="A75" s="554" t="s">
        <v>45</v>
      </c>
      <c r="B75" s="549">
        <f t="shared" si="3"/>
        <v>1332</v>
      </c>
      <c r="C75" s="549">
        <v>150</v>
      </c>
      <c r="D75" s="549">
        <v>121</v>
      </c>
      <c r="E75" s="549">
        <v>117</v>
      </c>
      <c r="F75" s="549">
        <v>87</v>
      </c>
      <c r="G75" s="549">
        <v>77</v>
      </c>
      <c r="H75" s="549">
        <v>75</v>
      </c>
      <c r="I75" s="549">
        <v>705</v>
      </c>
    </row>
    <row r="76" spans="1:9" s="551" customFormat="1" ht="9" customHeight="1" x14ac:dyDescent="0.25">
      <c r="A76" s="551" t="s">
        <v>46</v>
      </c>
      <c r="B76" s="547">
        <f t="shared" si="3"/>
        <v>1635</v>
      </c>
      <c r="C76" s="547">
        <v>361</v>
      </c>
      <c r="D76" s="547">
        <v>133</v>
      </c>
      <c r="E76" s="547">
        <v>122</v>
      </c>
      <c r="F76" s="547">
        <v>116</v>
      </c>
      <c r="G76" s="547">
        <v>79</v>
      </c>
      <c r="H76" s="547">
        <v>86</v>
      </c>
      <c r="I76" s="547">
        <v>738</v>
      </c>
    </row>
    <row r="77" spans="1:9" s="551" customFormat="1" ht="9" customHeight="1" x14ac:dyDescent="0.25">
      <c r="A77" s="551" t="s">
        <v>47</v>
      </c>
      <c r="B77" s="547">
        <f t="shared" si="3"/>
        <v>1551</v>
      </c>
      <c r="C77" s="547">
        <v>320</v>
      </c>
      <c r="D77" s="547">
        <v>140</v>
      </c>
      <c r="E77" s="547">
        <v>98</v>
      </c>
      <c r="F77" s="547">
        <v>102</v>
      </c>
      <c r="G77" s="547">
        <v>110</v>
      </c>
      <c r="H77" s="547">
        <v>66</v>
      </c>
      <c r="I77" s="547">
        <v>715</v>
      </c>
    </row>
    <row r="78" spans="1:9" s="551" customFormat="1" ht="9" customHeight="1" x14ac:dyDescent="0.25">
      <c r="A78" s="551" t="s">
        <v>48</v>
      </c>
      <c r="B78" s="547">
        <f t="shared" si="3"/>
        <v>878</v>
      </c>
      <c r="C78" s="547">
        <v>93</v>
      </c>
      <c r="D78" s="547">
        <v>88</v>
      </c>
      <c r="E78" s="547">
        <v>109</v>
      </c>
      <c r="F78" s="547">
        <v>71</v>
      </c>
      <c r="G78" s="547">
        <v>38</v>
      </c>
      <c r="H78" s="547">
        <v>62</v>
      </c>
      <c r="I78" s="547">
        <v>417</v>
      </c>
    </row>
    <row r="79" spans="1:9" s="551" customFormat="1" ht="9" customHeight="1" x14ac:dyDescent="0.25">
      <c r="A79" s="554" t="s">
        <v>49</v>
      </c>
      <c r="B79" s="549">
        <f t="shared" si="3"/>
        <v>1682</v>
      </c>
      <c r="C79" s="549">
        <v>273</v>
      </c>
      <c r="D79" s="549">
        <v>114</v>
      </c>
      <c r="E79" s="549">
        <v>129</v>
      </c>
      <c r="F79" s="549">
        <v>98</v>
      </c>
      <c r="G79" s="549">
        <v>108</v>
      </c>
      <c r="H79" s="549">
        <v>92</v>
      </c>
      <c r="I79" s="549">
        <v>868</v>
      </c>
    </row>
    <row r="80" spans="1:9" s="551" customFormat="1" ht="9" customHeight="1" x14ac:dyDescent="0.25">
      <c r="A80" s="551" t="s">
        <v>50</v>
      </c>
      <c r="B80" s="547">
        <f t="shared" si="3"/>
        <v>424</v>
      </c>
      <c r="C80" s="547">
        <v>20</v>
      </c>
      <c r="D80" s="547">
        <v>38</v>
      </c>
      <c r="E80" s="547">
        <v>54</v>
      </c>
      <c r="F80" s="547">
        <v>26</v>
      </c>
      <c r="G80" s="547">
        <v>32</v>
      </c>
      <c r="H80" s="547">
        <v>22</v>
      </c>
      <c r="I80" s="547">
        <v>232</v>
      </c>
    </row>
    <row r="81" spans="1:9" s="551" customFormat="1" ht="9" customHeight="1" x14ac:dyDescent="0.25">
      <c r="A81" s="551" t="s">
        <v>51</v>
      </c>
      <c r="B81" s="547">
        <f t="shared" si="3"/>
        <v>4079</v>
      </c>
      <c r="C81" s="547">
        <v>368</v>
      </c>
      <c r="D81" s="547">
        <v>414</v>
      </c>
      <c r="E81" s="547">
        <v>431</v>
      </c>
      <c r="F81" s="547">
        <v>295</v>
      </c>
      <c r="G81" s="547">
        <v>181</v>
      </c>
      <c r="H81" s="547">
        <v>244</v>
      </c>
      <c r="I81" s="547">
        <v>2146</v>
      </c>
    </row>
    <row r="82" spans="1:9" s="551" customFormat="1" ht="9" customHeight="1" x14ac:dyDescent="0.25">
      <c r="A82" s="551" t="s">
        <v>52</v>
      </c>
      <c r="B82" s="547">
        <f t="shared" si="3"/>
        <v>989</v>
      </c>
      <c r="C82" s="547">
        <v>75</v>
      </c>
      <c r="D82" s="547">
        <v>129</v>
      </c>
      <c r="E82" s="547">
        <v>129</v>
      </c>
      <c r="F82" s="547">
        <v>44</v>
      </c>
      <c r="G82" s="547">
        <v>31</v>
      </c>
      <c r="H82" s="547">
        <v>52</v>
      </c>
      <c r="I82" s="547">
        <v>529</v>
      </c>
    </row>
    <row r="83" spans="1:9" s="551" customFormat="1" ht="9" customHeight="1" x14ac:dyDescent="0.25">
      <c r="A83" s="554" t="s">
        <v>53</v>
      </c>
      <c r="B83" s="549">
        <f t="shared" si="3"/>
        <v>737</v>
      </c>
      <c r="C83" s="549">
        <v>108</v>
      </c>
      <c r="D83" s="549">
        <v>80</v>
      </c>
      <c r="E83" s="549">
        <v>37</v>
      </c>
      <c r="F83" s="549">
        <v>69</v>
      </c>
      <c r="G83" s="549">
        <v>61</v>
      </c>
      <c r="H83" s="549">
        <v>38</v>
      </c>
      <c r="I83" s="549">
        <v>344</v>
      </c>
    </row>
    <row r="84" spans="1:9" s="551" customFormat="1" ht="9" customHeight="1" x14ac:dyDescent="0.25">
      <c r="A84" s="551" t="s">
        <v>434</v>
      </c>
      <c r="B84" s="547">
        <f t="shared" si="3"/>
        <v>345</v>
      </c>
      <c r="C84" s="547">
        <v>59</v>
      </c>
      <c r="D84" s="547">
        <v>18</v>
      </c>
      <c r="E84" s="547">
        <v>13</v>
      </c>
      <c r="F84" s="547">
        <v>23</v>
      </c>
      <c r="G84" s="547">
        <v>33</v>
      </c>
      <c r="H84" s="547">
        <v>11</v>
      </c>
      <c r="I84" s="547">
        <v>188</v>
      </c>
    </row>
    <row r="85" spans="1:9" s="551" customFormat="1" ht="9" customHeight="1" x14ac:dyDescent="0.25">
      <c r="B85" s="547"/>
      <c r="C85" s="547"/>
      <c r="D85" s="547"/>
      <c r="E85" s="547"/>
      <c r="F85" s="547"/>
      <c r="G85" s="547"/>
      <c r="H85" s="547"/>
      <c r="I85" s="547"/>
    </row>
    <row r="86" spans="1:9" s="551" customFormat="1" ht="9" customHeight="1" x14ac:dyDescent="0.25">
      <c r="A86" s="727">
        <v>2000</v>
      </c>
      <c r="B86" s="729"/>
      <c r="C86" s="728"/>
      <c r="D86" s="728"/>
      <c r="E86" s="728"/>
      <c r="F86" s="728"/>
      <c r="G86" s="728"/>
      <c r="I86" s="547"/>
    </row>
    <row r="87" spans="1:9" s="551" customFormat="1" ht="9" customHeight="1" x14ac:dyDescent="0.25">
      <c r="A87" s="718" t="s">
        <v>13</v>
      </c>
      <c r="B87" s="544">
        <f t="shared" ref="B87:I87" si="4">SUM(B89:B121)</f>
        <v>54996</v>
      </c>
      <c r="C87" s="544">
        <f t="shared" si="4"/>
        <v>6274</v>
      </c>
      <c r="D87" s="544">
        <f t="shared" si="4"/>
        <v>5009</v>
      </c>
      <c r="E87" s="544">
        <f t="shared" si="4"/>
        <v>4620</v>
      </c>
      <c r="F87" s="544">
        <f t="shared" si="4"/>
        <v>3852</v>
      </c>
      <c r="G87" s="544">
        <f t="shared" si="4"/>
        <v>3468</v>
      </c>
      <c r="H87" s="544">
        <f t="shared" si="4"/>
        <v>3301</v>
      </c>
      <c r="I87" s="544">
        <f t="shared" si="4"/>
        <v>28472</v>
      </c>
    </row>
    <row r="88" spans="1:9" s="551" customFormat="1" ht="3" customHeight="1" x14ac:dyDescent="0.25">
      <c r="A88" s="718"/>
      <c r="B88" s="544"/>
      <c r="C88" s="544"/>
      <c r="D88" s="544"/>
      <c r="E88" s="544"/>
      <c r="F88" s="544"/>
      <c r="G88" s="544"/>
      <c r="H88" s="544"/>
      <c r="I88" s="544"/>
    </row>
    <row r="89" spans="1:9" s="551" customFormat="1" ht="9" customHeight="1" x14ac:dyDescent="0.15">
      <c r="A89" s="730" t="s">
        <v>23</v>
      </c>
      <c r="B89" s="547">
        <f t="shared" ref="B89:B121" si="5">SUM(C89:I89)</f>
        <v>469</v>
      </c>
      <c r="C89" s="547">
        <v>59</v>
      </c>
      <c r="D89" s="547">
        <v>24</v>
      </c>
      <c r="E89" s="547">
        <v>35</v>
      </c>
      <c r="F89" s="547">
        <v>27</v>
      </c>
      <c r="G89" s="547">
        <v>36</v>
      </c>
      <c r="H89" s="547">
        <v>33</v>
      </c>
      <c r="I89" s="547">
        <v>255</v>
      </c>
    </row>
    <row r="90" spans="1:9" s="551" customFormat="1" ht="9" customHeight="1" x14ac:dyDescent="0.15">
      <c r="A90" s="730" t="s">
        <v>24</v>
      </c>
      <c r="B90" s="547">
        <f t="shared" si="5"/>
        <v>1371</v>
      </c>
      <c r="C90" s="547">
        <v>182</v>
      </c>
      <c r="D90" s="547">
        <v>98</v>
      </c>
      <c r="E90" s="547">
        <v>110</v>
      </c>
      <c r="F90" s="547">
        <v>90</v>
      </c>
      <c r="G90" s="547">
        <v>98</v>
      </c>
      <c r="H90" s="547">
        <v>70</v>
      </c>
      <c r="I90" s="547">
        <v>723</v>
      </c>
    </row>
    <row r="91" spans="1:9" s="551" customFormat="1" ht="9" customHeight="1" x14ac:dyDescent="0.15">
      <c r="A91" s="730" t="s">
        <v>25</v>
      </c>
      <c r="B91" s="547">
        <f t="shared" si="5"/>
        <v>273</v>
      </c>
      <c r="C91" s="547">
        <v>50</v>
      </c>
      <c r="D91" s="547">
        <v>28</v>
      </c>
      <c r="E91" s="547">
        <v>21</v>
      </c>
      <c r="F91" s="547">
        <v>15</v>
      </c>
      <c r="G91" s="547">
        <v>20</v>
      </c>
      <c r="H91" s="547">
        <v>15</v>
      </c>
      <c r="I91" s="547">
        <v>124</v>
      </c>
    </row>
    <row r="92" spans="1:9" s="551" customFormat="1" ht="9" customHeight="1" x14ac:dyDescent="0.15">
      <c r="A92" s="731" t="s">
        <v>26</v>
      </c>
      <c r="B92" s="549">
        <f t="shared" si="5"/>
        <v>341</v>
      </c>
      <c r="C92" s="549">
        <v>38</v>
      </c>
      <c r="D92" s="549">
        <v>37</v>
      </c>
      <c r="E92" s="549">
        <v>40</v>
      </c>
      <c r="F92" s="549">
        <v>22</v>
      </c>
      <c r="G92" s="549">
        <v>10</v>
      </c>
      <c r="H92" s="549">
        <v>23</v>
      </c>
      <c r="I92" s="549">
        <v>171</v>
      </c>
    </row>
    <row r="93" spans="1:9" s="551" customFormat="1" ht="9" customHeight="1" x14ac:dyDescent="0.15">
      <c r="A93" s="730" t="s">
        <v>27</v>
      </c>
      <c r="B93" s="547">
        <f t="shared" si="5"/>
        <v>1542</v>
      </c>
      <c r="C93" s="547">
        <v>224</v>
      </c>
      <c r="D93" s="547">
        <v>114</v>
      </c>
      <c r="E93" s="547">
        <v>103</v>
      </c>
      <c r="F93" s="547">
        <v>101</v>
      </c>
      <c r="G93" s="547">
        <v>114</v>
      </c>
      <c r="H93" s="547">
        <v>71</v>
      </c>
      <c r="I93" s="547">
        <v>815</v>
      </c>
    </row>
    <row r="94" spans="1:9" s="551" customFormat="1" ht="9" customHeight="1" x14ac:dyDescent="0.15">
      <c r="A94" s="730" t="s">
        <v>28</v>
      </c>
      <c r="B94" s="547">
        <f t="shared" si="5"/>
        <v>352</v>
      </c>
      <c r="C94" s="547">
        <v>47</v>
      </c>
      <c r="D94" s="547">
        <v>27</v>
      </c>
      <c r="E94" s="547">
        <v>30</v>
      </c>
      <c r="F94" s="547">
        <v>31</v>
      </c>
      <c r="G94" s="547">
        <v>17</v>
      </c>
      <c r="H94" s="547">
        <v>24</v>
      </c>
      <c r="I94" s="547">
        <v>176</v>
      </c>
    </row>
    <row r="95" spans="1:9" s="551" customFormat="1" ht="9" customHeight="1" x14ac:dyDescent="0.15">
      <c r="A95" s="730" t="s">
        <v>29</v>
      </c>
      <c r="B95" s="547">
        <f t="shared" si="5"/>
        <v>1856</v>
      </c>
      <c r="C95" s="547">
        <v>147</v>
      </c>
      <c r="D95" s="547">
        <v>323</v>
      </c>
      <c r="E95" s="547">
        <v>212</v>
      </c>
      <c r="F95" s="547">
        <v>100</v>
      </c>
      <c r="G95" s="547">
        <v>54</v>
      </c>
      <c r="H95" s="547">
        <v>122</v>
      </c>
      <c r="I95" s="547">
        <v>898</v>
      </c>
    </row>
    <row r="96" spans="1:9" s="551" customFormat="1" ht="9" customHeight="1" x14ac:dyDescent="0.15">
      <c r="A96" s="731" t="s">
        <v>30</v>
      </c>
      <c r="B96" s="549">
        <f t="shared" si="5"/>
        <v>2026</v>
      </c>
      <c r="C96" s="549">
        <v>319</v>
      </c>
      <c r="D96" s="549">
        <v>156</v>
      </c>
      <c r="E96" s="549">
        <v>149</v>
      </c>
      <c r="F96" s="549">
        <v>146</v>
      </c>
      <c r="G96" s="549">
        <v>152</v>
      </c>
      <c r="H96" s="549">
        <v>106</v>
      </c>
      <c r="I96" s="549">
        <v>998</v>
      </c>
    </row>
    <row r="97" spans="1:9" s="551" customFormat="1" ht="9" customHeight="1" x14ac:dyDescent="0.15">
      <c r="A97" s="730" t="s">
        <v>63</v>
      </c>
      <c r="B97" s="547">
        <f t="shared" si="5"/>
        <v>6193</v>
      </c>
      <c r="C97" s="547">
        <v>561</v>
      </c>
      <c r="D97" s="547">
        <v>513</v>
      </c>
      <c r="E97" s="547">
        <v>384</v>
      </c>
      <c r="F97" s="547">
        <v>444</v>
      </c>
      <c r="G97" s="547">
        <v>576</v>
      </c>
      <c r="H97" s="547">
        <v>320</v>
      </c>
      <c r="I97" s="547">
        <v>3395</v>
      </c>
    </row>
    <row r="98" spans="1:9" s="551" customFormat="1" ht="9" customHeight="1" x14ac:dyDescent="0.15">
      <c r="A98" s="730" t="s">
        <v>31</v>
      </c>
      <c r="B98" s="547">
        <f t="shared" si="5"/>
        <v>770</v>
      </c>
      <c r="C98" s="547">
        <v>114</v>
      </c>
      <c r="D98" s="547">
        <v>58</v>
      </c>
      <c r="E98" s="547">
        <v>70</v>
      </c>
      <c r="F98" s="547">
        <v>52</v>
      </c>
      <c r="G98" s="547">
        <v>49</v>
      </c>
      <c r="H98" s="547">
        <v>44</v>
      </c>
      <c r="I98" s="547">
        <v>383</v>
      </c>
    </row>
    <row r="99" spans="1:9" s="551" customFormat="1" ht="9" customHeight="1" x14ac:dyDescent="0.15">
      <c r="A99" s="730" t="s">
        <v>32</v>
      </c>
      <c r="B99" s="547">
        <f t="shared" si="5"/>
        <v>2329</v>
      </c>
      <c r="C99" s="547">
        <v>288</v>
      </c>
      <c r="D99" s="547">
        <v>215</v>
      </c>
      <c r="E99" s="547">
        <v>177</v>
      </c>
      <c r="F99" s="547">
        <v>179</v>
      </c>
      <c r="G99" s="547">
        <v>124</v>
      </c>
      <c r="H99" s="547">
        <v>146</v>
      </c>
      <c r="I99" s="547">
        <v>1200</v>
      </c>
    </row>
    <row r="100" spans="1:9" s="551" customFormat="1" ht="9" customHeight="1" x14ac:dyDescent="0.15">
      <c r="A100" s="731" t="s">
        <v>33</v>
      </c>
      <c r="B100" s="549">
        <f t="shared" si="5"/>
        <v>1241</v>
      </c>
      <c r="C100" s="549">
        <v>109</v>
      </c>
      <c r="D100" s="549">
        <v>181</v>
      </c>
      <c r="E100" s="549">
        <v>153</v>
      </c>
      <c r="F100" s="549">
        <v>84</v>
      </c>
      <c r="G100" s="549">
        <v>58</v>
      </c>
      <c r="H100" s="549">
        <v>85</v>
      </c>
      <c r="I100" s="549">
        <v>571</v>
      </c>
    </row>
    <row r="101" spans="1:9" s="551" customFormat="1" ht="9" customHeight="1" x14ac:dyDescent="0.15">
      <c r="A101" s="730" t="s">
        <v>34</v>
      </c>
      <c r="B101" s="547">
        <f t="shared" si="5"/>
        <v>991</v>
      </c>
      <c r="C101" s="547">
        <v>66</v>
      </c>
      <c r="D101" s="547">
        <v>92</v>
      </c>
      <c r="E101" s="547">
        <v>75</v>
      </c>
      <c r="F101" s="547">
        <v>73</v>
      </c>
      <c r="G101" s="547">
        <v>62</v>
      </c>
      <c r="H101" s="547">
        <v>73</v>
      </c>
      <c r="I101" s="547">
        <v>550</v>
      </c>
    </row>
    <row r="102" spans="1:9" s="551" customFormat="1" ht="9" customHeight="1" x14ac:dyDescent="0.15">
      <c r="A102" s="730" t="s">
        <v>35</v>
      </c>
      <c r="B102" s="547">
        <f t="shared" si="5"/>
        <v>4216</v>
      </c>
      <c r="C102" s="547">
        <v>554</v>
      </c>
      <c r="D102" s="547">
        <v>306</v>
      </c>
      <c r="E102" s="547">
        <v>340</v>
      </c>
      <c r="F102" s="547">
        <v>361</v>
      </c>
      <c r="G102" s="547">
        <v>290</v>
      </c>
      <c r="H102" s="547">
        <v>272</v>
      </c>
      <c r="I102" s="547">
        <v>2093</v>
      </c>
    </row>
    <row r="103" spans="1:9" s="551" customFormat="1" ht="9" customHeight="1" x14ac:dyDescent="0.15">
      <c r="A103" s="730" t="s">
        <v>36</v>
      </c>
      <c r="B103" s="547">
        <f t="shared" si="5"/>
        <v>5354</v>
      </c>
      <c r="C103" s="547">
        <v>444</v>
      </c>
      <c r="D103" s="547">
        <v>473</v>
      </c>
      <c r="E103" s="547">
        <v>496</v>
      </c>
      <c r="F103" s="547">
        <v>303</v>
      </c>
      <c r="G103" s="547">
        <v>368</v>
      </c>
      <c r="H103" s="547">
        <v>385</v>
      </c>
      <c r="I103" s="547">
        <v>2885</v>
      </c>
    </row>
    <row r="104" spans="1:9" s="551" customFormat="1" ht="9" customHeight="1" x14ac:dyDescent="0.15">
      <c r="A104" s="731" t="s">
        <v>37</v>
      </c>
      <c r="B104" s="549">
        <f t="shared" si="5"/>
        <v>2449</v>
      </c>
      <c r="C104" s="549">
        <v>295</v>
      </c>
      <c r="D104" s="549">
        <v>217</v>
      </c>
      <c r="E104" s="549">
        <v>219</v>
      </c>
      <c r="F104" s="549">
        <v>207</v>
      </c>
      <c r="G104" s="549">
        <v>126</v>
      </c>
      <c r="H104" s="549">
        <v>162</v>
      </c>
      <c r="I104" s="549">
        <v>1223</v>
      </c>
    </row>
    <row r="105" spans="1:9" s="551" customFormat="1" ht="9" customHeight="1" x14ac:dyDescent="0.15">
      <c r="A105" s="730" t="s">
        <v>38</v>
      </c>
      <c r="B105" s="547">
        <f t="shared" si="5"/>
        <v>931</v>
      </c>
      <c r="C105" s="547">
        <v>83</v>
      </c>
      <c r="D105" s="547">
        <v>82</v>
      </c>
      <c r="E105" s="547">
        <v>125</v>
      </c>
      <c r="F105" s="547">
        <v>58</v>
      </c>
      <c r="G105" s="547">
        <v>40</v>
      </c>
      <c r="H105" s="547">
        <v>63</v>
      </c>
      <c r="I105" s="547">
        <v>480</v>
      </c>
    </row>
    <row r="106" spans="1:9" s="551" customFormat="1" ht="9" customHeight="1" x14ac:dyDescent="0.15">
      <c r="A106" s="730" t="s">
        <v>39</v>
      </c>
      <c r="B106" s="547">
        <f t="shared" si="5"/>
        <v>649</v>
      </c>
      <c r="C106" s="547">
        <v>102</v>
      </c>
      <c r="D106" s="547">
        <v>41</v>
      </c>
      <c r="E106" s="547">
        <v>80</v>
      </c>
      <c r="F106" s="547">
        <v>56</v>
      </c>
      <c r="G106" s="547">
        <v>36</v>
      </c>
      <c r="H106" s="547">
        <v>36</v>
      </c>
      <c r="I106" s="547">
        <v>298</v>
      </c>
    </row>
    <row r="107" spans="1:9" s="551" customFormat="1" ht="9" customHeight="1" x14ac:dyDescent="0.15">
      <c r="A107" s="730" t="s">
        <v>40</v>
      </c>
      <c r="B107" s="547">
        <f t="shared" si="5"/>
        <v>2560</v>
      </c>
      <c r="C107" s="547">
        <v>403</v>
      </c>
      <c r="D107" s="547">
        <v>177</v>
      </c>
      <c r="E107" s="547">
        <v>121</v>
      </c>
      <c r="F107" s="547">
        <v>155</v>
      </c>
      <c r="G107" s="547">
        <v>215</v>
      </c>
      <c r="H107" s="547">
        <v>131</v>
      </c>
      <c r="I107" s="547">
        <v>1358</v>
      </c>
    </row>
    <row r="108" spans="1:9" s="551" customFormat="1" ht="9" customHeight="1" x14ac:dyDescent="0.15">
      <c r="A108" s="731" t="s">
        <v>41</v>
      </c>
      <c r="B108" s="549">
        <f t="shared" si="5"/>
        <v>1722</v>
      </c>
      <c r="C108" s="549">
        <v>107</v>
      </c>
      <c r="D108" s="549">
        <v>252</v>
      </c>
      <c r="E108" s="549">
        <v>173</v>
      </c>
      <c r="F108" s="549">
        <v>122</v>
      </c>
      <c r="G108" s="549">
        <v>65</v>
      </c>
      <c r="H108" s="549">
        <v>98</v>
      </c>
      <c r="I108" s="549">
        <v>905</v>
      </c>
    </row>
    <row r="109" spans="1:9" s="551" customFormat="1" ht="9" customHeight="1" x14ac:dyDescent="0.15">
      <c r="A109" s="730" t="s">
        <v>42</v>
      </c>
      <c r="B109" s="547">
        <f t="shared" si="5"/>
        <v>2390</v>
      </c>
      <c r="C109" s="547">
        <v>148</v>
      </c>
      <c r="D109" s="547">
        <v>259</v>
      </c>
      <c r="E109" s="547">
        <v>234</v>
      </c>
      <c r="F109" s="547">
        <v>158</v>
      </c>
      <c r="G109" s="547">
        <v>117</v>
      </c>
      <c r="H109" s="547">
        <v>184</v>
      </c>
      <c r="I109" s="547">
        <v>1290</v>
      </c>
    </row>
    <row r="110" spans="1:9" s="551" customFormat="1" ht="9" customHeight="1" x14ac:dyDescent="0.15">
      <c r="A110" s="730" t="s">
        <v>43</v>
      </c>
      <c r="B110" s="547">
        <f t="shared" si="5"/>
        <v>639</v>
      </c>
      <c r="C110" s="547">
        <v>51</v>
      </c>
      <c r="D110" s="547">
        <v>48</v>
      </c>
      <c r="E110" s="547">
        <v>53</v>
      </c>
      <c r="F110" s="547">
        <v>39</v>
      </c>
      <c r="G110" s="547">
        <v>35</v>
      </c>
      <c r="H110" s="547">
        <v>42</v>
      </c>
      <c r="I110" s="547">
        <v>371</v>
      </c>
    </row>
    <row r="111" spans="1:9" s="551" customFormat="1" ht="9" customHeight="1" x14ac:dyDescent="0.15">
      <c r="A111" s="730" t="s">
        <v>44</v>
      </c>
      <c r="B111" s="547">
        <f t="shared" si="5"/>
        <v>255</v>
      </c>
      <c r="C111" s="547">
        <v>24</v>
      </c>
      <c r="D111" s="547">
        <v>26</v>
      </c>
      <c r="E111" s="547">
        <v>30</v>
      </c>
      <c r="F111" s="547">
        <v>18</v>
      </c>
      <c r="G111" s="547">
        <v>14</v>
      </c>
      <c r="H111" s="547">
        <v>24</v>
      </c>
      <c r="I111" s="547">
        <v>119</v>
      </c>
    </row>
    <row r="112" spans="1:9" s="551" customFormat="1" ht="9" customHeight="1" x14ac:dyDescent="0.15">
      <c r="A112" s="731" t="s">
        <v>45</v>
      </c>
      <c r="B112" s="549">
        <f t="shared" si="5"/>
        <v>1294</v>
      </c>
      <c r="C112" s="549">
        <v>151</v>
      </c>
      <c r="D112" s="549">
        <v>122</v>
      </c>
      <c r="E112" s="549">
        <v>119</v>
      </c>
      <c r="F112" s="549">
        <v>100</v>
      </c>
      <c r="G112" s="549">
        <v>57</v>
      </c>
      <c r="H112" s="549">
        <v>77</v>
      </c>
      <c r="I112" s="549">
        <v>668</v>
      </c>
    </row>
    <row r="113" spans="1:12" s="551" customFormat="1" ht="9" customHeight="1" x14ac:dyDescent="0.15">
      <c r="A113" s="730" t="s">
        <v>46</v>
      </c>
      <c r="B113" s="547">
        <f t="shared" si="5"/>
        <v>1702</v>
      </c>
      <c r="C113" s="547">
        <v>360</v>
      </c>
      <c r="D113" s="547">
        <v>115</v>
      </c>
      <c r="E113" s="547">
        <v>117</v>
      </c>
      <c r="F113" s="547">
        <v>160</v>
      </c>
      <c r="G113" s="547">
        <v>94</v>
      </c>
      <c r="H113" s="547">
        <v>54</v>
      </c>
      <c r="I113" s="547">
        <v>802</v>
      </c>
    </row>
    <row r="114" spans="1:12" s="551" customFormat="1" ht="9" customHeight="1" x14ac:dyDescent="0.15">
      <c r="A114" s="730" t="s">
        <v>47</v>
      </c>
      <c r="B114" s="547">
        <f t="shared" si="5"/>
        <v>1639</v>
      </c>
      <c r="C114" s="547">
        <v>348</v>
      </c>
      <c r="D114" s="547">
        <v>162</v>
      </c>
      <c r="E114" s="547">
        <v>87</v>
      </c>
      <c r="F114" s="547">
        <v>105</v>
      </c>
      <c r="G114" s="547">
        <v>109</v>
      </c>
      <c r="H114" s="547">
        <v>68</v>
      </c>
      <c r="I114" s="547">
        <v>760</v>
      </c>
    </row>
    <row r="115" spans="1:12" s="551" customFormat="1" ht="9" customHeight="1" x14ac:dyDescent="0.15">
      <c r="A115" s="730" t="s">
        <v>48</v>
      </c>
      <c r="B115" s="547">
        <f t="shared" si="5"/>
        <v>886</v>
      </c>
      <c r="C115" s="547">
        <v>89</v>
      </c>
      <c r="D115" s="547">
        <v>85</v>
      </c>
      <c r="E115" s="547">
        <v>90</v>
      </c>
      <c r="F115" s="547">
        <v>70</v>
      </c>
      <c r="G115" s="547">
        <v>39</v>
      </c>
      <c r="H115" s="547">
        <v>69</v>
      </c>
      <c r="I115" s="547">
        <v>444</v>
      </c>
    </row>
    <row r="116" spans="1:12" s="551" customFormat="1" ht="9" customHeight="1" x14ac:dyDescent="0.15">
      <c r="A116" s="731" t="s">
        <v>49</v>
      </c>
      <c r="B116" s="549">
        <f t="shared" si="5"/>
        <v>1757</v>
      </c>
      <c r="C116" s="549">
        <v>266</v>
      </c>
      <c r="D116" s="549">
        <v>130</v>
      </c>
      <c r="E116" s="549">
        <v>132</v>
      </c>
      <c r="F116" s="549">
        <v>90</v>
      </c>
      <c r="G116" s="549">
        <v>123</v>
      </c>
      <c r="H116" s="549">
        <v>90</v>
      </c>
      <c r="I116" s="549">
        <v>926</v>
      </c>
    </row>
    <row r="117" spans="1:12" s="551" customFormat="1" ht="9" customHeight="1" x14ac:dyDescent="0.15">
      <c r="A117" s="730" t="s">
        <v>50</v>
      </c>
      <c r="B117" s="547">
        <f t="shared" si="5"/>
        <v>365</v>
      </c>
      <c r="C117" s="547">
        <v>19</v>
      </c>
      <c r="D117" s="547">
        <v>36</v>
      </c>
      <c r="E117" s="547">
        <v>40</v>
      </c>
      <c r="F117" s="547">
        <v>17</v>
      </c>
      <c r="G117" s="547">
        <v>15</v>
      </c>
      <c r="H117" s="547">
        <v>39</v>
      </c>
      <c r="I117" s="547">
        <v>199</v>
      </c>
    </row>
    <row r="118" spans="1:12" s="551" customFormat="1" ht="9" customHeight="1" x14ac:dyDescent="0.15">
      <c r="A118" s="730" t="s">
        <v>51</v>
      </c>
      <c r="B118" s="547">
        <f t="shared" si="5"/>
        <v>4269</v>
      </c>
      <c r="C118" s="547">
        <v>393</v>
      </c>
      <c r="D118" s="547">
        <v>399</v>
      </c>
      <c r="E118" s="547">
        <v>426</v>
      </c>
      <c r="F118" s="547">
        <v>314</v>
      </c>
      <c r="G118" s="547">
        <v>221</v>
      </c>
      <c r="H118" s="547">
        <v>251</v>
      </c>
      <c r="I118" s="547">
        <v>2265</v>
      </c>
    </row>
    <row r="119" spans="1:12" s="551" customFormat="1" ht="9" customHeight="1" x14ac:dyDescent="0.15">
      <c r="A119" s="730" t="s">
        <v>52</v>
      </c>
      <c r="B119" s="547">
        <f t="shared" si="5"/>
        <v>1009</v>
      </c>
      <c r="C119" s="547">
        <v>79</v>
      </c>
      <c r="D119" s="547">
        <v>100</v>
      </c>
      <c r="E119" s="547">
        <v>121</v>
      </c>
      <c r="F119" s="547">
        <v>57</v>
      </c>
      <c r="G119" s="547">
        <v>52</v>
      </c>
      <c r="H119" s="547">
        <v>63</v>
      </c>
      <c r="I119" s="547">
        <v>537</v>
      </c>
    </row>
    <row r="120" spans="1:12" s="551" customFormat="1" ht="9" customHeight="1" x14ac:dyDescent="0.15">
      <c r="A120" s="731" t="s">
        <v>53</v>
      </c>
      <c r="B120" s="549">
        <f t="shared" si="5"/>
        <v>810</v>
      </c>
      <c r="C120" s="549">
        <v>105</v>
      </c>
      <c r="D120" s="549">
        <v>84</v>
      </c>
      <c r="E120" s="549">
        <v>42</v>
      </c>
      <c r="F120" s="549">
        <v>81</v>
      </c>
      <c r="G120" s="549">
        <v>46</v>
      </c>
      <c r="H120" s="549">
        <v>51</v>
      </c>
      <c r="I120" s="549">
        <v>401</v>
      </c>
    </row>
    <row r="121" spans="1:12" s="551" customFormat="1" ht="9" customHeight="1" x14ac:dyDescent="0.15">
      <c r="A121" s="730" t="s">
        <v>434</v>
      </c>
      <c r="B121" s="547">
        <f t="shared" si="5"/>
        <v>346</v>
      </c>
      <c r="C121" s="547">
        <v>49</v>
      </c>
      <c r="D121" s="547">
        <v>29</v>
      </c>
      <c r="E121" s="547">
        <v>16</v>
      </c>
      <c r="F121" s="547">
        <v>17</v>
      </c>
      <c r="G121" s="547">
        <v>36</v>
      </c>
      <c r="H121" s="547">
        <v>10</v>
      </c>
      <c r="I121" s="547">
        <v>189</v>
      </c>
    </row>
    <row r="122" spans="1:12" s="551" customFormat="1" ht="6" customHeight="1" x14ac:dyDescent="0.15">
      <c r="A122" s="730"/>
      <c r="B122" s="547"/>
      <c r="C122" s="547"/>
      <c r="D122" s="547"/>
      <c r="E122" s="547"/>
      <c r="F122" s="547"/>
      <c r="G122" s="547"/>
      <c r="H122" s="547"/>
      <c r="I122" s="547"/>
    </row>
    <row r="123" spans="1:12" s="551" customFormat="1" ht="9" customHeight="1" x14ac:dyDescent="0.25">
      <c r="A123" s="727">
        <v>2001</v>
      </c>
      <c r="B123" s="732"/>
      <c r="C123" s="728"/>
      <c r="D123" s="728"/>
      <c r="E123" s="728"/>
      <c r="F123" s="728"/>
      <c r="G123" s="728"/>
      <c r="I123" s="547"/>
    </row>
    <row r="124" spans="1:12" s="551" customFormat="1" ht="9" customHeight="1" x14ac:dyDescent="0.25">
      <c r="A124" s="718" t="s">
        <v>13</v>
      </c>
      <c r="B124" s="544">
        <f t="shared" ref="B124:I124" si="6">SUM(B126:B158)</f>
        <v>56201</v>
      </c>
      <c r="C124" s="544">
        <f t="shared" si="6"/>
        <v>6445</v>
      </c>
      <c r="D124" s="544">
        <f t="shared" si="6"/>
        <v>5006</v>
      </c>
      <c r="E124" s="544">
        <f t="shared" si="6"/>
        <v>4512</v>
      </c>
      <c r="F124" s="544">
        <f t="shared" si="6"/>
        <v>4030</v>
      </c>
      <c r="G124" s="544">
        <f t="shared" si="6"/>
        <v>3603</v>
      </c>
      <c r="H124" s="544">
        <f t="shared" si="6"/>
        <v>3232</v>
      </c>
      <c r="I124" s="544">
        <f t="shared" si="6"/>
        <v>29373</v>
      </c>
      <c r="L124" s="547"/>
    </row>
    <row r="125" spans="1:12" s="551" customFormat="1" ht="3" customHeight="1" x14ac:dyDescent="0.25">
      <c r="A125" s="718"/>
      <c r="B125" s="544"/>
      <c r="C125" s="544"/>
      <c r="D125" s="544"/>
      <c r="E125" s="544"/>
      <c r="F125" s="544"/>
      <c r="G125" s="544"/>
      <c r="H125" s="544"/>
      <c r="I125" s="544"/>
    </row>
    <row r="126" spans="1:12" s="551" customFormat="1" ht="9" customHeight="1" x14ac:dyDescent="0.25">
      <c r="A126" s="551" t="s">
        <v>23</v>
      </c>
      <c r="B126" s="547">
        <f t="shared" ref="B126:B158" si="7">SUM(C126:I126)</f>
        <v>505</v>
      </c>
      <c r="C126" s="547">
        <v>65</v>
      </c>
      <c r="D126" s="547">
        <v>32</v>
      </c>
      <c r="E126" s="547">
        <v>32</v>
      </c>
      <c r="F126" s="547">
        <v>36</v>
      </c>
      <c r="G126" s="547">
        <v>31</v>
      </c>
      <c r="H126" s="547">
        <v>35</v>
      </c>
      <c r="I126" s="547">
        <v>274</v>
      </c>
      <c r="L126" s="547"/>
    </row>
    <row r="127" spans="1:12" s="551" customFormat="1" ht="9" customHeight="1" x14ac:dyDescent="0.25">
      <c r="A127" s="551" t="s">
        <v>24</v>
      </c>
      <c r="B127" s="733">
        <f t="shared" si="7"/>
        <v>1408</v>
      </c>
      <c r="C127" s="547">
        <v>212</v>
      </c>
      <c r="D127" s="547">
        <v>96</v>
      </c>
      <c r="E127" s="547">
        <v>114</v>
      </c>
      <c r="F127" s="547">
        <v>70</v>
      </c>
      <c r="G127" s="547">
        <v>102</v>
      </c>
      <c r="H127" s="547">
        <v>98</v>
      </c>
      <c r="I127" s="733">
        <v>716</v>
      </c>
      <c r="L127" s="547"/>
    </row>
    <row r="128" spans="1:12" s="551" customFormat="1" ht="9" customHeight="1" x14ac:dyDescent="0.25">
      <c r="A128" s="551" t="s">
        <v>25</v>
      </c>
      <c r="B128" s="547">
        <f t="shared" si="7"/>
        <v>277</v>
      </c>
      <c r="C128" s="547">
        <v>40</v>
      </c>
      <c r="D128" s="547">
        <v>26</v>
      </c>
      <c r="E128" s="547">
        <v>15</v>
      </c>
      <c r="F128" s="547">
        <v>15</v>
      </c>
      <c r="G128" s="547">
        <v>19</v>
      </c>
      <c r="H128" s="547">
        <v>13</v>
      </c>
      <c r="I128" s="547">
        <v>149</v>
      </c>
      <c r="L128" s="547"/>
    </row>
    <row r="129" spans="1:12" s="551" customFormat="1" ht="9" customHeight="1" x14ac:dyDescent="0.25">
      <c r="A129" s="554" t="s">
        <v>26</v>
      </c>
      <c r="B129" s="549">
        <f t="shared" si="7"/>
        <v>326</v>
      </c>
      <c r="C129" s="549">
        <v>29</v>
      </c>
      <c r="D129" s="549">
        <v>39</v>
      </c>
      <c r="E129" s="549">
        <v>34</v>
      </c>
      <c r="F129" s="549">
        <v>18</v>
      </c>
      <c r="G129" s="549">
        <v>13</v>
      </c>
      <c r="H129" s="549">
        <v>21</v>
      </c>
      <c r="I129" s="549">
        <v>172</v>
      </c>
      <c r="L129" s="547"/>
    </row>
    <row r="130" spans="1:12" s="551" customFormat="1" ht="9" customHeight="1" x14ac:dyDescent="0.25">
      <c r="A130" s="551" t="s">
        <v>27</v>
      </c>
      <c r="B130" s="547">
        <f t="shared" si="7"/>
        <v>1488</v>
      </c>
      <c r="C130" s="547">
        <v>217</v>
      </c>
      <c r="D130" s="547">
        <v>109</v>
      </c>
      <c r="E130" s="547">
        <v>112</v>
      </c>
      <c r="F130" s="547">
        <v>91</v>
      </c>
      <c r="G130" s="547">
        <v>120</v>
      </c>
      <c r="H130" s="547">
        <v>79</v>
      </c>
      <c r="I130" s="547">
        <v>760</v>
      </c>
      <c r="L130" s="547"/>
    </row>
    <row r="131" spans="1:12" s="551" customFormat="1" ht="9" customHeight="1" x14ac:dyDescent="0.25">
      <c r="A131" s="551" t="s">
        <v>28</v>
      </c>
      <c r="B131" s="547">
        <f t="shared" si="7"/>
        <v>340</v>
      </c>
      <c r="C131" s="547">
        <v>47</v>
      </c>
      <c r="D131" s="547">
        <v>27</v>
      </c>
      <c r="E131" s="547">
        <v>36</v>
      </c>
      <c r="F131" s="547">
        <v>22</v>
      </c>
      <c r="G131" s="547">
        <v>22</v>
      </c>
      <c r="H131" s="547">
        <v>21</v>
      </c>
      <c r="I131" s="547">
        <v>165</v>
      </c>
      <c r="L131" s="547"/>
    </row>
    <row r="132" spans="1:12" s="551" customFormat="1" ht="9" customHeight="1" x14ac:dyDescent="0.25">
      <c r="A132" s="551" t="s">
        <v>29</v>
      </c>
      <c r="B132" s="547">
        <f t="shared" si="7"/>
        <v>1911</v>
      </c>
      <c r="C132" s="547">
        <v>153</v>
      </c>
      <c r="D132" s="547">
        <v>293</v>
      </c>
      <c r="E132" s="547">
        <v>241</v>
      </c>
      <c r="F132" s="547">
        <v>126</v>
      </c>
      <c r="G132" s="547">
        <v>55</v>
      </c>
      <c r="H132" s="547">
        <v>117</v>
      </c>
      <c r="I132" s="547">
        <v>926</v>
      </c>
      <c r="L132" s="547"/>
    </row>
    <row r="133" spans="1:12" s="551" customFormat="1" ht="9" customHeight="1" x14ac:dyDescent="0.25">
      <c r="A133" s="554" t="s">
        <v>30</v>
      </c>
      <c r="B133" s="549">
        <f t="shared" si="7"/>
        <v>2075</v>
      </c>
      <c r="C133" s="549">
        <v>339</v>
      </c>
      <c r="D133" s="549">
        <v>153</v>
      </c>
      <c r="E133" s="549">
        <v>143</v>
      </c>
      <c r="F133" s="549">
        <v>140</v>
      </c>
      <c r="G133" s="549">
        <v>140</v>
      </c>
      <c r="H133" s="549">
        <v>108</v>
      </c>
      <c r="I133" s="549">
        <v>1052</v>
      </c>
      <c r="L133" s="547"/>
    </row>
    <row r="134" spans="1:12" s="551" customFormat="1" ht="9" customHeight="1" x14ac:dyDescent="0.25">
      <c r="A134" s="551" t="s">
        <v>63</v>
      </c>
      <c r="B134" s="547">
        <f t="shared" si="7"/>
        <v>6324</v>
      </c>
      <c r="C134" s="547">
        <v>581</v>
      </c>
      <c r="D134" s="547">
        <v>508</v>
      </c>
      <c r="E134" s="547">
        <v>350</v>
      </c>
      <c r="F134" s="547">
        <v>442</v>
      </c>
      <c r="G134" s="547">
        <v>568</v>
      </c>
      <c r="H134" s="547">
        <v>300</v>
      </c>
      <c r="I134" s="547">
        <v>3575</v>
      </c>
      <c r="L134" s="547"/>
    </row>
    <row r="135" spans="1:12" s="551" customFormat="1" ht="9" customHeight="1" x14ac:dyDescent="0.25">
      <c r="A135" s="551" t="s">
        <v>31</v>
      </c>
      <c r="B135" s="547">
        <f t="shared" si="7"/>
        <v>872</v>
      </c>
      <c r="C135" s="547">
        <v>131</v>
      </c>
      <c r="D135" s="547">
        <v>70</v>
      </c>
      <c r="E135" s="547">
        <v>60</v>
      </c>
      <c r="F135" s="547">
        <v>80</v>
      </c>
      <c r="G135" s="547">
        <v>49</v>
      </c>
      <c r="H135" s="547">
        <v>50</v>
      </c>
      <c r="I135" s="547">
        <v>432</v>
      </c>
      <c r="L135" s="547"/>
    </row>
    <row r="136" spans="1:12" s="551" customFormat="1" ht="9" customHeight="1" x14ac:dyDescent="0.25">
      <c r="A136" s="551" t="s">
        <v>32</v>
      </c>
      <c r="B136" s="547">
        <f t="shared" si="7"/>
        <v>2287</v>
      </c>
      <c r="C136" s="547">
        <v>230</v>
      </c>
      <c r="D136" s="547">
        <v>220</v>
      </c>
      <c r="E136" s="547">
        <v>152</v>
      </c>
      <c r="F136" s="547">
        <v>193</v>
      </c>
      <c r="G136" s="547">
        <v>135</v>
      </c>
      <c r="H136" s="547">
        <v>145</v>
      </c>
      <c r="I136" s="547">
        <v>1212</v>
      </c>
      <c r="L136" s="547"/>
    </row>
    <row r="137" spans="1:12" s="551" customFormat="1" ht="9" customHeight="1" x14ac:dyDescent="0.25">
      <c r="A137" s="554" t="s">
        <v>33</v>
      </c>
      <c r="B137" s="549">
        <f t="shared" si="7"/>
        <v>1352</v>
      </c>
      <c r="C137" s="549">
        <v>140</v>
      </c>
      <c r="D137" s="549">
        <v>185</v>
      </c>
      <c r="E137" s="549">
        <v>153</v>
      </c>
      <c r="F137" s="549">
        <v>109</v>
      </c>
      <c r="G137" s="549">
        <v>62</v>
      </c>
      <c r="H137" s="549">
        <v>79</v>
      </c>
      <c r="I137" s="549">
        <v>624</v>
      </c>
      <c r="L137" s="547"/>
    </row>
    <row r="138" spans="1:12" s="551" customFormat="1" ht="9" customHeight="1" x14ac:dyDescent="0.25">
      <c r="A138" s="551" t="s">
        <v>34</v>
      </c>
      <c r="B138" s="547">
        <f t="shared" si="7"/>
        <v>1157</v>
      </c>
      <c r="C138" s="547">
        <v>99</v>
      </c>
      <c r="D138" s="547">
        <v>103</v>
      </c>
      <c r="E138" s="547">
        <v>94</v>
      </c>
      <c r="F138" s="547">
        <v>90</v>
      </c>
      <c r="G138" s="547">
        <v>68</v>
      </c>
      <c r="H138" s="547">
        <v>75</v>
      </c>
      <c r="I138" s="547">
        <v>628</v>
      </c>
      <c r="L138" s="547"/>
    </row>
    <row r="139" spans="1:12" s="551" customFormat="1" ht="9" customHeight="1" x14ac:dyDescent="0.25">
      <c r="A139" s="551" t="s">
        <v>35</v>
      </c>
      <c r="B139" s="547">
        <f t="shared" si="7"/>
        <v>4127</v>
      </c>
      <c r="C139" s="547">
        <v>554</v>
      </c>
      <c r="D139" s="547">
        <v>334</v>
      </c>
      <c r="E139" s="547">
        <v>262</v>
      </c>
      <c r="F139" s="547">
        <v>330</v>
      </c>
      <c r="G139" s="547">
        <v>281</v>
      </c>
      <c r="H139" s="547">
        <v>254</v>
      </c>
      <c r="I139" s="547">
        <v>2112</v>
      </c>
      <c r="L139" s="547"/>
    </row>
    <row r="140" spans="1:12" s="551" customFormat="1" ht="9" customHeight="1" x14ac:dyDescent="0.25">
      <c r="A140" s="551" t="s">
        <v>36</v>
      </c>
      <c r="B140" s="547">
        <f t="shared" si="7"/>
        <v>5705</v>
      </c>
      <c r="C140" s="547">
        <v>475</v>
      </c>
      <c r="D140" s="547">
        <v>453</v>
      </c>
      <c r="E140" s="547">
        <v>481</v>
      </c>
      <c r="F140" s="547">
        <v>360</v>
      </c>
      <c r="G140" s="547">
        <v>456</v>
      </c>
      <c r="H140" s="547">
        <v>362</v>
      </c>
      <c r="I140" s="547">
        <v>3118</v>
      </c>
      <c r="L140" s="547"/>
    </row>
    <row r="141" spans="1:12" s="551" customFormat="1" ht="9" customHeight="1" x14ac:dyDescent="0.25">
      <c r="A141" s="554" t="s">
        <v>37</v>
      </c>
      <c r="B141" s="549">
        <f t="shared" si="7"/>
        <v>2425</v>
      </c>
      <c r="C141" s="549">
        <v>308</v>
      </c>
      <c r="D141" s="549">
        <v>223</v>
      </c>
      <c r="E141" s="549">
        <v>199</v>
      </c>
      <c r="F141" s="549">
        <v>227</v>
      </c>
      <c r="G141" s="549">
        <v>134</v>
      </c>
      <c r="H141" s="549">
        <v>140</v>
      </c>
      <c r="I141" s="549">
        <v>1194</v>
      </c>
      <c r="L141" s="547"/>
    </row>
    <row r="142" spans="1:12" s="551" customFormat="1" ht="9" customHeight="1" x14ac:dyDescent="0.25">
      <c r="A142" s="551" t="s">
        <v>38</v>
      </c>
      <c r="B142" s="547">
        <f t="shared" si="7"/>
        <v>905</v>
      </c>
      <c r="C142" s="547">
        <v>86</v>
      </c>
      <c r="D142" s="547">
        <v>87</v>
      </c>
      <c r="E142" s="547">
        <v>97</v>
      </c>
      <c r="F142" s="547">
        <v>64</v>
      </c>
      <c r="G142" s="547">
        <v>44</v>
      </c>
      <c r="H142" s="547">
        <v>61</v>
      </c>
      <c r="I142" s="547">
        <v>466</v>
      </c>
      <c r="L142" s="547"/>
    </row>
    <row r="143" spans="1:12" s="551" customFormat="1" ht="9" customHeight="1" x14ac:dyDescent="0.25">
      <c r="A143" s="551" t="s">
        <v>39</v>
      </c>
      <c r="B143" s="547">
        <f t="shared" si="7"/>
        <v>622</v>
      </c>
      <c r="C143" s="547">
        <v>102</v>
      </c>
      <c r="D143" s="547">
        <v>33</v>
      </c>
      <c r="E143" s="547">
        <v>58</v>
      </c>
      <c r="F143" s="547">
        <v>55</v>
      </c>
      <c r="G143" s="547">
        <v>27</v>
      </c>
      <c r="H143" s="547">
        <v>27</v>
      </c>
      <c r="I143" s="547">
        <v>320</v>
      </c>
      <c r="L143" s="547"/>
    </row>
    <row r="144" spans="1:12" s="551" customFormat="1" ht="9" customHeight="1" x14ac:dyDescent="0.25">
      <c r="A144" s="551" t="s">
        <v>40</v>
      </c>
      <c r="B144" s="547">
        <f t="shared" si="7"/>
        <v>2493</v>
      </c>
      <c r="C144" s="547">
        <v>417</v>
      </c>
      <c r="D144" s="547">
        <v>143</v>
      </c>
      <c r="E144" s="547">
        <v>113</v>
      </c>
      <c r="F144" s="547">
        <v>172</v>
      </c>
      <c r="G144" s="547">
        <v>187</v>
      </c>
      <c r="H144" s="547">
        <v>124</v>
      </c>
      <c r="I144" s="547">
        <v>1337</v>
      </c>
      <c r="L144" s="547"/>
    </row>
    <row r="145" spans="1:12" s="551" customFormat="1" ht="9" customHeight="1" x14ac:dyDescent="0.25">
      <c r="A145" s="554" t="s">
        <v>41</v>
      </c>
      <c r="B145" s="549">
        <f t="shared" si="7"/>
        <v>1805</v>
      </c>
      <c r="C145" s="549">
        <v>104</v>
      </c>
      <c r="D145" s="549">
        <v>228</v>
      </c>
      <c r="E145" s="549">
        <v>205</v>
      </c>
      <c r="F145" s="549">
        <v>110</v>
      </c>
      <c r="G145" s="549">
        <v>68</v>
      </c>
      <c r="H145" s="549">
        <v>116</v>
      </c>
      <c r="I145" s="549">
        <v>974</v>
      </c>
      <c r="L145" s="547"/>
    </row>
    <row r="146" spans="1:12" s="551" customFormat="1" ht="9" customHeight="1" x14ac:dyDescent="0.25">
      <c r="A146" s="551" t="s">
        <v>42</v>
      </c>
      <c r="B146" s="547">
        <f t="shared" si="7"/>
        <v>2415</v>
      </c>
      <c r="C146" s="547">
        <v>166</v>
      </c>
      <c r="D146" s="547">
        <v>256</v>
      </c>
      <c r="E146" s="547">
        <v>225</v>
      </c>
      <c r="F146" s="547">
        <v>159</v>
      </c>
      <c r="G146" s="547">
        <v>147</v>
      </c>
      <c r="H146" s="547">
        <v>191</v>
      </c>
      <c r="I146" s="547">
        <v>1271</v>
      </c>
      <c r="L146" s="547"/>
    </row>
    <row r="147" spans="1:12" s="551" customFormat="1" ht="9" customHeight="1" x14ac:dyDescent="0.25">
      <c r="A147" s="551" t="s">
        <v>43</v>
      </c>
      <c r="B147" s="547">
        <f t="shared" si="7"/>
        <v>653</v>
      </c>
      <c r="C147" s="547">
        <v>44</v>
      </c>
      <c r="D147" s="547">
        <v>49</v>
      </c>
      <c r="E147" s="547">
        <v>49</v>
      </c>
      <c r="F147" s="547">
        <v>50</v>
      </c>
      <c r="G147" s="547">
        <v>48</v>
      </c>
      <c r="H147" s="547">
        <v>45</v>
      </c>
      <c r="I147" s="547">
        <v>368</v>
      </c>
      <c r="L147" s="547"/>
    </row>
    <row r="148" spans="1:12" s="551" customFormat="1" ht="9" customHeight="1" x14ac:dyDescent="0.25">
      <c r="A148" s="551" t="s">
        <v>44</v>
      </c>
      <c r="B148" s="547">
        <f t="shared" si="7"/>
        <v>298</v>
      </c>
      <c r="C148" s="547">
        <v>24</v>
      </c>
      <c r="D148" s="547">
        <v>41</v>
      </c>
      <c r="E148" s="547">
        <v>33</v>
      </c>
      <c r="F148" s="547">
        <v>13</v>
      </c>
      <c r="G148" s="547">
        <v>12</v>
      </c>
      <c r="H148" s="547">
        <v>30</v>
      </c>
      <c r="I148" s="547">
        <v>145</v>
      </c>
      <c r="L148" s="547"/>
    </row>
    <row r="149" spans="1:12" s="551" customFormat="1" ht="9" customHeight="1" x14ac:dyDescent="0.25">
      <c r="A149" s="554" t="s">
        <v>45</v>
      </c>
      <c r="B149" s="549">
        <f t="shared" si="7"/>
        <v>1321</v>
      </c>
      <c r="C149" s="549">
        <v>146</v>
      </c>
      <c r="D149" s="549">
        <v>117</v>
      </c>
      <c r="E149" s="549">
        <v>119</v>
      </c>
      <c r="F149" s="549">
        <v>123</v>
      </c>
      <c r="G149" s="549">
        <v>74</v>
      </c>
      <c r="H149" s="549">
        <v>65</v>
      </c>
      <c r="I149" s="549">
        <v>677</v>
      </c>
      <c r="L149" s="547"/>
    </row>
    <row r="150" spans="1:12" s="551" customFormat="1" ht="9" customHeight="1" x14ac:dyDescent="0.25">
      <c r="A150" s="551" t="s">
        <v>46</v>
      </c>
      <c r="B150" s="547">
        <f t="shared" si="7"/>
        <v>1652</v>
      </c>
      <c r="C150" s="547">
        <v>394</v>
      </c>
      <c r="D150" s="547">
        <v>132</v>
      </c>
      <c r="E150" s="547">
        <v>118</v>
      </c>
      <c r="F150" s="547">
        <v>118</v>
      </c>
      <c r="G150" s="547">
        <v>78</v>
      </c>
      <c r="H150" s="547">
        <v>83</v>
      </c>
      <c r="I150" s="547">
        <v>729</v>
      </c>
      <c r="L150" s="547"/>
    </row>
    <row r="151" spans="1:12" s="551" customFormat="1" ht="9" customHeight="1" x14ac:dyDescent="0.25">
      <c r="A151" s="551" t="s">
        <v>47</v>
      </c>
      <c r="B151" s="547">
        <f t="shared" si="7"/>
        <v>1656</v>
      </c>
      <c r="C151" s="547">
        <v>284</v>
      </c>
      <c r="D151" s="547">
        <v>144</v>
      </c>
      <c r="E151" s="547">
        <v>97</v>
      </c>
      <c r="F151" s="547">
        <v>133</v>
      </c>
      <c r="G151" s="547">
        <v>103</v>
      </c>
      <c r="H151" s="547">
        <v>76</v>
      </c>
      <c r="I151" s="547">
        <v>819</v>
      </c>
      <c r="L151" s="547"/>
    </row>
    <row r="152" spans="1:12" s="551" customFormat="1" ht="9" customHeight="1" x14ac:dyDescent="0.25">
      <c r="A152" s="551" t="s">
        <v>48</v>
      </c>
      <c r="B152" s="547">
        <f t="shared" si="7"/>
        <v>1010</v>
      </c>
      <c r="C152" s="547">
        <v>112</v>
      </c>
      <c r="D152" s="547">
        <v>86</v>
      </c>
      <c r="E152" s="547">
        <v>111</v>
      </c>
      <c r="F152" s="547">
        <v>72</v>
      </c>
      <c r="G152" s="547">
        <v>54</v>
      </c>
      <c r="H152" s="547">
        <v>80</v>
      </c>
      <c r="I152" s="547">
        <v>495</v>
      </c>
      <c r="L152" s="547"/>
    </row>
    <row r="153" spans="1:12" s="551" customFormat="1" ht="9" customHeight="1" x14ac:dyDescent="0.25">
      <c r="A153" s="554" t="s">
        <v>49</v>
      </c>
      <c r="B153" s="549">
        <f t="shared" si="7"/>
        <v>1802</v>
      </c>
      <c r="C153" s="549">
        <v>287</v>
      </c>
      <c r="D153" s="549">
        <v>140</v>
      </c>
      <c r="E153" s="549">
        <v>144</v>
      </c>
      <c r="F153" s="549">
        <v>94</v>
      </c>
      <c r="G153" s="549">
        <v>141</v>
      </c>
      <c r="H153" s="549">
        <v>78</v>
      </c>
      <c r="I153" s="549">
        <v>918</v>
      </c>
      <c r="L153" s="547"/>
    </row>
    <row r="154" spans="1:12" s="551" customFormat="1" ht="9" customHeight="1" x14ac:dyDescent="0.25">
      <c r="A154" s="551" t="s">
        <v>50</v>
      </c>
      <c r="B154" s="547">
        <f t="shared" si="7"/>
        <v>441</v>
      </c>
      <c r="C154" s="547">
        <v>17</v>
      </c>
      <c r="D154" s="547">
        <v>48</v>
      </c>
      <c r="E154" s="547">
        <v>36</v>
      </c>
      <c r="F154" s="547">
        <v>28</v>
      </c>
      <c r="G154" s="547">
        <v>27</v>
      </c>
      <c r="H154" s="547">
        <v>36</v>
      </c>
      <c r="I154" s="547">
        <v>249</v>
      </c>
      <c r="L154" s="547"/>
    </row>
    <row r="155" spans="1:12" s="551" customFormat="1" ht="9" customHeight="1" x14ac:dyDescent="0.25">
      <c r="A155" s="551" t="s">
        <v>51</v>
      </c>
      <c r="B155" s="547">
        <f t="shared" si="7"/>
        <v>4360</v>
      </c>
      <c r="C155" s="547">
        <v>366</v>
      </c>
      <c r="D155" s="547">
        <v>397</v>
      </c>
      <c r="E155" s="547">
        <v>461</v>
      </c>
      <c r="F155" s="547">
        <v>348</v>
      </c>
      <c r="G155" s="547">
        <v>216</v>
      </c>
      <c r="H155" s="547">
        <v>222</v>
      </c>
      <c r="I155" s="547">
        <v>2350</v>
      </c>
      <c r="L155" s="547"/>
    </row>
    <row r="156" spans="1:12" s="551" customFormat="1" ht="9" customHeight="1" x14ac:dyDescent="0.25">
      <c r="A156" s="551" t="s">
        <v>52</v>
      </c>
      <c r="B156" s="547">
        <f t="shared" si="7"/>
        <v>1038</v>
      </c>
      <c r="C156" s="547">
        <v>105</v>
      </c>
      <c r="D156" s="547">
        <v>137</v>
      </c>
      <c r="E156" s="547">
        <v>100</v>
      </c>
      <c r="F156" s="547">
        <v>59</v>
      </c>
      <c r="G156" s="547">
        <v>46</v>
      </c>
      <c r="H156" s="547">
        <v>50</v>
      </c>
      <c r="I156" s="547">
        <v>541</v>
      </c>
      <c r="L156" s="547"/>
    </row>
    <row r="157" spans="1:12" s="551" customFormat="1" ht="9" customHeight="1" x14ac:dyDescent="0.25">
      <c r="A157" s="554" t="s">
        <v>53</v>
      </c>
      <c r="B157" s="549">
        <f t="shared" si="7"/>
        <v>841</v>
      </c>
      <c r="C157" s="549">
        <v>130</v>
      </c>
      <c r="D157" s="549">
        <v>77</v>
      </c>
      <c r="E157" s="549">
        <v>57</v>
      </c>
      <c r="F157" s="549">
        <v>68</v>
      </c>
      <c r="G157" s="549">
        <v>47</v>
      </c>
      <c r="H157" s="549">
        <v>35</v>
      </c>
      <c r="I157" s="549">
        <v>427</v>
      </c>
      <c r="L157" s="547"/>
    </row>
    <row r="158" spans="1:12" s="551" customFormat="1" ht="9" customHeight="1" x14ac:dyDescent="0.25">
      <c r="A158" s="551" t="s">
        <v>434</v>
      </c>
      <c r="B158" s="547">
        <f t="shared" si="7"/>
        <v>310</v>
      </c>
      <c r="C158" s="547">
        <v>41</v>
      </c>
      <c r="D158" s="547">
        <v>20</v>
      </c>
      <c r="E158" s="547">
        <v>11</v>
      </c>
      <c r="F158" s="547">
        <v>15</v>
      </c>
      <c r="G158" s="547">
        <v>29</v>
      </c>
      <c r="H158" s="547">
        <v>16</v>
      </c>
      <c r="I158" s="547">
        <v>178</v>
      </c>
      <c r="L158" s="547"/>
    </row>
    <row r="159" spans="1:12" s="551" customFormat="1" ht="8.4499999999999993" customHeight="1" x14ac:dyDescent="0.25">
      <c r="A159" s="546"/>
      <c r="B159" s="547"/>
      <c r="C159" s="547"/>
      <c r="D159" s="547"/>
      <c r="E159" s="547"/>
      <c r="F159" s="547"/>
      <c r="G159" s="547"/>
      <c r="H159" s="547"/>
      <c r="I159" s="547"/>
    </row>
    <row r="160" spans="1:12" s="551" customFormat="1" ht="9" customHeight="1" x14ac:dyDescent="0.25">
      <c r="A160" s="727">
        <v>2002</v>
      </c>
      <c r="B160" s="555"/>
      <c r="C160" s="728"/>
      <c r="D160" s="728"/>
      <c r="E160" s="728"/>
      <c r="F160" s="728"/>
      <c r="G160" s="728"/>
      <c r="I160" s="547"/>
    </row>
    <row r="161" spans="1:12" s="551" customFormat="1" ht="9" customHeight="1" x14ac:dyDescent="0.25">
      <c r="A161" s="718" t="s">
        <v>13</v>
      </c>
      <c r="B161" s="553">
        <f t="shared" ref="B161:I161" si="8">SUM(B163:B195)</f>
        <v>58599</v>
      </c>
      <c r="C161" s="544">
        <f t="shared" si="8"/>
        <v>6727</v>
      </c>
      <c r="D161" s="544">
        <f t="shared" si="8"/>
        <v>5136</v>
      </c>
      <c r="E161" s="544">
        <f t="shared" si="8"/>
        <v>4330</v>
      </c>
      <c r="F161" s="544">
        <f t="shared" si="8"/>
        <v>4231</v>
      </c>
      <c r="G161" s="544">
        <f t="shared" si="8"/>
        <v>3861</v>
      </c>
      <c r="H161" s="544">
        <f t="shared" si="8"/>
        <v>3428</v>
      </c>
      <c r="I161" s="544">
        <f t="shared" si="8"/>
        <v>30886</v>
      </c>
      <c r="L161" s="547"/>
    </row>
    <row r="162" spans="1:12" s="551" customFormat="1" ht="3.95" customHeight="1" x14ac:dyDescent="0.25">
      <c r="A162" s="718"/>
      <c r="B162" s="544"/>
      <c r="C162" s="544"/>
      <c r="D162" s="544"/>
      <c r="E162" s="544"/>
      <c r="F162" s="544"/>
      <c r="G162" s="544"/>
      <c r="H162" s="544"/>
      <c r="I162" s="544"/>
      <c r="L162" s="547"/>
    </row>
    <row r="163" spans="1:12" s="551" customFormat="1" ht="9" customHeight="1" x14ac:dyDescent="0.25">
      <c r="A163" s="551" t="s">
        <v>23</v>
      </c>
      <c r="B163" s="547">
        <f t="shared" ref="B163:B195" si="9">SUM(C163:I163)</f>
        <v>573</v>
      </c>
      <c r="C163" s="547">
        <v>78</v>
      </c>
      <c r="D163" s="547">
        <v>33</v>
      </c>
      <c r="E163" s="547">
        <v>30</v>
      </c>
      <c r="F163" s="547">
        <v>46</v>
      </c>
      <c r="G163" s="547">
        <v>37</v>
      </c>
      <c r="H163" s="547">
        <v>35</v>
      </c>
      <c r="I163" s="547">
        <v>314</v>
      </c>
      <c r="L163" s="547"/>
    </row>
    <row r="164" spans="1:12" s="551" customFormat="1" ht="9" customHeight="1" x14ac:dyDescent="0.25">
      <c r="A164" s="551" t="s">
        <v>24</v>
      </c>
      <c r="B164" s="547">
        <f t="shared" si="9"/>
        <v>1466</v>
      </c>
      <c r="C164" s="547">
        <v>206</v>
      </c>
      <c r="D164" s="547">
        <v>97</v>
      </c>
      <c r="E164" s="547">
        <v>114</v>
      </c>
      <c r="F164" s="547">
        <v>89</v>
      </c>
      <c r="G164" s="547">
        <v>104</v>
      </c>
      <c r="H164" s="547">
        <v>88</v>
      </c>
      <c r="I164" s="547">
        <v>768</v>
      </c>
      <c r="L164" s="547"/>
    </row>
    <row r="165" spans="1:12" s="551" customFormat="1" ht="9" customHeight="1" x14ac:dyDescent="0.25">
      <c r="A165" s="551" t="s">
        <v>25</v>
      </c>
      <c r="B165" s="547">
        <f t="shared" si="9"/>
        <v>296</v>
      </c>
      <c r="C165" s="547">
        <v>62</v>
      </c>
      <c r="D165" s="547">
        <v>8</v>
      </c>
      <c r="E165" s="547">
        <v>19</v>
      </c>
      <c r="F165" s="547">
        <v>24</v>
      </c>
      <c r="G165" s="547">
        <v>20</v>
      </c>
      <c r="H165" s="547">
        <v>11</v>
      </c>
      <c r="I165" s="547">
        <v>152</v>
      </c>
      <c r="L165" s="547"/>
    </row>
    <row r="166" spans="1:12" s="551" customFormat="1" ht="9" customHeight="1" x14ac:dyDescent="0.25">
      <c r="A166" s="554" t="s">
        <v>26</v>
      </c>
      <c r="B166" s="549">
        <f t="shared" si="9"/>
        <v>381</v>
      </c>
      <c r="C166" s="549">
        <v>46</v>
      </c>
      <c r="D166" s="549">
        <v>44</v>
      </c>
      <c r="E166" s="549">
        <v>44</v>
      </c>
      <c r="F166" s="549">
        <v>40</v>
      </c>
      <c r="G166" s="549">
        <v>16</v>
      </c>
      <c r="H166" s="549">
        <v>22</v>
      </c>
      <c r="I166" s="549">
        <v>169</v>
      </c>
      <c r="L166" s="547"/>
    </row>
    <row r="167" spans="1:12" s="551" customFormat="1" ht="9" customHeight="1" x14ac:dyDescent="0.25">
      <c r="A167" s="551" t="s">
        <v>27</v>
      </c>
      <c r="B167" s="547">
        <f t="shared" si="9"/>
        <v>1587</v>
      </c>
      <c r="C167" s="547">
        <v>265</v>
      </c>
      <c r="D167" s="547">
        <v>101</v>
      </c>
      <c r="E167" s="547">
        <v>123</v>
      </c>
      <c r="F167" s="547">
        <v>100</v>
      </c>
      <c r="G167" s="547">
        <v>119</v>
      </c>
      <c r="H167" s="547">
        <v>70</v>
      </c>
      <c r="I167" s="547">
        <v>809</v>
      </c>
      <c r="L167" s="547"/>
    </row>
    <row r="168" spans="1:12" s="551" customFormat="1" ht="9" customHeight="1" x14ac:dyDescent="0.25">
      <c r="A168" s="551" t="s">
        <v>28</v>
      </c>
      <c r="B168" s="547">
        <f t="shared" si="9"/>
        <v>361</v>
      </c>
      <c r="C168" s="547">
        <v>46</v>
      </c>
      <c r="D168" s="547">
        <v>25</v>
      </c>
      <c r="E168" s="547">
        <v>36</v>
      </c>
      <c r="F168" s="547">
        <v>38</v>
      </c>
      <c r="G168" s="547">
        <v>36</v>
      </c>
      <c r="H168" s="547">
        <v>19</v>
      </c>
      <c r="I168" s="547">
        <v>161</v>
      </c>
      <c r="L168" s="547"/>
    </row>
    <row r="169" spans="1:12" s="551" customFormat="1" ht="9" customHeight="1" x14ac:dyDescent="0.25">
      <c r="A169" s="551" t="s">
        <v>29</v>
      </c>
      <c r="B169" s="547">
        <f t="shared" si="9"/>
        <v>1923</v>
      </c>
      <c r="C169" s="547">
        <v>132</v>
      </c>
      <c r="D169" s="547">
        <v>288</v>
      </c>
      <c r="E169" s="547">
        <v>199</v>
      </c>
      <c r="F169" s="547">
        <v>121</v>
      </c>
      <c r="G169" s="547">
        <v>60</v>
      </c>
      <c r="H169" s="547">
        <v>142</v>
      </c>
      <c r="I169" s="547">
        <v>981</v>
      </c>
      <c r="L169" s="547"/>
    </row>
    <row r="170" spans="1:12" s="551" customFormat="1" ht="9" customHeight="1" x14ac:dyDescent="0.25">
      <c r="A170" s="554" t="s">
        <v>30</v>
      </c>
      <c r="B170" s="549">
        <f t="shared" si="9"/>
        <v>2160</v>
      </c>
      <c r="C170" s="549">
        <v>388</v>
      </c>
      <c r="D170" s="549">
        <v>175</v>
      </c>
      <c r="E170" s="549">
        <v>128</v>
      </c>
      <c r="F170" s="549">
        <v>141</v>
      </c>
      <c r="G170" s="549">
        <v>157</v>
      </c>
      <c r="H170" s="549">
        <v>104</v>
      </c>
      <c r="I170" s="549">
        <v>1067</v>
      </c>
      <c r="L170" s="547"/>
    </row>
    <row r="171" spans="1:12" s="551" customFormat="1" ht="9" customHeight="1" x14ac:dyDescent="0.25">
      <c r="A171" s="551" t="s">
        <v>63</v>
      </c>
      <c r="B171" s="547">
        <f t="shared" si="9"/>
        <v>6357</v>
      </c>
      <c r="C171" s="547">
        <v>573</v>
      </c>
      <c r="D171" s="547">
        <v>529</v>
      </c>
      <c r="E171" s="547">
        <v>345</v>
      </c>
      <c r="F171" s="547">
        <v>465</v>
      </c>
      <c r="G171" s="547">
        <v>574</v>
      </c>
      <c r="H171" s="547">
        <v>306</v>
      </c>
      <c r="I171" s="547">
        <v>3565</v>
      </c>
      <c r="L171" s="547"/>
    </row>
    <row r="172" spans="1:12" s="551" customFormat="1" ht="9" customHeight="1" x14ac:dyDescent="0.25">
      <c r="A172" s="551" t="s">
        <v>31</v>
      </c>
      <c r="B172" s="547">
        <f t="shared" si="9"/>
        <v>855</v>
      </c>
      <c r="C172" s="547">
        <v>119</v>
      </c>
      <c r="D172" s="547">
        <v>81</v>
      </c>
      <c r="E172" s="547">
        <v>58</v>
      </c>
      <c r="F172" s="547">
        <v>58</v>
      </c>
      <c r="G172" s="547">
        <v>46</v>
      </c>
      <c r="H172" s="547">
        <v>47</v>
      </c>
      <c r="I172" s="547">
        <v>446</v>
      </c>
      <c r="L172" s="547"/>
    </row>
    <row r="173" spans="1:12" s="551" customFormat="1" ht="9" customHeight="1" x14ac:dyDescent="0.25">
      <c r="A173" s="551" t="s">
        <v>32</v>
      </c>
      <c r="B173" s="547">
        <f t="shared" si="9"/>
        <v>2487</v>
      </c>
      <c r="C173" s="547">
        <v>272</v>
      </c>
      <c r="D173" s="547">
        <v>202</v>
      </c>
      <c r="E173" s="547">
        <v>179</v>
      </c>
      <c r="F173" s="547">
        <v>213</v>
      </c>
      <c r="G173" s="547">
        <v>177</v>
      </c>
      <c r="H173" s="547">
        <v>198</v>
      </c>
      <c r="I173" s="547">
        <v>1246</v>
      </c>
      <c r="L173" s="547"/>
    </row>
    <row r="174" spans="1:12" s="551" customFormat="1" ht="9" customHeight="1" x14ac:dyDescent="0.25">
      <c r="A174" s="554" t="s">
        <v>33</v>
      </c>
      <c r="B174" s="549">
        <f t="shared" si="9"/>
        <v>1334</v>
      </c>
      <c r="C174" s="549">
        <v>121</v>
      </c>
      <c r="D174" s="549">
        <v>197</v>
      </c>
      <c r="E174" s="549">
        <v>148</v>
      </c>
      <c r="F174" s="549">
        <v>97</v>
      </c>
      <c r="G174" s="549">
        <v>62</v>
      </c>
      <c r="H174" s="549">
        <v>73</v>
      </c>
      <c r="I174" s="549">
        <v>636</v>
      </c>
      <c r="L174" s="547"/>
    </row>
    <row r="175" spans="1:12" s="551" customFormat="1" ht="9" customHeight="1" x14ac:dyDescent="0.25">
      <c r="A175" s="551" t="s">
        <v>34</v>
      </c>
      <c r="B175" s="547">
        <f t="shared" si="9"/>
        <v>1239</v>
      </c>
      <c r="C175" s="547">
        <v>85</v>
      </c>
      <c r="D175" s="547">
        <v>114</v>
      </c>
      <c r="E175" s="547">
        <v>60</v>
      </c>
      <c r="F175" s="547">
        <v>80</v>
      </c>
      <c r="G175" s="547">
        <v>61</v>
      </c>
      <c r="H175" s="547">
        <v>72</v>
      </c>
      <c r="I175" s="547">
        <v>767</v>
      </c>
      <c r="L175" s="547"/>
    </row>
    <row r="176" spans="1:12" s="551" customFormat="1" ht="9" customHeight="1" x14ac:dyDescent="0.25">
      <c r="A176" s="551" t="s">
        <v>35</v>
      </c>
      <c r="B176" s="547">
        <f t="shared" si="9"/>
        <v>4345</v>
      </c>
      <c r="C176" s="547">
        <v>613</v>
      </c>
      <c r="D176" s="547">
        <v>312</v>
      </c>
      <c r="E176" s="547">
        <v>231</v>
      </c>
      <c r="F176" s="547">
        <v>395</v>
      </c>
      <c r="G176" s="547">
        <v>332</v>
      </c>
      <c r="H176" s="547">
        <v>259</v>
      </c>
      <c r="I176" s="547">
        <v>2203</v>
      </c>
      <c r="L176" s="547"/>
    </row>
    <row r="177" spans="1:12" s="551" customFormat="1" ht="9" customHeight="1" x14ac:dyDescent="0.25">
      <c r="A177" s="551" t="s">
        <v>36</v>
      </c>
      <c r="B177" s="547">
        <f t="shared" si="9"/>
        <v>5980</v>
      </c>
      <c r="C177" s="547">
        <v>456</v>
      </c>
      <c r="D177" s="547">
        <v>472</v>
      </c>
      <c r="E177" s="547">
        <v>462</v>
      </c>
      <c r="F177" s="547">
        <v>367</v>
      </c>
      <c r="G177" s="547">
        <v>476</v>
      </c>
      <c r="H177" s="547">
        <v>409</v>
      </c>
      <c r="I177" s="547">
        <v>3338</v>
      </c>
      <c r="L177" s="547"/>
    </row>
    <row r="178" spans="1:12" s="551" customFormat="1" ht="9" customHeight="1" x14ac:dyDescent="0.25">
      <c r="A178" s="554" t="s">
        <v>37</v>
      </c>
      <c r="B178" s="549">
        <f t="shared" si="9"/>
        <v>2477</v>
      </c>
      <c r="C178" s="549">
        <v>308</v>
      </c>
      <c r="D178" s="549">
        <v>203</v>
      </c>
      <c r="E178" s="549">
        <v>211</v>
      </c>
      <c r="F178" s="549">
        <v>242</v>
      </c>
      <c r="G178" s="549">
        <v>141</v>
      </c>
      <c r="H178" s="549">
        <v>145</v>
      </c>
      <c r="I178" s="549">
        <v>1227</v>
      </c>
      <c r="L178" s="547"/>
    </row>
    <row r="179" spans="1:12" s="551" customFormat="1" ht="9" customHeight="1" x14ac:dyDescent="0.25">
      <c r="A179" s="551" t="s">
        <v>38</v>
      </c>
      <c r="B179" s="547">
        <f t="shared" si="9"/>
        <v>968</v>
      </c>
      <c r="C179" s="547">
        <v>90</v>
      </c>
      <c r="D179" s="547">
        <v>99</v>
      </c>
      <c r="E179" s="547">
        <v>104</v>
      </c>
      <c r="F179" s="547">
        <v>72</v>
      </c>
      <c r="G179" s="547">
        <v>57</v>
      </c>
      <c r="H179" s="547">
        <v>50</v>
      </c>
      <c r="I179" s="547">
        <v>496</v>
      </c>
      <c r="L179" s="547"/>
    </row>
    <row r="180" spans="1:12" s="551" customFormat="1" ht="9" customHeight="1" x14ac:dyDescent="0.25">
      <c r="A180" s="551" t="s">
        <v>39</v>
      </c>
      <c r="B180" s="547">
        <f t="shared" si="9"/>
        <v>644</v>
      </c>
      <c r="C180" s="547">
        <v>99</v>
      </c>
      <c r="D180" s="547">
        <v>50</v>
      </c>
      <c r="E180" s="547">
        <v>53</v>
      </c>
      <c r="F180" s="547">
        <v>68</v>
      </c>
      <c r="G180" s="547">
        <v>33</v>
      </c>
      <c r="H180" s="547">
        <v>31</v>
      </c>
      <c r="I180" s="547">
        <v>310</v>
      </c>
      <c r="L180" s="547"/>
    </row>
    <row r="181" spans="1:12" s="551" customFormat="1" ht="9" customHeight="1" x14ac:dyDescent="0.25">
      <c r="A181" s="551" t="s">
        <v>40</v>
      </c>
      <c r="B181" s="547">
        <f t="shared" si="9"/>
        <v>2670</v>
      </c>
      <c r="C181" s="547">
        <v>429</v>
      </c>
      <c r="D181" s="547">
        <v>158</v>
      </c>
      <c r="E181" s="547">
        <v>108</v>
      </c>
      <c r="F181" s="547">
        <v>127</v>
      </c>
      <c r="G181" s="547">
        <v>235</v>
      </c>
      <c r="H181" s="547">
        <v>111</v>
      </c>
      <c r="I181" s="547">
        <v>1502</v>
      </c>
      <c r="L181" s="547"/>
    </row>
    <row r="182" spans="1:12" s="551" customFormat="1" ht="9" customHeight="1" x14ac:dyDescent="0.25">
      <c r="A182" s="554" t="s">
        <v>41</v>
      </c>
      <c r="B182" s="549">
        <f t="shared" si="9"/>
        <v>1971</v>
      </c>
      <c r="C182" s="549">
        <v>117</v>
      </c>
      <c r="D182" s="549">
        <v>258</v>
      </c>
      <c r="E182" s="549">
        <v>221</v>
      </c>
      <c r="F182" s="549">
        <v>113</v>
      </c>
      <c r="G182" s="549">
        <v>68</v>
      </c>
      <c r="H182" s="549">
        <v>131</v>
      </c>
      <c r="I182" s="549">
        <v>1063</v>
      </c>
      <c r="L182" s="547"/>
    </row>
    <row r="183" spans="1:12" s="551" customFormat="1" ht="9" customHeight="1" x14ac:dyDescent="0.25">
      <c r="A183" s="551" t="s">
        <v>42</v>
      </c>
      <c r="B183" s="547">
        <f t="shared" si="9"/>
        <v>2586</v>
      </c>
      <c r="C183" s="547">
        <v>159</v>
      </c>
      <c r="D183" s="547">
        <v>248</v>
      </c>
      <c r="E183" s="547">
        <v>227</v>
      </c>
      <c r="F183" s="547">
        <v>168</v>
      </c>
      <c r="G183" s="547">
        <v>148</v>
      </c>
      <c r="H183" s="547">
        <v>209</v>
      </c>
      <c r="I183" s="547">
        <v>1427</v>
      </c>
      <c r="L183" s="547"/>
    </row>
    <row r="184" spans="1:12" s="551" customFormat="1" ht="9" customHeight="1" x14ac:dyDescent="0.25">
      <c r="A184" s="551" t="s">
        <v>43</v>
      </c>
      <c r="B184" s="547">
        <f t="shared" si="9"/>
        <v>672</v>
      </c>
      <c r="C184" s="547">
        <v>54</v>
      </c>
      <c r="D184" s="547">
        <v>51</v>
      </c>
      <c r="E184" s="547">
        <v>42</v>
      </c>
      <c r="F184" s="547">
        <v>56</v>
      </c>
      <c r="G184" s="547">
        <v>40</v>
      </c>
      <c r="H184" s="547">
        <v>62</v>
      </c>
      <c r="I184" s="547">
        <v>367</v>
      </c>
      <c r="L184" s="547"/>
    </row>
    <row r="185" spans="1:12" s="551" customFormat="1" ht="9" customHeight="1" x14ac:dyDescent="0.25">
      <c r="A185" s="551" t="s">
        <v>44</v>
      </c>
      <c r="B185" s="547">
        <f t="shared" si="9"/>
        <v>304</v>
      </c>
      <c r="C185" s="547">
        <v>27</v>
      </c>
      <c r="D185" s="547">
        <v>36</v>
      </c>
      <c r="E185" s="547">
        <v>28</v>
      </c>
      <c r="F185" s="547">
        <v>10</v>
      </c>
      <c r="G185" s="547">
        <v>22</v>
      </c>
      <c r="H185" s="547">
        <v>32</v>
      </c>
      <c r="I185" s="547">
        <v>149</v>
      </c>
      <c r="L185" s="547"/>
    </row>
    <row r="186" spans="1:12" s="551" customFormat="1" ht="9" customHeight="1" x14ac:dyDescent="0.25">
      <c r="A186" s="554" t="s">
        <v>45</v>
      </c>
      <c r="B186" s="549">
        <f t="shared" si="9"/>
        <v>1345</v>
      </c>
      <c r="C186" s="549">
        <v>159</v>
      </c>
      <c r="D186" s="549">
        <v>130</v>
      </c>
      <c r="E186" s="549">
        <v>105</v>
      </c>
      <c r="F186" s="549">
        <v>79</v>
      </c>
      <c r="G186" s="549">
        <v>69</v>
      </c>
      <c r="H186" s="549">
        <v>89</v>
      </c>
      <c r="I186" s="549">
        <v>714</v>
      </c>
      <c r="L186" s="547"/>
    </row>
    <row r="187" spans="1:12" s="551" customFormat="1" ht="9" customHeight="1" x14ac:dyDescent="0.25">
      <c r="A187" s="551" t="s">
        <v>46</v>
      </c>
      <c r="B187" s="547">
        <f t="shared" si="9"/>
        <v>1760</v>
      </c>
      <c r="C187" s="547">
        <v>393</v>
      </c>
      <c r="D187" s="547">
        <v>137</v>
      </c>
      <c r="E187" s="547">
        <v>96</v>
      </c>
      <c r="F187" s="547">
        <v>143</v>
      </c>
      <c r="G187" s="547">
        <v>100</v>
      </c>
      <c r="H187" s="547">
        <v>84</v>
      </c>
      <c r="I187" s="547">
        <v>807</v>
      </c>
      <c r="L187" s="547"/>
    </row>
    <row r="188" spans="1:12" s="551" customFormat="1" ht="9" customHeight="1" x14ac:dyDescent="0.25">
      <c r="A188" s="551" t="s">
        <v>47</v>
      </c>
      <c r="B188" s="547">
        <f t="shared" si="9"/>
        <v>1653</v>
      </c>
      <c r="C188" s="547">
        <v>320</v>
      </c>
      <c r="D188" s="547">
        <v>152</v>
      </c>
      <c r="E188" s="547">
        <v>87</v>
      </c>
      <c r="F188" s="547">
        <v>122</v>
      </c>
      <c r="G188" s="547">
        <v>105</v>
      </c>
      <c r="H188" s="547">
        <v>78</v>
      </c>
      <c r="I188" s="547">
        <v>789</v>
      </c>
      <c r="L188" s="547"/>
    </row>
    <row r="189" spans="1:12" s="551" customFormat="1" ht="9" customHeight="1" x14ac:dyDescent="0.25">
      <c r="A189" s="551" t="s">
        <v>48</v>
      </c>
      <c r="B189" s="547">
        <f t="shared" si="9"/>
        <v>1060</v>
      </c>
      <c r="C189" s="547">
        <v>117</v>
      </c>
      <c r="D189" s="547">
        <v>100</v>
      </c>
      <c r="E189" s="547">
        <v>87</v>
      </c>
      <c r="F189" s="547">
        <v>74</v>
      </c>
      <c r="G189" s="547">
        <v>47</v>
      </c>
      <c r="H189" s="547">
        <v>73</v>
      </c>
      <c r="I189" s="547">
        <v>562</v>
      </c>
      <c r="L189" s="547"/>
    </row>
    <row r="190" spans="1:12" s="551" customFormat="1" ht="9" customHeight="1" x14ac:dyDescent="0.25">
      <c r="A190" s="554" t="s">
        <v>49</v>
      </c>
      <c r="B190" s="549">
        <f t="shared" si="9"/>
        <v>1901</v>
      </c>
      <c r="C190" s="549">
        <v>301</v>
      </c>
      <c r="D190" s="549">
        <v>130</v>
      </c>
      <c r="E190" s="549">
        <v>140</v>
      </c>
      <c r="F190" s="549">
        <v>121</v>
      </c>
      <c r="G190" s="549">
        <v>150</v>
      </c>
      <c r="H190" s="549">
        <v>81</v>
      </c>
      <c r="I190" s="549">
        <v>978</v>
      </c>
      <c r="L190" s="547"/>
    </row>
    <row r="191" spans="1:12" s="551" customFormat="1" ht="9" customHeight="1" x14ac:dyDescent="0.25">
      <c r="A191" s="551" t="s">
        <v>50</v>
      </c>
      <c r="B191" s="547">
        <f t="shared" si="9"/>
        <v>465</v>
      </c>
      <c r="C191" s="547">
        <v>26</v>
      </c>
      <c r="D191" s="547">
        <v>37</v>
      </c>
      <c r="E191" s="547">
        <v>36</v>
      </c>
      <c r="F191" s="547">
        <v>40</v>
      </c>
      <c r="G191" s="547">
        <v>30</v>
      </c>
      <c r="H191" s="547">
        <v>39</v>
      </c>
      <c r="I191" s="547">
        <v>257</v>
      </c>
      <c r="L191" s="547"/>
    </row>
    <row r="192" spans="1:12" s="551" customFormat="1" ht="9" customHeight="1" x14ac:dyDescent="0.25">
      <c r="A192" s="551" t="s">
        <v>51</v>
      </c>
      <c r="B192" s="547">
        <f t="shared" si="9"/>
        <v>4543</v>
      </c>
      <c r="C192" s="547">
        <v>396</v>
      </c>
      <c r="D192" s="547">
        <v>445</v>
      </c>
      <c r="E192" s="547">
        <v>445</v>
      </c>
      <c r="F192" s="547">
        <v>351</v>
      </c>
      <c r="G192" s="547">
        <v>233</v>
      </c>
      <c r="H192" s="547">
        <v>220</v>
      </c>
      <c r="I192" s="547">
        <v>2453</v>
      </c>
      <c r="L192" s="547"/>
    </row>
    <row r="193" spans="1:12" s="551" customFormat="1" ht="9" customHeight="1" x14ac:dyDescent="0.25">
      <c r="A193" s="551" t="s">
        <v>52</v>
      </c>
      <c r="B193" s="547">
        <f t="shared" si="9"/>
        <v>1056</v>
      </c>
      <c r="C193" s="547">
        <v>87</v>
      </c>
      <c r="D193" s="547">
        <v>117</v>
      </c>
      <c r="E193" s="547">
        <v>112</v>
      </c>
      <c r="F193" s="547">
        <v>69</v>
      </c>
      <c r="G193" s="547">
        <v>43</v>
      </c>
      <c r="H193" s="547">
        <v>70</v>
      </c>
      <c r="I193" s="547">
        <v>558</v>
      </c>
      <c r="L193" s="547"/>
    </row>
    <row r="194" spans="1:12" s="551" customFormat="1" ht="9" customHeight="1" x14ac:dyDescent="0.25">
      <c r="A194" s="554" t="s">
        <v>53</v>
      </c>
      <c r="B194" s="549">
        <f t="shared" si="9"/>
        <v>905</v>
      </c>
      <c r="C194" s="549">
        <v>134</v>
      </c>
      <c r="D194" s="549">
        <v>88</v>
      </c>
      <c r="E194" s="549">
        <v>45</v>
      </c>
      <c r="F194" s="549">
        <v>89</v>
      </c>
      <c r="G194" s="549">
        <v>39</v>
      </c>
      <c r="H194" s="549">
        <v>55</v>
      </c>
      <c r="I194" s="549">
        <v>455</v>
      </c>
      <c r="L194" s="547"/>
    </row>
    <row r="195" spans="1:12" s="551" customFormat="1" ht="9" customHeight="1" x14ac:dyDescent="0.25">
      <c r="A195" s="551" t="s">
        <v>434</v>
      </c>
      <c r="B195" s="547">
        <f t="shared" si="9"/>
        <v>275</v>
      </c>
      <c r="C195" s="547">
        <v>49</v>
      </c>
      <c r="D195" s="547">
        <v>19</v>
      </c>
      <c r="E195" s="547">
        <v>7</v>
      </c>
      <c r="F195" s="547">
        <v>13</v>
      </c>
      <c r="G195" s="547">
        <v>24</v>
      </c>
      <c r="H195" s="547">
        <v>13</v>
      </c>
      <c r="I195" s="547">
        <v>150</v>
      </c>
      <c r="L195" s="547"/>
    </row>
    <row r="196" spans="1:12" s="551" customFormat="1" ht="6" customHeight="1" x14ac:dyDescent="0.25">
      <c r="A196" s="546"/>
      <c r="B196" s="547"/>
      <c r="C196" s="547"/>
      <c r="D196" s="547"/>
      <c r="E196" s="547"/>
      <c r="F196" s="547"/>
      <c r="G196" s="547"/>
      <c r="H196" s="547"/>
      <c r="I196" s="547"/>
    </row>
    <row r="197" spans="1:12" s="551" customFormat="1" ht="9" customHeight="1" x14ac:dyDescent="0.25">
      <c r="A197" s="727">
        <v>2003</v>
      </c>
      <c r="B197" s="555"/>
      <c r="C197" s="728"/>
      <c r="D197" s="728"/>
      <c r="E197" s="728"/>
      <c r="F197" s="728"/>
      <c r="G197" s="728"/>
      <c r="I197" s="547"/>
    </row>
    <row r="198" spans="1:12" s="551" customFormat="1" ht="9" customHeight="1" x14ac:dyDescent="0.25">
      <c r="A198" s="718" t="s">
        <v>13</v>
      </c>
      <c r="B198" s="553">
        <f t="shared" ref="B198:I198" si="10">SUM(B200:B232)</f>
        <v>60046</v>
      </c>
      <c r="C198" s="544">
        <f t="shared" si="10"/>
        <v>6760</v>
      </c>
      <c r="D198" s="544">
        <f t="shared" si="10"/>
        <v>5201</v>
      </c>
      <c r="E198" s="544">
        <f t="shared" si="10"/>
        <v>4326</v>
      </c>
      <c r="F198" s="544">
        <f t="shared" si="10"/>
        <v>4602</v>
      </c>
      <c r="G198" s="544">
        <f t="shared" si="10"/>
        <v>3889</v>
      </c>
      <c r="H198" s="544">
        <f t="shared" si="10"/>
        <v>3563</v>
      </c>
      <c r="I198" s="544">
        <f t="shared" si="10"/>
        <v>31705</v>
      </c>
      <c r="L198" s="547"/>
    </row>
    <row r="199" spans="1:12" s="551" customFormat="1" ht="3.95" customHeight="1" x14ac:dyDescent="0.25">
      <c r="A199" s="718"/>
      <c r="B199" s="544"/>
      <c r="C199" s="544"/>
      <c r="D199" s="544"/>
      <c r="E199" s="544"/>
      <c r="F199" s="544"/>
      <c r="G199" s="544"/>
      <c r="H199" s="544"/>
      <c r="I199" s="544"/>
      <c r="L199" s="547"/>
    </row>
    <row r="200" spans="1:12" s="551" customFormat="1" ht="9" customHeight="1" x14ac:dyDescent="0.25">
      <c r="A200" s="551" t="s">
        <v>23</v>
      </c>
      <c r="B200" s="547">
        <f t="shared" ref="B200:B232" si="11">SUM(C200:I200)</f>
        <v>568</v>
      </c>
      <c r="C200" s="547">
        <v>88</v>
      </c>
      <c r="D200" s="547">
        <v>36</v>
      </c>
      <c r="E200" s="547">
        <v>35</v>
      </c>
      <c r="F200" s="547">
        <v>43</v>
      </c>
      <c r="G200" s="547">
        <v>41</v>
      </c>
      <c r="H200" s="547">
        <v>44</v>
      </c>
      <c r="I200" s="547">
        <v>281</v>
      </c>
      <c r="L200" s="547"/>
    </row>
    <row r="201" spans="1:12" s="551" customFormat="1" ht="9" customHeight="1" x14ac:dyDescent="0.25">
      <c r="A201" s="551" t="s">
        <v>24</v>
      </c>
      <c r="B201" s="547">
        <f t="shared" si="11"/>
        <v>1649</v>
      </c>
      <c r="C201" s="547">
        <v>252</v>
      </c>
      <c r="D201" s="547">
        <v>107</v>
      </c>
      <c r="E201" s="547">
        <v>85</v>
      </c>
      <c r="F201" s="547">
        <v>123</v>
      </c>
      <c r="G201" s="547">
        <v>106</v>
      </c>
      <c r="H201" s="547">
        <v>91</v>
      </c>
      <c r="I201" s="547">
        <v>885</v>
      </c>
      <c r="L201" s="547"/>
    </row>
    <row r="202" spans="1:12" s="551" customFormat="1" ht="9" customHeight="1" x14ac:dyDescent="0.25">
      <c r="A202" s="551" t="s">
        <v>25</v>
      </c>
      <c r="B202" s="547">
        <f t="shared" si="11"/>
        <v>324</v>
      </c>
      <c r="C202" s="547">
        <v>52</v>
      </c>
      <c r="D202" s="547">
        <v>18</v>
      </c>
      <c r="E202" s="547">
        <v>26</v>
      </c>
      <c r="F202" s="547">
        <v>18</v>
      </c>
      <c r="G202" s="547">
        <v>27</v>
      </c>
      <c r="H202" s="547">
        <v>24</v>
      </c>
      <c r="I202" s="547">
        <v>159</v>
      </c>
      <c r="L202" s="547"/>
    </row>
    <row r="203" spans="1:12" s="551" customFormat="1" ht="9" customHeight="1" x14ac:dyDescent="0.25">
      <c r="A203" s="554" t="s">
        <v>26</v>
      </c>
      <c r="B203" s="549">
        <f t="shared" si="11"/>
        <v>360</v>
      </c>
      <c r="C203" s="549">
        <v>37</v>
      </c>
      <c r="D203" s="549">
        <v>46</v>
      </c>
      <c r="E203" s="549">
        <v>27</v>
      </c>
      <c r="F203" s="549">
        <v>27</v>
      </c>
      <c r="G203" s="549">
        <v>15</v>
      </c>
      <c r="H203" s="549">
        <v>27</v>
      </c>
      <c r="I203" s="549">
        <v>181</v>
      </c>
      <c r="L203" s="547"/>
    </row>
    <row r="204" spans="1:12" s="551" customFormat="1" ht="9" customHeight="1" x14ac:dyDescent="0.25">
      <c r="A204" s="551" t="s">
        <v>27</v>
      </c>
      <c r="B204" s="547">
        <f t="shared" si="11"/>
        <v>1606</v>
      </c>
      <c r="C204" s="547">
        <v>216</v>
      </c>
      <c r="D204" s="547">
        <v>96</v>
      </c>
      <c r="E204" s="547">
        <v>110</v>
      </c>
      <c r="F204" s="547">
        <v>103</v>
      </c>
      <c r="G204" s="547">
        <v>131</v>
      </c>
      <c r="H204" s="547">
        <v>81</v>
      </c>
      <c r="I204" s="547">
        <v>869</v>
      </c>
      <c r="L204" s="547"/>
    </row>
    <row r="205" spans="1:12" s="551" customFormat="1" ht="9" customHeight="1" x14ac:dyDescent="0.25">
      <c r="A205" s="551" t="s">
        <v>28</v>
      </c>
      <c r="B205" s="547">
        <f t="shared" si="11"/>
        <v>359</v>
      </c>
      <c r="C205" s="547">
        <v>44</v>
      </c>
      <c r="D205" s="547">
        <v>25</v>
      </c>
      <c r="E205" s="547">
        <v>25</v>
      </c>
      <c r="F205" s="547">
        <v>45</v>
      </c>
      <c r="G205" s="547">
        <v>24</v>
      </c>
      <c r="H205" s="547">
        <v>18</v>
      </c>
      <c r="I205" s="547">
        <v>178</v>
      </c>
      <c r="L205" s="547"/>
    </row>
    <row r="206" spans="1:12" s="551" customFormat="1" ht="9" customHeight="1" x14ac:dyDescent="0.25">
      <c r="A206" s="551" t="s">
        <v>29</v>
      </c>
      <c r="B206" s="547">
        <f t="shared" si="11"/>
        <v>2046</v>
      </c>
      <c r="C206" s="547">
        <v>122</v>
      </c>
      <c r="D206" s="547">
        <v>312</v>
      </c>
      <c r="E206" s="547">
        <v>223</v>
      </c>
      <c r="F206" s="547">
        <v>130</v>
      </c>
      <c r="G206" s="547">
        <v>79</v>
      </c>
      <c r="H206" s="547">
        <v>155</v>
      </c>
      <c r="I206" s="547">
        <v>1025</v>
      </c>
      <c r="L206" s="547"/>
    </row>
    <row r="207" spans="1:12" s="551" customFormat="1" ht="9" customHeight="1" x14ac:dyDescent="0.25">
      <c r="A207" s="554" t="s">
        <v>30</v>
      </c>
      <c r="B207" s="549">
        <f t="shared" si="11"/>
        <v>2217</v>
      </c>
      <c r="C207" s="549">
        <v>367</v>
      </c>
      <c r="D207" s="549">
        <v>180</v>
      </c>
      <c r="E207" s="549">
        <v>143</v>
      </c>
      <c r="F207" s="549">
        <v>164</v>
      </c>
      <c r="G207" s="549">
        <v>172</v>
      </c>
      <c r="H207" s="549">
        <v>117</v>
      </c>
      <c r="I207" s="549">
        <v>1074</v>
      </c>
      <c r="L207" s="547"/>
    </row>
    <row r="208" spans="1:12" s="551" customFormat="1" ht="9" customHeight="1" x14ac:dyDescent="0.25">
      <c r="A208" s="551" t="s">
        <v>63</v>
      </c>
      <c r="B208" s="547">
        <f t="shared" si="11"/>
        <v>6634</v>
      </c>
      <c r="C208" s="547">
        <v>601</v>
      </c>
      <c r="D208" s="547">
        <v>514</v>
      </c>
      <c r="E208" s="547">
        <v>351</v>
      </c>
      <c r="F208" s="547">
        <v>504</v>
      </c>
      <c r="G208" s="547">
        <v>602</v>
      </c>
      <c r="H208" s="547">
        <v>316</v>
      </c>
      <c r="I208" s="547">
        <v>3746</v>
      </c>
      <c r="L208" s="547"/>
    </row>
    <row r="209" spans="1:12" s="551" customFormat="1" ht="9" customHeight="1" x14ac:dyDescent="0.25">
      <c r="A209" s="551" t="s">
        <v>31</v>
      </c>
      <c r="B209" s="547">
        <f t="shared" si="11"/>
        <v>795</v>
      </c>
      <c r="C209" s="547">
        <v>131</v>
      </c>
      <c r="D209" s="547">
        <v>71</v>
      </c>
      <c r="E209" s="547">
        <v>41</v>
      </c>
      <c r="F209" s="547">
        <v>76</v>
      </c>
      <c r="G209" s="547">
        <v>45</v>
      </c>
      <c r="H209" s="547">
        <v>37</v>
      </c>
      <c r="I209" s="547">
        <v>394</v>
      </c>
      <c r="L209" s="547"/>
    </row>
    <row r="210" spans="1:12" s="551" customFormat="1" ht="9" customHeight="1" x14ac:dyDescent="0.25">
      <c r="A210" s="551" t="s">
        <v>32</v>
      </c>
      <c r="B210" s="547">
        <f t="shared" si="11"/>
        <v>2536</v>
      </c>
      <c r="C210" s="547">
        <v>269</v>
      </c>
      <c r="D210" s="547">
        <v>190</v>
      </c>
      <c r="E210" s="547">
        <v>170</v>
      </c>
      <c r="F210" s="547">
        <v>219</v>
      </c>
      <c r="G210" s="547">
        <v>151</v>
      </c>
      <c r="H210" s="547">
        <v>170</v>
      </c>
      <c r="I210" s="547">
        <v>1367</v>
      </c>
      <c r="L210" s="547"/>
    </row>
    <row r="211" spans="1:12" s="551" customFormat="1" ht="9" customHeight="1" x14ac:dyDescent="0.25">
      <c r="A211" s="554" t="s">
        <v>33</v>
      </c>
      <c r="B211" s="549">
        <f t="shared" si="11"/>
        <v>1472</v>
      </c>
      <c r="C211" s="549">
        <v>154</v>
      </c>
      <c r="D211" s="549">
        <v>213</v>
      </c>
      <c r="E211" s="549">
        <v>156</v>
      </c>
      <c r="F211" s="549">
        <v>118</v>
      </c>
      <c r="G211" s="549">
        <v>77</v>
      </c>
      <c r="H211" s="549">
        <v>86</v>
      </c>
      <c r="I211" s="549">
        <v>668</v>
      </c>
      <c r="L211" s="547"/>
    </row>
    <row r="212" spans="1:12" s="551" customFormat="1" ht="9" customHeight="1" x14ac:dyDescent="0.25">
      <c r="A212" s="551" t="s">
        <v>34</v>
      </c>
      <c r="B212" s="547">
        <f t="shared" si="11"/>
        <v>1285</v>
      </c>
      <c r="C212" s="547">
        <v>91</v>
      </c>
      <c r="D212" s="547">
        <v>110</v>
      </c>
      <c r="E212" s="547">
        <v>79</v>
      </c>
      <c r="F212" s="547">
        <v>90</v>
      </c>
      <c r="G212" s="547">
        <v>74</v>
      </c>
      <c r="H212" s="547">
        <v>67</v>
      </c>
      <c r="I212" s="547">
        <v>774</v>
      </c>
      <c r="L212" s="547"/>
    </row>
    <row r="213" spans="1:12" s="551" customFormat="1" ht="9" customHeight="1" x14ac:dyDescent="0.25">
      <c r="A213" s="551" t="s">
        <v>35</v>
      </c>
      <c r="B213" s="547">
        <f t="shared" si="11"/>
        <v>4407</v>
      </c>
      <c r="C213" s="547">
        <v>592</v>
      </c>
      <c r="D213" s="547">
        <v>335</v>
      </c>
      <c r="E213" s="547">
        <v>252</v>
      </c>
      <c r="F213" s="547">
        <v>423</v>
      </c>
      <c r="G213" s="547">
        <v>336</v>
      </c>
      <c r="H213" s="547">
        <v>289</v>
      </c>
      <c r="I213" s="547">
        <v>2180</v>
      </c>
      <c r="L213" s="547"/>
    </row>
    <row r="214" spans="1:12" s="551" customFormat="1" ht="9" customHeight="1" x14ac:dyDescent="0.25">
      <c r="A214" s="551" t="s">
        <v>36</v>
      </c>
      <c r="B214" s="547">
        <f t="shared" si="11"/>
        <v>6295</v>
      </c>
      <c r="C214" s="547">
        <v>535</v>
      </c>
      <c r="D214" s="547">
        <v>555</v>
      </c>
      <c r="E214" s="547">
        <v>474</v>
      </c>
      <c r="F214" s="547">
        <v>401</v>
      </c>
      <c r="G214" s="547">
        <v>461</v>
      </c>
      <c r="H214" s="547">
        <v>419</v>
      </c>
      <c r="I214" s="547">
        <v>3450</v>
      </c>
      <c r="L214" s="547"/>
    </row>
    <row r="215" spans="1:12" s="551" customFormat="1" ht="9" customHeight="1" x14ac:dyDescent="0.25">
      <c r="A215" s="554" t="s">
        <v>37</v>
      </c>
      <c r="B215" s="549">
        <f t="shared" si="11"/>
        <v>2485</v>
      </c>
      <c r="C215" s="549">
        <v>313</v>
      </c>
      <c r="D215" s="549">
        <v>216</v>
      </c>
      <c r="E215" s="549">
        <v>195</v>
      </c>
      <c r="F215" s="549">
        <v>214</v>
      </c>
      <c r="G215" s="549">
        <v>124</v>
      </c>
      <c r="H215" s="549">
        <v>151</v>
      </c>
      <c r="I215" s="549">
        <v>1272</v>
      </c>
      <c r="L215" s="547"/>
    </row>
    <row r="216" spans="1:12" s="551" customFormat="1" ht="9" customHeight="1" x14ac:dyDescent="0.25">
      <c r="A216" s="551" t="s">
        <v>38</v>
      </c>
      <c r="B216" s="547">
        <f t="shared" si="11"/>
        <v>999</v>
      </c>
      <c r="C216" s="547">
        <v>92</v>
      </c>
      <c r="D216" s="547">
        <v>102</v>
      </c>
      <c r="E216" s="547">
        <v>79</v>
      </c>
      <c r="F216" s="547">
        <v>80</v>
      </c>
      <c r="G216" s="547">
        <v>66</v>
      </c>
      <c r="H216" s="547">
        <v>57</v>
      </c>
      <c r="I216" s="547">
        <v>523</v>
      </c>
      <c r="L216" s="547"/>
    </row>
    <row r="217" spans="1:12" s="551" customFormat="1" ht="9" customHeight="1" x14ac:dyDescent="0.25">
      <c r="A217" s="551" t="s">
        <v>39</v>
      </c>
      <c r="B217" s="547">
        <f t="shared" si="11"/>
        <v>668</v>
      </c>
      <c r="C217" s="547">
        <v>121</v>
      </c>
      <c r="D217" s="547">
        <v>49</v>
      </c>
      <c r="E217" s="547">
        <v>59</v>
      </c>
      <c r="F217" s="547">
        <v>61</v>
      </c>
      <c r="G217" s="547">
        <v>40</v>
      </c>
      <c r="H217" s="547">
        <v>22</v>
      </c>
      <c r="I217" s="547">
        <v>316</v>
      </c>
      <c r="L217" s="547"/>
    </row>
    <row r="218" spans="1:12" s="551" customFormat="1" ht="9" customHeight="1" x14ac:dyDescent="0.25">
      <c r="A218" s="551" t="s">
        <v>40</v>
      </c>
      <c r="B218" s="547">
        <f t="shared" si="11"/>
        <v>2691</v>
      </c>
      <c r="C218" s="547">
        <v>439</v>
      </c>
      <c r="D218" s="547">
        <v>149</v>
      </c>
      <c r="E218" s="547">
        <v>113</v>
      </c>
      <c r="F218" s="547">
        <v>151</v>
      </c>
      <c r="G218" s="547">
        <v>187</v>
      </c>
      <c r="H218" s="547">
        <v>145</v>
      </c>
      <c r="I218" s="547">
        <v>1507</v>
      </c>
      <c r="L218" s="547"/>
    </row>
    <row r="219" spans="1:12" s="551" customFormat="1" ht="9" customHeight="1" x14ac:dyDescent="0.25">
      <c r="A219" s="554" t="s">
        <v>41</v>
      </c>
      <c r="B219" s="549">
        <f t="shared" si="11"/>
        <v>2095</v>
      </c>
      <c r="C219" s="549">
        <v>128</v>
      </c>
      <c r="D219" s="549">
        <v>260</v>
      </c>
      <c r="E219" s="549">
        <v>220</v>
      </c>
      <c r="F219" s="549">
        <v>168</v>
      </c>
      <c r="G219" s="549">
        <v>86</v>
      </c>
      <c r="H219" s="549">
        <v>122</v>
      </c>
      <c r="I219" s="549">
        <v>1111</v>
      </c>
      <c r="L219" s="547"/>
    </row>
    <row r="220" spans="1:12" s="551" customFormat="1" ht="9" customHeight="1" x14ac:dyDescent="0.25">
      <c r="A220" s="551" t="s">
        <v>42</v>
      </c>
      <c r="B220" s="547">
        <f t="shared" si="11"/>
        <v>2616</v>
      </c>
      <c r="C220" s="547">
        <v>188</v>
      </c>
      <c r="D220" s="547">
        <v>223</v>
      </c>
      <c r="E220" s="547">
        <v>215</v>
      </c>
      <c r="F220" s="547">
        <v>203</v>
      </c>
      <c r="G220" s="547">
        <v>144</v>
      </c>
      <c r="H220" s="547">
        <v>208</v>
      </c>
      <c r="I220" s="547">
        <v>1435</v>
      </c>
      <c r="L220" s="547"/>
    </row>
    <row r="221" spans="1:12" s="551" customFormat="1" ht="9" customHeight="1" x14ac:dyDescent="0.25">
      <c r="A221" s="551" t="s">
        <v>43</v>
      </c>
      <c r="B221" s="547">
        <f t="shared" si="11"/>
        <v>699</v>
      </c>
      <c r="C221" s="547">
        <v>59</v>
      </c>
      <c r="D221" s="547">
        <v>46</v>
      </c>
      <c r="E221" s="547">
        <v>45</v>
      </c>
      <c r="F221" s="547">
        <v>52</v>
      </c>
      <c r="G221" s="547">
        <v>50</v>
      </c>
      <c r="H221" s="547">
        <v>53</v>
      </c>
      <c r="I221" s="547">
        <v>394</v>
      </c>
      <c r="L221" s="547"/>
    </row>
    <row r="222" spans="1:12" s="551" customFormat="1" ht="9" customHeight="1" x14ac:dyDescent="0.25">
      <c r="A222" s="551" t="s">
        <v>44</v>
      </c>
      <c r="B222" s="547">
        <f t="shared" si="11"/>
        <v>320</v>
      </c>
      <c r="C222" s="547">
        <v>37</v>
      </c>
      <c r="D222" s="547">
        <v>30</v>
      </c>
      <c r="E222" s="547">
        <v>34</v>
      </c>
      <c r="F222" s="547">
        <v>30</v>
      </c>
      <c r="G222" s="547">
        <v>14</v>
      </c>
      <c r="H222" s="547">
        <v>22</v>
      </c>
      <c r="I222" s="547">
        <v>153</v>
      </c>
      <c r="L222" s="547"/>
    </row>
    <row r="223" spans="1:12" s="551" customFormat="1" ht="9" customHeight="1" x14ac:dyDescent="0.25">
      <c r="A223" s="554" t="s">
        <v>45</v>
      </c>
      <c r="B223" s="549">
        <f t="shared" si="11"/>
        <v>1410</v>
      </c>
      <c r="C223" s="549">
        <v>176</v>
      </c>
      <c r="D223" s="549">
        <v>117</v>
      </c>
      <c r="E223" s="549">
        <v>116</v>
      </c>
      <c r="F223" s="549">
        <v>114</v>
      </c>
      <c r="G223" s="549">
        <v>54</v>
      </c>
      <c r="H223" s="549">
        <v>95</v>
      </c>
      <c r="I223" s="549">
        <v>738</v>
      </c>
      <c r="L223" s="547"/>
    </row>
    <row r="224" spans="1:12" s="551" customFormat="1" ht="9" customHeight="1" x14ac:dyDescent="0.25">
      <c r="A224" s="551" t="s">
        <v>46</v>
      </c>
      <c r="B224" s="547">
        <f t="shared" si="11"/>
        <v>1762</v>
      </c>
      <c r="C224" s="547">
        <v>366</v>
      </c>
      <c r="D224" s="547">
        <v>138</v>
      </c>
      <c r="E224" s="547">
        <v>102</v>
      </c>
      <c r="F224" s="547">
        <v>150</v>
      </c>
      <c r="G224" s="547">
        <v>111</v>
      </c>
      <c r="H224" s="547">
        <v>86</v>
      </c>
      <c r="I224" s="547">
        <v>809</v>
      </c>
      <c r="L224" s="547"/>
    </row>
    <row r="225" spans="1:12" s="551" customFormat="1" ht="9" customHeight="1" x14ac:dyDescent="0.25">
      <c r="A225" s="551" t="s">
        <v>47</v>
      </c>
      <c r="B225" s="547">
        <f t="shared" si="11"/>
        <v>1670</v>
      </c>
      <c r="C225" s="547">
        <v>299</v>
      </c>
      <c r="D225" s="547">
        <v>149</v>
      </c>
      <c r="E225" s="547">
        <v>91</v>
      </c>
      <c r="F225" s="547">
        <v>121</v>
      </c>
      <c r="G225" s="547">
        <v>110</v>
      </c>
      <c r="H225" s="547">
        <v>93</v>
      </c>
      <c r="I225" s="547">
        <v>807</v>
      </c>
      <c r="L225" s="547"/>
    </row>
    <row r="226" spans="1:12" s="551" customFormat="1" ht="9" customHeight="1" x14ac:dyDescent="0.25">
      <c r="A226" s="551" t="s">
        <v>48</v>
      </c>
      <c r="B226" s="547">
        <f t="shared" si="11"/>
        <v>1007</v>
      </c>
      <c r="C226" s="547">
        <v>111</v>
      </c>
      <c r="D226" s="547">
        <v>92</v>
      </c>
      <c r="E226" s="547">
        <v>84</v>
      </c>
      <c r="F226" s="547">
        <v>113</v>
      </c>
      <c r="G226" s="547">
        <v>39</v>
      </c>
      <c r="H226" s="547">
        <v>74</v>
      </c>
      <c r="I226" s="547">
        <v>494</v>
      </c>
      <c r="L226" s="547"/>
    </row>
    <row r="227" spans="1:12" s="551" customFormat="1" ht="9" customHeight="1" x14ac:dyDescent="0.25">
      <c r="A227" s="554" t="s">
        <v>49</v>
      </c>
      <c r="B227" s="549">
        <f t="shared" si="11"/>
        <v>1771</v>
      </c>
      <c r="C227" s="549">
        <v>270</v>
      </c>
      <c r="D227" s="549">
        <v>124</v>
      </c>
      <c r="E227" s="549">
        <v>117</v>
      </c>
      <c r="F227" s="549">
        <v>105</v>
      </c>
      <c r="G227" s="549">
        <v>129</v>
      </c>
      <c r="H227" s="549">
        <v>84</v>
      </c>
      <c r="I227" s="549">
        <v>942</v>
      </c>
      <c r="L227" s="547"/>
    </row>
    <row r="228" spans="1:12" s="551" customFormat="1" ht="9" customHeight="1" x14ac:dyDescent="0.25">
      <c r="A228" s="551" t="s">
        <v>50</v>
      </c>
      <c r="B228" s="547">
        <f t="shared" si="11"/>
        <v>480</v>
      </c>
      <c r="C228" s="547">
        <v>31</v>
      </c>
      <c r="D228" s="547">
        <v>32</v>
      </c>
      <c r="E228" s="547">
        <v>45</v>
      </c>
      <c r="F228" s="547">
        <v>34</v>
      </c>
      <c r="G228" s="547">
        <v>27</v>
      </c>
      <c r="H228" s="547">
        <v>57</v>
      </c>
      <c r="I228" s="547">
        <v>254</v>
      </c>
      <c r="L228" s="547"/>
    </row>
    <row r="229" spans="1:12" s="551" customFormat="1" ht="9" customHeight="1" x14ac:dyDescent="0.25">
      <c r="A229" s="551" t="s">
        <v>51</v>
      </c>
      <c r="B229" s="547">
        <f t="shared" si="11"/>
        <v>4647</v>
      </c>
      <c r="C229" s="547">
        <v>369</v>
      </c>
      <c r="D229" s="547">
        <v>450</v>
      </c>
      <c r="E229" s="547">
        <v>454</v>
      </c>
      <c r="F229" s="547">
        <v>343</v>
      </c>
      <c r="G229" s="547">
        <v>247</v>
      </c>
      <c r="H229" s="547">
        <v>237</v>
      </c>
      <c r="I229" s="547">
        <v>2547</v>
      </c>
      <c r="L229" s="547"/>
    </row>
    <row r="230" spans="1:12" s="551" customFormat="1" ht="9" customHeight="1" x14ac:dyDescent="0.25">
      <c r="A230" s="551" t="s">
        <v>52</v>
      </c>
      <c r="B230" s="547">
        <f t="shared" si="11"/>
        <v>1055</v>
      </c>
      <c r="C230" s="547">
        <v>75</v>
      </c>
      <c r="D230" s="547">
        <v>109</v>
      </c>
      <c r="E230" s="547">
        <v>104</v>
      </c>
      <c r="F230" s="547">
        <v>74</v>
      </c>
      <c r="G230" s="547">
        <v>49</v>
      </c>
      <c r="H230" s="547">
        <v>57</v>
      </c>
      <c r="I230" s="547">
        <v>587</v>
      </c>
      <c r="L230" s="547"/>
    </row>
    <row r="231" spans="1:12" s="551" customFormat="1" ht="9" customHeight="1" x14ac:dyDescent="0.25">
      <c r="A231" s="554" t="s">
        <v>53</v>
      </c>
      <c r="B231" s="549">
        <f t="shared" si="11"/>
        <v>945</v>
      </c>
      <c r="C231" s="549">
        <v>109</v>
      </c>
      <c r="D231" s="549">
        <v>91</v>
      </c>
      <c r="E231" s="549">
        <v>54</v>
      </c>
      <c r="F231" s="549">
        <v>98</v>
      </c>
      <c r="G231" s="549">
        <v>56</v>
      </c>
      <c r="H231" s="549">
        <v>52</v>
      </c>
      <c r="I231" s="549">
        <v>485</v>
      </c>
      <c r="L231" s="547"/>
    </row>
    <row r="232" spans="1:12" s="551" customFormat="1" ht="9" customHeight="1" x14ac:dyDescent="0.25">
      <c r="A232" s="551" t="s">
        <v>434</v>
      </c>
      <c r="B232" s="733">
        <f t="shared" si="11"/>
        <v>173</v>
      </c>
      <c r="C232" s="547">
        <v>26</v>
      </c>
      <c r="D232" s="547">
        <v>16</v>
      </c>
      <c r="E232" s="547">
        <v>2</v>
      </c>
      <c r="F232" s="547">
        <v>7</v>
      </c>
      <c r="G232" s="547">
        <v>15</v>
      </c>
      <c r="H232" s="547">
        <v>7</v>
      </c>
      <c r="I232" s="733">
        <v>100</v>
      </c>
      <c r="L232" s="547"/>
    </row>
    <row r="233" spans="1:12" s="551" customFormat="1" ht="8.4499999999999993" customHeight="1" x14ac:dyDescent="0.25">
      <c r="A233" s="546"/>
      <c r="B233" s="547"/>
      <c r="C233" s="547"/>
      <c r="D233" s="547"/>
      <c r="E233" s="547"/>
      <c r="F233" s="547"/>
      <c r="G233" s="547"/>
      <c r="H233" s="547"/>
      <c r="I233" s="547"/>
    </row>
    <row r="234" spans="1:12" s="551" customFormat="1" ht="9" customHeight="1" x14ac:dyDescent="0.25">
      <c r="A234" s="727">
        <v>2004</v>
      </c>
      <c r="B234" s="729"/>
      <c r="C234" s="728"/>
      <c r="D234" s="728"/>
      <c r="E234" s="728"/>
      <c r="F234" s="728"/>
      <c r="G234" s="728"/>
      <c r="I234" s="547"/>
    </row>
    <row r="235" spans="1:12" s="551" customFormat="1" ht="9" customHeight="1" x14ac:dyDescent="0.25">
      <c r="A235" s="718" t="s">
        <v>13</v>
      </c>
      <c r="B235" s="544">
        <f t="shared" ref="B235:I235" si="12">SUM(B237:B269)</f>
        <v>61248</v>
      </c>
      <c r="C235" s="544">
        <f t="shared" si="12"/>
        <v>6857</v>
      </c>
      <c r="D235" s="544">
        <f t="shared" si="12"/>
        <v>5250</v>
      </c>
      <c r="E235" s="544">
        <f t="shared" si="12"/>
        <v>4248</v>
      </c>
      <c r="F235" s="544">
        <f t="shared" si="12"/>
        <v>4526</v>
      </c>
      <c r="G235" s="544">
        <f t="shared" si="12"/>
        <v>4176</v>
      </c>
      <c r="H235" s="544">
        <f t="shared" si="12"/>
        <v>3513</v>
      </c>
      <c r="I235" s="544">
        <f t="shared" si="12"/>
        <v>32678</v>
      </c>
    </row>
    <row r="236" spans="1:12" s="551" customFormat="1" ht="3.95" customHeight="1" x14ac:dyDescent="0.25">
      <c r="A236" s="718"/>
      <c r="B236" s="544"/>
      <c r="C236" s="544"/>
      <c r="D236" s="544"/>
      <c r="E236" s="544"/>
      <c r="F236" s="544"/>
      <c r="G236" s="544"/>
      <c r="H236" s="544"/>
      <c r="I236" s="544"/>
    </row>
    <row r="237" spans="1:12" s="551" customFormat="1" ht="9" customHeight="1" x14ac:dyDescent="0.25">
      <c r="A237" s="551" t="s">
        <v>23</v>
      </c>
      <c r="B237" s="547">
        <f t="shared" ref="B237:B269" si="13">SUM(C237:I237)</f>
        <v>619</v>
      </c>
      <c r="C237" s="547">
        <v>83</v>
      </c>
      <c r="D237" s="547">
        <v>35</v>
      </c>
      <c r="E237" s="547">
        <v>34</v>
      </c>
      <c r="F237" s="547">
        <v>42</v>
      </c>
      <c r="G237" s="547">
        <v>42</v>
      </c>
      <c r="H237" s="547">
        <v>47</v>
      </c>
      <c r="I237" s="547">
        <v>336</v>
      </c>
    </row>
    <row r="238" spans="1:12" s="551" customFormat="1" ht="9" customHeight="1" x14ac:dyDescent="0.25">
      <c r="A238" s="551" t="s">
        <v>24</v>
      </c>
      <c r="B238" s="547">
        <f t="shared" si="13"/>
        <v>1532</v>
      </c>
      <c r="C238" s="547">
        <v>193</v>
      </c>
      <c r="D238" s="547">
        <v>106</v>
      </c>
      <c r="E238" s="547">
        <v>83</v>
      </c>
      <c r="F238" s="547">
        <v>97</v>
      </c>
      <c r="G238" s="547">
        <v>121</v>
      </c>
      <c r="H238" s="547">
        <v>87</v>
      </c>
      <c r="I238" s="547">
        <v>845</v>
      </c>
    </row>
    <row r="239" spans="1:12" s="551" customFormat="1" ht="9" customHeight="1" x14ac:dyDescent="0.25">
      <c r="A239" s="551" t="s">
        <v>25</v>
      </c>
      <c r="B239" s="547">
        <f t="shared" si="13"/>
        <v>325</v>
      </c>
      <c r="C239" s="547">
        <v>57</v>
      </c>
      <c r="D239" s="547">
        <v>23</v>
      </c>
      <c r="E239" s="547">
        <v>14</v>
      </c>
      <c r="F239" s="547">
        <v>20</v>
      </c>
      <c r="G239" s="547">
        <v>23</v>
      </c>
      <c r="H239" s="547">
        <v>9</v>
      </c>
      <c r="I239" s="547">
        <v>179</v>
      </c>
    </row>
    <row r="240" spans="1:12" s="551" customFormat="1" ht="9" customHeight="1" x14ac:dyDescent="0.25">
      <c r="A240" s="554" t="s">
        <v>26</v>
      </c>
      <c r="B240" s="549">
        <f t="shared" si="13"/>
        <v>413</v>
      </c>
      <c r="C240" s="549">
        <v>40</v>
      </c>
      <c r="D240" s="549">
        <v>43</v>
      </c>
      <c r="E240" s="549">
        <v>31</v>
      </c>
      <c r="F240" s="549">
        <v>30</v>
      </c>
      <c r="G240" s="549">
        <v>20</v>
      </c>
      <c r="H240" s="549">
        <v>32</v>
      </c>
      <c r="I240" s="549">
        <v>217</v>
      </c>
    </row>
    <row r="241" spans="1:9" s="551" customFormat="1" ht="9" customHeight="1" x14ac:dyDescent="0.25">
      <c r="A241" s="551" t="s">
        <v>27</v>
      </c>
      <c r="B241" s="547">
        <f t="shared" si="13"/>
        <v>1522</v>
      </c>
      <c r="C241" s="547">
        <v>224</v>
      </c>
      <c r="D241" s="547">
        <v>113</v>
      </c>
      <c r="E241" s="547">
        <v>96</v>
      </c>
      <c r="F241" s="547">
        <v>103</v>
      </c>
      <c r="G241" s="547">
        <v>117</v>
      </c>
      <c r="H241" s="547">
        <v>73</v>
      </c>
      <c r="I241" s="547">
        <v>796</v>
      </c>
    </row>
    <row r="242" spans="1:9" s="551" customFormat="1" ht="9" customHeight="1" x14ac:dyDescent="0.25">
      <c r="A242" s="551" t="s">
        <v>28</v>
      </c>
      <c r="B242" s="547">
        <f t="shared" si="13"/>
        <v>421</v>
      </c>
      <c r="C242" s="547">
        <v>52</v>
      </c>
      <c r="D242" s="547">
        <v>38</v>
      </c>
      <c r="E242" s="547">
        <v>36</v>
      </c>
      <c r="F242" s="547">
        <v>25</v>
      </c>
      <c r="G242" s="547">
        <v>25</v>
      </c>
      <c r="H242" s="547">
        <v>29</v>
      </c>
      <c r="I242" s="547">
        <v>216</v>
      </c>
    </row>
    <row r="243" spans="1:9" s="551" customFormat="1" ht="9" customHeight="1" x14ac:dyDescent="0.25">
      <c r="A243" s="551" t="s">
        <v>29</v>
      </c>
      <c r="B243" s="547">
        <f t="shared" si="13"/>
        <v>2104</v>
      </c>
      <c r="C243" s="547">
        <v>139</v>
      </c>
      <c r="D243" s="547">
        <v>300</v>
      </c>
      <c r="E243" s="547">
        <v>210</v>
      </c>
      <c r="F243" s="547">
        <v>161</v>
      </c>
      <c r="G243" s="547">
        <v>73</v>
      </c>
      <c r="H243" s="547">
        <v>140</v>
      </c>
      <c r="I243" s="547">
        <v>1081</v>
      </c>
    </row>
    <row r="244" spans="1:9" s="551" customFormat="1" ht="9" customHeight="1" x14ac:dyDescent="0.25">
      <c r="A244" s="554" t="s">
        <v>30</v>
      </c>
      <c r="B244" s="549">
        <f t="shared" si="13"/>
        <v>2040</v>
      </c>
      <c r="C244" s="549">
        <v>338</v>
      </c>
      <c r="D244" s="549">
        <v>144</v>
      </c>
      <c r="E244" s="549">
        <v>116</v>
      </c>
      <c r="F244" s="549">
        <v>139</v>
      </c>
      <c r="G244" s="549">
        <v>172</v>
      </c>
      <c r="H244" s="549">
        <v>114</v>
      </c>
      <c r="I244" s="549">
        <v>1017</v>
      </c>
    </row>
    <row r="245" spans="1:9" s="551" customFormat="1" ht="9" customHeight="1" x14ac:dyDescent="0.25">
      <c r="A245" s="551" t="s">
        <v>63</v>
      </c>
      <c r="B245" s="547">
        <f t="shared" si="13"/>
        <v>6764</v>
      </c>
      <c r="C245" s="547">
        <v>605</v>
      </c>
      <c r="D245" s="547">
        <v>504</v>
      </c>
      <c r="E245" s="547">
        <v>377</v>
      </c>
      <c r="F245" s="547">
        <v>475</v>
      </c>
      <c r="G245" s="547">
        <v>575</v>
      </c>
      <c r="H245" s="547">
        <v>316</v>
      </c>
      <c r="I245" s="547">
        <v>3912</v>
      </c>
    </row>
    <row r="246" spans="1:9" s="551" customFormat="1" ht="9" customHeight="1" x14ac:dyDescent="0.25">
      <c r="A246" s="551" t="s">
        <v>31</v>
      </c>
      <c r="B246" s="547">
        <f t="shared" si="13"/>
        <v>837</v>
      </c>
      <c r="C246" s="547">
        <v>124</v>
      </c>
      <c r="D246" s="547">
        <v>43</v>
      </c>
      <c r="E246" s="547">
        <v>41</v>
      </c>
      <c r="F246" s="547">
        <v>71</v>
      </c>
      <c r="G246" s="547">
        <v>48</v>
      </c>
      <c r="H246" s="547">
        <v>47</v>
      </c>
      <c r="I246" s="547">
        <v>463</v>
      </c>
    </row>
    <row r="247" spans="1:9" s="551" customFormat="1" ht="9" customHeight="1" x14ac:dyDescent="0.25">
      <c r="A247" s="551" t="s">
        <v>32</v>
      </c>
      <c r="B247" s="547">
        <f t="shared" si="13"/>
        <v>2561</v>
      </c>
      <c r="C247" s="547">
        <v>274</v>
      </c>
      <c r="D247" s="547">
        <v>187</v>
      </c>
      <c r="E247" s="547">
        <v>158</v>
      </c>
      <c r="F247" s="547">
        <v>215</v>
      </c>
      <c r="G247" s="547">
        <v>207</v>
      </c>
      <c r="H247" s="547">
        <v>154</v>
      </c>
      <c r="I247" s="547">
        <v>1366</v>
      </c>
    </row>
    <row r="248" spans="1:9" s="551" customFormat="1" ht="9" customHeight="1" x14ac:dyDescent="0.25">
      <c r="A248" s="554" t="s">
        <v>33</v>
      </c>
      <c r="B248" s="549">
        <f t="shared" si="13"/>
        <v>1424</v>
      </c>
      <c r="C248" s="549">
        <v>147</v>
      </c>
      <c r="D248" s="549">
        <v>179</v>
      </c>
      <c r="E248" s="549">
        <v>153</v>
      </c>
      <c r="F248" s="549">
        <v>118</v>
      </c>
      <c r="G248" s="549">
        <v>80</v>
      </c>
      <c r="H248" s="549">
        <v>90</v>
      </c>
      <c r="I248" s="549">
        <v>657</v>
      </c>
    </row>
    <row r="249" spans="1:9" s="551" customFormat="1" ht="9" customHeight="1" x14ac:dyDescent="0.25">
      <c r="A249" s="551" t="s">
        <v>34</v>
      </c>
      <c r="B249" s="547">
        <f t="shared" si="13"/>
        <v>1297</v>
      </c>
      <c r="C249" s="547">
        <v>95</v>
      </c>
      <c r="D249" s="547">
        <v>125</v>
      </c>
      <c r="E249" s="547">
        <v>85</v>
      </c>
      <c r="F249" s="547">
        <v>87</v>
      </c>
      <c r="G249" s="547">
        <v>72</v>
      </c>
      <c r="H249" s="547">
        <v>81</v>
      </c>
      <c r="I249" s="547">
        <v>752</v>
      </c>
    </row>
    <row r="250" spans="1:9" s="551" customFormat="1" ht="9" customHeight="1" x14ac:dyDescent="0.25">
      <c r="A250" s="551" t="s">
        <v>35</v>
      </c>
      <c r="B250" s="547">
        <f t="shared" si="13"/>
        <v>4413</v>
      </c>
      <c r="C250" s="547">
        <v>617</v>
      </c>
      <c r="D250" s="547">
        <v>323</v>
      </c>
      <c r="E250" s="547">
        <v>232</v>
      </c>
      <c r="F250" s="547">
        <v>378</v>
      </c>
      <c r="G250" s="547">
        <v>350</v>
      </c>
      <c r="H250" s="547">
        <v>257</v>
      </c>
      <c r="I250" s="547">
        <v>2256</v>
      </c>
    </row>
    <row r="251" spans="1:9" s="551" customFormat="1" ht="9" customHeight="1" x14ac:dyDescent="0.25">
      <c r="A251" s="551" t="s">
        <v>36</v>
      </c>
      <c r="B251" s="547">
        <f t="shared" si="13"/>
        <v>6378</v>
      </c>
      <c r="C251" s="547">
        <v>545</v>
      </c>
      <c r="D251" s="547">
        <v>607</v>
      </c>
      <c r="E251" s="547">
        <v>504</v>
      </c>
      <c r="F251" s="547">
        <v>425</v>
      </c>
      <c r="G251" s="547">
        <v>535</v>
      </c>
      <c r="H251" s="547">
        <v>403</v>
      </c>
      <c r="I251" s="547">
        <v>3359</v>
      </c>
    </row>
    <row r="252" spans="1:9" s="551" customFormat="1" ht="9" customHeight="1" x14ac:dyDescent="0.25">
      <c r="A252" s="554" t="s">
        <v>37</v>
      </c>
      <c r="B252" s="549">
        <f t="shared" si="13"/>
        <v>2579</v>
      </c>
      <c r="C252" s="549">
        <v>325</v>
      </c>
      <c r="D252" s="549">
        <v>229</v>
      </c>
      <c r="E252" s="549">
        <v>189</v>
      </c>
      <c r="F252" s="549">
        <v>212</v>
      </c>
      <c r="G252" s="549">
        <v>128</v>
      </c>
      <c r="H252" s="549">
        <v>160</v>
      </c>
      <c r="I252" s="549">
        <v>1336</v>
      </c>
    </row>
    <row r="253" spans="1:9" s="551" customFormat="1" ht="9" customHeight="1" x14ac:dyDescent="0.25">
      <c r="A253" s="551" t="s">
        <v>38</v>
      </c>
      <c r="B253" s="547">
        <f t="shared" si="13"/>
        <v>1058</v>
      </c>
      <c r="C253" s="547">
        <v>96</v>
      </c>
      <c r="D253" s="547">
        <v>105</v>
      </c>
      <c r="E253" s="547">
        <v>90</v>
      </c>
      <c r="F253" s="547">
        <v>85</v>
      </c>
      <c r="G253" s="547">
        <v>70</v>
      </c>
      <c r="H253" s="547">
        <v>56</v>
      </c>
      <c r="I253" s="547">
        <v>556</v>
      </c>
    </row>
    <row r="254" spans="1:9" s="551" customFormat="1" ht="9" customHeight="1" x14ac:dyDescent="0.25">
      <c r="A254" s="551" t="s">
        <v>39</v>
      </c>
      <c r="B254" s="547">
        <f t="shared" si="13"/>
        <v>704</v>
      </c>
      <c r="C254" s="547">
        <v>110</v>
      </c>
      <c r="D254" s="547">
        <v>44</v>
      </c>
      <c r="E254" s="547">
        <v>41</v>
      </c>
      <c r="F254" s="547">
        <v>62</v>
      </c>
      <c r="G254" s="547">
        <v>40</v>
      </c>
      <c r="H254" s="547">
        <v>30</v>
      </c>
      <c r="I254" s="547">
        <v>377</v>
      </c>
    </row>
    <row r="255" spans="1:9" s="551" customFormat="1" ht="9" customHeight="1" x14ac:dyDescent="0.25">
      <c r="A255" s="551" t="s">
        <v>40</v>
      </c>
      <c r="B255" s="547">
        <f t="shared" si="13"/>
        <v>2673</v>
      </c>
      <c r="C255" s="547">
        <v>429</v>
      </c>
      <c r="D255" s="547">
        <v>148</v>
      </c>
      <c r="E255" s="547">
        <v>124</v>
      </c>
      <c r="F255" s="547">
        <v>160</v>
      </c>
      <c r="G255" s="547">
        <v>213</v>
      </c>
      <c r="H255" s="547">
        <v>138</v>
      </c>
      <c r="I255" s="547">
        <v>1461</v>
      </c>
    </row>
    <row r="256" spans="1:9" s="551" customFormat="1" ht="9" customHeight="1" x14ac:dyDescent="0.25">
      <c r="A256" s="554" t="s">
        <v>41</v>
      </c>
      <c r="B256" s="549">
        <f t="shared" si="13"/>
        <v>2106</v>
      </c>
      <c r="C256" s="549">
        <v>114</v>
      </c>
      <c r="D256" s="549">
        <v>262</v>
      </c>
      <c r="E256" s="549">
        <v>218</v>
      </c>
      <c r="F256" s="549">
        <v>148</v>
      </c>
      <c r="G256" s="549">
        <v>85</v>
      </c>
      <c r="H256" s="549">
        <v>138</v>
      </c>
      <c r="I256" s="549">
        <v>1141</v>
      </c>
    </row>
    <row r="257" spans="1:9" s="551" customFormat="1" ht="9" customHeight="1" x14ac:dyDescent="0.25">
      <c r="A257" s="551" t="s">
        <v>42</v>
      </c>
      <c r="B257" s="547">
        <f t="shared" si="13"/>
        <v>2712</v>
      </c>
      <c r="C257" s="547">
        <v>157</v>
      </c>
      <c r="D257" s="547">
        <v>245</v>
      </c>
      <c r="E257" s="547">
        <v>224</v>
      </c>
      <c r="F257" s="547">
        <v>214</v>
      </c>
      <c r="G257" s="547">
        <v>142</v>
      </c>
      <c r="H257" s="547">
        <v>217</v>
      </c>
      <c r="I257" s="547">
        <v>1513</v>
      </c>
    </row>
    <row r="258" spans="1:9" s="551" customFormat="1" ht="9" customHeight="1" x14ac:dyDescent="0.25">
      <c r="A258" s="551" t="s">
        <v>43</v>
      </c>
      <c r="B258" s="547">
        <f t="shared" si="13"/>
        <v>723</v>
      </c>
      <c r="C258" s="547">
        <v>67</v>
      </c>
      <c r="D258" s="547">
        <v>55</v>
      </c>
      <c r="E258" s="547">
        <v>42</v>
      </c>
      <c r="F258" s="547">
        <v>45</v>
      </c>
      <c r="G258" s="547">
        <v>64</v>
      </c>
      <c r="H258" s="547">
        <v>57</v>
      </c>
      <c r="I258" s="547">
        <v>393</v>
      </c>
    </row>
    <row r="259" spans="1:9" s="551" customFormat="1" ht="9" customHeight="1" x14ac:dyDescent="0.25">
      <c r="A259" s="551" t="s">
        <v>44</v>
      </c>
      <c r="B259" s="547">
        <f t="shared" si="13"/>
        <v>367</v>
      </c>
      <c r="C259" s="547">
        <v>34</v>
      </c>
      <c r="D259" s="547">
        <v>34</v>
      </c>
      <c r="E259" s="547">
        <v>33</v>
      </c>
      <c r="F259" s="547">
        <v>23</v>
      </c>
      <c r="G259" s="547">
        <v>12</v>
      </c>
      <c r="H259" s="547">
        <v>43</v>
      </c>
      <c r="I259" s="547">
        <v>188</v>
      </c>
    </row>
    <row r="260" spans="1:9" s="551" customFormat="1" ht="9" customHeight="1" x14ac:dyDescent="0.25">
      <c r="A260" s="554" t="s">
        <v>45</v>
      </c>
      <c r="B260" s="549">
        <f t="shared" si="13"/>
        <v>1560</v>
      </c>
      <c r="C260" s="549">
        <v>166</v>
      </c>
      <c r="D260" s="549">
        <v>133</v>
      </c>
      <c r="E260" s="549">
        <v>115</v>
      </c>
      <c r="F260" s="549">
        <v>140</v>
      </c>
      <c r="G260" s="549">
        <v>66</v>
      </c>
      <c r="H260" s="549">
        <v>73</v>
      </c>
      <c r="I260" s="549">
        <v>867</v>
      </c>
    </row>
    <row r="261" spans="1:9" s="551" customFormat="1" ht="9" customHeight="1" x14ac:dyDescent="0.25">
      <c r="A261" s="551" t="s">
        <v>46</v>
      </c>
      <c r="B261" s="547">
        <f t="shared" si="13"/>
        <v>1819</v>
      </c>
      <c r="C261" s="547">
        <v>374</v>
      </c>
      <c r="D261" s="547">
        <v>121</v>
      </c>
      <c r="E261" s="547">
        <v>112</v>
      </c>
      <c r="F261" s="547">
        <v>172</v>
      </c>
      <c r="G261" s="547">
        <v>121</v>
      </c>
      <c r="H261" s="547">
        <v>75</v>
      </c>
      <c r="I261" s="547">
        <v>844</v>
      </c>
    </row>
    <row r="262" spans="1:9" s="551" customFormat="1" ht="9" customHeight="1" x14ac:dyDescent="0.25">
      <c r="A262" s="551" t="s">
        <v>47</v>
      </c>
      <c r="B262" s="547">
        <f t="shared" si="13"/>
        <v>1773</v>
      </c>
      <c r="C262" s="547">
        <v>323</v>
      </c>
      <c r="D262" s="547">
        <v>168</v>
      </c>
      <c r="E262" s="547">
        <v>95</v>
      </c>
      <c r="F262" s="547">
        <v>131</v>
      </c>
      <c r="G262" s="547">
        <v>134</v>
      </c>
      <c r="H262" s="547">
        <v>75</v>
      </c>
      <c r="I262" s="547">
        <v>847</v>
      </c>
    </row>
    <row r="263" spans="1:9" s="551" customFormat="1" ht="9" customHeight="1" x14ac:dyDescent="0.25">
      <c r="A263" s="551" t="s">
        <v>48</v>
      </c>
      <c r="B263" s="547">
        <f t="shared" si="13"/>
        <v>1068</v>
      </c>
      <c r="C263" s="547">
        <v>119</v>
      </c>
      <c r="D263" s="547">
        <v>117</v>
      </c>
      <c r="E263" s="547">
        <v>86</v>
      </c>
      <c r="F263" s="547">
        <v>83</v>
      </c>
      <c r="G263" s="547">
        <v>57</v>
      </c>
      <c r="H263" s="547">
        <v>66</v>
      </c>
      <c r="I263" s="547">
        <v>540</v>
      </c>
    </row>
    <row r="264" spans="1:9" s="551" customFormat="1" ht="9" customHeight="1" x14ac:dyDescent="0.25">
      <c r="A264" s="554" t="s">
        <v>49</v>
      </c>
      <c r="B264" s="549">
        <f t="shared" si="13"/>
        <v>1877</v>
      </c>
      <c r="C264" s="549">
        <v>296</v>
      </c>
      <c r="D264" s="549">
        <v>102</v>
      </c>
      <c r="E264" s="549">
        <v>123</v>
      </c>
      <c r="F264" s="549">
        <v>128</v>
      </c>
      <c r="G264" s="549">
        <v>160</v>
      </c>
      <c r="H264" s="549">
        <v>83</v>
      </c>
      <c r="I264" s="549">
        <v>985</v>
      </c>
    </row>
    <row r="265" spans="1:9" s="551" customFormat="1" ht="9" customHeight="1" x14ac:dyDescent="0.25">
      <c r="A265" s="551" t="s">
        <v>50</v>
      </c>
      <c r="B265" s="547">
        <f t="shared" si="13"/>
        <v>510</v>
      </c>
      <c r="C265" s="547">
        <v>39</v>
      </c>
      <c r="D265" s="547">
        <v>44</v>
      </c>
      <c r="E265" s="547">
        <v>37</v>
      </c>
      <c r="F265" s="547">
        <v>38</v>
      </c>
      <c r="G265" s="547">
        <v>29</v>
      </c>
      <c r="H265" s="547">
        <v>39</v>
      </c>
      <c r="I265" s="547">
        <v>284</v>
      </c>
    </row>
    <row r="266" spans="1:9" s="551" customFormat="1" ht="9" customHeight="1" x14ac:dyDescent="0.25">
      <c r="A266" s="551" t="s">
        <v>51</v>
      </c>
      <c r="B266" s="547">
        <f t="shared" si="13"/>
        <v>4922</v>
      </c>
      <c r="C266" s="547">
        <v>427</v>
      </c>
      <c r="D266" s="547">
        <v>471</v>
      </c>
      <c r="E266" s="547">
        <v>396</v>
      </c>
      <c r="F266" s="547">
        <v>364</v>
      </c>
      <c r="G266" s="547">
        <v>270</v>
      </c>
      <c r="H266" s="547">
        <v>261</v>
      </c>
      <c r="I266" s="547">
        <v>2733</v>
      </c>
    </row>
    <row r="267" spans="1:9" s="551" customFormat="1" ht="9" customHeight="1" x14ac:dyDescent="0.25">
      <c r="A267" s="551" t="s">
        <v>52</v>
      </c>
      <c r="B267" s="547">
        <f t="shared" si="13"/>
        <v>1081</v>
      </c>
      <c r="C267" s="547">
        <v>95</v>
      </c>
      <c r="D267" s="547">
        <v>110</v>
      </c>
      <c r="E267" s="547">
        <v>98</v>
      </c>
      <c r="F267" s="547">
        <v>56</v>
      </c>
      <c r="G267" s="547">
        <v>68</v>
      </c>
      <c r="H267" s="547">
        <v>54</v>
      </c>
      <c r="I267" s="547">
        <v>600</v>
      </c>
    </row>
    <row r="268" spans="1:9" s="551" customFormat="1" ht="9" customHeight="1" x14ac:dyDescent="0.25">
      <c r="A268" s="554" t="s">
        <v>53</v>
      </c>
      <c r="B268" s="549">
        <f t="shared" si="13"/>
        <v>938</v>
      </c>
      <c r="C268" s="549">
        <v>135</v>
      </c>
      <c r="D268" s="549">
        <v>87</v>
      </c>
      <c r="E268" s="549">
        <v>52</v>
      </c>
      <c r="F268" s="549">
        <v>68</v>
      </c>
      <c r="G268" s="549">
        <v>45</v>
      </c>
      <c r="H268" s="549">
        <v>62</v>
      </c>
      <c r="I268" s="549">
        <v>489</v>
      </c>
    </row>
    <row r="269" spans="1:9" s="551" customFormat="1" ht="9" customHeight="1" x14ac:dyDescent="0.25">
      <c r="A269" s="551" t="s">
        <v>434</v>
      </c>
      <c r="B269" s="547">
        <f t="shared" si="13"/>
        <v>128</v>
      </c>
      <c r="C269" s="547">
        <v>18</v>
      </c>
      <c r="D269" s="547">
        <v>5</v>
      </c>
      <c r="E269" s="547">
        <v>3</v>
      </c>
      <c r="F269" s="547">
        <v>11</v>
      </c>
      <c r="G269" s="547">
        <v>12</v>
      </c>
      <c r="H269" s="547">
        <v>7</v>
      </c>
      <c r="I269" s="547">
        <v>72</v>
      </c>
    </row>
    <row r="270" spans="1:9" s="736" customFormat="1" ht="6" customHeight="1" x14ac:dyDescent="0.25">
      <c r="A270" s="734"/>
      <c r="B270" s="735"/>
      <c r="C270" s="735"/>
      <c r="D270" s="735"/>
      <c r="E270" s="735"/>
      <c r="F270" s="735"/>
      <c r="G270" s="735"/>
      <c r="H270" s="735"/>
      <c r="I270" s="735"/>
    </row>
    <row r="271" spans="1:9" s="736" customFormat="1" ht="9" customHeight="1" x14ac:dyDescent="0.25">
      <c r="A271" s="727">
        <v>2005</v>
      </c>
      <c r="B271" s="729"/>
      <c r="C271" s="728"/>
      <c r="D271" s="728"/>
      <c r="E271" s="728"/>
      <c r="F271" s="728"/>
      <c r="G271" s="728"/>
      <c r="H271" s="551"/>
      <c r="I271" s="547"/>
    </row>
    <row r="272" spans="1:9" s="736" customFormat="1" ht="9" customHeight="1" x14ac:dyDescent="0.25">
      <c r="A272" s="718" t="s">
        <v>13</v>
      </c>
      <c r="B272" s="544">
        <f t="shared" ref="B272:I272" si="14">SUM(B274:B306)</f>
        <v>63128</v>
      </c>
      <c r="C272" s="544">
        <f t="shared" si="14"/>
        <v>7048</v>
      </c>
      <c r="D272" s="544">
        <f t="shared" si="14"/>
        <v>5336</v>
      </c>
      <c r="E272" s="544">
        <f t="shared" si="14"/>
        <v>4273</v>
      </c>
      <c r="F272" s="544">
        <f t="shared" si="14"/>
        <v>4800</v>
      </c>
      <c r="G272" s="544">
        <f t="shared" si="14"/>
        <v>4234</v>
      </c>
      <c r="H272" s="544">
        <f t="shared" si="14"/>
        <v>3733</v>
      </c>
      <c r="I272" s="544">
        <f t="shared" si="14"/>
        <v>33704</v>
      </c>
    </row>
    <row r="273" spans="1:9" s="736" customFormat="1" ht="3.95" customHeight="1" x14ac:dyDescent="0.25">
      <c r="A273" s="718"/>
      <c r="B273" s="544"/>
      <c r="C273" s="544"/>
      <c r="D273" s="544"/>
      <c r="E273" s="544"/>
      <c r="F273" s="544"/>
      <c r="G273" s="544"/>
      <c r="H273" s="544"/>
      <c r="I273" s="544"/>
    </row>
    <row r="274" spans="1:9" s="736" customFormat="1" ht="9" customHeight="1" x14ac:dyDescent="0.25">
      <c r="A274" s="551" t="s">
        <v>23</v>
      </c>
      <c r="B274" s="547">
        <f t="shared" ref="B274:B306" si="15">SUM(C274:I274)</f>
        <v>626</v>
      </c>
      <c r="C274" s="547">
        <v>100</v>
      </c>
      <c r="D274" s="547">
        <v>40</v>
      </c>
      <c r="E274" s="547">
        <v>39</v>
      </c>
      <c r="F274" s="547">
        <v>49</v>
      </c>
      <c r="G274" s="547">
        <v>50</v>
      </c>
      <c r="H274" s="547">
        <v>49</v>
      </c>
      <c r="I274" s="547">
        <v>299</v>
      </c>
    </row>
    <row r="275" spans="1:9" s="736" customFormat="1" ht="9" customHeight="1" x14ac:dyDescent="0.25">
      <c r="A275" s="551" t="s">
        <v>24</v>
      </c>
      <c r="B275" s="547">
        <f t="shared" si="15"/>
        <v>1614</v>
      </c>
      <c r="C275" s="547">
        <v>225</v>
      </c>
      <c r="D275" s="547">
        <v>105</v>
      </c>
      <c r="E275" s="547">
        <v>89</v>
      </c>
      <c r="F275" s="547">
        <v>90</v>
      </c>
      <c r="G275" s="547">
        <v>126</v>
      </c>
      <c r="H275" s="547">
        <v>106</v>
      </c>
      <c r="I275" s="547">
        <v>873</v>
      </c>
    </row>
    <row r="276" spans="1:9" s="736" customFormat="1" ht="9" customHeight="1" x14ac:dyDescent="0.25">
      <c r="A276" s="551" t="s">
        <v>25</v>
      </c>
      <c r="B276" s="547">
        <f t="shared" si="15"/>
        <v>337</v>
      </c>
      <c r="C276" s="547">
        <v>47</v>
      </c>
      <c r="D276" s="547">
        <v>24</v>
      </c>
      <c r="E276" s="547">
        <v>15</v>
      </c>
      <c r="F276" s="547">
        <v>27</v>
      </c>
      <c r="G276" s="547">
        <v>25</v>
      </c>
      <c r="H276" s="547">
        <v>19</v>
      </c>
      <c r="I276" s="547">
        <v>180</v>
      </c>
    </row>
    <row r="277" spans="1:9" s="736" customFormat="1" ht="9" customHeight="1" x14ac:dyDescent="0.25">
      <c r="A277" s="554" t="s">
        <v>26</v>
      </c>
      <c r="B277" s="549">
        <f t="shared" si="15"/>
        <v>414</v>
      </c>
      <c r="C277" s="549">
        <v>47</v>
      </c>
      <c r="D277" s="549">
        <v>47</v>
      </c>
      <c r="E277" s="549">
        <v>35</v>
      </c>
      <c r="F277" s="549">
        <v>27</v>
      </c>
      <c r="G277" s="549">
        <v>22</v>
      </c>
      <c r="H277" s="549">
        <v>26</v>
      </c>
      <c r="I277" s="549">
        <v>210</v>
      </c>
    </row>
    <row r="278" spans="1:9" s="736" customFormat="1" ht="9" customHeight="1" x14ac:dyDescent="0.25">
      <c r="A278" s="551" t="s">
        <v>27</v>
      </c>
      <c r="B278" s="547">
        <f t="shared" si="15"/>
        <v>1687</v>
      </c>
      <c r="C278" s="547">
        <v>272</v>
      </c>
      <c r="D278" s="547">
        <v>109</v>
      </c>
      <c r="E278" s="547">
        <v>95</v>
      </c>
      <c r="F278" s="547">
        <v>121</v>
      </c>
      <c r="G278" s="547">
        <v>113</v>
      </c>
      <c r="H278" s="547">
        <v>101</v>
      </c>
      <c r="I278" s="547">
        <v>876</v>
      </c>
    </row>
    <row r="279" spans="1:9" s="736" customFormat="1" ht="9" customHeight="1" x14ac:dyDescent="0.25">
      <c r="A279" s="551" t="s">
        <v>28</v>
      </c>
      <c r="B279" s="547">
        <f t="shared" si="15"/>
        <v>389</v>
      </c>
      <c r="C279" s="547">
        <v>55</v>
      </c>
      <c r="D279" s="547">
        <v>28</v>
      </c>
      <c r="E279" s="547">
        <v>19</v>
      </c>
      <c r="F279" s="547">
        <v>24</v>
      </c>
      <c r="G279" s="547">
        <v>26</v>
      </c>
      <c r="H279" s="547">
        <v>18</v>
      </c>
      <c r="I279" s="547">
        <v>219</v>
      </c>
    </row>
    <row r="280" spans="1:9" s="736" customFormat="1" ht="9" customHeight="1" x14ac:dyDescent="0.25">
      <c r="A280" s="551" t="s">
        <v>29</v>
      </c>
      <c r="B280" s="547">
        <f t="shared" si="15"/>
        <v>2086</v>
      </c>
      <c r="C280" s="547">
        <v>156</v>
      </c>
      <c r="D280" s="547">
        <v>286</v>
      </c>
      <c r="E280" s="547">
        <v>216</v>
      </c>
      <c r="F280" s="547">
        <v>162</v>
      </c>
      <c r="G280" s="547">
        <v>78</v>
      </c>
      <c r="H280" s="547">
        <v>144</v>
      </c>
      <c r="I280" s="547">
        <v>1044</v>
      </c>
    </row>
    <row r="281" spans="1:9" s="736" customFormat="1" ht="9" customHeight="1" x14ac:dyDescent="0.25">
      <c r="A281" s="554" t="s">
        <v>30</v>
      </c>
      <c r="B281" s="549">
        <f t="shared" si="15"/>
        <v>2145</v>
      </c>
      <c r="C281" s="549">
        <v>371</v>
      </c>
      <c r="D281" s="549">
        <v>156</v>
      </c>
      <c r="E281" s="549">
        <v>112</v>
      </c>
      <c r="F281" s="549">
        <v>137</v>
      </c>
      <c r="G281" s="549">
        <v>175</v>
      </c>
      <c r="H281" s="549">
        <v>99</v>
      </c>
      <c r="I281" s="549">
        <v>1095</v>
      </c>
    </row>
    <row r="282" spans="1:9" s="736" customFormat="1" ht="9" customHeight="1" x14ac:dyDescent="0.25">
      <c r="A282" s="551" t="s">
        <v>63</v>
      </c>
      <c r="B282" s="547">
        <f t="shared" si="15"/>
        <v>6759</v>
      </c>
      <c r="C282" s="547">
        <v>630</v>
      </c>
      <c r="D282" s="547">
        <v>521</v>
      </c>
      <c r="E282" s="547">
        <v>312</v>
      </c>
      <c r="F282" s="547">
        <v>495</v>
      </c>
      <c r="G282" s="547">
        <v>627</v>
      </c>
      <c r="H282" s="547">
        <v>342</v>
      </c>
      <c r="I282" s="547">
        <v>3832</v>
      </c>
    </row>
    <row r="283" spans="1:9" s="736" customFormat="1" ht="9" customHeight="1" x14ac:dyDescent="0.25">
      <c r="A283" s="551" t="s">
        <v>31</v>
      </c>
      <c r="B283" s="547">
        <f t="shared" si="15"/>
        <v>974</v>
      </c>
      <c r="C283" s="547">
        <v>146</v>
      </c>
      <c r="D283" s="547">
        <v>72</v>
      </c>
      <c r="E283" s="547">
        <v>60</v>
      </c>
      <c r="F283" s="547">
        <v>77</v>
      </c>
      <c r="G283" s="547">
        <v>56</v>
      </c>
      <c r="H283" s="547">
        <v>52</v>
      </c>
      <c r="I283" s="547">
        <v>511</v>
      </c>
    </row>
    <row r="284" spans="1:9" s="736" customFormat="1" ht="9" customHeight="1" x14ac:dyDescent="0.25">
      <c r="A284" s="551" t="s">
        <v>32</v>
      </c>
      <c r="B284" s="547">
        <f t="shared" si="15"/>
        <v>2642</v>
      </c>
      <c r="C284" s="547">
        <v>299</v>
      </c>
      <c r="D284" s="547">
        <v>201</v>
      </c>
      <c r="E284" s="547">
        <v>150</v>
      </c>
      <c r="F284" s="547">
        <v>218</v>
      </c>
      <c r="G284" s="547">
        <v>161</v>
      </c>
      <c r="H284" s="547">
        <v>173</v>
      </c>
      <c r="I284" s="547">
        <v>1440</v>
      </c>
    </row>
    <row r="285" spans="1:9" s="736" customFormat="1" ht="9" customHeight="1" x14ac:dyDescent="0.25">
      <c r="A285" s="554" t="s">
        <v>33</v>
      </c>
      <c r="B285" s="549">
        <f t="shared" si="15"/>
        <v>1452</v>
      </c>
      <c r="C285" s="549">
        <v>133</v>
      </c>
      <c r="D285" s="549">
        <v>183</v>
      </c>
      <c r="E285" s="549">
        <v>136</v>
      </c>
      <c r="F285" s="549">
        <v>127</v>
      </c>
      <c r="G285" s="549">
        <v>76</v>
      </c>
      <c r="H285" s="549">
        <v>98</v>
      </c>
      <c r="I285" s="549">
        <v>699</v>
      </c>
    </row>
    <row r="286" spans="1:9" s="736" customFormat="1" ht="9" customHeight="1" x14ac:dyDescent="0.25">
      <c r="A286" s="551" t="s">
        <v>34</v>
      </c>
      <c r="B286" s="547">
        <f t="shared" si="15"/>
        <v>1389</v>
      </c>
      <c r="C286" s="547">
        <v>89</v>
      </c>
      <c r="D286" s="547">
        <v>111</v>
      </c>
      <c r="E286" s="547">
        <v>94</v>
      </c>
      <c r="F286" s="547">
        <v>106</v>
      </c>
      <c r="G286" s="547">
        <v>82</v>
      </c>
      <c r="H286" s="547">
        <v>74</v>
      </c>
      <c r="I286" s="547">
        <v>833</v>
      </c>
    </row>
    <row r="287" spans="1:9" s="736" customFormat="1" ht="9" customHeight="1" x14ac:dyDescent="0.25">
      <c r="A287" s="551" t="s">
        <v>35</v>
      </c>
      <c r="B287" s="547">
        <f t="shared" si="15"/>
        <v>4612</v>
      </c>
      <c r="C287" s="547">
        <v>584</v>
      </c>
      <c r="D287" s="547">
        <v>335</v>
      </c>
      <c r="E287" s="547">
        <v>260</v>
      </c>
      <c r="F287" s="547">
        <v>465</v>
      </c>
      <c r="G287" s="547">
        <v>394</v>
      </c>
      <c r="H287" s="547">
        <v>254</v>
      </c>
      <c r="I287" s="547">
        <v>2320</v>
      </c>
    </row>
    <row r="288" spans="1:9" s="736" customFormat="1" ht="9" customHeight="1" x14ac:dyDescent="0.25">
      <c r="A288" s="551" t="s">
        <v>36</v>
      </c>
      <c r="B288" s="547">
        <f t="shared" si="15"/>
        <v>6711</v>
      </c>
      <c r="C288" s="547">
        <v>595</v>
      </c>
      <c r="D288" s="547">
        <v>551</v>
      </c>
      <c r="E288" s="547">
        <v>503</v>
      </c>
      <c r="F288" s="547">
        <v>402</v>
      </c>
      <c r="G288" s="547">
        <v>515</v>
      </c>
      <c r="H288" s="547">
        <v>438</v>
      </c>
      <c r="I288" s="547">
        <v>3707</v>
      </c>
    </row>
    <row r="289" spans="1:9" s="736" customFormat="1" ht="9" customHeight="1" x14ac:dyDescent="0.25">
      <c r="A289" s="554" t="s">
        <v>37</v>
      </c>
      <c r="B289" s="549">
        <f t="shared" si="15"/>
        <v>2613</v>
      </c>
      <c r="C289" s="549">
        <v>313</v>
      </c>
      <c r="D289" s="549">
        <v>270</v>
      </c>
      <c r="E289" s="549">
        <v>189</v>
      </c>
      <c r="F289" s="549">
        <v>228</v>
      </c>
      <c r="G289" s="549">
        <v>127</v>
      </c>
      <c r="H289" s="549">
        <v>164</v>
      </c>
      <c r="I289" s="549">
        <v>1322</v>
      </c>
    </row>
    <row r="290" spans="1:9" s="736" customFormat="1" ht="9" customHeight="1" x14ac:dyDescent="0.25">
      <c r="A290" s="551" t="s">
        <v>38</v>
      </c>
      <c r="B290" s="547">
        <f t="shared" si="15"/>
        <v>1061</v>
      </c>
      <c r="C290" s="547">
        <v>91</v>
      </c>
      <c r="D290" s="547">
        <v>109</v>
      </c>
      <c r="E290" s="547">
        <v>89</v>
      </c>
      <c r="F290" s="547">
        <v>87</v>
      </c>
      <c r="G290" s="547">
        <v>64</v>
      </c>
      <c r="H290" s="547">
        <v>64</v>
      </c>
      <c r="I290" s="547">
        <v>557</v>
      </c>
    </row>
    <row r="291" spans="1:9" s="736" customFormat="1" ht="9" customHeight="1" x14ac:dyDescent="0.25">
      <c r="A291" s="551" t="s">
        <v>39</v>
      </c>
      <c r="B291" s="547">
        <f t="shared" si="15"/>
        <v>721</v>
      </c>
      <c r="C291" s="547">
        <v>102</v>
      </c>
      <c r="D291" s="547">
        <v>45</v>
      </c>
      <c r="E291" s="547">
        <v>44</v>
      </c>
      <c r="F291" s="547">
        <v>76</v>
      </c>
      <c r="G291" s="547">
        <v>41</v>
      </c>
      <c r="H291" s="547">
        <v>35</v>
      </c>
      <c r="I291" s="547">
        <v>378</v>
      </c>
    </row>
    <row r="292" spans="1:9" s="736" customFormat="1" ht="9" customHeight="1" x14ac:dyDescent="0.25">
      <c r="A292" s="551" t="s">
        <v>40</v>
      </c>
      <c r="B292" s="547">
        <f t="shared" si="15"/>
        <v>2851</v>
      </c>
      <c r="C292" s="547">
        <v>437</v>
      </c>
      <c r="D292" s="547">
        <v>172</v>
      </c>
      <c r="E292" s="547">
        <v>119</v>
      </c>
      <c r="F292" s="547">
        <v>191</v>
      </c>
      <c r="G292" s="547">
        <v>239</v>
      </c>
      <c r="H292" s="547">
        <v>124</v>
      </c>
      <c r="I292" s="547">
        <v>1569</v>
      </c>
    </row>
    <row r="293" spans="1:9" s="736" customFormat="1" ht="9" customHeight="1" x14ac:dyDescent="0.25">
      <c r="A293" s="554" t="s">
        <v>41</v>
      </c>
      <c r="B293" s="549">
        <f t="shared" si="15"/>
        <v>2262</v>
      </c>
      <c r="C293" s="549">
        <v>134</v>
      </c>
      <c r="D293" s="549">
        <v>289</v>
      </c>
      <c r="E293" s="549">
        <v>188</v>
      </c>
      <c r="F293" s="549">
        <v>164</v>
      </c>
      <c r="G293" s="549">
        <v>80</v>
      </c>
      <c r="H293" s="549">
        <v>155</v>
      </c>
      <c r="I293" s="549">
        <v>1252</v>
      </c>
    </row>
    <row r="294" spans="1:9" s="736" customFormat="1" ht="9" customHeight="1" x14ac:dyDescent="0.25">
      <c r="A294" s="551" t="s">
        <v>42</v>
      </c>
      <c r="B294" s="547">
        <f t="shared" si="15"/>
        <v>2798</v>
      </c>
      <c r="C294" s="547">
        <v>176</v>
      </c>
      <c r="D294" s="547">
        <v>240</v>
      </c>
      <c r="E294" s="547">
        <v>236</v>
      </c>
      <c r="F294" s="547">
        <v>187</v>
      </c>
      <c r="G294" s="547">
        <v>137</v>
      </c>
      <c r="H294" s="547">
        <v>207</v>
      </c>
      <c r="I294" s="547">
        <v>1615</v>
      </c>
    </row>
    <row r="295" spans="1:9" s="736" customFormat="1" ht="9" customHeight="1" x14ac:dyDescent="0.25">
      <c r="A295" s="551" t="s">
        <v>43</v>
      </c>
      <c r="B295" s="547">
        <f t="shared" si="15"/>
        <v>828</v>
      </c>
      <c r="C295" s="547">
        <v>74</v>
      </c>
      <c r="D295" s="547">
        <v>61</v>
      </c>
      <c r="E295" s="547">
        <v>49</v>
      </c>
      <c r="F295" s="547">
        <v>62</v>
      </c>
      <c r="G295" s="547">
        <v>64</v>
      </c>
      <c r="H295" s="547">
        <v>45</v>
      </c>
      <c r="I295" s="547">
        <v>473</v>
      </c>
    </row>
    <row r="296" spans="1:9" s="736" customFormat="1" ht="9" customHeight="1" x14ac:dyDescent="0.25">
      <c r="A296" s="551" t="s">
        <v>44</v>
      </c>
      <c r="B296" s="547">
        <f t="shared" si="15"/>
        <v>379</v>
      </c>
      <c r="C296" s="547">
        <v>42</v>
      </c>
      <c r="D296" s="547">
        <v>40</v>
      </c>
      <c r="E296" s="547">
        <v>46</v>
      </c>
      <c r="F296" s="547">
        <v>21</v>
      </c>
      <c r="G296" s="547">
        <v>10</v>
      </c>
      <c r="H296" s="547">
        <v>30</v>
      </c>
      <c r="I296" s="547">
        <v>190</v>
      </c>
    </row>
    <row r="297" spans="1:9" s="736" customFormat="1" ht="9" customHeight="1" x14ac:dyDescent="0.25">
      <c r="A297" s="554" t="s">
        <v>45</v>
      </c>
      <c r="B297" s="549">
        <f t="shared" si="15"/>
        <v>1445</v>
      </c>
      <c r="C297" s="549">
        <v>157</v>
      </c>
      <c r="D297" s="549">
        <v>122</v>
      </c>
      <c r="E297" s="549">
        <v>116</v>
      </c>
      <c r="F297" s="549">
        <v>151</v>
      </c>
      <c r="G297" s="549">
        <v>71</v>
      </c>
      <c r="H297" s="549">
        <v>64</v>
      </c>
      <c r="I297" s="549">
        <v>764</v>
      </c>
    </row>
    <row r="298" spans="1:9" s="736" customFormat="1" ht="9" customHeight="1" x14ac:dyDescent="0.25">
      <c r="A298" s="551" t="s">
        <v>46</v>
      </c>
      <c r="B298" s="547">
        <f t="shared" si="15"/>
        <v>1820</v>
      </c>
      <c r="C298" s="547">
        <v>345</v>
      </c>
      <c r="D298" s="547">
        <v>118</v>
      </c>
      <c r="E298" s="547">
        <v>100</v>
      </c>
      <c r="F298" s="547">
        <v>173</v>
      </c>
      <c r="G298" s="547">
        <v>129</v>
      </c>
      <c r="H298" s="547">
        <v>93</v>
      </c>
      <c r="I298" s="547">
        <v>862</v>
      </c>
    </row>
    <row r="299" spans="1:9" s="736" customFormat="1" ht="9" customHeight="1" x14ac:dyDescent="0.25">
      <c r="A299" s="551" t="s">
        <v>47</v>
      </c>
      <c r="B299" s="547">
        <f t="shared" si="15"/>
        <v>1851</v>
      </c>
      <c r="C299" s="547">
        <v>344</v>
      </c>
      <c r="D299" s="547">
        <v>158</v>
      </c>
      <c r="E299" s="547">
        <v>95</v>
      </c>
      <c r="F299" s="547">
        <v>127</v>
      </c>
      <c r="G299" s="547">
        <v>129</v>
      </c>
      <c r="H299" s="547">
        <v>98</v>
      </c>
      <c r="I299" s="547">
        <v>900</v>
      </c>
    </row>
    <row r="300" spans="1:9" s="736" customFormat="1" ht="9" customHeight="1" x14ac:dyDescent="0.25">
      <c r="A300" s="551" t="s">
        <v>48</v>
      </c>
      <c r="B300" s="547">
        <f t="shared" si="15"/>
        <v>1113</v>
      </c>
      <c r="C300" s="547">
        <v>104</v>
      </c>
      <c r="D300" s="547">
        <v>99</v>
      </c>
      <c r="E300" s="547">
        <v>82</v>
      </c>
      <c r="F300" s="547">
        <v>89</v>
      </c>
      <c r="G300" s="547">
        <v>59</v>
      </c>
      <c r="H300" s="547">
        <v>105</v>
      </c>
      <c r="I300" s="547">
        <v>575</v>
      </c>
    </row>
    <row r="301" spans="1:9" s="736" customFormat="1" ht="9" customHeight="1" x14ac:dyDescent="0.25">
      <c r="A301" s="554" t="s">
        <v>49</v>
      </c>
      <c r="B301" s="549">
        <f t="shared" si="15"/>
        <v>1924</v>
      </c>
      <c r="C301" s="549">
        <v>315</v>
      </c>
      <c r="D301" s="549">
        <v>122</v>
      </c>
      <c r="E301" s="549">
        <v>133</v>
      </c>
      <c r="F301" s="549">
        <v>124</v>
      </c>
      <c r="G301" s="549">
        <v>164</v>
      </c>
      <c r="H301" s="549">
        <v>97</v>
      </c>
      <c r="I301" s="549">
        <v>969</v>
      </c>
    </row>
    <row r="302" spans="1:9" s="736" customFormat="1" ht="9" customHeight="1" x14ac:dyDescent="0.25">
      <c r="A302" s="551" t="s">
        <v>50</v>
      </c>
      <c r="B302" s="547">
        <f t="shared" si="15"/>
        <v>482</v>
      </c>
      <c r="C302" s="547">
        <v>30</v>
      </c>
      <c r="D302" s="547">
        <v>38</v>
      </c>
      <c r="E302" s="547">
        <v>41</v>
      </c>
      <c r="F302" s="547">
        <v>33</v>
      </c>
      <c r="G302" s="547">
        <v>25</v>
      </c>
      <c r="H302" s="547">
        <v>41</v>
      </c>
      <c r="I302" s="547">
        <v>274</v>
      </c>
    </row>
    <row r="303" spans="1:9" s="736" customFormat="1" ht="9" customHeight="1" x14ac:dyDescent="0.25">
      <c r="A303" s="551" t="s">
        <v>51</v>
      </c>
      <c r="B303" s="547">
        <f t="shared" si="15"/>
        <v>4952</v>
      </c>
      <c r="C303" s="547">
        <v>415</v>
      </c>
      <c r="D303" s="547">
        <v>445</v>
      </c>
      <c r="E303" s="547">
        <v>444</v>
      </c>
      <c r="F303" s="547">
        <v>415</v>
      </c>
      <c r="G303" s="547">
        <v>261</v>
      </c>
      <c r="H303" s="547">
        <v>282</v>
      </c>
      <c r="I303" s="547">
        <v>2690</v>
      </c>
    </row>
    <row r="304" spans="1:9" s="736" customFormat="1" ht="9" customHeight="1" x14ac:dyDescent="0.25">
      <c r="A304" s="551" t="s">
        <v>52</v>
      </c>
      <c r="B304" s="547">
        <f t="shared" si="15"/>
        <v>1157</v>
      </c>
      <c r="C304" s="547">
        <v>79</v>
      </c>
      <c r="D304" s="547">
        <v>152</v>
      </c>
      <c r="E304" s="547">
        <v>99</v>
      </c>
      <c r="F304" s="547">
        <v>66</v>
      </c>
      <c r="G304" s="547">
        <v>45</v>
      </c>
      <c r="H304" s="547">
        <v>76</v>
      </c>
      <c r="I304" s="547">
        <v>640</v>
      </c>
    </row>
    <row r="305" spans="1:9" s="736" customFormat="1" ht="9" customHeight="1" x14ac:dyDescent="0.25">
      <c r="A305" s="554" t="s">
        <v>53</v>
      </c>
      <c r="B305" s="549">
        <f t="shared" si="15"/>
        <v>887</v>
      </c>
      <c r="C305" s="549">
        <v>111</v>
      </c>
      <c r="D305" s="549">
        <v>79</v>
      </c>
      <c r="E305" s="549">
        <v>65</v>
      </c>
      <c r="F305" s="549">
        <v>67</v>
      </c>
      <c r="G305" s="549">
        <v>49</v>
      </c>
      <c r="H305" s="549">
        <v>54</v>
      </c>
      <c r="I305" s="549">
        <v>462</v>
      </c>
    </row>
    <row r="306" spans="1:9" s="736" customFormat="1" ht="9" customHeight="1" x14ac:dyDescent="0.25">
      <c r="A306" s="551" t="s">
        <v>434</v>
      </c>
      <c r="B306" s="547">
        <f t="shared" si="15"/>
        <v>147</v>
      </c>
      <c r="C306" s="547">
        <v>30</v>
      </c>
      <c r="D306" s="547">
        <v>8</v>
      </c>
      <c r="E306" s="547">
        <v>3</v>
      </c>
      <c r="F306" s="547">
        <v>12</v>
      </c>
      <c r="G306" s="547">
        <v>14</v>
      </c>
      <c r="H306" s="547">
        <v>6</v>
      </c>
      <c r="I306" s="547">
        <v>74</v>
      </c>
    </row>
    <row r="307" spans="1:9" s="736" customFormat="1" ht="9" customHeight="1" x14ac:dyDescent="0.25">
      <c r="A307" s="734"/>
      <c r="B307" s="735"/>
      <c r="C307" s="735"/>
      <c r="D307" s="735"/>
      <c r="E307" s="735"/>
      <c r="F307" s="735"/>
      <c r="G307" s="735"/>
      <c r="H307" s="735"/>
      <c r="I307" s="735"/>
    </row>
    <row r="308" spans="1:9" s="736" customFormat="1" ht="9" customHeight="1" x14ac:dyDescent="0.25">
      <c r="A308" s="727">
        <v>2006</v>
      </c>
      <c r="B308" s="729"/>
      <c r="C308" s="728"/>
      <c r="D308" s="728"/>
      <c r="E308" s="728"/>
      <c r="F308" s="728"/>
      <c r="G308" s="728"/>
      <c r="H308" s="551"/>
      <c r="I308" s="547"/>
    </row>
    <row r="309" spans="1:9" s="736" customFormat="1" ht="9" customHeight="1" x14ac:dyDescent="0.25">
      <c r="A309" s="718" t="s">
        <v>13</v>
      </c>
      <c r="B309" s="544">
        <f t="shared" ref="B309:I309" si="16">SUM(B311:B343)</f>
        <v>63888</v>
      </c>
      <c r="C309" s="544">
        <f t="shared" si="16"/>
        <v>6843</v>
      </c>
      <c r="D309" s="544">
        <f t="shared" si="16"/>
        <v>5370</v>
      </c>
      <c r="E309" s="544">
        <f t="shared" si="16"/>
        <v>4134</v>
      </c>
      <c r="F309" s="544">
        <f t="shared" si="16"/>
        <v>4693</v>
      </c>
      <c r="G309" s="544">
        <f t="shared" si="16"/>
        <v>4461</v>
      </c>
      <c r="H309" s="544">
        <f t="shared" si="16"/>
        <v>3628</v>
      </c>
      <c r="I309" s="544">
        <f t="shared" si="16"/>
        <v>34759</v>
      </c>
    </row>
    <row r="310" spans="1:9" s="736" customFormat="1" ht="3.95" customHeight="1" x14ac:dyDescent="0.25">
      <c r="A310" s="718"/>
      <c r="B310" s="544"/>
      <c r="C310" s="544"/>
      <c r="D310" s="544"/>
      <c r="E310" s="544"/>
      <c r="F310" s="544"/>
      <c r="G310" s="544"/>
      <c r="H310" s="544"/>
      <c r="I310" s="544"/>
    </row>
    <row r="311" spans="1:9" s="736" customFormat="1" ht="9" customHeight="1" x14ac:dyDescent="0.25">
      <c r="A311" s="551" t="s">
        <v>23</v>
      </c>
      <c r="B311" s="547">
        <f t="shared" ref="B311:B343" si="17">SUM(C311:I311)</f>
        <v>632</v>
      </c>
      <c r="C311" s="547">
        <v>89</v>
      </c>
      <c r="D311" s="547">
        <v>44</v>
      </c>
      <c r="E311" s="547">
        <v>30</v>
      </c>
      <c r="F311" s="547">
        <v>51</v>
      </c>
      <c r="G311" s="547">
        <v>37</v>
      </c>
      <c r="H311" s="547">
        <v>45</v>
      </c>
      <c r="I311" s="547">
        <v>336</v>
      </c>
    </row>
    <row r="312" spans="1:9" s="736" customFormat="1" ht="9" customHeight="1" x14ac:dyDescent="0.25">
      <c r="A312" s="551" t="s">
        <v>24</v>
      </c>
      <c r="B312" s="547">
        <f t="shared" si="17"/>
        <v>1544</v>
      </c>
      <c r="C312" s="547">
        <v>196</v>
      </c>
      <c r="D312" s="547">
        <v>92</v>
      </c>
      <c r="E312" s="547">
        <v>81</v>
      </c>
      <c r="F312" s="547">
        <v>87</v>
      </c>
      <c r="G312" s="547">
        <v>129</v>
      </c>
      <c r="H312" s="547">
        <v>87</v>
      </c>
      <c r="I312" s="547">
        <v>872</v>
      </c>
    </row>
    <row r="313" spans="1:9" s="736" customFormat="1" ht="9" customHeight="1" x14ac:dyDescent="0.25">
      <c r="A313" s="551" t="s">
        <v>25</v>
      </c>
      <c r="B313" s="547">
        <f t="shared" si="17"/>
        <v>359</v>
      </c>
      <c r="C313" s="547">
        <v>60</v>
      </c>
      <c r="D313" s="547">
        <v>20</v>
      </c>
      <c r="E313" s="547">
        <v>21</v>
      </c>
      <c r="F313" s="547">
        <v>26</v>
      </c>
      <c r="G313" s="547">
        <v>32</v>
      </c>
      <c r="H313" s="547">
        <v>14</v>
      </c>
      <c r="I313" s="547">
        <v>186</v>
      </c>
    </row>
    <row r="314" spans="1:9" s="736" customFormat="1" ht="9" customHeight="1" x14ac:dyDescent="0.25">
      <c r="A314" s="554" t="s">
        <v>26</v>
      </c>
      <c r="B314" s="549">
        <f t="shared" si="17"/>
        <v>393</v>
      </c>
      <c r="C314" s="549">
        <v>31</v>
      </c>
      <c r="D314" s="549">
        <v>44</v>
      </c>
      <c r="E314" s="549">
        <v>36</v>
      </c>
      <c r="F314" s="549">
        <v>26</v>
      </c>
      <c r="G314" s="549">
        <v>31</v>
      </c>
      <c r="H314" s="549">
        <v>20</v>
      </c>
      <c r="I314" s="549">
        <v>205</v>
      </c>
    </row>
    <row r="315" spans="1:9" s="736" customFormat="1" ht="9" customHeight="1" x14ac:dyDescent="0.25">
      <c r="A315" s="551" t="s">
        <v>27</v>
      </c>
      <c r="B315" s="547">
        <f t="shared" si="17"/>
        <v>1729</v>
      </c>
      <c r="C315" s="547">
        <v>263</v>
      </c>
      <c r="D315" s="547">
        <v>130</v>
      </c>
      <c r="E315" s="547">
        <v>94</v>
      </c>
      <c r="F315" s="547">
        <v>125</v>
      </c>
      <c r="G315" s="547">
        <v>123</v>
      </c>
      <c r="H315" s="547">
        <v>94</v>
      </c>
      <c r="I315" s="547">
        <v>900</v>
      </c>
    </row>
    <row r="316" spans="1:9" s="736" customFormat="1" ht="9" customHeight="1" x14ac:dyDescent="0.25">
      <c r="A316" s="551" t="s">
        <v>28</v>
      </c>
      <c r="B316" s="547">
        <f t="shared" si="17"/>
        <v>391</v>
      </c>
      <c r="C316" s="547">
        <v>58</v>
      </c>
      <c r="D316" s="547">
        <v>20</v>
      </c>
      <c r="E316" s="547">
        <v>38</v>
      </c>
      <c r="F316" s="547">
        <v>39</v>
      </c>
      <c r="G316" s="547">
        <v>32</v>
      </c>
      <c r="H316" s="547">
        <v>18</v>
      </c>
      <c r="I316" s="547">
        <v>186</v>
      </c>
    </row>
    <row r="317" spans="1:9" s="736" customFormat="1" ht="9" customHeight="1" x14ac:dyDescent="0.25">
      <c r="A317" s="551" t="s">
        <v>29</v>
      </c>
      <c r="B317" s="547">
        <f t="shared" si="17"/>
        <v>2232</v>
      </c>
      <c r="C317" s="547">
        <v>143</v>
      </c>
      <c r="D317" s="547">
        <v>313</v>
      </c>
      <c r="E317" s="547">
        <v>239</v>
      </c>
      <c r="F317" s="547">
        <v>141</v>
      </c>
      <c r="G317" s="547">
        <v>86</v>
      </c>
      <c r="H317" s="547">
        <v>146</v>
      </c>
      <c r="I317" s="547">
        <v>1164</v>
      </c>
    </row>
    <row r="318" spans="1:9" s="736" customFormat="1" ht="9" customHeight="1" x14ac:dyDescent="0.25">
      <c r="A318" s="554" t="s">
        <v>30</v>
      </c>
      <c r="B318" s="549">
        <f t="shared" si="17"/>
        <v>2270</v>
      </c>
      <c r="C318" s="549">
        <v>366</v>
      </c>
      <c r="D318" s="549">
        <v>165</v>
      </c>
      <c r="E318" s="549">
        <v>119</v>
      </c>
      <c r="F318" s="549">
        <v>170</v>
      </c>
      <c r="G318" s="549">
        <v>196</v>
      </c>
      <c r="H318" s="549">
        <v>105</v>
      </c>
      <c r="I318" s="549">
        <v>1149</v>
      </c>
    </row>
    <row r="319" spans="1:9" s="736" customFormat="1" ht="9" customHeight="1" x14ac:dyDescent="0.25">
      <c r="A319" s="551" t="s">
        <v>63</v>
      </c>
      <c r="B319" s="547">
        <f t="shared" si="17"/>
        <v>6867</v>
      </c>
      <c r="C319" s="547">
        <v>641</v>
      </c>
      <c r="D319" s="547">
        <v>558</v>
      </c>
      <c r="E319" s="547">
        <v>322</v>
      </c>
      <c r="F319" s="547">
        <v>492</v>
      </c>
      <c r="G319" s="547">
        <v>611</v>
      </c>
      <c r="H319" s="547">
        <v>333</v>
      </c>
      <c r="I319" s="547">
        <v>3910</v>
      </c>
    </row>
    <row r="320" spans="1:9" s="736" customFormat="1" ht="9" customHeight="1" x14ac:dyDescent="0.25">
      <c r="A320" s="551" t="s">
        <v>31</v>
      </c>
      <c r="B320" s="547">
        <f t="shared" si="17"/>
        <v>934</v>
      </c>
      <c r="C320" s="547">
        <v>143</v>
      </c>
      <c r="D320" s="547">
        <v>58</v>
      </c>
      <c r="E320" s="547">
        <v>47</v>
      </c>
      <c r="F320" s="547">
        <v>93</v>
      </c>
      <c r="G320" s="547">
        <v>64</v>
      </c>
      <c r="H320" s="547">
        <v>51</v>
      </c>
      <c r="I320" s="547">
        <v>478</v>
      </c>
    </row>
    <row r="321" spans="1:9" s="736" customFormat="1" ht="9" customHeight="1" x14ac:dyDescent="0.25">
      <c r="A321" s="551" t="s">
        <v>32</v>
      </c>
      <c r="B321" s="547">
        <f t="shared" si="17"/>
        <v>2632</v>
      </c>
      <c r="C321" s="547">
        <v>267</v>
      </c>
      <c r="D321" s="547">
        <v>212</v>
      </c>
      <c r="E321" s="547">
        <v>131</v>
      </c>
      <c r="F321" s="547">
        <v>207</v>
      </c>
      <c r="G321" s="547">
        <v>194</v>
      </c>
      <c r="H321" s="547">
        <v>149</v>
      </c>
      <c r="I321" s="547">
        <v>1472</v>
      </c>
    </row>
    <row r="322" spans="1:9" s="736" customFormat="1" ht="9" customHeight="1" x14ac:dyDescent="0.25">
      <c r="A322" s="554" t="s">
        <v>33</v>
      </c>
      <c r="B322" s="549">
        <f t="shared" si="17"/>
        <v>1476</v>
      </c>
      <c r="C322" s="549">
        <v>149</v>
      </c>
      <c r="D322" s="549">
        <v>182</v>
      </c>
      <c r="E322" s="549">
        <v>126</v>
      </c>
      <c r="F322" s="549">
        <v>112</v>
      </c>
      <c r="G322" s="549">
        <v>84</v>
      </c>
      <c r="H322" s="549">
        <v>92</v>
      </c>
      <c r="I322" s="549">
        <v>731</v>
      </c>
    </row>
    <row r="323" spans="1:9" s="736" customFormat="1" ht="9" customHeight="1" x14ac:dyDescent="0.25">
      <c r="A323" s="551" t="s">
        <v>34</v>
      </c>
      <c r="B323" s="547">
        <f t="shared" si="17"/>
        <v>1367</v>
      </c>
      <c r="C323" s="547">
        <v>92</v>
      </c>
      <c r="D323" s="547">
        <v>122</v>
      </c>
      <c r="E323" s="547">
        <v>82</v>
      </c>
      <c r="F323" s="547">
        <v>105</v>
      </c>
      <c r="G323" s="547">
        <v>80</v>
      </c>
      <c r="H323" s="547">
        <v>78</v>
      </c>
      <c r="I323" s="547">
        <v>808</v>
      </c>
    </row>
    <row r="324" spans="1:9" s="736" customFormat="1" ht="9" customHeight="1" x14ac:dyDescent="0.25">
      <c r="A324" s="551" t="s">
        <v>35</v>
      </c>
      <c r="B324" s="547">
        <f t="shared" si="17"/>
        <v>4683</v>
      </c>
      <c r="C324" s="547">
        <v>571</v>
      </c>
      <c r="D324" s="547">
        <v>327</v>
      </c>
      <c r="E324" s="547">
        <v>245</v>
      </c>
      <c r="F324" s="547">
        <v>435</v>
      </c>
      <c r="G324" s="547">
        <v>425</v>
      </c>
      <c r="H324" s="547">
        <v>270</v>
      </c>
      <c r="I324" s="547">
        <v>2410</v>
      </c>
    </row>
    <row r="325" spans="1:9" s="736" customFormat="1" ht="9" customHeight="1" x14ac:dyDescent="0.25">
      <c r="A325" s="551" t="s">
        <v>36</v>
      </c>
      <c r="B325" s="547">
        <f t="shared" si="17"/>
        <v>6848</v>
      </c>
      <c r="C325" s="547">
        <v>534</v>
      </c>
      <c r="D325" s="547">
        <v>582</v>
      </c>
      <c r="E325" s="547">
        <v>486</v>
      </c>
      <c r="F325" s="547">
        <v>427</v>
      </c>
      <c r="G325" s="547">
        <v>519</v>
      </c>
      <c r="H325" s="547">
        <v>443</v>
      </c>
      <c r="I325" s="547">
        <v>3857</v>
      </c>
    </row>
    <row r="326" spans="1:9" s="736" customFormat="1" ht="9" customHeight="1" x14ac:dyDescent="0.25">
      <c r="A326" s="554" t="s">
        <v>37</v>
      </c>
      <c r="B326" s="549">
        <f t="shared" si="17"/>
        <v>2593</v>
      </c>
      <c r="C326" s="549">
        <v>324</v>
      </c>
      <c r="D326" s="549">
        <v>214</v>
      </c>
      <c r="E326" s="549">
        <v>172</v>
      </c>
      <c r="F326" s="549">
        <v>224</v>
      </c>
      <c r="G326" s="549">
        <v>167</v>
      </c>
      <c r="H326" s="549">
        <v>126</v>
      </c>
      <c r="I326" s="549">
        <v>1366</v>
      </c>
    </row>
    <row r="327" spans="1:9" s="736" customFormat="1" ht="9" customHeight="1" x14ac:dyDescent="0.25">
      <c r="A327" s="551" t="s">
        <v>38</v>
      </c>
      <c r="B327" s="547">
        <f t="shared" si="17"/>
        <v>1060</v>
      </c>
      <c r="C327" s="547">
        <v>91</v>
      </c>
      <c r="D327" s="547">
        <v>107</v>
      </c>
      <c r="E327" s="547">
        <v>102</v>
      </c>
      <c r="F327" s="547">
        <v>63</v>
      </c>
      <c r="G327" s="547">
        <v>67</v>
      </c>
      <c r="H327" s="547">
        <v>46</v>
      </c>
      <c r="I327" s="547">
        <v>584</v>
      </c>
    </row>
    <row r="328" spans="1:9" s="736" customFormat="1" ht="9" customHeight="1" x14ac:dyDescent="0.25">
      <c r="A328" s="551" t="s">
        <v>39</v>
      </c>
      <c r="B328" s="547">
        <f t="shared" si="17"/>
        <v>748</v>
      </c>
      <c r="C328" s="547">
        <v>98</v>
      </c>
      <c r="D328" s="547">
        <v>46</v>
      </c>
      <c r="E328" s="547">
        <v>52</v>
      </c>
      <c r="F328" s="547">
        <v>77</v>
      </c>
      <c r="G328" s="547">
        <v>40</v>
      </c>
      <c r="H328" s="547">
        <v>40</v>
      </c>
      <c r="I328" s="547">
        <v>395</v>
      </c>
    </row>
    <row r="329" spans="1:9" s="736" customFormat="1" ht="9" customHeight="1" x14ac:dyDescent="0.25">
      <c r="A329" s="551" t="s">
        <v>40</v>
      </c>
      <c r="B329" s="547">
        <f t="shared" si="17"/>
        <v>2831</v>
      </c>
      <c r="C329" s="547">
        <v>424</v>
      </c>
      <c r="D329" s="547">
        <v>154</v>
      </c>
      <c r="E329" s="547">
        <v>128</v>
      </c>
      <c r="F329" s="547">
        <v>174</v>
      </c>
      <c r="G329" s="547">
        <v>238</v>
      </c>
      <c r="H329" s="547">
        <v>132</v>
      </c>
      <c r="I329" s="547">
        <v>1581</v>
      </c>
    </row>
    <row r="330" spans="1:9" s="736" customFormat="1" ht="9" customHeight="1" x14ac:dyDescent="0.25">
      <c r="A330" s="554" t="s">
        <v>41</v>
      </c>
      <c r="B330" s="549">
        <f t="shared" si="17"/>
        <v>2192</v>
      </c>
      <c r="C330" s="549">
        <v>137</v>
      </c>
      <c r="D330" s="549">
        <v>258</v>
      </c>
      <c r="E330" s="549">
        <v>161</v>
      </c>
      <c r="F330" s="549">
        <v>140</v>
      </c>
      <c r="G330" s="549">
        <v>93</v>
      </c>
      <c r="H330" s="549">
        <v>137</v>
      </c>
      <c r="I330" s="549">
        <v>1266</v>
      </c>
    </row>
    <row r="331" spans="1:9" s="736" customFormat="1" ht="9" customHeight="1" x14ac:dyDescent="0.25">
      <c r="A331" s="551" t="s">
        <v>42</v>
      </c>
      <c r="B331" s="547">
        <f t="shared" si="17"/>
        <v>2941</v>
      </c>
      <c r="C331" s="547">
        <v>162</v>
      </c>
      <c r="D331" s="547">
        <v>293</v>
      </c>
      <c r="E331" s="547">
        <v>249</v>
      </c>
      <c r="F331" s="547">
        <v>192</v>
      </c>
      <c r="G331" s="547">
        <v>156</v>
      </c>
      <c r="H331" s="547">
        <v>207</v>
      </c>
      <c r="I331" s="547">
        <v>1682</v>
      </c>
    </row>
    <row r="332" spans="1:9" s="736" customFormat="1" ht="9" customHeight="1" x14ac:dyDescent="0.25">
      <c r="A332" s="551" t="s">
        <v>43</v>
      </c>
      <c r="B332" s="547">
        <f t="shared" si="17"/>
        <v>864</v>
      </c>
      <c r="C332" s="547">
        <v>81</v>
      </c>
      <c r="D332" s="547">
        <v>51</v>
      </c>
      <c r="E332" s="547">
        <v>51</v>
      </c>
      <c r="F332" s="547">
        <v>66</v>
      </c>
      <c r="G332" s="547">
        <v>74</v>
      </c>
      <c r="H332" s="547">
        <v>57</v>
      </c>
      <c r="I332" s="547">
        <v>484</v>
      </c>
    </row>
    <row r="333" spans="1:9" s="736" customFormat="1" ht="9" customHeight="1" x14ac:dyDescent="0.25">
      <c r="A333" s="551" t="s">
        <v>44</v>
      </c>
      <c r="B333" s="547">
        <f t="shared" si="17"/>
        <v>347</v>
      </c>
      <c r="C333" s="547">
        <v>31</v>
      </c>
      <c r="D333" s="547">
        <v>43</v>
      </c>
      <c r="E333" s="547">
        <v>27</v>
      </c>
      <c r="F333" s="547">
        <v>17</v>
      </c>
      <c r="G333" s="547">
        <v>22</v>
      </c>
      <c r="H333" s="547">
        <v>34</v>
      </c>
      <c r="I333" s="547">
        <v>173</v>
      </c>
    </row>
    <row r="334" spans="1:9" s="736" customFormat="1" ht="9" customHeight="1" x14ac:dyDescent="0.25">
      <c r="A334" s="554" t="s">
        <v>45</v>
      </c>
      <c r="B334" s="549">
        <f t="shared" si="17"/>
        <v>1456</v>
      </c>
      <c r="C334" s="549">
        <v>144</v>
      </c>
      <c r="D334" s="549">
        <v>124</v>
      </c>
      <c r="E334" s="549">
        <v>98</v>
      </c>
      <c r="F334" s="549">
        <v>105</v>
      </c>
      <c r="G334" s="549">
        <v>94</v>
      </c>
      <c r="H334" s="549">
        <v>74</v>
      </c>
      <c r="I334" s="549">
        <v>817</v>
      </c>
    </row>
    <row r="335" spans="1:9" s="736" customFormat="1" ht="9" customHeight="1" x14ac:dyDescent="0.25">
      <c r="A335" s="551" t="s">
        <v>46</v>
      </c>
      <c r="B335" s="547">
        <f t="shared" si="17"/>
        <v>1767</v>
      </c>
      <c r="C335" s="547">
        <v>351</v>
      </c>
      <c r="D335" s="547">
        <v>132</v>
      </c>
      <c r="E335" s="547">
        <v>81</v>
      </c>
      <c r="F335" s="547">
        <v>140</v>
      </c>
      <c r="G335" s="547">
        <v>127</v>
      </c>
      <c r="H335" s="547">
        <v>86</v>
      </c>
      <c r="I335" s="547">
        <v>850</v>
      </c>
    </row>
    <row r="336" spans="1:9" s="736" customFormat="1" ht="9" customHeight="1" x14ac:dyDescent="0.25">
      <c r="A336" s="551" t="s">
        <v>47</v>
      </c>
      <c r="B336" s="547">
        <f t="shared" si="17"/>
        <v>1833</v>
      </c>
      <c r="C336" s="547">
        <v>309</v>
      </c>
      <c r="D336" s="547">
        <v>133</v>
      </c>
      <c r="E336" s="547">
        <v>110</v>
      </c>
      <c r="F336" s="547">
        <v>143</v>
      </c>
      <c r="G336" s="547">
        <v>119</v>
      </c>
      <c r="H336" s="547">
        <v>88</v>
      </c>
      <c r="I336" s="547">
        <v>931</v>
      </c>
    </row>
    <row r="337" spans="1:9" s="736" customFormat="1" ht="9" customHeight="1" x14ac:dyDescent="0.25">
      <c r="A337" s="551" t="s">
        <v>48</v>
      </c>
      <c r="B337" s="547">
        <f t="shared" si="17"/>
        <v>1106</v>
      </c>
      <c r="C337" s="547">
        <v>113</v>
      </c>
      <c r="D337" s="547">
        <v>100</v>
      </c>
      <c r="E337" s="547">
        <v>81</v>
      </c>
      <c r="F337" s="547">
        <v>104</v>
      </c>
      <c r="G337" s="547">
        <v>47</v>
      </c>
      <c r="H337" s="547">
        <v>101</v>
      </c>
      <c r="I337" s="547">
        <v>560</v>
      </c>
    </row>
    <row r="338" spans="1:9" s="736" customFormat="1" ht="9" customHeight="1" x14ac:dyDescent="0.25">
      <c r="A338" s="554" t="s">
        <v>49</v>
      </c>
      <c r="B338" s="549">
        <f t="shared" si="17"/>
        <v>2081</v>
      </c>
      <c r="C338" s="549">
        <v>329</v>
      </c>
      <c r="D338" s="549">
        <v>119</v>
      </c>
      <c r="E338" s="549">
        <v>144</v>
      </c>
      <c r="F338" s="549">
        <v>136</v>
      </c>
      <c r="G338" s="549">
        <v>168</v>
      </c>
      <c r="H338" s="549">
        <v>99</v>
      </c>
      <c r="I338" s="549">
        <v>1086</v>
      </c>
    </row>
    <row r="339" spans="1:9" s="736" customFormat="1" ht="9" customHeight="1" x14ac:dyDescent="0.25">
      <c r="A339" s="551" t="s">
        <v>50</v>
      </c>
      <c r="B339" s="547">
        <f t="shared" si="17"/>
        <v>535</v>
      </c>
      <c r="C339" s="547">
        <v>36</v>
      </c>
      <c r="D339" s="547">
        <v>36</v>
      </c>
      <c r="E339" s="547">
        <v>41</v>
      </c>
      <c r="F339" s="547">
        <v>35</v>
      </c>
      <c r="G339" s="547">
        <v>29</v>
      </c>
      <c r="H339" s="547">
        <v>45</v>
      </c>
      <c r="I339" s="547">
        <v>313</v>
      </c>
    </row>
    <row r="340" spans="1:9" s="736" customFormat="1" ht="9" customHeight="1" x14ac:dyDescent="0.25">
      <c r="A340" s="551" t="s">
        <v>51</v>
      </c>
      <c r="B340" s="547">
        <f t="shared" si="17"/>
        <v>5001</v>
      </c>
      <c r="C340" s="547">
        <v>392</v>
      </c>
      <c r="D340" s="547">
        <v>473</v>
      </c>
      <c r="E340" s="547">
        <v>404</v>
      </c>
      <c r="F340" s="547">
        <v>364</v>
      </c>
      <c r="G340" s="547">
        <v>280</v>
      </c>
      <c r="H340" s="547">
        <v>280</v>
      </c>
      <c r="I340" s="547">
        <v>2808</v>
      </c>
    </row>
    <row r="341" spans="1:9" s="736" customFormat="1" ht="9" customHeight="1" x14ac:dyDescent="0.25">
      <c r="A341" s="551" t="s">
        <v>52</v>
      </c>
      <c r="B341" s="547">
        <f t="shared" si="17"/>
        <v>1144</v>
      </c>
      <c r="C341" s="547">
        <v>95</v>
      </c>
      <c r="D341" s="547">
        <v>139</v>
      </c>
      <c r="E341" s="547">
        <v>82</v>
      </c>
      <c r="F341" s="547">
        <v>70</v>
      </c>
      <c r="G341" s="547">
        <v>48</v>
      </c>
      <c r="H341" s="547">
        <v>76</v>
      </c>
      <c r="I341" s="547">
        <v>634</v>
      </c>
    </row>
    <row r="342" spans="1:9" s="736" customFormat="1" ht="9" customHeight="1" x14ac:dyDescent="0.25">
      <c r="A342" s="554" t="s">
        <v>53</v>
      </c>
      <c r="B342" s="549">
        <f t="shared" si="17"/>
        <v>921</v>
      </c>
      <c r="C342" s="549">
        <v>111</v>
      </c>
      <c r="D342" s="549">
        <v>71</v>
      </c>
      <c r="E342" s="549">
        <v>51</v>
      </c>
      <c r="F342" s="549">
        <v>102</v>
      </c>
      <c r="G342" s="549">
        <v>39</v>
      </c>
      <c r="H342" s="549">
        <v>48</v>
      </c>
      <c r="I342" s="549">
        <v>499</v>
      </c>
    </row>
    <row r="343" spans="1:9" s="736" customFormat="1" ht="9" customHeight="1" x14ac:dyDescent="0.25">
      <c r="A343" s="551" t="s">
        <v>434</v>
      </c>
      <c r="B343" s="547">
        <f t="shared" si="17"/>
        <v>111</v>
      </c>
      <c r="C343" s="547">
        <v>12</v>
      </c>
      <c r="D343" s="547">
        <v>8</v>
      </c>
      <c r="E343" s="547">
        <v>3</v>
      </c>
      <c r="F343" s="547">
        <v>5</v>
      </c>
      <c r="G343" s="547">
        <v>10</v>
      </c>
      <c r="H343" s="547">
        <v>7</v>
      </c>
      <c r="I343" s="547">
        <v>66</v>
      </c>
    </row>
    <row r="344" spans="1:9" s="739" customFormat="1" ht="6" customHeight="1" x14ac:dyDescent="0.25">
      <c r="A344" s="737"/>
      <c r="B344" s="738"/>
      <c r="C344" s="738"/>
      <c r="D344" s="738"/>
      <c r="E344" s="738"/>
      <c r="F344" s="738"/>
      <c r="G344" s="738"/>
      <c r="H344" s="738"/>
      <c r="I344" s="738"/>
    </row>
    <row r="345" spans="1:9" s="739" customFormat="1" ht="9" customHeight="1" x14ac:dyDescent="0.25">
      <c r="A345" s="740">
        <v>2007</v>
      </c>
      <c r="B345" s="741"/>
      <c r="C345" s="742"/>
      <c r="D345" s="742"/>
      <c r="E345" s="742"/>
      <c r="F345" s="742"/>
      <c r="G345" s="742"/>
      <c r="H345" s="570"/>
      <c r="I345" s="565"/>
    </row>
    <row r="346" spans="1:9" s="739" customFormat="1" ht="9" customHeight="1" x14ac:dyDescent="0.25">
      <c r="A346" s="743" t="s">
        <v>13</v>
      </c>
      <c r="B346" s="563">
        <f t="shared" ref="B346:I346" si="18">SUM(B348:B380)</f>
        <v>65112</v>
      </c>
      <c r="C346" s="563">
        <f t="shared" si="18"/>
        <v>6694</v>
      </c>
      <c r="D346" s="563">
        <f t="shared" si="18"/>
        <v>5354</v>
      </c>
      <c r="E346" s="563">
        <f t="shared" si="18"/>
        <v>4046</v>
      </c>
      <c r="F346" s="563">
        <f t="shared" si="18"/>
        <v>4962</v>
      </c>
      <c r="G346" s="563">
        <f t="shared" si="18"/>
        <v>4609</v>
      </c>
      <c r="H346" s="563">
        <f t="shared" si="18"/>
        <v>3770</v>
      </c>
      <c r="I346" s="563">
        <f t="shared" si="18"/>
        <v>35677</v>
      </c>
    </row>
    <row r="347" spans="1:9" s="739" customFormat="1" ht="3.95" customHeight="1" x14ac:dyDescent="0.25">
      <c r="A347" s="743"/>
      <c r="B347" s="563"/>
      <c r="C347" s="563"/>
      <c r="D347" s="563"/>
      <c r="E347" s="563"/>
      <c r="F347" s="563"/>
      <c r="G347" s="563"/>
      <c r="H347" s="563"/>
      <c r="I347" s="563"/>
    </row>
    <row r="348" spans="1:9" s="739" customFormat="1" ht="9" customHeight="1" x14ac:dyDescent="0.25">
      <c r="A348" s="570" t="s">
        <v>23</v>
      </c>
      <c r="B348" s="547">
        <f t="shared" ref="B348:B380" si="19">SUM(C348:I348)</f>
        <v>595</v>
      </c>
      <c r="C348" s="565">
        <v>87</v>
      </c>
      <c r="D348" s="565">
        <v>35</v>
      </c>
      <c r="E348" s="565">
        <v>37</v>
      </c>
      <c r="F348" s="565">
        <v>47</v>
      </c>
      <c r="G348" s="565">
        <v>49</v>
      </c>
      <c r="H348" s="565">
        <v>31</v>
      </c>
      <c r="I348" s="565">
        <v>309</v>
      </c>
    </row>
    <row r="349" spans="1:9" s="739" customFormat="1" ht="9" customHeight="1" x14ac:dyDescent="0.25">
      <c r="A349" s="570" t="s">
        <v>24</v>
      </c>
      <c r="B349" s="547">
        <f t="shared" si="19"/>
        <v>1726</v>
      </c>
      <c r="C349" s="565">
        <v>223</v>
      </c>
      <c r="D349" s="565">
        <v>111</v>
      </c>
      <c r="E349" s="565">
        <v>95</v>
      </c>
      <c r="F349" s="565">
        <v>105</v>
      </c>
      <c r="G349" s="565">
        <v>148</v>
      </c>
      <c r="H349" s="565">
        <v>91</v>
      </c>
      <c r="I349" s="565">
        <v>953</v>
      </c>
    </row>
    <row r="350" spans="1:9" s="739" customFormat="1" ht="9" customHeight="1" x14ac:dyDescent="0.25">
      <c r="A350" s="570" t="s">
        <v>25</v>
      </c>
      <c r="B350" s="547">
        <f t="shared" si="19"/>
        <v>360</v>
      </c>
      <c r="C350" s="565">
        <v>54</v>
      </c>
      <c r="D350" s="565">
        <v>21</v>
      </c>
      <c r="E350" s="565">
        <v>17</v>
      </c>
      <c r="F350" s="565">
        <v>17</v>
      </c>
      <c r="G350" s="565">
        <v>34</v>
      </c>
      <c r="H350" s="565">
        <v>16</v>
      </c>
      <c r="I350" s="565">
        <v>201</v>
      </c>
    </row>
    <row r="351" spans="1:9" s="739" customFormat="1" ht="9" customHeight="1" x14ac:dyDescent="0.25">
      <c r="A351" s="571" t="s">
        <v>26</v>
      </c>
      <c r="B351" s="549">
        <f t="shared" si="19"/>
        <v>426</v>
      </c>
      <c r="C351" s="568">
        <v>25</v>
      </c>
      <c r="D351" s="568">
        <v>46</v>
      </c>
      <c r="E351" s="568">
        <v>42</v>
      </c>
      <c r="F351" s="568">
        <v>29</v>
      </c>
      <c r="G351" s="568">
        <v>13</v>
      </c>
      <c r="H351" s="568">
        <v>40</v>
      </c>
      <c r="I351" s="568">
        <v>231</v>
      </c>
    </row>
    <row r="352" spans="1:9" s="739" customFormat="1" ht="9" customHeight="1" x14ac:dyDescent="0.25">
      <c r="A352" s="570" t="s">
        <v>27</v>
      </c>
      <c r="B352" s="547">
        <f t="shared" si="19"/>
        <v>1763</v>
      </c>
      <c r="C352" s="565">
        <v>230</v>
      </c>
      <c r="D352" s="565">
        <v>118</v>
      </c>
      <c r="E352" s="565">
        <v>91</v>
      </c>
      <c r="F352" s="565">
        <v>108</v>
      </c>
      <c r="G352" s="565">
        <v>161</v>
      </c>
      <c r="H352" s="565">
        <v>83</v>
      </c>
      <c r="I352" s="565">
        <v>972</v>
      </c>
    </row>
    <row r="353" spans="1:9" s="739" customFormat="1" ht="9" customHeight="1" x14ac:dyDescent="0.25">
      <c r="A353" s="570" t="s">
        <v>28</v>
      </c>
      <c r="B353" s="547">
        <f t="shared" si="19"/>
        <v>412</v>
      </c>
      <c r="C353" s="565">
        <v>48</v>
      </c>
      <c r="D353" s="565">
        <v>30</v>
      </c>
      <c r="E353" s="565">
        <v>25</v>
      </c>
      <c r="F353" s="565">
        <v>34</v>
      </c>
      <c r="G353" s="565">
        <v>37</v>
      </c>
      <c r="H353" s="565">
        <v>25</v>
      </c>
      <c r="I353" s="565">
        <v>213</v>
      </c>
    </row>
    <row r="354" spans="1:9" s="739" customFormat="1" ht="9" customHeight="1" x14ac:dyDescent="0.25">
      <c r="A354" s="570" t="s">
        <v>29</v>
      </c>
      <c r="B354" s="547">
        <f t="shared" si="19"/>
        <v>2363</v>
      </c>
      <c r="C354" s="565">
        <v>175</v>
      </c>
      <c r="D354" s="565">
        <v>354</v>
      </c>
      <c r="E354" s="565">
        <v>219</v>
      </c>
      <c r="F354" s="565">
        <v>194</v>
      </c>
      <c r="G354" s="565">
        <v>80</v>
      </c>
      <c r="H354" s="565">
        <v>160</v>
      </c>
      <c r="I354" s="565">
        <v>1181</v>
      </c>
    </row>
    <row r="355" spans="1:9" s="739" customFormat="1" ht="9" customHeight="1" x14ac:dyDescent="0.25">
      <c r="A355" s="571" t="s">
        <v>30</v>
      </c>
      <c r="B355" s="549">
        <f t="shared" si="19"/>
        <v>2223</v>
      </c>
      <c r="C355" s="568">
        <v>358</v>
      </c>
      <c r="D355" s="568">
        <v>141</v>
      </c>
      <c r="E355" s="568">
        <v>136</v>
      </c>
      <c r="F355" s="568">
        <v>167</v>
      </c>
      <c r="G355" s="568">
        <v>191</v>
      </c>
      <c r="H355" s="568">
        <v>119</v>
      </c>
      <c r="I355" s="568">
        <v>1111</v>
      </c>
    </row>
    <row r="356" spans="1:9" s="739" customFormat="1" ht="9" customHeight="1" x14ac:dyDescent="0.25">
      <c r="A356" s="570" t="s">
        <v>63</v>
      </c>
      <c r="B356" s="547">
        <f t="shared" si="19"/>
        <v>6865</v>
      </c>
      <c r="C356" s="565">
        <v>588</v>
      </c>
      <c r="D356" s="565">
        <v>561</v>
      </c>
      <c r="E356" s="565">
        <v>320</v>
      </c>
      <c r="F356" s="565">
        <v>478</v>
      </c>
      <c r="G356" s="565">
        <v>624</v>
      </c>
      <c r="H356" s="565">
        <v>339</v>
      </c>
      <c r="I356" s="565">
        <v>3955</v>
      </c>
    </row>
    <row r="357" spans="1:9" s="739" customFormat="1" ht="9" customHeight="1" x14ac:dyDescent="0.25">
      <c r="A357" s="570" t="s">
        <v>31</v>
      </c>
      <c r="B357" s="547">
        <f t="shared" si="19"/>
        <v>983</v>
      </c>
      <c r="C357" s="565">
        <v>129</v>
      </c>
      <c r="D357" s="565">
        <v>74</v>
      </c>
      <c r="E357" s="565">
        <v>53</v>
      </c>
      <c r="F357" s="565">
        <v>72</v>
      </c>
      <c r="G357" s="565">
        <v>71</v>
      </c>
      <c r="H357" s="565">
        <v>68</v>
      </c>
      <c r="I357" s="565">
        <v>516</v>
      </c>
    </row>
    <row r="358" spans="1:9" s="739" customFormat="1" ht="9" customHeight="1" x14ac:dyDescent="0.25">
      <c r="A358" s="570" t="s">
        <v>32</v>
      </c>
      <c r="B358" s="547">
        <f t="shared" si="19"/>
        <v>2686</v>
      </c>
      <c r="C358" s="565">
        <v>271</v>
      </c>
      <c r="D358" s="565">
        <v>225</v>
      </c>
      <c r="E358" s="565">
        <v>144</v>
      </c>
      <c r="F358" s="565">
        <v>233</v>
      </c>
      <c r="G358" s="565">
        <v>202</v>
      </c>
      <c r="H358" s="565">
        <v>170</v>
      </c>
      <c r="I358" s="565">
        <v>1441</v>
      </c>
    </row>
    <row r="359" spans="1:9" s="739" customFormat="1" ht="9" customHeight="1" x14ac:dyDescent="0.25">
      <c r="A359" s="571" t="s">
        <v>33</v>
      </c>
      <c r="B359" s="549">
        <f t="shared" si="19"/>
        <v>1567</v>
      </c>
      <c r="C359" s="568">
        <v>153</v>
      </c>
      <c r="D359" s="568">
        <v>179</v>
      </c>
      <c r="E359" s="568">
        <v>133</v>
      </c>
      <c r="F359" s="568">
        <v>126</v>
      </c>
      <c r="G359" s="568">
        <v>85</v>
      </c>
      <c r="H359" s="568">
        <v>87</v>
      </c>
      <c r="I359" s="568">
        <v>804</v>
      </c>
    </row>
    <row r="360" spans="1:9" s="739" customFormat="1" ht="9" customHeight="1" x14ac:dyDescent="0.25">
      <c r="A360" s="570" t="s">
        <v>34</v>
      </c>
      <c r="B360" s="547">
        <f t="shared" si="19"/>
        <v>1428</v>
      </c>
      <c r="C360" s="565">
        <v>89</v>
      </c>
      <c r="D360" s="565">
        <v>135</v>
      </c>
      <c r="E360" s="565">
        <v>69</v>
      </c>
      <c r="F360" s="565">
        <v>106</v>
      </c>
      <c r="G360" s="565">
        <v>70</v>
      </c>
      <c r="H360" s="565">
        <v>89</v>
      </c>
      <c r="I360" s="565">
        <v>870</v>
      </c>
    </row>
    <row r="361" spans="1:9" s="739" customFormat="1" ht="9" customHeight="1" x14ac:dyDescent="0.25">
      <c r="A361" s="570" t="s">
        <v>35</v>
      </c>
      <c r="B361" s="547">
        <f t="shared" si="19"/>
        <v>4679</v>
      </c>
      <c r="C361" s="565">
        <v>571</v>
      </c>
      <c r="D361" s="565">
        <v>325</v>
      </c>
      <c r="E361" s="565">
        <v>235</v>
      </c>
      <c r="F361" s="565">
        <v>473</v>
      </c>
      <c r="G361" s="565">
        <v>345</v>
      </c>
      <c r="H361" s="565">
        <v>263</v>
      </c>
      <c r="I361" s="565">
        <v>2467</v>
      </c>
    </row>
    <row r="362" spans="1:9" s="739" customFormat="1" ht="9" customHeight="1" x14ac:dyDescent="0.25">
      <c r="A362" s="570" t="s">
        <v>36</v>
      </c>
      <c r="B362" s="547">
        <f t="shared" si="19"/>
        <v>7124</v>
      </c>
      <c r="C362" s="565">
        <v>557</v>
      </c>
      <c r="D362" s="565">
        <v>602</v>
      </c>
      <c r="E362" s="565">
        <v>451</v>
      </c>
      <c r="F362" s="565">
        <v>411</v>
      </c>
      <c r="G362" s="565">
        <v>546</v>
      </c>
      <c r="H362" s="565">
        <v>420</v>
      </c>
      <c r="I362" s="565">
        <v>4137</v>
      </c>
    </row>
    <row r="363" spans="1:9" s="739" customFormat="1" ht="9" customHeight="1" x14ac:dyDescent="0.25">
      <c r="A363" s="571" t="s">
        <v>37</v>
      </c>
      <c r="B363" s="549">
        <f t="shared" si="19"/>
        <v>2646</v>
      </c>
      <c r="C363" s="568">
        <v>277</v>
      </c>
      <c r="D363" s="568">
        <v>231</v>
      </c>
      <c r="E363" s="568">
        <v>169</v>
      </c>
      <c r="F363" s="568">
        <v>249</v>
      </c>
      <c r="G363" s="568">
        <v>160</v>
      </c>
      <c r="H363" s="568">
        <v>152</v>
      </c>
      <c r="I363" s="568">
        <v>1408</v>
      </c>
    </row>
    <row r="364" spans="1:9" s="739" customFormat="1" ht="9" customHeight="1" x14ac:dyDescent="0.25">
      <c r="A364" s="570" t="s">
        <v>38</v>
      </c>
      <c r="B364" s="547">
        <f t="shared" si="19"/>
        <v>1137</v>
      </c>
      <c r="C364" s="565">
        <v>95</v>
      </c>
      <c r="D364" s="565">
        <v>101</v>
      </c>
      <c r="E364" s="565">
        <v>78</v>
      </c>
      <c r="F364" s="565">
        <v>89</v>
      </c>
      <c r="G364" s="565">
        <v>83</v>
      </c>
      <c r="H364" s="565">
        <v>64</v>
      </c>
      <c r="I364" s="565">
        <v>627</v>
      </c>
    </row>
    <row r="365" spans="1:9" s="739" customFormat="1" ht="9" customHeight="1" x14ac:dyDescent="0.25">
      <c r="A365" s="570" t="s">
        <v>39</v>
      </c>
      <c r="B365" s="547">
        <f t="shared" si="19"/>
        <v>685</v>
      </c>
      <c r="C365" s="565">
        <v>92</v>
      </c>
      <c r="D365" s="565">
        <v>55</v>
      </c>
      <c r="E365" s="565">
        <v>43</v>
      </c>
      <c r="F365" s="565">
        <v>80</v>
      </c>
      <c r="G365" s="565">
        <v>40</v>
      </c>
      <c r="H365" s="565">
        <v>29</v>
      </c>
      <c r="I365" s="565">
        <v>346</v>
      </c>
    </row>
    <row r="366" spans="1:9" s="739" customFormat="1" ht="9" customHeight="1" x14ac:dyDescent="0.25">
      <c r="A366" s="570" t="s">
        <v>40</v>
      </c>
      <c r="B366" s="547">
        <f t="shared" si="19"/>
        <v>2954</v>
      </c>
      <c r="C366" s="565">
        <v>390</v>
      </c>
      <c r="D366" s="565">
        <v>158</v>
      </c>
      <c r="E366" s="565">
        <v>126</v>
      </c>
      <c r="F366" s="565">
        <v>204</v>
      </c>
      <c r="G366" s="565">
        <v>262</v>
      </c>
      <c r="H366" s="565">
        <v>145</v>
      </c>
      <c r="I366" s="565">
        <v>1669</v>
      </c>
    </row>
    <row r="367" spans="1:9" s="739" customFormat="1" ht="9" customHeight="1" x14ac:dyDescent="0.25">
      <c r="A367" s="571" t="s">
        <v>41</v>
      </c>
      <c r="B367" s="549">
        <f t="shared" si="19"/>
        <v>2232</v>
      </c>
      <c r="C367" s="568">
        <v>133</v>
      </c>
      <c r="D367" s="568">
        <v>224</v>
      </c>
      <c r="E367" s="568">
        <v>200</v>
      </c>
      <c r="F367" s="568">
        <v>159</v>
      </c>
      <c r="G367" s="568">
        <v>94</v>
      </c>
      <c r="H367" s="568">
        <v>139</v>
      </c>
      <c r="I367" s="568">
        <v>1283</v>
      </c>
    </row>
    <row r="368" spans="1:9" s="739" customFormat="1" ht="9" customHeight="1" x14ac:dyDescent="0.25">
      <c r="A368" s="570" t="s">
        <v>42</v>
      </c>
      <c r="B368" s="547">
        <f t="shared" si="19"/>
        <v>2900</v>
      </c>
      <c r="C368" s="565">
        <v>191</v>
      </c>
      <c r="D368" s="565">
        <v>253</v>
      </c>
      <c r="E368" s="565">
        <v>229</v>
      </c>
      <c r="F368" s="565">
        <v>195</v>
      </c>
      <c r="G368" s="565">
        <v>203</v>
      </c>
      <c r="H368" s="565">
        <v>210</v>
      </c>
      <c r="I368" s="565">
        <v>1619</v>
      </c>
    </row>
    <row r="369" spans="1:9" s="739" customFormat="1" ht="9" customHeight="1" x14ac:dyDescent="0.25">
      <c r="A369" s="570" t="s">
        <v>43</v>
      </c>
      <c r="B369" s="547">
        <f t="shared" si="19"/>
        <v>859</v>
      </c>
      <c r="C369" s="565">
        <v>75</v>
      </c>
      <c r="D369" s="565">
        <v>59</v>
      </c>
      <c r="E369" s="565">
        <v>53</v>
      </c>
      <c r="F369" s="565">
        <v>52</v>
      </c>
      <c r="G369" s="565">
        <v>59</v>
      </c>
      <c r="H369" s="565">
        <v>69</v>
      </c>
      <c r="I369" s="565">
        <v>492</v>
      </c>
    </row>
    <row r="370" spans="1:9" s="739" customFormat="1" ht="9" customHeight="1" x14ac:dyDescent="0.25">
      <c r="A370" s="570" t="s">
        <v>44</v>
      </c>
      <c r="B370" s="547">
        <f t="shared" si="19"/>
        <v>386</v>
      </c>
      <c r="C370" s="565">
        <v>42</v>
      </c>
      <c r="D370" s="565">
        <v>38</v>
      </c>
      <c r="E370" s="565">
        <v>40</v>
      </c>
      <c r="F370" s="565">
        <v>28</v>
      </c>
      <c r="G370" s="565">
        <v>28</v>
      </c>
      <c r="H370" s="565">
        <v>35</v>
      </c>
      <c r="I370" s="565">
        <v>175</v>
      </c>
    </row>
    <row r="371" spans="1:9" s="739" customFormat="1" ht="9" customHeight="1" x14ac:dyDescent="0.25">
      <c r="A371" s="571" t="s">
        <v>45</v>
      </c>
      <c r="B371" s="549">
        <f t="shared" si="19"/>
        <v>1557</v>
      </c>
      <c r="C371" s="568">
        <v>158</v>
      </c>
      <c r="D371" s="568">
        <v>104</v>
      </c>
      <c r="E371" s="568">
        <v>105</v>
      </c>
      <c r="F371" s="568">
        <v>131</v>
      </c>
      <c r="G371" s="568">
        <v>101</v>
      </c>
      <c r="H371" s="568">
        <v>85</v>
      </c>
      <c r="I371" s="568">
        <v>873</v>
      </c>
    </row>
    <row r="372" spans="1:9" s="739" customFormat="1" ht="9" customHeight="1" x14ac:dyDescent="0.25">
      <c r="A372" s="570" t="s">
        <v>46</v>
      </c>
      <c r="B372" s="547">
        <f t="shared" si="19"/>
        <v>1705</v>
      </c>
      <c r="C372" s="565">
        <v>359</v>
      </c>
      <c r="D372" s="565">
        <v>118</v>
      </c>
      <c r="E372" s="565">
        <v>83</v>
      </c>
      <c r="F372" s="565">
        <v>161</v>
      </c>
      <c r="G372" s="565">
        <v>114</v>
      </c>
      <c r="H372" s="565">
        <v>96</v>
      </c>
      <c r="I372" s="565">
        <v>774</v>
      </c>
    </row>
    <row r="373" spans="1:9" s="739" customFormat="1" ht="9" customHeight="1" x14ac:dyDescent="0.25">
      <c r="A373" s="570" t="s">
        <v>47</v>
      </c>
      <c r="B373" s="547">
        <f t="shared" si="19"/>
        <v>1807</v>
      </c>
      <c r="C373" s="565">
        <v>288</v>
      </c>
      <c r="D373" s="565">
        <v>140</v>
      </c>
      <c r="E373" s="565">
        <v>81</v>
      </c>
      <c r="F373" s="565">
        <v>150</v>
      </c>
      <c r="G373" s="565">
        <v>134</v>
      </c>
      <c r="H373" s="565">
        <v>86</v>
      </c>
      <c r="I373" s="565">
        <v>928</v>
      </c>
    </row>
    <row r="374" spans="1:9" s="739" customFormat="1" ht="9" customHeight="1" x14ac:dyDescent="0.25">
      <c r="A374" s="570" t="s">
        <v>48</v>
      </c>
      <c r="B374" s="547">
        <f t="shared" si="19"/>
        <v>1074</v>
      </c>
      <c r="C374" s="565">
        <v>97</v>
      </c>
      <c r="D374" s="565">
        <v>92</v>
      </c>
      <c r="E374" s="565">
        <v>70</v>
      </c>
      <c r="F374" s="565">
        <v>99</v>
      </c>
      <c r="G374" s="565">
        <v>49</v>
      </c>
      <c r="H374" s="565">
        <v>87</v>
      </c>
      <c r="I374" s="565">
        <v>580</v>
      </c>
    </row>
    <row r="375" spans="1:9" s="739" customFormat="1" ht="9" customHeight="1" x14ac:dyDescent="0.25">
      <c r="A375" s="571" t="s">
        <v>49</v>
      </c>
      <c r="B375" s="549">
        <f t="shared" si="19"/>
        <v>2109</v>
      </c>
      <c r="C375" s="568">
        <v>297</v>
      </c>
      <c r="D375" s="568">
        <v>138</v>
      </c>
      <c r="E375" s="568">
        <v>117</v>
      </c>
      <c r="F375" s="568">
        <v>150</v>
      </c>
      <c r="G375" s="568">
        <v>169</v>
      </c>
      <c r="H375" s="568">
        <v>97</v>
      </c>
      <c r="I375" s="568">
        <v>1141</v>
      </c>
    </row>
    <row r="376" spans="1:9" s="739" customFormat="1" ht="9" customHeight="1" x14ac:dyDescent="0.25">
      <c r="A376" s="570" t="s">
        <v>50</v>
      </c>
      <c r="B376" s="547">
        <f t="shared" si="19"/>
        <v>584</v>
      </c>
      <c r="C376" s="565">
        <v>42</v>
      </c>
      <c r="D376" s="565">
        <v>54</v>
      </c>
      <c r="E376" s="565">
        <v>32</v>
      </c>
      <c r="F376" s="565">
        <v>42</v>
      </c>
      <c r="G376" s="565">
        <v>40</v>
      </c>
      <c r="H376" s="565">
        <v>37</v>
      </c>
      <c r="I376" s="565">
        <v>337</v>
      </c>
    </row>
    <row r="377" spans="1:9" s="739" customFormat="1" ht="9" customHeight="1" x14ac:dyDescent="0.25">
      <c r="A377" s="570" t="s">
        <v>51</v>
      </c>
      <c r="B377" s="547">
        <f t="shared" si="19"/>
        <v>5013</v>
      </c>
      <c r="C377" s="565">
        <v>383</v>
      </c>
      <c r="D377" s="565">
        <v>423</v>
      </c>
      <c r="E377" s="565">
        <v>434</v>
      </c>
      <c r="F377" s="565">
        <v>415</v>
      </c>
      <c r="G377" s="565">
        <v>292</v>
      </c>
      <c r="H377" s="565">
        <v>284</v>
      </c>
      <c r="I377" s="565">
        <v>2782</v>
      </c>
    </row>
    <row r="378" spans="1:9" s="739" customFormat="1" ht="9" customHeight="1" x14ac:dyDescent="0.25">
      <c r="A378" s="570" t="s">
        <v>52</v>
      </c>
      <c r="B378" s="547">
        <f t="shared" si="19"/>
        <v>1218</v>
      </c>
      <c r="C378" s="565">
        <v>92</v>
      </c>
      <c r="D378" s="565">
        <v>132</v>
      </c>
      <c r="E378" s="565">
        <v>73</v>
      </c>
      <c r="F378" s="565">
        <v>70</v>
      </c>
      <c r="G378" s="565">
        <v>46</v>
      </c>
      <c r="H378" s="565">
        <v>95</v>
      </c>
      <c r="I378" s="565">
        <v>710</v>
      </c>
    </row>
    <row r="379" spans="1:9" s="739" customFormat="1" ht="9" customHeight="1" x14ac:dyDescent="0.25">
      <c r="A379" s="571" t="s">
        <v>53</v>
      </c>
      <c r="B379" s="549">
        <f t="shared" si="19"/>
        <v>899</v>
      </c>
      <c r="C379" s="568">
        <v>101</v>
      </c>
      <c r="D379" s="568">
        <v>69</v>
      </c>
      <c r="E379" s="568">
        <v>37</v>
      </c>
      <c r="F379" s="568">
        <v>85</v>
      </c>
      <c r="G379" s="568">
        <v>63</v>
      </c>
      <c r="H379" s="568">
        <v>50</v>
      </c>
      <c r="I379" s="568">
        <v>494</v>
      </c>
    </row>
    <row r="380" spans="1:9" s="739" customFormat="1" ht="9" customHeight="1" x14ac:dyDescent="0.25">
      <c r="A380" s="570" t="s">
        <v>434</v>
      </c>
      <c r="B380" s="547">
        <f t="shared" si="19"/>
        <v>147</v>
      </c>
      <c r="C380" s="565">
        <v>24</v>
      </c>
      <c r="D380" s="565">
        <v>8</v>
      </c>
      <c r="E380" s="565">
        <v>9</v>
      </c>
      <c r="F380" s="565">
        <v>3</v>
      </c>
      <c r="G380" s="565">
        <v>16</v>
      </c>
      <c r="H380" s="565">
        <v>9</v>
      </c>
      <c r="I380" s="565">
        <v>78</v>
      </c>
    </row>
    <row r="381" spans="1:9" s="739" customFormat="1" ht="9" customHeight="1" x14ac:dyDescent="0.25">
      <c r="A381" s="737"/>
      <c r="B381" s="738"/>
      <c r="C381" s="738"/>
      <c r="D381" s="738"/>
      <c r="E381" s="738"/>
      <c r="F381" s="738"/>
      <c r="G381" s="738"/>
      <c r="H381" s="738"/>
      <c r="I381" s="738"/>
    </row>
    <row r="382" spans="1:9" s="739" customFormat="1" ht="9" customHeight="1" x14ac:dyDescent="0.25">
      <c r="A382" s="740">
        <v>2008</v>
      </c>
      <c r="B382" s="741"/>
      <c r="C382" s="742"/>
      <c r="D382" s="742"/>
      <c r="E382" s="742"/>
      <c r="F382" s="742"/>
      <c r="G382" s="742"/>
      <c r="H382" s="570"/>
      <c r="I382" s="565"/>
    </row>
    <row r="383" spans="1:9" s="739" customFormat="1" ht="9" customHeight="1" x14ac:dyDescent="0.25">
      <c r="A383" s="743" t="s">
        <v>13</v>
      </c>
      <c r="B383" s="563">
        <f t="shared" ref="B383:I383" si="20">SUM(B385:B417)</f>
        <v>67048</v>
      </c>
      <c r="C383" s="563">
        <f t="shared" si="20"/>
        <v>6716</v>
      </c>
      <c r="D383" s="563">
        <f t="shared" si="20"/>
        <v>5513</v>
      </c>
      <c r="E383" s="563">
        <f t="shared" si="20"/>
        <v>4036</v>
      </c>
      <c r="F383" s="563">
        <f t="shared" si="20"/>
        <v>5153</v>
      </c>
      <c r="G383" s="563">
        <f t="shared" si="20"/>
        <v>4835</v>
      </c>
      <c r="H383" s="563">
        <f t="shared" si="20"/>
        <v>3787</v>
      </c>
      <c r="I383" s="563">
        <f t="shared" si="20"/>
        <v>37008</v>
      </c>
    </row>
    <row r="384" spans="1:9" s="739" customFormat="1" ht="3.95" customHeight="1" x14ac:dyDescent="0.25">
      <c r="A384" s="743"/>
      <c r="B384" s="563"/>
      <c r="C384" s="563"/>
      <c r="D384" s="563"/>
      <c r="E384" s="563"/>
      <c r="F384" s="563"/>
      <c r="G384" s="563"/>
      <c r="H384" s="563"/>
      <c r="I384" s="563"/>
    </row>
    <row r="385" spans="1:9" s="739" customFormat="1" ht="9" customHeight="1" x14ac:dyDescent="0.25">
      <c r="A385" s="570" t="s">
        <v>23</v>
      </c>
      <c r="B385" s="547">
        <f t="shared" ref="B385:B417" si="21">SUM(C385:I385)</f>
        <v>666</v>
      </c>
      <c r="C385" s="565">
        <v>91</v>
      </c>
      <c r="D385" s="565">
        <v>37</v>
      </c>
      <c r="E385" s="565">
        <v>21</v>
      </c>
      <c r="F385" s="565">
        <v>53</v>
      </c>
      <c r="G385" s="565">
        <v>69</v>
      </c>
      <c r="H385" s="565">
        <v>39</v>
      </c>
      <c r="I385" s="565">
        <v>356</v>
      </c>
    </row>
    <row r="386" spans="1:9" s="739" customFormat="1" ht="9" customHeight="1" x14ac:dyDescent="0.25">
      <c r="A386" s="570" t="s">
        <v>24</v>
      </c>
      <c r="B386" s="547">
        <f t="shared" si="21"/>
        <v>1784</v>
      </c>
      <c r="C386" s="565">
        <v>205</v>
      </c>
      <c r="D386" s="565">
        <v>109</v>
      </c>
      <c r="E386" s="565">
        <v>96</v>
      </c>
      <c r="F386" s="565">
        <v>124</v>
      </c>
      <c r="G386" s="565">
        <v>153</v>
      </c>
      <c r="H386" s="565">
        <v>89</v>
      </c>
      <c r="I386" s="565">
        <v>1008</v>
      </c>
    </row>
    <row r="387" spans="1:9" s="739" customFormat="1" ht="9" customHeight="1" x14ac:dyDescent="0.25">
      <c r="A387" s="570" t="s">
        <v>25</v>
      </c>
      <c r="B387" s="547">
        <f t="shared" si="21"/>
        <v>401</v>
      </c>
      <c r="C387" s="565">
        <v>56</v>
      </c>
      <c r="D387" s="565">
        <v>34</v>
      </c>
      <c r="E387" s="565">
        <v>14</v>
      </c>
      <c r="F387" s="565">
        <v>24</v>
      </c>
      <c r="G387" s="565">
        <v>34</v>
      </c>
      <c r="H387" s="565">
        <v>25</v>
      </c>
      <c r="I387" s="565">
        <v>214</v>
      </c>
    </row>
    <row r="388" spans="1:9" s="739" customFormat="1" ht="9" customHeight="1" x14ac:dyDescent="0.25">
      <c r="A388" s="571" t="s">
        <v>26</v>
      </c>
      <c r="B388" s="549">
        <f t="shared" si="21"/>
        <v>436</v>
      </c>
      <c r="C388" s="568">
        <v>36</v>
      </c>
      <c r="D388" s="568">
        <v>52</v>
      </c>
      <c r="E388" s="568">
        <v>28</v>
      </c>
      <c r="F388" s="568">
        <v>27</v>
      </c>
      <c r="G388" s="568">
        <v>19</v>
      </c>
      <c r="H388" s="568">
        <v>25</v>
      </c>
      <c r="I388" s="568">
        <v>249</v>
      </c>
    </row>
    <row r="389" spans="1:9" s="739" customFormat="1" ht="9" customHeight="1" x14ac:dyDescent="0.25">
      <c r="A389" s="570" t="s">
        <v>27</v>
      </c>
      <c r="B389" s="547">
        <f t="shared" si="21"/>
        <v>1770</v>
      </c>
      <c r="C389" s="565">
        <v>243</v>
      </c>
      <c r="D389" s="565">
        <v>95</v>
      </c>
      <c r="E389" s="565">
        <v>96</v>
      </c>
      <c r="F389" s="565">
        <v>115</v>
      </c>
      <c r="G389" s="565">
        <v>137</v>
      </c>
      <c r="H389" s="565">
        <v>69</v>
      </c>
      <c r="I389" s="565">
        <v>1015</v>
      </c>
    </row>
    <row r="390" spans="1:9" s="739" customFormat="1" ht="9" customHeight="1" x14ac:dyDescent="0.25">
      <c r="A390" s="570" t="s">
        <v>28</v>
      </c>
      <c r="B390" s="547">
        <f t="shared" si="21"/>
        <v>408</v>
      </c>
      <c r="C390" s="565">
        <v>54</v>
      </c>
      <c r="D390" s="565">
        <v>21</v>
      </c>
      <c r="E390" s="565">
        <v>32</v>
      </c>
      <c r="F390" s="565">
        <v>45</v>
      </c>
      <c r="G390" s="565">
        <v>27</v>
      </c>
      <c r="H390" s="565">
        <v>21</v>
      </c>
      <c r="I390" s="565">
        <v>208</v>
      </c>
    </row>
    <row r="391" spans="1:9" s="739" customFormat="1" ht="9" customHeight="1" x14ac:dyDescent="0.25">
      <c r="A391" s="570" t="s">
        <v>29</v>
      </c>
      <c r="B391" s="547">
        <f t="shared" si="21"/>
        <v>2358</v>
      </c>
      <c r="C391" s="565">
        <v>155</v>
      </c>
      <c r="D391" s="565">
        <v>359</v>
      </c>
      <c r="E391" s="565">
        <v>204</v>
      </c>
      <c r="F391" s="565">
        <v>182</v>
      </c>
      <c r="G391" s="565">
        <v>111</v>
      </c>
      <c r="H391" s="565">
        <v>181</v>
      </c>
      <c r="I391" s="565">
        <v>1166</v>
      </c>
    </row>
    <row r="392" spans="1:9" s="739" customFormat="1" ht="9" customHeight="1" x14ac:dyDescent="0.25">
      <c r="A392" s="571" t="s">
        <v>30</v>
      </c>
      <c r="B392" s="549">
        <f t="shared" si="21"/>
        <v>2353</v>
      </c>
      <c r="C392" s="568">
        <v>374</v>
      </c>
      <c r="D392" s="568">
        <v>154</v>
      </c>
      <c r="E392" s="568">
        <v>134</v>
      </c>
      <c r="F392" s="568">
        <v>160</v>
      </c>
      <c r="G392" s="568">
        <v>226</v>
      </c>
      <c r="H392" s="568">
        <v>112</v>
      </c>
      <c r="I392" s="568">
        <v>1193</v>
      </c>
    </row>
    <row r="393" spans="1:9" s="739" customFormat="1" ht="9" customHeight="1" x14ac:dyDescent="0.25">
      <c r="A393" s="570" t="s">
        <v>63</v>
      </c>
      <c r="B393" s="547">
        <f t="shared" si="21"/>
        <v>7188</v>
      </c>
      <c r="C393" s="565">
        <v>604</v>
      </c>
      <c r="D393" s="565">
        <v>575</v>
      </c>
      <c r="E393" s="565">
        <v>350</v>
      </c>
      <c r="F393" s="565">
        <v>507</v>
      </c>
      <c r="G393" s="565">
        <v>660</v>
      </c>
      <c r="H393" s="565">
        <v>341</v>
      </c>
      <c r="I393" s="565">
        <v>4151</v>
      </c>
    </row>
    <row r="394" spans="1:9" s="739" customFormat="1" ht="9" customHeight="1" x14ac:dyDescent="0.25">
      <c r="A394" s="570" t="s">
        <v>31</v>
      </c>
      <c r="B394" s="547">
        <f t="shared" si="21"/>
        <v>1035</v>
      </c>
      <c r="C394" s="565">
        <v>151</v>
      </c>
      <c r="D394" s="565">
        <v>75</v>
      </c>
      <c r="E394" s="565">
        <v>59</v>
      </c>
      <c r="F394" s="565">
        <v>74</v>
      </c>
      <c r="G394" s="565">
        <v>65</v>
      </c>
      <c r="H394" s="565">
        <v>48</v>
      </c>
      <c r="I394" s="565">
        <v>563</v>
      </c>
    </row>
    <row r="395" spans="1:9" s="739" customFormat="1" ht="9" customHeight="1" x14ac:dyDescent="0.25">
      <c r="A395" s="570" t="s">
        <v>32</v>
      </c>
      <c r="B395" s="547">
        <f t="shared" si="21"/>
        <v>2788</v>
      </c>
      <c r="C395" s="565">
        <v>269</v>
      </c>
      <c r="D395" s="565">
        <v>213</v>
      </c>
      <c r="E395" s="565">
        <v>163</v>
      </c>
      <c r="F395" s="565">
        <v>253</v>
      </c>
      <c r="G395" s="565">
        <v>194</v>
      </c>
      <c r="H395" s="565">
        <v>177</v>
      </c>
      <c r="I395" s="565">
        <v>1519</v>
      </c>
    </row>
    <row r="396" spans="1:9" s="739" customFormat="1" ht="9" customHeight="1" x14ac:dyDescent="0.25">
      <c r="A396" s="571" t="s">
        <v>33</v>
      </c>
      <c r="B396" s="549">
        <f t="shared" si="21"/>
        <v>1676</v>
      </c>
      <c r="C396" s="568">
        <v>150</v>
      </c>
      <c r="D396" s="568">
        <v>221</v>
      </c>
      <c r="E396" s="568">
        <v>160</v>
      </c>
      <c r="F396" s="568">
        <v>150</v>
      </c>
      <c r="G396" s="568">
        <v>86</v>
      </c>
      <c r="H396" s="568">
        <v>95</v>
      </c>
      <c r="I396" s="568">
        <v>814</v>
      </c>
    </row>
    <row r="397" spans="1:9" s="739" customFormat="1" ht="9" customHeight="1" x14ac:dyDescent="0.25">
      <c r="A397" s="570" t="s">
        <v>34</v>
      </c>
      <c r="B397" s="547">
        <f t="shared" si="21"/>
        <v>1539</v>
      </c>
      <c r="C397" s="565">
        <v>111</v>
      </c>
      <c r="D397" s="565">
        <v>106</v>
      </c>
      <c r="E397" s="565">
        <v>83</v>
      </c>
      <c r="F397" s="565">
        <v>126</v>
      </c>
      <c r="G397" s="565">
        <v>76</v>
      </c>
      <c r="H397" s="565">
        <v>100</v>
      </c>
      <c r="I397" s="565">
        <v>937</v>
      </c>
    </row>
    <row r="398" spans="1:9" s="739" customFormat="1" ht="9" customHeight="1" x14ac:dyDescent="0.25">
      <c r="A398" s="570" t="s">
        <v>35</v>
      </c>
      <c r="B398" s="547">
        <f t="shared" si="21"/>
        <v>4858</v>
      </c>
      <c r="C398" s="565">
        <v>604</v>
      </c>
      <c r="D398" s="565">
        <v>323</v>
      </c>
      <c r="E398" s="565">
        <v>233</v>
      </c>
      <c r="F398" s="565">
        <v>449</v>
      </c>
      <c r="G398" s="565">
        <v>387</v>
      </c>
      <c r="H398" s="565">
        <v>256</v>
      </c>
      <c r="I398" s="565">
        <v>2606</v>
      </c>
    </row>
    <row r="399" spans="1:9" s="739" customFormat="1" ht="9" customHeight="1" x14ac:dyDescent="0.25">
      <c r="A399" s="570" t="s">
        <v>36</v>
      </c>
      <c r="B399" s="547">
        <f t="shared" si="21"/>
        <v>7145</v>
      </c>
      <c r="C399" s="565">
        <v>558</v>
      </c>
      <c r="D399" s="565">
        <v>576</v>
      </c>
      <c r="E399" s="565">
        <v>436</v>
      </c>
      <c r="F399" s="565">
        <v>471</v>
      </c>
      <c r="G399" s="565">
        <v>599</v>
      </c>
      <c r="H399" s="565">
        <v>431</v>
      </c>
      <c r="I399" s="565">
        <v>4074</v>
      </c>
    </row>
    <row r="400" spans="1:9" s="739" customFormat="1" ht="9" customHeight="1" x14ac:dyDescent="0.25">
      <c r="A400" s="571" t="s">
        <v>37</v>
      </c>
      <c r="B400" s="549">
        <f t="shared" si="21"/>
        <v>2630</v>
      </c>
      <c r="C400" s="568">
        <v>259</v>
      </c>
      <c r="D400" s="568">
        <v>207</v>
      </c>
      <c r="E400" s="568">
        <v>166</v>
      </c>
      <c r="F400" s="568">
        <v>271</v>
      </c>
      <c r="G400" s="568">
        <v>175</v>
      </c>
      <c r="H400" s="568">
        <v>153</v>
      </c>
      <c r="I400" s="568">
        <v>1399</v>
      </c>
    </row>
    <row r="401" spans="1:9" s="739" customFormat="1" ht="9" customHeight="1" x14ac:dyDescent="0.25">
      <c r="A401" s="570" t="s">
        <v>38</v>
      </c>
      <c r="B401" s="547">
        <f t="shared" si="21"/>
        <v>1115</v>
      </c>
      <c r="C401" s="565">
        <v>84</v>
      </c>
      <c r="D401" s="565">
        <v>117</v>
      </c>
      <c r="E401" s="565">
        <v>86</v>
      </c>
      <c r="F401" s="565">
        <v>85</v>
      </c>
      <c r="G401" s="565">
        <v>77</v>
      </c>
      <c r="H401" s="565">
        <v>68</v>
      </c>
      <c r="I401" s="565">
        <v>598</v>
      </c>
    </row>
    <row r="402" spans="1:9" s="739" customFormat="1" ht="9" customHeight="1" x14ac:dyDescent="0.25">
      <c r="A402" s="570" t="s">
        <v>39</v>
      </c>
      <c r="B402" s="547">
        <f t="shared" si="21"/>
        <v>727</v>
      </c>
      <c r="C402" s="565">
        <v>93</v>
      </c>
      <c r="D402" s="565">
        <v>56</v>
      </c>
      <c r="E402" s="565">
        <v>57</v>
      </c>
      <c r="F402" s="565">
        <v>81</v>
      </c>
      <c r="G402" s="565">
        <v>40</v>
      </c>
      <c r="H402" s="565">
        <v>41</v>
      </c>
      <c r="I402" s="565">
        <v>359</v>
      </c>
    </row>
    <row r="403" spans="1:9" s="739" customFormat="1" ht="9" customHeight="1" x14ac:dyDescent="0.25">
      <c r="A403" s="570" t="s">
        <v>40</v>
      </c>
      <c r="B403" s="547">
        <f t="shared" si="21"/>
        <v>2974</v>
      </c>
      <c r="C403" s="565">
        <v>379</v>
      </c>
      <c r="D403" s="565">
        <v>182</v>
      </c>
      <c r="E403" s="565">
        <v>120</v>
      </c>
      <c r="F403" s="565">
        <v>215</v>
      </c>
      <c r="G403" s="565">
        <v>292</v>
      </c>
      <c r="H403" s="565">
        <v>145</v>
      </c>
      <c r="I403" s="565">
        <v>1641</v>
      </c>
    </row>
    <row r="404" spans="1:9" s="739" customFormat="1" ht="9" customHeight="1" x14ac:dyDescent="0.25">
      <c r="A404" s="571" t="s">
        <v>41</v>
      </c>
      <c r="B404" s="549">
        <f t="shared" si="21"/>
        <v>2132</v>
      </c>
      <c r="C404" s="568">
        <v>126</v>
      </c>
      <c r="D404" s="568">
        <v>233</v>
      </c>
      <c r="E404" s="568">
        <v>168</v>
      </c>
      <c r="F404" s="568">
        <v>139</v>
      </c>
      <c r="G404" s="568">
        <v>104</v>
      </c>
      <c r="H404" s="568">
        <v>144</v>
      </c>
      <c r="I404" s="568">
        <v>1218</v>
      </c>
    </row>
    <row r="405" spans="1:9" s="739" customFormat="1" ht="9" customHeight="1" x14ac:dyDescent="0.25">
      <c r="A405" s="570" t="s">
        <v>42</v>
      </c>
      <c r="B405" s="547">
        <f t="shared" si="21"/>
        <v>2972</v>
      </c>
      <c r="C405" s="565">
        <v>172</v>
      </c>
      <c r="D405" s="565">
        <v>293</v>
      </c>
      <c r="E405" s="565">
        <v>191</v>
      </c>
      <c r="F405" s="565">
        <v>219</v>
      </c>
      <c r="G405" s="565">
        <v>181</v>
      </c>
      <c r="H405" s="565">
        <v>203</v>
      </c>
      <c r="I405" s="565">
        <v>1713</v>
      </c>
    </row>
    <row r="406" spans="1:9" s="739" customFormat="1" ht="9" customHeight="1" x14ac:dyDescent="0.25">
      <c r="A406" s="570" t="s">
        <v>43</v>
      </c>
      <c r="B406" s="547">
        <f t="shared" si="21"/>
        <v>859</v>
      </c>
      <c r="C406" s="565">
        <v>70</v>
      </c>
      <c r="D406" s="565">
        <v>65</v>
      </c>
      <c r="E406" s="565">
        <v>59</v>
      </c>
      <c r="F406" s="565">
        <v>57</v>
      </c>
      <c r="G406" s="565">
        <v>56</v>
      </c>
      <c r="H406" s="565">
        <v>47</v>
      </c>
      <c r="I406" s="565">
        <v>505</v>
      </c>
    </row>
    <row r="407" spans="1:9" s="739" customFormat="1" ht="9" customHeight="1" x14ac:dyDescent="0.25">
      <c r="A407" s="570" t="s">
        <v>44</v>
      </c>
      <c r="B407" s="547">
        <f t="shared" si="21"/>
        <v>391</v>
      </c>
      <c r="C407" s="565">
        <v>30</v>
      </c>
      <c r="D407" s="565">
        <v>26</v>
      </c>
      <c r="E407" s="565">
        <v>39</v>
      </c>
      <c r="F407" s="565">
        <v>15</v>
      </c>
      <c r="G407" s="565">
        <v>24</v>
      </c>
      <c r="H407" s="565">
        <v>28</v>
      </c>
      <c r="I407" s="565">
        <v>229</v>
      </c>
    </row>
    <row r="408" spans="1:9" s="739" customFormat="1" ht="9" customHeight="1" x14ac:dyDescent="0.25">
      <c r="A408" s="571" t="s">
        <v>45</v>
      </c>
      <c r="B408" s="549">
        <f t="shared" si="21"/>
        <v>1569</v>
      </c>
      <c r="C408" s="568">
        <v>161</v>
      </c>
      <c r="D408" s="568">
        <v>112</v>
      </c>
      <c r="E408" s="568">
        <v>97</v>
      </c>
      <c r="F408" s="568">
        <v>130</v>
      </c>
      <c r="G408" s="568">
        <v>109</v>
      </c>
      <c r="H408" s="568">
        <v>90</v>
      </c>
      <c r="I408" s="568">
        <v>870</v>
      </c>
    </row>
    <row r="409" spans="1:9" s="739" customFormat="1" ht="9" customHeight="1" x14ac:dyDescent="0.25">
      <c r="A409" s="570" t="s">
        <v>46</v>
      </c>
      <c r="B409" s="547">
        <f t="shared" si="21"/>
        <v>1911</v>
      </c>
      <c r="C409" s="565">
        <v>312</v>
      </c>
      <c r="D409" s="565">
        <v>139</v>
      </c>
      <c r="E409" s="565">
        <v>78</v>
      </c>
      <c r="F409" s="565">
        <v>180</v>
      </c>
      <c r="G409" s="565">
        <v>115</v>
      </c>
      <c r="H409" s="565">
        <v>97</v>
      </c>
      <c r="I409" s="565">
        <v>990</v>
      </c>
    </row>
    <row r="410" spans="1:9" s="739" customFormat="1" ht="9" customHeight="1" x14ac:dyDescent="0.25">
      <c r="A410" s="570" t="s">
        <v>47</v>
      </c>
      <c r="B410" s="547">
        <f t="shared" si="21"/>
        <v>1904</v>
      </c>
      <c r="C410" s="565">
        <v>324</v>
      </c>
      <c r="D410" s="565">
        <v>138</v>
      </c>
      <c r="E410" s="565">
        <v>88</v>
      </c>
      <c r="F410" s="565">
        <v>139</v>
      </c>
      <c r="G410" s="565">
        <v>170</v>
      </c>
      <c r="H410" s="565">
        <v>70</v>
      </c>
      <c r="I410" s="565">
        <v>975</v>
      </c>
    </row>
    <row r="411" spans="1:9" s="739" customFormat="1" ht="9" customHeight="1" x14ac:dyDescent="0.25">
      <c r="A411" s="570" t="s">
        <v>48</v>
      </c>
      <c r="B411" s="547">
        <f t="shared" si="21"/>
        <v>1175</v>
      </c>
      <c r="C411" s="565">
        <v>107</v>
      </c>
      <c r="D411" s="565">
        <v>106</v>
      </c>
      <c r="E411" s="565">
        <v>77</v>
      </c>
      <c r="F411" s="565">
        <v>101</v>
      </c>
      <c r="G411" s="565">
        <v>67</v>
      </c>
      <c r="H411" s="565">
        <v>96</v>
      </c>
      <c r="I411" s="565">
        <v>621</v>
      </c>
    </row>
    <row r="412" spans="1:9" s="739" customFormat="1" ht="9" customHeight="1" x14ac:dyDescent="0.25">
      <c r="A412" s="571" t="s">
        <v>49</v>
      </c>
      <c r="B412" s="549">
        <f t="shared" si="21"/>
        <v>2154</v>
      </c>
      <c r="C412" s="568">
        <v>276</v>
      </c>
      <c r="D412" s="568">
        <v>135</v>
      </c>
      <c r="E412" s="568">
        <v>145</v>
      </c>
      <c r="F412" s="568">
        <v>163</v>
      </c>
      <c r="G412" s="568">
        <v>144</v>
      </c>
      <c r="H412" s="568">
        <v>103</v>
      </c>
      <c r="I412" s="568">
        <v>1188</v>
      </c>
    </row>
    <row r="413" spans="1:9" s="739" customFormat="1" ht="9" customHeight="1" x14ac:dyDescent="0.25">
      <c r="A413" s="570" t="s">
        <v>50</v>
      </c>
      <c r="B413" s="547">
        <f t="shared" si="21"/>
        <v>593</v>
      </c>
      <c r="C413" s="565">
        <v>42</v>
      </c>
      <c r="D413" s="565">
        <v>56</v>
      </c>
      <c r="E413" s="565">
        <v>33</v>
      </c>
      <c r="F413" s="565">
        <v>36</v>
      </c>
      <c r="G413" s="565">
        <v>37</v>
      </c>
      <c r="H413" s="565">
        <v>40</v>
      </c>
      <c r="I413" s="565">
        <v>349</v>
      </c>
    </row>
    <row r="414" spans="1:9" s="739" customFormat="1" ht="9" customHeight="1" x14ac:dyDescent="0.25">
      <c r="A414" s="570" t="s">
        <v>51</v>
      </c>
      <c r="B414" s="547">
        <f t="shared" si="21"/>
        <v>5279</v>
      </c>
      <c r="C414" s="565">
        <v>419</v>
      </c>
      <c r="D414" s="565">
        <v>464</v>
      </c>
      <c r="E414" s="565">
        <v>378</v>
      </c>
      <c r="F414" s="565">
        <v>404</v>
      </c>
      <c r="G414" s="565">
        <v>284</v>
      </c>
      <c r="H414" s="565">
        <v>308</v>
      </c>
      <c r="I414" s="565">
        <v>3022</v>
      </c>
    </row>
    <row r="415" spans="1:9" s="739" customFormat="1" ht="9" customHeight="1" x14ac:dyDescent="0.25">
      <c r="A415" s="570" t="s">
        <v>52</v>
      </c>
      <c r="B415" s="547">
        <f t="shared" si="21"/>
        <v>1202</v>
      </c>
      <c r="C415" s="565">
        <v>76</v>
      </c>
      <c r="D415" s="565">
        <v>151</v>
      </c>
      <c r="E415" s="565">
        <v>94</v>
      </c>
      <c r="F415" s="565">
        <v>63</v>
      </c>
      <c r="G415" s="565">
        <v>38</v>
      </c>
      <c r="H415" s="565">
        <v>87</v>
      </c>
      <c r="I415" s="565">
        <v>693</v>
      </c>
    </row>
    <row r="416" spans="1:9" s="739" customFormat="1" ht="9" customHeight="1" x14ac:dyDescent="0.25">
      <c r="A416" s="571" t="s">
        <v>53</v>
      </c>
      <c r="B416" s="549">
        <f t="shared" si="21"/>
        <v>923</v>
      </c>
      <c r="C416" s="568">
        <v>106</v>
      </c>
      <c r="D416" s="568">
        <v>79</v>
      </c>
      <c r="E416" s="568">
        <v>46</v>
      </c>
      <c r="F416" s="568">
        <v>90</v>
      </c>
      <c r="G416" s="568">
        <v>62</v>
      </c>
      <c r="H416" s="568">
        <v>54</v>
      </c>
      <c r="I416" s="568">
        <v>486</v>
      </c>
    </row>
    <row r="417" spans="1:9" s="739" customFormat="1" ht="9" customHeight="1" x14ac:dyDescent="0.25">
      <c r="A417" s="570" t="s">
        <v>434</v>
      </c>
      <c r="B417" s="547">
        <f t="shared" si="21"/>
        <v>133</v>
      </c>
      <c r="C417" s="565">
        <v>19</v>
      </c>
      <c r="D417" s="565">
        <v>4</v>
      </c>
      <c r="E417" s="565">
        <v>5</v>
      </c>
      <c r="F417" s="565">
        <v>5</v>
      </c>
      <c r="G417" s="565">
        <v>17</v>
      </c>
      <c r="H417" s="565">
        <v>4</v>
      </c>
      <c r="I417" s="565">
        <v>79</v>
      </c>
    </row>
    <row r="418" spans="1:9" s="739" customFormat="1" ht="6" customHeight="1" x14ac:dyDescent="0.25">
      <c r="A418" s="737"/>
      <c r="B418" s="738"/>
      <c r="C418" s="738"/>
      <c r="D418" s="738"/>
      <c r="E418" s="738"/>
      <c r="F418" s="738"/>
      <c r="G418" s="738"/>
      <c r="H418" s="738"/>
      <c r="I418" s="738"/>
    </row>
    <row r="419" spans="1:9" s="739" customFormat="1" ht="9" customHeight="1" x14ac:dyDescent="0.25">
      <c r="A419" s="740">
        <v>2009</v>
      </c>
      <c r="B419" s="741"/>
      <c r="C419" s="742"/>
      <c r="D419" s="742"/>
      <c r="E419" s="742"/>
      <c r="F419" s="742"/>
      <c r="G419" s="742"/>
      <c r="H419" s="570"/>
      <c r="I419" s="565"/>
    </row>
    <row r="420" spans="1:9" s="739" customFormat="1" ht="9" customHeight="1" x14ac:dyDescent="0.25">
      <c r="A420" s="743" t="s">
        <v>13</v>
      </c>
      <c r="B420" s="563">
        <f t="shared" ref="B420:I420" si="22">SUM(B422:B454)</f>
        <v>68454</v>
      </c>
      <c r="C420" s="563">
        <f t="shared" si="22"/>
        <v>6717</v>
      </c>
      <c r="D420" s="563">
        <f t="shared" si="22"/>
        <v>5508</v>
      </c>
      <c r="E420" s="563">
        <f t="shared" si="22"/>
        <v>4107</v>
      </c>
      <c r="F420" s="563">
        <f t="shared" si="22"/>
        <v>5235</v>
      </c>
      <c r="G420" s="563">
        <f t="shared" si="22"/>
        <v>4908</v>
      </c>
      <c r="H420" s="563">
        <f t="shared" si="22"/>
        <v>3932</v>
      </c>
      <c r="I420" s="563">
        <f t="shared" si="22"/>
        <v>38047</v>
      </c>
    </row>
    <row r="421" spans="1:9" s="739" customFormat="1" ht="3.95" customHeight="1" x14ac:dyDescent="0.25">
      <c r="A421" s="743"/>
      <c r="B421" s="563"/>
      <c r="C421" s="563"/>
      <c r="D421" s="563"/>
      <c r="E421" s="563"/>
      <c r="F421" s="563"/>
      <c r="G421" s="563"/>
      <c r="H421" s="563"/>
      <c r="I421" s="563"/>
    </row>
    <row r="422" spans="1:9" s="739" customFormat="1" ht="9" customHeight="1" x14ac:dyDescent="0.25">
      <c r="A422" s="570" t="s">
        <v>23</v>
      </c>
      <c r="B422" s="547">
        <f t="shared" ref="B422:B454" si="23">SUM(C422:I422)</f>
        <v>657</v>
      </c>
      <c r="C422" s="565">
        <v>95</v>
      </c>
      <c r="D422" s="565">
        <v>37</v>
      </c>
      <c r="E422" s="565">
        <v>32</v>
      </c>
      <c r="F422" s="565">
        <v>64</v>
      </c>
      <c r="G422" s="565">
        <v>50</v>
      </c>
      <c r="H422" s="565">
        <v>43</v>
      </c>
      <c r="I422" s="565">
        <v>336</v>
      </c>
    </row>
    <row r="423" spans="1:9" s="739" customFormat="1" ht="9" customHeight="1" x14ac:dyDescent="0.25">
      <c r="A423" s="570" t="s">
        <v>24</v>
      </c>
      <c r="B423" s="547">
        <f t="shared" si="23"/>
        <v>1838</v>
      </c>
      <c r="C423" s="565">
        <v>253</v>
      </c>
      <c r="D423" s="565">
        <v>121</v>
      </c>
      <c r="E423" s="565">
        <v>107</v>
      </c>
      <c r="F423" s="565">
        <v>103</v>
      </c>
      <c r="G423" s="565">
        <v>161</v>
      </c>
      <c r="H423" s="565">
        <v>90</v>
      </c>
      <c r="I423" s="565">
        <v>1003</v>
      </c>
    </row>
    <row r="424" spans="1:9" s="739" customFormat="1" ht="9" customHeight="1" x14ac:dyDescent="0.25">
      <c r="A424" s="570" t="s">
        <v>25</v>
      </c>
      <c r="B424" s="547">
        <f t="shared" si="23"/>
        <v>392</v>
      </c>
      <c r="C424" s="565">
        <v>49</v>
      </c>
      <c r="D424" s="565">
        <v>24</v>
      </c>
      <c r="E424" s="565">
        <v>10</v>
      </c>
      <c r="F424" s="565">
        <v>29</v>
      </c>
      <c r="G424" s="565">
        <v>33</v>
      </c>
      <c r="H424" s="565">
        <v>25</v>
      </c>
      <c r="I424" s="565">
        <v>222</v>
      </c>
    </row>
    <row r="425" spans="1:9" s="739" customFormat="1" ht="9" customHeight="1" x14ac:dyDescent="0.25">
      <c r="A425" s="571" t="s">
        <v>26</v>
      </c>
      <c r="B425" s="549">
        <f t="shared" si="23"/>
        <v>500</v>
      </c>
      <c r="C425" s="568">
        <v>34</v>
      </c>
      <c r="D425" s="568">
        <v>54</v>
      </c>
      <c r="E425" s="568">
        <v>38</v>
      </c>
      <c r="F425" s="568">
        <v>32</v>
      </c>
      <c r="G425" s="568">
        <v>26</v>
      </c>
      <c r="H425" s="568">
        <v>34</v>
      </c>
      <c r="I425" s="568">
        <v>282</v>
      </c>
    </row>
    <row r="426" spans="1:9" s="739" customFormat="1" ht="9" customHeight="1" x14ac:dyDescent="0.25">
      <c r="A426" s="570" t="s">
        <v>27</v>
      </c>
      <c r="B426" s="547">
        <f t="shared" si="23"/>
        <v>1715</v>
      </c>
      <c r="C426" s="565">
        <v>227</v>
      </c>
      <c r="D426" s="565">
        <v>95</v>
      </c>
      <c r="E426" s="565">
        <v>95</v>
      </c>
      <c r="F426" s="565">
        <v>102</v>
      </c>
      <c r="G426" s="565">
        <v>152</v>
      </c>
      <c r="H426" s="565">
        <v>112</v>
      </c>
      <c r="I426" s="565">
        <v>932</v>
      </c>
    </row>
    <row r="427" spans="1:9" s="739" customFormat="1" ht="9" customHeight="1" x14ac:dyDescent="0.25">
      <c r="A427" s="570" t="s">
        <v>28</v>
      </c>
      <c r="B427" s="547">
        <f t="shared" si="23"/>
        <v>405</v>
      </c>
      <c r="C427" s="565">
        <v>39</v>
      </c>
      <c r="D427" s="565">
        <v>21</v>
      </c>
      <c r="E427" s="565">
        <v>25</v>
      </c>
      <c r="F427" s="565">
        <v>31</v>
      </c>
      <c r="G427" s="565">
        <v>32</v>
      </c>
      <c r="H427" s="565">
        <v>22</v>
      </c>
      <c r="I427" s="565">
        <v>235</v>
      </c>
    </row>
    <row r="428" spans="1:9" s="739" customFormat="1" ht="9" customHeight="1" x14ac:dyDescent="0.25">
      <c r="A428" s="570" t="s">
        <v>29</v>
      </c>
      <c r="B428" s="547">
        <f t="shared" si="23"/>
        <v>2525</v>
      </c>
      <c r="C428" s="565">
        <v>145</v>
      </c>
      <c r="D428" s="565">
        <v>382</v>
      </c>
      <c r="E428" s="565">
        <v>241</v>
      </c>
      <c r="F428" s="565">
        <v>178</v>
      </c>
      <c r="G428" s="565">
        <v>112</v>
      </c>
      <c r="H428" s="565">
        <v>167</v>
      </c>
      <c r="I428" s="565">
        <v>1300</v>
      </c>
    </row>
    <row r="429" spans="1:9" s="739" customFormat="1" ht="9" customHeight="1" x14ac:dyDescent="0.25">
      <c r="A429" s="571" t="s">
        <v>30</v>
      </c>
      <c r="B429" s="549">
        <f t="shared" si="23"/>
        <v>2338</v>
      </c>
      <c r="C429" s="568">
        <v>343</v>
      </c>
      <c r="D429" s="568">
        <v>164</v>
      </c>
      <c r="E429" s="568">
        <v>122</v>
      </c>
      <c r="F429" s="568">
        <v>178</v>
      </c>
      <c r="G429" s="568">
        <v>210</v>
      </c>
      <c r="H429" s="568">
        <v>116</v>
      </c>
      <c r="I429" s="568">
        <v>1205</v>
      </c>
    </row>
    <row r="430" spans="1:9" s="739" customFormat="1" ht="9" customHeight="1" x14ac:dyDescent="0.25">
      <c r="A430" s="570" t="s">
        <v>63</v>
      </c>
      <c r="B430" s="547">
        <f t="shared" si="23"/>
        <v>7273</v>
      </c>
      <c r="C430" s="565">
        <v>623</v>
      </c>
      <c r="D430" s="565">
        <v>562</v>
      </c>
      <c r="E430" s="565">
        <v>323</v>
      </c>
      <c r="F430" s="565">
        <v>515</v>
      </c>
      <c r="G430" s="565">
        <v>665</v>
      </c>
      <c r="H430" s="565">
        <v>311</v>
      </c>
      <c r="I430" s="565">
        <v>4274</v>
      </c>
    </row>
    <row r="431" spans="1:9" s="739" customFormat="1" ht="9" customHeight="1" x14ac:dyDescent="0.25">
      <c r="A431" s="570" t="s">
        <v>31</v>
      </c>
      <c r="B431" s="547">
        <f t="shared" si="23"/>
        <v>1000</v>
      </c>
      <c r="C431" s="565">
        <v>124</v>
      </c>
      <c r="D431" s="565">
        <v>82</v>
      </c>
      <c r="E431" s="565">
        <v>56</v>
      </c>
      <c r="F431" s="565">
        <v>99</v>
      </c>
      <c r="G431" s="565">
        <v>53</v>
      </c>
      <c r="H431" s="565">
        <v>51</v>
      </c>
      <c r="I431" s="565">
        <v>535</v>
      </c>
    </row>
    <row r="432" spans="1:9" s="739" customFormat="1" ht="9" customHeight="1" x14ac:dyDescent="0.25">
      <c r="A432" s="570" t="s">
        <v>32</v>
      </c>
      <c r="B432" s="547">
        <f t="shared" si="23"/>
        <v>2833</v>
      </c>
      <c r="C432" s="565">
        <v>264</v>
      </c>
      <c r="D432" s="565">
        <v>209</v>
      </c>
      <c r="E432" s="565">
        <v>144</v>
      </c>
      <c r="F432" s="565">
        <v>257</v>
      </c>
      <c r="G432" s="565">
        <v>199</v>
      </c>
      <c r="H432" s="565">
        <v>202</v>
      </c>
      <c r="I432" s="565">
        <v>1558</v>
      </c>
    </row>
    <row r="433" spans="1:9" s="739" customFormat="1" ht="9" customHeight="1" x14ac:dyDescent="0.25">
      <c r="A433" s="571" t="s">
        <v>33</v>
      </c>
      <c r="B433" s="549">
        <f t="shared" si="23"/>
        <v>1804</v>
      </c>
      <c r="C433" s="568">
        <v>157</v>
      </c>
      <c r="D433" s="568">
        <v>219</v>
      </c>
      <c r="E433" s="568">
        <v>160</v>
      </c>
      <c r="F433" s="568">
        <v>152</v>
      </c>
      <c r="G433" s="568">
        <v>95</v>
      </c>
      <c r="H433" s="568">
        <v>146</v>
      </c>
      <c r="I433" s="568">
        <v>875</v>
      </c>
    </row>
    <row r="434" spans="1:9" s="739" customFormat="1" ht="9" customHeight="1" x14ac:dyDescent="0.25">
      <c r="A434" s="570" t="s">
        <v>34</v>
      </c>
      <c r="B434" s="547">
        <f t="shared" si="23"/>
        <v>1471</v>
      </c>
      <c r="C434" s="565">
        <v>109</v>
      </c>
      <c r="D434" s="565">
        <v>119</v>
      </c>
      <c r="E434" s="565">
        <v>77</v>
      </c>
      <c r="F434" s="565">
        <v>99</v>
      </c>
      <c r="G434" s="565">
        <v>91</v>
      </c>
      <c r="H434" s="565">
        <v>66</v>
      </c>
      <c r="I434" s="565">
        <v>910</v>
      </c>
    </row>
    <row r="435" spans="1:9" s="739" customFormat="1" ht="9" customHeight="1" x14ac:dyDescent="0.25">
      <c r="A435" s="570" t="s">
        <v>35</v>
      </c>
      <c r="B435" s="547">
        <f t="shared" si="23"/>
        <v>4878</v>
      </c>
      <c r="C435" s="565">
        <v>584</v>
      </c>
      <c r="D435" s="565">
        <v>331</v>
      </c>
      <c r="E435" s="565">
        <v>236</v>
      </c>
      <c r="F435" s="565">
        <v>464</v>
      </c>
      <c r="G435" s="565">
        <v>378</v>
      </c>
      <c r="H435" s="565">
        <v>287</v>
      </c>
      <c r="I435" s="565">
        <v>2598</v>
      </c>
    </row>
    <row r="436" spans="1:9" s="739" customFormat="1" ht="9" customHeight="1" x14ac:dyDescent="0.25">
      <c r="A436" s="570" t="s">
        <v>36</v>
      </c>
      <c r="B436" s="547">
        <f t="shared" si="23"/>
        <v>7465</v>
      </c>
      <c r="C436" s="565">
        <v>560</v>
      </c>
      <c r="D436" s="565">
        <v>603</v>
      </c>
      <c r="E436" s="565">
        <v>455</v>
      </c>
      <c r="F436" s="565">
        <v>483</v>
      </c>
      <c r="G436" s="565">
        <v>570</v>
      </c>
      <c r="H436" s="565">
        <v>447</v>
      </c>
      <c r="I436" s="565">
        <v>4347</v>
      </c>
    </row>
    <row r="437" spans="1:9" s="739" customFormat="1" ht="9" customHeight="1" x14ac:dyDescent="0.25">
      <c r="A437" s="571" t="s">
        <v>37</v>
      </c>
      <c r="B437" s="549">
        <f t="shared" si="23"/>
        <v>2967</v>
      </c>
      <c r="C437" s="568">
        <v>302</v>
      </c>
      <c r="D437" s="568">
        <v>236</v>
      </c>
      <c r="E437" s="568">
        <v>176</v>
      </c>
      <c r="F437" s="568">
        <v>283</v>
      </c>
      <c r="G437" s="568">
        <v>209</v>
      </c>
      <c r="H437" s="568">
        <v>153</v>
      </c>
      <c r="I437" s="568">
        <v>1608</v>
      </c>
    </row>
    <row r="438" spans="1:9" s="739" customFormat="1" ht="9" customHeight="1" x14ac:dyDescent="0.25">
      <c r="A438" s="570" t="s">
        <v>38</v>
      </c>
      <c r="B438" s="547">
        <f t="shared" si="23"/>
        <v>1151</v>
      </c>
      <c r="C438" s="565">
        <v>87</v>
      </c>
      <c r="D438" s="565">
        <v>94</v>
      </c>
      <c r="E438" s="565">
        <v>106</v>
      </c>
      <c r="F438" s="565">
        <v>84</v>
      </c>
      <c r="G438" s="565">
        <v>63</v>
      </c>
      <c r="H438" s="565">
        <v>63</v>
      </c>
      <c r="I438" s="565">
        <v>654</v>
      </c>
    </row>
    <row r="439" spans="1:9" s="739" customFormat="1" ht="9" customHeight="1" x14ac:dyDescent="0.25">
      <c r="A439" s="570" t="s">
        <v>39</v>
      </c>
      <c r="B439" s="547">
        <f t="shared" si="23"/>
        <v>770</v>
      </c>
      <c r="C439" s="565">
        <v>96</v>
      </c>
      <c r="D439" s="565">
        <v>51</v>
      </c>
      <c r="E439" s="565">
        <v>50</v>
      </c>
      <c r="F439" s="565">
        <v>90</v>
      </c>
      <c r="G439" s="565">
        <v>47</v>
      </c>
      <c r="H439" s="565">
        <v>42</v>
      </c>
      <c r="I439" s="565">
        <v>394</v>
      </c>
    </row>
    <row r="440" spans="1:9" s="739" customFormat="1" ht="9" customHeight="1" x14ac:dyDescent="0.25">
      <c r="A440" s="570" t="s">
        <v>40</v>
      </c>
      <c r="B440" s="547">
        <f t="shared" si="23"/>
        <v>3106</v>
      </c>
      <c r="C440" s="565">
        <v>401</v>
      </c>
      <c r="D440" s="565">
        <v>156</v>
      </c>
      <c r="E440" s="565">
        <v>123</v>
      </c>
      <c r="F440" s="565">
        <v>205</v>
      </c>
      <c r="G440" s="565">
        <v>279</v>
      </c>
      <c r="H440" s="565">
        <v>165</v>
      </c>
      <c r="I440" s="565">
        <v>1777</v>
      </c>
    </row>
    <row r="441" spans="1:9" s="739" customFormat="1" ht="9" customHeight="1" x14ac:dyDescent="0.25">
      <c r="A441" s="571" t="s">
        <v>41</v>
      </c>
      <c r="B441" s="549">
        <f t="shared" si="23"/>
        <v>2148</v>
      </c>
      <c r="C441" s="568">
        <v>123</v>
      </c>
      <c r="D441" s="568">
        <v>252</v>
      </c>
      <c r="E441" s="568">
        <v>163</v>
      </c>
      <c r="F441" s="568">
        <v>162</v>
      </c>
      <c r="G441" s="568">
        <v>73</v>
      </c>
      <c r="H441" s="568">
        <v>139</v>
      </c>
      <c r="I441" s="568">
        <v>1236</v>
      </c>
    </row>
    <row r="442" spans="1:9" s="739" customFormat="1" ht="9" customHeight="1" x14ac:dyDescent="0.25">
      <c r="A442" s="570" t="s">
        <v>42</v>
      </c>
      <c r="B442" s="547">
        <f t="shared" si="23"/>
        <v>3006</v>
      </c>
      <c r="C442" s="565">
        <v>172</v>
      </c>
      <c r="D442" s="565">
        <v>285</v>
      </c>
      <c r="E442" s="565">
        <v>213</v>
      </c>
      <c r="F442" s="565">
        <v>207</v>
      </c>
      <c r="G442" s="565">
        <v>194</v>
      </c>
      <c r="H442" s="565">
        <v>196</v>
      </c>
      <c r="I442" s="565">
        <v>1739</v>
      </c>
    </row>
    <row r="443" spans="1:9" s="739" customFormat="1" ht="9" customHeight="1" x14ac:dyDescent="0.25">
      <c r="A443" s="570" t="s">
        <v>43</v>
      </c>
      <c r="B443" s="547">
        <f t="shared" si="23"/>
        <v>883</v>
      </c>
      <c r="C443" s="565">
        <v>72</v>
      </c>
      <c r="D443" s="565">
        <v>60</v>
      </c>
      <c r="E443" s="565">
        <v>43</v>
      </c>
      <c r="F443" s="565">
        <v>61</v>
      </c>
      <c r="G443" s="565">
        <v>86</v>
      </c>
      <c r="H443" s="565">
        <v>68</v>
      </c>
      <c r="I443" s="565">
        <v>493</v>
      </c>
    </row>
    <row r="444" spans="1:9" s="739" customFormat="1" ht="9" customHeight="1" x14ac:dyDescent="0.25">
      <c r="A444" s="570" t="s">
        <v>44</v>
      </c>
      <c r="B444" s="547">
        <f t="shared" si="23"/>
        <v>448</v>
      </c>
      <c r="C444" s="565">
        <v>42</v>
      </c>
      <c r="D444" s="565">
        <v>41</v>
      </c>
      <c r="E444" s="565">
        <v>40</v>
      </c>
      <c r="F444" s="565">
        <v>21</v>
      </c>
      <c r="G444" s="565">
        <v>22</v>
      </c>
      <c r="H444" s="565">
        <v>41</v>
      </c>
      <c r="I444" s="565">
        <v>241</v>
      </c>
    </row>
    <row r="445" spans="1:9" s="739" customFormat="1" ht="9" customHeight="1" x14ac:dyDescent="0.25">
      <c r="A445" s="571" t="s">
        <v>45</v>
      </c>
      <c r="B445" s="549">
        <f t="shared" si="23"/>
        <v>1549</v>
      </c>
      <c r="C445" s="568">
        <v>159</v>
      </c>
      <c r="D445" s="568">
        <v>104</v>
      </c>
      <c r="E445" s="568">
        <v>106</v>
      </c>
      <c r="F445" s="568">
        <v>127</v>
      </c>
      <c r="G445" s="568">
        <v>105</v>
      </c>
      <c r="H445" s="568">
        <v>83</v>
      </c>
      <c r="I445" s="568">
        <v>865</v>
      </c>
    </row>
    <row r="446" spans="1:9" s="739" customFormat="1" ht="9" customHeight="1" x14ac:dyDescent="0.25">
      <c r="A446" s="570" t="s">
        <v>46</v>
      </c>
      <c r="B446" s="547">
        <f t="shared" si="23"/>
        <v>1886</v>
      </c>
      <c r="C446" s="565">
        <v>341</v>
      </c>
      <c r="D446" s="565">
        <v>139</v>
      </c>
      <c r="E446" s="565">
        <v>83</v>
      </c>
      <c r="F446" s="565">
        <v>170</v>
      </c>
      <c r="G446" s="565">
        <v>147</v>
      </c>
      <c r="H446" s="565">
        <v>87</v>
      </c>
      <c r="I446" s="565">
        <v>919</v>
      </c>
    </row>
    <row r="447" spans="1:9" s="739" customFormat="1" ht="9" customHeight="1" x14ac:dyDescent="0.25">
      <c r="A447" s="570" t="s">
        <v>47</v>
      </c>
      <c r="B447" s="547">
        <f t="shared" si="23"/>
        <v>1913</v>
      </c>
      <c r="C447" s="565">
        <v>295</v>
      </c>
      <c r="D447" s="565">
        <v>134</v>
      </c>
      <c r="E447" s="565">
        <v>94</v>
      </c>
      <c r="F447" s="565">
        <v>150</v>
      </c>
      <c r="G447" s="565">
        <v>134</v>
      </c>
      <c r="H447" s="565">
        <v>82</v>
      </c>
      <c r="I447" s="565">
        <v>1024</v>
      </c>
    </row>
    <row r="448" spans="1:9" s="739" customFormat="1" ht="9" customHeight="1" x14ac:dyDescent="0.25">
      <c r="A448" s="570" t="s">
        <v>48</v>
      </c>
      <c r="B448" s="547">
        <f t="shared" si="23"/>
        <v>1194</v>
      </c>
      <c r="C448" s="565">
        <v>106</v>
      </c>
      <c r="D448" s="565">
        <v>99</v>
      </c>
      <c r="E448" s="565">
        <v>60</v>
      </c>
      <c r="F448" s="565">
        <v>80</v>
      </c>
      <c r="G448" s="565">
        <v>66</v>
      </c>
      <c r="H448" s="565">
        <v>123</v>
      </c>
      <c r="I448" s="565">
        <v>660</v>
      </c>
    </row>
    <row r="449" spans="1:9" s="739" customFormat="1" ht="9" customHeight="1" x14ac:dyDescent="0.25">
      <c r="A449" s="571" t="s">
        <v>49</v>
      </c>
      <c r="B449" s="549">
        <f t="shared" si="23"/>
        <v>2200</v>
      </c>
      <c r="C449" s="568">
        <v>260</v>
      </c>
      <c r="D449" s="568">
        <v>121</v>
      </c>
      <c r="E449" s="568">
        <v>142</v>
      </c>
      <c r="F449" s="568">
        <v>154</v>
      </c>
      <c r="G449" s="568">
        <v>173</v>
      </c>
      <c r="H449" s="568">
        <v>120</v>
      </c>
      <c r="I449" s="568">
        <v>1230</v>
      </c>
    </row>
    <row r="450" spans="1:9" s="739" customFormat="1" ht="9" customHeight="1" x14ac:dyDescent="0.25">
      <c r="A450" s="570" t="s">
        <v>50</v>
      </c>
      <c r="B450" s="547">
        <f t="shared" si="23"/>
        <v>570</v>
      </c>
      <c r="C450" s="565">
        <v>35</v>
      </c>
      <c r="D450" s="565">
        <v>46</v>
      </c>
      <c r="E450" s="565">
        <v>38</v>
      </c>
      <c r="F450" s="565">
        <v>47</v>
      </c>
      <c r="G450" s="565">
        <v>40</v>
      </c>
      <c r="H450" s="565">
        <v>39</v>
      </c>
      <c r="I450" s="565">
        <v>325</v>
      </c>
    </row>
    <row r="451" spans="1:9" s="739" customFormat="1" ht="9" customHeight="1" x14ac:dyDescent="0.25">
      <c r="A451" s="570" t="s">
        <v>51</v>
      </c>
      <c r="B451" s="547">
        <f t="shared" si="23"/>
        <v>5325</v>
      </c>
      <c r="C451" s="565">
        <v>419</v>
      </c>
      <c r="D451" s="565">
        <v>440</v>
      </c>
      <c r="E451" s="565">
        <v>416</v>
      </c>
      <c r="F451" s="565">
        <v>418</v>
      </c>
      <c r="G451" s="565">
        <v>320</v>
      </c>
      <c r="H451" s="565">
        <v>274</v>
      </c>
      <c r="I451" s="565">
        <v>3038</v>
      </c>
    </row>
    <row r="452" spans="1:9" s="739" customFormat="1" ht="9" customHeight="1" x14ac:dyDescent="0.25">
      <c r="A452" s="570" t="s">
        <v>52</v>
      </c>
      <c r="B452" s="547">
        <f t="shared" si="23"/>
        <v>1218</v>
      </c>
      <c r="C452" s="565">
        <v>80</v>
      </c>
      <c r="D452" s="565">
        <v>142</v>
      </c>
      <c r="E452" s="565">
        <v>92</v>
      </c>
      <c r="F452" s="565">
        <v>105</v>
      </c>
      <c r="G452" s="565">
        <v>63</v>
      </c>
      <c r="H452" s="565">
        <v>82</v>
      </c>
      <c r="I452" s="565">
        <v>654</v>
      </c>
    </row>
    <row r="453" spans="1:9" s="739" customFormat="1" ht="9" customHeight="1" x14ac:dyDescent="0.25">
      <c r="A453" s="571" t="s">
        <v>53</v>
      </c>
      <c r="B453" s="549">
        <f t="shared" si="23"/>
        <v>929</v>
      </c>
      <c r="C453" s="568">
        <v>114</v>
      </c>
      <c r="D453" s="568">
        <v>78</v>
      </c>
      <c r="E453" s="568">
        <v>36</v>
      </c>
      <c r="F453" s="568">
        <v>82</v>
      </c>
      <c r="G453" s="568">
        <v>52</v>
      </c>
      <c r="H453" s="568">
        <v>48</v>
      </c>
      <c r="I453" s="568">
        <v>519</v>
      </c>
    </row>
    <row r="454" spans="1:9" s="739" customFormat="1" ht="9" customHeight="1" x14ac:dyDescent="0.25">
      <c r="A454" s="570" t="s">
        <v>434</v>
      </c>
      <c r="B454" s="547">
        <f t="shared" si="23"/>
        <v>97</v>
      </c>
      <c r="C454" s="565">
        <v>7</v>
      </c>
      <c r="D454" s="565">
        <v>7</v>
      </c>
      <c r="E454" s="565">
        <v>5</v>
      </c>
      <c r="F454" s="565">
        <v>3</v>
      </c>
      <c r="G454" s="565">
        <v>8</v>
      </c>
      <c r="H454" s="565">
        <v>8</v>
      </c>
      <c r="I454" s="565">
        <v>59</v>
      </c>
    </row>
    <row r="455" spans="1:9" s="739" customFormat="1" ht="9" customHeight="1" x14ac:dyDescent="0.25">
      <c r="A455" s="737"/>
      <c r="B455" s="738"/>
      <c r="C455" s="738"/>
      <c r="D455" s="738"/>
      <c r="E455" s="738"/>
      <c r="F455" s="738"/>
      <c r="G455" s="738"/>
      <c r="H455" s="738"/>
      <c r="I455" s="738"/>
    </row>
    <row r="456" spans="1:9" s="739" customFormat="1" ht="9" customHeight="1" x14ac:dyDescent="0.25">
      <c r="A456" s="740">
        <v>2010</v>
      </c>
      <c r="B456" s="741"/>
      <c r="C456" s="742"/>
      <c r="D456" s="742"/>
      <c r="E456" s="742"/>
      <c r="F456" s="742"/>
      <c r="G456" s="742"/>
      <c r="H456" s="570"/>
      <c r="I456" s="565"/>
    </row>
    <row r="457" spans="1:9" s="739" customFormat="1" ht="9" customHeight="1" x14ac:dyDescent="0.25">
      <c r="A457" s="743" t="s">
        <v>13</v>
      </c>
      <c r="B457" s="572">
        <f t="shared" ref="B457:I457" si="24">SUM(B459:B491)</f>
        <v>70240</v>
      </c>
      <c r="C457" s="572">
        <f t="shared" si="24"/>
        <v>6795</v>
      </c>
      <c r="D457" s="572">
        <f t="shared" si="24"/>
        <v>5599</v>
      </c>
      <c r="E457" s="572">
        <f t="shared" si="24"/>
        <v>3959</v>
      </c>
      <c r="F457" s="572">
        <f t="shared" si="24"/>
        <v>5508</v>
      </c>
      <c r="G457" s="572">
        <f t="shared" si="24"/>
        <v>5062</v>
      </c>
      <c r="H457" s="572">
        <f t="shared" si="24"/>
        <v>3953</v>
      </c>
      <c r="I457" s="572">
        <f t="shared" si="24"/>
        <v>39364</v>
      </c>
    </row>
    <row r="458" spans="1:9" s="739" customFormat="1" ht="3.95" customHeight="1" x14ac:dyDescent="0.25">
      <c r="A458" s="743"/>
      <c r="B458" s="572"/>
      <c r="C458" s="572"/>
      <c r="D458" s="572"/>
      <c r="E458" s="572"/>
      <c r="F458" s="572"/>
      <c r="G458" s="572"/>
      <c r="H458" s="572"/>
      <c r="I458" s="572"/>
    </row>
    <row r="459" spans="1:9" s="739" customFormat="1" ht="9" customHeight="1" x14ac:dyDescent="0.25">
      <c r="A459" s="570" t="s">
        <v>23</v>
      </c>
      <c r="B459" s="547">
        <f t="shared" ref="B459:B491" si="25">SUM(C459:I459)</f>
        <v>671</v>
      </c>
      <c r="C459" s="573">
        <v>83</v>
      </c>
      <c r="D459" s="573">
        <v>37</v>
      </c>
      <c r="E459" s="573">
        <v>40</v>
      </c>
      <c r="F459" s="573">
        <v>45</v>
      </c>
      <c r="G459" s="573">
        <v>46</v>
      </c>
      <c r="H459" s="573">
        <v>55</v>
      </c>
      <c r="I459" s="573">
        <v>365</v>
      </c>
    </row>
    <row r="460" spans="1:9" s="739" customFormat="1" ht="9" customHeight="1" x14ac:dyDescent="0.25">
      <c r="A460" s="570" t="s">
        <v>24</v>
      </c>
      <c r="B460" s="547">
        <f t="shared" si="25"/>
        <v>1864</v>
      </c>
      <c r="C460" s="573">
        <v>232</v>
      </c>
      <c r="D460" s="573">
        <v>119</v>
      </c>
      <c r="E460" s="573">
        <v>112</v>
      </c>
      <c r="F460" s="573">
        <v>118</v>
      </c>
      <c r="G460" s="573">
        <v>163</v>
      </c>
      <c r="H460" s="573">
        <v>92</v>
      </c>
      <c r="I460" s="573">
        <v>1028</v>
      </c>
    </row>
    <row r="461" spans="1:9" s="739" customFormat="1" ht="9" customHeight="1" x14ac:dyDescent="0.25">
      <c r="A461" s="570" t="s">
        <v>25</v>
      </c>
      <c r="B461" s="547">
        <f t="shared" si="25"/>
        <v>373</v>
      </c>
      <c r="C461" s="573">
        <v>50</v>
      </c>
      <c r="D461" s="573">
        <v>21</v>
      </c>
      <c r="E461" s="573">
        <v>18</v>
      </c>
      <c r="F461" s="573">
        <v>32</v>
      </c>
      <c r="G461" s="573">
        <v>31</v>
      </c>
      <c r="H461" s="573">
        <v>18</v>
      </c>
      <c r="I461" s="573">
        <v>203</v>
      </c>
    </row>
    <row r="462" spans="1:9" s="739" customFormat="1" ht="9" customHeight="1" x14ac:dyDescent="0.25">
      <c r="A462" s="571" t="s">
        <v>26</v>
      </c>
      <c r="B462" s="549">
        <f t="shared" si="25"/>
        <v>468</v>
      </c>
      <c r="C462" s="576">
        <v>24</v>
      </c>
      <c r="D462" s="576">
        <v>55</v>
      </c>
      <c r="E462" s="576">
        <v>27</v>
      </c>
      <c r="F462" s="576">
        <v>45</v>
      </c>
      <c r="G462" s="576">
        <v>26</v>
      </c>
      <c r="H462" s="576">
        <v>38</v>
      </c>
      <c r="I462" s="576">
        <v>253</v>
      </c>
    </row>
    <row r="463" spans="1:9" s="739" customFormat="1" ht="9" customHeight="1" x14ac:dyDescent="0.25">
      <c r="A463" s="570" t="s">
        <v>27</v>
      </c>
      <c r="B463" s="547">
        <f t="shared" si="25"/>
        <v>1718</v>
      </c>
      <c r="C463" s="573">
        <v>208</v>
      </c>
      <c r="D463" s="573">
        <v>100</v>
      </c>
      <c r="E463" s="573">
        <v>101</v>
      </c>
      <c r="F463" s="573">
        <v>117</v>
      </c>
      <c r="G463" s="573">
        <v>158</v>
      </c>
      <c r="H463" s="573">
        <v>85</v>
      </c>
      <c r="I463" s="573">
        <v>949</v>
      </c>
    </row>
    <row r="464" spans="1:9" s="739" customFormat="1" ht="9" customHeight="1" x14ac:dyDescent="0.25">
      <c r="A464" s="570" t="s">
        <v>28</v>
      </c>
      <c r="B464" s="547">
        <f t="shared" si="25"/>
        <v>484</v>
      </c>
      <c r="C464" s="573">
        <v>52</v>
      </c>
      <c r="D464" s="573">
        <v>23</v>
      </c>
      <c r="E464" s="573">
        <v>31</v>
      </c>
      <c r="F464" s="573">
        <v>34</v>
      </c>
      <c r="G464" s="573">
        <v>38</v>
      </c>
      <c r="H464" s="573">
        <v>27</v>
      </c>
      <c r="I464" s="573">
        <v>279</v>
      </c>
    </row>
    <row r="465" spans="1:9" s="739" customFormat="1" ht="9" customHeight="1" x14ac:dyDescent="0.25">
      <c r="A465" s="570" t="s">
        <v>29</v>
      </c>
      <c r="B465" s="547">
        <f t="shared" si="25"/>
        <v>2584</v>
      </c>
      <c r="C465" s="573">
        <v>158</v>
      </c>
      <c r="D465" s="573">
        <v>341</v>
      </c>
      <c r="E465" s="573">
        <v>207</v>
      </c>
      <c r="F465" s="573">
        <v>189</v>
      </c>
      <c r="G465" s="573">
        <v>128</v>
      </c>
      <c r="H465" s="573">
        <v>210</v>
      </c>
      <c r="I465" s="573">
        <v>1351</v>
      </c>
    </row>
    <row r="466" spans="1:9" s="739" customFormat="1" ht="9" customHeight="1" x14ac:dyDescent="0.25">
      <c r="A466" s="571" t="s">
        <v>30</v>
      </c>
      <c r="B466" s="549">
        <f t="shared" si="25"/>
        <v>2382</v>
      </c>
      <c r="C466" s="576">
        <v>366</v>
      </c>
      <c r="D466" s="576">
        <v>167</v>
      </c>
      <c r="E466" s="576">
        <v>132</v>
      </c>
      <c r="F466" s="576">
        <v>201</v>
      </c>
      <c r="G466" s="576">
        <v>187</v>
      </c>
      <c r="H466" s="576">
        <v>103</v>
      </c>
      <c r="I466" s="576">
        <v>1226</v>
      </c>
    </row>
    <row r="467" spans="1:9" s="739" customFormat="1" ht="9" customHeight="1" x14ac:dyDescent="0.25">
      <c r="A467" s="570" t="s">
        <v>63</v>
      </c>
      <c r="B467" s="547">
        <f t="shared" si="25"/>
        <v>7422</v>
      </c>
      <c r="C467" s="573">
        <v>647</v>
      </c>
      <c r="D467" s="573">
        <v>594</v>
      </c>
      <c r="E467" s="573">
        <v>299</v>
      </c>
      <c r="F467" s="573">
        <v>503</v>
      </c>
      <c r="G467" s="573">
        <v>669</v>
      </c>
      <c r="H467" s="573">
        <v>380</v>
      </c>
      <c r="I467" s="573">
        <v>4330</v>
      </c>
    </row>
    <row r="468" spans="1:9" s="739" customFormat="1" ht="9" customHeight="1" x14ac:dyDescent="0.25">
      <c r="A468" s="570" t="s">
        <v>31</v>
      </c>
      <c r="B468" s="547">
        <f t="shared" si="25"/>
        <v>948</v>
      </c>
      <c r="C468" s="573">
        <v>129</v>
      </c>
      <c r="D468" s="573">
        <v>67</v>
      </c>
      <c r="E468" s="573">
        <v>52</v>
      </c>
      <c r="F468" s="573">
        <v>81</v>
      </c>
      <c r="G468" s="573">
        <v>61</v>
      </c>
      <c r="H468" s="573">
        <v>45</v>
      </c>
      <c r="I468" s="573">
        <v>513</v>
      </c>
    </row>
    <row r="469" spans="1:9" s="739" customFormat="1" ht="9" customHeight="1" x14ac:dyDescent="0.25">
      <c r="A469" s="570" t="s">
        <v>32</v>
      </c>
      <c r="B469" s="547">
        <f t="shared" si="25"/>
        <v>2964</v>
      </c>
      <c r="C469" s="573">
        <v>271</v>
      </c>
      <c r="D469" s="573">
        <v>251</v>
      </c>
      <c r="E469" s="573">
        <v>151</v>
      </c>
      <c r="F469" s="573">
        <v>281</v>
      </c>
      <c r="G469" s="573">
        <v>191</v>
      </c>
      <c r="H469" s="573">
        <v>180</v>
      </c>
      <c r="I469" s="573">
        <v>1639</v>
      </c>
    </row>
    <row r="470" spans="1:9" s="739" customFormat="1" ht="9" customHeight="1" x14ac:dyDescent="0.25">
      <c r="A470" s="571" t="s">
        <v>33</v>
      </c>
      <c r="B470" s="549">
        <f t="shared" si="25"/>
        <v>1787</v>
      </c>
      <c r="C470" s="576">
        <v>155</v>
      </c>
      <c r="D470" s="576">
        <v>206</v>
      </c>
      <c r="E470" s="576">
        <v>140</v>
      </c>
      <c r="F470" s="576">
        <v>161</v>
      </c>
      <c r="G470" s="576">
        <v>108</v>
      </c>
      <c r="H470" s="576">
        <v>93</v>
      </c>
      <c r="I470" s="576">
        <v>924</v>
      </c>
    </row>
    <row r="471" spans="1:9" s="739" customFormat="1" ht="9" customHeight="1" x14ac:dyDescent="0.25">
      <c r="A471" s="570" t="s">
        <v>34</v>
      </c>
      <c r="B471" s="547">
        <f t="shared" si="25"/>
        <v>1528</v>
      </c>
      <c r="C471" s="573">
        <v>108</v>
      </c>
      <c r="D471" s="573">
        <v>140</v>
      </c>
      <c r="E471" s="573">
        <v>81</v>
      </c>
      <c r="F471" s="573">
        <v>131</v>
      </c>
      <c r="G471" s="573">
        <v>77</v>
      </c>
      <c r="H471" s="573">
        <v>88</v>
      </c>
      <c r="I471" s="573">
        <v>903</v>
      </c>
    </row>
    <row r="472" spans="1:9" s="739" customFormat="1" ht="9" customHeight="1" x14ac:dyDescent="0.25">
      <c r="A472" s="570" t="s">
        <v>35</v>
      </c>
      <c r="B472" s="547">
        <f t="shared" si="25"/>
        <v>4971</v>
      </c>
      <c r="C472" s="573">
        <v>583</v>
      </c>
      <c r="D472" s="573">
        <v>346</v>
      </c>
      <c r="E472" s="573">
        <v>223</v>
      </c>
      <c r="F472" s="573">
        <v>486</v>
      </c>
      <c r="G472" s="573">
        <v>409</v>
      </c>
      <c r="H472" s="573">
        <v>271</v>
      </c>
      <c r="I472" s="573">
        <v>2653</v>
      </c>
    </row>
    <row r="473" spans="1:9" s="739" customFormat="1" ht="9" customHeight="1" x14ac:dyDescent="0.25">
      <c r="A473" s="570" t="s">
        <v>36</v>
      </c>
      <c r="B473" s="547">
        <f t="shared" si="25"/>
        <v>7873</v>
      </c>
      <c r="C473" s="573">
        <v>594</v>
      </c>
      <c r="D473" s="573">
        <v>664</v>
      </c>
      <c r="E473" s="573">
        <v>424</v>
      </c>
      <c r="F473" s="573">
        <v>506</v>
      </c>
      <c r="G473" s="573">
        <v>615</v>
      </c>
      <c r="H473" s="573">
        <v>457</v>
      </c>
      <c r="I473" s="573">
        <v>4613</v>
      </c>
    </row>
    <row r="474" spans="1:9" s="739" customFormat="1" ht="9" customHeight="1" x14ac:dyDescent="0.25">
      <c r="A474" s="571" t="s">
        <v>37</v>
      </c>
      <c r="B474" s="549">
        <f t="shared" si="25"/>
        <v>2891</v>
      </c>
      <c r="C474" s="576">
        <v>298</v>
      </c>
      <c r="D474" s="576">
        <v>210</v>
      </c>
      <c r="E474" s="576">
        <v>168</v>
      </c>
      <c r="F474" s="576">
        <v>316</v>
      </c>
      <c r="G474" s="576">
        <v>191</v>
      </c>
      <c r="H474" s="576">
        <v>151</v>
      </c>
      <c r="I474" s="576">
        <v>1557</v>
      </c>
    </row>
    <row r="475" spans="1:9" s="739" customFormat="1" ht="9" customHeight="1" x14ac:dyDescent="0.25">
      <c r="A475" s="570" t="s">
        <v>38</v>
      </c>
      <c r="B475" s="547">
        <f t="shared" si="25"/>
        <v>1228</v>
      </c>
      <c r="C475" s="573">
        <v>108</v>
      </c>
      <c r="D475" s="573">
        <v>114</v>
      </c>
      <c r="E475" s="573">
        <v>88</v>
      </c>
      <c r="F475" s="573">
        <v>92</v>
      </c>
      <c r="G475" s="573">
        <v>87</v>
      </c>
      <c r="H475" s="573">
        <v>63</v>
      </c>
      <c r="I475" s="573">
        <v>676</v>
      </c>
    </row>
    <row r="476" spans="1:9" s="739" customFormat="1" ht="9" customHeight="1" x14ac:dyDescent="0.25">
      <c r="A476" s="570" t="s">
        <v>39</v>
      </c>
      <c r="B476" s="547">
        <f t="shared" si="25"/>
        <v>758</v>
      </c>
      <c r="C476" s="573">
        <v>94</v>
      </c>
      <c r="D476" s="573">
        <v>52</v>
      </c>
      <c r="E476" s="573">
        <v>47</v>
      </c>
      <c r="F476" s="573">
        <v>74</v>
      </c>
      <c r="G476" s="573">
        <v>42</v>
      </c>
      <c r="H476" s="573">
        <v>38</v>
      </c>
      <c r="I476" s="573">
        <v>411</v>
      </c>
    </row>
    <row r="477" spans="1:9" s="739" customFormat="1" ht="9" customHeight="1" x14ac:dyDescent="0.25">
      <c r="A477" s="570" t="s">
        <v>40</v>
      </c>
      <c r="B477" s="547">
        <f t="shared" si="25"/>
        <v>3172</v>
      </c>
      <c r="C477" s="573">
        <v>402</v>
      </c>
      <c r="D477" s="573">
        <v>143</v>
      </c>
      <c r="E477" s="573">
        <v>123</v>
      </c>
      <c r="F477" s="573">
        <v>203</v>
      </c>
      <c r="G477" s="573">
        <v>300</v>
      </c>
      <c r="H477" s="573">
        <v>173</v>
      </c>
      <c r="I477" s="573">
        <v>1828</v>
      </c>
    </row>
    <row r="478" spans="1:9" s="739" customFormat="1" ht="9" customHeight="1" x14ac:dyDescent="0.25">
      <c r="A478" s="571" t="s">
        <v>41</v>
      </c>
      <c r="B478" s="549">
        <f t="shared" si="25"/>
        <v>2280</v>
      </c>
      <c r="C478" s="576">
        <v>139</v>
      </c>
      <c r="D478" s="576">
        <v>276</v>
      </c>
      <c r="E478" s="576">
        <v>194</v>
      </c>
      <c r="F478" s="576">
        <v>140</v>
      </c>
      <c r="G478" s="576">
        <v>88</v>
      </c>
      <c r="H478" s="576">
        <v>156</v>
      </c>
      <c r="I478" s="576">
        <v>1287</v>
      </c>
    </row>
    <row r="479" spans="1:9" s="739" customFormat="1" ht="9" customHeight="1" x14ac:dyDescent="0.25">
      <c r="A479" s="570" t="s">
        <v>42</v>
      </c>
      <c r="B479" s="547">
        <f t="shared" si="25"/>
        <v>3031</v>
      </c>
      <c r="C479" s="573">
        <v>187</v>
      </c>
      <c r="D479" s="573">
        <v>278</v>
      </c>
      <c r="E479" s="573">
        <v>208</v>
      </c>
      <c r="F479" s="573">
        <v>217</v>
      </c>
      <c r="G479" s="573">
        <v>175</v>
      </c>
      <c r="H479" s="573">
        <v>206</v>
      </c>
      <c r="I479" s="573">
        <v>1760</v>
      </c>
    </row>
    <row r="480" spans="1:9" s="739" customFormat="1" ht="9" customHeight="1" x14ac:dyDescent="0.25">
      <c r="A480" s="570" t="s">
        <v>43</v>
      </c>
      <c r="B480" s="547">
        <f t="shared" si="25"/>
        <v>937</v>
      </c>
      <c r="C480" s="573">
        <v>58</v>
      </c>
      <c r="D480" s="573">
        <v>53</v>
      </c>
      <c r="E480" s="573">
        <v>50</v>
      </c>
      <c r="F480" s="573">
        <v>72</v>
      </c>
      <c r="G480" s="573">
        <v>78</v>
      </c>
      <c r="H480" s="573">
        <v>63</v>
      </c>
      <c r="I480" s="573">
        <v>563</v>
      </c>
    </row>
    <row r="481" spans="1:9" s="739" customFormat="1" ht="9" customHeight="1" x14ac:dyDescent="0.25">
      <c r="A481" s="570" t="s">
        <v>44</v>
      </c>
      <c r="B481" s="547">
        <f t="shared" si="25"/>
        <v>503</v>
      </c>
      <c r="C481" s="573">
        <v>40</v>
      </c>
      <c r="D481" s="573">
        <v>52</v>
      </c>
      <c r="E481" s="573">
        <v>36</v>
      </c>
      <c r="F481" s="573">
        <v>34</v>
      </c>
      <c r="G481" s="573">
        <v>24</v>
      </c>
      <c r="H481" s="573">
        <v>38</v>
      </c>
      <c r="I481" s="573">
        <v>279</v>
      </c>
    </row>
    <row r="482" spans="1:9" s="739" customFormat="1" ht="9" customHeight="1" x14ac:dyDescent="0.25">
      <c r="A482" s="571" t="s">
        <v>45</v>
      </c>
      <c r="B482" s="549">
        <f t="shared" si="25"/>
        <v>1635</v>
      </c>
      <c r="C482" s="576">
        <v>174</v>
      </c>
      <c r="D482" s="576">
        <v>117</v>
      </c>
      <c r="E482" s="576">
        <v>90</v>
      </c>
      <c r="F482" s="576">
        <v>135</v>
      </c>
      <c r="G482" s="576">
        <v>112</v>
      </c>
      <c r="H482" s="576">
        <v>88</v>
      </c>
      <c r="I482" s="576">
        <v>919</v>
      </c>
    </row>
    <row r="483" spans="1:9" s="739" customFormat="1" ht="9" customHeight="1" x14ac:dyDescent="0.25">
      <c r="A483" s="570" t="s">
        <v>46</v>
      </c>
      <c r="B483" s="547">
        <f t="shared" si="25"/>
        <v>1970</v>
      </c>
      <c r="C483" s="573">
        <v>339</v>
      </c>
      <c r="D483" s="573">
        <v>123</v>
      </c>
      <c r="E483" s="573">
        <v>105</v>
      </c>
      <c r="F483" s="573">
        <v>181</v>
      </c>
      <c r="G483" s="573">
        <v>138</v>
      </c>
      <c r="H483" s="573">
        <v>94</v>
      </c>
      <c r="I483" s="573">
        <v>990</v>
      </c>
    </row>
    <row r="484" spans="1:9" s="739" customFormat="1" ht="9" customHeight="1" x14ac:dyDescent="0.25">
      <c r="A484" s="570" t="s">
        <v>47</v>
      </c>
      <c r="B484" s="547">
        <f t="shared" si="25"/>
        <v>2071</v>
      </c>
      <c r="C484" s="573">
        <v>279</v>
      </c>
      <c r="D484" s="573">
        <v>167</v>
      </c>
      <c r="E484" s="573">
        <v>108</v>
      </c>
      <c r="F484" s="573">
        <v>171</v>
      </c>
      <c r="G484" s="573">
        <v>166</v>
      </c>
      <c r="H484" s="573">
        <v>99</v>
      </c>
      <c r="I484" s="573">
        <v>1081</v>
      </c>
    </row>
    <row r="485" spans="1:9" s="739" customFormat="1" ht="9" customHeight="1" x14ac:dyDescent="0.25">
      <c r="A485" s="570" t="s">
        <v>48</v>
      </c>
      <c r="B485" s="547">
        <f t="shared" si="25"/>
        <v>1235</v>
      </c>
      <c r="C485" s="573">
        <v>104</v>
      </c>
      <c r="D485" s="573">
        <v>102</v>
      </c>
      <c r="E485" s="573">
        <v>73</v>
      </c>
      <c r="F485" s="573">
        <v>117</v>
      </c>
      <c r="G485" s="573">
        <v>81</v>
      </c>
      <c r="H485" s="573">
        <v>79</v>
      </c>
      <c r="I485" s="573">
        <v>679</v>
      </c>
    </row>
    <row r="486" spans="1:9" s="739" customFormat="1" ht="9" customHeight="1" x14ac:dyDescent="0.25">
      <c r="A486" s="571" t="s">
        <v>49</v>
      </c>
      <c r="B486" s="549">
        <f t="shared" si="25"/>
        <v>2250</v>
      </c>
      <c r="C486" s="576">
        <v>245</v>
      </c>
      <c r="D486" s="576">
        <v>135</v>
      </c>
      <c r="E486" s="576">
        <v>127</v>
      </c>
      <c r="F486" s="576">
        <v>168</v>
      </c>
      <c r="G486" s="576">
        <v>180</v>
      </c>
      <c r="H486" s="576">
        <v>104</v>
      </c>
      <c r="I486" s="576">
        <v>1291</v>
      </c>
    </row>
    <row r="487" spans="1:9" s="739" customFormat="1" ht="9" customHeight="1" x14ac:dyDescent="0.25">
      <c r="A487" s="570" t="s">
        <v>50</v>
      </c>
      <c r="B487" s="547">
        <f t="shared" si="25"/>
        <v>573</v>
      </c>
      <c r="C487" s="573">
        <v>40</v>
      </c>
      <c r="D487" s="573">
        <v>50</v>
      </c>
      <c r="E487" s="573">
        <v>32</v>
      </c>
      <c r="F487" s="573">
        <v>35</v>
      </c>
      <c r="G487" s="573">
        <v>34</v>
      </c>
      <c r="H487" s="573">
        <v>23</v>
      </c>
      <c r="I487" s="573">
        <v>359</v>
      </c>
    </row>
    <row r="488" spans="1:9" s="739" customFormat="1" ht="9" customHeight="1" x14ac:dyDescent="0.25">
      <c r="A488" s="570" t="s">
        <v>51</v>
      </c>
      <c r="B488" s="547">
        <f t="shared" si="25"/>
        <v>5358</v>
      </c>
      <c r="C488" s="573">
        <v>392</v>
      </c>
      <c r="D488" s="573">
        <v>396</v>
      </c>
      <c r="E488" s="573">
        <v>347</v>
      </c>
      <c r="F488" s="573">
        <v>433</v>
      </c>
      <c r="G488" s="573">
        <v>322</v>
      </c>
      <c r="H488" s="573">
        <v>313</v>
      </c>
      <c r="I488" s="573">
        <v>3155</v>
      </c>
    </row>
    <row r="489" spans="1:9" s="739" customFormat="1" ht="9" customHeight="1" x14ac:dyDescent="0.25">
      <c r="A489" s="570" t="s">
        <v>52</v>
      </c>
      <c r="B489" s="547">
        <f t="shared" si="25"/>
        <v>1221</v>
      </c>
      <c r="C489" s="573">
        <v>95</v>
      </c>
      <c r="D489" s="573">
        <v>122</v>
      </c>
      <c r="E489" s="573">
        <v>92</v>
      </c>
      <c r="F489" s="573">
        <v>89</v>
      </c>
      <c r="G489" s="573">
        <v>59</v>
      </c>
      <c r="H489" s="573">
        <v>68</v>
      </c>
      <c r="I489" s="573">
        <v>696</v>
      </c>
    </row>
    <row r="490" spans="1:9" s="739" customFormat="1" ht="9" customHeight="1" x14ac:dyDescent="0.25">
      <c r="A490" s="571" t="s">
        <v>53</v>
      </c>
      <c r="B490" s="549">
        <f t="shared" si="25"/>
        <v>965</v>
      </c>
      <c r="C490" s="576">
        <v>128</v>
      </c>
      <c r="D490" s="576">
        <v>73</v>
      </c>
      <c r="E490" s="576">
        <v>33</v>
      </c>
      <c r="F490" s="576">
        <v>94</v>
      </c>
      <c r="G490" s="576">
        <v>63</v>
      </c>
      <c r="H490" s="576">
        <v>51</v>
      </c>
      <c r="I490" s="576">
        <v>523</v>
      </c>
    </row>
    <row r="491" spans="1:9" s="739" customFormat="1" ht="9" customHeight="1" x14ac:dyDescent="0.25">
      <c r="A491" s="570" t="s">
        <v>434</v>
      </c>
      <c r="B491" s="547">
        <f t="shared" si="25"/>
        <v>125</v>
      </c>
      <c r="C491" s="573">
        <v>13</v>
      </c>
      <c r="D491" s="573">
        <v>5</v>
      </c>
      <c r="E491" s="573">
        <v>0</v>
      </c>
      <c r="F491" s="573">
        <v>7</v>
      </c>
      <c r="G491" s="573">
        <v>15</v>
      </c>
      <c r="H491" s="573">
        <v>4</v>
      </c>
      <c r="I491" s="573">
        <v>81</v>
      </c>
    </row>
    <row r="492" spans="1:9" s="739" customFormat="1" ht="5.45" customHeight="1" x14ac:dyDescent="0.25">
      <c r="A492" s="737"/>
      <c r="B492" s="738"/>
      <c r="C492" s="738"/>
      <c r="D492" s="738"/>
      <c r="E492" s="738"/>
      <c r="F492" s="738"/>
      <c r="G492" s="738"/>
      <c r="H492" s="738"/>
      <c r="I492" s="738"/>
    </row>
    <row r="493" spans="1:9" s="739" customFormat="1" ht="9" customHeight="1" x14ac:dyDescent="0.25">
      <c r="A493" s="740">
        <v>2011</v>
      </c>
      <c r="B493" s="741"/>
      <c r="C493" s="742"/>
      <c r="D493" s="742"/>
      <c r="E493" s="742"/>
      <c r="F493" s="742"/>
      <c r="G493" s="742"/>
      <c r="H493" s="570"/>
      <c r="I493" s="565"/>
    </row>
    <row r="494" spans="1:9" s="739" customFormat="1" ht="9" customHeight="1" x14ac:dyDescent="0.25">
      <c r="A494" s="743" t="s">
        <v>13</v>
      </c>
      <c r="B494" s="572">
        <f t="shared" ref="B494:I494" si="26">SUM(B496:B528)</f>
        <v>71350</v>
      </c>
      <c r="C494" s="572">
        <f t="shared" si="26"/>
        <v>6748</v>
      </c>
      <c r="D494" s="572">
        <f t="shared" si="26"/>
        <v>5557</v>
      </c>
      <c r="E494" s="572">
        <f t="shared" si="26"/>
        <v>3927</v>
      </c>
      <c r="F494" s="572">
        <f t="shared" si="26"/>
        <v>5666</v>
      </c>
      <c r="G494" s="572">
        <f t="shared" si="26"/>
        <v>5222</v>
      </c>
      <c r="H494" s="572">
        <f t="shared" si="26"/>
        <v>4051</v>
      </c>
      <c r="I494" s="572">
        <f t="shared" si="26"/>
        <v>40179</v>
      </c>
    </row>
    <row r="495" spans="1:9" s="739" customFormat="1" ht="3.95" customHeight="1" x14ac:dyDescent="0.25">
      <c r="A495" s="743"/>
      <c r="B495" s="572"/>
      <c r="C495" s="572"/>
      <c r="D495" s="572"/>
      <c r="E495" s="572"/>
      <c r="F495" s="572"/>
      <c r="G495" s="572"/>
      <c r="H495" s="572"/>
      <c r="I495" s="572"/>
    </row>
    <row r="496" spans="1:9" s="739" customFormat="1" ht="9" customHeight="1" x14ac:dyDescent="0.25">
      <c r="A496" s="570" t="s">
        <v>23</v>
      </c>
      <c r="B496" s="547">
        <f t="shared" ref="B496:B528" si="27">SUM(C496:I496)</f>
        <v>674</v>
      </c>
      <c r="C496" s="565">
        <v>73</v>
      </c>
      <c r="D496" s="565">
        <v>38</v>
      </c>
      <c r="E496" s="565">
        <v>31</v>
      </c>
      <c r="F496" s="565">
        <v>63</v>
      </c>
      <c r="G496" s="565">
        <v>59</v>
      </c>
      <c r="H496" s="565">
        <v>46</v>
      </c>
      <c r="I496" s="565">
        <v>364</v>
      </c>
    </row>
    <row r="497" spans="1:9" s="739" customFormat="1" ht="9" customHeight="1" x14ac:dyDescent="0.25">
      <c r="A497" s="570" t="s">
        <v>24</v>
      </c>
      <c r="B497" s="547">
        <f t="shared" si="27"/>
        <v>1863</v>
      </c>
      <c r="C497" s="565">
        <v>235</v>
      </c>
      <c r="D497" s="565">
        <v>101</v>
      </c>
      <c r="E497" s="565">
        <v>91</v>
      </c>
      <c r="F497" s="565">
        <v>136</v>
      </c>
      <c r="G497" s="565">
        <v>166</v>
      </c>
      <c r="H497" s="565">
        <v>94</v>
      </c>
      <c r="I497" s="565">
        <v>1040</v>
      </c>
    </row>
    <row r="498" spans="1:9" s="739" customFormat="1" ht="9" customHeight="1" x14ac:dyDescent="0.25">
      <c r="A498" s="570" t="s">
        <v>25</v>
      </c>
      <c r="B498" s="547">
        <f t="shared" si="27"/>
        <v>392</v>
      </c>
      <c r="C498" s="565">
        <v>52</v>
      </c>
      <c r="D498" s="565">
        <v>27</v>
      </c>
      <c r="E498" s="565">
        <v>19</v>
      </c>
      <c r="F498" s="565">
        <v>22</v>
      </c>
      <c r="G498" s="565">
        <v>39</v>
      </c>
      <c r="H498" s="565">
        <v>25</v>
      </c>
      <c r="I498" s="565">
        <v>208</v>
      </c>
    </row>
    <row r="499" spans="1:9" s="739" customFormat="1" ht="9" customHeight="1" x14ac:dyDescent="0.25">
      <c r="A499" s="571" t="s">
        <v>26</v>
      </c>
      <c r="B499" s="549">
        <f t="shared" si="27"/>
        <v>442</v>
      </c>
      <c r="C499" s="568">
        <v>32</v>
      </c>
      <c r="D499" s="568">
        <v>48</v>
      </c>
      <c r="E499" s="568">
        <v>26</v>
      </c>
      <c r="F499" s="568">
        <v>36</v>
      </c>
      <c r="G499" s="568">
        <v>22</v>
      </c>
      <c r="H499" s="568">
        <v>35</v>
      </c>
      <c r="I499" s="568">
        <v>243</v>
      </c>
    </row>
    <row r="500" spans="1:9" s="739" customFormat="1" ht="9" customHeight="1" x14ac:dyDescent="0.25">
      <c r="A500" s="570" t="s">
        <v>27</v>
      </c>
      <c r="B500" s="547">
        <f t="shared" si="27"/>
        <v>1774</v>
      </c>
      <c r="C500" s="565">
        <v>220</v>
      </c>
      <c r="D500" s="565">
        <v>86</v>
      </c>
      <c r="E500" s="565">
        <v>91</v>
      </c>
      <c r="F500" s="565">
        <v>131</v>
      </c>
      <c r="G500" s="565">
        <v>178</v>
      </c>
      <c r="H500" s="565">
        <v>60</v>
      </c>
      <c r="I500" s="565">
        <v>1008</v>
      </c>
    </row>
    <row r="501" spans="1:9" s="739" customFormat="1" ht="9" customHeight="1" x14ac:dyDescent="0.25">
      <c r="A501" s="570" t="s">
        <v>28</v>
      </c>
      <c r="B501" s="547">
        <f t="shared" si="27"/>
        <v>474</v>
      </c>
      <c r="C501" s="565">
        <v>44</v>
      </c>
      <c r="D501" s="565">
        <v>23</v>
      </c>
      <c r="E501" s="565">
        <v>37</v>
      </c>
      <c r="F501" s="565">
        <v>44</v>
      </c>
      <c r="G501" s="565">
        <v>41</v>
      </c>
      <c r="H501" s="565">
        <v>22</v>
      </c>
      <c r="I501" s="565">
        <v>263</v>
      </c>
    </row>
    <row r="502" spans="1:9" s="739" customFormat="1" ht="9" customHeight="1" x14ac:dyDescent="0.25">
      <c r="A502" s="570" t="s">
        <v>29</v>
      </c>
      <c r="B502" s="547">
        <f t="shared" si="27"/>
        <v>2617</v>
      </c>
      <c r="C502" s="565">
        <v>167</v>
      </c>
      <c r="D502" s="565">
        <v>334</v>
      </c>
      <c r="E502" s="565">
        <v>217</v>
      </c>
      <c r="F502" s="565">
        <v>206</v>
      </c>
      <c r="G502" s="565">
        <v>139</v>
      </c>
      <c r="H502" s="565">
        <v>198</v>
      </c>
      <c r="I502" s="565">
        <v>1356</v>
      </c>
    </row>
    <row r="503" spans="1:9" s="739" customFormat="1" ht="9" customHeight="1" x14ac:dyDescent="0.25">
      <c r="A503" s="571" t="s">
        <v>30</v>
      </c>
      <c r="B503" s="549">
        <f t="shared" si="27"/>
        <v>2550</v>
      </c>
      <c r="C503" s="568">
        <v>371</v>
      </c>
      <c r="D503" s="568">
        <v>157</v>
      </c>
      <c r="E503" s="568">
        <v>112</v>
      </c>
      <c r="F503" s="568">
        <v>200</v>
      </c>
      <c r="G503" s="568">
        <v>233</v>
      </c>
      <c r="H503" s="568">
        <v>120</v>
      </c>
      <c r="I503" s="568">
        <v>1357</v>
      </c>
    </row>
    <row r="504" spans="1:9" s="739" customFormat="1" ht="9" customHeight="1" x14ac:dyDescent="0.25">
      <c r="A504" s="570" t="s">
        <v>63</v>
      </c>
      <c r="B504" s="547">
        <f t="shared" si="27"/>
        <v>7527</v>
      </c>
      <c r="C504" s="565">
        <v>659</v>
      </c>
      <c r="D504" s="565">
        <v>578</v>
      </c>
      <c r="E504" s="565">
        <v>316</v>
      </c>
      <c r="F504" s="565">
        <v>554</v>
      </c>
      <c r="G504" s="565">
        <v>683</v>
      </c>
      <c r="H504" s="565">
        <v>366</v>
      </c>
      <c r="I504" s="565">
        <v>4371</v>
      </c>
    </row>
    <row r="505" spans="1:9" s="739" customFormat="1" ht="9" customHeight="1" x14ac:dyDescent="0.25">
      <c r="A505" s="570" t="s">
        <v>31</v>
      </c>
      <c r="B505" s="547">
        <f t="shared" si="27"/>
        <v>972</v>
      </c>
      <c r="C505" s="565">
        <v>117</v>
      </c>
      <c r="D505" s="565">
        <v>74</v>
      </c>
      <c r="E505" s="565">
        <v>44</v>
      </c>
      <c r="F505" s="565">
        <v>78</v>
      </c>
      <c r="G505" s="565">
        <v>65</v>
      </c>
      <c r="H505" s="565">
        <v>59</v>
      </c>
      <c r="I505" s="565">
        <v>535</v>
      </c>
    </row>
    <row r="506" spans="1:9" s="739" customFormat="1" ht="9" customHeight="1" x14ac:dyDescent="0.25">
      <c r="A506" s="570" t="s">
        <v>32</v>
      </c>
      <c r="B506" s="547">
        <f t="shared" si="27"/>
        <v>3111</v>
      </c>
      <c r="C506" s="565">
        <v>308</v>
      </c>
      <c r="D506" s="565">
        <v>242</v>
      </c>
      <c r="E506" s="565">
        <v>174</v>
      </c>
      <c r="F506" s="565">
        <v>247</v>
      </c>
      <c r="G506" s="565">
        <v>242</v>
      </c>
      <c r="H506" s="565">
        <v>206</v>
      </c>
      <c r="I506" s="565">
        <v>1692</v>
      </c>
    </row>
    <row r="507" spans="1:9" s="739" customFormat="1" ht="9" customHeight="1" x14ac:dyDescent="0.25">
      <c r="A507" s="571" t="s">
        <v>33</v>
      </c>
      <c r="B507" s="549">
        <f t="shared" si="27"/>
        <v>1771</v>
      </c>
      <c r="C507" s="568">
        <v>145</v>
      </c>
      <c r="D507" s="568">
        <v>224</v>
      </c>
      <c r="E507" s="568">
        <v>138</v>
      </c>
      <c r="F507" s="568">
        <v>169</v>
      </c>
      <c r="G507" s="568">
        <v>93</v>
      </c>
      <c r="H507" s="568">
        <v>116</v>
      </c>
      <c r="I507" s="568">
        <v>886</v>
      </c>
    </row>
    <row r="508" spans="1:9" s="739" customFormat="1" ht="9" customHeight="1" x14ac:dyDescent="0.25">
      <c r="A508" s="570" t="s">
        <v>34</v>
      </c>
      <c r="B508" s="547">
        <f t="shared" si="27"/>
        <v>1500</v>
      </c>
      <c r="C508" s="565">
        <v>80</v>
      </c>
      <c r="D508" s="565">
        <v>140</v>
      </c>
      <c r="E508" s="565">
        <v>66</v>
      </c>
      <c r="F508" s="565">
        <v>112</v>
      </c>
      <c r="G508" s="565">
        <v>101</v>
      </c>
      <c r="H508" s="565">
        <v>80</v>
      </c>
      <c r="I508" s="565">
        <v>921</v>
      </c>
    </row>
    <row r="509" spans="1:9" s="739" customFormat="1" ht="9" customHeight="1" x14ac:dyDescent="0.25">
      <c r="A509" s="570" t="s">
        <v>35</v>
      </c>
      <c r="B509" s="547">
        <f t="shared" si="27"/>
        <v>5053</v>
      </c>
      <c r="C509" s="565">
        <v>574</v>
      </c>
      <c r="D509" s="565">
        <v>299</v>
      </c>
      <c r="E509" s="565">
        <v>211</v>
      </c>
      <c r="F509" s="565">
        <v>529</v>
      </c>
      <c r="G509" s="565">
        <v>456</v>
      </c>
      <c r="H509" s="565">
        <v>274</v>
      </c>
      <c r="I509" s="565">
        <v>2710</v>
      </c>
    </row>
    <row r="510" spans="1:9" s="739" customFormat="1" ht="9" customHeight="1" x14ac:dyDescent="0.25">
      <c r="A510" s="570" t="s">
        <v>36</v>
      </c>
      <c r="B510" s="547">
        <f t="shared" si="27"/>
        <v>7924</v>
      </c>
      <c r="C510" s="565">
        <v>594</v>
      </c>
      <c r="D510" s="565">
        <v>623</v>
      </c>
      <c r="E510" s="565">
        <v>422</v>
      </c>
      <c r="F510" s="565">
        <v>538</v>
      </c>
      <c r="G510" s="565">
        <v>620</v>
      </c>
      <c r="H510" s="565">
        <v>460</v>
      </c>
      <c r="I510" s="565">
        <v>4667</v>
      </c>
    </row>
    <row r="511" spans="1:9" s="739" customFormat="1" ht="9" customHeight="1" x14ac:dyDescent="0.25">
      <c r="A511" s="571" t="s">
        <v>37</v>
      </c>
      <c r="B511" s="549">
        <f t="shared" si="27"/>
        <v>2823</v>
      </c>
      <c r="C511" s="568">
        <v>268</v>
      </c>
      <c r="D511" s="568">
        <v>205</v>
      </c>
      <c r="E511" s="568">
        <v>146</v>
      </c>
      <c r="F511" s="568">
        <v>289</v>
      </c>
      <c r="G511" s="568">
        <v>181</v>
      </c>
      <c r="H511" s="568">
        <v>155</v>
      </c>
      <c r="I511" s="568">
        <v>1579</v>
      </c>
    </row>
    <row r="512" spans="1:9" s="739" customFormat="1" ht="9" customHeight="1" x14ac:dyDescent="0.25">
      <c r="A512" s="570" t="s">
        <v>38</v>
      </c>
      <c r="B512" s="547">
        <f t="shared" si="27"/>
        <v>1223</v>
      </c>
      <c r="C512" s="565">
        <v>92</v>
      </c>
      <c r="D512" s="565">
        <v>110</v>
      </c>
      <c r="E512" s="565">
        <v>83</v>
      </c>
      <c r="F512" s="565">
        <v>90</v>
      </c>
      <c r="G512" s="565">
        <v>90</v>
      </c>
      <c r="H512" s="565">
        <v>78</v>
      </c>
      <c r="I512" s="565">
        <v>680</v>
      </c>
    </row>
    <row r="513" spans="1:9" s="739" customFormat="1" ht="9" customHeight="1" x14ac:dyDescent="0.25">
      <c r="A513" s="570" t="s">
        <v>39</v>
      </c>
      <c r="B513" s="547">
        <f t="shared" si="27"/>
        <v>799</v>
      </c>
      <c r="C513" s="565">
        <v>85</v>
      </c>
      <c r="D513" s="565">
        <v>60</v>
      </c>
      <c r="E513" s="565">
        <v>43</v>
      </c>
      <c r="F513" s="565">
        <v>88</v>
      </c>
      <c r="G513" s="565">
        <v>44</v>
      </c>
      <c r="H513" s="565">
        <v>46</v>
      </c>
      <c r="I513" s="565">
        <v>433</v>
      </c>
    </row>
    <row r="514" spans="1:9" s="739" customFormat="1" ht="9" customHeight="1" x14ac:dyDescent="0.25">
      <c r="A514" s="570" t="s">
        <v>40</v>
      </c>
      <c r="B514" s="547">
        <f t="shared" si="27"/>
        <v>3286</v>
      </c>
      <c r="C514" s="565">
        <v>379</v>
      </c>
      <c r="D514" s="565">
        <v>152</v>
      </c>
      <c r="E514" s="565">
        <v>121</v>
      </c>
      <c r="F514" s="565">
        <v>243</v>
      </c>
      <c r="G514" s="565">
        <v>274</v>
      </c>
      <c r="H514" s="565">
        <v>164</v>
      </c>
      <c r="I514" s="565">
        <v>1953</v>
      </c>
    </row>
    <row r="515" spans="1:9" s="739" customFormat="1" ht="9" customHeight="1" x14ac:dyDescent="0.25">
      <c r="A515" s="571" t="s">
        <v>41</v>
      </c>
      <c r="B515" s="549">
        <f t="shared" si="27"/>
        <v>2259</v>
      </c>
      <c r="C515" s="568">
        <v>126</v>
      </c>
      <c r="D515" s="568">
        <v>255</v>
      </c>
      <c r="E515" s="568">
        <v>172</v>
      </c>
      <c r="F515" s="568">
        <v>161</v>
      </c>
      <c r="G515" s="568">
        <v>88</v>
      </c>
      <c r="H515" s="568">
        <v>147</v>
      </c>
      <c r="I515" s="568">
        <v>1310</v>
      </c>
    </row>
    <row r="516" spans="1:9" s="739" customFormat="1" ht="9" customHeight="1" x14ac:dyDescent="0.25">
      <c r="A516" s="570" t="s">
        <v>42</v>
      </c>
      <c r="B516" s="547">
        <f t="shared" si="27"/>
        <v>3087</v>
      </c>
      <c r="C516" s="565">
        <v>166</v>
      </c>
      <c r="D516" s="565">
        <v>303</v>
      </c>
      <c r="E516" s="565">
        <v>212</v>
      </c>
      <c r="F516" s="565">
        <v>216</v>
      </c>
      <c r="G516" s="565">
        <v>181</v>
      </c>
      <c r="H516" s="565">
        <v>202</v>
      </c>
      <c r="I516" s="565">
        <v>1807</v>
      </c>
    </row>
    <row r="517" spans="1:9" s="739" customFormat="1" ht="9" customHeight="1" x14ac:dyDescent="0.25">
      <c r="A517" s="570" t="s">
        <v>43</v>
      </c>
      <c r="B517" s="547">
        <f t="shared" si="27"/>
        <v>950</v>
      </c>
      <c r="C517" s="565">
        <v>86</v>
      </c>
      <c r="D517" s="565">
        <v>70</v>
      </c>
      <c r="E517" s="565">
        <v>56</v>
      </c>
      <c r="F517" s="565">
        <v>66</v>
      </c>
      <c r="G517" s="565">
        <v>72</v>
      </c>
      <c r="H517" s="565">
        <v>60</v>
      </c>
      <c r="I517" s="565">
        <v>540</v>
      </c>
    </row>
    <row r="518" spans="1:9" s="739" customFormat="1" ht="9" customHeight="1" x14ac:dyDescent="0.25">
      <c r="A518" s="570" t="s">
        <v>44</v>
      </c>
      <c r="B518" s="547">
        <f t="shared" si="27"/>
        <v>509</v>
      </c>
      <c r="C518" s="565">
        <v>39</v>
      </c>
      <c r="D518" s="565">
        <v>44</v>
      </c>
      <c r="E518" s="565">
        <v>45</v>
      </c>
      <c r="F518" s="565">
        <v>31</v>
      </c>
      <c r="G518" s="565">
        <v>25</v>
      </c>
      <c r="H518" s="565">
        <v>41</v>
      </c>
      <c r="I518" s="565">
        <v>284</v>
      </c>
    </row>
    <row r="519" spans="1:9" s="739" customFormat="1" ht="9" customHeight="1" x14ac:dyDescent="0.25">
      <c r="A519" s="571" t="s">
        <v>45</v>
      </c>
      <c r="B519" s="549">
        <f t="shared" si="27"/>
        <v>1695</v>
      </c>
      <c r="C519" s="568">
        <v>156</v>
      </c>
      <c r="D519" s="568">
        <v>113</v>
      </c>
      <c r="E519" s="568">
        <v>108</v>
      </c>
      <c r="F519" s="568">
        <v>142</v>
      </c>
      <c r="G519" s="568">
        <v>114</v>
      </c>
      <c r="H519" s="568">
        <v>96</v>
      </c>
      <c r="I519" s="568">
        <v>966</v>
      </c>
    </row>
    <row r="520" spans="1:9" s="739" customFormat="1" ht="9" customHeight="1" x14ac:dyDescent="0.25">
      <c r="A520" s="570" t="s">
        <v>46</v>
      </c>
      <c r="B520" s="547">
        <f t="shared" si="27"/>
        <v>1994</v>
      </c>
      <c r="C520" s="565">
        <v>338</v>
      </c>
      <c r="D520" s="565">
        <v>140</v>
      </c>
      <c r="E520" s="565">
        <v>91</v>
      </c>
      <c r="F520" s="565">
        <v>187</v>
      </c>
      <c r="G520" s="565">
        <v>120</v>
      </c>
      <c r="H520" s="565">
        <v>106</v>
      </c>
      <c r="I520" s="565">
        <v>1012</v>
      </c>
    </row>
    <row r="521" spans="1:9" s="739" customFormat="1" ht="9" customHeight="1" x14ac:dyDescent="0.25">
      <c r="A521" s="570" t="s">
        <v>47</v>
      </c>
      <c r="B521" s="547">
        <f t="shared" si="27"/>
        <v>2126</v>
      </c>
      <c r="C521" s="565">
        <v>300</v>
      </c>
      <c r="D521" s="565">
        <v>173</v>
      </c>
      <c r="E521" s="565">
        <v>109</v>
      </c>
      <c r="F521" s="565">
        <v>187</v>
      </c>
      <c r="G521" s="565">
        <v>147</v>
      </c>
      <c r="H521" s="565">
        <v>104</v>
      </c>
      <c r="I521" s="565">
        <v>1106</v>
      </c>
    </row>
    <row r="522" spans="1:9" s="739" customFormat="1" ht="9" customHeight="1" x14ac:dyDescent="0.25">
      <c r="A522" s="570" t="s">
        <v>48</v>
      </c>
      <c r="B522" s="547">
        <f t="shared" si="27"/>
        <v>1273</v>
      </c>
      <c r="C522" s="565">
        <v>101</v>
      </c>
      <c r="D522" s="565">
        <v>119</v>
      </c>
      <c r="E522" s="565">
        <v>70</v>
      </c>
      <c r="F522" s="565">
        <v>105</v>
      </c>
      <c r="G522" s="565">
        <v>70</v>
      </c>
      <c r="H522" s="565">
        <v>89</v>
      </c>
      <c r="I522" s="565">
        <v>719</v>
      </c>
    </row>
    <row r="523" spans="1:9" s="739" customFormat="1" ht="9" customHeight="1" x14ac:dyDescent="0.25">
      <c r="A523" s="571" t="s">
        <v>49</v>
      </c>
      <c r="B523" s="549">
        <f t="shared" si="27"/>
        <v>2256</v>
      </c>
      <c r="C523" s="568">
        <v>289</v>
      </c>
      <c r="D523" s="568">
        <v>135</v>
      </c>
      <c r="E523" s="568">
        <v>126</v>
      </c>
      <c r="F523" s="568">
        <v>158</v>
      </c>
      <c r="G523" s="568">
        <v>178</v>
      </c>
      <c r="H523" s="568">
        <v>114</v>
      </c>
      <c r="I523" s="568">
        <v>1256</v>
      </c>
    </row>
    <row r="524" spans="1:9" s="739" customFormat="1" ht="9" customHeight="1" x14ac:dyDescent="0.25">
      <c r="A524" s="570" t="s">
        <v>50</v>
      </c>
      <c r="B524" s="547">
        <f t="shared" si="27"/>
        <v>584</v>
      </c>
      <c r="C524" s="565">
        <v>31</v>
      </c>
      <c r="D524" s="565">
        <v>49</v>
      </c>
      <c r="E524" s="565">
        <v>35</v>
      </c>
      <c r="F524" s="565">
        <v>37</v>
      </c>
      <c r="G524" s="565">
        <v>33</v>
      </c>
      <c r="H524" s="565">
        <v>47</v>
      </c>
      <c r="I524" s="565">
        <v>352</v>
      </c>
    </row>
    <row r="525" spans="1:9" s="739" customFormat="1" ht="9" customHeight="1" x14ac:dyDescent="0.25">
      <c r="A525" s="570" t="s">
        <v>51</v>
      </c>
      <c r="B525" s="547">
        <f t="shared" si="27"/>
        <v>5488</v>
      </c>
      <c r="C525" s="565">
        <v>412</v>
      </c>
      <c r="D525" s="565">
        <v>443</v>
      </c>
      <c r="E525" s="565">
        <v>391</v>
      </c>
      <c r="F525" s="565">
        <v>430</v>
      </c>
      <c r="G525" s="565">
        <v>332</v>
      </c>
      <c r="H525" s="565">
        <v>287</v>
      </c>
      <c r="I525" s="565">
        <v>3193</v>
      </c>
    </row>
    <row r="526" spans="1:9" s="739" customFormat="1" ht="9" customHeight="1" x14ac:dyDescent="0.25">
      <c r="A526" s="570" t="s">
        <v>52</v>
      </c>
      <c r="B526" s="547">
        <f t="shared" si="27"/>
        <v>1287</v>
      </c>
      <c r="C526" s="565">
        <v>83</v>
      </c>
      <c r="D526" s="565">
        <v>118</v>
      </c>
      <c r="E526" s="565">
        <v>85</v>
      </c>
      <c r="F526" s="565">
        <v>75</v>
      </c>
      <c r="G526" s="565">
        <v>74</v>
      </c>
      <c r="H526" s="565">
        <v>90</v>
      </c>
      <c r="I526" s="565">
        <v>762</v>
      </c>
    </row>
    <row r="527" spans="1:9" s="739" customFormat="1" ht="9" customHeight="1" x14ac:dyDescent="0.25">
      <c r="A527" s="571" t="s">
        <v>53</v>
      </c>
      <c r="B527" s="549">
        <f t="shared" si="27"/>
        <v>947</v>
      </c>
      <c r="C527" s="568">
        <v>113</v>
      </c>
      <c r="D527" s="568">
        <v>69</v>
      </c>
      <c r="E527" s="568">
        <v>38</v>
      </c>
      <c r="F527" s="568">
        <v>89</v>
      </c>
      <c r="G527" s="568">
        <v>53</v>
      </c>
      <c r="H527" s="568">
        <v>58</v>
      </c>
      <c r="I527" s="568">
        <v>527</v>
      </c>
    </row>
    <row r="528" spans="1:9" s="739" customFormat="1" ht="9" customHeight="1" x14ac:dyDescent="0.25">
      <c r="A528" s="570" t="s">
        <v>434</v>
      </c>
      <c r="B528" s="547">
        <f t="shared" si="27"/>
        <v>120</v>
      </c>
      <c r="C528" s="565">
        <v>13</v>
      </c>
      <c r="D528" s="565">
        <v>5</v>
      </c>
      <c r="E528" s="565">
        <v>1</v>
      </c>
      <c r="F528" s="565">
        <v>7</v>
      </c>
      <c r="G528" s="565">
        <v>9</v>
      </c>
      <c r="H528" s="565">
        <v>6</v>
      </c>
      <c r="I528" s="565">
        <v>79</v>
      </c>
    </row>
    <row r="529" spans="1:9" s="739" customFormat="1" ht="9" customHeight="1" x14ac:dyDescent="0.25">
      <c r="A529" s="737"/>
      <c r="B529" s="738"/>
      <c r="C529" s="738"/>
      <c r="D529" s="738"/>
      <c r="E529" s="738"/>
      <c r="F529" s="738"/>
      <c r="G529" s="738"/>
      <c r="H529" s="738"/>
      <c r="I529" s="738"/>
    </row>
    <row r="530" spans="1:9" s="739" customFormat="1" ht="9" customHeight="1" x14ac:dyDescent="0.25">
      <c r="A530" s="740">
        <v>2012</v>
      </c>
      <c r="B530" s="741"/>
      <c r="C530" s="742"/>
      <c r="D530" s="742"/>
      <c r="E530" s="742"/>
      <c r="F530" s="742"/>
      <c r="G530" s="742"/>
      <c r="H530" s="570"/>
      <c r="I530" s="565"/>
    </row>
    <row r="531" spans="1:9" s="739" customFormat="1" ht="9" customHeight="1" x14ac:dyDescent="0.25">
      <c r="A531" s="743" t="s">
        <v>13</v>
      </c>
      <c r="B531" s="572">
        <f t="shared" ref="B531:I531" si="28">SUM(B533:B565)</f>
        <v>73240</v>
      </c>
      <c r="C531" s="572">
        <f t="shared" si="28"/>
        <v>6400</v>
      </c>
      <c r="D531" s="572">
        <f t="shared" si="28"/>
        <v>5578</v>
      </c>
      <c r="E531" s="572">
        <f t="shared" si="28"/>
        <v>3840</v>
      </c>
      <c r="F531" s="572">
        <f t="shared" si="28"/>
        <v>5911</v>
      </c>
      <c r="G531" s="572">
        <f t="shared" si="28"/>
        <v>5613</v>
      </c>
      <c r="H531" s="572">
        <f t="shared" si="28"/>
        <v>4162</v>
      </c>
      <c r="I531" s="572">
        <f t="shared" si="28"/>
        <v>41736</v>
      </c>
    </row>
    <row r="532" spans="1:9" s="739" customFormat="1" ht="3.95" customHeight="1" x14ac:dyDescent="0.25">
      <c r="A532" s="743"/>
      <c r="B532" s="572"/>
      <c r="C532" s="572"/>
      <c r="D532" s="572"/>
      <c r="E532" s="572"/>
      <c r="F532" s="572"/>
      <c r="G532" s="572"/>
      <c r="H532" s="572"/>
      <c r="I532" s="572"/>
    </row>
    <row r="533" spans="1:9" s="739" customFormat="1" ht="9" customHeight="1" x14ac:dyDescent="0.25">
      <c r="A533" s="570" t="s">
        <v>23</v>
      </c>
      <c r="B533" s="547">
        <f t="shared" ref="B533:B565" si="29">SUM(C533:I533)</f>
        <v>745</v>
      </c>
      <c r="C533" s="565">
        <v>84</v>
      </c>
      <c r="D533" s="565">
        <v>41</v>
      </c>
      <c r="E533" s="565">
        <v>41</v>
      </c>
      <c r="F533" s="565">
        <v>77</v>
      </c>
      <c r="G533" s="565">
        <v>69</v>
      </c>
      <c r="H533" s="565">
        <v>39</v>
      </c>
      <c r="I533" s="565">
        <v>394</v>
      </c>
    </row>
    <row r="534" spans="1:9" s="739" customFormat="1" ht="9" customHeight="1" x14ac:dyDescent="0.25">
      <c r="A534" s="570" t="s">
        <v>24</v>
      </c>
      <c r="B534" s="547">
        <f t="shared" si="29"/>
        <v>1910</v>
      </c>
      <c r="C534" s="565">
        <v>218</v>
      </c>
      <c r="D534" s="565">
        <v>123</v>
      </c>
      <c r="E534" s="565">
        <v>89</v>
      </c>
      <c r="F534" s="565">
        <v>113</v>
      </c>
      <c r="G534" s="565">
        <v>180</v>
      </c>
      <c r="H534" s="565">
        <v>101</v>
      </c>
      <c r="I534" s="565">
        <v>1086</v>
      </c>
    </row>
    <row r="535" spans="1:9" s="739" customFormat="1" ht="9" customHeight="1" x14ac:dyDescent="0.25">
      <c r="A535" s="570" t="s">
        <v>25</v>
      </c>
      <c r="B535" s="547">
        <f t="shared" si="29"/>
        <v>420</v>
      </c>
      <c r="C535" s="565">
        <v>54</v>
      </c>
      <c r="D535" s="565">
        <v>35</v>
      </c>
      <c r="E535" s="565">
        <v>13</v>
      </c>
      <c r="F535" s="565">
        <v>26</v>
      </c>
      <c r="G535" s="565">
        <v>36</v>
      </c>
      <c r="H535" s="565">
        <v>27</v>
      </c>
      <c r="I535" s="565">
        <v>229</v>
      </c>
    </row>
    <row r="536" spans="1:9" s="739" customFormat="1" ht="9" customHeight="1" x14ac:dyDescent="0.25">
      <c r="A536" s="571" t="s">
        <v>26</v>
      </c>
      <c r="B536" s="549">
        <f t="shared" si="29"/>
        <v>488</v>
      </c>
      <c r="C536" s="568">
        <v>39</v>
      </c>
      <c r="D536" s="568">
        <v>52</v>
      </c>
      <c r="E536" s="568">
        <v>31</v>
      </c>
      <c r="F536" s="568">
        <v>43</v>
      </c>
      <c r="G536" s="568">
        <v>21</v>
      </c>
      <c r="H536" s="568">
        <v>43</v>
      </c>
      <c r="I536" s="568">
        <v>259</v>
      </c>
    </row>
    <row r="537" spans="1:9" s="739" customFormat="1" ht="9" customHeight="1" x14ac:dyDescent="0.25">
      <c r="A537" s="570" t="s">
        <v>27</v>
      </c>
      <c r="B537" s="547">
        <f t="shared" si="29"/>
        <v>1882</v>
      </c>
      <c r="C537" s="565">
        <v>209</v>
      </c>
      <c r="D537" s="565">
        <v>104</v>
      </c>
      <c r="E537" s="565">
        <v>103</v>
      </c>
      <c r="F537" s="565">
        <v>126</v>
      </c>
      <c r="G537" s="565">
        <v>187</v>
      </c>
      <c r="H537" s="565">
        <v>86</v>
      </c>
      <c r="I537" s="565">
        <v>1067</v>
      </c>
    </row>
    <row r="538" spans="1:9" s="739" customFormat="1" ht="9" customHeight="1" x14ac:dyDescent="0.25">
      <c r="A538" s="570" t="s">
        <v>28</v>
      </c>
      <c r="B538" s="547">
        <f t="shared" si="29"/>
        <v>520</v>
      </c>
      <c r="C538" s="565">
        <v>45</v>
      </c>
      <c r="D538" s="565">
        <v>34</v>
      </c>
      <c r="E538" s="565">
        <v>46</v>
      </c>
      <c r="F538" s="565">
        <v>45</v>
      </c>
      <c r="G538" s="565">
        <v>44</v>
      </c>
      <c r="H538" s="565">
        <v>22</v>
      </c>
      <c r="I538" s="565">
        <v>284</v>
      </c>
    </row>
    <row r="539" spans="1:9" s="739" customFormat="1" ht="9" customHeight="1" x14ac:dyDescent="0.25">
      <c r="A539" s="570" t="s">
        <v>29</v>
      </c>
      <c r="B539" s="547">
        <f t="shared" si="29"/>
        <v>2675</v>
      </c>
      <c r="C539" s="565">
        <v>151</v>
      </c>
      <c r="D539" s="565">
        <v>329</v>
      </c>
      <c r="E539" s="565">
        <v>195</v>
      </c>
      <c r="F539" s="565">
        <v>256</v>
      </c>
      <c r="G539" s="565">
        <v>150</v>
      </c>
      <c r="H539" s="565">
        <v>190</v>
      </c>
      <c r="I539" s="565">
        <v>1404</v>
      </c>
    </row>
    <row r="540" spans="1:9" s="739" customFormat="1" ht="9" customHeight="1" x14ac:dyDescent="0.25">
      <c r="A540" s="571" t="s">
        <v>30</v>
      </c>
      <c r="B540" s="549">
        <f t="shared" si="29"/>
        <v>2509</v>
      </c>
      <c r="C540" s="568">
        <v>322</v>
      </c>
      <c r="D540" s="568">
        <v>147</v>
      </c>
      <c r="E540" s="568">
        <v>115</v>
      </c>
      <c r="F540" s="568">
        <v>178</v>
      </c>
      <c r="G540" s="568">
        <v>207</v>
      </c>
      <c r="H540" s="568">
        <v>122</v>
      </c>
      <c r="I540" s="568">
        <v>1418</v>
      </c>
    </row>
    <row r="541" spans="1:9" s="739" customFormat="1" ht="9" customHeight="1" x14ac:dyDescent="0.25">
      <c r="A541" s="570" t="s">
        <v>63</v>
      </c>
      <c r="B541" s="547">
        <f t="shared" si="29"/>
        <v>7503</v>
      </c>
      <c r="C541" s="565">
        <v>601</v>
      </c>
      <c r="D541" s="565">
        <v>569</v>
      </c>
      <c r="E541" s="565">
        <v>322</v>
      </c>
      <c r="F541" s="565">
        <v>537</v>
      </c>
      <c r="G541" s="565">
        <v>668</v>
      </c>
      <c r="H541" s="565">
        <v>371</v>
      </c>
      <c r="I541" s="565">
        <v>4435</v>
      </c>
    </row>
    <row r="542" spans="1:9" s="739" customFormat="1" ht="9" customHeight="1" x14ac:dyDescent="0.25">
      <c r="A542" s="570" t="s">
        <v>31</v>
      </c>
      <c r="B542" s="547">
        <f t="shared" si="29"/>
        <v>960</v>
      </c>
      <c r="C542" s="565">
        <v>119</v>
      </c>
      <c r="D542" s="565">
        <v>53</v>
      </c>
      <c r="E542" s="565">
        <v>37</v>
      </c>
      <c r="F542" s="565">
        <v>98</v>
      </c>
      <c r="G542" s="565">
        <v>84</v>
      </c>
      <c r="H542" s="565">
        <v>55</v>
      </c>
      <c r="I542" s="565">
        <v>514</v>
      </c>
    </row>
    <row r="543" spans="1:9" s="739" customFormat="1" ht="9" customHeight="1" x14ac:dyDescent="0.25">
      <c r="A543" s="570" t="s">
        <v>32</v>
      </c>
      <c r="B543" s="547">
        <f t="shared" si="29"/>
        <v>3103</v>
      </c>
      <c r="C543" s="565">
        <v>295</v>
      </c>
      <c r="D543" s="565">
        <v>239</v>
      </c>
      <c r="E543" s="565">
        <v>137</v>
      </c>
      <c r="F543" s="565">
        <v>270</v>
      </c>
      <c r="G543" s="565">
        <v>252</v>
      </c>
      <c r="H543" s="565">
        <v>190</v>
      </c>
      <c r="I543" s="565">
        <v>1720</v>
      </c>
    </row>
    <row r="544" spans="1:9" s="739" customFormat="1" ht="9" customHeight="1" x14ac:dyDescent="0.25">
      <c r="A544" s="571" t="s">
        <v>33</v>
      </c>
      <c r="B544" s="549">
        <f t="shared" si="29"/>
        <v>1835</v>
      </c>
      <c r="C544" s="568">
        <v>151</v>
      </c>
      <c r="D544" s="568">
        <v>221</v>
      </c>
      <c r="E544" s="568">
        <v>122</v>
      </c>
      <c r="F544" s="568">
        <v>155</v>
      </c>
      <c r="G544" s="568">
        <v>101</v>
      </c>
      <c r="H544" s="568">
        <v>113</v>
      </c>
      <c r="I544" s="568">
        <v>972</v>
      </c>
    </row>
    <row r="545" spans="1:9" s="739" customFormat="1" ht="9" customHeight="1" x14ac:dyDescent="0.25">
      <c r="A545" s="570" t="s">
        <v>34</v>
      </c>
      <c r="B545" s="547">
        <f t="shared" si="29"/>
        <v>1635</v>
      </c>
      <c r="C545" s="565">
        <v>84</v>
      </c>
      <c r="D545" s="565">
        <v>124</v>
      </c>
      <c r="E545" s="565">
        <v>61</v>
      </c>
      <c r="F545" s="565">
        <v>111</v>
      </c>
      <c r="G545" s="565">
        <v>108</v>
      </c>
      <c r="H545" s="565">
        <v>98</v>
      </c>
      <c r="I545" s="565">
        <v>1049</v>
      </c>
    </row>
    <row r="546" spans="1:9" s="739" customFormat="1" ht="9" customHeight="1" x14ac:dyDescent="0.25">
      <c r="A546" s="570" t="s">
        <v>35</v>
      </c>
      <c r="B546" s="547">
        <f t="shared" si="29"/>
        <v>5110</v>
      </c>
      <c r="C546" s="565">
        <v>493</v>
      </c>
      <c r="D546" s="565">
        <v>287</v>
      </c>
      <c r="E546" s="565">
        <v>221</v>
      </c>
      <c r="F546" s="565">
        <v>518</v>
      </c>
      <c r="G546" s="565">
        <v>469</v>
      </c>
      <c r="H546" s="565">
        <v>272</v>
      </c>
      <c r="I546" s="565">
        <v>2850</v>
      </c>
    </row>
    <row r="547" spans="1:9" s="739" customFormat="1" ht="9" customHeight="1" x14ac:dyDescent="0.25">
      <c r="A547" s="570" t="s">
        <v>36</v>
      </c>
      <c r="B547" s="547">
        <f t="shared" si="29"/>
        <v>8178</v>
      </c>
      <c r="C547" s="565">
        <v>560</v>
      </c>
      <c r="D547" s="565">
        <v>644</v>
      </c>
      <c r="E547" s="565">
        <v>486</v>
      </c>
      <c r="F547" s="565">
        <v>533</v>
      </c>
      <c r="G547" s="565">
        <v>656</v>
      </c>
      <c r="H547" s="565">
        <v>474</v>
      </c>
      <c r="I547" s="565">
        <v>4825</v>
      </c>
    </row>
    <row r="548" spans="1:9" s="739" customFormat="1" ht="9" customHeight="1" x14ac:dyDescent="0.25">
      <c r="A548" s="571" t="s">
        <v>37</v>
      </c>
      <c r="B548" s="549">
        <f t="shared" si="29"/>
        <v>3023</v>
      </c>
      <c r="C548" s="568">
        <v>282</v>
      </c>
      <c r="D548" s="568">
        <v>224</v>
      </c>
      <c r="E548" s="568">
        <v>178</v>
      </c>
      <c r="F548" s="568">
        <v>307</v>
      </c>
      <c r="G548" s="568">
        <v>207</v>
      </c>
      <c r="H548" s="568">
        <v>182</v>
      </c>
      <c r="I548" s="568">
        <v>1643</v>
      </c>
    </row>
    <row r="549" spans="1:9" s="739" customFormat="1" ht="9" customHeight="1" x14ac:dyDescent="0.25">
      <c r="A549" s="570" t="s">
        <v>38</v>
      </c>
      <c r="B549" s="547">
        <f t="shared" si="29"/>
        <v>1295</v>
      </c>
      <c r="C549" s="565">
        <v>112</v>
      </c>
      <c r="D549" s="565">
        <v>112</v>
      </c>
      <c r="E549" s="565">
        <v>86</v>
      </c>
      <c r="F549" s="565">
        <v>102</v>
      </c>
      <c r="G549" s="565">
        <v>105</v>
      </c>
      <c r="H549" s="565">
        <v>76</v>
      </c>
      <c r="I549" s="565">
        <v>702</v>
      </c>
    </row>
    <row r="550" spans="1:9" s="739" customFormat="1" ht="9" customHeight="1" x14ac:dyDescent="0.25">
      <c r="A550" s="570" t="s">
        <v>39</v>
      </c>
      <c r="B550" s="547">
        <f t="shared" si="29"/>
        <v>772</v>
      </c>
      <c r="C550" s="565">
        <v>89</v>
      </c>
      <c r="D550" s="565">
        <v>44</v>
      </c>
      <c r="E550" s="565">
        <v>33</v>
      </c>
      <c r="F550" s="565">
        <v>102</v>
      </c>
      <c r="G550" s="565">
        <v>50</v>
      </c>
      <c r="H550" s="565">
        <v>38</v>
      </c>
      <c r="I550" s="565">
        <v>416</v>
      </c>
    </row>
    <row r="551" spans="1:9" s="739" customFormat="1" ht="9" customHeight="1" x14ac:dyDescent="0.25">
      <c r="A551" s="570" t="s">
        <v>40</v>
      </c>
      <c r="B551" s="547">
        <f t="shared" si="29"/>
        <v>3351</v>
      </c>
      <c r="C551" s="565">
        <v>363</v>
      </c>
      <c r="D551" s="565">
        <v>167</v>
      </c>
      <c r="E551" s="565">
        <v>115</v>
      </c>
      <c r="F551" s="565">
        <v>233</v>
      </c>
      <c r="G551" s="565">
        <v>302</v>
      </c>
      <c r="H551" s="565">
        <v>178</v>
      </c>
      <c r="I551" s="565">
        <v>1993</v>
      </c>
    </row>
    <row r="552" spans="1:9" s="739" customFormat="1" ht="9" customHeight="1" x14ac:dyDescent="0.25">
      <c r="A552" s="571" t="s">
        <v>41</v>
      </c>
      <c r="B552" s="549">
        <f t="shared" si="29"/>
        <v>2373</v>
      </c>
      <c r="C552" s="568">
        <v>115</v>
      </c>
      <c r="D552" s="568">
        <v>266</v>
      </c>
      <c r="E552" s="568">
        <v>168</v>
      </c>
      <c r="F552" s="568">
        <v>202</v>
      </c>
      <c r="G552" s="568">
        <v>89</v>
      </c>
      <c r="H552" s="568">
        <v>153</v>
      </c>
      <c r="I552" s="568">
        <v>1380</v>
      </c>
    </row>
    <row r="553" spans="1:9" s="739" customFormat="1" ht="9" customHeight="1" x14ac:dyDescent="0.25">
      <c r="A553" s="570" t="s">
        <v>42</v>
      </c>
      <c r="B553" s="547">
        <f t="shared" si="29"/>
        <v>3278</v>
      </c>
      <c r="C553" s="565">
        <v>173</v>
      </c>
      <c r="D553" s="565">
        <v>261</v>
      </c>
      <c r="E553" s="565">
        <v>200</v>
      </c>
      <c r="F553" s="565">
        <v>261</v>
      </c>
      <c r="G553" s="565">
        <v>208</v>
      </c>
      <c r="H553" s="565">
        <v>208</v>
      </c>
      <c r="I553" s="565">
        <v>1967</v>
      </c>
    </row>
    <row r="554" spans="1:9" s="739" customFormat="1" ht="9" customHeight="1" x14ac:dyDescent="0.25">
      <c r="A554" s="570" t="s">
        <v>43</v>
      </c>
      <c r="B554" s="547">
        <f t="shared" si="29"/>
        <v>1088</v>
      </c>
      <c r="C554" s="565">
        <v>77</v>
      </c>
      <c r="D554" s="565">
        <v>62</v>
      </c>
      <c r="E554" s="565">
        <v>52</v>
      </c>
      <c r="F554" s="565">
        <v>80</v>
      </c>
      <c r="G554" s="565">
        <v>89</v>
      </c>
      <c r="H554" s="565">
        <v>64</v>
      </c>
      <c r="I554" s="565">
        <v>664</v>
      </c>
    </row>
    <row r="555" spans="1:9" s="739" customFormat="1" ht="9" customHeight="1" x14ac:dyDescent="0.25">
      <c r="A555" s="570" t="s">
        <v>44</v>
      </c>
      <c r="B555" s="547">
        <f t="shared" si="29"/>
        <v>530</v>
      </c>
      <c r="C555" s="565">
        <v>38</v>
      </c>
      <c r="D555" s="565">
        <v>52</v>
      </c>
      <c r="E555" s="565">
        <v>42</v>
      </c>
      <c r="F555" s="565">
        <v>26</v>
      </c>
      <c r="G555" s="565">
        <v>35</v>
      </c>
      <c r="H555" s="565">
        <v>41</v>
      </c>
      <c r="I555" s="565">
        <v>296</v>
      </c>
    </row>
    <row r="556" spans="1:9" s="739" customFormat="1" ht="9" customHeight="1" x14ac:dyDescent="0.25">
      <c r="A556" s="571" t="s">
        <v>45</v>
      </c>
      <c r="B556" s="549">
        <f t="shared" si="29"/>
        <v>1708</v>
      </c>
      <c r="C556" s="568">
        <v>155</v>
      </c>
      <c r="D556" s="568">
        <v>113</v>
      </c>
      <c r="E556" s="568">
        <v>79</v>
      </c>
      <c r="F556" s="568">
        <v>147</v>
      </c>
      <c r="G556" s="568">
        <v>108</v>
      </c>
      <c r="H556" s="568">
        <v>84</v>
      </c>
      <c r="I556" s="568">
        <v>1022</v>
      </c>
    </row>
    <row r="557" spans="1:9" s="739" customFormat="1" ht="9" customHeight="1" x14ac:dyDescent="0.25">
      <c r="A557" s="570" t="s">
        <v>46</v>
      </c>
      <c r="B557" s="547">
        <f t="shared" si="29"/>
        <v>1974</v>
      </c>
      <c r="C557" s="565">
        <v>323</v>
      </c>
      <c r="D557" s="565">
        <v>132</v>
      </c>
      <c r="E557" s="565">
        <v>68</v>
      </c>
      <c r="F557" s="565">
        <v>201</v>
      </c>
      <c r="G557" s="565">
        <v>166</v>
      </c>
      <c r="H557" s="565">
        <v>96</v>
      </c>
      <c r="I557" s="565">
        <v>988</v>
      </c>
    </row>
    <row r="558" spans="1:9" s="739" customFormat="1" ht="9" customHeight="1" x14ac:dyDescent="0.25">
      <c r="A558" s="570" t="s">
        <v>47</v>
      </c>
      <c r="B558" s="547">
        <f t="shared" si="29"/>
        <v>2208</v>
      </c>
      <c r="C558" s="565">
        <v>303</v>
      </c>
      <c r="D558" s="565">
        <v>165</v>
      </c>
      <c r="E558" s="565">
        <v>116</v>
      </c>
      <c r="F558" s="565">
        <v>176</v>
      </c>
      <c r="G558" s="565">
        <v>174</v>
      </c>
      <c r="H558" s="565">
        <v>104</v>
      </c>
      <c r="I558" s="565">
        <v>1170</v>
      </c>
    </row>
    <row r="559" spans="1:9" s="739" customFormat="1" ht="9" customHeight="1" x14ac:dyDescent="0.25">
      <c r="A559" s="570" t="s">
        <v>48</v>
      </c>
      <c r="B559" s="547">
        <f t="shared" si="29"/>
        <v>1213</v>
      </c>
      <c r="C559" s="565">
        <v>89</v>
      </c>
      <c r="D559" s="565">
        <v>102</v>
      </c>
      <c r="E559" s="565">
        <v>65</v>
      </c>
      <c r="F559" s="565">
        <v>104</v>
      </c>
      <c r="G559" s="565">
        <v>79</v>
      </c>
      <c r="H559" s="565">
        <v>103</v>
      </c>
      <c r="I559" s="565">
        <v>671</v>
      </c>
    </row>
    <row r="560" spans="1:9" s="739" customFormat="1" ht="9" customHeight="1" x14ac:dyDescent="0.25">
      <c r="A560" s="571" t="s">
        <v>49</v>
      </c>
      <c r="B560" s="549">
        <f t="shared" si="29"/>
        <v>2305</v>
      </c>
      <c r="C560" s="568">
        <v>256</v>
      </c>
      <c r="D560" s="568">
        <v>138</v>
      </c>
      <c r="E560" s="568">
        <v>105</v>
      </c>
      <c r="F560" s="568">
        <v>169</v>
      </c>
      <c r="G560" s="568">
        <v>178</v>
      </c>
      <c r="H560" s="568">
        <v>109</v>
      </c>
      <c r="I560" s="568">
        <v>1350</v>
      </c>
    </row>
    <row r="561" spans="1:9" s="739" customFormat="1" ht="9" customHeight="1" x14ac:dyDescent="0.25">
      <c r="A561" s="570" t="s">
        <v>50</v>
      </c>
      <c r="B561" s="547">
        <f t="shared" si="29"/>
        <v>596</v>
      </c>
      <c r="C561" s="565">
        <v>28</v>
      </c>
      <c r="D561" s="565">
        <v>54</v>
      </c>
      <c r="E561" s="565">
        <v>37</v>
      </c>
      <c r="F561" s="565">
        <v>52</v>
      </c>
      <c r="G561" s="565">
        <v>42</v>
      </c>
      <c r="H561" s="565">
        <v>40</v>
      </c>
      <c r="I561" s="565">
        <v>343</v>
      </c>
    </row>
    <row r="562" spans="1:9" s="739" customFormat="1" ht="9" customHeight="1" x14ac:dyDescent="0.25">
      <c r="A562" s="570" t="s">
        <v>51</v>
      </c>
      <c r="B562" s="547">
        <f t="shared" si="29"/>
        <v>5680</v>
      </c>
      <c r="C562" s="565">
        <v>361</v>
      </c>
      <c r="D562" s="565">
        <v>480</v>
      </c>
      <c r="E562" s="565">
        <v>364</v>
      </c>
      <c r="F562" s="565">
        <v>475</v>
      </c>
      <c r="G562" s="565">
        <v>385</v>
      </c>
      <c r="H562" s="565">
        <v>357</v>
      </c>
      <c r="I562" s="565">
        <v>3258</v>
      </c>
    </row>
    <row r="563" spans="1:9" s="739" customFormat="1" ht="9" customHeight="1" x14ac:dyDescent="0.25">
      <c r="A563" s="570" t="s">
        <v>52</v>
      </c>
      <c r="B563" s="547">
        <f t="shared" si="29"/>
        <v>1260</v>
      </c>
      <c r="C563" s="565">
        <v>95</v>
      </c>
      <c r="D563" s="565">
        <v>127</v>
      </c>
      <c r="E563" s="565">
        <v>84</v>
      </c>
      <c r="F563" s="565">
        <v>82</v>
      </c>
      <c r="G563" s="565">
        <v>71</v>
      </c>
      <c r="H563" s="565">
        <v>67</v>
      </c>
      <c r="I563" s="565">
        <v>734</v>
      </c>
    </row>
    <row r="564" spans="1:9" s="739" customFormat="1" ht="9" customHeight="1" x14ac:dyDescent="0.25">
      <c r="A564" s="571" t="s">
        <v>53</v>
      </c>
      <c r="B564" s="549">
        <f t="shared" si="29"/>
        <v>1007</v>
      </c>
      <c r="C564" s="568">
        <v>104</v>
      </c>
      <c r="D564" s="568">
        <v>67</v>
      </c>
      <c r="E564" s="568">
        <v>29</v>
      </c>
      <c r="F564" s="568">
        <v>103</v>
      </c>
      <c r="G564" s="568">
        <v>75</v>
      </c>
      <c r="H564" s="568">
        <v>52</v>
      </c>
      <c r="I564" s="568">
        <v>577</v>
      </c>
    </row>
    <row r="565" spans="1:9" s="739" customFormat="1" ht="9" customHeight="1" x14ac:dyDescent="0.25">
      <c r="A565" s="570" t="s">
        <v>434</v>
      </c>
      <c r="B565" s="547">
        <f t="shared" si="29"/>
        <v>106</v>
      </c>
      <c r="C565" s="565">
        <v>12</v>
      </c>
      <c r="D565" s="565">
        <v>10</v>
      </c>
      <c r="E565" s="565">
        <v>0</v>
      </c>
      <c r="F565" s="565">
        <v>3</v>
      </c>
      <c r="G565" s="565">
        <v>18</v>
      </c>
      <c r="H565" s="565">
        <v>7</v>
      </c>
      <c r="I565" s="565">
        <v>56</v>
      </c>
    </row>
    <row r="566" spans="1:9" s="739" customFormat="1" ht="6" customHeight="1" x14ac:dyDescent="0.25">
      <c r="A566" s="737"/>
      <c r="B566" s="738"/>
      <c r="C566" s="738"/>
      <c r="D566" s="738"/>
      <c r="E566" s="738"/>
      <c r="F566" s="738"/>
      <c r="G566" s="738"/>
      <c r="H566" s="738"/>
      <c r="I566" s="738"/>
    </row>
    <row r="567" spans="1:9" s="739" customFormat="1" ht="9" customHeight="1" x14ac:dyDescent="0.25">
      <c r="A567" s="740">
        <v>2013</v>
      </c>
      <c r="B567" s="741"/>
      <c r="C567" s="742"/>
      <c r="D567" s="742"/>
      <c r="E567" s="742"/>
      <c r="F567" s="742"/>
      <c r="G567" s="742"/>
      <c r="H567" s="570"/>
      <c r="I567" s="565"/>
    </row>
    <row r="568" spans="1:9" s="739" customFormat="1" ht="9" customHeight="1" x14ac:dyDescent="0.25">
      <c r="A568" s="743" t="s">
        <v>13</v>
      </c>
      <c r="B568" s="572">
        <f t="shared" ref="B568:I568" si="30">SUM(B570:B602)</f>
        <v>75240</v>
      </c>
      <c r="C568" s="572">
        <f t="shared" si="30"/>
        <v>6735</v>
      </c>
      <c r="D568" s="572">
        <f t="shared" si="30"/>
        <v>5605</v>
      </c>
      <c r="E568" s="572">
        <f t="shared" si="30"/>
        <v>3880</v>
      </c>
      <c r="F568" s="572">
        <f t="shared" si="30"/>
        <v>6023</v>
      </c>
      <c r="G568" s="572">
        <f t="shared" si="30"/>
        <v>5548</v>
      </c>
      <c r="H568" s="572">
        <f t="shared" si="30"/>
        <v>4214</v>
      </c>
      <c r="I568" s="572">
        <f t="shared" si="30"/>
        <v>43235</v>
      </c>
    </row>
    <row r="569" spans="1:9" s="739" customFormat="1" ht="3.95" customHeight="1" x14ac:dyDescent="0.25">
      <c r="A569" s="743"/>
      <c r="B569" s="572"/>
      <c r="C569" s="572"/>
      <c r="D569" s="572"/>
      <c r="E569" s="572"/>
      <c r="F569" s="572"/>
      <c r="G569" s="572"/>
      <c r="H569" s="572"/>
      <c r="I569" s="572"/>
    </row>
    <row r="570" spans="1:9" s="739" customFormat="1" ht="9" customHeight="1" x14ac:dyDescent="0.25">
      <c r="A570" s="570" t="s">
        <v>23</v>
      </c>
      <c r="B570" s="547">
        <f t="shared" ref="B570:B602" si="31">SUM(C570:I570)</f>
        <v>730</v>
      </c>
      <c r="C570" s="565">
        <v>73</v>
      </c>
      <c r="D570" s="565">
        <v>40</v>
      </c>
      <c r="E570" s="565">
        <v>26</v>
      </c>
      <c r="F570" s="565">
        <v>63</v>
      </c>
      <c r="G570" s="565">
        <v>55</v>
      </c>
      <c r="H570" s="565">
        <v>49</v>
      </c>
      <c r="I570" s="565">
        <v>424</v>
      </c>
    </row>
    <row r="571" spans="1:9" s="739" customFormat="1" ht="9" customHeight="1" x14ac:dyDescent="0.25">
      <c r="A571" s="570" t="s">
        <v>24</v>
      </c>
      <c r="B571" s="547">
        <f t="shared" si="31"/>
        <v>2148</v>
      </c>
      <c r="C571" s="565">
        <v>258</v>
      </c>
      <c r="D571" s="565">
        <v>113</v>
      </c>
      <c r="E571" s="565">
        <v>111</v>
      </c>
      <c r="F571" s="565">
        <v>151</v>
      </c>
      <c r="G571" s="565">
        <v>178</v>
      </c>
      <c r="H571" s="565">
        <v>96</v>
      </c>
      <c r="I571" s="565">
        <v>1241</v>
      </c>
    </row>
    <row r="572" spans="1:9" s="739" customFormat="1" ht="9" customHeight="1" x14ac:dyDescent="0.25">
      <c r="A572" s="570" t="s">
        <v>25</v>
      </c>
      <c r="B572" s="547">
        <f t="shared" si="31"/>
        <v>446</v>
      </c>
      <c r="C572" s="565">
        <v>56</v>
      </c>
      <c r="D572" s="565">
        <v>25</v>
      </c>
      <c r="E572" s="565">
        <v>15</v>
      </c>
      <c r="F572" s="565">
        <v>31</v>
      </c>
      <c r="G572" s="565">
        <v>34</v>
      </c>
      <c r="H572" s="565">
        <v>21</v>
      </c>
      <c r="I572" s="565">
        <v>264</v>
      </c>
    </row>
    <row r="573" spans="1:9" s="739" customFormat="1" ht="9" customHeight="1" x14ac:dyDescent="0.25">
      <c r="A573" s="571" t="s">
        <v>26</v>
      </c>
      <c r="B573" s="549">
        <f t="shared" si="31"/>
        <v>478</v>
      </c>
      <c r="C573" s="568">
        <v>29</v>
      </c>
      <c r="D573" s="568">
        <v>54</v>
      </c>
      <c r="E573" s="568">
        <v>30</v>
      </c>
      <c r="F573" s="568">
        <v>35</v>
      </c>
      <c r="G573" s="568">
        <v>25</v>
      </c>
      <c r="H573" s="568">
        <v>43</v>
      </c>
      <c r="I573" s="568">
        <v>262</v>
      </c>
    </row>
    <row r="574" spans="1:9" s="739" customFormat="1" ht="9" customHeight="1" x14ac:dyDescent="0.25">
      <c r="A574" s="570" t="s">
        <v>27</v>
      </c>
      <c r="B574" s="547">
        <f t="shared" si="31"/>
        <v>1942</v>
      </c>
      <c r="C574" s="565">
        <v>235</v>
      </c>
      <c r="D574" s="565">
        <v>112</v>
      </c>
      <c r="E574" s="565">
        <v>83</v>
      </c>
      <c r="F574" s="565">
        <v>129</v>
      </c>
      <c r="G574" s="565">
        <v>195</v>
      </c>
      <c r="H574" s="565">
        <v>85</v>
      </c>
      <c r="I574" s="565">
        <v>1103</v>
      </c>
    </row>
    <row r="575" spans="1:9" s="739" customFormat="1" ht="9" customHeight="1" x14ac:dyDescent="0.25">
      <c r="A575" s="570" t="s">
        <v>28</v>
      </c>
      <c r="B575" s="547">
        <f t="shared" si="31"/>
        <v>498</v>
      </c>
      <c r="C575" s="565">
        <v>48</v>
      </c>
      <c r="D575" s="565">
        <v>30</v>
      </c>
      <c r="E575" s="565">
        <v>17</v>
      </c>
      <c r="F575" s="565">
        <v>56</v>
      </c>
      <c r="G575" s="565">
        <v>42</v>
      </c>
      <c r="H575" s="565">
        <v>29</v>
      </c>
      <c r="I575" s="565">
        <v>276</v>
      </c>
    </row>
    <row r="576" spans="1:9" s="739" customFormat="1" ht="9" customHeight="1" x14ac:dyDescent="0.25">
      <c r="A576" s="570" t="s">
        <v>29</v>
      </c>
      <c r="B576" s="547">
        <f t="shared" si="31"/>
        <v>2892</v>
      </c>
      <c r="C576" s="565">
        <v>187</v>
      </c>
      <c r="D576" s="565">
        <v>356</v>
      </c>
      <c r="E576" s="565">
        <v>215</v>
      </c>
      <c r="F576" s="565">
        <v>260</v>
      </c>
      <c r="G576" s="565">
        <v>148</v>
      </c>
      <c r="H576" s="565">
        <v>216</v>
      </c>
      <c r="I576" s="565">
        <v>1510</v>
      </c>
    </row>
    <row r="577" spans="1:9" s="739" customFormat="1" ht="9" customHeight="1" x14ac:dyDescent="0.25">
      <c r="A577" s="571" t="s">
        <v>30</v>
      </c>
      <c r="B577" s="549">
        <f t="shared" si="31"/>
        <v>2606</v>
      </c>
      <c r="C577" s="568">
        <v>330</v>
      </c>
      <c r="D577" s="568">
        <v>155</v>
      </c>
      <c r="E577" s="568">
        <v>124</v>
      </c>
      <c r="F577" s="568">
        <v>199</v>
      </c>
      <c r="G577" s="568">
        <v>202</v>
      </c>
      <c r="H577" s="568">
        <v>142</v>
      </c>
      <c r="I577" s="568">
        <v>1454</v>
      </c>
    </row>
    <row r="578" spans="1:9" s="739" customFormat="1" ht="9" customHeight="1" x14ac:dyDescent="0.25">
      <c r="A578" s="570" t="s">
        <v>63</v>
      </c>
      <c r="B578" s="547">
        <f t="shared" si="31"/>
        <v>7685</v>
      </c>
      <c r="C578" s="565">
        <v>648</v>
      </c>
      <c r="D578" s="565">
        <v>614</v>
      </c>
      <c r="E578" s="565">
        <v>294</v>
      </c>
      <c r="F578" s="565">
        <v>565</v>
      </c>
      <c r="G578" s="565">
        <v>663</v>
      </c>
      <c r="H578" s="565">
        <v>387</v>
      </c>
      <c r="I578" s="565">
        <v>4514</v>
      </c>
    </row>
    <row r="579" spans="1:9" s="739" customFormat="1" ht="9" customHeight="1" x14ac:dyDescent="0.25">
      <c r="A579" s="570" t="s">
        <v>31</v>
      </c>
      <c r="B579" s="547">
        <f t="shared" si="31"/>
        <v>997</v>
      </c>
      <c r="C579" s="565">
        <v>121</v>
      </c>
      <c r="D579" s="565">
        <v>76</v>
      </c>
      <c r="E579" s="565">
        <v>42</v>
      </c>
      <c r="F579" s="565">
        <v>66</v>
      </c>
      <c r="G579" s="565">
        <v>70</v>
      </c>
      <c r="H579" s="565">
        <v>54</v>
      </c>
      <c r="I579" s="565">
        <v>568</v>
      </c>
    </row>
    <row r="580" spans="1:9" s="739" customFormat="1" ht="9" customHeight="1" x14ac:dyDescent="0.25">
      <c r="A580" s="570" t="s">
        <v>32</v>
      </c>
      <c r="B580" s="547">
        <f t="shared" si="31"/>
        <v>3236</v>
      </c>
      <c r="C580" s="565">
        <v>326</v>
      </c>
      <c r="D580" s="565">
        <v>206</v>
      </c>
      <c r="E580" s="565">
        <v>153</v>
      </c>
      <c r="F580" s="565">
        <v>317</v>
      </c>
      <c r="G580" s="565">
        <v>278</v>
      </c>
      <c r="H580" s="565">
        <v>187</v>
      </c>
      <c r="I580" s="565">
        <v>1769</v>
      </c>
    </row>
    <row r="581" spans="1:9" s="739" customFormat="1" ht="9" customHeight="1" x14ac:dyDescent="0.25">
      <c r="A581" s="571" t="s">
        <v>33</v>
      </c>
      <c r="B581" s="549">
        <f t="shared" si="31"/>
        <v>1818</v>
      </c>
      <c r="C581" s="568">
        <v>159</v>
      </c>
      <c r="D581" s="568">
        <v>203</v>
      </c>
      <c r="E581" s="568">
        <v>128</v>
      </c>
      <c r="F581" s="568">
        <v>159</v>
      </c>
      <c r="G581" s="568">
        <v>94</v>
      </c>
      <c r="H581" s="568">
        <v>136</v>
      </c>
      <c r="I581" s="568">
        <v>939</v>
      </c>
    </row>
    <row r="582" spans="1:9" s="739" customFormat="1" ht="9" customHeight="1" x14ac:dyDescent="0.25">
      <c r="A582" s="570" t="s">
        <v>34</v>
      </c>
      <c r="B582" s="547">
        <f t="shared" si="31"/>
        <v>1699</v>
      </c>
      <c r="C582" s="565">
        <v>93</v>
      </c>
      <c r="D582" s="565">
        <v>137</v>
      </c>
      <c r="E582" s="565">
        <v>79</v>
      </c>
      <c r="F582" s="565">
        <v>117</v>
      </c>
      <c r="G582" s="565">
        <v>105</v>
      </c>
      <c r="H582" s="565">
        <v>102</v>
      </c>
      <c r="I582" s="565">
        <v>1066</v>
      </c>
    </row>
    <row r="583" spans="1:9" s="739" customFormat="1" ht="9" customHeight="1" x14ac:dyDescent="0.25">
      <c r="A583" s="570" t="s">
        <v>35</v>
      </c>
      <c r="B583" s="547">
        <f t="shared" si="31"/>
        <v>5215</v>
      </c>
      <c r="C583" s="565">
        <v>532</v>
      </c>
      <c r="D583" s="565">
        <v>283</v>
      </c>
      <c r="E583" s="565">
        <v>224</v>
      </c>
      <c r="F583" s="565">
        <v>537</v>
      </c>
      <c r="G583" s="565">
        <v>478</v>
      </c>
      <c r="H583" s="565">
        <v>263</v>
      </c>
      <c r="I583" s="565">
        <v>2898</v>
      </c>
    </row>
    <row r="584" spans="1:9" s="739" customFormat="1" ht="9" customHeight="1" x14ac:dyDescent="0.25">
      <c r="A584" s="570" t="s">
        <v>36</v>
      </c>
      <c r="B584" s="547">
        <f t="shared" si="31"/>
        <v>8575</v>
      </c>
      <c r="C584" s="565">
        <v>575</v>
      </c>
      <c r="D584" s="565">
        <v>683</v>
      </c>
      <c r="E584" s="565">
        <v>424</v>
      </c>
      <c r="F584" s="565">
        <v>579</v>
      </c>
      <c r="G584" s="565">
        <v>619</v>
      </c>
      <c r="H584" s="565">
        <v>497</v>
      </c>
      <c r="I584" s="565">
        <v>5198</v>
      </c>
    </row>
    <row r="585" spans="1:9" s="739" customFormat="1" ht="9" customHeight="1" x14ac:dyDescent="0.25">
      <c r="A585" s="571" t="s">
        <v>37</v>
      </c>
      <c r="B585" s="549">
        <f t="shared" si="31"/>
        <v>2955</v>
      </c>
      <c r="C585" s="568">
        <v>278</v>
      </c>
      <c r="D585" s="568">
        <v>234</v>
      </c>
      <c r="E585" s="568">
        <v>162</v>
      </c>
      <c r="F585" s="568">
        <v>286</v>
      </c>
      <c r="G585" s="568">
        <v>171</v>
      </c>
      <c r="H585" s="568">
        <v>164</v>
      </c>
      <c r="I585" s="568">
        <v>1660</v>
      </c>
    </row>
    <row r="586" spans="1:9" s="739" customFormat="1" ht="9" customHeight="1" x14ac:dyDescent="0.25">
      <c r="A586" s="570" t="s">
        <v>38</v>
      </c>
      <c r="B586" s="547">
        <f t="shared" si="31"/>
        <v>1307</v>
      </c>
      <c r="C586" s="565">
        <v>97</v>
      </c>
      <c r="D586" s="565">
        <v>117</v>
      </c>
      <c r="E586" s="565">
        <v>105</v>
      </c>
      <c r="F586" s="565">
        <v>96</v>
      </c>
      <c r="G586" s="565">
        <v>84</v>
      </c>
      <c r="H586" s="565">
        <v>80</v>
      </c>
      <c r="I586" s="565">
        <v>728</v>
      </c>
    </row>
    <row r="587" spans="1:9" s="739" customFormat="1" ht="9" customHeight="1" x14ac:dyDescent="0.25">
      <c r="A587" s="570" t="s">
        <v>39</v>
      </c>
      <c r="B587" s="547">
        <f t="shared" si="31"/>
        <v>865</v>
      </c>
      <c r="C587" s="565">
        <v>110</v>
      </c>
      <c r="D587" s="565">
        <v>58</v>
      </c>
      <c r="E587" s="565">
        <v>43</v>
      </c>
      <c r="F587" s="565">
        <v>108</v>
      </c>
      <c r="G587" s="565">
        <v>47</v>
      </c>
      <c r="H587" s="565">
        <v>44</v>
      </c>
      <c r="I587" s="565">
        <v>455</v>
      </c>
    </row>
    <row r="588" spans="1:9" s="739" customFormat="1" ht="9" customHeight="1" x14ac:dyDescent="0.25">
      <c r="A588" s="570" t="s">
        <v>40</v>
      </c>
      <c r="B588" s="547">
        <f t="shared" si="31"/>
        <v>3441</v>
      </c>
      <c r="C588" s="565">
        <v>416</v>
      </c>
      <c r="D588" s="565">
        <v>193</v>
      </c>
      <c r="E588" s="565">
        <v>128</v>
      </c>
      <c r="F588" s="565">
        <v>238</v>
      </c>
      <c r="G588" s="565">
        <v>318</v>
      </c>
      <c r="H588" s="565">
        <v>144</v>
      </c>
      <c r="I588" s="565">
        <v>2004</v>
      </c>
    </row>
    <row r="589" spans="1:9" s="739" customFormat="1" ht="9" customHeight="1" x14ac:dyDescent="0.25">
      <c r="A589" s="571" t="s">
        <v>41</v>
      </c>
      <c r="B589" s="549">
        <f t="shared" si="31"/>
        <v>2338</v>
      </c>
      <c r="C589" s="568">
        <v>136</v>
      </c>
      <c r="D589" s="568">
        <v>252</v>
      </c>
      <c r="E589" s="568">
        <v>145</v>
      </c>
      <c r="F589" s="568">
        <v>172</v>
      </c>
      <c r="G589" s="568">
        <v>97</v>
      </c>
      <c r="H589" s="568">
        <v>139</v>
      </c>
      <c r="I589" s="568">
        <v>1397</v>
      </c>
    </row>
    <row r="590" spans="1:9" s="739" customFormat="1" ht="9" customHeight="1" x14ac:dyDescent="0.25">
      <c r="A590" s="570" t="s">
        <v>42</v>
      </c>
      <c r="B590" s="547">
        <f t="shared" si="31"/>
        <v>3432</v>
      </c>
      <c r="C590" s="565">
        <v>200</v>
      </c>
      <c r="D590" s="565">
        <v>294</v>
      </c>
      <c r="E590" s="565">
        <v>213</v>
      </c>
      <c r="F590" s="565">
        <v>263</v>
      </c>
      <c r="G590" s="565">
        <v>227</v>
      </c>
      <c r="H590" s="565">
        <v>243</v>
      </c>
      <c r="I590" s="565">
        <v>1992</v>
      </c>
    </row>
    <row r="591" spans="1:9" s="739" customFormat="1" ht="9" customHeight="1" x14ac:dyDescent="0.25">
      <c r="A591" s="570" t="s">
        <v>43</v>
      </c>
      <c r="B591" s="547">
        <f t="shared" si="31"/>
        <v>1029</v>
      </c>
      <c r="C591" s="565">
        <v>73</v>
      </c>
      <c r="D591" s="565">
        <v>60</v>
      </c>
      <c r="E591" s="565">
        <v>56</v>
      </c>
      <c r="F591" s="565">
        <v>56</v>
      </c>
      <c r="G591" s="565">
        <v>91</v>
      </c>
      <c r="H591" s="565">
        <v>67</v>
      </c>
      <c r="I591" s="565">
        <v>626</v>
      </c>
    </row>
    <row r="592" spans="1:9" s="739" customFormat="1" ht="9" customHeight="1" x14ac:dyDescent="0.25">
      <c r="A592" s="570" t="s">
        <v>44</v>
      </c>
      <c r="B592" s="547">
        <f t="shared" si="31"/>
        <v>548</v>
      </c>
      <c r="C592" s="565">
        <v>44</v>
      </c>
      <c r="D592" s="565">
        <v>44</v>
      </c>
      <c r="E592" s="565">
        <v>47</v>
      </c>
      <c r="F592" s="565">
        <v>22</v>
      </c>
      <c r="G592" s="565">
        <v>42</v>
      </c>
      <c r="H592" s="565">
        <v>39</v>
      </c>
      <c r="I592" s="565">
        <v>310</v>
      </c>
    </row>
    <row r="593" spans="1:9" s="739" customFormat="1" ht="9" customHeight="1" x14ac:dyDescent="0.25">
      <c r="A593" s="571" t="s">
        <v>45</v>
      </c>
      <c r="B593" s="549">
        <f t="shared" si="31"/>
        <v>1757</v>
      </c>
      <c r="C593" s="568">
        <v>157</v>
      </c>
      <c r="D593" s="568">
        <v>103</v>
      </c>
      <c r="E593" s="568">
        <v>78</v>
      </c>
      <c r="F593" s="568">
        <v>186</v>
      </c>
      <c r="G593" s="568">
        <v>97</v>
      </c>
      <c r="H593" s="568">
        <v>86</v>
      </c>
      <c r="I593" s="568">
        <v>1050</v>
      </c>
    </row>
    <row r="594" spans="1:9" s="739" customFormat="1" ht="9" customHeight="1" x14ac:dyDescent="0.25">
      <c r="A594" s="570" t="s">
        <v>46</v>
      </c>
      <c r="B594" s="547">
        <f t="shared" si="31"/>
        <v>1976</v>
      </c>
      <c r="C594" s="565">
        <v>320</v>
      </c>
      <c r="D594" s="565">
        <v>128</v>
      </c>
      <c r="E594" s="565">
        <v>85</v>
      </c>
      <c r="F594" s="565">
        <v>177</v>
      </c>
      <c r="G594" s="565">
        <v>160</v>
      </c>
      <c r="H594" s="565">
        <v>102</v>
      </c>
      <c r="I594" s="565">
        <v>1004</v>
      </c>
    </row>
    <row r="595" spans="1:9" s="739" customFormat="1" ht="9" customHeight="1" x14ac:dyDescent="0.25">
      <c r="A595" s="570" t="s">
        <v>47</v>
      </c>
      <c r="B595" s="547">
        <f t="shared" si="31"/>
        <v>2283</v>
      </c>
      <c r="C595" s="565">
        <v>318</v>
      </c>
      <c r="D595" s="565">
        <v>163</v>
      </c>
      <c r="E595" s="565">
        <v>124</v>
      </c>
      <c r="F595" s="565">
        <v>163</v>
      </c>
      <c r="G595" s="565">
        <v>176</v>
      </c>
      <c r="H595" s="565">
        <v>116</v>
      </c>
      <c r="I595" s="565">
        <v>1223</v>
      </c>
    </row>
    <row r="596" spans="1:9" s="739" customFormat="1" ht="9" customHeight="1" x14ac:dyDescent="0.25">
      <c r="A596" s="570" t="s">
        <v>48</v>
      </c>
      <c r="B596" s="547">
        <f t="shared" si="31"/>
        <v>1263</v>
      </c>
      <c r="C596" s="565">
        <v>92</v>
      </c>
      <c r="D596" s="565">
        <v>94</v>
      </c>
      <c r="E596" s="565">
        <v>74</v>
      </c>
      <c r="F596" s="565">
        <v>106</v>
      </c>
      <c r="G596" s="565">
        <v>78</v>
      </c>
      <c r="H596" s="565">
        <v>97</v>
      </c>
      <c r="I596" s="565">
        <v>722</v>
      </c>
    </row>
    <row r="597" spans="1:9" s="739" customFormat="1" ht="9" customHeight="1" x14ac:dyDescent="0.25">
      <c r="A597" s="571" t="s">
        <v>49</v>
      </c>
      <c r="B597" s="549">
        <f t="shared" si="31"/>
        <v>2354</v>
      </c>
      <c r="C597" s="568">
        <v>253</v>
      </c>
      <c r="D597" s="568">
        <v>117</v>
      </c>
      <c r="E597" s="568">
        <v>124</v>
      </c>
      <c r="F597" s="568">
        <v>144</v>
      </c>
      <c r="G597" s="568">
        <v>207</v>
      </c>
      <c r="H597" s="568">
        <v>125</v>
      </c>
      <c r="I597" s="568">
        <v>1384</v>
      </c>
    </row>
    <row r="598" spans="1:9" s="739" customFormat="1" ht="9" customHeight="1" x14ac:dyDescent="0.25">
      <c r="A598" s="570" t="s">
        <v>50</v>
      </c>
      <c r="B598" s="547">
        <f t="shared" si="31"/>
        <v>595</v>
      </c>
      <c r="C598" s="565">
        <v>28</v>
      </c>
      <c r="D598" s="565">
        <v>46</v>
      </c>
      <c r="E598" s="565">
        <v>32</v>
      </c>
      <c r="F598" s="565">
        <v>52</v>
      </c>
      <c r="G598" s="565">
        <v>46</v>
      </c>
      <c r="H598" s="565">
        <v>44</v>
      </c>
      <c r="I598" s="565">
        <v>347</v>
      </c>
    </row>
    <row r="599" spans="1:9" s="739" customFormat="1" ht="9" customHeight="1" x14ac:dyDescent="0.25">
      <c r="A599" s="570" t="s">
        <v>51</v>
      </c>
      <c r="B599" s="547">
        <f t="shared" si="31"/>
        <v>5662</v>
      </c>
      <c r="C599" s="565">
        <v>349</v>
      </c>
      <c r="D599" s="565">
        <v>431</v>
      </c>
      <c r="E599" s="565">
        <v>378</v>
      </c>
      <c r="F599" s="565">
        <v>494</v>
      </c>
      <c r="G599" s="565">
        <v>353</v>
      </c>
      <c r="H599" s="565">
        <v>287</v>
      </c>
      <c r="I599" s="565">
        <v>3370</v>
      </c>
    </row>
    <row r="600" spans="1:9" s="739" customFormat="1" ht="9" customHeight="1" x14ac:dyDescent="0.25">
      <c r="A600" s="570" t="s">
        <v>52</v>
      </c>
      <c r="B600" s="547">
        <f t="shared" si="31"/>
        <v>1285</v>
      </c>
      <c r="C600" s="565">
        <v>76</v>
      </c>
      <c r="D600" s="565">
        <v>119</v>
      </c>
      <c r="E600" s="565">
        <v>69</v>
      </c>
      <c r="F600" s="565">
        <v>87</v>
      </c>
      <c r="G600" s="565">
        <v>80</v>
      </c>
      <c r="H600" s="565">
        <v>76</v>
      </c>
      <c r="I600" s="565">
        <v>778</v>
      </c>
    </row>
    <row r="601" spans="1:9" s="739" customFormat="1" ht="9" customHeight="1" x14ac:dyDescent="0.25">
      <c r="A601" s="571" t="s">
        <v>53</v>
      </c>
      <c r="B601" s="549">
        <f t="shared" si="31"/>
        <v>1074</v>
      </c>
      <c r="C601" s="568">
        <v>105</v>
      </c>
      <c r="D601" s="568">
        <v>58</v>
      </c>
      <c r="E601" s="568">
        <v>48</v>
      </c>
      <c r="F601" s="568">
        <v>106</v>
      </c>
      <c r="G601" s="568">
        <v>82</v>
      </c>
      <c r="H601" s="568">
        <v>47</v>
      </c>
      <c r="I601" s="568">
        <v>628</v>
      </c>
    </row>
    <row r="602" spans="1:9" s="739" customFormat="1" ht="9" customHeight="1" x14ac:dyDescent="0.25">
      <c r="A602" s="570" t="s">
        <v>434</v>
      </c>
      <c r="B602" s="547">
        <f t="shared" si="31"/>
        <v>111</v>
      </c>
      <c r="C602" s="565">
        <v>13</v>
      </c>
      <c r="D602" s="565">
        <v>7</v>
      </c>
      <c r="E602" s="565">
        <v>4</v>
      </c>
      <c r="F602" s="565">
        <v>3</v>
      </c>
      <c r="G602" s="565">
        <v>6</v>
      </c>
      <c r="H602" s="565">
        <v>7</v>
      </c>
      <c r="I602" s="565">
        <v>71</v>
      </c>
    </row>
    <row r="603" spans="1:9" s="739" customFormat="1" ht="9" customHeight="1" x14ac:dyDescent="0.25">
      <c r="A603" s="737"/>
      <c r="B603" s="738"/>
      <c r="C603" s="738"/>
      <c r="D603" s="738"/>
      <c r="E603" s="738"/>
      <c r="F603" s="738"/>
      <c r="G603" s="738"/>
      <c r="H603" s="738"/>
      <c r="I603" s="738"/>
    </row>
    <row r="604" spans="1:9" s="739" customFormat="1" ht="9" customHeight="1" x14ac:dyDescent="0.25">
      <c r="A604" s="740">
        <v>2014</v>
      </c>
      <c r="B604" s="741"/>
      <c r="C604" s="742"/>
      <c r="D604" s="742"/>
      <c r="E604" s="742"/>
      <c r="F604" s="742"/>
      <c r="G604" s="742"/>
      <c r="H604" s="570"/>
      <c r="I604" s="565"/>
    </row>
    <row r="605" spans="1:9" s="739" customFormat="1" ht="9" customHeight="1" x14ac:dyDescent="0.25">
      <c r="A605" s="743" t="s">
        <v>13</v>
      </c>
      <c r="B605" s="572">
        <f t="shared" ref="B605:I605" si="32">SUM(B607:B639)</f>
        <v>77091</v>
      </c>
      <c r="C605" s="572">
        <f t="shared" si="32"/>
        <v>6781</v>
      </c>
      <c r="D605" s="572">
        <f t="shared" si="32"/>
        <v>5822</v>
      </c>
      <c r="E605" s="572">
        <f t="shared" si="32"/>
        <v>4076</v>
      </c>
      <c r="F605" s="572">
        <f t="shared" si="32"/>
        <v>6296</v>
      </c>
      <c r="G605" s="572">
        <f t="shared" si="32"/>
        <v>5997</v>
      </c>
      <c r="H605" s="572">
        <f t="shared" si="32"/>
        <v>4406</v>
      </c>
      <c r="I605" s="572">
        <f t="shared" si="32"/>
        <v>43713</v>
      </c>
    </row>
    <row r="606" spans="1:9" s="739" customFormat="1" ht="3.95" customHeight="1" x14ac:dyDescent="0.25">
      <c r="A606" s="743"/>
      <c r="B606" s="572"/>
      <c r="C606" s="572"/>
      <c r="D606" s="572"/>
      <c r="E606" s="572"/>
      <c r="F606" s="572"/>
      <c r="G606" s="572"/>
      <c r="H606" s="572"/>
      <c r="I606" s="572"/>
    </row>
    <row r="607" spans="1:9" s="739" customFormat="1" ht="9" customHeight="1" x14ac:dyDescent="0.25">
      <c r="A607" s="570" t="s">
        <v>23</v>
      </c>
      <c r="B607" s="547">
        <f t="shared" ref="B607:B639" si="33">SUM(C607:I607)</f>
        <v>742</v>
      </c>
      <c r="C607" s="565">
        <v>77</v>
      </c>
      <c r="D607" s="565">
        <v>37</v>
      </c>
      <c r="E607" s="565">
        <v>30</v>
      </c>
      <c r="F607" s="565">
        <v>66</v>
      </c>
      <c r="G607" s="565">
        <v>67</v>
      </c>
      <c r="H607" s="565">
        <v>53</v>
      </c>
      <c r="I607" s="565">
        <v>412</v>
      </c>
    </row>
    <row r="608" spans="1:9" s="739" customFormat="1" ht="9" customHeight="1" x14ac:dyDescent="0.25">
      <c r="A608" s="570" t="s">
        <v>24</v>
      </c>
      <c r="B608" s="547">
        <f t="shared" si="33"/>
        <v>2215</v>
      </c>
      <c r="C608" s="565">
        <v>260</v>
      </c>
      <c r="D608" s="565">
        <v>121</v>
      </c>
      <c r="E608" s="565">
        <v>142</v>
      </c>
      <c r="F608" s="565">
        <v>154</v>
      </c>
      <c r="G608" s="565">
        <v>189</v>
      </c>
      <c r="H608" s="565">
        <v>107</v>
      </c>
      <c r="I608" s="565">
        <v>1242</v>
      </c>
    </row>
    <row r="609" spans="1:9" s="739" customFormat="1" ht="9" customHeight="1" x14ac:dyDescent="0.25">
      <c r="A609" s="570" t="s">
        <v>25</v>
      </c>
      <c r="B609" s="547">
        <f t="shared" si="33"/>
        <v>444</v>
      </c>
      <c r="C609" s="565">
        <v>59</v>
      </c>
      <c r="D609" s="565">
        <v>32</v>
      </c>
      <c r="E609" s="565">
        <v>24</v>
      </c>
      <c r="F609" s="565">
        <v>34</v>
      </c>
      <c r="G609" s="565">
        <v>31</v>
      </c>
      <c r="H609" s="565">
        <v>18</v>
      </c>
      <c r="I609" s="565">
        <v>246</v>
      </c>
    </row>
    <row r="610" spans="1:9" s="739" customFormat="1" ht="9" customHeight="1" x14ac:dyDescent="0.25">
      <c r="A610" s="571" t="s">
        <v>26</v>
      </c>
      <c r="B610" s="549">
        <f t="shared" si="33"/>
        <v>508</v>
      </c>
      <c r="C610" s="568">
        <v>44</v>
      </c>
      <c r="D610" s="568">
        <v>56</v>
      </c>
      <c r="E610" s="568">
        <v>36</v>
      </c>
      <c r="F610" s="568">
        <v>38</v>
      </c>
      <c r="G610" s="568">
        <v>17</v>
      </c>
      <c r="H610" s="568">
        <v>34</v>
      </c>
      <c r="I610" s="568">
        <v>283</v>
      </c>
    </row>
    <row r="611" spans="1:9" s="739" customFormat="1" ht="9" customHeight="1" x14ac:dyDescent="0.25">
      <c r="A611" s="570" t="s">
        <v>27</v>
      </c>
      <c r="B611" s="547">
        <f t="shared" si="33"/>
        <v>1947</v>
      </c>
      <c r="C611" s="565">
        <v>214</v>
      </c>
      <c r="D611" s="565">
        <v>83</v>
      </c>
      <c r="E611" s="565">
        <v>90</v>
      </c>
      <c r="F611" s="565">
        <v>154</v>
      </c>
      <c r="G611" s="565">
        <v>176</v>
      </c>
      <c r="H611" s="565">
        <v>110</v>
      </c>
      <c r="I611" s="565">
        <v>1120</v>
      </c>
    </row>
    <row r="612" spans="1:9" s="739" customFormat="1" ht="9" customHeight="1" x14ac:dyDescent="0.25">
      <c r="A612" s="570" t="s">
        <v>28</v>
      </c>
      <c r="B612" s="547">
        <f t="shared" si="33"/>
        <v>540</v>
      </c>
      <c r="C612" s="565">
        <v>44</v>
      </c>
      <c r="D612" s="565">
        <v>40</v>
      </c>
      <c r="E612" s="565">
        <v>27</v>
      </c>
      <c r="F612" s="565">
        <v>58</v>
      </c>
      <c r="G612" s="565">
        <v>49</v>
      </c>
      <c r="H612" s="565">
        <v>34</v>
      </c>
      <c r="I612" s="565">
        <v>288</v>
      </c>
    </row>
    <row r="613" spans="1:9" s="739" customFormat="1" ht="9" customHeight="1" x14ac:dyDescent="0.25">
      <c r="A613" s="570" t="s">
        <v>29</v>
      </c>
      <c r="B613" s="547">
        <f t="shared" si="33"/>
        <v>2910</v>
      </c>
      <c r="C613" s="565">
        <v>163</v>
      </c>
      <c r="D613" s="565">
        <v>357</v>
      </c>
      <c r="E613" s="565">
        <v>235</v>
      </c>
      <c r="F613" s="565">
        <v>266</v>
      </c>
      <c r="G613" s="565">
        <v>159</v>
      </c>
      <c r="H613" s="565">
        <v>217</v>
      </c>
      <c r="I613" s="565">
        <v>1513</v>
      </c>
    </row>
    <row r="614" spans="1:9" s="739" customFormat="1" ht="9" customHeight="1" x14ac:dyDescent="0.25">
      <c r="A614" s="571" t="s">
        <v>30</v>
      </c>
      <c r="B614" s="549">
        <f t="shared" si="33"/>
        <v>2689</v>
      </c>
      <c r="C614" s="568">
        <v>370</v>
      </c>
      <c r="D614" s="568">
        <v>162</v>
      </c>
      <c r="E614" s="568">
        <v>159</v>
      </c>
      <c r="F614" s="568">
        <v>202</v>
      </c>
      <c r="G614" s="568">
        <v>308</v>
      </c>
      <c r="H614" s="568">
        <v>109</v>
      </c>
      <c r="I614" s="568">
        <v>1379</v>
      </c>
    </row>
    <row r="615" spans="1:9" s="739" customFormat="1" ht="9" customHeight="1" x14ac:dyDescent="0.25">
      <c r="A615" s="570" t="s">
        <v>63</v>
      </c>
      <c r="B615" s="547">
        <f t="shared" si="33"/>
        <v>7990</v>
      </c>
      <c r="C615" s="565">
        <v>644</v>
      </c>
      <c r="D615" s="565">
        <v>615</v>
      </c>
      <c r="E615" s="565">
        <v>319</v>
      </c>
      <c r="F615" s="565">
        <v>612</v>
      </c>
      <c r="G615" s="565">
        <v>715</v>
      </c>
      <c r="H615" s="565">
        <v>407</v>
      </c>
      <c r="I615" s="565">
        <v>4678</v>
      </c>
    </row>
    <row r="616" spans="1:9" s="739" customFormat="1" ht="9" customHeight="1" x14ac:dyDescent="0.25">
      <c r="A616" s="570" t="s">
        <v>31</v>
      </c>
      <c r="B616" s="547">
        <f t="shared" si="33"/>
        <v>1067</v>
      </c>
      <c r="C616" s="565">
        <v>123</v>
      </c>
      <c r="D616" s="565">
        <v>61</v>
      </c>
      <c r="E616" s="565">
        <v>46</v>
      </c>
      <c r="F616" s="565">
        <v>101</v>
      </c>
      <c r="G616" s="565">
        <v>85</v>
      </c>
      <c r="H616" s="565">
        <v>68</v>
      </c>
      <c r="I616" s="565">
        <v>583</v>
      </c>
    </row>
    <row r="617" spans="1:9" s="739" customFormat="1" ht="9" customHeight="1" x14ac:dyDescent="0.25">
      <c r="A617" s="570" t="s">
        <v>32</v>
      </c>
      <c r="B617" s="547">
        <f t="shared" si="33"/>
        <v>3195</v>
      </c>
      <c r="C617" s="565">
        <v>284</v>
      </c>
      <c r="D617" s="565">
        <v>197</v>
      </c>
      <c r="E617" s="565">
        <v>158</v>
      </c>
      <c r="F617" s="565">
        <v>284</v>
      </c>
      <c r="G617" s="565">
        <v>278</v>
      </c>
      <c r="H617" s="565">
        <v>205</v>
      </c>
      <c r="I617" s="565">
        <v>1789</v>
      </c>
    </row>
    <row r="618" spans="1:9" s="739" customFormat="1" ht="9" customHeight="1" x14ac:dyDescent="0.25">
      <c r="A618" s="571" t="s">
        <v>33</v>
      </c>
      <c r="B618" s="549">
        <f t="shared" si="33"/>
        <v>1810</v>
      </c>
      <c r="C618" s="568">
        <v>149</v>
      </c>
      <c r="D618" s="568">
        <v>237</v>
      </c>
      <c r="E618" s="568">
        <v>132</v>
      </c>
      <c r="F618" s="568">
        <v>151</v>
      </c>
      <c r="G618" s="568">
        <v>116</v>
      </c>
      <c r="H618" s="568">
        <v>140</v>
      </c>
      <c r="I618" s="568">
        <v>885</v>
      </c>
    </row>
    <row r="619" spans="1:9" s="739" customFormat="1" ht="9" customHeight="1" x14ac:dyDescent="0.25">
      <c r="A619" s="570" t="s">
        <v>34</v>
      </c>
      <c r="B619" s="547">
        <f t="shared" si="33"/>
        <v>1653</v>
      </c>
      <c r="C619" s="565">
        <v>107</v>
      </c>
      <c r="D619" s="565">
        <v>145</v>
      </c>
      <c r="E619" s="565">
        <v>58</v>
      </c>
      <c r="F619" s="565">
        <v>148</v>
      </c>
      <c r="G619" s="565">
        <v>98</v>
      </c>
      <c r="H619" s="565">
        <v>108</v>
      </c>
      <c r="I619" s="565">
        <v>989</v>
      </c>
    </row>
    <row r="620" spans="1:9" s="739" customFormat="1" ht="9" customHeight="1" x14ac:dyDescent="0.25">
      <c r="A620" s="570" t="s">
        <v>35</v>
      </c>
      <c r="B620" s="547">
        <f t="shared" si="33"/>
        <v>5368</v>
      </c>
      <c r="C620" s="565">
        <v>565</v>
      </c>
      <c r="D620" s="565">
        <v>306</v>
      </c>
      <c r="E620" s="565">
        <v>201</v>
      </c>
      <c r="F620" s="565">
        <v>523</v>
      </c>
      <c r="G620" s="565">
        <v>481</v>
      </c>
      <c r="H620" s="565">
        <v>292</v>
      </c>
      <c r="I620" s="565">
        <v>3000</v>
      </c>
    </row>
    <row r="621" spans="1:9" s="739" customFormat="1" ht="9" customHeight="1" x14ac:dyDescent="0.25">
      <c r="A621" s="570" t="s">
        <v>36</v>
      </c>
      <c r="B621" s="547">
        <f t="shared" si="33"/>
        <v>8844</v>
      </c>
      <c r="C621" s="565">
        <v>581</v>
      </c>
      <c r="D621" s="565">
        <v>724</v>
      </c>
      <c r="E621" s="565">
        <v>503</v>
      </c>
      <c r="F621" s="565">
        <v>603</v>
      </c>
      <c r="G621" s="565">
        <v>713</v>
      </c>
      <c r="H621" s="565">
        <v>560</v>
      </c>
      <c r="I621" s="565">
        <v>5160</v>
      </c>
    </row>
    <row r="622" spans="1:9" s="739" customFormat="1" ht="9" customHeight="1" x14ac:dyDescent="0.25">
      <c r="A622" s="571" t="s">
        <v>37</v>
      </c>
      <c r="B622" s="549">
        <f t="shared" si="33"/>
        <v>3073</v>
      </c>
      <c r="C622" s="568">
        <v>300</v>
      </c>
      <c r="D622" s="568">
        <v>252</v>
      </c>
      <c r="E622" s="568">
        <v>156</v>
      </c>
      <c r="F622" s="568">
        <v>304</v>
      </c>
      <c r="G622" s="568">
        <v>210</v>
      </c>
      <c r="H622" s="568">
        <v>130</v>
      </c>
      <c r="I622" s="568">
        <v>1721</v>
      </c>
    </row>
    <row r="623" spans="1:9" s="739" customFormat="1" ht="9" customHeight="1" x14ac:dyDescent="0.25">
      <c r="A623" s="570" t="s">
        <v>38</v>
      </c>
      <c r="B623" s="547">
        <f t="shared" si="33"/>
        <v>1300</v>
      </c>
      <c r="C623" s="565">
        <v>82</v>
      </c>
      <c r="D623" s="565">
        <v>137</v>
      </c>
      <c r="E623" s="565">
        <v>96</v>
      </c>
      <c r="F623" s="565">
        <v>102</v>
      </c>
      <c r="G623" s="565">
        <v>73</v>
      </c>
      <c r="H623" s="565">
        <v>69</v>
      </c>
      <c r="I623" s="565">
        <v>741</v>
      </c>
    </row>
    <row r="624" spans="1:9" s="739" customFormat="1" ht="9" customHeight="1" x14ac:dyDescent="0.25">
      <c r="A624" s="570" t="s">
        <v>39</v>
      </c>
      <c r="B624" s="547">
        <f t="shared" si="33"/>
        <v>819</v>
      </c>
      <c r="C624" s="565">
        <v>104</v>
      </c>
      <c r="D624" s="565">
        <v>41</v>
      </c>
      <c r="E624" s="565">
        <v>47</v>
      </c>
      <c r="F624" s="565">
        <v>106</v>
      </c>
      <c r="G624" s="565">
        <v>59</v>
      </c>
      <c r="H624" s="565">
        <v>30</v>
      </c>
      <c r="I624" s="565">
        <v>432</v>
      </c>
    </row>
    <row r="625" spans="1:9" s="739" customFormat="1" ht="9" customHeight="1" x14ac:dyDescent="0.25">
      <c r="A625" s="570" t="s">
        <v>40</v>
      </c>
      <c r="B625" s="547">
        <f t="shared" si="33"/>
        <v>3650</v>
      </c>
      <c r="C625" s="565">
        <v>432</v>
      </c>
      <c r="D625" s="565">
        <v>175</v>
      </c>
      <c r="E625" s="565">
        <v>138</v>
      </c>
      <c r="F625" s="565">
        <v>223</v>
      </c>
      <c r="G625" s="565">
        <v>372</v>
      </c>
      <c r="H625" s="565">
        <v>175</v>
      </c>
      <c r="I625" s="565">
        <v>2135</v>
      </c>
    </row>
    <row r="626" spans="1:9" s="739" customFormat="1" ht="9" customHeight="1" x14ac:dyDescent="0.25">
      <c r="A626" s="571" t="s">
        <v>41</v>
      </c>
      <c r="B626" s="549">
        <f t="shared" si="33"/>
        <v>2459</v>
      </c>
      <c r="C626" s="568">
        <v>122</v>
      </c>
      <c r="D626" s="568">
        <v>278</v>
      </c>
      <c r="E626" s="568">
        <v>145</v>
      </c>
      <c r="F626" s="568">
        <v>202</v>
      </c>
      <c r="G626" s="568">
        <v>110</v>
      </c>
      <c r="H626" s="568">
        <v>178</v>
      </c>
      <c r="I626" s="568">
        <v>1424</v>
      </c>
    </row>
    <row r="627" spans="1:9" s="739" customFormat="1" ht="9" customHeight="1" x14ac:dyDescent="0.25">
      <c r="A627" s="570" t="s">
        <v>42</v>
      </c>
      <c r="B627" s="547">
        <f t="shared" si="33"/>
        <v>3477</v>
      </c>
      <c r="C627" s="565">
        <v>192</v>
      </c>
      <c r="D627" s="565">
        <v>324</v>
      </c>
      <c r="E627" s="565">
        <v>200</v>
      </c>
      <c r="F627" s="565">
        <v>230</v>
      </c>
      <c r="G627" s="565">
        <v>222</v>
      </c>
      <c r="H627" s="565">
        <v>249</v>
      </c>
      <c r="I627" s="565">
        <v>2060</v>
      </c>
    </row>
    <row r="628" spans="1:9" s="739" customFormat="1" ht="9" customHeight="1" x14ac:dyDescent="0.25">
      <c r="A628" s="570" t="s">
        <v>43</v>
      </c>
      <c r="B628" s="547">
        <f t="shared" si="33"/>
        <v>1144</v>
      </c>
      <c r="C628" s="565">
        <v>67</v>
      </c>
      <c r="D628" s="565">
        <v>85</v>
      </c>
      <c r="E628" s="565">
        <v>59</v>
      </c>
      <c r="F628" s="565">
        <v>74</v>
      </c>
      <c r="G628" s="565">
        <v>107</v>
      </c>
      <c r="H628" s="565">
        <v>68</v>
      </c>
      <c r="I628" s="565">
        <v>684</v>
      </c>
    </row>
    <row r="629" spans="1:9" s="739" customFormat="1" ht="9" customHeight="1" x14ac:dyDescent="0.25">
      <c r="A629" s="570" t="s">
        <v>44</v>
      </c>
      <c r="B629" s="547">
        <f t="shared" si="33"/>
        <v>602</v>
      </c>
      <c r="C629" s="565">
        <v>52</v>
      </c>
      <c r="D629" s="565">
        <v>61</v>
      </c>
      <c r="E629" s="565">
        <v>61</v>
      </c>
      <c r="F629" s="565">
        <v>38</v>
      </c>
      <c r="G629" s="565">
        <v>39</v>
      </c>
      <c r="H629" s="565">
        <v>37</v>
      </c>
      <c r="I629" s="565">
        <v>314</v>
      </c>
    </row>
    <row r="630" spans="1:9" s="739" customFormat="1" ht="9" customHeight="1" x14ac:dyDescent="0.25">
      <c r="A630" s="571" t="s">
        <v>45</v>
      </c>
      <c r="B630" s="549">
        <f t="shared" si="33"/>
        <v>1784</v>
      </c>
      <c r="C630" s="568">
        <v>172</v>
      </c>
      <c r="D630" s="568">
        <v>106</v>
      </c>
      <c r="E630" s="568">
        <v>86</v>
      </c>
      <c r="F630" s="568">
        <v>164</v>
      </c>
      <c r="G630" s="568">
        <v>120</v>
      </c>
      <c r="H630" s="568">
        <v>89</v>
      </c>
      <c r="I630" s="568">
        <v>1047</v>
      </c>
    </row>
    <row r="631" spans="1:9" s="739" customFormat="1" ht="9" customHeight="1" x14ac:dyDescent="0.25">
      <c r="A631" s="570" t="s">
        <v>46</v>
      </c>
      <c r="B631" s="547">
        <f t="shared" si="33"/>
        <v>2073</v>
      </c>
      <c r="C631" s="565">
        <v>314</v>
      </c>
      <c r="D631" s="565">
        <v>138</v>
      </c>
      <c r="E631" s="565">
        <v>99</v>
      </c>
      <c r="F631" s="565">
        <v>209</v>
      </c>
      <c r="G631" s="565">
        <v>148</v>
      </c>
      <c r="H631" s="565">
        <v>116</v>
      </c>
      <c r="I631" s="565">
        <v>1049</v>
      </c>
    </row>
    <row r="632" spans="1:9" s="739" customFormat="1" ht="9" customHeight="1" x14ac:dyDescent="0.25">
      <c r="A632" s="570" t="s">
        <v>47</v>
      </c>
      <c r="B632" s="547">
        <f t="shared" si="33"/>
        <v>2249</v>
      </c>
      <c r="C632" s="565">
        <v>285</v>
      </c>
      <c r="D632" s="565">
        <v>156</v>
      </c>
      <c r="E632" s="565">
        <v>126</v>
      </c>
      <c r="F632" s="565">
        <v>187</v>
      </c>
      <c r="G632" s="565">
        <v>180</v>
      </c>
      <c r="H632" s="565">
        <v>108</v>
      </c>
      <c r="I632" s="565">
        <v>1207</v>
      </c>
    </row>
    <row r="633" spans="1:9" s="739" customFormat="1" ht="9" customHeight="1" x14ac:dyDescent="0.25">
      <c r="A633" s="570" t="s">
        <v>48</v>
      </c>
      <c r="B633" s="547">
        <f t="shared" si="33"/>
        <v>1319</v>
      </c>
      <c r="C633" s="565">
        <v>98</v>
      </c>
      <c r="D633" s="565">
        <v>102</v>
      </c>
      <c r="E633" s="565">
        <v>71</v>
      </c>
      <c r="F633" s="565">
        <v>118</v>
      </c>
      <c r="G633" s="565">
        <v>80</v>
      </c>
      <c r="H633" s="565">
        <v>117</v>
      </c>
      <c r="I633" s="565">
        <v>733</v>
      </c>
    </row>
    <row r="634" spans="1:9" s="739" customFormat="1" ht="9" customHeight="1" x14ac:dyDescent="0.25">
      <c r="A634" s="571" t="s">
        <v>49</v>
      </c>
      <c r="B634" s="549">
        <f t="shared" si="33"/>
        <v>2373</v>
      </c>
      <c r="C634" s="568">
        <v>245</v>
      </c>
      <c r="D634" s="568">
        <v>132</v>
      </c>
      <c r="E634" s="568">
        <v>136</v>
      </c>
      <c r="F634" s="568">
        <v>187</v>
      </c>
      <c r="G634" s="568">
        <v>208</v>
      </c>
      <c r="H634" s="568">
        <v>101</v>
      </c>
      <c r="I634" s="568">
        <v>1364</v>
      </c>
    </row>
    <row r="635" spans="1:9" s="739" customFormat="1" ht="9" customHeight="1" x14ac:dyDescent="0.25">
      <c r="A635" s="570" t="s">
        <v>50</v>
      </c>
      <c r="B635" s="547">
        <f t="shared" si="33"/>
        <v>632</v>
      </c>
      <c r="C635" s="565">
        <v>34</v>
      </c>
      <c r="D635" s="565">
        <v>39</v>
      </c>
      <c r="E635" s="565">
        <v>35</v>
      </c>
      <c r="F635" s="565">
        <v>40</v>
      </c>
      <c r="G635" s="565">
        <v>42</v>
      </c>
      <c r="H635" s="565">
        <v>52</v>
      </c>
      <c r="I635" s="565">
        <v>390</v>
      </c>
    </row>
    <row r="636" spans="1:9" s="739" customFormat="1" ht="9" customHeight="1" x14ac:dyDescent="0.25">
      <c r="A636" s="570" t="s">
        <v>51</v>
      </c>
      <c r="B636" s="547">
        <f t="shared" si="33"/>
        <v>5828</v>
      </c>
      <c r="C636" s="565">
        <v>358</v>
      </c>
      <c r="D636" s="565">
        <v>434</v>
      </c>
      <c r="E636" s="565">
        <v>343</v>
      </c>
      <c r="F636" s="565">
        <v>497</v>
      </c>
      <c r="G636" s="565">
        <v>369</v>
      </c>
      <c r="H636" s="565">
        <v>288</v>
      </c>
      <c r="I636" s="565">
        <v>3539</v>
      </c>
    </row>
    <row r="637" spans="1:9" s="739" customFormat="1" ht="9" customHeight="1" x14ac:dyDescent="0.25">
      <c r="A637" s="570" t="s">
        <v>52</v>
      </c>
      <c r="B637" s="547">
        <f t="shared" si="33"/>
        <v>1265</v>
      </c>
      <c r="C637" s="565">
        <v>111</v>
      </c>
      <c r="D637" s="565">
        <v>112</v>
      </c>
      <c r="E637" s="565">
        <v>76</v>
      </c>
      <c r="F637" s="565">
        <v>90</v>
      </c>
      <c r="G637" s="565">
        <v>88</v>
      </c>
      <c r="H637" s="565">
        <v>70</v>
      </c>
      <c r="I637" s="565">
        <v>718</v>
      </c>
    </row>
    <row r="638" spans="1:9" s="739" customFormat="1" ht="9" customHeight="1" x14ac:dyDescent="0.25">
      <c r="A638" s="571" t="s">
        <v>53</v>
      </c>
      <c r="B638" s="549">
        <f t="shared" si="33"/>
        <v>1017</v>
      </c>
      <c r="C638" s="568">
        <v>116</v>
      </c>
      <c r="D638" s="568">
        <v>67</v>
      </c>
      <c r="E638" s="568">
        <v>42</v>
      </c>
      <c r="F638" s="568">
        <v>128</v>
      </c>
      <c r="G638" s="568">
        <v>78</v>
      </c>
      <c r="H638" s="568">
        <v>59</v>
      </c>
      <c r="I638" s="568">
        <v>527</v>
      </c>
    </row>
    <row r="639" spans="1:9" s="739" customFormat="1" ht="9" customHeight="1" x14ac:dyDescent="0.25">
      <c r="A639" s="570" t="s">
        <v>434</v>
      </c>
      <c r="B639" s="547">
        <f t="shared" si="33"/>
        <v>105</v>
      </c>
      <c r="C639" s="565">
        <v>13</v>
      </c>
      <c r="D639" s="565">
        <v>10</v>
      </c>
      <c r="E639" s="565">
        <v>0</v>
      </c>
      <c r="F639" s="565">
        <v>3</v>
      </c>
      <c r="G639" s="565">
        <v>10</v>
      </c>
      <c r="H639" s="565">
        <v>8</v>
      </c>
      <c r="I639" s="565">
        <v>61</v>
      </c>
    </row>
    <row r="640" spans="1:9" s="739" customFormat="1" ht="4.1500000000000004" customHeight="1" x14ac:dyDescent="0.25">
      <c r="A640" s="737"/>
      <c r="B640" s="738"/>
      <c r="C640" s="738"/>
      <c r="D640" s="738"/>
      <c r="E640" s="738"/>
      <c r="F640" s="738"/>
      <c r="G640" s="738"/>
      <c r="H640" s="738"/>
      <c r="I640" s="738"/>
    </row>
    <row r="641" spans="1:12" s="739" customFormat="1" ht="9" customHeight="1" x14ac:dyDescent="0.25">
      <c r="A641" s="740">
        <v>2015</v>
      </c>
      <c r="B641" s="741"/>
      <c r="C641" s="742"/>
      <c r="D641" s="742"/>
      <c r="E641" s="742"/>
      <c r="F641" s="742"/>
      <c r="G641" s="742"/>
      <c r="H641" s="570"/>
      <c r="I641" s="565"/>
    </row>
    <row r="642" spans="1:12" s="739" customFormat="1" ht="9" customHeight="1" x14ac:dyDescent="0.25">
      <c r="A642" s="743" t="s">
        <v>13</v>
      </c>
      <c r="B642" s="572">
        <f t="shared" ref="B642:I642" si="34">SUM(B644:B676)</f>
        <v>79514</v>
      </c>
      <c r="C642" s="572">
        <f t="shared" si="34"/>
        <v>6903</v>
      </c>
      <c r="D642" s="572">
        <f t="shared" si="34"/>
        <v>6065</v>
      </c>
      <c r="E642" s="572">
        <f t="shared" si="34"/>
        <v>4009</v>
      </c>
      <c r="F642" s="572">
        <f t="shared" si="34"/>
        <v>6447</v>
      </c>
      <c r="G642" s="572">
        <f t="shared" si="34"/>
        <v>6273</v>
      </c>
      <c r="H642" s="572">
        <f t="shared" si="34"/>
        <v>4365</v>
      </c>
      <c r="I642" s="572">
        <f t="shared" si="34"/>
        <v>45452</v>
      </c>
      <c r="L642" s="738"/>
    </row>
    <row r="643" spans="1:12" s="739" customFormat="1" ht="2.4500000000000002" customHeight="1" x14ac:dyDescent="0.25">
      <c r="A643" s="743"/>
      <c r="B643" s="572"/>
      <c r="C643" s="572"/>
      <c r="D643" s="572"/>
      <c r="E643" s="572"/>
      <c r="F643" s="572"/>
      <c r="G643" s="572"/>
      <c r="H643" s="572"/>
      <c r="I643" s="572"/>
    </row>
    <row r="644" spans="1:12" s="739" customFormat="1" ht="9" customHeight="1" x14ac:dyDescent="0.25">
      <c r="A644" s="570" t="s">
        <v>23</v>
      </c>
      <c r="B644" s="547">
        <f t="shared" ref="B644:B676" si="35">SUM(C644:I644)</f>
        <v>800</v>
      </c>
      <c r="C644" s="565">
        <v>94</v>
      </c>
      <c r="D644" s="565">
        <v>33</v>
      </c>
      <c r="E644" s="565">
        <v>33</v>
      </c>
      <c r="F644" s="565">
        <v>55</v>
      </c>
      <c r="G644" s="565">
        <v>71</v>
      </c>
      <c r="H644" s="565">
        <v>48</v>
      </c>
      <c r="I644" s="565">
        <v>466</v>
      </c>
      <c r="L644" s="738"/>
    </row>
    <row r="645" spans="1:12" s="739" customFormat="1" ht="9" customHeight="1" x14ac:dyDescent="0.25">
      <c r="A645" s="570" t="s">
        <v>24</v>
      </c>
      <c r="B645" s="547">
        <f t="shared" si="35"/>
        <v>2194</v>
      </c>
      <c r="C645" s="565">
        <v>253</v>
      </c>
      <c r="D645" s="565">
        <v>137</v>
      </c>
      <c r="E645" s="565">
        <v>104</v>
      </c>
      <c r="F645" s="565">
        <v>131</v>
      </c>
      <c r="G645" s="565">
        <v>215</v>
      </c>
      <c r="H645" s="565">
        <v>118</v>
      </c>
      <c r="I645" s="565">
        <v>1236</v>
      </c>
      <c r="L645" s="738"/>
    </row>
    <row r="646" spans="1:12" s="739" customFormat="1" ht="9" customHeight="1" x14ac:dyDescent="0.25">
      <c r="A646" s="570" t="s">
        <v>25</v>
      </c>
      <c r="B646" s="547">
        <f t="shared" si="35"/>
        <v>452</v>
      </c>
      <c r="C646" s="565">
        <v>51</v>
      </c>
      <c r="D646" s="565">
        <v>29</v>
      </c>
      <c r="E646" s="565">
        <v>19</v>
      </c>
      <c r="F646" s="565">
        <v>37</v>
      </c>
      <c r="G646" s="565">
        <v>33</v>
      </c>
      <c r="H646" s="565">
        <v>23</v>
      </c>
      <c r="I646" s="565">
        <v>260</v>
      </c>
      <c r="L646" s="738"/>
    </row>
    <row r="647" spans="1:12" s="739" customFormat="1" ht="9" customHeight="1" x14ac:dyDescent="0.25">
      <c r="A647" s="571" t="s">
        <v>26</v>
      </c>
      <c r="B647" s="549">
        <f t="shared" si="35"/>
        <v>519</v>
      </c>
      <c r="C647" s="568">
        <v>34</v>
      </c>
      <c r="D647" s="568">
        <v>50</v>
      </c>
      <c r="E647" s="568">
        <v>31</v>
      </c>
      <c r="F647" s="568">
        <v>28</v>
      </c>
      <c r="G647" s="568">
        <v>29</v>
      </c>
      <c r="H647" s="568">
        <v>48</v>
      </c>
      <c r="I647" s="568">
        <v>299</v>
      </c>
      <c r="L647" s="738"/>
    </row>
    <row r="648" spans="1:12" s="739" customFormat="1" ht="9" customHeight="1" x14ac:dyDescent="0.25">
      <c r="A648" s="570" t="s">
        <v>27</v>
      </c>
      <c r="B648" s="547">
        <f t="shared" si="35"/>
        <v>2108</v>
      </c>
      <c r="C648" s="565">
        <v>225</v>
      </c>
      <c r="D648" s="565">
        <v>116</v>
      </c>
      <c r="E648" s="565">
        <v>97</v>
      </c>
      <c r="F648" s="565">
        <v>144</v>
      </c>
      <c r="G648" s="565">
        <v>215</v>
      </c>
      <c r="H648" s="565">
        <v>95</v>
      </c>
      <c r="I648" s="565">
        <v>1216</v>
      </c>
      <c r="L648" s="738"/>
    </row>
    <row r="649" spans="1:12" s="739" customFormat="1" ht="9" customHeight="1" x14ac:dyDescent="0.25">
      <c r="A649" s="570" t="s">
        <v>28</v>
      </c>
      <c r="B649" s="547">
        <f t="shared" si="35"/>
        <v>502</v>
      </c>
      <c r="C649" s="565">
        <v>47</v>
      </c>
      <c r="D649" s="565">
        <v>27</v>
      </c>
      <c r="E649" s="565">
        <v>37</v>
      </c>
      <c r="F649" s="565">
        <v>52</v>
      </c>
      <c r="G649" s="565">
        <v>46</v>
      </c>
      <c r="H649" s="565">
        <v>32</v>
      </c>
      <c r="I649" s="565">
        <v>261</v>
      </c>
      <c r="L649" s="738"/>
    </row>
    <row r="650" spans="1:12" s="739" customFormat="1" ht="9" customHeight="1" x14ac:dyDescent="0.25">
      <c r="A650" s="570" t="s">
        <v>29</v>
      </c>
      <c r="B650" s="547">
        <f t="shared" si="35"/>
        <v>3046</v>
      </c>
      <c r="C650" s="565">
        <v>180</v>
      </c>
      <c r="D650" s="565">
        <v>426</v>
      </c>
      <c r="E650" s="565">
        <v>234</v>
      </c>
      <c r="F650" s="565">
        <v>262</v>
      </c>
      <c r="G650" s="565">
        <v>142</v>
      </c>
      <c r="H650" s="565">
        <v>228</v>
      </c>
      <c r="I650" s="565">
        <v>1574</v>
      </c>
      <c r="L650" s="738"/>
    </row>
    <row r="651" spans="1:12" s="739" customFormat="1" ht="9" customHeight="1" x14ac:dyDescent="0.25">
      <c r="A651" s="571" t="s">
        <v>30</v>
      </c>
      <c r="B651" s="549">
        <f t="shared" si="35"/>
        <v>2698</v>
      </c>
      <c r="C651" s="568">
        <v>333</v>
      </c>
      <c r="D651" s="568">
        <v>160</v>
      </c>
      <c r="E651" s="568">
        <v>127</v>
      </c>
      <c r="F651" s="568">
        <v>189</v>
      </c>
      <c r="G651" s="568">
        <v>261</v>
      </c>
      <c r="H651" s="568">
        <v>129</v>
      </c>
      <c r="I651" s="568">
        <v>1499</v>
      </c>
      <c r="L651" s="738"/>
    </row>
    <row r="652" spans="1:12" s="739" customFormat="1" ht="9" customHeight="1" x14ac:dyDescent="0.25">
      <c r="A652" s="570" t="s">
        <v>63</v>
      </c>
      <c r="B652" s="547">
        <f t="shared" si="35"/>
        <v>8063</v>
      </c>
      <c r="C652" s="565">
        <v>619</v>
      </c>
      <c r="D652" s="565">
        <v>605</v>
      </c>
      <c r="E652" s="565">
        <v>319</v>
      </c>
      <c r="F652" s="565">
        <v>631</v>
      </c>
      <c r="G652" s="565">
        <v>740</v>
      </c>
      <c r="H652" s="565">
        <v>401</v>
      </c>
      <c r="I652" s="565">
        <v>4748</v>
      </c>
      <c r="L652" s="738"/>
    </row>
    <row r="653" spans="1:12" s="739" customFormat="1" ht="9" customHeight="1" x14ac:dyDescent="0.25">
      <c r="A653" s="570" t="s">
        <v>31</v>
      </c>
      <c r="B653" s="547">
        <f t="shared" si="35"/>
        <v>1050</v>
      </c>
      <c r="C653" s="565">
        <v>104</v>
      </c>
      <c r="D653" s="565">
        <v>73</v>
      </c>
      <c r="E653" s="565">
        <v>48</v>
      </c>
      <c r="F653" s="565">
        <v>102</v>
      </c>
      <c r="G653" s="565">
        <v>92</v>
      </c>
      <c r="H653" s="565">
        <v>72</v>
      </c>
      <c r="I653" s="565">
        <v>559</v>
      </c>
      <c r="L653" s="738"/>
    </row>
    <row r="654" spans="1:12" s="739" customFormat="1" ht="9" customHeight="1" x14ac:dyDescent="0.25">
      <c r="A654" s="570" t="s">
        <v>32</v>
      </c>
      <c r="B654" s="547">
        <f t="shared" si="35"/>
        <v>3305</v>
      </c>
      <c r="C654" s="565">
        <v>288</v>
      </c>
      <c r="D654" s="565">
        <v>199</v>
      </c>
      <c r="E654" s="565">
        <v>172</v>
      </c>
      <c r="F654" s="565">
        <v>307</v>
      </c>
      <c r="G654" s="565">
        <v>277</v>
      </c>
      <c r="H654" s="565">
        <v>191</v>
      </c>
      <c r="I654" s="565">
        <v>1871</v>
      </c>
      <c r="L654" s="738"/>
    </row>
    <row r="655" spans="1:12" s="739" customFormat="1" ht="9" customHeight="1" x14ac:dyDescent="0.25">
      <c r="A655" s="571" t="s">
        <v>33</v>
      </c>
      <c r="B655" s="549">
        <f t="shared" si="35"/>
        <v>1939</v>
      </c>
      <c r="C655" s="568">
        <v>150</v>
      </c>
      <c r="D655" s="568">
        <v>234</v>
      </c>
      <c r="E655" s="568">
        <v>147</v>
      </c>
      <c r="F655" s="568">
        <v>179</v>
      </c>
      <c r="G655" s="568">
        <v>118</v>
      </c>
      <c r="H655" s="568">
        <v>109</v>
      </c>
      <c r="I655" s="568">
        <v>1002</v>
      </c>
      <c r="L655" s="738"/>
    </row>
    <row r="656" spans="1:12" s="739" customFormat="1" ht="9" customHeight="1" x14ac:dyDescent="0.25">
      <c r="A656" s="570" t="s">
        <v>34</v>
      </c>
      <c r="B656" s="547">
        <f t="shared" si="35"/>
        <v>1732</v>
      </c>
      <c r="C656" s="565">
        <v>92</v>
      </c>
      <c r="D656" s="565">
        <v>136</v>
      </c>
      <c r="E656" s="565">
        <v>63</v>
      </c>
      <c r="F656" s="565">
        <v>129</v>
      </c>
      <c r="G656" s="565">
        <v>120</v>
      </c>
      <c r="H656" s="565">
        <v>116</v>
      </c>
      <c r="I656" s="565">
        <v>1076</v>
      </c>
      <c r="L656" s="738"/>
    </row>
    <row r="657" spans="1:12" s="739" customFormat="1" ht="9" customHeight="1" x14ac:dyDescent="0.25">
      <c r="A657" s="570" t="s">
        <v>35</v>
      </c>
      <c r="B657" s="547">
        <f t="shared" si="35"/>
        <v>5315</v>
      </c>
      <c r="C657" s="565">
        <v>572</v>
      </c>
      <c r="D657" s="565">
        <v>310</v>
      </c>
      <c r="E657" s="565">
        <v>208</v>
      </c>
      <c r="F657" s="565">
        <v>501</v>
      </c>
      <c r="G657" s="565">
        <v>497</v>
      </c>
      <c r="H657" s="565">
        <v>313</v>
      </c>
      <c r="I657" s="565">
        <v>2914</v>
      </c>
      <c r="L657" s="738"/>
    </row>
    <row r="658" spans="1:12" s="739" customFormat="1" ht="9" customHeight="1" x14ac:dyDescent="0.25">
      <c r="A658" s="570" t="s">
        <v>36</v>
      </c>
      <c r="B658" s="547">
        <f t="shared" si="35"/>
        <v>9167</v>
      </c>
      <c r="C658" s="565">
        <v>643</v>
      </c>
      <c r="D658" s="565">
        <v>810</v>
      </c>
      <c r="E658" s="565">
        <v>467</v>
      </c>
      <c r="F658" s="565">
        <v>634</v>
      </c>
      <c r="G658" s="565">
        <v>744</v>
      </c>
      <c r="H658" s="565">
        <v>550</v>
      </c>
      <c r="I658" s="565">
        <v>5319</v>
      </c>
      <c r="L658" s="738"/>
    </row>
    <row r="659" spans="1:12" s="739" customFormat="1" ht="9" customHeight="1" x14ac:dyDescent="0.25">
      <c r="A659" s="571" t="s">
        <v>37</v>
      </c>
      <c r="B659" s="549">
        <f t="shared" si="35"/>
        <v>3242</v>
      </c>
      <c r="C659" s="568">
        <v>308</v>
      </c>
      <c r="D659" s="568">
        <v>222</v>
      </c>
      <c r="E659" s="568">
        <v>141</v>
      </c>
      <c r="F659" s="568">
        <v>348</v>
      </c>
      <c r="G659" s="568">
        <v>216</v>
      </c>
      <c r="H659" s="568">
        <v>188</v>
      </c>
      <c r="I659" s="568">
        <v>1819</v>
      </c>
      <c r="L659" s="738"/>
    </row>
    <row r="660" spans="1:12" s="739" customFormat="1" ht="9" customHeight="1" x14ac:dyDescent="0.25">
      <c r="A660" s="570" t="s">
        <v>38</v>
      </c>
      <c r="B660" s="547">
        <f t="shared" si="35"/>
        <v>1347</v>
      </c>
      <c r="C660" s="565">
        <v>89</v>
      </c>
      <c r="D660" s="565">
        <v>126</v>
      </c>
      <c r="E660" s="565">
        <v>81</v>
      </c>
      <c r="F660" s="565">
        <v>104</v>
      </c>
      <c r="G660" s="565">
        <v>98</v>
      </c>
      <c r="H660" s="565">
        <v>64</v>
      </c>
      <c r="I660" s="565">
        <v>785</v>
      </c>
      <c r="L660" s="738"/>
    </row>
    <row r="661" spans="1:12" s="739" customFormat="1" ht="9" customHeight="1" x14ac:dyDescent="0.25">
      <c r="A661" s="570" t="s">
        <v>39</v>
      </c>
      <c r="B661" s="547">
        <f t="shared" si="35"/>
        <v>896</v>
      </c>
      <c r="C661" s="565">
        <v>113</v>
      </c>
      <c r="D661" s="565">
        <v>56</v>
      </c>
      <c r="E661" s="565">
        <v>50</v>
      </c>
      <c r="F661" s="565">
        <v>122</v>
      </c>
      <c r="G661" s="565">
        <v>45</v>
      </c>
      <c r="H661" s="565">
        <v>39</v>
      </c>
      <c r="I661" s="565">
        <v>471</v>
      </c>
      <c r="L661" s="738"/>
    </row>
    <row r="662" spans="1:12" s="739" customFormat="1" ht="9" customHeight="1" x14ac:dyDescent="0.25">
      <c r="A662" s="570" t="s">
        <v>40</v>
      </c>
      <c r="B662" s="547">
        <f t="shared" si="35"/>
        <v>3690</v>
      </c>
      <c r="C662" s="565">
        <v>413</v>
      </c>
      <c r="D662" s="565">
        <v>186</v>
      </c>
      <c r="E662" s="565">
        <v>132</v>
      </c>
      <c r="F662" s="565">
        <v>244</v>
      </c>
      <c r="G662" s="565">
        <v>386</v>
      </c>
      <c r="H662" s="565">
        <v>176</v>
      </c>
      <c r="I662" s="565">
        <v>2153</v>
      </c>
      <c r="L662" s="738"/>
    </row>
    <row r="663" spans="1:12" s="739" customFormat="1" ht="9" customHeight="1" x14ac:dyDescent="0.25">
      <c r="A663" s="571" t="s">
        <v>41</v>
      </c>
      <c r="B663" s="549">
        <f t="shared" si="35"/>
        <v>2627</v>
      </c>
      <c r="C663" s="568">
        <v>142</v>
      </c>
      <c r="D663" s="568">
        <v>295</v>
      </c>
      <c r="E663" s="568">
        <v>170</v>
      </c>
      <c r="F663" s="568">
        <v>222</v>
      </c>
      <c r="G663" s="568">
        <v>125</v>
      </c>
      <c r="H663" s="568">
        <v>172</v>
      </c>
      <c r="I663" s="568">
        <v>1501</v>
      </c>
      <c r="L663" s="738"/>
    </row>
    <row r="664" spans="1:12" s="739" customFormat="1" ht="9" customHeight="1" x14ac:dyDescent="0.25">
      <c r="A664" s="570" t="s">
        <v>42</v>
      </c>
      <c r="B664" s="547">
        <f t="shared" si="35"/>
        <v>3683</v>
      </c>
      <c r="C664" s="565">
        <v>219</v>
      </c>
      <c r="D664" s="565">
        <v>324</v>
      </c>
      <c r="E664" s="565">
        <v>197</v>
      </c>
      <c r="F664" s="565">
        <v>268</v>
      </c>
      <c r="G664" s="565">
        <v>217</v>
      </c>
      <c r="H664" s="565">
        <v>213</v>
      </c>
      <c r="I664" s="565">
        <v>2245</v>
      </c>
      <c r="L664" s="738"/>
    </row>
    <row r="665" spans="1:12" s="739" customFormat="1" ht="9" customHeight="1" x14ac:dyDescent="0.25">
      <c r="A665" s="570" t="s">
        <v>43</v>
      </c>
      <c r="B665" s="547">
        <f t="shared" si="35"/>
        <v>1105</v>
      </c>
      <c r="C665" s="565">
        <v>85</v>
      </c>
      <c r="D665" s="565">
        <v>63</v>
      </c>
      <c r="E665" s="565">
        <v>35</v>
      </c>
      <c r="F665" s="565">
        <v>71</v>
      </c>
      <c r="G665" s="565">
        <v>80</v>
      </c>
      <c r="H665" s="565">
        <v>64</v>
      </c>
      <c r="I665" s="565">
        <v>707</v>
      </c>
      <c r="L665" s="738"/>
    </row>
    <row r="666" spans="1:12" s="739" customFormat="1" ht="9" customHeight="1" x14ac:dyDescent="0.25">
      <c r="A666" s="570" t="s">
        <v>44</v>
      </c>
      <c r="B666" s="547">
        <f t="shared" si="35"/>
        <v>690</v>
      </c>
      <c r="C666" s="565">
        <v>65</v>
      </c>
      <c r="D666" s="565">
        <v>59</v>
      </c>
      <c r="E666" s="565">
        <v>57</v>
      </c>
      <c r="F666" s="565">
        <v>35</v>
      </c>
      <c r="G666" s="565">
        <v>59</v>
      </c>
      <c r="H666" s="565">
        <v>43</v>
      </c>
      <c r="I666" s="565">
        <v>372</v>
      </c>
      <c r="L666" s="738"/>
    </row>
    <row r="667" spans="1:12" s="739" customFormat="1" ht="9" customHeight="1" x14ac:dyDescent="0.25">
      <c r="A667" s="571" t="s">
        <v>45</v>
      </c>
      <c r="B667" s="549">
        <f t="shared" si="35"/>
        <v>1771</v>
      </c>
      <c r="C667" s="568">
        <v>133</v>
      </c>
      <c r="D667" s="568">
        <v>111</v>
      </c>
      <c r="E667" s="568">
        <v>96</v>
      </c>
      <c r="F667" s="568">
        <v>157</v>
      </c>
      <c r="G667" s="568">
        <v>114</v>
      </c>
      <c r="H667" s="568">
        <v>93</v>
      </c>
      <c r="I667" s="568">
        <v>1067</v>
      </c>
      <c r="L667" s="738"/>
    </row>
    <row r="668" spans="1:12" s="739" customFormat="1" ht="9" customHeight="1" x14ac:dyDescent="0.25">
      <c r="A668" s="570" t="s">
        <v>46</v>
      </c>
      <c r="B668" s="547">
        <f t="shared" si="35"/>
        <v>2175</v>
      </c>
      <c r="C668" s="565">
        <v>339</v>
      </c>
      <c r="D668" s="565">
        <v>143</v>
      </c>
      <c r="E668" s="565">
        <v>89</v>
      </c>
      <c r="F668" s="565">
        <v>221</v>
      </c>
      <c r="G668" s="565">
        <v>189</v>
      </c>
      <c r="H668" s="565">
        <v>91</v>
      </c>
      <c r="I668" s="565">
        <v>1103</v>
      </c>
      <c r="L668" s="738"/>
    </row>
    <row r="669" spans="1:12" s="739" customFormat="1" ht="9" customHeight="1" x14ac:dyDescent="0.25">
      <c r="A669" s="570" t="s">
        <v>47</v>
      </c>
      <c r="B669" s="547">
        <f t="shared" si="35"/>
        <v>2435</v>
      </c>
      <c r="C669" s="565">
        <v>318</v>
      </c>
      <c r="D669" s="565">
        <v>160</v>
      </c>
      <c r="E669" s="565">
        <v>111</v>
      </c>
      <c r="F669" s="565">
        <v>181</v>
      </c>
      <c r="G669" s="565">
        <v>234</v>
      </c>
      <c r="H669" s="565">
        <v>105</v>
      </c>
      <c r="I669" s="565">
        <v>1326</v>
      </c>
      <c r="L669" s="738"/>
    </row>
    <row r="670" spans="1:12" s="739" customFormat="1" ht="9" customHeight="1" x14ac:dyDescent="0.25">
      <c r="A670" s="570" t="s">
        <v>48</v>
      </c>
      <c r="B670" s="547">
        <f t="shared" si="35"/>
        <v>1334</v>
      </c>
      <c r="C670" s="565">
        <v>106</v>
      </c>
      <c r="D670" s="565">
        <v>100</v>
      </c>
      <c r="E670" s="565">
        <v>66</v>
      </c>
      <c r="F670" s="565">
        <v>116</v>
      </c>
      <c r="G670" s="565">
        <v>99</v>
      </c>
      <c r="H670" s="565">
        <v>99</v>
      </c>
      <c r="I670" s="565">
        <v>748</v>
      </c>
      <c r="L670" s="738"/>
    </row>
    <row r="671" spans="1:12" s="739" customFormat="1" ht="9" customHeight="1" x14ac:dyDescent="0.25">
      <c r="A671" s="571" t="s">
        <v>49</v>
      </c>
      <c r="B671" s="549">
        <f t="shared" si="35"/>
        <v>2439</v>
      </c>
      <c r="C671" s="568">
        <v>253</v>
      </c>
      <c r="D671" s="568">
        <v>141</v>
      </c>
      <c r="E671" s="568">
        <v>138</v>
      </c>
      <c r="F671" s="568">
        <v>213</v>
      </c>
      <c r="G671" s="568">
        <v>214</v>
      </c>
      <c r="H671" s="568">
        <v>99</v>
      </c>
      <c r="I671" s="568">
        <v>1381</v>
      </c>
      <c r="L671" s="738"/>
    </row>
    <row r="672" spans="1:12" s="739" customFormat="1" ht="9" customHeight="1" x14ac:dyDescent="0.25">
      <c r="A672" s="570" t="s">
        <v>50</v>
      </c>
      <c r="B672" s="547">
        <f t="shared" si="35"/>
        <v>672</v>
      </c>
      <c r="C672" s="565">
        <v>50</v>
      </c>
      <c r="D672" s="565">
        <v>58</v>
      </c>
      <c r="E672" s="565">
        <v>37</v>
      </c>
      <c r="F672" s="565">
        <v>47</v>
      </c>
      <c r="G672" s="565">
        <v>42</v>
      </c>
      <c r="H672" s="565">
        <v>41</v>
      </c>
      <c r="I672" s="565">
        <v>397</v>
      </c>
      <c r="L672" s="738"/>
    </row>
    <row r="673" spans="1:12" s="739" customFormat="1" ht="9" customHeight="1" x14ac:dyDescent="0.25">
      <c r="A673" s="570" t="s">
        <v>51</v>
      </c>
      <c r="B673" s="547">
        <f t="shared" si="35"/>
        <v>6004</v>
      </c>
      <c r="C673" s="565">
        <v>380</v>
      </c>
      <c r="D673" s="565">
        <v>486</v>
      </c>
      <c r="E673" s="565">
        <v>368</v>
      </c>
      <c r="F673" s="565">
        <v>510</v>
      </c>
      <c r="G673" s="565">
        <v>376</v>
      </c>
      <c r="H673" s="565">
        <v>279</v>
      </c>
      <c r="I673" s="565">
        <v>3605</v>
      </c>
      <c r="L673" s="738"/>
    </row>
    <row r="674" spans="1:12" s="739" customFormat="1" ht="9" customHeight="1" x14ac:dyDescent="0.25">
      <c r="A674" s="570" t="s">
        <v>52</v>
      </c>
      <c r="B674" s="547">
        <f t="shared" si="35"/>
        <v>1362</v>
      </c>
      <c r="C674" s="565">
        <v>75</v>
      </c>
      <c r="D674" s="565">
        <v>129</v>
      </c>
      <c r="E674" s="565">
        <v>92</v>
      </c>
      <c r="F674" s="565">
        <v>99</v>
      </c>
      <c r="G674" s="565">
        <v>81</v>
      </c>
      <c r="H674" s="565">
        <v>66</v>
      </c>
      <c r="I674" s="565">
        <v>820</v>
      </c>
      <c r="L674" s="738"/>
    </row>
    <row r="675" spans="1:12" s="739" customFormat="1" ht="9" customHeight="1" x14ac:dyDescent="0.25">
      <c r="A675" s="571" t="s">
        <v>53</v>
      </c>
      <c r="B675" s="549">
        <f t="shared" si="35"/>
        <v>1053</v>
      </c>
      <c r="C675" s="568">
        <v>115</v>
      </c>
      <c r="D675" s="568">
        <v>52</v>
      </c>
      <c r="E675" s="568">
        <v>39</v>
      </c>
      <c r="F675" s="568">
        <v>102</v>
      </c>
      <c r="G675" s="568">
        <v>89</v>
      </c>
      <c r="H675" s="568">
        <v>55</v>
      </c>
      <c r="I675" s="568">
        <v>601</v>
      </c>
      <c r="L675" s="738"/>
    </row>
    <row r="676" spans="1:12" s="739" customFormat="1" ht="9" customHeight="1" x14ac:dyDescent="0.25">
      <c r="A676" s="570" t="s">
        <v>434</v>
      </c>
      <c r="B676" s="547">
        <f t="shared" si="35"/>
        <v>99</v>
      </c>
      <c r="C676" s="565">
        <v>15</v>
      </c>
      <c r="D676" s="565">
        <v>9</v>
      </c>
      <c r="E676" s="565">
        <v>4</v>
      </c>
      <c r="F676" s="565">
        <v>6</v>
      </c>
      <c r="G676" s="565">
        <v>9</v>
      </c>
      <c r="H676" s="565">
        <v>5</v>
      </c>
      <c r="I676" s="565">
        <v>51</v>
      </c>
      <c r="L676" s="738"/>
    </row>
    <row r="677" spans="1:12" s="739" customFormat="1" ht="3" customHeight="1" x14ac:dyDescent="0.25">
      <c r="A677" s="737"/>
      <c r="B677" s="738"/>
      <c r="C677" s="738"/>
      <c r="D677" s="738"/>
      <c r="E677" s="738"/>
      <c r="F677" s="738"/>
      <c r="G677" s="738"/>
      <c r="H677" s="738"/>
      <c r="I677" s="738"/>
    </row>
    <row r="678" spans="1:12" s="739" customFormat="1" ht="9" customHeight="1" x14ac:dyDescent="0.25">
      <c r="A678" s="740">
        <v>2016</v>
      </c>
      <c r="B678" s="741"/>
      <c r="C678" s="742"/>
      <c r="D678" s="742"/>
      <c r="E678" s="742"/>
      <c r="F678" s="742"/>
      <c r="G678" s="742"/>
      <c r="H678" s="570"/>
      <c r="I678" s="565"/>
    </row>
    <row r="679" spans="1:12" s="739" customFormat="1" ht="9" customHeight="1" x14ac:dyDescent="0.25">
      <c r="A679" s="743" t="s">
        <v>13</v>
      </c>
      <c r="B679" s="572">
        <f t="shared" ref="B679:I679" si="36">SUM(B681:B713)</f>
        <v>82502</v>
      </c>
      <c r="C679" s="572">
        <f t="shared" si="36"/>
        <v>7044</v>
      </c>
      <c r="D679" s="572">
        <f t="shared" si="36"/>
        <v>6306</v>
      </c>
      <c r="E679" s="572">
        <f t="shared" si="36"/>
        <v>4065</v>
      </c>
      <c r="F679" s="572">
        <f t="shared" si="36"/>
        <v>6919</v>
      </c>
      <c r="G679" s="572">
        <f t="shared" si="36"/>
        <v>6650</v>
      </c>
      <c r="H679" s="572">
        <f t="shared" si="36"/>
        <v>4532</v>
      </c>
      <c r="I679" s="572">
        <f t="shared" si="36"/>
        <v>46986</v>
      </c>
      <c r="L679" s="738"/>
    </row>
    <row r="680" spans="1:12" s="739" customFormat="1" ht="2.4500000000000002" customHeight="1" x14ac:dyDescent="0.25">
      <c r="A680" s="743"/>
      <c r="B680" s="572"/>
      <c r="C680" s="572"/>
      <c r="D680" s="572"/>
      <c r="E680" s="572"/>
      <c r="F680" s="572"/>
      <c r="G680" s="572"/>
      <c r="H680" s="572"/>
      <c r="I680" s="572"/>
      <c r="L680" s="738"/>
    </row>
    <row r="681" spans="1:12" s="739" customFormat="1" ht="9" customHeight="1" x14ac:dyDescent="0.25">
      <c r="A681" s="570" t="s">
        <v>23</v>
      </c>
      <c r="B681" s="547">
        <f t="shared" ref="B681:B713" si="37">SUM(C681:I681)</f>
        <v>751</v>
      </c>
      <c r="C681" s="565">
        <v>98</v>
      </c>
      <c r="D681" s="565">
        <v>34</v>
      </c>
      <c r="E681" s="565">
        <v>35</v>
      </c>
      <c r="F681" s="565">
        <v>65</v>
      </c>
      <c r="G681" s="565">
        <v>71</v>
      </c>
      <c r="H681" s="565">
        <v>33</v>
      </c>
      <c r="I681" s="565">
        <v>415</v>
      </c>
      <c r="L681" s="738"/>
    </row>
    <row r="682" spans="1:12" s="739" customFormat="1" ht="9" customHeight="1" x14ac:dyDescent="0.25">
      <c r="A682" s="570" t="s">
        <v>24</v>
      </c>
      <c r="B682" s="547">
        <f t="shared" si="37"/>
        <v>2255</v>
      </c>
      <c r="C682" s="565">
        <v>231</v>
      </c>
      <c r="D682" s="565">
        <v>133</v>
      </c>
      <c r="E682" s="565">
        <v>114</v>
      </c>
      <c r="F682" s="565">
        <v>156</v>
      </c>
      <c r="G682" s="565">
        <v>192</v>
      </c>
      <c r="H682" s="565">
        <v>98</v>
      </c>
      <c r="I682" s="565">
        <v>1331</v>
      </c>
      <c r="L682" s="738"/>
    </row>
    <row r="683" spans="1:12" s="739" customFormat="1" ht="9" customHeight="1" x14ac:dyDescent="0.25">
      <c r="A683" s="570" t="s">
        <v>25</v>
      </c>
      <c r="B683" s="547">
        <f t="shared" si="37"/>
        <v>462</v>
      </c>
      <c r="C683" s="565">
        <v>69</v>
      </c>
      <c r="D683" s="565">
        <v>34</v>
      </c>
      <c r="E683" s="565">
        <v>26</v>
      </c>
      <c r="F683" s="565">
        <v>22</v>
      </c>
      <c r="G683" s="565">
        <v>34</v>
      </c>
      <c r="H683" s="565">
        <v>28</v>
      </c>
      <c r="I683" s="565">
        <v>249</v>
      </c>
      <c r="L683" s="738"/>
    </row>
    <row r="684" spans="1:12" s="739" customFormat="1" ht="9" customHeight="1" x14ac:dyDescent="0.25">
      <c r="A684" s="571" t="s">
        <v>26</v>
      </c>
      <c r="B684" s="549">
        <f t="shared" si="37"/>
        <v>545</v>
      </c>
      <c r="C684" s="568">
        <v>32</v>
      </c>
      <c r="D684" s="568">
        <v>61</v>
      </c>
      <c r="E684" s="568">
        <v>20</v>
      </c>
      <c r="F684" s="568">
        <v>41</v>
      </c>
      <c r="G684" s="568">
        <v>35</v>
      </c>
      <c r="H684" s="568">
        <v>40</v>
      </c>
      <c r="I684" s="568">
        <v>316</v>
      </c>
      <c r="L684" s="738"/>
    </row>
    <row r="685" spans="1:12" s="739" customFormat="1" ht="9" customHeight="1" x14ac:dyDescent="0.25">
      <c r="A685" s="570" t="s">
        <v>27</v>
      </c>
      <c r="B685" s="547">
        <f t="shared" si="37"/>
        <v>2208</v>
      </c>
      <c r="C685" s="565">
        <v>232</v>
      </c>
      <c r="D685" s="565">
        <v>126</v>
      </c>
      <c r="E685" s="565">
        <v>132</v>
      </c>
      <c r="F685" s="565">
        <v>171</v>
      </c>
      <c r="G685" s="565">
        <v>222</v>
      </c>
      <c r="H685" s="565">
        <v>93</v>
      </c>
      <c r="I685" s="565">
        <v>1232</v>
      </c>
      <c r="L685" s="738"/>
    </row>
    <row r="686" spans="1:12" s="739" customFormat="1" ht="9" customHeight="1" x14ac:dyDescent="0.25">
      <c r="A686" s="570" t="s">
        <v>28</v>
      </c>
      <c r="B686" s="547">
        <f t="shared" si="37"/>
        <v>479</v>
      </c>
      <c r="C686" s="565">
        <v>42</v>
      </c>
      <c r="D686" s="565">
        <v>31</v>
      </c>
      <c r="E686" s="565">
        <v>32</v>
      </c>
      <c r="F686" s="565">
        <v>57</v>
      </c>
      <c r="G686" s="565">
        <v>50</v>
      </c>
      <c r="H686" s="565">
        <v>22</v>
      </c>
      <c r="I686" s="565">
        <v>245</v>
      </c>
      <c r="L686" s="738"/>
    </row>
    <row r="687" spans="1:12" s="739" customFormat="1" ht="9" customHeight="1" x14ac:dyDescent="0.25">
      <c r="A687" s="570" t="s">
        <v>29</v>
      </c>
      <c r="B687" s="547">
        <f t="shared" si="37"/>
        <v>3077</v>
      </c>
      <c r="C687" s="565">
        <v>172</v>
      </c>
      <c r="D687" s="565">
        <v>441</v>
      </c>
      <c r="E687" s="565">
        <v>255</v>
      </c>
      <c r="F687" s="565">
        <v>242</v>
      </c>
      <c r="G687" s="565">
        <v>177</v>
      </c>
      <c r="H687" s="565">
        <v>244</v>
      </c>
      <c r="I687" s="565">
        <v>1546</v>
      </c>
      <c r="L687" s="738"/>
    </row>
    <row r="688" spans="1:12" s="739" customFormat="1" ht="9" customHeight="1" x14ac:dyDescent="0.25">
      <c r="A688" s="571" t="s">
        <v>30</v>
      </c>
      <c r="B688" s="549">
        <f t="shared" si="37"/>
        <v>2864</v>
      </c>
      <c r="C688" s="568">
        <v>409</v>
      </c>
      <c r="D688" s="568">
        <v>173</v>
      </c>
      <c r="E688" s="568">
        <v>139</v>
      </c>
      <c r="F688" s="568">
        <v>223</v>
      </c>
      <c r="G688" s="568">
        <v>285</v>
      </c>
      <c r="H688" s="568">
        <v>106</v>
      </c>
      <c r="I688" s="568">
        <v>1529</v>
      </c>
      <c r="L688" s="738"/>
    </row>
    <row r="689" spans="1:12" s="739" customFormat="1" ht="9" customHeight="1" x14ac:dyDescent="0.25">
      <c r="A689" s="570" t="s">
        <v>63</v>
      </c>
      <c r="B689" s="547">
        <f t="shared" si="37"/>
        <v>8334</v>
      </c>
      <c r="C689" s="565">
        <v>628</v>
      </c>
      <c r="D689" s="565">
        <v>627</v>
      </c>
      <c r="E689" s="565">
        <v>341</v>
      </c>
      <c r="F689" s="565">
        <v>638</v>
      </c>
      <c r="G689" s="565">
        <v>766</v>
      </c>
      <c r="H689" s="565">
        <v>423</v>
      </c>
      <c r="I689" s="565">
        <v>4911</v>
      </c>
      <c r="L689" s="738"/>
    </row>
    <row r="690" spans="1:12" s="739" customFormat="1" ht="9" customHeight="1" x14ac:dyDescent="0.25">
      <c r="A690" s="570" t="s">
        <v>31</v>
      </c>
      <c r="B690" s="547">
        <f t="shared" si="37"/>
        <v>1129</v>
      </c>
      <c r="C690" s="565">
        <v>118</v>
      </c>
      <c r="D690" s="565">
        <v>62</v>
      </c>
      <c r="E690" s="565">
        <v>52</v>
      </c>
      <c r="F690" s="565">
        <v>111</v>
      </c>
      <c r="G690" s="565">
        <v>103</v>
      </c>
      <c r="H690" s="565">
        <v>61</v>
      </c>
      <c r="I690" s="565">
        <v>622</v>
      </c>
      <c r="L690" s="738"/>
    </row>
    <row r="691" spans="1:12" s="739" customFormat="1" ht="9" customHeight="1" x14ac:dyDescent="0.25">
      <c r="A691" s="570" t="s">
        <v>32</v>
      </c>
      <c r="B691" s="547">
        <f t="shared" si="37"/>
        <v>3283</v>
      </c>
      <c r="C691" s="565">
        <v>289</v>
      </c>
      <c r="D691" s="565">
        <v>234</v>
      </c>
      <c r="E691" s="565">
        <v>132</v>
      </c>
      <c r="F691" s="565">
        <v>310</v>
      </c>
      <c r="G691" s="565">
        <v>306</v>
      </c>
      <c r="H691" s="565">
        <v>187</v>
      </c>
      <c r="I691" s="565">
        <v>1825</v>
      </c>
      <c r="L691" s="738"/>
    </row>
    <row r="692" spans="1:12" s="739" customFormat="1" ht="9" customHeight="1" x14ac:dyDescent="0.25">
      <c r="A692" s="571" t="s">
        <v>33</v>
      </c>
      <c r="B692" s="549">
        <f t="shared" si="37"/>
        <v>2004</v>
      </c>
      <c r="C692" s="568">
        <v>142</v>
      </c>
      <c r="D692" s="568">
        <v>263</v>
      </c>
      <c r="E692" s="568">
        <v>112</v>
      </c>
      <c r="F692" s="568">
        <v>187</v>
      </c>
      <c r="G692" s="568">
        <v>134</v>
      </c>
      <c r="H692" s="568">
        <v>125</v>
      </c>
      <c r="I692" s="568">
        <v>1041</v>
      </c>
      <c r="L692" s="738"/>
    </row>
    <row r="693" spans="1:12" s="739" customFormat="1" ht="9" customHeight="1" x14ac:dyDescent="0.25">
      <c r="A693" s="570" t="s">
        <v>34</v>
      </c>
      <c r="B693" s="547">
        <f t="shared" si="37"/>
        <v>1903</v>
      </c>
      <c r="C693" s="565">
        <v>116</v>
      </c>
      <c r="D693" s="565">
        <v>132</v>
      </c>
      <c r="E693" s="565">
        <v>66</v>
      </c>
      <c r="F693" s="565">
        <v>170</v>
      </c>
      <c r="G693" s="565">
        <v>108</v>
      </c>
      <c r="H693" s="565">
        <v>104</v>
      </c>
      <c r="I693" s="565">
        <v>1207</v>
      </c>
      <c r="L693" s="738"/>
    </row>
    <row r="694" spans="1:12" s="739" customFormat="1" ht="9" customHeight="1" x14ac:dyDescent="0.25">
      <c r="A694" s="570" t="s">
        <v>35</v>
      </c>
      <c r="B694" s="547">
        <f t="shared" si="37"/>
        <v>5807</v>
      </c>
      <c r="C694" s="565">
        <v>553</v>
      </c>
      <c r="D694" s="565">
        <v>342</v>
      </c>
      <c r="E694" s="565">
        <v>224</v>
      </c>
      <c r="F694" s="565">
        <v>619</v>
      </c>
      <c r="G694" s="565">
        <v>553</v>
      </c>
      <c r="H694" s="565">
        <v>322</v>
      </c>
      <c r="I694" s="565">
        <v>3194</v>
      </c>
      <c r="L694" s="738"/>
    </row>
    <row r="695" spans="1:12" s="739" customFormat="1" ht="9" customHeight="1" x14ac:dyDescent="0.25">
      <c r="A695" s="570" t="s">
        <v>36</v>
      </c>
      <c r="B695" s="547">
        <f t="shared" si="37"/>
        <v>9629</v>
      </c>
      <c r="C695" s="565">
        <v>675</v>
      </c>
      <c r="D695" s="565">
        <v>819</v>
      </c>
      <c r="E695" s="565">
        <v>448</v>
      </c>
      <c r="F695" s="565">
        <v>705</v>
      </c>
      <c r="G695" s="565">
        <v>764</v>
      </c>
      <c r="H695" s="565">
        <v>532</v>
      </c>
      <c r="I695" s="565">
        <v>5686</v>
      </c>
      <c r="L695" s="738"/>
    </row>
    <row r="696" spans="1:12" s="739" customFormat="1" ht="9" customHeight="1" x14ac:dyDescent="0.25">
      <c r="A696" s="571" t="s">
        <v>37</v>
      </c>
      <c r="B696" s="549">
        <f t="shared" si="37"/>
        <v>3281</v>
      </c>
      <c r="C696" s="568">
        <v>319</v>
      </c>
      <c r="D696" s="568">
        <v>255</v>
      </c>
      <c r="E696" s="568">
        <v>140</v>
      </c>
      <c r="F696" s="568">
        <v>372</v>
      </c>
      <c r="G696" s="568">
        <v>235</v>
      </c>
      <c r="H696" s="568">
        <v>157</v>
      </c>
      <c r="I696" s="568">
        <v>1803</v>
      </c>
      <c r="L696" s="738"/>
    </row>
    <row r="697" spans="1:12" s="739" customFormat="1" ht="9" customHeight="1" x14ac:dyDescent="0.25">
      <c r="A697" s="570" t="s">
        <v>38</v>
      </c>
      <c r="B697" s="547">
        <f t="shared" si="37"/>
        <v>1432</v>
      </c>
      <c r="C697" s="565">
        <v>115</v>
      </c>
      <c r="D697" s="565">
        <v>127</v>
      </c>
      <c r="E697" s="565">
        <v>102</v>
      </c>
      <c r="F697" s="565">
        <v>121</v>
      </c>
      <c r="G697" s="565">
        <v>85</v>
      </c>
      <c r="H697" s="565">
        <v>76</v>
      </c>
      <c r="I697" s="565">
        <v>806</v>
      </c>
      <c r="L697" s="738"/>
    </row>
    <row r="698" spans="1:12" s="739" customFormat="1" ht="9" customHeight="1" x14ac:dyDescent="0.25">
      <c r="A698" s="570" t="s">
        <v>39</v>
      </c>
      <c r="B698" s="547">
        <f t="shared" si="37"/>
        <v>933</v>
      </c>
      <c r="C698" s="565">
        <v>94</v>
      </c>
      <c r="D698" s="565">
        <v>64</v>
      </c>
      <c r="E698" s="565">
        <v>55</v>
      </c>
      <c r="F698" s="565">
        <v>107</v>
      </c>
      <c r="G698" s="565">
        <v>68</v>
      </c>
      <c r="H698" s="565">
        <v>57</v>
      </c>
      <c r="I698" s="565">
        <v>488</v>
      </c>
      <c r="L698" s="738"/>
    </row>
    <row r="699" spans="1:12" s="739" customFormat="1" ht="9" customHeight="1" x14ac:dyDescent="0.25">
      <c r="A699" s="570" t="s">
        <v>40</v>
      </c>
      <c r="B699" s="547">
        <f t="shared" si="37"/>
        <v>3930</v>
      </c>
      <c r="C699" s="565">
        <v>409</v>
      </c>
      <c r="D699" s="565">
        <v>180</v>
      </c>
      <c r="E699" s="565">
        <v>159</v>
      </c>
      <c r="F699" s="565">
        <v>238</v>
      </c>
      <c r="G699" s="565">
        <v>370</v>
      </c>
      <c r="H699" s="565">
        <v>162</v>
      </c>
      <c r="I699" s="565">
        <v>2412</v>
      </c>
      <c r="L699" s="738"/>
    </row>
    <row r="700" spans="1:12" s="739" customFormat="1" ht="9" customHeight="1" x14ac:dyDescent="0.25">
      <c r="A700" s="571" t="s">
        <v>41</v>
      </c>
      <c r="B700" s="549">
        <f t="shared" si="37"/>
        <v>2677</v>
      </c>
      <c r="C700" s="568">
        <v>139</v>
      </c>
      <c r="D700" s="568">
        <v>295</v>
      </c>
      <c r="E700" s="568">
        <v>172</v>
      </c>
      <c r="F700" s="568">
        <v>222</v>
      </c>
      <c r="G700" s="568">
        <v>121</v>
      </c>
      <c r="H700" s="568">
        <v>163</v>
      </c>
      <c r="I700" s="568">
        <v>1565</v>
      </c>
      <c r="L700" s="738"/>
    </row>
    <row r="701" spans="1:12" s="739" customFormat="1" ht="9" customHeight="1" x14ac:dyDescent="0.25">
      <c r="A701" s="570" t="s">
        <v>42</v>
      </c>
      <c r="B701" s="547">
        <f t="shared" si="37"/>
        <v>3653</v>
      </c>
      <c r="C701" s="565">
        <v>191</v>
      </c>
      <c r="D701" s="565">
        <v>342</v>
      </c>
      <c r="E701" s="565">
        <v>201</v>
      </c>
      <c r="F701" s="565">
        <v>283</v>
      </c>
      <c r="G701" s="565">
        <v>252</v>
      </c>
      <c r="H701" s="565">
        <v>241</v>
      </c>
      <c r="I701" s="565">
        <v>2143</v>
      </c>
      <c r="L701" s="738"/>
    </row>
    <row r="702" spans="1:12" s="739" customFormat="1" ht="9" customHeight="1" x14ac:dyDescent="0.25">
      <c r="A702" s="570" t="s">
        <v>43</v>
      </c>
      <c r="B702" s="547">
        <f t="shared" si="37"/>
        <v>1210</v>
      </c>
      <c r="C702" s="565">
        <v>71</v>
      </c>
      <c r="D702" s="565">
        <v>87</v>
      </c>
      <c r="E702" s="565">
        <v>63</v>
      </c>
      <c r="F702" s="565">
        <v>99</v>
      </c>
      <c r="G702" s="565">
        <v>99</v>
      </c>
      <c r="H702" s="565">
        <v>67</v>
      </c>
      <c r="I702" s="565">
        <v>724</v>
      </c>
      <c r="L702" s="738"/>
    </row>
    <row r="703" spans="1:12" s="739" customFormat="1" ht="9" customHeight="1" x14ac:dyDescent="0.25">
      <c r="A703" s="570" t="s">
        <v>44</v>
      </c>
      <c r="B703" s="547">
        <f t="shared" si="37"/>
        <v>702</v>
      </c>
      <c r="C703" s="565">
        <v>52</v>
      </c>
      <c r="D703" s="565">
        <v>62</v>
      </c>
      <c r="E703" s="565">
        <v>59</v>
      </c>
      <c r="F703" s="565">
        <v>45</v>
      </c>
      <c r="G703" s="565">
        <v>52</v>
      </c>
      <c r="H703" s="565">
        <v>60</v>
      </c>
      <c r="I703" s="565">
        <v>372</v>
      </c>
      <c r="L703" s="738"/>
    </row>
    <row r="704" spans="1:12" s="739" customFormat="1" ht="9" customHeight="1" x14ac:dyDescent="0.25">
      <c r="A704" s="571" t="s">
        <v>45</v>
      </c>
      <c r="B704" s="549">
        <f t="shared" si="37"/>
        <v>1867</v>
      </c>
      <c r="C704" s="568">
        <v>151</v>
      </c>
      <c r="D704" s="568">
        <v>113</v>
      </c>
      <c r="E704" s="568">
        <v>83</v>
      </c>
      <c r="F704" s="568">
        <v>181</v>
      </c>
      <c r="G704" s="568">
        <v>150</v>
      </c>
      <c r="H704" s="568">
        <v>100</v>
      </c>
      <c r="I704" s="568">
        <v>1089</v>
      </c>
      <c r="L704" s="738"/>
    </row>
    <row r="705" spans="1:12" s="739" customFormat="1" ht="9" customHeight="1" x14ac:dyDescent="0.25">
      <c r="A705" s="570" t="s">
        <v>46</v>
      </c>
      <c r="B705" s="547">
        <f t="shared" si="37"/>
        <v>2279</v>
      </c>
      <c r="C705" s="565">
        <v>336</v>
      </c>
      <c r="D705" s="565">
        <v>144</v>
      </c>
      <c r="E705" s="565">
        <v>94</v>
      </c>
      <c r="F705" s="565">
        <v>236</v>
      </c>
      <c r="G705" s="565">
        <v>218</v>
      </c>
      <c r="H705" s="565">
        <v>110</v>
      </c>
      <c r="I705" s="565">
        <v>1141</v>
      </c>
      <c r="L705" s="738"/>
    </row>
    <row r="706" spans="1:12" s="739" customFormat="1" ht="9" customHeight="1" x14ac:dyDescent="0.25">
      <c r="A706" s="570" t="s">
        <v>47</v>
      </c>
      <c r="B706" s="547">
        <f t="shared" si="37"/>
        <v>2398</v>
      </c>
      <c r="C706" s="565">
        <v>354</v>
      </c>
      <c r="D706" s="565">
        <v>168</v>
      </c>
      <c r="E706" s="565">
        <v>118</v>
      </c>
      <c r="F706" s="565">
        <v>192</v>
      </c>
      <c r="G706" s="565">
        <v>204</v>
      </c>
      <c r="H706" s="565">
        <v>118</v>
      </c>
      <c r="I706" s="565">
        <v>1244</v>
      </c>
      <c r="L706" s="738"/>
    </row>
    <row r="707" spans="1:12" s="739" customFormat="1" ht="9" customHeight="1" x14ac:dyDescent="0.25">
      <c r="A707" s="570" t="s">
        <v>48</v>
      </c>
      <c r="B707" s="547">
        <f t="shared" si="37"/>
        <v>1401</v>
      </c>
      <c r="C707" s="565">
        <v>100</v>
      </c>
      <c r="D707" s="565">
        <v>109</v>
      </c>
      <c r="E707" s="565">
        <v>67</v>
      </c>
      <c r="F707" s="565">
        <v>126</v>
      </c>
      <c r="G707" s="565">
        <v>96</v>
      </c>
      <c r="H707" s="565">
        <v>124</v>
      </c>
      <c r="I707" s="565">
        <v>779</v>
      </c>
      <c r="L707" s="738"/>
    </row>
    <row r="708" spans="1:12" s="739" customFormat="1" ht="9" customHeight="1" x14ac:dyDescent="0.25">
      <c r="A708" s="571" t="s">
        <v>49</v>
      </c>
      <c r="B708" s="549">
        <f t="shared" si="37"/>
        <v>2436</v>
      </c>
      <c r="C708" s="568">
        <v>263</v>
      </c>
      <c r="D708" s="568">
        <v>146</v>
      </c>
      <c r="E708" s="568">
        <v>116</v>
      </c>
      <c r="F708" s="568">
        <v>194</v>
      </c>
      <c r="G708" s="568">
        <v>232</v>
      </c>
      <c r="H708" s="568">
        <v>101</v>
      </c>
      <c r="I708" s="568">
        <v>1384</v>
      </c>
      <c r="L708" s="738"/>
    </row>
    <row r="709" spans="1:12" s="739" customFormat="1" ht="9" customHeight="1" x14ac:dyDescent="0.25">
      <c r="A709" s="570" t="s">
        <v>50</v>
      </c>
      <c r="B709" s="547">
        <f t="shared" si="37"/>
        <v>756</v>
      </c>
      <c r="C709" s="565">
        <v>36</v>
      </c>
      <c r="D709" s="565">
        <v>67</v>
      </c>
      <c r="E709" s="565">
        <v>38</v>
      </c>
      <c r="F709" s="565">
        <v>56</v>
      </c>
      <c r="G709" s="565">
        <v>48</v>
      </c>
      <c r="H709" s="565">
        <v>51</v>
      </c>
      <c r="I709" s="565">
        <v>460</v>
      </c>
      <c r="L709" s="738"/>
    </row>
    <row r="710" spans="1:12" s="739" customFormat="1" ht="9" customHeight="1" x14ac:dyDescent="0.25">
      <c r="A710" s="570" t="s">
        <v>51</v>
      </c>
      <c r="B710" s="547">
        <f t="shared" si="37"/>
        <v>6097</v>
      </c>
      <c r="C710" s="565">
        <v>365</v>
      </c>
      <c r="D710" s="565">
        <v>443</v>
      </c>
      <c r="E710" s="565">
        <v>338</v>
      </c>
      <c r="F710" s="565">
        <v>497</v>
      </c>
      <c r="G710" s="565">
        <v>425</v>
      </c>
      <c r="H710" s="565">
        <v>358</v>
      </c>
      <c r="I710" s="565">
        <v>3671</v>
      </c>
      <c r="L710" s="738"/>
    </row>
    <row r="711" spans="1:12" s="739" customFormat="1" ht="9" customHeight="1" x14ac:dyDescent="0.25">
      <c r="A711" s="570" t="s">
        <v>52</v>
      </c>
      <c r="B711" s="547">
        <f t="shared" si="37"/>
        <v>1426</v>
      </c>
      <c r="C711" s="565">
        <v>89</v>
      </c>
      <c r="D711" s="565">
        <v>114</v>
      </c>
      <c r="E711" s="565">
        <v>90</v>
      </c>
      <c r="F711" s="565">
        <v>108</v>
      </c>
      <c r="G711" s="565">
        <v>97</v>
      </c>
      <c r="H711" s="565">
        <v>98</v>
      </c>
      <c r="I711" s="565">
        <v>830</v>
      </c>
      <c r="L711" s="738"/>
    </row>
    <row r="712" spans="1:12" s="739" customFormat="1" ht="9" customHeight="1" x14ac:dyDescent="0.25">
      <c r="A712" s="571" t="s">
        <v>53</v>
      </c>
      <c r="B712" s="549">
        <f t="shared" si="37"/>
        <v>1137</v>
      </c>
      <c r="C712" s="568">
        <v>140</v>
      </c>
      <c r="D712" s="568">
        <v>71</v>
      </c>
      <c r="E712" s="568">
        <v>41</v>
      </c>
      <c r="F712" s="568">
        <v>119</v>
      </c>
      <c r="G712" s="568">
        <v>82</v>
      </c>
      <c r="H712" s="568">
        <v>55</v>
      </c>
      <c r="I712" s="568">
        <v>629</v>
      </c>
      <c r="L712" s="738"/>
    </row>
    <row r="713" spans="1:12" s="739" customFormat="1" ht="9" customHeight="1" x14ac:dyDescent="0.25">
      <c r="A713" s="570" t="s">
        <v>434</v>
      </c>
      <c r="B713" s="547">
        <f t="shared" si="37"/>
        <v>157</v>
      </c>
      <c r="C713" s="565">
        <v>14</v>
      </c>
      <c r="D713" s="565">
        <v>7</v>
      </c>
      <c r="E713" s="565">
        <v>1</v>
      </c>
      <c r="F713" s="565">
        <v>6</v>
      </c>
      <c r="G713" s="565">
        <v>16</v>
      </c>
      <c r="H713" s="565">
        <v>16</v>
      </c>
      <c r="I713" s="565">
        <v>97</v>
      </c>
      <c r="L713" s="738"/>
    </row>
    <row r="714" spans="1:12" s="739" customFormat="1" ht="3" customHeight="1" x14ac:dyDescent="0.25">
      <c r="A714" s="737"/>
      <c r="B714" s="738"/>
      <c r="C714" s="738"/>
      <c r="D714" s="738"/>
      <c r="E714" s="738"/>
      <c r="F714" s="738"/>
      <c r="G714" s="738"/>
      <c r="H714" s="738"/>
      <c r="I714" s="738"/>
    </row>
    <row r="715" spans="1:12" s="739" customFormat="1" ht="9" customHeight="1" x14ac:dyDescent="0.25">
      <c r="A715" s="740">
        <v>2017</v>
      </c>
      <c r="B715" s="741"/>
      <c r="C715" s="742"/>
      <c r="D715" s="742"/>
      <c r="E715" s="742"/>
      <c r="F715" s="742"/>
      <c r="G715" s="742"/>
      <c r="H715" s="570"/>
      <c r="I715" s="565"/>
    </row>
    <row r="716" spans="1:12" s="739" customFormat="1" ht="9" customHeight="1" x14ac:dyDescent="0.25">
      <c r="A716" s="743" t="s">
        <v>13</v>
      </c>
      <c r="B716" s="572">
        <f t="shared" ref="B716:I716" si="38">SUM(B718:B751)</f>
        <v>84142</v>
      </c>
      <c r="C716" s="572">
        <f t="shared" si="38"/>
        <v>7049</v>
      </c>
      <c r="D716" s="572">
        <f t="shared" si="38"/>
        <v>6328</v>
      </c>
      <c r="E716" s="572">
        <f t="shared" si="38"/>
        <v>4052</v>
      </c>
      <c r="F716" s="572">
        <f t="shared" si="38"/>
        <v>6676</v>
      </c>
      <c r="G716" s="572">
        <f t="shared" si="38"/>
        <v>6854</v>
      </c>
      <c r="H716" s="572">
        <f t="shared" si="38"/>
        <v>4645</v>
      </c>
      <c r="I716" s="572">
        <f t="shared" si="38"/>
        <v>48538</v>
      </c>
      <c r="L716" s="738"/>
    </row>
    <row r="717" spans="1:12" s="739" customFormat="1" ht="2.4500000000000002" customHeight="1" x14ac:dyDescent="0.25">
      <c r="A717" s="743"/>
      <c r="B717" s="572"/>
      <c r="C717" s="572"/>
      <c r="D717" s="572"/>
      <c r="E717" s="572"/>
      <c r="F717" s="572"/>
      <c r="G717" s="572"/>
      <c r="H717" s="572"/>
      <c r="I717" s="572"/>
      <c r="L717" s="738"/>
    </row>
    <row r="718" spans="1:12" s="739" customFormat="1" ht="9" customHeight="1" x14ac:dyDescent="0.25">
      <c r="A718" s="570" t="s">
        <v>23</v>
      </c>
      <c r="B718" s="547">
        <f t="shared" ref="B718:B751" si="39">SUM(C718:I718)</f>
        <v>834</v>
      </c>
      <c r="C718" s="565">
        <v>91</v>
      </c>
      <c r="D718" s="565">
        <v>36</v>
      </c>
      <c r="E718" s="565">
        <v>36</v>
      </c>
      <c r="F718" s="565">
        <v>69</v>
      </c>
      <c r="G718" s="565">
        <v>89</v>
      </c>
      <c r="H718" s="565">
        <v>44</v>
      </c>
      <c r="I718" s="565">
        <v>469</v>
      </c>
      <c r="L718" s="738"/>
    </row>
    <row r="719" spans="1:12" s="739" customFormat="1" ht="9" customHeight="1" x14ac:dyDescent="0.25">
      <c r="A719" s="570" t="s">
        <v>24</v>
      </c>
      <c r="B719" s="547">
        <f t="shared" si="39"/>
        <v>2322</v>
      </c>
      <c r="C719" s="565">
        <v>217</v>
      </c>
      <c r="D719" s="565">
        <v>142</v>
      </c>
      <c r="E719" s="565">
        <v>123</v>
      </c>
      <c r="F719" s="565">
        <v>164</v>
      </c>
      <c r="G719" s="565">
        <v>202</v>
      </c>
      <c r="H719" s="565">
        <v>117</v>
      </c>
      <c r="I719" s="565">
        <v>1357</v>
      </c>
      <c r="L719" s="738"/>
    </row>
    <row r="720" spans="1:12" s="739" customFormat="1" ht="9" customHeight="1" x14ac:dyDescent="0.25">
      <c r="A720" s="570" t="s">
        <v>25</v>
      </c>
      <c r="B720" s="547">
        <f t="shared" si="39"/>
        <v>511</v>
      </c>
      <c r="C720" s="565">
        <v>61</v>
      </c>
      <c r="D720" s="565">
        <v>48</v>
      </c>
      <c r="E720" s="565">
        <v>22</v>
      </c>
      <c r="F720" s="565">
        <v>36</v>
      </c>
      <c r="G720" s="565">
        <v>55</v>
      </c>
      <c r="H720" s="565">
        <v>32</v>
      </c>
      <c r="I720" s="565">
        <v>257</v>
      </c>
      <c r="L720" s="738"/>
    </row>
    <row r="721" spans="1:12" s="739" customFormat="1" ht="9" customHeight="1" x14ac:dyDescent="0.25">
      <c r="A721" s="571" t="s">
        <v>26</v>
      </c>
      <c r="B721" s="549">
        <f t="shared" si="39"/>
        <v>542</v>
      </c>
      <c r="C721" s="568">
        <v>34</v>
      </c>
      <c r="D721" s="568">
        <v>57</v>
      </c>
      <c r="E721" s="568">
        <v>28</v>
      </c>
      <c r="F721" s="568">
        <v>28</v>
      </c>
      <c r="G721" s="568">
        <v>24</v>
      </c>
      <c r="H721" s="568">
        <v>38</v>
      </c>
      <c r="I721" s="568">
        <v>333</v>
      </c>
      <c r="L721" s="738"/>
    </row>
    <row r="722" spans="1:12" s="739" customFormat="1" ht="9" customHeight="1" x14ac:dyDescent="0.25">
      <c r="A722" s="570" t="s">
        <v>27</v>
      </c>
      <c r="B722" s="547">
        <f t="shared" si="39"/>
        <v>2081</v>
      </c>
      <c r="C722" s="565">
        <v>187</v>
      </c>
      <c r="D722" s="565">
        <v>142</v>
      </c>
      <c r="E722" s="565">
        <v>103</v>
      </c>
      <c r="F722" s="565">
        <v>136</v>
      </c>
      <c r="G722" s="565">
        <v>219</v>
      </c>
      <c r="H722" s="565">
        <v>102</v>
      </c>
      <c r="I722" s="565">
        <v>1192</v>
      </c>
      <c r="L722" s="738"/>
    </row>
    <row r="723" spans="1:12" s="739" customFormat="1" ht="9" customHeight="1" x14ac:dyDescent="0.25">
      <c r="A723" s="570" t="s">
        <v>28</v>
      </c>
      <c r="B723" s="547">
        <f t="shared" si="39"/>
        <v>526</v>
      </c>
      <c r="C723" s="565">
        <v>64</v>
      </c>
      <c r="D723" s="565">
        <v>22</v>
      </c>
      <c r="E723" s="565">
        <v>26</v>
      </c>
      <c r="F723" s="565">
        <v>38</v>
      </c>
      <c r="G723" s="565">
        <v>53</v>
      </c>
      <c r="H723" s="565">
        <v>19</v>
      </c>
      <c r="I723" s="565">
        <v>304</v>
      </c>
      <c r="L723" s="738"/>
    </row>
    <row r="724" spans="1:12" s="739" customFormat="1" ht="9" customHeight="1" x14ac:dyDescent="0.25">
      <c r="A724" s="570" t="s">
        <v>29</v>
      </c>
      <c r="B724" s="547">
        <f t="shared" si="39"/>
        <v>3110</v>
      </c>
      <c r="C724" s="565">
        <v>172</v>
      </c>
      <c r="D724" s="565">
        <v>386</v>
      </c>
      <c r="E724" s="565">
        <v>233</v>
      </c>
      <c r="F724" s="565">
        <v>269</v>
      </c>
      <c r="G724" s="565">
        <v>158</v>
      </c>
      <c r="H724" s="565">
        <v>243</v>
      </c>
      <c r="I724" s="565">
        <v>1649</v>
      </c>
      <c r="L724" s="738"/>
    </row>
    <row r="725" spans="1:12" s="739" customFormat="1" ht="9" customHeight="1" x14ac:dyDescent="0.25">
      <c r="A725" s="571" t="s">
        <v>30</v>
      </c>
      <c r="B725" s="549">
        <f t="shared" si="39"/>
        <v>2977</v>
      </c>
      <c r="C725" s="568">
        <v>364</v>
      </c>
      <c r="D725" s="568">
        <v>174</v>
      </c>
      <c r="E725" s="568">
        <v>140</v>
      </c>
      <c r="F725" s="568">
        <v>238</v>
      </c>
      <c r="G725" s="568">
        <v>281</v>
      </c>
      <c r="H725" s="568">
        <v>123</v>
      </c>
      <c r="I725" s="568">
        <v>1657</v>
      </c>
      <c r="L725" s="738"/>
    </row>
    <row r="726" spans="1:12" s="739" customFormat="1" ht="9" customHeight="1" x14ac:dyDescent="0.25">
      <c r="A726" s="570" t="s">
        <v>63</v>
      </c>
      <c r="B726" s="547">
        <f t="shared" si="39"/>
        <v>8551</v>
      </c>
      <c r="C726" s="565">
        <v>701</v>
      </c>
      <c r="D726" s="565">
        <v>639</v>
      </c>
      <c r="E726" s="565">
        <v>319</v>
      </c>
      <c r="F726" s="565">
        <v>634</v>
      </c>
      <c r="G726" s="565">
        <v>736</v>
      </c>
      <c r="H726" s="565">
        <v>461</v>
      </c>
      <c r="I726" s="565">
        <v>5061</v>
      </c>
      <c r="L726" s="738"/>
    </row>
    <row r="727" spans="1:12" s="739" customFormat="1" ht="9" customHeight="1" x14ac:dyDescent="0.25">
      <c r="A727" s="570" t="s">
        <v>31</v>
      </c>
      <c r="B727" s="547">
        <f t="shared" si="39"/>
        <v>1123</v>
      </c>
      <c r="C727" s="565">
        <v>131</v>
      </c>
      <c r="D727" s="565">
        <v>67</v>
      </c>
      <c r="E727" s="565">
        <v>55</v>
      </c>
      <c r="F727" s="565">
        <v>122</v>
      </c>
      <c r="G727" s="565">
        <v>110</v>
      </c>
      <c r="H727" s="565">
        <v>53</v>
      </c>
      <c r="I727" s="565">
        <v>585</v>
      </c>
      <c r="L727" s="738"/>
    </row>
    <row r="728" spans="1:12" s="739" customFormat="1" ht="9" customHeight="1" x14ac:dyDescent="0.25">
      <c r="A728" s="570" t="s">
        <v>32</v>
      </c>
      <c r="B728" s="547">
        <f t="shared" si="39"/>
        <v>3561</v>
      </c>
      <c r="C728" s="565">
        <v>322</v>
      </c>
      <c r="D728" s="565">
        <v>226</v>
      </c>
      <c r="E728" s="565">
        <v>152</v>
      </c>
      <c r="F728" s="565">
        <v>323</v>
      </c>
      <c r="G728" s="565">
        <v>302</v>
      </c>
      <c r="H728" s="565">
        <v>237</v>
      </c>
      <c r="I728" s="565">
        <v>1999</v>
      </c>
      <c r="L728" s="738"/>
    </row>
    <row r="729" spans="1:12" s="739" customFormat="1" ht="9" customHeight="1" x14ac:dyDescent="0.25">
      <c r="A729" s="571" t="s">
        <v>33</v>
      </c>
      <c r="B729" s="549">
        <f t="shared" si="39"/>
        <v>1988</v>
      </c>
      <c r="C729" s="568">
        <v>150</v>
      </c>
      <c r="D729" s="568">
        <v>236</v>
      </c>
      <c r="E729" s="568">
        <v>120</v>
      </c>
      <c r="F729" s="568">
        <v>162</v>
      </c>
      <c r="G729" s="568">
        <v>128</v>
      </c>
      <c r="H729" s="568">
        <v>114</v>
      </c>
      <c r="I729" s="568">
        <v>1078</v>
      </c>
      <c r="L729" s="738"/>
    </row>
    <row r="730" spans="1:12" s="739" customFormat="1" ht="9" customHeight="1" x14ac:dyDescent="0.25">
      <c r="A730" s="570" t="s">
        <v>34</v>
      </c>
      <c r="B730" s="547">
        <f t="shared" si="39"/>
        <v>1853</v>
      </c>
      <c r="C730" s="565">
        <v>100</v>
      </c>
      <c r="D730" s="565">
        <v>153</v>
      </c>
      <c r="E730" s="565">
        <v>66</v>
      </c>
      <c r="F730" s="565">
        <v>128</v>
      </c>
      <c r="G730" s="565">
        <v>121</v>
      </c>
      <c r="H730" s="565">
        <v>117</v>
      </c>
      <c r="I730" s="565">
        <v>1168</v>
      </c>
      <c r="L730" s="738"/>
    </row>
    <row r="731" spans="1:12" s="739" customFormat="1" ht="9" customHeight="1" x14ac:dyDescent="0.25">
      <c r="A731" s="570" t="s">
        <v>35</v>
      </c>
      <c r="B731" s="547">
        <f t="shared" si="39"/>
        <v>5870</v>
      </c>
      <c r="C731" s="565">
        <v>568</v>
      </c>
      <c r="D731" s="565">
        <v>296</v>
      </c>
      <c r="E731" s="565">
        <v>193</v>
      </c>
      <c r="F731" s="565">
        <v>540</v>
      </c>
      <c r="G731" s="565">
        <v>571</v>
      </c>
      <c r="H731" s="565">
        <v>337</v>
      </c>
      <c r="I731" s="565">
        <v>3365</v>
      </c>
      <c r="L731" s="738"/>
    </row>
    <row r="732" spans="1:12" s="739" customFormat="1" ht="9" customHeight="1" x14ac:dyDescent="0.25">
      <c r="A732" s="570" t="s">
        <v>36</v>
      </c>
      <c r="B732" s="547">
        <f t="shared" si="39"/>
        <v>9855</v>
      </c>
      <c r="C732" s="565">
        <v>676</v>
      </c>
      <c r="D732" s="565">
        <v>813</v>
      </c>
      <c r="E732" s="565">
        <v>479</v>
      </c>
      <c r="F732" s="565">
        <v>685</v>
      </c>
      <c r="G732" s="565">
        <v>832</v>
      </c>
      <c r="H732" s="565">
        <v>523</v>
      </c>
      <c r="I732" s="565">
        <v>5847</v>
      </c>
      <c r="L732" s="738"/>
    </row>
    <row r="733" spans="1:12" s="739" customFormat="1" ht="9" customHeight="1" x14ac:dyDescent="0.25">
      <c r="A733" s="571" t="s">
        <v>37</v>
      </c>
      <c r="B733" s="549">
        <f t="shared" si="39"/>
        <v>3220</v>
      </c>
      <c r="C733" s="568">
        <v>318</v>
      </c>
      <c r="D733" s="568">
        <v>240</v>
      </c>
      <c r="E733" s="568">
        <v>163</v>
      </c>
      <c r="F733" s="568">
        <v>332</v>
      </c>
      <c r="G733" s="568">
        <v>210</v>
      </c>
      <c r="H733" s="568">
        <v>154</v>
      </c>
      <c r="I733" s="568">
        <v>1803</v>
      </c>
      <c r="L733" s="738"/>
    </row>
    <row r="734" spans="1:12" s="739" customFormat="1" ht="9" customHeight="1" x14ac:dyDescent="0.25">
      <c r="A734" s="570" t="s">
        <v>38</v>
      </c>
      <c r="B734" s="547">
        <f t="shared" si="39"/>
        <v>1492</v>
      </c>
      <c r="C734" s="565">
        <v>83</v>
      </c>
      <c r="D734" s="565">
        <v>161</v>
      </c>
      <c r="E734" s="565">
        <v>99</v>
      </c>
      <c r="F734" s="565">
        <v>108</v>
      </c>
      <c r="G734" s="565">
        <v>112</v>
      </c>
      <c r="H734" s="565">
        <v>93</v>
      </c>
      <c r="I734" s="565">
        <v>836</v>
      </c>
      <c r="L734" s="738"/>
    </row>
    <row r="735" spans="1:12" s="739" customFormat="1" ht="9" customHeight="1" x14ac:dyDescent="0.25">
      <c r="A735" s="570" t="s">
        <v>39</v>
      </c>
      <c r="B735" s="547">
        <f t="shared" si="39"/>
        <v>931</v>
      </c>
      <c r="C735" s="565">
        <v>98</v>
      </c>
      <c r="D735" s="565">
        <v>61</v>
      </c>
      <c r="E735" s="565">
        <v>48</v>
      </c>
      <c r="F735" s="565">
        <v>106</v>
      </c>
      <c r="G735" s="565">
        <v>70</v>
      </c>
      <c r="H735" s="565">
        <v>37</v>
      </c>
      <c r="I735" s="565">
        <v>511</v>
      </c>
      <c r="L735" s="738"/>
    </row>
    <row r="736" spans="1:12" s="739" customFormat="1" ht="9" customHeight="1" x14ac:dyDescent="0.25">
      <c r="A736" s="570" t="s">
        <v>40</v>
      </c>
      <c r="B736" s="547">
        <f t="shared" si="39"/>
        <v>3799</v>
      </c>
      <c r="C736" s="565">
        <v>396</v>
      </c>
      <c r="D736" s="565">
        <v>171</v>
      </c>
      <c r="E736" s="565">
        <v>131</v>
      </c>
      <c r="F736" s="565">
        <v>276</v>
      </c>
      <c r="G736" s="565">
        <v>388</v>
      </c>
      <c r="H736" s="565">
        <v>161</v>
      </c>
      <c r="I736" s="565">
        <v>2276</v>
      </c>
      <c r="L736" s="738"/>
    </row>
    <row r="737" spans="1:12" s="739" customFormat="1" ht="9" customHeight="1" x14ac:dyDescent="0.25">
      <c r="A737" s="571" t="s">
        <v>41</v>
      </c>
      <c r="B737" s="549">
        <f t="shared" si="39"/>
        <v>2722</v>
      </c>
      <c r="C737" s="568">
        <v>131</v>
      </c>
      <c r="D737" s="568">
        <v>290</v>
      </c>
      <c r="E737" s="568">
        <v>162</v>
      </c>
      <c r="F737" s="568">
        <v>223</v>
      </c>
      <c r="G737" s="568">
        <v>139</v>
      </c>
      <c r="H737" s="568">
        <v>163</v>
      </c>
      <c r="I737" s="568">
        <v>1614</v>
      </c>
      <c r="L737" s="738"/>
    </row>
    <row r="738" spans="1:12" s="739" customFormat="1" ht="9" customHeight="1" x14ac:dyDescent="0.25">
      <c r="A738" s="570" t="s">
        <v>42</v>
      </c>
      <c r="B738" s="547">
        <f t="shared" si="39"/>
        <v>3975</v>
      </c>
      <c r="C738" s="565">
        <v>223</v>
      </c>
      <c r="D738" s="565">
        <v>363</v>
      </c>
      <c r="E738" s="565">
        <v>225</v>
      </c>
      <c r="F738" s="565">
        <v>287</v>
      </c>
      <c r="G738" s="565">
        <v>261</v>
      </c>
      <c r="H738" s="565">
        <v>295</v>
      </c>
      <c r="I738" s="565">
        <v>2321</v>
      </c>
      <c r="L738" s="738"/>
    </row>
    <row r="739" spans="1:12" s="739" customFormat="1" ht="9" customHeight="1" x14ac:dyDescent="0.25">
      <c r="A739" s="570" t="s">
        <v>43</v>
      </c>
      <c r="B739" s="547">
        <f t="shared" si="39"/>
        <v>1316</v>
      </c>
      <c r="C739" s="565">
        <v>90</v>
      </c>
      <c r="D739" s="565">
        <v>75</v>
      </c>
      <c r="E739" s="565">
        <v>68</v>
      </c>
      <c r="F739" s="565">
        <v>88</v>
      </c>
      <c r="G739" s="565">
        <v>128</v>
      </c>
      <c r="H739" s="565">
        <v>88</v>
      </c>
      <c r="I739" s="565">
        <v>779</v>
      </c>
      <c r="L739" s="738"/>
    </row>
    <row r="740" spans="1:12" s="739" customFormat="1" ht="9" customHeight="1" x14ac:dyDescent="0.25">
      <c r="A740" s="570" t="s">
        <v>44</v>
      </c>
      <c r="B740" s="547">
        <f t="shared" si="39"/>
        <v>783</v>
      </c>
      <c r="C740" s="565">
        <v>82</v>
      </c>
      <c r="D740" s="565">
        <v>61</v>
      </c>
      <c r="E740" s="565">
        <v>60</v>
      </c>
      <c r="F740" s="565">
        <v>43</v>
      </c>
      <c r="G740" s="565">
        <v>59</v>
      </c>
      <c r="H740" s="565">
        <v>59</v>
      </c>
      <c r="I740" s="565">
        <v>419</v>
      </c>
      <c r="L740" s="738"/>
    </row>
    <row r="741" spans="1:12" s="739" customFormat="1" ht="9" customHeight="1" x14ac:dyDescent="0.25">
      <c r="A741" s="571" t="s">
        <v>45</v>
      </c>
      <c r="B741" s="549">
        <f t="shared" si="39"/>
        <v>1888</v>
      </c>
      <c r="C741" s="568">
        <v>150</v>
      </c>
      <c r="D741" s="568">
        <v>118</v>
      </c>
      <c r="E741" s="568">
        <v>68</v>
      </c>
      <c r="F741" s="568">
        <v>149</v>
      </c>
      <c r="G741" s="568">
        <v>148</v>
      </c>
      <c r="H741" s="568">
        <v>109</v>
      </c>
      <c r="I741" s="568">
        <v>1146</v>
      </c>
      <c r="L741" s="738"/>
    </row>
    <row r="742" spans="1:12" s="739" customFormat="1" ht="9" customHeight="1" x14ac:dyDescent="0.25">
      <c r="A742" s="570" t="s">
        <v>46</v>
      </c>
      <c r="B742" s="547">
        <f t="shared" si="39"/>
        <v>2250</v>
      </c>
      <c r="C742" s="565">
        <v>335</v>
      </c>
      <c r="D742" s="565">
        <v>162</v>
      </c>
      <c r="E742" s="565">
        <v>96</v>
      </c>
      <c r="F742" s="565">
        <v>189</v>
      </c>
      <c r="G742" s="565">
        <v>195</v>
      </c>
      <c r="H742" s="565">
        <v>94</v>
      </c>
      <c r="I742" s="565">
        <v>1179</v>
      </c>
      <c r="L742" s="738"/>
    </row>
    <row r="743" spans="1:12" s="739" customFormat="1" ht="9" customHeight="1" x14ac:dyDescent="0.25">
      <c r="A743" s="570" t="s">
        <v>47</v>
      </c>
      <c r="B743" s="547">
        <f t="shared" si="39"/>
        <v>2310</v>
      </c>
      <c r="C743" s="565">
        <v>278</v>
      </c>
      <c r="D743" s="565">
        <v>166</v>
      </c>
      <c r="E743" s="565">
        <v>105</v>
      </c>
      <c r="F743" s="565">
        <v>160</v>
      </c>
      <c r="G743" s="565">
        <v>214</v>
      </c>
      <c r="H743" s="565">
        <v>98</v>
      </c>
      <c r="I743" s="565">
        <v>1289</v>
      </c>
      <c r="L743" s="738"/>
    </row>
    <row r="744" spans="1:12" s="739" customFormat="1" ht="9" customHeight="1" x14ac:dyDescent="0.25">
      <c r="A744" s="570" t="s">
        <v>48</v>
      </c>
      <c r="B744" s="547">
        <f t="shared" si="39"/>
        <v>1460</v>
      </c>
      <c r="C744" s="565">
        <v>95</v>
      </c>
      <c r="D744" s="565">
        <v>135</v>
      </c>
      <c r="E744" s="565">
        <v>71</v>
      </c>
      <c r="F744" s="565">
        <v>122</v>
      </c>
      <c r="G744" s="565">
        <v>109</v>
      </c>
      <c r="H744" s="565">
        <v>104</v>
      </c>
      <c r="I744" s="565">
        <v>824</v>
      </c>
      <c r="L744" s="738"/>
    </row>
    <row r="745" spans="1:12" s="739" customFormat="1" ht="9" customHeight="1" x14ac:dyDescent="0.25">
      <c r="A745" s="571" t="s">
        <v>49</v>
      </c>
      <c r="B745" s="549">
        <f t="shared" si="39"/>
        <v>2537</v>
      </c>
      <c r="C745" s="568">
        <v>266</v>
      </c>
      <c r="D745" s="568">
        <v>136</v>
      </c>
      <c r="E745" s="568">
        <v>119</v>
      </c>
      <c r="F745" s="568">
        <v>188</v>
      </c>
      <c r="G745" s="568">
        <v>237</v>
      </c>
      <c r="H745" s="568">
        <v>109</v>
      </c>
      <c r="I745" s="568">
        <v>1482</v>
      </c>
      <c r="L745" s="738"/>
    </row>
    <row r="746" spans="1:12" s="739" customFormat="1" ht="9" customHeight="1" x14ac:dyDescent="0.25">
      <c r="A746" s="570" t="s">
        <v>50</v>
      </c>
      <c r="B746" s="547">
        <f t="shared" si="39"/>
        <v>732</v>
      </c>
      <c r="C746" s="565">
        <v>42</v>
      </c>
      <c r="D746" s="565">
        <v>58</v>
      </c>
      <c r="E746" s="565">
        <v>33</v>
      </c>
      <c r="F746" s="565">
        <v>44</v>
      </c>
      <c r="G746" s="565">
        <v>63</v>
      </c>
      <c r="H746" s="565">
        <v>52</v>
      </c>
      <c r="I746" s="565">
        <v>440</v>
      </c>
      <c r="L746" s="738"/>
    </row>
    <row r="747" spans="1:12" s="739" customFormat="1" ht="9" customHeight="1" x14ac:dyDescent="0.25">
      <c r="A747" s="570" t="s">
        <v>51</v>
      </c>
      <c r="B747" s="547">
        <f t="shared" si="39"/>
        <v>6113</v>
      </c>
      <c r="C747" s="565">
        <v>397</v>
      </c>
      <c r="D747" s="565">
        <v>456</v>
      </c>
      <c r="E747" s="565">
        <v>367</v>
      </c>
      <c r="F747" s="565">
        <v>532</v>
      </c>
      <c r="G747" s="565">
        <v>449</v>
      </c>
      <c r="H747" s="565">
        <v>315</v>
      </c>
      <c r="I747" s="565">
        <v>3597</v>
      </c>
      <c r="L747" s="738"/>
    </row>
    <row r="748" spans="1:12" s="739" customFormat="1" ht="9" customHeight="1" x14ac:dyDescent="0.25">
      <c r="A748" s="570" t="s">
        <v>52</v>
      </c>
      <c r="B748" s="547">
        <f t="shared" si="39"/>
        <v>1454</v>
      </c>
      <c r="C748" s="565">
        <v>90</v>
      </c>
      <c r="D748" s="565">
        <v>142</v>
      </c>
      <c r="E748" s="565">
        <v>98</v>
      </c>
      <c r="F748" s="565">
        <v>102</v>
      </c>
      <c r="G748" s="565">
        <v>94</v>
      </c>
      <c r="H748" s="565">
        <v>84</v>
      </c>
      <c r="I748" s="565">
        <v>844</v>
      </c>
      <c r="L748" s="738"/>
    </row>
    <row r="749" spans="1:12" s="739" customFormat="1" ht="9" customHeight="1" x14ac:dyDescent="0.25">
      <c r="A749" s="571" t="s">
        <v>53</v>
      </c>
      <c r="B749" s="549">
        <f t="shared" si="39"/>
        <v>1127</v>
      </c>
      <c r="C749" s="568">
        <v>105</v>
      </c>
      <c r="D749" s="568">
        <v>74</v>
      </c>
      <c r="E749" s="568">
        <v>33</v>
      </c>
      <c r="F749" s="568">
        <v>126</v>
      </c>
      <c r="G749" s="568">
        <v>67</v>
      </c>
      <c r="H749" s="568">
        <v>55</v>
      </c>
      <c r="I749" s="568">
        <v>667</v>
      </c>
      <c r="L749" s="738"/>
    </row>
    <row r="750" spans="1:12" s="739" customFormat="1" ht="9" customHeight="1" x14ac:dyDescent="0.25">
      <c r="A750" s="570" t="s">
        <v>434</v>
      </c>
      <c r="B750" s="547">
        <f t="shared" si="39"/>
        <v>149</v>
      </c>
      <c r="C750" s="565">
        <v>16</v>
      </c>
      <c r="D750" s="565">
        <v>8</v>
      </c>
      <c r="E750" s="565">
        <v>5</v>
      </c>
      <c r="F750" s="565">
        <v>9</v>
      </c>
      <c r="G750" s="565">
        <v>19</v>
      </c>
      <c r="H750" s="565">
        <v>8</v>
      </c>
      <c r="I750" s="565">
        <v>84</v>
      </c>
      <c r="L750" s="738"/>
    </row>
    <row r="751" spans="1:12" s="739" customFormat="1" ht="9" customHeight="1" x14ac:dyDescent="0.25">
      <c r="A751" s="570" t="s">
        <v>54</v>
      </c>
      <c r="B751" s="547">
        <f t="shared" si="39"/>
        <v>180</v>
      </c>
      <c r="C751" s="565">
        <v>16</v>
      </c>
      <c r="D751" s="565">
        <v>14</v>
      </c>
      <c r="E751" s="565">
        <v>6</v>
      </c>
      <c r="F751" s="565">
        <v>20</v>
      </c>
      <c r="G751" s="565">
        <v>11</v>
      </c>
      <c r="H751" s="565">
        <v>7</v>
      </c>
      <c r="I751" s="565">
        <v>106</v>
      </c>
      <c r="L751" s="738"/>
    </row>
    <row r="752" spans="1:12" s="739" customFormat="1" ht="3" customHeight="1" x14ac:dyDescent="0.25">
      <c r="A752" s="737"/>
      <c r="B752" s="738"/>
      <c r="C752" s="738"/>
      <c r="D752" s="738"/>
      <c r="E752" s="738"/>
      <c r="F752" s="738"/>
      <c r="G752" s="738"/>
      <c r="H752" s="738"/>
      <c r="I752" s="738"/>
    </row>
    <row r="753" spans="1:12" s="739" customFormat="1" ht="9" customHeight="1" x14ac:dyDescent="0.25">
      <c r="A753" s="740" t="s">
        <v>62</v>
      </c>
      <c r="B753" s="741"/>
      <c r="C753" s="742"/>
      <c r="D753" s="742"/>
      <c r="E753" s="742"/>
      <c r="F753" s="742"/>
      <c r="G753" s="742"/>
      <c r="H753" s="570"/>
      <c r="I753" s="565"/>
    </row>
    <row r="754" spans="1:12" s="739" customFormat="1" ht="9" customHeight="1" x14ac:dyDescent="0.25">
      <c r="A754" s="743" t="s">
        <v>13</v>
      </c>
      <c r="B754" s="572">
        <f t="shared" ref="B754:I754" si="40">SUM(B756:B789)</f>
        <v>85754</v>
      </c>
      <c r="C754" s="572">
        <f t="shared" si="40"/>
        <v>7009</v>
      </c>
      <c r="D754" s="572">
        <f t="shared" si="40"/>
        <v>6323</v>
      </c>
      <c r="E754" s="572">
        <f t="shared" si="40"/>
        <v>4139</v>
      </c>
      <c r="F754" s="572">
        <f t="shared" si="40"/>
        <v>6723</v>
      </c>
      <c r="G754" s="572">
        <f t="shared" si="40"/>
        <v>7257</v>
      </c>
      <c r="H754" s="572">
        <f t="shared" si="40"/>
        <v>4657</v>
      </c>
      <c r="I754" s="572">
        <f t="shared" si="40"/>
        <v>49646</v>
      </c>
      <c r="L754" s="738"/>
    </row>
    <row r="755" spans="1:12" s="739" customFormat="1" ht="2.4500000000000002" customHeight="1" x14ac:dyDescent="0.25">
      <c r="A755" s="743"/>
      <c r="B755" s="572"/>
      <c r="C755" s="572"/>
      <c r="D755" s="572"/>
      <c r="E755" s="572"/>
      <c r="F755" s="572"/>
      <c r="G755" s="572"/>
      <c r="H755" s="572"/>
      <c r="I755" s="572"/>
      <c r="L755" s="738"/>
    </row>
    <row r="756" spans="1:12" s="739" customFormat="1" ht="9" customHeight="1" x14ac:dyDescent="0.25">
      <c r="A756" s="570" t="s">
        <v>23</v>
      </c>
      <c r="B756" s="547">
        <f t="shared" ref="B756:B789" si="41">SUM(C756:I756)</f>
        <v>834</v>
      </c>
      <c r="C756" s="565">
        <v>82</v>
      </c>
      <c r="D756" s="565">
        <v>44</v>
      </c>
      <c r="E756" s="565">
        <v>30</v>
      </c>
      <c r="F756" s="565">
        <v>70</v>
      </c>
      <c r="G756" s="565">
        <v>99</v>
      </c>
      <c r="H756" s="565">
        <v>53</v>
      </c>
      <c r="I756" s="565">
        <v>456</v>
      </c>
      <c r="L756" s="738"/>
    </row>
    <row r="757" spans="1:12" s="739" customFormat="1" ht="9" customHeight="1" x14ac:dyDescent="0.25">
      <c r="A757" s="570" t="s">
        <v>24</v>
      </c>
      <c r="B757" s="547">
        <f t="shared" si="41"/>
        <v>2492</v>
      </c>
      <c r="C757" s="565">
        <v>235</v>
      </c>
      <c r="D757" s="565">
        <v>136</v>
      </c>
      <c r="E757" s="565">
        <v>145</v>
      </c>
      <c r="F757" s="565">
        <v>181</v>
      </c>
      <c r="G757" s="565">
        <v>272</v>
      </c>
      <c r="H757" s="565">
        <v>121</v>
      </c>
      <c r="I757" s="565">
        <v>1402</v>
      </c>
      <c r="L757" s="738"/>
    </row>
    <row r="758" spans="1:12" s="739" customFormat="1" ht="9" customHeight="1" x14ac:dyDescent="0.25">
      <c r="A758" s="570" t="s">
        <v>25</v>
      </c>
      <c r="B758" s="547">
        <f t="shared" si="41"/>
        <v>547</v>
      </c>
      <c r="C758" s="565">
        <v>55</v>
      </c>
      <c r="D758" s="565">
        <v>37</v>
      </c>
      <c r="E758" s="565">
        <v>17</v>
      </c>
      <c r="F758" s="565">
        <v>33</v>
      </c>
      <c r="G758" s="565">
        <v>66</v>
      </c>
      <c r="H758" s="565">
        <v>25</v>
      </c>
      <c r="I758" s="565">
        <v>314</v>
      </c>
      <c r="L758" s="738"/>
    </row>
    <row r="759" spans="1:12" s="739" customFormat="1" ht="9" customHeight="1" x14ac:dyDescent="0.25">
      <c r="A759" s="571" t="s">
        <v>26</v>
      </c>
      <c r="B759" s="549">
        <f t="shared" si="41"/>
        <v>553</v>
      </c>
      <c r="C759" s="568">
        <v>45</v>
      </c>
      <c r="D759" s="568">
        <v>63</v>
      </c>
      <c r="E759" s="568">
        <v>36</v>
      </c>
      <c r="F759" s="568">
        <v>47</v>
      </c>
      <c r="G759" s="568">
        <v>37</v>
      </c>
      <c r="H759" s="568">
        <v>27</v>
      </c>
      <c r="I759" s="568">
        <v>298</v>
      </c>
      <c r="L759" s="738"/>
    </row>
    <row r="760" spans="1:12" s="739" customFormat="1" ht="9" customHeight="1" x14ac:dyDescent="0.25">
      <c r="A760" s="570" t="s">
        <v>27</v>
      </c>
      <c r="B760" s="547">
        <f t="shared" si="41"/>
        <v>2100</v>
      </c>
      <c r="C760" s="565">
        <v>198</v>
      </c>
      <c r="D760" s="565">
        <v>121</v>
      </c>
      <c r="E760" s="565">
        <v>110</v>
      </c>
      <c r="F760" s="565">
        <v>154</v>
      </c>
      <c r="G760" s="565">
        <v>206</v>
      </c>
      <c r="H760" s="565">
        <v>112</v>
      </c>
      <c r="I760" s="565">
        <v>1199</v>
      </c>
      <c r="L760" s="738"/>
    </row>
    <row r="761" spans="1:12" s="739" customFormat="1" ht="9" customHeight="1" x14ac:dyDescent="0.25">
      <c r="A761" s="570" t="s">
        <v>28</v>
      </c>
      <c r="B761" s="547">
        <f t="shared" si="41"/>
        <v>560</v>
      </c>
      <c r="C761" s="565">
        <v>46</v>
      </c>
      <c r="D761" s="565">
        <v>35</v>
      </c>
      <c r="E761" s="565">
        <v>30</v>
      </c>
      <c r="F761" s="565">
        <v>50</v>
      </c>
      <c r="G761" s="565">
        <v>31</v>
      </c>
      <c r="H761" s="565">
        <v>37</v>
      </c>
      <c r="I761" s="565">
        <v>331</v>
      </c>
      <c r="L761" s="738"/>
    </row>
    <row r="762" spans="1:12" s="739" customFormat="1" ht="9" customHeight="1" x14ac:dyDescent="0.25">
      <c r="A762" s="570" t="s">
        <v>29</v>
      </c>
      <c r="B762" s="547">
        <f t="shared" si="41"/>
        <v>3302</v>
      </c>
      <c r="C762" s="565">
        <v>177</v>
      </c>
      <c r="D762" s="565">
        <v>401</v>
      </c>
      <c r="E762" s="565">
        <v>276</v>
      </c>
      <c r="F762" s="565">
        <v>285</v>
      </c>
      <c r="G762" s="565">
        <v>160</v>
      </c>
      <c r="H762" s="565">
        <v>291</v>
      </c>
      <c r="I762" s="565">
        <v>1712</v>
      </c>
      <c r="L762" s="738"/>
    </row>
    <row r="763" spans="1:12" s="739" customFormat="1" ht="9" customHeight="1" x14ac:dyDescent="0.25">
      <c r="A763" s="571" t="s">
        <v>30</v>
      </c>
      <c r="B763" s="549">
        <f t="shared" si="41"/>
        <v>2882</v>
      </c>
      <c r="C763" s="568">
        <v>376</v>
      </c>
      <c r="D763" s="568">
        <v>189</v>
      </c>
      <c r="E763" s="568">
        <v>110</v>
      </c>
      <c r="F763" s="568">
        <v>214</v>
      </c>
      <c r="G763" s="568">
        <v>285</v>
      </c>
      <c r="H763" s="568">
        <v>115</v>
      </c>
      <c r="I763" s="568">
        <v>1593</v>
      </c>
      <c r="L763" s="738"/>
    </row>
    <row r="764" spans="1:12" s="739" customFormat="1" ht="9" customHeight="1" x14ac:dyDescent="0.25">
      <c r="A764" s="570" t="s">
        <v>63</v>
      </c>
      <c r="B764" s="547">
        <f t="shared" si="41"/>
        <v>8596</v>
      </c>
      <c r="C764" s="565">
        <v>674</v>
      </c>
      <c r="D764" s="565">
        <v>676</v>
      </c>
      <c r="E764" s="565">
        <v>287</v>
      </c>
      <c r="F764" s="565">
        <v>631</v>
      </c>
      <c r="G764" s="565">
        <v>828</v>
      </c>
      <c r="H764" s="565">
        <v>395</v>
      </c>
      <c r="I764" s="565">
        <v>5105</v>
      </c>
      <c r="L764" s="738"/>
    </row>
    <row r="765" spans="1:12" s="739" customFormat="1" ht="9" customHeight="1" x14ac:dyDescent="0.25">
      <c r="A765" s="570" t="s">
        <v>31</v>
      </c>
      <c r="B765" s="547">
        <f t="shared" si="41"/>
        <v>1170</v>
      </c>
      <c r="C765" s="565">
        <v>116</v>
      </c>
      <c r="D765" s="565">
        <v>58</v>
      </c>
      <c r="E765" s="565">
        <v>59</v>
      </c>
      <c r="F765" s="565">
        <v>96</v>
      </c>
      <c r="G765" s="565">
        <v>99</v>
      </c>
      <c r="H765" s="565">
        <v>65</v>
      </c>
      <c r="I765" s="565">
        <v>677</v>
      </c>
      <c r="L765" s="738"/>
    </row>
    <row r="766" spans="1:12" s="739" customFormat="1" ht="9" customHeight="1" x14ac:dyDescent="0.25">
      <c r="A766" s="570" t="s">
        <v>32</v>
      </c>
      <c r="B766" s="547">
        <f t="shared" si="41"/>
        <v>3635</v>
      </c>
      <c r="C766" s="565">
        <v>297</v>
      </c>
      <c r="D766" s="565">
        <v>258</v>
      </c>
      <c r="E766" s="565">
        <v>156</v>
      </c>
      <c r="F766" s="565">
        <v>283</v>
      </c>
      <c r="G766" s="565">
        <v>338</v>
      </c>
      <c r="H766" s="565">
        <v>195</v>
      </c>
      <c r="I766" s="565">
        <v>2108</v>
      </c>
      <c r="L766" s="738"/>
    </row>
    <row r="767" spans="1:12" s="739" customFormat="1" ht="9" customHeight="1" x14ac:dyDescent="0.25">
      <c r="A767" s="571" t="s">
        <v>33</v>
      </c>
      <c r="B767" s="549">
        <f t="shared" si="41"/>
        <v>1897</v>
      </c>
      <c r="C767" s="568">
        <v>134</v>
      </c>
      <c r="D767" s="568">
        <v>197</v>
      </c>
      <c r="E767" s="568">
        <v>118</v>
      </c>
      <c r="F767" s="568">
        <v>146</v>
      </c>
      <c r="G767" s="568">
        <v>145</v>
      </c>
      <c r="H767" s="568">
        <v>135</v>
      </c>
      <c r="I767" s="568">
        <v>1022</v>
      </c>
      <c r="L767" s="738"/>
    </row>
    <row r="768" spans="1:12" s="739" customFormat="1" ht="9" customHeight="1" x14ac:dyDescent="0.25">
      <c r="A768" s="570" t="s">
        <v>34</v>
      </c>
      <c r="B768" s="547">
        <f t="shared" si="41"/>
        <v>2011</v>
      </c>
      <c r="C768" s="565">
        <v>118</v>
      </c>
      <c r="D768" s="565">
        <v>148</v>
      </c>
      <c r="E768" s="565">
        <v>81</v>
      </c>
      <c r="F768" s="565">
        <v>150</v>
      </c>
      <c r="G768" s="565">
        <v>135</v>
      </c>
      <c r="H768" s="565">
        <v>99</v>
      </c>
      <c r="I768" s="565">
        <v>1280</v>
      </c>
      <c r="L768" s="738"/>
    </row>
    <row r="769" spans="1:12" s="739" customFormat="1" ht="9" customHeight="1" x14ac:dyDescent="0.25">
      <c r="A769" s="570" t="s">
        <v>35</v>
      </c>
      <c r="B769" s="547">
        <f t="shared" si="41"/>
        <v>5916</v>
      </c>
      <c r="C769" s="565">
        <v>558</v>
      </c>
      <c r="D769" s="565">
        <v>321</v>
      </c>
      <c r="E769" s="565">
        <v>189</v>
      </c>
      <c r="F769" s="565">
        <v>554</v>
      </c>
      <c r="G769" s="565">
        <v>573</v>
      </c>
      <c r="H769" s="565">
        <v>315</v>
      </c>
      <c r="I769" s="565">
        <v>3406</v>
      </c>
      <c r="L769" s="738"/>
    </row>
    <row r="770" spans="1:12" s="739" customFormat="1" ht="9" customHeight="1" x14ac:dyDescent="0.25">
      <c r="A770" s="570" t="s">
        <v>36</v>
      </c>
      <c r="B770" s="547">
        <f t="shared" si="41"/>
        <v>9945</v>
      </c>
      <c r="C770" s="565">
        <v>679</v>
      </c>
      <c r="D770" s="565">
        <v>773</v>
      </c>
      <c r="E770" s="565">
        <v>519</v>
      </c>
      <c r="F770" s="565">
        <v>670</v>
      </c>
      <c r="G770" s="565">
        <v>828</v>
      </c>
      <c r="H770" s="565">
        <v>550</v>
      </c>
      <c r="I770" s="565">
        <v>5926</v>
      </c>
      <c r="L770" s="738"/>
    </row>
    <row r="771" spans="1:12" s="739" customFormat="1" ht="9" customHeight="1" x14ac:dyDescent="0.25">
      <c r="A771" s="571" t="s">
        <v>37</v>
      </c>
      <c r="B771" s="549">
        <f t="shared" si="41"/>
        <v>3206</v>
      </c>
      <c r="C771" s="568">
        <v>275</v>
      </c>
      <c r="D771" s="568">
        <v>235</v>
      </c>
      <c r="E771" s="568">
        <v>166</v>
      </c>
      <c r="F771" s="568">
        <v>327</v>
      </c>
      <c r="G771" s="568">
        <v>255</v>
      </c>
      <c r="H771" s="568">
        <v>147</v>
      </c>
      <c r="I771" s="568">
        <v>1801</v>
      </c>
      <c r="L771" s="738"/>
    </row>
    <row r="772" spans="1:12" s="739" customFormat="1" ht="9" customHeight="1" x14ac:dyDescent="0.25">
      <c r="A772" s="570" t="s">
        <v>38</v>
      </c>
      <c r="B772" s="547">
        <f t="shared" si="41"/>
        <v>1456</v>
      </c>
      <c r="C772" s="565">
        <v>98</v>
      </c>
      <c r="D772" s="565">
        <v>126</v>
      </c>
      <c r="E772" s="565">
        <v>97</v>
      </c>
      <c r="F772" s="565">
        <v>127</v>
      </c>
      <c r="G772" s="565">
        <v>91</v>
      </c>
      <c r="H772" s="565">
        <v>81</v>
      </c>
      <c r="I772" s="565">
        <v>836</v>
      </c>
      <c r="L772" s="738"/>
    </row>
    <row r="773" spans="1:12" s="739" customFormat="1" ht="9" customHeight="1" x14ac:dyDescent="0.25">
      <c r="A773" s="570" t="s">
        <v>39</v>
      </c>
      <c r="B773" s="547">
        <f t="shared" si="41"/>
        <v>881</v>
      </c>
      <c r="C773" s="565">
        <v>105</v>
      </c>
      <c r="D773" s="565">
        <v>36</v>
      </c>
      <c r="E773" s="565">
        <v>37</v>
      </c>
      <c r="F773" s="565">
        <v>91</v>
      </c>
      <c r="G773" s="565">
        <v>88</v>
      </c>
      <c r="H773" s="565">
        <v>45</v>
      </c>
      <c r="I773" s="565">
        <v>479</v>
      </c>
      <c r="L773" s="738"/>
    </row>
    <row r="774" spans="1:12" s="739" customFormat="1" ht="9" customHeight="1" x14ac:dyDescent="0.25">
      <c r="A774" s="570" t="s">
        <v>40</v>
      </c>
      <c r="B774" s="547">
        <f t="shared" si="41"/>
        <v>4047</v>
      </c>
      <c r="C774" s="565">
        <v>403</v>
      </c>
      <c r="D774" s="565">
        <v>215</v>
      </c>
      <c r="E774" s="565">
        <v>152</v>
      </c>
      <c r="F774" s="565">
        <v>274</v>
      </c>
      <c r="G774" s="565">
        <v>390</v>
      </c>
      <c r="H774" s="565">
        <v>203</v>
      </c>
      <c r="I774" s="565">
        <v>2410</v>
      </c>
      <c r="L774" s="738"/>
    </row>
    <row r="775" spans="1:12" s="739" customFormat="1" ht="9" customHeight="1" x14ac:dyDescent="0.25">
      <c r="A775" s="571" t="s">
        <v>41</v>
      </c>
      <c r="B775" s="549">
        <f t="shared" si="41"/>
        <v>2741</v>
      </c>
      <c r="C775" s="568">
        <v>134</v>
      </c>
      <c r="D775" s="568">
        <v>292</v>
      </c>
      <c r="E775" s="568">
        <v>145</v>
      </c>
      <c r="F775" s="568">
        <v>208</v>
      </c>
      <c r="G775" s="568">
        <v>149</v>
      </c>
      <c r="H775" s="568">
        <v>183</v>
      </c>
      <c r="I775" s="568">
        <v>1630</v>
      </c>
      <c r="L775" s="738"/>
    </row>
    <row r="776" spans="1:12" s="739" customFormat="1" ht="9" customHeight="1" x14ac:dyDescent="0.25">
      <c r="A776" s="570" t="s">
        <v>42</v>
      </c>
      <c r="B776" s="547">
        <f t="shared" si="41"/>
        <v>3926</v>
      </c>
      <c r="C776" s="565">
        <v>232</v>
      </c>
      <c r="D776" s="565">
        <v>346</v>
      </c>
      <c r="E776" s="565">
        <v>222</v>
      </c>
      <c r="F776" s="565">
        <v>259</v>
      </c>
      <c r="G776" s="565">
        <v>299</v>
      </c>
      <c r="H776" s="565">
        <v>248</v>
      </c>
      <c r="I776" s="565">
        <v>2320</v>
      </c>
      <c r="L776" s="738"/>
    </row>
    <row r="777" spans="1:12" s="739" customFormat="1" ht="9" customHeight="1" x14ac:dyDescent="0.25">
      <c r="A777" s="570" t="s">
        <v>43</v>
      </c>
      <c r="B777" s="547">
        <f t="shared" si="41"/>
        <v>1357</v>
      </c>
      <c r="C777" s="565">
        <v>91</v>
      </c>
      <c r="D777" s="565">
        <v>69</v>
      </c>
      <c r="E777" s="565">
        <v>48</v>
      </c>
      <c r="F777" s="565">
        <v>93</v>
      </c>
      <c r="G777" s="565">
        <v>136</v>
      </c>
      <c r="H777" s="565">
        <v>77</v>
      </c>
      <c r="I777" s="565">
        <v>843</v>
      </c>
      <c r="L777" s="738"/>
    </row>
    <row r="778" spans="1:12" s="739" customFormat="1" ht="9" customHeight="1" x14ac:dyDescent="0.25">
      <c r="A778" s="570" t="s">
        <v>44</v>
      </c>
      <c r="B778" s="547">
        <f t="shared" si="41"/>
        <v>794</v>
      </c>
      <c r="C778" s="565">
        <v>46</v>
      </c>
      <c r="D778" s="565">
        <v>75</v>
      </c>
      <c r="E778" s="565">
        <v>50</v>
      </c>
      <c r="F778" s="565">
        <v>60</v>
      </c>
      <c r="G778" s="565">
        <v>49</v>
      </c>
      <c r="H778" s="565">
        <v>45</v>
      </c>
      <c r="I778" s="565">
        <v>469</v>
      </c>
      <c r="L778" s="738"/>
    </row>
    <row r="779" spans="1:12" s="739" customFormat="1" ht="9" customHeight="1" x14ac:dyDescent="0.25">
      <c r="A779" s="571" t="s">
        <v>45</v>
      </c>
      <c r="B779" s="549">
        <f t="shared" si="41"/>
        <v>1971</v>
      </c>
      <c r="C779" s="568">
        <v>146</v>
      </c>
      <c r="D779" s="568">
        <v>121</v>
      </c>
      <c r="E779" s="568">
        <v>97</v>
      </c>
      <c r="F779" s="568">
        <v>190</v>
      </c>
      <c r="G779" s="568">
        <v>142</v>
      </c>
      <c r="H779" s="568">
        <v>114</v>
      </c>
      <c r="I779" s="568">
        <v>1161</v>
      </c>
      <c r="L779" s="738"/>
    </row>
    <row r="780" spans="1:12" s="739" customFormat="1" ht="9" customHeight="1" x14ac:dyDescent="0.25">
      <c r="A780" s="570" t="s">
        <v>46</v>
      </c>
      <c r="B780" s="547">
        <f t="shared" si="41"/>
        <v>2254</v>
      </c>
      <c r="C780" s="565">
        <v>307</v>
      </c>
      <c r="D780" s="565">
        <v>156</v>
      </c>
      <c r="E780" s="565">
        <v>83</v>
      </c>
      <c r="F780" s="565">
        <v>233</v>
      </c>
      <c r="G780" s="565">
        <v>213</v>
      </c>
      <c r="H780" s="565">
        <v>95</v>
      </c>
      <c r="I780" s="565">
        <v>1167</v>
      </c>
      <c r="L780" s="738"/>
    </row>
    <row r="781" spans="1:12" s="739" customFormat="1" ht="9" customHeight="1" x14ac:dyDescent="0.25">
      <c r="A781" s="570" t="s">
        <v>47</v>
      </c>
      <c r="B781" s="547">
        <f t="shared" si="41"/>
        <v>2399</v>
      </c>
      <c r="C781" s="565">
        <v>306</v>
      </c>
      <c r="D781" s="565">
        <v>148</v>
      </c>
      <c r="E781" s="565">
        <v>102</v>
      </c>
      <c r="F781" s="565">
        <v>170</v>
      </c>
      <c r="G781" s="565">
        <v>207</v>
      </c>
      <c r="H781" s="565">
        <v>110</v>
      </c>
      <c r="I781" s="565">
        <v>1356</v>
      </c>
      <c r="L781" s="738"/>
    </row>
    <row r="782" spans="1:12" s="739" customFormat="1" ht="9" customHeight="1" x14ac:dyDescent="0.25">
      <c r="A782" s="570" t="s">
        <v>48</v>
      </c>
      <c r="B782" s="547">
        <f t="shared" si="41"/>
        <v>1450</v>
      </c>
      <c r="C782" s="565">
        <v>95</v>
      </c>
      <c r="D782" s="565">
        <v>96</v>
      </c>
      <c r="E782" s="565">
        <v>70</v>
      </c>
      <c r="F782" s="565">
        <v>125</v>
      </c>
      <c r="G782" s="565">
        <v>112</v>
      </c>
      <c r="H782" s="565">
        <v>122</v>
      </c>
      <c r="I782" s="565">
        <v>830</v>
      </c>
      <c r="L782" s="738"/>
    </row>
    <row r="783" spans="1:12" s="739" customFormat="1" ht="9" customHeight="1" x14ac:dyDescent="0.25">
      <c r="A783" s="571" t="s">
        <v>49</v>
      </c>
      <c r="B783" s="549">
        <f t="shared" si="41"/>
        <v>2577</v>
      </c>
      <c r="C783" s="568">
        <v>252</v>
      </c>
      <c r="D783" s="568">
        <v>152</v>
      </c>
      <c r="E783" s="568">
        <v>126</v>
      </c>
      <c r="F783" s="568">
        <v>184</v>
      </c>
      <c r="G783" s="568">
        <v>262</v>
      </c>
      <c r="H783" s="568">
        <v>130</v>
      </c>
      <c r="I783" s="568">
        <v>1471</v>
      </c>
      <c r="L783" s="738"/>
    </row>
    <row r="784" spans="1:12" s="739" customFormat="1" ht="9" customHeight="1" x14ac:dyDescent="0.25">
      <c r="A784" s="570" t="s">
        <v>50</v>
      </c>
      <c r="B784" s="547">
        <f t="shared" si="41"/>
        <v>712</v>
      </c>
      <c r="C784" s="565">
        <v>34</v>
      </c>
      <c r="D784" s="565">
        <v>61</v>
      </c>
      <c r="E784" s="565">
        <v>35</v>
      </c>
      <c r="F784" s="565">
        <v>46</v>
      </c>
      <c r="G784" s="565">
        <v>62</v>
      </c>
      <c r="H784" s="565">
        <v>36</v>
      </c>
      <c r="I784" s="565">
        <v>438</v>
      </c>
      <c r="L784" s="738"/>
    </row>
    <row r="785" spans="1:12" s="739" customFormat="1" ht="9" customHeight="1" x14ac:dyDescent="0.25">
      <c r="A785" s="570" t="s">
        <v>51</v>
      </c>
      <c r="B785" s="547">
        <f t="shared" si="41"/>
        <v>6241</v>
      </c>
      <c r="C785" s="565">
        <v>395</v>
      </c>
      <c r="D785" s="565">
        <v>459</v>
      </c>
      <c r="E785" s="565">
        <v>376</v>
      </c>
      <c r="F785" s="565">
        <v>526</v>
      </c>
      <c r="G785" s="565">
        <v>455</v>
      </c>
      <c r="H785" s="565">
        <v>323</v>
      </c>
      <c r="I785" s="565">
        <v>3707</v>
      </c>
      <c r="L785" s="738"/>
    </row>
    <row r="786" spans="1:12" s="739" customFormat="1" ht="9" customHeight="1" x14ac:dyDescent="0.25">
      <c r="A786" s="570" t="s">
        <v>52</v>
      </c>
      <c r="B786" s="547">
        <f t="shared" si="41"/>
        <v>1379</v>
      </c>
      <c r="C786" s="565">
        <v>103</v>
      </c>
      <c r="D786" s="565">
        <v>152</v>
      </c>
      <c r="E786" s="565">
        <v>96</v>
      </c>
      <c r="F786" s="565">
        <v>92</v>
      </c>
      <c r="G786" s="565">
        <v>87</v>
      </c>
      <c r="H786" s="565">
        <v>81</v>
      </c>
      <c r="I786" s="565">
        <v>768</v>
      </c>
      <c r="L786" s="738"/>
    </row>
    <row r="787" spans="1:12" s="739" customFormat="1" ht="9" customHeight="1" x14ac:dyDescent="0.25">
      <c r="A787" s="571" t="s">
        <v>53</v>
      </c>
      <c r="B787" s="549">
        <f t="shared" si="41"/>
        <v>1180</v>
      </c>
      <c r="C787" s="568">
        <v>114</v>
      </c>
      <c r="D787" s="568">
        <v>71</v>
      </c>
      <c r="E787" s="568">
        <v>43</v>
      </c>
      <c r="F787" s="568">
        <v>110</v>
      </c>
      <c r="G787" s="568">
        <v>92</v>
      </c>
      <c r="H787" s="568">
        <v>49</v>
      </c>
      <c r="I787" s="568">
        <v>701</v>
      </c>
      <c r="L787" s="738"/>
    </row>
    <row r="788" spans="1:12" s="739" customFormat="1" ht="9" customHeight="1" x14ac:dyDescent="0.25">
      <c r="A788" s="570" t="s">
        <v>434</v>
      </c>
      <c r="B788" s="547">
        <f t="shared" si="41"/>
        <v>128</v>
      </c>
      <c r="C788" s="565">
        <v>14</v>
      </c>
      <c r="D788" s="565">
        <v>7</v>
      </c>
      <c r="E788" s="565">
        <v>2</v>
      </c>
      <c r="F788" s="565">
        <v>5</v>
      </c>
      <c r="G788" s="565">
        <v>22</v>
      </c>
      <c r="H788" s="565">
        <v>4</v>
      </c>
      <c r="I788" s="565">
        <v>74</v>
      </c>
      <c r="L788" s="738"/>
    </row>
    <row r="789" spans="1:12" s="739" customFormat="1" ht="9" customHeight="1" x14ac:dyDescent="0.25">
      <c r="A789" s="570" t="s">
        <v>54</v>
      </c>
      <c r="B789" s="547">
        <f t="shared" si="41"/>
        <v>615</v>
      </c>
      <c r="C789" s="565">
        <v>69</v>
      </c>
      <c r="D789" s="565">
        <v>49</v>
      </c>
      <c r="E789" s="565">
        <v>29</v>
      </c>
      <c r="F789" s="565">
        <v>39</v>
      </c>
      <c r="G789" s="565">
        <v>44</v>
      </c>
      <c r="H789" s="565">
        <v>29</v>
      </c>
      <c r="I789" s="565">
        <v>356</v>
      </c>
      <c r="L789" s="738"/>
    </row>
    <row r="790" spans="1:12" ht="3" customHeight="1" x14ac:dyDescent="0.25">
      <c r="A790" s="700"/>
      <c r="B790" s="700"/>
      <c r="C790" s="700"/>
      <c r="D790" s="700"/>
      <c r="E790" s="700"/>
      <c r="F790" s="700"/>
      <c r="G790" s="700"/>
      <c r="H790" s="700"/>
      <c r="I790" s="700"/>
    </row>
    <row r="791" spans="1:12" ht="3" customHeight="1" x14ac:dyDescent="0.25"/>
    <row r="792" spans="1:12" s="661" customFormat="1" ht="9" customHeight="1" x14ac:dyDescent="0.15">
      <c r="A792" s="688" t="s">
        <v>539</v>
      </c>
      <c r="B792" s="688"/>
    </row>
    <row r="793" spans="1:12" s="594" customFormat="1" ht="9" customHeight="1" x14ac:dyDescent="0.25">
      <c r="A793" s="592" t="s">
        <v>437</v>
      </c>
      <c r="B793" s="454"/>
    </row>
    <row r="794" spans="1:12" ht="11.25" hidden="1" customHeight="1" x14ac:dyDescent="0.25">
      <c r="J794" s="702" t="s">
        <v>74</v>
      </c>
    </row>
    <row r="795" spans="1:12" ht="11.25" hidden="1" customHeight="1" x14ac:dyDescent="0.25"/>
    <row r="796" spans="1:12" ht="11.25" hidden="1" customHeight="1" x14ac:dyDescent="0.25"/>
    <row r="797" spans="1:12" ht="11.25" hidden="1" customHeight="1" x14ac:dyDescent="0.25"/>
    <row r="798" spans="1:12" ht="11.25" hidden="1" customHeight="1" x14ac:dyDescent="0.25"/>
    <row r="799" spans="1:12" ht="11.25" hidden="1" customHeight="1" x14ac:dyDescent="0.25"/>
    <row r="800" spans="1:12" ht="11.25" hidden="1" customHeight="1" x14ac:dyDescent="0.25"/>
    <row r="801" ht="11.25" hidden="1" customHeight="1" x14ac:dyDescent="0.25"/>
    <row r="802" ht="11.25" hidden="1" customHeight="1" x14ac:dyDescent="0.25"/>
    <row r="803" ht="11.25" hidden="1" customHeight="1" x14ac:dyDescent="0.25"/>
    <row r="804" ht="11.25" hidden="1" customHeight="1" x14ac:dyDescent="0.25"/>
    <row r="805" ht="11.25" hidden="1" customHeight="1" x14ac:dyDescent="0.25"/>
    <row r="806" ht="11.25" hidden="1" customHeight="1" x14ac:dyDescent="0.25"/>
    <row r="807" ht="11.25" hidden="1" customHeight="1" x14ac:dyDescent="0.25"/>
    <row r="808" ht="11.25" hidden="1" customHeight="1" x14ac:dyDescent="0.25"/>
    <row r="809" ht="11.25" hidden="1" customHeight="1" x14ac:dyDescent="0.25"/>
    <row r="810" ht="11.25" hidden="1" customHeight="1" x14ac:dyDescent="0.25"/>
    <row r="811" ht="11.25" hidden="1" customHeight="1" x14ac:dyDescent="0.25"/>
    <row r="812" ht="11.25" hidden="1" customHeight="1" x14ac:dyDescent="0.25"/>
    <row r="813" ht="11.25" hidden="1" customHeight="1" x14ac:dyDescent="0.25"/>
    <row r="814" ht="11.25" hidden="1" customHeight="1" x14ac:dyDescent="0.25"/>
    <row r="815" ht="11.25" hidden="1" customHeight="1" x14ac:dyDescent="0.25"/>
    <row r="816" ht="11.25" hidden="1" customHeight="1" x14ac:dyDescent="0.25"/>
    <row r="817" spans="7:7" ht="11.25" hidden="1" customHeight="1" x14ac:dyDescent="0.25"/>
    <row r="818" spans="7:7" ht="11.25" hidden="1" customHeight="1" x14ac:dyDescent="0.2">
      <c r="G818" s="744"/>
    </row>
    <row r="819" spans="7:7" ht="11.25" hidden="1" customHeight="1" x14ac:dyDescent="0.25"/>
    <row r="820" spans="7:7" ht="11.25" hidden="1" customHeight="1" x14ac:dyDescent="0.25"/>
    <row r="821" spans="7:7" ht="11.25" hidden="1" customHeight="1" x14ac:dyDescent="0.25"/>
    <row r="822" spans="7:7" ht="11.25" hidden="1" customHeight="1" x14ac:dyDescent="0.25"/>
    <row r="823" spans="7:7" ht="11.25" hidden="1" customHeight="1" x14ac:dyDescent="0.25"/>
    <row r="824" spans="7:7" ht="11.25" hidden="1" customHeight="1" x14ac:dyDescent="0.25"/>
    <row r="825" spans="7:7" ht="11.25" hidden="1" customHeight="1" x14ac:dyDescent="0.25"/>
    <row r="826" spans="7:7" ht="11.25" hidden="1" customHeight="1" x14ac:dyDescent="0.25"/>
    <row r="827" spans="7:7" ht="11.25" hidden="1" customHeight="1" x14ac:dyDescent="0.25"/>
    <row r="828" spans="7:7" ht="11.25" hidden="1" customHeight="1" x14ac:dyDescent="0.25"/>
    <row r="829" spans="7:7" ht="11.25" hidden="1" customHeight="1" x14ac:dyDescent="0.25"/>
    <row r="830" spans="7:7" ht="11.25" hidden="1" customHeight="1" x14ac:dyDescent="0.25"/>
    <row r="831" spans="7:7" ht="11.25" hidden="1" customHeight="1" x14ac:dyDescent="0.25"/>
    <row r="832" spans="7:7" ht="11.25" hidden="1" customHeight="1" x14ac:dyDescent="0.25"/>
    <row r="833" ht="11.25" hidden="1" customHeight="1" x14ac:dyDescent="0.25"/>
    <row r="834" ht="11.25" hidden="1" customHeight="1" x14ac:dyDescent="0.25"/>
    <row r="835" ht="11.25" hidden="1" customHeight="1" x14ac:dyDescent="0.25"/>
    <row r="836" ht="11.25" hidden="1" customHeight="1" x14ac:dyDescent="0.25"/>
    <row r="837" ht="11.25" hidden="1" customHeight="1" x14ac:dyDescent="0.25"/>
    <row r="838" ht="11.25" hidden="1" customHeight="1" x14ac:dyDescent="0.25"/>
    <row r="839" ht="11.25" hidden="1" customHeight="1" x14ac:dyDescent="0.25"/>
    <row r="840" ht="11.25" hidden="1" customHeight="1" x14ac:dyDescent="0.25"/>
    <row r="841" ht="11.25" hidden="1" customHeight="1" x14ac:dyDescent="0.25"/>
    <row r="842" ht="11.25" hidden="1" customHeight="1" x14ac:dyDescent="0.25"/>
    <row r="843" ht="11.25" hidden="1" customHeight="1" x14ac:dyDescent="0.25"/>
    <row r="844" ht="11.25" hidden="1" customHeight="1" x14ac:dyDescent="0.25"/>
    <row r="845" ht="11.25" hidden="1" customHeight="1" x14ac:dyDescent="0.25"/>
    <row r="846" ht="11.25" hidden="1" customHeight="1" x14ac:dyDescent="0.25"/>
    <row r="847" ht="11.25" hidden="1" customHeight="1" x14ac:dyDescent="0.25"/>
    <row r="848" ht="11.25" hidden="1" customHeight="1" x14ac:dyDescent="0.25"/>
    <row r="849" ht="11.25" hidden="1" customHeight="1" x14ac:dyDescent="0.25"/>
    <row r="850" ht="11.25" hidden="1" customHeight="1" x14ac:dyDescent="0.25"/>
    <row r="851" ht="11.25" hidden="1" customHeight="1" x14ac:dyDescent="0.25"/>
    <row r="852" ht="11.25" hidden="1" customHeight="1" x14ac:dyDescent="0.25"/>
    <row r="853" ht="11.25" hidden="1" customHeight="1" x14ac:dyDescent="0.25"/>
    <row r="854" ht="11.25" hidden="1" customHeight="1" x14ac:dyDescent="0.25"/>
    <row r="855" ht="11.25" hidden="1" customHeight="1" x14ac:dyDescent="0.25"/>
    <row r="856" ht="11.25" hidden="1" customHeight="1" x14ac:dyDescent="0.25"/>
    <row r="857" ht="11.25" hidden="1" customHeight="1" x14ac:dyDescent="0.25"/>
    <row r="858" ht="11.25" hidden="1" customHeight="1" x14ac:dyDescent="0.25"/>
    <row r="859" ht="11.25" hidden="1" customHeight="1" x14ac:dyDescent="0.25"/>
    <row r="860" ht="11.25" hidden="1" customHeight="1" x14ac:dyDescent="0.25"/>
    <row r="861" ht="11.25" hidden="1" customHeight="1" x14ac:dyDescent="0.25"/>
    <row r="862" ht="11.25" hidden="1" customHeight="1" x14ac:dyDescent="0.25"/>
    <row r="863" ht="11.25" hidden="1" customHeight="1" x14ac:dyDescent="0.25"/>
    <row r="864" ht="11.25" hidden="1" customHeight="1" x14ac:dyDescent="0.25"/>
    <row r="865" ht="11.25" hidden="1" customHeight="1" x14ac:dyDescent="0.25"/>
    <row r="866" ht="11.25" hidden="1" customHeight="1" x14ac:dyDescent="0.25"/>
    <row r="867" ht="11.25" hidden="1" customHeight="1" x14ac:dyDescent="0.25"/>
    <row r="868" ht="11.25" hidden="1" customHeight="1" x14ac:dyDescent="0.25"/>
    <row r="869" ht="11.25" hidden="1" customHeight="1" x14ac:dyDescent="0.25"/>
    <row r="870" ht="11.25" hidden="1" customHeight="1" x14ac:dyDescent="0.25"/>
    <row r="871" ht="11.25" hidden="1" customHeight="1" x14ac:dyDescent="0.25"/>
    <row r="872" ht="11.25" hidden="1" customHeight="1" x14ac:dyDescent="0.25"/>
    <row r="873" ht="11.25" hidden="1" customHeight="1" x14ac:dyDescent="0.25"/>
    <row r="874" ht="11.25" hidden="1" customHeight="1" x14ac:dyDescent="0.25"/>
    <row r="875" ht="11.25" hidden="1" customHeight="1" x14ac:dyDescent="0.25"/>
    <row r="876" ht="11.25" hidden="1" customHeight="1" x14ac:dyDescent="0.25"/>
    <row r="877" ht="11.25" hidden="1" customHeight="1" x14ac:dyDescent="0.25"/>
    <row r="878" ht="11.25" hidden="1" customHeight="1" x14ac:dyDescent="0.25"/>
    <row r="879" ht="11.25" hidden="1" customHeight="1" x14ac:dyDescent="0.25"/>
    <row r="880" ht="11.25" hidden="1" customHeight="1" x14ac:dyDescent="0.25"/>
    <row r="881" ht="11.25" hidden="1" customHeight="1" x14ac:dyDescent="0.25"/>
    <row r="882" ht="11.25" hidden="1" customHeight="1" x14ac:dyDescent="0.25"/>
    <row r="883" ht="11.25" hidden="1" customHeight="1" x14ac:dyDescent="0.25"/>
    <row r="884" ht="11.25" hidden="1" customHeight="1" x14ac:dyDescent="0.25"/>
    <row r="885" ht="11.25" hidden="1" customHeight="1" x14ac:dyDescent="0.25"/>
    <row r="886" ht="11.25" hidden="1" customHeight="1" x14ac:dyDescent="0.25"/>
    <row r="887" ht="11.25" hidden="1" customHeight="1" x14ac:dyDescent="0.25"/>
    <row r="888" ht="11.25" hidden="1" customHeight="1" x14ac:dyDescent="0.25"/>
    <row r="889" ht="11.25" hidden="1" customHeight="1" x14ac:dyDescent="0.25"/>
    <row r="890" ht="11.25" hidden="1" customHeight="1" x14ac:dyDescent="0.25"/>
    <row r="891" ht="11.25" hidden="1" customHeight="1" x14ac:dyDescent="0.25"/>
    <row r="892" ht="11.25" hidden="1" customHeight="1" x14ac:dyDescent="0.25"/>
    <row r="893" ht="11.25" hidden="1" customHeight="1" x14ac:dyDescent="0.25"/>
    <row r="894" ht="11.25" hidden="1" customHeight="1" x14ac:dyDescent="0.25"/>
    <row r="895" ht="11.25" hidden="1" customHeight="1" x14ac:dyDescent="0.25"/>
    <row r="896" ht="11.25" hidden="1" customHeight="1" x14ac:dyDescent="0.25"/>
    <row r="897" ht="11.25" hidden="1" customHeight="1" x14ac:dyDescent="0.25"/>
    <row r="898" ht="11.25" hidden="1" customHeight="1" x14ac:dyDescent="0.25"/>
    <row r="899" ht="11.25" hidden="1" customHeight="1" x14ac:dyDescent="0.25"/>
    <row r="900" ht="11.25" hidden="1" customHeight="1" x14ac:dyDescent="0.25"/>
    <row r="901" ht="11.25" hidden="1" customHeight="1" x14ac:dyDescent="0.25"/>
    <row r="902" ht="11.25" hidden="1" customHeight="1" x14ac:dyDescent="0.25"/>
    <row r="903" ht="11.25" hidden="1" customHeight="1" x14ac:dyDescent="0.25"/>
    <row r="904" ht="11.25" hidden="1" customHeight="1" x14ac:dyDescent="0.25"/>
    <row r="905" ht="11.25" hidden="1" customHeight="1" x14ac:dyDescent="0.25"/>
    <row r="906" ht="11.25" hidden="1" customHeight="1" x14ac:dyDescent="0.25"/>
    <row r="907" ht="11.25" hidden="1" customHeight="1" x14ac:dyDescent="0.25"/>
    <row r="908" ht="11.25" hidden="1" customHeight="1" x14ac:dyDescent="0.25"/>
    <row r="909" ht="11.25" hidden="1" customHeight="1" x14ac:dyDescent="0.25"/>
    <row r="910" ht="11.25" hidden="1" customHeight="1" x14ac:dyDescent="0.25"/>
    <row r="911" ht="11.25" hidden="1" customHeight="1" x14ac:dyDescent="0.25"/>
    <row r="912" ht="11.25" hidden="1" customHeight="1" x14ac:dyDescent="0.25"/>
    <row r="913" ht="11.25" hidden="1" customHeight="1" x14ac:dyDescent="0.25"/>
    <row r="914" ht="11.25" hidden="1" customHeight="1" x14ac:dyDescent="0.25"/>
    <row r="915" ht="11.25" hidden="1" customHeight="1" x14ac:dyDescent="0.25"/>
    <row r="916" ht="11.25" hidden="1" customHeight="1" x14ac:dyDescent="0.25"/>
    <row r="917" ht="11.25" hidden="1" customHeight="1" x14ac:dyDescent="0.25"/>
    <row r="918" ht="11.25" hidden="1" customHeight="1" x14ac:dyDescent="0.25"/>
    <row r="919" ht="11.25" hidden="1" customHeight="1" x14ac:dyDescent="0.25"/>
    <row r="920" ht="11.25" hidden="1" customHeight="1" x14ac:dyDescent="0.25"/>
    <row r="921" ht="11.25" hidden="1" customHeight="1" x14ac:dyDescent="0.25"/>
    <row r="922" ht="11.25" hidden="1" customHeight="1" x14ac:dyDescent="0.25"/>
    <row r="923" ht="11.25" hidden="1" customHeight="1" x14ac:dyDescent="0.25"/>
    <row r="924" ht="11.25" hidden="1" customHeight="1" x14ac:dyDescent="0.25"/>
    <row r="925" ht="11.25" hidden="1" customHeight="1" x14ac:dyDescent="0.25"/>
    <row r="926" ht="11.25" hidden="1" customHeight="1" x14ac:dyDescent="0.25"/>
    <row r="927" ht="11.25" hidden="1" customHeight="1" x14ac:dyDescent="0.25"/>
    <row r="928" ht="11.25" hidden="1" customHeight="1" x14ac:dyDescent="0.25"/>
    <row r="929" ht="11.25" hidden="1" customHeight="1" x14ac:dyDescent="0.25"/>
  </sheetData>
  <sheetProtection sheet="1" objects="1" scenarios="1"/>
  <mergeCells count="9">
    <mergeCell ref="H1:I1"/>
    <mergeCell ref="A6:A9"/>
    <mergeCell ref="C6:C9"/>
    <mergeCell ref="D6:D9"/>
    <mergeCell ref="E6:E9"/>
    <mergeCell ref="F6:F9"/>
    <mergeCell ref="G6:G9"/>
    <mergeCell ref="H6:H9"/>
    <mergeCell ref="I6:I9"/>
  </mergeCells>
  <hyperlinks>
    <hyperlink ref="H1" location="Índice!A1" display="Índice!A1"/>
    <hyperlink ref="A793:B793" r:id="rId1" display="Fuente: INEGI. Estadísticas de Mortalidad."/>
    <hyperlink ref="H1:I1" location="Índice!A1" tooltip="Ir a Índice" display="Índice!A1"/>
  </hyperlinks>
  <printOptions horizontalCentered="1" verticalCentered="1" gridLinesSet="0"/>
  <pageMargins left="0.39370078740157483" right="0.39370078740157483" top="0.39370078740157483" bottom="0.39370078740157483" header="0.39370078740157483" footer="0.39370078740157483"/>
  <pageSetup orientation="portrait" r:id="rId2"/>
  <headerFooter>
    <oddHeader>&amp;L&amp;"Arial,Normal"&amp;10&amp;K000080INEGI. Anuario estadístico y geográfico por entidad federativa 2019.</oddHeader>
  </headerFooter>
  <rowBreaks count="10" manualBreakCount="10">
    <brk id="48" max="8" man="1"/>
    <brk id="122" max="8" man="1"/>
    <brk id="196" max="8" man="1"/>
    <brk id="270" max="8" man="1"/>
    <brk id="344" max="8" man="1"/>
    <brk id="418" max="8" man="1"/>
    <brk id="492" max="8" man="1"/>
    <brk id="566" max="8" man="1"/>
    <brk id="640" max="8" man="1"/>
    <brk id="714" max="8" man="1"/>
  </rowBreak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46"/>
  <sheetViews>
    <sheetView showGridLines="0" showRowColHeaders="0" zoomScale="130" zoomScaleNormal="130" workbookViewId="0">
      <pane xSplit="1" ySplit="6" topLeftCell="B7" activePane="bottomRight" state="frozen"/>
      <selection activeCell="B5" sqref="B5"/>
      <selection pane="topRight" activeCell="B5" sqref="B5"/>
      <selection pane="bottomLeft" activeCell="B5" sqref="B5"/>
      <selection pane="bottomRight"/>
    </sheetView>
  </sheetViews>
  <sheetFormatPr baseColWidth="10" defaultColWidth="0" defaultRowHeight="11.25" customHeight="1" zeroHeight="1" x14ac:dyDescent="0.25"/>
  <cols>
    <col min="1" max="1" width="17.7109375" style="58" customWidth="1"/>
    <col min="2" max="21" width="4.85546875" style="58" customWidth="1"/>
    <col min="22" max="22" width="0.85546875" style="58" customWidth="1"/>
    <col min="23" max="23" width="0.85546875" style="58" hidden="1" customWidth="1"/>
    <col min="24" max="16384" width="11.42578125" style="58" hidden="1"/>
  </cols>
  <sheetData>
    <row r="1" spans="1:21" s="55" customFormat="1" ht="12" customHeight="1" x14ac:dyDescent="0.2">
      <c r="A1" s="50" t="s">
        <v>68</v>
      </c>
      <c r="B1" s="51"/>
      <c r="C1" s="51"/>
      <c r="D1" s="51"/>
      <c r="E1" s="52"/>
      <c r="F1" s="52"/>
      <c r="G1" s="52"/>
      <c r="H1" s="52"/>
      <c r="I1" s="52"/>
      <c r="J1" s="52"/>
      <c r="K1" s="52"/>
      <c r="L1" s="52"/>
      <c r="M1" s="53"/>
      <c r="N1" s="54"/>
      <c r="O1" s="54"/>
      <c r="P1" s="54"/>
      <c r="Q1" s="850" t="s">
        <v>69</v>
      </c>
      <c r="R1" s="850"/>
      <c r="S1" s="850"/>
      <c r="T1" s="850"/>
      <c r="U1" s="850"/>
    </row>
    <row r="2" spans="1:21" s="55" customFormat="1" ht="12" customHeight="1" x14ac:dyDescent="0.25">
      <c r="A2" s="56" t="s">
        <v>70</v>
      </c>
      <c r="B2" s="51"/>
      <c r="C2" s="51"/>
      <c r="D2" s="51"/>
    </row>
    <row r="3" spans="1:21" ht="3" customHeight="1" x14ac:dyDescent="0.25">
      <c r="A3" s="57"/>
      <c r="B3" s="57"/>
      <c r="C3" s="57"/>
      <c r="D3" s="57"/>
      <c r="E3" s="57"/>
      <c r="F3" s="57"/>
      <c r="G3" s="57"/>
      <c r="H3" s="57"/>
      <c r="I3" s="57"/>
      <c r="J3" s="57"/>
      <c r="K3" s="57"/>
      <c r="L3" s="57"/>
      <c r="M3" s="57"/>
      <c r="N3" s="57"/>
      <c r="O3" s="57"/>
      <c r="P3" s="57"/>
      <c r="Q3" s="57"/>
      <c r="R3" s="57"/>
      <c r="S3" s="57"/>
      <c r="T3" s="57"/>
      <c r="U3" s="57"/>
    </row>
    <row r="4" spans="1:21" ht="3" customHeight="1" x14ac:dyDescent="0.25">
      <c r="A4" s="59"/>
      <c r="B4" s="59"/>
      <c r="C4" s="59"/>
      <c r="D4" s="59"/>
    </row>
    <row r="5" spans="1:21" ht="9" customHeight="1" x14ac:dyDescent="0.25">
      <c r="A5" s="60" t="s">
        <v>71</v>
      </c>
      <c r="B5" s="61">
        <v>1999</v>
      </c>
      <c r="C5" s="61">
        <v>2000</v>
      </c>
      <c r="D5" s="61">
        <v>2001</v>
      </c>
      <c r="E5" s="61">
        <v>2002</v>
      </c>
      <c r="F5" s="61">
        <v>2003</v>
      </c>
      <c r="G5" s="61">
        <v>2004</v>
      </c>
      <c r="H5" s="61">
        <v>2005</v>
      </c>
      <c r="I5" s="61">
        <v>2006</v>
      </c>
      <c r="J5" s="61">
        <v>2007</v>
      </c>
      <c r="K5" s="61">
        <v>2008</v>
      </c>
      <c r="L5" s="61">
        <v>2009</v>
      </c>
      <c r="M5" s="61">
        <v>2010</v>
      </c>
      <c r="N5" s="61">
        <v>2011</v>
      </c>
      <c r="O5" s="61">
        <v>2012</v>
      </c>
      <c r="P5" s="61">
        <v>2013</v>
      </c>
      <c r="Q5" s="61">
        <v>2014</v>
      </c>
      <c r="R5" s="61">
        <v>2015</v>
      </c>
      <c r="S5" s="61">
        <v>2016</v>
      </c>
      <c r="T5" s="61">
        <v>2017</v>
      </c>
      <c r="U5" s="61">
        <v>2018</v>
      </c>
    </row>
    <row r="6" spans="1:21" ht="3" customHeight="1" x14ac:dyDescent="0.25">
      <c r="A6" s="57"/>
      <c r="B6" s="57"/>
      <c r="C6" s="57"/>
      <c r="D6" s="57"/>
      <c r="E6" s="57"/>
      <c r="F6" s="57"/>
      <c r="G6" s="57"/>
      <c r="H6" s="57"/>
      <c r="I6" s="57"/>
      <c r="J6" s="57"/>
      <c r="K6" s="57"/>
      <c r="L6" s="57"/>
      <c r="M6" s="57"/>
      <c r="N6" s="57"/>
      <c r="O6" s="57"/>
      <c r="P6" s="57"/>
      <c r="Q6" s="57"/>
      <c r="R6" s="57"/>
      <c r="S6" s="57"/>
      <c r="T6" s="57"/>
      <c r="U6" s="57"/>
    </row>
    <row r="7" spans="1:21" ht="3" customHeight="1" x14ac:dyDescent="0.25">
      <c r="A7" s="59"/>
      <c r="B7" s="59"/>
    </row>
    <row r="8" spans="1:21" s="65" customFormat="1" ht="9" customHeight="1" x14ac:dyDescent="0.25">
      <c r="A8" s="62" t="s">
        <v>21</v>
      </c>
      <c r="B8" s="63">
        <f t="shared" ref="B8:U8" si="0">SUM(B10:B41)</f>
        <v>62</v>
      </c>
      <c r="C8" s="63">
        <f t="shared" si="0"/>
        <v>69</v>
      </c>
      <c r="D8" s="63">
        <f t="shared" si="0"/>
        <v>67</v>
      </c>
      <c r="E8" s="63">
        <f t="shared" si="0"/>
        <v>77</v>
      </c>
      <c r="F8" s="63">
        <f t="shared" si="0"/>
        <v>78</v>
      </c>
      <c r="G8" s="63">
        <f t="shared" si="0"/>
        <v>75</v>
      </c>
      <c r="H8" s="63">
        <f t="shared" si="0"/>
        <v>90</v>
      </c>
      <c r="I8" s="63">
        <f t="shared" si="0"/>
        <v>96</v>
      </c>
      <c r="J8" s="63">
        <f t="shared" si="0"/>
        <v>103</v>
      </c>
      <c r="K8" s="63">
        <f t="shared" si="0"/>
        <v>110</v>
      </c>
      <c r="L8" s="63">
        <f t="shared" si="0"/>
        <v>112</v>
      </c>
      <c r="M8" s="64">
        <f t="shared" si="0"/>
        <v>114</v>
      </c>
      <c r="N8" s="64">
        <f t="shared" si="0"/>
        <v>114</v>
      </c>
      <c r="O8" s="64">
        <f t="shared" si="0"/>
        <v>114</v>
      </c>
      <c r="P8" s="64">
        <f t="shared" si="0"/>
        <v>115</v>
      </c>
      <c r="Q8" s="64">
        <f t="shared" si="0"/>
        <v>116</v>
      </c>
      <c r="R8" s="64">
        <f t="shared" si="0"/>
        <v>116</v>
      </c>
      <c r="S8" s="64">
        <f t="shared" si="0"/>
        <v>116</v>
      </c>
      <c r="T8" s="64">
        <f t="shared" ref="T8" si="1">SUM(T10:T41)</f>
        <v>117</v>
      </c>
      <c r="U8" s="64">
        <f t="shared" si="0"/>
        <v>120</v>
      </c>
    </row>
    <row r="9" spans="1:21" s="65" customFormat="1" ht="3.95" customHeight="1" x14ac:dyDescent="0.25">
      <c r="A9" s="62"/>
      <c r="B9" s="63"/>
      <c r="C9" s="63"/>
      <c r="D9" s="63"/>
      <c r="E9" s="63"/>
      <c r="F9" s="63"/>
      <c r="G9" s="63"/>
      <c r="H9" s="63"/>
      <c r="I9" s="63"/>
      <c r="J9" s="63"/>
      <c r="K9" s="63"/>
      <c r="L9" s="63"/>
      <c r="M9" s="64"/>
      <c r="N9" s="64"/>
      <c r="O9" s="64"/>
      <c r="P9" s="64"/>
      <c r="Q9" s="64"/>
      <c r="R9" s="64"/>
      <c r="S9" s="64"/>
      <c r="T9" s="64"/>
      <c r="U9" s="64"/>
    </row>
    <row r="10" spans="1:21" s="68" customFormat="1" ht="9" customHeight="1" x14ac:dyDescent="0.15">
      <c r="A10" s="66" t="s">
        <v>23</v>
      </c>
      <c r="B10" s="67">
        <v>1</v>
      </c>
      <c r="C10" s="67">
        <v>1</v>
      </c>
      <c r="D10" s="67">
        <v>1</v>
      </c>
      <c r="E10" s="67">
        <v>1</v>
      </c>
      <c r="F10" s="67">
        <v>1</v>
      </c>
      <c r="G10" s="67">
        <v>1</v>
      </c>
      <c r="H10" s="67">
        <v>1</v>
      </c>
      <c r="I10" s="67">
        <v>1</v>
      </c>
      <c r="J10" s="67">
        <v>1</v>
      </c>
      <c r="K10" s="67">
        <v>1</v>
      </c>
      <c r="L10" s="67">
        <v>1</v>
      </c>
      <c r="M10" s="67">
        <v>1</v>
      </c>
      <c r="N10" s="67">
        <v>1</v>
      </c>
      <c r="O10" s="67">
        <v>1</v>
      </c>
      <c r="P10" s="67">
        <v>1</v>
      </c>
      <c r="Q10" s="67">
        <v>1</v>
      </c>
      <c r="R10" s="67">
        <v>1</v>
      </c>
      <c r="S10" s="67">
        <v>1</v>
      </c>
      <c r="T10" s="67">
        <v>1</v>
      </c>
      <c r="U10" s="67">
        <v>1</v>
      </c>
    </row>
    <row r="11" spans="1:21" s="68" customFormat="1" ht="9" customHeight="1" x14ac:dyDescent="0.15">
      <c r="A11" s="66" t="s">
        <v>24</v>
      </c>
      <c r="B11" s="67">
        <v>2</v>
      </c>
      <c r="C11" s="67">
        <v>2</v>
      </c>
      <c r="D11" s="67">
        <v>2</v>
      </c>
      <c r="E11" s="67">
        <v>2</v>
      </c>
      <c r="F11" s="67">
        <v>2</v>
      </c>
      <c r="G11" s="67">
        <v>2</v>
      </c>
      <c r="H11" s="67">
        <v>4</v>
      </c>
      <c r="I11" s="67">
        <v>4</v>
      </c>
      <c r="J11" s="67">
        <v>5</v>
      </c>
      <c r="K11" s="67">
        <v>5</v>
      </c>
      <c r="L11" s="67">
        <v>5</v>
      </c>
      <c r="M11" s="67">
        <v>5</v>
      </c>
      <c r="N11" s="67">
        <v>5</v>
      </c>
      <c r="O11" s="67">
        <v>5</v>
      </c>
      <c r="P11" s="67">
        <v>5</v>
      </c>
      <c r="Q11" s="67">
        <v>5</v>
      </c>
      <c r="R11" s="67">
        <v>5</v>
      </c>
      <c r="S11" s="67">
        <v>5</v>
      </c>
      <c r="T11" s="67">
        <v>5</v>
      </c>
      <c r="U11" s="67">
        <v>5</v>
      </c>
    </row>
    <row r="12" spans="1:21" s="68" customFormat="1" ht="9" customHeight="1" x14ac:dyDescent="0.15">
      <c r="A12" s="66" t="s">
        <v>25</v>
      </c>
      <c r="B12" s="67">
        <v>1</v>
      </c>
      <c r="C12" s="67">
        <v>1</v>
      </c>
      <c r="D12" s="67">
        <v>1</v>
      </c>
      <c r="E12" s="67">
        <v>1</v>
      </c>
      <c r="F12" s="67">
        <v>2</v>
      </c>
      <c r="G12" s="67">
        <v>2</v>
      </c>
      <c r="H12" s="67">
        <v>2</v>
      </c>
      <c r="I12" s="67">
        <v>2</v>
      </c>
      <c r="J12" s="67">
        <v>2</v>
      </c>
      <c r="K12" s="67">
        <v>2</v>
      </c>
      <c r="L12" s="67">
        <v>2</v>
      </c>
      <c r="M12" s="67">
        <v>2</v>
      </c>
      <c r="N12" s="67">
        <v>2</v>
      </c>
      <c r="O12" s="67">
        <v>2</v>
      </c>
      <c r="P12" s="67">
        <v>2</v>
      </c>
      <c r="Q12" s="67">
        <v>2</v>
      </c>
      <c r="R12" s="67">
        <v>2</v>
      </c>
      <c r="S12" s="67">
        <v>2</v>
      </c>
      <c r="T12" s="67">
        <v>2</v>
      </c>
      <c r="U12" s="67">
        <v>2</v>
      </c>
    </row>
    <row r="13" spans="1:21" s="68" customFormat="1" ht="9" customHeight="1" x14ac:dyDescent="0.15">
      <c r="A13" s="69" t="s">
        <v>26</v>
      </c>
      <c r="B13" s="70">
        <v>0</v>
      </c>
      <c r="C13" s="70">
        <v>1</v>
      </c>
      <c r="D13" s="70">
        <v>1</v>
      </c>
      <c r="E13" s="70">
        <v>1</v>
      </c>
      <c r="F13" s="70">
        <v>1</v>
      </c>
      <c r="G13" s="70">
        <v>1</v>
      </c>
      <c r="H13" s="70">
        <v>1</v>
      </c>
      <c r="I13" s="70">
        <v>1</v>
      </c>
      <c r="J13" s="70">
        <v>1</v>
      </c>
      <c r="K13" s="70">
        <v>1</v>
      </c>
      <c r="L13" s="70">
        <v>1</v>
      </c>
      <c r="M13" s="70">
        <v>1</v>
      </c>
      <c r="N13" s="70">
        <v>1</v>
      </c>
      <c r="O13" s="70">
        <v>1</v>
      </c>
      <c r="P13" s="70">
        <v>1</v>
      </c>
      <c r="Q13" s="70">
        <v>1</v>
      </c>
      <c r="R13" s="70">
        <v>1</v>
      </c>
      <c r="S13" s="70">
        <v>1</v>
      </c>
      <c r="T13" s="70">
        <v>1</v>
      </c>
      <c r="U13" s="70">
        <v>1</v>
      </c>
    </row>
    <row r="14" spans="1:21" s="68" customFormat="1" ht="9" customHeight="1" x14ac:dyDescent="0.15">
      <c r="A14" s="66" t="s">
        <v>27</v>
      </c>
      <c r="B14" s="67">
        <v>3</v>
      </c>
      <c r="C14" s="67">
        <v>3</v>
      </c>
      <c r="D14" s="67">
        <v>3</v>
      </c>
      <c r="E14" s="67">
        <v>3</v>
      </c>
      <c r="F14" s="67">
        <v>3</v>
      </c>
      <c r="G14" s="67">
        <v>2</v>
      </c>
      <c r="H14" s="67">
        <v>3</v>
      </c>
      <c r="I14" s="67">
        <v>2</v>
      </c>
      <c r="J14" s="67">
        <v>2</v>
      </c>
      <c r="K14" s="67">
        <v>2</v>
      </c>
      <c r="L14" s="67">
        <v>3</v>
      </c>
      <c r="M14" s="67">
        <v>4</v>
      </c>
      <c r="N14" s="67">
        <v>4</v>
      </c>
      <c r="O14" s="67">
        <v>4</v>
      </c>
      <c r="P14" s="67">
        <v>4</v>
      </c>
      <c r="Q14" s="67">
        <v>4</v>
      </c>
      <c r="R14" s="67">
        <v>4</v>
      </c>
      <c r="S14" s="67">
        <v>4</v>
      </c>
      <c r="T14" s="67">
        <v>5</v>
      </c>
      <c r="U14" s="67">
        <v>5</v>
      </c>
    </row>
    <row r="15" spans="1:21" s="68" customFormat="1" ht="9" customHeight="1" x14ac:dyDescent="0.15">
      <c r="A15" s="66" t="s">
        <v>28</v>
      </c>
      <c r="B15" s="67">
        <v>1</v>
      </c>
      <c r="C15" s="67">
        <v>1</v>
      </c>
      <c r="D15" s="67">
        <v>1</v>
      </c>
      <c r="E15" s="67">
        <v>3</v>
      </c>
      <c r="F15" s="67">
        <v>3</v>
      </c>
      <c r="G15" s="67">
        <v>3</v>
      </c>
      <c r="H15" s="67">
        <v>3</v>
      </c>
      <c r="I15" s="67">
        <v>3</v>
      </c>
      <c r="J15" s="67">
        <v>3</v>
      </c>
      <c r="K15" s="67">
        <v>3</v>
      </c>
      <c r="L15" s="67">
        <v>3</v>
      </c>
      <c r="M15" s="67">
        <v>3</v>
      </c>
      <c r="N15" s="67">
        <v>3</v>
      </c>
      <c r="O15" s="67">
        <v>3</v>
      </c>
      <c r="P15" s="67">
        <v>3</v>
      </c>
      <c r="Q15" s="67">
        <v>3</v>
      </c>
      <c r="R15" s="67">
        <v>3</v>
      </c>
      <c r="S15" s="67">
        <v>3</v>
      </c>
      <c r="T15" s="67">
        <v>3</v>
      </c>
      <c r="U15" s="67">
        <v>3</v>
      </c>
    </row>
    <row r="16" spans="1:21" s="68" customFormat="1" ht="9" customHeight="1" x14ac:dyDescent="0.15">
      <c r="A16" s="66" t="s">
        <v>29</v>
      </c>
      <c r="B16" s="67">
        <v>1</v>
      </c>
      <c r="C16" s="67">
        <v>1</v>
      </c>
      <c r="D16" s="67">
        <v>1</v>
      </c>
      <c r="E16" s="67">
        <v>2</v>
      </c>
      <c r="F16" s="67">
        <v>2</v>
      </c>
      <c r="G16" s="67">
        <v>2</v>
      </c>
      <c r="H16" s="67">
        <v>2</v>
      </c>
      <c r="I16" s="67">
        <v>3</v>
      </c>
      <c r="J16" s="67">
        <v>3</v>
      </c>
      <c r="K16" s="67">
        <v>3</v>
      </c>
      <c r="L16" s="67">
        <v>3</v>
      </c>
      <c r="M16" s="67">
        <v>3</v>
      </c>
      <c r="N16" s="67">
        <v>3</v>
      </c>
      <c r="O16" s="67">
        <v>3</v>
      </c>
      <c r="P16" s="67">
        <v>3</v>
      </c>
      <c r="Q16" s="67">
        <v>3</v>
      </c>
      <c r="R16" s="67">
        <v>3</v>
      </c>
      <c r="S16" s="67">
        <v>3</v>
      </c>
      <c r="T16" s="67">
        <v>3</v>
      </c>
      <c r="U16" s="67">
        <v>3</v>
      </c>
    </row>
    <row r="17" spans="1:21" s="68" customFormat="1" ht="9" customHeight="1" x14ac:dyDescent="0.15">
      <c r="A17" s="69" t="s">
        <v>30</v>
      </c>
      <c r="B17" s="70">
        <v>2</v>
      </c>
      <c r="C17" s="70">
        <v>2</v>
      </c>
      <c r="D17" s="70">
        <v>2</v>
      </c>
      <c r="E17" s="70">
        <v>2</v>
      </c>
      <c r="F17" s="70">
        <v>2</v>
      </c>
      <c r="G17" s="70">
        <v>2</v>
      </c>
      <c r="H17" s="70">
        <v>2</v>
      </c>
      <c r="I17" s="70">
        <v>3</v>
      </c>
      <c r="J17" s="70">
        <v>3</v>
      </c>
      <c r="K17" s="70">
        <v>3</v>
      </c>
      <c r="L17" s="70">
        <v>3</v>
      </c>
      <c r="M17" s="70">
        <v>4</v>
      </c>
      <c r="N17" s="70">
        <v>4</v>
      </c>
      <c r="O17" s="70">
        <v>4</v>
      </c>
      <c r="P17" s="70">
        <v>4</v>
      </c>
      <c r="Q17" s="70">
        <v>4</v>
      </c>
      <c r="R17" s="70">
        <v>4</v>
      </c>
      <c r="S17" s="70">
        <v>4</v>
      </c>
      <c r="T17" s="70">
        <v>4</v>
      </c>
      <c r="U17" s="70">
        <v>4</v>
      </c>
    </row>
    <row r="18" spans="1:21" s="68" customFormat="1" ht="9" customHeight="1" x14ac:dyDescent="0.15">
      <c r="A18" s="66" t="s">
        <v>63</v>
      </c>
      <c r="B18" s="67">
        <v>14</v>
      </c>
      <c r="C18" s="67">
        <v>13</v>
      </c>
      <c r="D18" s="67">
        <v>13</v>
      </c>
      <c r="E18" s="67">
        <v>14</v>
      </c>
      <c r="F18" s="67">
        <v>14</v>
      </c>
      <c r="G18" s="67">
        <v>14</v>
      </c>
      <c r="H18" s="67">
        <v>18</v>
      </c>
      <c r="I18" s="67">
        <v>20</v>
      </c>
      <c r="J18" s="67">
        <v>20</v>
      </c>
      <c r="K18" s="67">
        <v>22</v>
      </c>
      <c r="L18" s="67">
        <v>22</v>
      </c>
      <c r="M18" s="67">
        <v>22</v>
      </c>
      <c r="N18" s="67">
        <v>21</v>
      </c>
      <c r="O18" s="67">
        <v>21</v>
      </c>
      <c r="P18" s="67">
        <v>20</v>
      </c>
      <c r="Q18" s="67">
        <v>18</v>
      </c>
      <c r="R18" s="67">
        <v>18</v>
      </c>
      <c r="S18" s="67">
        <v>18</v>
      </c>
      <c r="T18" s="67">
        <v>18</v>
      </c>
      <c r="U18" s="67">
        <v>18</v>
      </c>
    </row>
    <row r="19" spans="1:21" s="68" customFormat="1" ht="9" customHeight="1" x14ac:dyDescent="0.15">
      <c r="A19" s="66" t="s">
        <v>31</v>
      </c>
      <c r="B19" s="67">
        <v>1</v>
      </c>
      <c r="C19" s="67">
        <v>2</v>
      </c>
      <c r="D19" s="67">
        <v>2</v>
      </c>
      <c r="E19" s="67">
        <v>2</v>
      </c>
      <c r="F19" s="67">
        <v>2</v>
      </c>
      <c r="G19" s="67">
        <v>2</v>
      </c>
      <c r="H19" s="67">
        <v>2</v>
      </c>
      <c r="I19" s="67">
        <v>2</v>
      </c>
      <c r="J19" s="67">
        <v>2</v>
      </c>
      <c r="K19" s="67">
        <v>2</v>
      </c>
      <c r="L19" s="67">
        <v>2</v>
      </c>
      <c r="M19" s="67">
        <v>2</v>
      </c>
      <c r="N19" s="67">
        <v>2</v>
      </c>
      <c r="O19" s="67">
        <v>2</v>
      </c>
      <c r="P19" s="67">
        <v>2</v>
      </c>
      <c r="Q19" s="67">
        <v>2</v>
      </c>
      <c r="R19" s="67">
        <v>2</v>
      </c>
      <c r="S19" s="67">
        <v>2</v>
      </c>
      <c r="T19" s="67">
        <v>2</v>
      </c>
      <c r="U19" s="67">
        <v>2</v>
      </c>
    </row>
    <row r="20" spans="1:21" s="68" customFormat="1" ht="9" customHeight="1" x14ac:dyDescent="0.15">
      <c r="A20" s="66" t="s">
        <v>32</v>
      </c>
      <c r="B20" s="67">
        <v>2</v>
      </c>
      <c r="C20" s="67">
        <v>3</v>
      </c>
      <c r="D20" s="67">
        <v>3</v>
      </c>
      <c r="E20" s="67">
        <v>3</v>
      </c>
      <c r="F20" s="67">
        <v>3</v>
      </c>
      <c r="G20" s="67">
        <v>3</v>
      </c>
      <c r="H20" s="67">
        <v>3</v>
      </c>
      <c r="I20" s="67">
        <v>3</v>
      </c>
      <c r="J20" s="67">
        <v>3</v>
      </c>
      <c r="K20" s="67">
        <v>3</v>
      </c>
      <c r="L20" s="67">
        <v>3</v>
      </c>
      <c r="M20" s="67">
        <v>3</v>
      </c>
      <c r="N20" s="67">
        <v>3</v>
      </c>
      <c r="O20" s="67">
        <v>3</v>
      </c>
      <c r="P20" s="67">
        <v>3</v>
      </c>
      <c r="Q20" s="67">
        <v>3</v>
      </c>
      <c r="R20" s="67">
        <v>3</v>
      </c>
      <c r="S20" s="67">
        <v>3</v>
      </c>
      <c r="T20" s="67">
        <v>3</v>
      </c>
      <c r="U20" s="67">
        <v>11</v>
      </c>
    </row>
    <row r="21" spans="1:21" s="68" customFormat="1" ht="9" customHeight="1" x14ac:dyDescent="0.15">
      <c r="A21" s="69" t="s">
        <v>33</v>
      </c>
      <c r="B21" s="70">
        <v>1</v>
      </c>
      <c r="C21" s="70">
        <v>1</v>
      </c>
      <c r="D21" s="70">
        <v>1</v>
      </c>
      <c r="E21" s="70">
        <v>1</v>
      </c>
      <c r="F21" s="70">
        <v>1</v>
      </c>
      <c r="G21" s="70">
        <v>1</v>
      </c>
      <c r="H21" s="70">
        <v>2</v>
      </c>
      <c r="I21" s="70">
        <v>4</v>
      </c>
      <c r="J21" s="70">
        <v>4</v>
      </c>
      <c r="K21" s="70">
        <v>4</v>
      </c>
      <c r="L21" s="70">
        <v>4</v>
      </c>
      <c r="M21" s="70">
        <v>4</v>
      </c>
      <c r="N21" s="70">
        <v>4</v>
      </c>
      <c r="O21" s="70">
        <v>4</v>
      </c>
      <c r="P21" s="70">
        <v>4</v>
      </c>
      <c r="Q21" s="70">
        <v>4</v>
      </c>
      <c r="R21" s="70">
        <v>4</v>
      </c>
      <c r="S21" s="70">
        <v>4</v>
      </c>
      <c r="T21" s="70">
        <v>4</v>
      </c>
      <c r="U21" s="70">
        <v>3</v>
      </c>
    </row>
    <row r="22" spans="1:21" s="68" customFormat="1" ht="9" customHeight="1" x14ac:dyDescent="0.15">
      <c r="A22" s="66" t="s">
        <v>34</v>
      </c>
      <c r="B22" s="67">
        <v>1</v>
      </c>
      <c r="C22" s="67">
        <v>1</v>
      </c>
      <c r="D22" s="67">
        <v>1</v>
      </c>
      <c r="E22" s="67">
        <v>1</v>
      </c>
      <c r="F22" s="67">
        <v>1</v>
      </c>
      <c r="G22" s="67">
        <v>2</v>
      </c>
      <c r="H22" s="67">
        <v>2</v>
      </c>
      <c r="I22" s="67">
        <v>2</v>
      </c>
      <c r="J22" s="67">
        <v>2</v>
      </c>
      <c r="K22" s="67">
        <v>2</v>
      </c>
      <c r="L22" s="67">
        <v>2</v>
      </c>
      <c r="M22" s="67">
        <v>2</v>
      </c>
      <c r="N22" s="67">
        <v>2</v>
      </c>
      <c r="O22" s="67">
        <v>2</v>
      </c>
      <c r="P22" s="67">
        <v>2</v>
      </c>
      <c r="Q22" s="67">
        <v>2</v>
      </c>
      <c r="R22" s="67">
        <v>2</v>
      </c>
      <c r="S22" s="67">
        <v>2</v>
      </c>
      <c r="T22" s="67">
        <v>2</v>
      </c>
      <c r="U22" s="67">
        <v>4</v>
      </c>
    </row>
    <row r="23" spans="1:21" s="68" customFormat="1" ht="9" customHeight="1" x14ac:dyDescent="0.15">
      <c r="A23" s="66" t="s">
        <v>35</v>
      </c>
      <c r="B23" s="67">
        <v>5</v>
      </c>
      <c r="C23" s="67">
        <v>5</v>
      </c>
      <c r="D23" s="67">
        <v>5</v>
      </c>
      <c r="E23" s="67">
        <v>5</v>
      </c>
      <c r="F23" s="67">
        <v>5</v>
      </c>
      <c r="G23" s="67">
        <v>5</v>
      </c>
      <c r="H23" s="67">
        <v>6</v>
      </c>
      <c r="I23" s="67">
        <v>8</v>
      </c>
      <c r="J23" s="67">
        <v>8</v>
      </c>
      <c r="K23" s="67">
        <v>8</v>
      </c>
      <c r="L23" s="67">
        <v>8</v>
      </c>
      <c r="M23" s="67">
        <v>8</v>
      </c>
      <c r="N23" s="67">
        <v>8</v>
      </c>
      <c r="O23" s="67">
        <v>8</v>
      </c>
      <c r="P23" s="67">
        <v>8</v>
      </c>
      <c r="Q23" s="67">
        <v>8</v>
      </c>
      <c r="R23" s="67">
        <v>8</v>
      </c>
      <c r="S23" s="67">
        <v>8</v>
      </c>
      <c r="T23" s="67">
        <v>8</v>
      </c>
      <c r="U23" s="67">
        <v>3</v>
      </c>
    </row>
    <row r="24" spans="1:21" s="68" customFormat="1" ht="9" customHeight="1" x14ac:dyDescent="0.15">
      <c r="A24" s="66" t="s">
        <v>36</v>
      </c>
      <c r="B24" s="67">
        <v>6</v>
      </c>
      <c r="C24" s="67">
        <v>8</v>
      </c>
      <c r="D24" s="67">
        <v>7</v>
      </c>
      <c r="E24" s="67">
        <v>8</v>
      </c>
      <c r="F24" s="67">
        <v>8</v>
      </c>
      <c r="G24" s="67">
        <v>7</v>
      </c>
      <c r="H24" s="67">
        <v>8</v>
      </c>
      <c r="I24" s="67">
        <v>7</v>
      </c>
      <c r="J24" s="67">
        <v>8</v>
      </c>
      <c r="K24" s="67">
        <v>8</v>
      </c>
      <c r="L24" s="67">
        <v>8</v>
      </c>
      <c r="M24" s="67">
        <v>8</v>
      </c>
      <c r="N24" s="67">
        <v>9</v>
      </c>
      <c r="O24" s="67">
        <v>9</v>
      </c>
      <c r="P24" s="67">
        <v>9</v>
      </c>
      <c r="Q24" s="67">
        <v>10</v>
      </c>
      <c r="R24" s="67">
        <v>10</v>
      </c>
      <c r="S24" s="67">
        <v>10</v>
      </c>
      <c r="T24" s="67">
        <v>11</v>
      </c>
      <c r="U24" s="67">
        <v>8</v>
      </c>
    </row>
    <row r="25" spans="1:21" s="68" customFormat="1" ht="9" customHeight="1" x14ac:dyDescent="0.15">
      <c r="A25" s="69" t="s">
        <v>37</v>
      </c>
      <c r="B25" s="70">
        <v>1</v>
      </c>
      <c r="C25" s="70">
        <v>1</v>
      </c>
      <c r="D25" s="70">
        <v>1</v>
      </c>
      <c r="E25" s="70">
        <v>1</v>
      </c>
      <c r="F25" s="70">
        <v>1</v>
      </c>
      <c r="G25" s="70">
        <v>1</v>
      </c>
      <c r="H25" s="70">
        <v>1</v>
      </c>
      <c r="I25" s="70">
        <v>1</v>
      </c>
      <c r="J25" s="70">
        <v>2</v>
      </c>
      <c r="K25" s="70">
        <v>3</v>
      </c>
      <c r="L25" s="70">
        <v>3</v>
      </c>
      <c r="M25" s="70">
        <v>3</v>
      </c>
      <c r="N25" s="70">
        <v>3</v>
      </c>
      <c r="O25" s="70">
        <v>3</v>
      </c>
      <c r="P25" s="70">
        <v>3</v>
      </c>
      <c r="Q25" s="70">
        <v>3</v>
      </c>
      <c r="R25" s="70">
        <v>3</v>
      </c>
      <c r="S25" s="70">
        <v>3</v>
      </c>
      <c r="T25" s="70">
        <v>3</v>
      </c>
      <c r="U25" s="70">
        <v>3</v>
      </c>
    </row>
    <row r="26" spans="1:21" s="68" customFormat="1" ht="9" customHeight="1" x14ac:dyDescent="0.15">
      <c r="A26" s="66" t="s">
        <v>38</v>
      </c>
      <c r="B26" s="67">
        <v>1</v>
      </c>
      <c r="C26" s="67">
        <v>1</v>
      </c>
      <c r="D26" s="67">
        <v>1</v>
      </c>
      <c r="E26" s="67">
        <v>1</v>
      </c>
      <c r="F26" s="67">
        <v>1</v>
      </c>
      <c r="G26" s="67">
        <v>1</v>
      </c>
      <c r="H26" s="67">
        <v>1</v>
      </c>
      <c r="I26" s="67">
        <v>1</v>
      </c>
      <c r="J26" s="67">
        <v>1</v>
      </c>
      <c r="K26" s="67">
        <v>1</v>
      </c>
      <c r="L26" s="67">
        <v>1</v>
      </c>
      <c r="M26" s="67">
        <v>1</v>
      </c>
      <c r="N26" s="67">
        <v>1</v>
      </c>
      <c r="O26" s="67">
        <v>1</v>
      </c>
      <c r="P26" s="67">
        <v>1</v>
      </c>
      <c r="Q26" s="67">
        <v>1</v>
      </c>
      <c r="R26" s="67">
        <v>1</v>
      </c>
      <c r="S26" s="67">
        <v>1</v>
      </c>
      <c r="T26" s="67">
        <v>1</v>
      </c>
      <c r="U26" s="67">
        <v>1</v>
      </c>
    </row>
    <row r="27" spans="1:21" s="68" customFormat="1" ht="9" customHeight="1" x14ac:dyDescent="0.15">
      <c r="A27" s="66" t="s">
        <v>39</v>
      </c>
      <c r="B27" s="67">
        <v>0</v>
      </c>
      <c r="C27" s="67">
        <v>0</v>
      </c>
      <c r="D27" s="67">
        <v>0</v>
      </c>
      <c r="E27" s="67">
        <v>2</v>
      </c>
      <c r="F27" s="67">
        <v>2</v>
      </c>
      <c r="G27" s="67">
        <v>1</v>
      </c>
      <c r="H27" s="67">
        <v>2</v>
      </c>
      <c r="I27" s="67">
        <v>1</v>
      </c>
      <c r="J27" s="67">
        <v>1</v>
      </c>
      <c r="K27" s="67">
        <v>1</v>
      </c>
      <c r="L27" s="67">
        <v>1</v>
      </c>
      <c r="M27" s="67">
        <v>1</v>
      </c>
      <c r="N27" s="67">
        <v>1</v>
      </c>
      <c r="O27" s="67">
        <v>1</v>
      </c>
      <c r="P27" s="67">
        <v>1</v>
      </c>
      <c r="Q27" s="67">
        <v>1</v>
      </c>
      <c r="R27" s="67">
        <v>1</v>
      </c>
      <c r="S27" s="67">
        <v>1</v>
      </c>
      <c r="T27" s="67">
        <v>1</v>
      </c>
      <c r="U27" s="67">
        <v>2</v>
      </c>
    </row>
    <row r="28" spans="1:21" s="68" customFormat="1" ht="9" customHeight="1" x14ac:dyDescent="0.15">
      <c r="A28" s="66" t="s">
        <v>40</v>
      </c>
      <c r="B28" s="67">
        <v>2</v>
      </c>
      <c r="C28" s="67">
        <v>2</v>
      </c>
      <c r="D28" s="67">
        <v>3</v>
      </c>
      <c r="E28" s="67">
        <v>5</v>
      </c>
      <c r="F28" s="67">
        <v>5</v>
      </c>
      <c r="G28" s="67">
        <v>3</v>
      </c>
      <c r="H28" s="67">
        <v>6</v>
      </c>
      <c r="I28" s="67">
        <v>5</v>
      </c>
      <c r="J28" s="67">
        <v>5</v>
      </c>
      <c r="K28" s="67">
        <v>5</v>
      </c>
      <c r="L28" s="67">
        <v>5</v>
      </c>
      <c r="M28" s="67">
        <v>5</v>
      </c>
      <c r="N28" s="67">
        <v>5</v>
      </c>
      <c r="O28" s="67">
        <v>5</v>
      </c>
      <c r="P28" s="67">
        <v>6</v>
      </c>
      <c r="Q28" s="67">
        <v>6</v>
      </c>
      <c r="R28" s="67">
        <v>6</v>
      </c>
      <c r="S28" s="67">
        <v>6</v>
      </c>
      <c r="T28" s="67">
        <v>6</v>
      </c>
      <c r="U28" s="67">
        <v>6</v>
      </c>
    </row>
    <row r="29" spans="1:21" s="68" customFormat="1" ht="9" customHeight="1" x14ac:dyDescent="0.15">
      <c r="A29" s="69" t="s">
        <v>41</v>
      </c>
      <c r="B29" s="70">
        <v>0</v>
      </c>
      <c r="C29" s="70">
        <v>0</v>
      </c>
      <c r="D29" s="70">
        <v>0</v>
      </c>
      <c r="E29" s="70">
        <v>0</v>
      </c>
      <c r="F29" s="70">
        <v>0</v>
      </c>
      <c r="G29" s="70">
        <v>1</v>
      </c>
      <c r="H29" s="70">
        <v>1</v>
      </c>
      <c r="I29" s="70">
        <v>1</v>
      </c>
      <c r="J29" s="70">
        <v>2</v>
      </c>
      <c r="K29" s="70">
        <v>2</v>
      </c>
      <c r="L29" s="70">
        <v>2</v>
      </c>
      <c r="M29" s="70">
        <v>2</v>
      </c>
      <c r="N29" s="70">
        <v>2</v>
      </c>
      <c r="O29" s="70">
        <v>2</v>
      </c>
      <c r="P29" s="70">
        <v>2</v>
      </c>
      <c r="Q29" s="70">
        <v>2</v>
      </c>
      <c r="R29" s="70">
        <v>2</v>
      </c>
      <c r="S29" s="70">
        <v>2</v>
      </c>
      <c r="T29" s="70">
        <v>2</v>
      </c>
      <c r="U29" s="70">
        <v>3</v>
      </c>
    </row>
    <row r="30" spans="1:21" s="68" customFormat="1" ht="9" customHeight="1" x14ac:dyDescent="0.15">
      <c r="A30" s="66" t="s">
        <v>42</v>
      </c>
      <c r="B30" s="67">
        <v>1</v>
      </c>
      <c r="C30" s="67">
        <v>2</v>
      </c>
      <c r="D30" s="67">
        <v>2</v>
      </c>
      <c r="E30" s="67">
        <v>2</v>
      </c>
      <c r="F30" s="67">
        <v>2</v>
      </c>
      <c r="G30" s="67">
        <v>2</v>
      </c>
      <c r="H30" s="67">
        <v>2</v>
      </c>
      <c r="I30" s="67">
        <v>2</v>
      </c>
      <c r="J30" s="67">
        <v>2</v>
      </c>
      <c r="K30" s="67">
        <v>2</v>
      </c>
      <c r="L30" s="67">
        <v>2</v>
      </c>
      <c r="M30" s="67">
        <v>2</v>
      </c>
      <c r="N30" s="67">
        <v>2</v>
      </c>
      <c r="O30" s="67">
        <v>2</v>
      </c>
      <c r="P30" s="67">
        <v>2</v>
      </c>
      <c r="Q30" s="67">
        <v>2</v>
      </c>
      <c r="R30" s="67">
        <v>2</v>
      </c>
      <c r="S30" s="67">
        <v>2</v>
      </c>
      <c r="T30" s="67">
        <v>2</v>
      </c>
      <c r="U30" s="67">
        <v>2</v>
      </c>
    </row>
    <row r="31" spans="1:21" s="68" customFormat="1" ht="9" customHeight="1" x14ac:dyDescent="0.15">
      <c r="A31" s="66" t="s">
        <v>43</v>
      </c>
      <c r="B31" s="67">
        <v>1</v>
      </c>
      <c r="C31" s="67">
        <v>1</v>
      </c>
      <c r="D31" s="67">
        <v>1</v>
      </c>
      <c r="E31" s="67">
        <v>1</v>
      </c>
      <c r="F31" s="67">
        <v>1</v>
      </c>
      <c r="G31" s="67">
        <v>1</v>
      </c>
      <c r="H31" s="67">
        <v>1</v>
      </c>
      <c r="I31" s="67">
        <v>1</v>
      </c>
      <c r="J31" s="67">
        <v>1</v>
      </c>
      <c r="K31" s="67">
        <v>1</v>
      </c>
      <c r="L31" s="67">
        <v>1</v>
      </c>
      <c r="M31" s="67">
        <v>1</v>
      </c>
      <c r="N31" s="67">
        <v>1</v>
      </c>
      <c r="O31" s="67">
        <v>1</v>
      </c>
      <c r="P31" s="67">
        <v>1</v>
      </c>
      <c r="Q31" s="67">
        <v>1</v>
      </c>
      <c r="R31" s="67">
        <v>1</v>
      </c>
      <c r="S31" s="67">
        <v>1</v>
      </c>
      <c r="T31" s="67">
        <v>1</v>
      </c>
      <c r="U31" s="67">
        <v>1</v>
      </c>
    </row>
    <row r="32" spans="1:21" s="68" customFormat="1" ht="9" customHeight="1" x14ac:dyDescent="0.15">
      <c r="A32" s="66" t="s">
        <v>44</v>
      </c>
      <c r="B32" s="67">
        <v>2</v>
      </c>
      <c r="C32" s="67">
        <v>2</v>
      </c>
      <c r="D32" s="67">
        <v>2</v>
      </c>
      <c r="E32" s="67">
        <v>2</v>
      </c>
      <c r="F32" s="67">
        <v>2</v>
      </c>
      <c r="G32" s="67">
        <v>2</v>
      </c>
      <c r="H32" s="67">
        <v>2</v>
      </c>
      <c r="I32" s="67">
        <v>2</v>
      </c>
      <c r="J32" s="67">
        <v>4</v>
      </c>
      <c r="K32" s="67">
        <v>4</v>
      </c>
      <c r="L32" s="67">
        <v>4</v>
      </c>
      <c r="M32" s="67">
        <v>4</v>
      </c>
      <c r="N32" s="67">
        <v>4</v>
      </c>
      <c r="O32" s="67">
        <v>4</v>
      </c>
      <c r="P32" s="67">
        <v>4</v>
      </c>
      <c r="Q32" s="67">
        <v>4</v>
      </c>
      <c r="R32" s="67">
        <v>4</v>
      </c>
      <c r="S32" s="67">
        <v>4</v>
      </c>
      <c r="T32" s="67">
        <v>4</v>
      </c>
      <c r="U32" s="67">
        <v>4</v>
      </c>
    </row>
    <row r="33" spans="1:22" s="68" customFormat="1" ht="9" customHeight="1" x14ac:dyDescent="0.15">
      <c r="A33" s="69" t="s">
        <v>45</v>
      </c>
      <c r="B33" s="70">
        <v>1</v>
      </c>
      <c r="C33" s="70">
        <v>1</v>
      </c>
      <c r="D33" s="70">
        <v>1</v>
      </c>
      <c r="E33" s="70">
        <v>1</v>
      </c>
      <c r="F33" s="70">
        <v>1</v>
      </c>
      <c r="G33" s="70">
        <v>1</v>
      </c>
      <c r="H33" s="70">
        <v>1</v>
      </c>
      <c r="I33" s="70">
        <v>1</v>
      </c>
      <c r="J33" s="70">
        <v>1</v>
      </c>
      <c r="K33" s="70">
        <v>1</v>
      </c>
      <c r="L33" s="70">
        <v>1</v>
      </c>
      <c r="M33" s="70">
        <v>1</v>
      </c>
      <c r="N33" s="70">
        <v>1</v>
      </c>
      <c r="O33" s="70">
        <v>1</v>
      </c>
      <c r="P33" s="70">
        <v>1</v>
      </c>
      <c r="Q33" s="70">
        <v>1</v>
      </c>
      <c r="R33" s="70">
        <v>1</v>
      </c>
      <c r="S33" s="70">
        <v>1</v>
      </c>
      <c r="T33" s="70">
        <v>1</v>
      </c>
      <c r="U33" s="70">
        <v>1</v>
      </c>
    </row>
    <row r="34" spans="1:22" s="68" customFormat="1" ht="9" customHeight="1" x14ac:dyDescent="0.15">
      <c r="A34" s="66" t="s">
        <v>46</v>
      </c>
      <c r="B34" s="67">
        <v>5</v>
      </c>
      <c r="C34" s="67">
        <v>6</v>
      </c>
      <c r="D34" s="67">
        <v>5</v>
      </c>
      <c r="E34" s="67">
        <v>6</v>
      </c>
      <c r="F34" s="67">
        <v>6</v>
      </c>
      <c r="G34" s="67">
        <v>5</v>
      </c>
      <c r="H34" s="67">
        <v>6</v>
      </c>
      <c r="I34" s="67">
        <v>7</v>
      </c>
      <c r="J34" s="67">
        <v>7</v>
      </c>
      <c r="K34" s="67">
        <v>9</v>
      </c>
      <c r="L34" s="67">
        <v>9</v>
      </c>
      <c r="M34" s="67">
        <v>9</v>
      </c>
      <c r="N34" s="67">
        <v>9</v>
      </c>
      <c r="O34" s="67">
        <v>9</v>
      </c>
      <c r="P34" s="67">
        <v>9</v>
      </c>
      <c r="Q34" s="67">
        <v>9</v>
      </c>
      <c r="R34" s="67">
        <v>9</v>
      </c>
      <c r="S34" s="67">
        <v>9</v>
      </c>
      <c r="T34" s="67">
        <v>9</v>
      </c>
      <c r="U34" s="67">
        <v>9</v>
      </c>
    </row>
    <row r="35" spans="1:22" s="68" customFormat="1" ht="9" customHeight="1" x14ac:dyDescent="0.15">
      <c r="A35" s="66" t="s">
        <v>47</v>
      </c>
      <c r="B35" s="67">
        <v>2</v>
      </c>
      <c r="C35" s="67">
        <v>2</v>
      </c>
      <c r="D35" s="67">
        <v>1</v>
      </c>
      <c r="E35" s="67">
        <v>1</v>
      </c>
      <c r="F35" s="67">
        <v>1</v>
      </c>
      <c r="G35" s="67">
        <v>1</v>
      </c>
      <c r="H35" s="67">
        <v>1</v>
      </c>
      <c r="I35" s="67">
        <v>1</v>
      </c>
      <c r="J35" s="67">
        <v>2</v>
      </c>
      <c r="K35" s="67">
        <v>2</v>
      </c>
      <c r="L35" s="67">
        <v>2</v>
      </c>
      <c r="M35" s="67">
        <v>2</v>
      </c>
      <c r="N35" s="67">
        <v>2</v>
      </c>
      <c r="O35" s="67">
        <v>2</v>
      </c>
      <c r="P35" s="67">
        <v>2</v>
      </c>
      <c r="Q35" s="67">
        <v>2</v>
      </c>
      <c r="R35" s="67">
        <v>2</v>
      </c>
      <c r="S35" s="67">
        <v>2</v>
      </c>
      <c r="T35" s="67">
        <v>2</v>
      </c>
      <c r="U35" s="67">
        <v>2</v>
      </c>
    </row>
    <row r="36" spans="1:22" s="68" customFormat="1" ht="9" customHeight="1" x14ac:dyDescent="0.15">
      <c r="A36" s="66" t="s">
        <v>48</v>
      </c>
      <c r="B36" s="67">
        <v>0</v>
      </c>
      <c r="C36" s="67">
        <v>0</v>
      </c>
      <c r="D36" s="67">
        <v>0</v>
      </c>
      <c r="E36" s="67">
        <v>0</v>
      </c>
      <c r="F36" s="67">
        <v>0</v>
      </c>
      <c r="G36" s="67">
        <v>1</v>
      </c>
      <c r="H36" s="67">
        <v>1</v>
      </c>
      <c r="I36" s="67">
        <v>1</v>
      </c>
      <c r="J36" s="67">
        <v>1</v>
      </c>
      <c r="K36" s="67">
        <v>1</v>
      </c>
      <c r="L36" s="67">
        <v>1</v>
      </c>
      <c r="M36" s="67">
        <v>1</v>
      </c>
      <c r="N36" s="67">
        <v>1</v>
      </c>
      <c r="O36" s="67">
        <v>1</v>
      </c>
      <c r="P36" s="67">
        <v>1</v>
      </c>
      <c r="Q36" s="67">
        <v>1</v>
      </c>
      <c r="R36" s="67">
        <v>1</v>
      </c>
      <c r="S36" s="67">
        <v>1</v>
      </c>
      <c r="T36" s="67">
        <v>1</v>
      </c>
      <c r="U36" s="67">
        <v>1</v>
      </c>
    </row>
    <row r="37" spans="1:22" s="68" customFormat="1" ht="9" customHeight="1" x14ac:dyDescent="0.15">
      <c r="A37" s="69" t="s">
        <v>49</v>
      </c>
      <c r="B37" s="70">
        <v>1</v>
      </c>
      <c r="C37" s="70">
        <v>2</v>
      </c>
      <c r="D37" s="70">
        <v>2</v>
      </c>
      <c r="E37" s="70">
        <v>2</v>
      </c>
      <c r="F37" s="70">
        <v>2</v>
      </c>
      <c r="G37" s="70">
        <v>2</v>
      </c>
      <c r="H37" s="70">
        <v>2</v>
      </c>
      <c r="I37" s="70">
        <v>2</v>
      </c>
      <c r="J37" s="70">
        <v>2</v>
      </c>
      <c r="K37" s="70">
        <v>3</v>
      </c>
      <c r="L37" s="70">
        <v>3</v>
      </c>
      <c r="M37" s="70">
        <v>3</v>
      </c>
      <c r="N37" s="70">
        <v>3</v>
      </c>
      <c r="O37" s="70">
        <v>3</v>
      </c>
      <c r="P37" s="70">
        <v>3</v>
      </c>
      <c r="Q37" s="70">
        <v>3</v>
      </c>
      <c r="R37" s="70">
        <v>3</v>
      </c>
      <c r="S37" s="70">
        <v>3</v>
      </c>
      <c r="T37" s="70">
        <v>3</v>
      </c>
      <c r="U37" s="70">
        <v>3</v>
      </c>
    </row>
    <row r="38" spans="1:22" s="68" customFormat="1" ht="9" customHeight="1" x14ac:dyDescent="0.15">
      <c r="A38" s="71" t="s">
        <v>50</v>
      </c>
      <c r="B38" s="67">
        <v>0</v>
      </c>
      <c r="C38" s="67">
        <v>0</v>
      </c>
      <c r="D38" s="67">
        <v>0</v>
      </c>
      <c r="E38" s="67">
        <v>0</v>
      </c>
      <c r="F38" s="67">
        <v>0</v>
      </c>
      <c r="G38" s="67">
        <v>0</v>
      </c>
      <c r="H38" s="67">
        <v>0</v>
      </c>
      <c r="I38" s="67">
        <v>0</v>
      </c>
      <c r="J38" s="67">
        <v>0</v>
      </c>
      <c r="K38" s="67">
        <v>0</v>
      </c>
      <c r="L38" s="67">
        <v>1</v>
      </c>
      <c r="M38" s="67">
        <v>1</v>
      </c>
      <c r="N38" s="67">
        <v>1</v>
      </c>
      <c r="O38" s="67">
        <v>1</v>
      </c>
      <c r="P38" s="67">
        <v>1</v>
      </c>
      <c r="Q38" s="67">
        <v>1</v>
      </c>
      <c r="R38" s="67">
        <v>1</v>
      </c>
      <c r="S38" s="67">
        <v>1</v>
      </c>
      <c r="T38" s="67">
        <v>1</v>
      </c>
      <c r="U38" s="67">
        <v>1</v>
      </c>
    </row>
    <row r="39" spans="1:22" s="68" customFormat="1" ht="9" customHeight="1" x14ac:dyDescent="0.15">
      <c r="A39" s="66" t="s">
        <v>51</v>
      </c>
      <c r="B39" s="67">
        <v>2</v>
      </c>
      <c r="C39" s="67">
        <v>2</v>
      </c>
      <c r="D39" s="67">
        <v>2</v>
      </c>
      <c r="E39" s="67">
        <v>2</v>
      </c>
      <c r="F39" s="67">
        <v>2</v>
      </c>
      <c r="G39" s="67">
        <v>2</v>
      </c>
      <c r="H39" s="67">
        <v>2</v>
      </c>
      <c r="I39" s="67">
        <v>2</v>
      </c>
      <c r="J39" s="67">
        <v>2</v>
      </c>
      <c r="K39" s="67">
        <v>2</v>
      </c>
      <c r="L39" s="67">
        <v>2</v>
      </c>
      <c r="M39" s="67">
        <v>2</v>
      </c>
      <c r="N39" s="67">
        <v>2</v>
      </c>
      <c r="O39" s="67">
        <v>2</v>
      </c>
      <c r="P39" s="67">
        <v>2</v>
      </c>
      <c r="Q39" s="67">
        <v>2</v>
      </c>
      <c r="R39" s="67">
        <v>2</v>
      </c>
      <c r="S39" s="67">
        <v>2</v>
      </c>
      <c r="T39" s="67">
        <v>2</v>
      </c>
      <c r="U39" s="67">
        <v>2</v>
      </c>
    </row>
    <row r="40" spans="1:22" s="68" customFormat="1" ht="9" customHeight="1" x14ac:dyDescent="0.15">
      <c r="A40" s="66" t="s">
        <v>52</v>
      </c>
      <c r="B40" s="67">
        <v>1</v>
      </c>
      <c r="C40" s="67">
        <v>1</v>
      </c>
      <c r="D40" s="67">
        <v>1</v>
      </c>
      <c r="E40" s="67">
        <v>1</v>
      </c>
      <c r="F40" s="67">
        <v>1</v>
      </c>
      <c r="G40" s="67">
        <v>1</v>
      </c>
      <c r="H40" s="67">
        <v>1</v>
      </c>
      <c r="I40" s="67">
        <v>1</v>
      </c>
      <c r="J40" s="67">
        <v>1</v>
      </c>
      <c r="K40" s="67">
        <v>1</v>
      </c>
      <c r="L40" s="67">
        <v>1</v>
      </c>
      <c r="M40" s="67">
        <v>1</v>
      </c>
      <c r="N40" s="67">
        <v>1</v>
      </c>
      <c r="O40" s="67">
        <v>1</v>
      </c>
      <c r="P40" s="67">
        <v>1</v>
      </c>
      <c r="Q40" s="67">
        <v>2</v>
      </c>
      <c r="R40" s="67">
        <v>2</v>
      </c>
      <c r="S40" s="67">
        <v>2</v>
      </c>
      <c r="T40" s="67">
        <v>2</v>
      </c>
      <c r="U40" s="67">
        <v>2</v>
      </c>
    </row>
    <row r="41" spans="1:22" s="72" customFormat="1" ht="9" customHeight="1" x14ac:dyDescent="0.15">
      <c r="A41" s="69" t="s">
        <v>53</v>
      </c>
      <c r="B41" s="70">
        <v>1</v>
      </c>
      <c r="C41" s="70">
        <v>1</v>
      </c>
      <c r="D41" s="70">
        <v>1</v>
      </c>
      <c r="E41" s="70">
        <v>1</v>
      </c>
      <c r="F41" s="70">
        <v>1</v>
      </c>
      <c r="G41" s="70">
        <v>1</v>
      </c>
      <c r="H41" s="70">
        <v>1</v>
      </c>
      <c r="I41" s="70">
        <v>2</v>
      </c>
      <c r="J41" s="70">
        <v>2</v>
      </c>
      <c r="K41" s="70">
        <v>3</v>
      </c>
      <c r="L41" s="70">
        <v>3</v>
      </c>
      <c r="M41" s="70">
        <v>3</v>
      </c>
      <c r="N41" s="70">
        <v>3</v>
      </c>
      <c r="O41" s="70">
        <v>3</v>
      </c>
      <c r="P41" s="70">
        <v>4</v>
      </c>
      <c r="Q41" s="70">
        <v>5</v>
      </c>
      <c r="R41" s="70">
        <v>5</v>
      </c>
      <c r="S41" s="70">
        <v>5</v>
      </c>
      <c r="T41" s="70">
        <v>4</v>
      </c>
      <c r="U41" s="70">
        <v>4</v>
      </c>
    </row>
    <row r="42" spans="1:22" ht="3" customHeight="1" x14ac:dyDescent="0.25">
      <c r="A42" s="57"/>
      <c r="B42" s="57"/>
      <c r="C42" s="57"/>
      <c r="D42" s="57"/>
      <c r="E42" s="57"/>
      <c r="F42" s="57"/>
      <c r="G42" s="57"/>
      <c r="H42" s="57"/>
      <c r="I42" s="57"/>
      <c r="J42" s="57"/>
      <c r="K42" s="57"/>
      <c r="L42" s="57"/>
      <c r="M42" s="57"/>
      <c r="N42" s="57"/>
      <c r="O42" s="57"/>
      <c r="P42" s="57"/>
      <c r="Q42" s="57"/>
      <c r="R42" s="57"/>
      <c r="S42" s="57"/>
      <c r="T42" s="57"/>
      <c r="U42" s="57"/>
    </row>
    <row r="43" spans="1:22" ht="3" customHeight="1" x14ac:dyDescent="0.25"/>
    <row r="44" spans="1:22" ht="9" customHeight="1" x14ac:dyDescent="0.25">
      <c r="A44" s="73" t="s">
        <v>72</v>
      </c>
    </row>
    <row r="45" spans="1:22" s="74" customFormat="1" ht="9" customHeight="1" x14ac:dyDescent="0.25">
      <c r="A45" s="73" t="s">
        <v>73</v>
      </c>
    </row>
    <row r="46" spans="1:22" ht="11.25" hidden="1" customHeight="1" x14ac:dyDescent="0.25">
      <c r="V46" s="58" t="s">
        <v>74</v>
      </c>
    </row>
  </sheetData>
  <sheetProtection sheet="1" objects="1" scenarios="1"/>
  <mergeCells count="1">
    <mergeCell ref="Q1:U1"/>
  </mergeCells>
  <hyperlinks>
    <hyperlink ref="Q1" location="Índice!A1" display="Índice!A1"/>
    <hyperlink ref="Q1:U1" location="Índice!A1" tooltip="Ir a Índice" display="Índice!A1"/>
  </hyperlinks>
  <printOptions horizontalCentered="1" verticalCentered="1" gridLinesSet="0"/>
  <pageMargins left="0.39370078740157483" right="0.39370078740157483" top="0.39370078740157483" bottom="0.39370078740157483" header="0.39370078740157483" footer="0.39370078740157483"/>
  <pageSetup orientation="landscape" r:id="rId1"/>
  <headerFooter>
    <oddHeader>&amp;L&amp;"Arial,Normal"&amp;10&amp;K000080INEGI. Anuario estadístico y geográfico por entidad federativa 2019.</oddHead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718"/>
  <sheetViews>
    <sheetView showGridLines="0" showRowColHeaders="0" zoomScale="130" zoomScaleNormal="130" workbookViewId="0">
      <pane ySplit="11" topLeftCell="A12" activePane="bottomLeft" state="frozen"/>
      <selection activeCell="B5" sqref="B5"/>
      <selection pane="bottomLeft"/>
    </sheetView>
  </sheetViews>
  <sheetFormatPr baseColWidth="10" defaultColWidth="0" defaultRowHeight="11.25" customHeight="1" zeroHeight="1" x14ac:dyDescent="0.25"/>
  <cols>
    <col min="1" max="1" width="17" style="58" customWidth="1"/>
    <col min="2" max="2" width="5.5703125" style="58" customWidth="1"/>
    <col min="3" max="5" width="6.28515625" style="58" customWidth="1"/>
    <col min="6" max="6" width="6.7109375" style="58" customWidth="1"/>
    <col min="7" max="7" width="6.28515625" style="58" customWidth="1"/>
    <col min="8" max="8" width="6.85546875" style="58" customWidth="1"/>
    <col min="9" max="9" width="6.5703125" style="58" customWidth="1"/>
    <col min="10" max="10" width="6.28515625" style="58" customWidth="1"/>
    <col min="11" max="11" width="1.7109375" style="58" customWidth="1"/>
    <col min="12" max="12" width="6.85546875" style="58" customWidth="1"/>
    <col min="13" max="20" width="6.5703125" style="58" customWidth="1"/>
    <col min="21" max="21" width="0.85546875" style="58" customWidth="1"/>
    <col min="22" max="16384" width="11.42578125" style="58" hidden="1"/>
  </cols>
  <sheetData>
    <row r="1" spans="1:22" s="55" customFormat="1" ht="12" customHeight="1" x14ac:dyDescent="0.2">
      <c r="A1" s="50" t="s">
        <v>75</v>
      </c>
      <c r="B1" s="75"/>
      <c r="C1" s="75"/>
      <c r="D1" s="75"/>
      <c r="E1" s="75"/>
      <c r="F1" s="75"/>
      <c r="K1" s="75"/>
      <c r="L1" s="75"/>
      <c r="M1" s="75"/>
      <c r="N1" s="75"/>
      <c r="O1" s="75"/>
      <c r="P1" s="75"/>
      <c r="S1" s="850" t="s">
        <v>76</v>
      </c>
      <c r="T1" s="850"/>
    </row>
    <row r="2" spans="1:22" s="55" customFormat="1" ht="12" customHeight="1" x14ac:dyDescent="0.2">
      <c r="A2" s="50" t="s">
        <v>77</v>
      </c>
      <c r="B2" s="75"/>
      <c r="C2" s="75"/>
      <c r="D2" s="75"/>
      <c r="E2" s="75"/>
      <c r="F2" s="75"/>
      <c r="K2" s="75"/>
      <c r="L2" s="75"/>
      <c r="M2" s="75"/>
      <c r="N2" s="75"/>
      <c r="O2" s="75"/>
      <c r="P2" s="75"/>
      <c r="Q2" s="76"/>
      <c r="R2" s="76"/>
      <c r="S2" s="76"/>
      <c r="T2" s="76"/>
    </row>
    <row r="3" spans="1:22" s="55" customFormat="1" ht="12" customHeight="1" x14ac:dyDescent="0.25">
      <c r="A3" s="56" t="s">
        <v>70</v>
      </c>
      <c r="B3" s="75"/>
      <c r="C3" s="75"/>
      <c r="D3" s="75"/>
      <c r="E3" s="75"/>
      <c r="F3" s="75"/>
      <c r="K3" s="75"/>
      <c r="L3" s="75"/>
      <c r="M3" s="75"/>
      <c r="N3" s="75"/>
      <c r="O3" s="75"/>
      <c r="P3" s="75"/>
      <c r="Q3" s="77"/>
      <c r="R3" s="77"/>
      <c r="S3" s="77"/>
      <c r="T3" s="77"/>
    </row>
    <row r="4" spans="1:22" ht="3" customHeight="1" x14ac:dyDescent="0.25">
      <c r="A4" s="57"/>
      <c r="B4" s="57"/>
      <c r="C4" s="57"/>
      <c r="D4" s="57"/>
      <c r="E4" s="57"/>
      <c r="F4" s="57"/>
      <c r="G4" s="57"/>
      <c r="H4" s="57"/>
      <c r="I4" s="57"/>
      <c r="J4" s="57"/>
      <c r="K4" s="57"/>
      <c r="L4" s="57"/>
      <c r="M4" s="57"/>
      <c r="N4" s="57"/>
      <c r="O4" s="57"/>
      <c r="P4" s="57"/>
      <c r="Q4" s="57"/>
      <c r="R4" s="57"/>
      <c r="S4" s="57"/>
      <c r="T4" s="57"/>
    </row>
    <row r="5" spans="1:22" ht="3" customHeight="1" x14ac:dyDescent="0.15">
      <c r="A5" s="59"/>
      <c r="B5" s="59"/>
      <c r="C5" s="59"/>
      <c r="D5" s="78"/>
      <c r="E5" s="59"/>
      <c r="F5" s="59"/>
      <c r="K5" s="59"/>
      <c r="L5" s="59"/>
      <c r="M5" s="59"/>
      <c r="N5" s="78"/>
      <c r="O5" s="59"/>
      <c r="P5" s="59"/>
    </row>
    <row r="6" spans="1:22" s="74" customFormat="1" ht="8.65" customHeight="1" x14ac:dyDescent="0.15">
      <c r="A6" s="853" t="s">
        <v>4</v>
      </c>
      <c r="B6" s="79" t="s">
        <v>78</v>
      </c>
      <c r="C6" s="79"/>
      <c r="D6" s="79"/>
      <c r="E6" s="79"/>
      <c r="F6" s="79"/>
      <c r="G6" s="79"/>
      <c r="H6" s="79"/>
      <c r="I6" s="80"/>
      <c r="J6" s="80"/>
      <c r="K6" s="81"/>
      <c r="L6" s="79" t="s">
        <v>79</v>
      </c>
      <c r="M6" s="79"/>
      <c r="N6" s="79"/>
      <c r="O6" s="79"/>
      <c r="P6" s="79"/>
      <c r="Q6" s="79"/>
      <c r="R6" s="79"/>
      <c r="S6" s="80"/>
      <c r="T6" s="80"/>
      <c r="U6" s="61"/>
      <c r="V6" s="82"/>
    </row>
    <row r="7" spans="1:22" s="74" customFormat="1" ht="8.65" customHeight="1" x14ac:dyDescent="0.15">
      <c r="A7" s="853"/>
      <c r="B7" s="854" t="s">
        <v>13</v>
      </c>
      <c r="C7" s="851" t="s">
        <v>80</v>
      </c>
      <c r="D7" s="851" t="s">
        <v>81</v>
      </c>
      <c r="E7" s="851" t="s">
        <v>82</v>
      </c>
      <c r="F7" s="851" t="s">
        <v>83</v>
      </c>
      <c r="G7" s="851" t="s">
        <v>84</v>
      </c>
      <c r="H7" s="851" t="s">
        <v>85</v>
      </c>
      <c r="I7" s="851" t="s">
        <v>86</v>
      </c>
      <c r="J7" s="851" t="s">
        <v>87</v>
      </c>
      <c r="K7" s="81"/>
      <c r="L7" s="81" t="s">
        <v>13</v>
      </c>
      <c r="M7" s="851" t="s">
        <v>80</v>
      </c>
      <c r="N7" s="851" t="s">
        <v>81</v>
      </c>
      <c r="O7" s="851" t="s">
        <v>82</v>
      </c>
      <c r="P7" s="851" t="s">
        <v>83</v>
      </c>
      <c r="Q7" s="851" t="s">
        <v>84</v>
      </c>
      <c r="R7" s="851" t="s">
        <v>85</v>
      </c>
      <c r="S7" s="851" t="s">
        <v>86</v>
      </c>
      <c r="T7" s="851" t="s">
        <v>87</v>
      </c>
      <c r="U7" s="61"/>
      <c r="V7" s="82"/>
    </row>
    <row r="8" spans="1:22" s="74" customFormat="1" ht="8.65" customHeight="1" x14ac:dyDescent="0.15">
      <c r="A8" s="853"/>
      <c r="B8" s="855"/>
      <c r="C8" s="856"/>
      <c r="D8" s="852"/>
      <c r="E8" s="852"/>
      <c r="F8" s="852"/>
      <c r="G8" s="852"/>
      <c r="H8" s="852"/>
      <c r="I8" s="852"/>
      <c r="J8" s="852"/>
      <c r="K8" s="81"/>
      <c r="L8" s="81"/>
      <c r="M8" s="852"/>
      <c r="N8" s="852"/>
      <c r="O8" s="852"/>
      <c r="P8" s="852"/>
      <c r="Q8" s="852"/>
      <c r="R8" s="852"/>
      <c r="S8" s="852"/>
      <c r="T8" s="852"/>
      <c r="U8" s="61"/>
      <c r="V8" s="82"/>
    </row>
    <row r="9" spans="1:22" s="74" customFormat="1" ht="8.65" customHeight="1" x14ac:dyDescent="0.15">
      <c r="A9" s="853"/>
      <c r="B9" s="855"/>
      <c r="C9" s="856"/>
      <c r="D9" s="852"/>
      <c r="E9" s="852"/>
      <c r="F9" s="852"/>
      <c r="G9" s="852"/>
      <c r="H9" s="852"/>
      <c r="I9" s="852"/>
      <c r="J9" s="852"/>
      <c r="K9" s="81"/>
      <c r="L9" s="81"/>
      <c r="M9" s="852"/>
      <c r="N9" s="852"/>
      <c r="O9" s="852"/>
      <c r="P9" s="852"/>
      <c r="Q9" s="852"/>
      <c r="R9" s="852"/>
      <c r="S9" s="852"/>
      <c r="T9" s="852"/>
      <c r="U9" s="61"/>
      <c r="V9" s="82"/>
    </row>
    <row r="10" spans="1:22" ht="3" customHeight="1" x14ac:dyDescent="0.2">
      <c r="A10" s="57"/>
      <c r="B10" s="83"/>
      <c r="C10" s="83"/>
      <c r="D10" s="83"/>
      <c r="E10" s="83"/>
      <c r="F10" s="83"/>
      <c r="G10" s="57"/>
      <c r="H10" s="57"/>
      <c r="I10" s="57"/>
      <c r="J10" s="57"/>
      <c r="K10" s="83"/>
      <c r="L10" s="83"/>
      <c r="M10" s="83"/>
      <c r="N10" s="83"/>
      <c r="O10" s="83"/>
      <c r="P10" s="83"/>
      <c r="Q10" s="57"/>
      <c r="R10" s="57"/>
      <c r="S10" s="57"/>
      <c r="T10" s="57"/>
    </row>
    <row r="11" spans="1:22" ht="3" customHeight="1" x14ac:dyDescent="0.25">
      <c r="A11" s="59"/>
      <c r="B11" s="59"/>
      <c r="C11" s="59"/>
      <c r="D11" s="59"/>
      <c r="E11" s="59"/>
      <c r="F11" s="59"/>
      <c r="K11" s="59"/>
      <c r="L11" s="59"/>
      <c r="M11" s="59"/>
      <c r="N11" s="59"/>
      <c r="O11" s="59"/>
      <c r="P11" s="59"/>
      <c r="Q11" s="84"/>
      <c r="R11" s="84"/>
      <c r="S11" s="84"/>
      <c r="T11" s="84"/>
    </row>
    <row r="12" spans="1:22" s="65" customFormat="1" ht="9" customHeight="1" x14ac:dyDescent="0.25">
      <c r="A12" s="85">
        <v>1999</v>
      </c>
      <c r="B12" s="86"/>
      <c r="C12" s="87"/>
      <c r="D12" s="86"/>
      <c r="E12" s="86"/>
      <c r="F12" s="86"/>
      <c r="G12" s="63"/>
      <c r="H12" s="63"/>
      <c r="I12" s="63"/>
      <c r="J12" s="63"/>
      <c r="K12" s="86"/>
      <c r="L12" s="86"/>
      <c r="M12" s="86"/>
      <c r="N12" s="86"/>
      <c r="O12" s="86"/>
      <c r="P12" s="86"/>
      <c r="Q12" s="63"/>
      <c r="R12" s="63"/>
      <c r="S12" s="63"/>
      <c r="T12" s="63"/>
    </row>
    <row r="13" spans="1:22" s="65" customFormat="1" ht="9" customHeight="1" x14ac:dyDescent="0.25">
      <c r="A13" s="62" t="s">
        <v>21</v>
      </c>
      <c r="B13" s="63">
        <f>SUM(B15:B43)</f>
        <v>158913</v>
      </c>
      <c r="C13" s="63">
        <f>SUM(C15:C43)</f>
        <v>52665</v>
      </c>
      <c r="D13" s="63">
        <f>SUM(D15:D43)</f>
        <v>64037</v>
      </c>
      <c r="E13" s="63">
        <f>SUM(E15:E43)</f>
        <v>21160</v>
      </c>
      <c r="F13" s="63" t="s">
        <v>22</v>
      </c>
      <c r="G13" s="63">
        <f>SUM(G15:G43)</f>
        <v>21051</v>
      </c>
      <c r="H13" s="63" t="s">
        <v>22</v>
      </c>
      <c r="I13" s="63" t="s">
        <v>22</v>
      </c>
      <c r="J13" s="63" t="s">
        <v>22</v>
      </c>
      <c r="K13" s="63"/>
      <c r="L13" s="63">
        <f>SUM(L15:L43)</f>
        <v>2107811</v>
      </c>
      <c r="M13" s="63">
        <f>SUM(M15:M43)</f>
        <v>1231216</v>
      </c>
      <c r="N13" s="63">
        <f>SUM(N15:N43)</f>
        <v>102495</v>
      </c>
      <c r="O13" s="63">
        <f>SUM(O15:O43)</f>
        <v>14451</v>
      </c>
      <c r="P13" s="63" t="s">
        <v>22</v>
      </c>
      <c r="Q13" s="63">
        <f>SUM(Q15:Q43)</f>
        <v>759649</v>
      </c>
      <c r="R13" s="63" t="s">
        <v>22</v>
      </c>
      <c r="S13" s="63" t="s">
        <v>22</v>
      </c>
      <c r="T13" s="63" t="s">
        <v>22</v>
      </c>
    </row>
    <row r="14" spans="1:22" s="65" customFormat="1" ht="3.95" customHeight="1" x14ac:dyDescent="0.25">
      <c r="A14" s="62"/>
      <c r="B14" s="63"/>
      <c r="C14" s="63"/>
      <c r="D14" s="63"/>
      <c r="E14" s="63"/>
      <c r="F14" s="63"/>
      <c r="G14" s="63"/>
      <c r="H14" s="63"/>
      <c r="I14" s="63"/>
      <c r="J14" s="63"/>
      <c r="K14" s="63"/>
      <c r="L14" s="63"/>
      <c r="M14" s="63"/>
      <c r="N14" s="63"/>
      <c r="O14" s="63"/>
      <c r="P14" s="63"/>
      <c r="Q14" s="63"/>
      <c r="R14" s="63"/>
      <c r="S14" s="63"/>
      <c r="T14" s="63"/>
    </row>
    <row r="15" spans="1:22" s="68" customFormat="1" ht="9" customHeight="1" x14ac:dyDescent="0.15">
      <c r="A15" s="66" t="s">
        <v>23</v>
      </c>
      <c r="B15" s="88">
        <f t="shared" ref="B15:B43" si="0">SUM(C15,D15,E15,G15)</f>
        <v>3396</v>
      </c>
      <c r="C15" s="88">
        <v>1237</v>
      </c>
      <c r="D15" s="88">
        <v>1033</v>
      </c>
      <c r="E15" s="88">
        <v>452</v>
      </c>
      <c r="F15" s="89" t="s">
        <v>22</v>
      </c>
      <c r="G15" s="67">
        <v>674</v>
      </c>
      <c r="H15" s="89" t="s">
        <v>22</v>
      </c>
      <c r="I15" s="89" t="s">
        <v>22</v>
      </c>
      <c r="J15" s="89" t="s">
        <v>22</v>
      </c>
      <c r="K15" s="88"/>
      <c r="L15" s="88">
        <f t="shared" ref="L15:L43" si="1">SUM(M15,N15,O15,Q15)</f>
        <v>40668</v>
      </c>
      <c r="M15" s="88">
        <v>27441</v>
      </c>
      <c r="N15" s="88">
        <v>1666</v>
      </c>
      <c r="O15" s="88">
        <v>294</v>
      </c>
      <c r="P15" s="89" t="s">
        <v>22</v>
      </c>
      <c r="Q15" s="67">
        <v>11267</v>
      </c>
      <c r="R15" s="89" t="s">
        <v>22</v>
      </c>
      <c r="S15" s="89" t="s">
        <v>22</v>
      </c>
      <c r="T15" s="89" t="s">
        <v>22</v>
      </c>
    </row>
    <row r="16" spans="1:22" s="68" customFormat="1" ht="9" customHeight="1" x14ac:dyDescent="0.15">
      <c r="A16" s="66" t="s">
        <v>24</v>
      </c>
      <c r="B16" s="88">
        <f t="shared" si="0"/>
        <v>4319</v>
      </c>
      <c r="C16" s="88">
        <v>1513</v>
      </c>
      <c r="D16" s="88">
        <v>1910</v>
      </c>
      <c r="E16" s="88">
        <v>355</v>
      </c>
      <c r="F16" s="89" t="s">
        <v>22</v>
      </c>
      <c r="G16" s="67">
        <v>541</v>
      </c>
      <c r="H16" s="89" t="s">
        <v>22</v>
      </c>
      <c r="I16" s="89" t="s">
        <v>22</v>
      </c>
      <c r="J16" s="89" t="s">
        <v>22</v>
      </c>
      <c r="K16" s="88"/>
      <c r="L16" s="88">
        <f t="shared" si="1"/>
        <v>50114</v>
      </c>
      <c r="M16" s="88">
        <v>36133</v>
      </c>
      <c r="N16" s="88">
        <v>2317</v>
      </c>
      <c r="O16" s="88">
        <v>131</v>
      </c>
      <c r="P16" s="89" t="s">
        <v>22</v>
      </c>
      <c r="Q16" s="67">
        <v>11533</v>
      </c>
      <c r="R16" s="89" t="s">
        <v>22</v>
      </c>
      <c r="S16" s="89" t="s">
        <v>22</v>
      </c>
      <c r="T16" s="89" t="s">
        <v>22</v>
      </c>
    </row>
    <row r="17" spans="1:20" s="68" customFormat="1" ht="9" customHeight="1" x14ac:dyDescent="0.15">
      <c r="A17" s="66" t="s">
        <v>25</v>
      </c>
      <c r="B17" s="88">
        <f t="shared" si="0"/>
        <v>1609</v>
      </c>
      <c r="C17" s="88">
        <v>644</v>
      </c>
      <c r="D17" s="88">
        <v>430</v>
      </c>
      <c r="E17" s="88">
        <v>163</v>
      </c>
      <c r="F17" s="89" t="s">
        <v>22</v>
      </c>
      <c r="G17" s="67">
        <v>372</v>
      </c>
      <c r="H17" s="89" t="s">
        <v>22</v>
      </c>
      <c r="I17" s="89" t="s">
        <v>22</v>
      </c>
      <c r="J17" s="89" t="s">
        <v>22</v>
      </c>
      <c r="K17" s="88"/>
      <c r="L17" s="88">
        <f t="shared" si="1"/>
        <v>24401</v>
      </c>
      <c r="M17" s="88">
        <v>11915</v>
      </c>
      <c r="N17" s="88">
        <v>741</v>
      </c>
      <c r="O17" s="88">
        <v>161</v>
      </c>
      <c r="P17" s="89" t="s">
        <v>22</v>
      </c>
      <c r="Q17" s="67">
        <v>11584</v>
      </c>
      <c r="R17" s="89" t="s">
        <v>22</v>
      </c>
      <c r="S17" s="89" t="s">
        <v>22</v>
      </c>
      <c r="T17" s="89" t="s">
        <v>22</v>
      </c>
    </row>
    <row r="18" spans="1:20" s="68" customFormat="1" ht="9" customHeight="1" x14ac:dyDescent="0.15">
      <c r="A18" s="69" t="s">
        <v>26</v>
      </c>
      <c r="B18" s="90">
        <f t="shared" si="0"/>
        <v>1590</v>
      </c>
      <c r="C18" s="90">
        <v>367</v>
      </c>
      <c r="D18" s="90">
        <v>716</v>
      </c>
      <c r="E18" s="90">
        <v>298</v>
      </c>
      <c r="F18" s="91" t="s">
        <v>22</v>
      </c>
      <c r="G18" s="70">
        <v>209</v>
      </c>
      <c r="H18" s="91" t="s">
        <v>22</v>
      </c>
      <c r="I18" s="91" t="s">
        <v>22</v>
      </c>
      <c r="J18" s="91" t="s">
        <v>22</v>
      </c>
      <c r="K18" s="90"/>
      <c r="L18" s="90">
        <f t="shared" si="1"/>
        <v>11986</v>
      </c>
      <c r="M18" s="90">
        <v>8110</v>
      </c>
      <c r="N18" s="90">
        <v>1601</v>
      </c>
      <c r="O18" s="90">
        <v>15</v>
      </c>
      <c r="P18" s="91" t="s">
        <v>22</v>
      </c>
      <c r="Q18" s="70">
        <v>2260</v>
      </c>
      <c r="R18" s="91" t="s">
        <v>22</v>
      </c>
      <c r="S18" s="91" t="s">
        <v>22</v>
      </c>
      <c r="T18" s="91" t="s">
        <v>22</v>
      </c>
    </row>
    <row r="19" spans="1:20" s="68" customFormat="1" ht="9" customHeight="1" x14ac:dyDescent="0.15">
      <c r="A19" s="66" t="s">
        <v>27</v>
      </c>
      <c r="B19" s="88">
        <f t="shared" si="0"/>
        <v>8639</v>
      </c>
      <c r="C19" s="88">
        <v>2031</v>
      </c>
      <c r="D19" s="88">
        <v>4498</v>
      </c>
      <c r="E19" s="88">
        <v>1295</v>
      </c>
      <c r="F19" s="89" t="s">
        <v>22</v>
      </c>
      <c r="G19" s="67">
        <v>815</v>
      </c>
      <c r="H19" s="89" t="s">
        <v>22</v>
      </c>
      <c r="I19" s="89" t="s">
        <v>22</v>
      </c>
      <c r="J19" s="89" t="s">
        <v>22</v>
      </c>
      <c r="K19" s="88"/>
      <c r="L19" s="88">
        <f t="shared" si="1"/>
        <v>70665</v>
      </c>
      <c r="M19" s="88">
        <v>44636</v>
      </c>
      <c r="N19" s="88">
        <v>9987</v>
      </c>
      <c r="O19" s="88">
        <v>821</v>
      </c>
      <c r="P19" s="89" t="s">
        <v>22</v>
      </c>
      <c r="Q19" s="67">
        <v>15221</v>
      </c>
      <c r="R19" s="89" t="s">
        <v>22</v>
      </c>
      <c r="S19" s="89" t="s">
        <v>22</v>
      </c>
      <c r="T19" s="89" t="s">
        <v>22</v>
      </c>
    </row>
    <row r="20" spans="1:20" s="68" customFormat="1" ht="9" customHeight="1" x14ac:dyDescent="0.15">
      <c r="A20" s="66" t="s">
        <v>28</v>
      </c>
      <c r="B20" s="88">
        <f t="shared" si="0"/>
        <v>3254</v>
      </c>
      <c r="C20" s="88">
        <v>835</v>
      </c>
      <c r="D20" s="88">
        <v>1039</v>
      </c>
      <c r="E20" s="88">
        <v>439</v>
      </c>
      <c r="F20" s="89" t="s">
        <v>22</v>
      </c>
      <c r="G20" s="67">
        <v>941</v>
      </c>
      <c r="H20" s="89" t="s">
        <v>22</v>
      </c>
      <c r="I20" s="89" t="s">
        <v>22</v>
      </c>
      <c r="J20" s="89" t="s">
        <v>22</v>
      </c>
      <c r="K20" s="88"/>
      <c r="L20" s="88">
        <f t="shared" si="1"/>
        <v>42666</v>
      </c>
      <c r="M20" s="88">
        <v>26283</v>
      </c>
      <c r="N20" s="88">
        <v>1503</v>
      </c>
      <c r="O20" s="88">
        <v>366</v>
      </c>
      <c r="P20" s="89" t="s">
        <v>22</v>
      </c>
      <c r="Q20" s="67">
        <v>14514</v>
      </c>
      <c r="R20" s="89" t="s">
        <v>22</v>
      </c>
      <c r="S20" s="89" t="s">
        <v>22</v>
      </c>
      <c r="T20" s="89" t="s">
        <v>22</v>
      </c>
    </row>
    <row r="21" spans="1:20" s="68" customFormat="1" ht="9" customHeight="1" x14ac:dyDescent="0.15">
      <c r="A21" s="66" t="s">
        <v>29</v>
      </c>
      <c r="B21" s="88">
        <f t="shared" si="0"/>
        <v>4380</v>
      </c>
      <c r="C21" s="88">
        <v>1002</v>
      </c>
      <c r="D21" s="88">
        <v>2771</v>
      </c>
      <c r="E21" s="88">
        <v>445</v>
      </c>
      <c r="F21" s="89" t="s">
        <v>22</v>
      </c>
      <c r="G21" s="67">
        <v>162</v>
      </c>
      <c r="H21" s="89" t="s">
        <v>22</v>
      </c>
      <c r="I21" s="89" t="s">
        <v>22</v>
      </c>
      <c r="J21" s="89" t="s">
        <v>22</v>
      </c>
      <c r="K21" s="88"/>
      <c r="L21" s="88">
        <f t="shared" si="1"/>
        <v>27894</v>
      </c>
      <c r="M21" s="88">
        <v>20654</v>
      </c>
      <c r="N21" s="88">
        <v>2136</v>
      </c>
      <c r="O21" s="88">
        <v>367</v>
      </c>
      <c r="P21" s="89" t="s">
        <v>22</v>
      </c>
      <c r="Q21" s="67">
        <v>4737</v>
      </c>
      <c r="R21" s="89" t="s">
        <v>22</v>
      </c>
      <c r="S21" s="89" t="s">
        <v>22</v>
      </c>
      <c r="T21" s="89" t="s">
        <v>22</v>
      </c>
    </row>
    <row r="22" spans="1:20" s="68" customFormat="1" ht="9" customHeight="1" x14ac:dyDescent="0.15">
      <c r="A22" s="69" t="s">
        <v>30</v>
      </c>
      <c r="B22" s="90">
        <f t="shared" si="0"/>
        <v>4040</v>
      </c>
      <c r="C22" s="90">
        <v>1511</v>
      </c>
      <c r="D22" s="90">
        <v>1609</v>
      </c>
      <c r="E22" s="90">
        <v>538</v>
      </c>
      <c r="F22" s="91" t="s">
        <v>22</v>
      </c>
      <c r="G22" s="70">
        <v>382</v>
      </c>
      <c r="H22" s="91" t="s">
        <v>22</v>
      </c>
      <c r="I22" s="91" t="s">
        <v>22</v>
      </c>
      <c r="J22" s="91" t="s">
        <v>22</v>
      </c>
      <c r="K22" s="90"/>
      <c r="L22" s="90">
        <f t="shared" si="1"/>
        <v>50402</v>
      </c>
      <c r="M22" s="90">
        <v>29978</v>
      </c>
      <c r="N22" s="90">
        <v>2097</v>
      </c>
      <c r="O22" s="90">
        <v>246</v>
      </c>
      <c r="P22" s="91" t="s">
        <v>22</v>
      </c>
      <c r="Q22" s="70">
        <v>18081</v>
      </c>
      <c r="R22" s="91" t="s">
        <v>22</v>
      </c>
      <c r="S22" s="91" t="s">
        <v>22</v>
      </c>
      <c r="T22" s="91" t="s">
        <v>22</v>
      </c>
    </row>
    <row r="23" spans="1:20" s="68" customFormat="1" ht="9" customHeight="1" x14ac:dyDescent="0.15">
      <c r="A23" s="66" t="s">
        <v>63</v>
      </c>
      <c r="B23" s="88">
        <f t="shared" si="0"/>
        <v>30302</v>
      </c>
      <c r="C23" s="88">
        <v>9694</v>
      </c>
      <c r="D23" s="88">
        <v>13430</v>
      </c>
      <c r="E23" s="88">
        <v>4038</v>
      </c>
      <c r="F23" s="89" t="s">
        <v>22</v>
      </c>
      <c r="G23" s="67">
        <v>3140</v>
      </c>
      <c r="H23" s="89" t="s">
        <v>22</v>
      </c>
      <c r="I23" s="89" t="s">
        <v>22</v>
      </c>
      <c r="J23" s="89" t="s">
        <v>22</v>
      </c>
      <c r="K23" s="88"/>
      <c r="L23" s="88">
        <f t="shared" si="1"/>
        <v>273357</v>
      </c>
      <c r="M23" s="88">
        <v>207349</v>
      </c>
      <c r="N23" s="88">
        <v>22727</v>
      </c>
      <c r="O23" s="88">
        <v>3009</v>
      </c>
      <c r="P23" s="89" t="s">
        <v>22</v>
      </c>
      <c r="Q23" s="67">
        <v>40272</v>
      </c>
      <c r="R23" s="89" t="s">
        <v>22</v>
      </c>
      <c r="S23" s="89" t="s">
        <v>22</v>
      </c>
      <c r="T23" s="89" t="s">
        <v>22</v>
      </c>
    </row>
    <row r="24" spans="1:20" s="68" customFormat="1" ht="9" customHeight="1" x14ac:dyDescent="0.15">
      <c r="A24" s="66" t="s">
        <v>31</v>
      </c>
      <c r="B24" s="88">
        <f t="shared" si="0"/>
        <v>2581</v>
      </c>
      <c r="C24" s="88">
        <v>1093</v>
      </c>
      <c r="D24" s="88">
        <v>1090</v>
      </c>
      <c r="E24" s="88">
        <v>304</v>
      </c>
      <c r="F24" s="89" t="s">
        <v>22</v>
      </c>
      <c r="G24" s="67">
        <v>94</v>
      </c>
      <c r="H24" s="89" t="s">
        <v>22</v>
      </c>
      <c r="I24" s="89" t="s">
        <v>22</v>
      </c>
      <c r="J24" s="89" t="s">
        <v>22</v>
      </c>
      <c r="K24" s="88"/>
      <c r="L24" s="88">
        <f t="shared" si="1"/>
        <v>31581</v>
      </c>
      <c r="M24" s="88">
        <v>24643</v>
      </c>
      <c r="N24" s="88">
        <v>1235</v>
      </c>
      <c r="O24" s="88">
        <v>135</v>
      </c>
      <c r="P24" s="89" t="s">
        <v>22</v>
      </c>
      <c r="Q24" s="67">
        <v>5568</v>
      </c>
      <c r="R24" s="89" t="s">
        <v>22</v>
      </c>
      <c r="S24" s="89" t="s">
        <v>22</v>
      </c>
      <c r="T24" s="89" t="s">
        <v>22</v>
      </c>
    </row>
    <row r="25" spans="1:20" s="68" customFormat="1" ht="9" customHeight="1" x14ac:dyDescent="0.15">
      <c r="A25" s="66" t="s">
        <v>32</v>
      </c>
      <c r="B25" s="88">
        <f t="shared" si="0"/>
        <v>4309</v>
      </c>
      <c r="C25" s="88">
        <v>1879</v>
      </c>
      <c r="D25" s="88">
        <v>964</v>
      </c>
      <c r="E25" s="88">
        <v>731</v>
      </c>
      <c r="F25" s="89" t="s">
        <v>22</v>
      </c>
      <c r="G25" s="67">
        <v>735</v>
      </c>
      <c r="H25" s="89" t="s">
        <v>22</v>
      </c>
      <c r="I25" s="89" t="s">
        <v>22</v>
      </c>
      <c r="J25" s="89" t="s">
        <v>22</v>
      </c>
      <c r="K25" s="88"/>
      <c r="L25" s="88">
        <f t="shared" si="1"/>
        <v>63364</v>
      </c>
      <c r="M25" s="88">
        <v>50006</v>
      </c>
      <c r="N25" s="88">
        <v>925</v>
      </c>
      <c r="O25" s="88">
        <v>488</v>
      </c>
      <c r="P25" s="89" t="s">
        <v>22</v>
      </c>
      <c r="Q25" s="67">
        <v>11945</v>
      </c>
      <c r="R25" s="89" t="s">
        <v>22</v>
      </c>
      <c r="S25" s="89" t="s">
        <v>22</v>
      </c>
      <c r="T25" s="89" t="s">
        <v>22</v>
      </c>
    </row>
    <row r="26" spans="1:20" s="68" customFormat="1" ht="9" customHeight="1" x14ac:dyDescent="0.15">
      <c r="A26" s="69" t="s">
        <v>33</v>
      </c>
      <c r="B26" s="90">
        <f t="shared" si="0"/>
        <v>5001</v>
      </c>
      <c r="C26" s="90">
        <v>2235</v>
      </c>
      <c r="D26" s="90">
        <v>1594</v>
      </c>
      <c r="E26" s="90">
        <v>968</v>
      </c>
      <c r="F26" s="91" t="s">
        <v>22</v>
      </c>
      <c r="G26" s="70">
        <v>204</v>
      </c>
      <c r="H26" s="91" t="s">
        <v>22</v>
      </c>
      <c r="I26" s="91" t="s">
        <v>22</v>
      </c>
      <c r="J26" s="91" t="s">
        <v>22</v>
      </c>
      <c r="K26" s="90"/>
      <c r="L26" s="90">
        <f t="shared" si="1"/>
        <v>413344</v>
      </c>
      <c r="M26" s="90">
        <v>50706</v>
      </c>
      <c r="N26" s="90">
        <v>2227</v>
      </c>
      <c r="O26" s="90">
        <v>1583</v>
      </c>
      <c r="P26" s="91" t="s">
        <v>22</v>
      </c>
      <c r="Q26" s="70">
        <v>358828</v>
      </c>
      <c r="R26" s="91" t="s">
        <v>22</v>
      </c>
      <c r="S26" s="91" t="s">
        <v>22</v>
      </c>
      <c r="T26" s="91" t="s">
        <v>22</v>
      </c>
    </row>
    <row r="27" spans="1:20" s="68" customFormat="1" ht="9" customHeight="1" x14ac:dyDescent="0.15">
      <c r="A27" s="66" t="s">
        <v>34</v>
      </c>
      <c r="B27" s="88">
        <f t="shared" si="0"/>
        <v>3427</v>
      </c>
      <c r="C27" s="88">
        <v>983</v>
      </c>
      <c r="D27" s="88">
        <v>1564</v>
      </c>
      <c r="E27" s="88">
        <v>399</v>
      </c>
      <c r="F27" s="89" t="s">
        <v>22</v>
      </c>
      <c r="G27" s="67">
        <v>481</v>
      </c>
      <c r="H27" s="89" t="s">
        <v>22</v>
      </c>
      <c r="I27" s="89" t="s">
        <v>22</v>
      </c>
      <c r="J27" s="89" t="s">
        <v>22</v>
      </c>
      <c r="K27" s="88"/>
      <c r="L27" s="88">
        <f t="shared" si="1"/>
        <v>40852</v>
      </c>
      <c r="M27" s="88">
        <v>24097</v>
      </c>
      <c r="N27" s="88">
        <v>1705</v>
      </c>
      <c r="O27" s="88">
        <v>277</v>
      </c>
      <c r="P27" s="89" t="s">
        <v>22</v>
      </c>
      <c r="Q27" s="67">
        <v>14773</v>
      </c>
      <c r="R27" s="89" t="s">
        <v>22</v>
      </c>
      <c r="S27" s="89" t="s">
        <v>22</v>
      </c>
      <c r="T27" s="89" t="s">
        <v>22</v>
      </c>
    </row>
    <row r="28" spans="1:20" s="68" customFormat="1" ht="9" customHeight="1" x14ac:dyDescent="0.15">
      <c r="A28" s="66" t="s">
        <v>35</v>
      </c>
      <c r="B28" s="88">
        <f t="shared" si="0"/>
        <v>13334</v>
      </c>
      <c r="C28" s="88">
        <v>4227</v>
      </c>
      <c r="D28" s="88">
        <v>5556</v>
      </c>
      <c r="E28" s="88">
        <v>2103</v>
      </c>
      <c r="F28" s="89" t="s">
        <v>22</v>
      </c>
      <c r="G28" s="67">
        <v>1448</v>
      </c>
      <c r="H28" s="89" t="s">
        <v>22</v>
      </c>
      <c r="I28" s="89" t="s">
        <v>22</v>
      </c>
      <c r="J28" s="89" t="s">
        <v>22</v>
      </c>
      <c r="K28" s="88"/>
      <c r="L28" s="88">
        <f t="shared" si="1"/>
        <v>159255</v>
      </c>
      <c r="M28" s="88">
        <v>114168</v>
      </c>
      <c r="N28" s="88">
        <v>8846</v>
      </c>
      <c r="O28" s="88">
        <v>1179</v>
      </c>
      <c r="P28" s="89" t="s">
        <v>22</v>
      </c>
      <c r="Q28" s="67">
        <v>35062</v>
      </c>
      <c r="R28" s="89" t="s">
        <v>22</v>
      </c>
      <c r="S28" s="89" t="s">
        <v>22</v>
      </c>
      <c r="T28" s="89" t="s">
        <v>22</v>
      </c>
    </row>
    <row r="29" spans="1:20" s="68" customFormat="1" ht="9" customHeight="1" x14ac:dyDescent="0.15">
      <c r="A29" s="66" t="s">
        <v>36</v>
      </c>
      <c r="B29" s="88">
        <f t="shared" si="0"/>
        <v>19180</v>
      </c>
      <c r="C29" s="88">
        <v>6439</v>
      </c>
      <c r="D29" s="88">
        <v>6852</v>
      </c>
      <c r="E29" s="88">
        <v>2673</v>
      </c>
      <c r="F29" s="89" t="s">
        <v>22</v>
      </c>
      <c r="G29" s="67">
        <v>3216</v>
      </c>
      <c r="H29" s="89" t="s">
        <v>22</v>
      </c>
      <c r="I29" s="89" t="s">
        <v>22</v>
      </c>
      <c r="J29" s="89" t="s">
        <v>22</v>
      </c>
      <c r="K29" s="88"/>
      <c r="L29" s="88">
        <f t="shared" si="1"/>
        <v>222286</v>
      </c>
      <c r="M29" s="88">
        <v>165996</v>
      </c>
      <c r="N29" s="88">
        <v>15722</v>
      </c>
      <c r="O29" s="88">
        <v>1666</v>
      </c>
      <c r="P29" s="89" t="s">
        <v>22</v>
      </c>
      <c r="Q29" s="67">
        <v>38902</v>
      </c>
      <c r="R29" s="89" t="s">
        <v>22</v>
      </c>
      <c r="S29" s="89" t="s">
        <v>22</v>
      </c>
      <c r="T29" s="89" t="s">
        <v>22</v>
      </c>
    </row>
    <row r="30" spans="1:20" s="68" customFormat="1" ht="9" customHeight="1" x14ac:dyDescent="0.15">
      <c r="A30" s="69" t="s">
        <v>37</v>
      </c>
      <c r="B30" s="90">
        <f t="shared" si="0"/>
        <v>806</v>
      </c>
      <c r="C30" s="90">
        <v>506</v>
      </c>
      <c r="D30" s="90">
        <v>195</v>
      </c>
      <c r="E30" s="90">
        <v>72</v>
      </c>
      <c r="F30" s="91" t="s">
        <v>22</v>
      </c>
      <c r="G30" s="70">
        <v>33</v>
      </c>
      <c r="H30" s="91" t="s">
        <v>22</v>
      </c>
      <c r="I30" s="91" t="s">
        <v>22</v>
      </c>
      <c r="J30" s="91" t="s">
        <v>22</v>
      </c>
      <c r="K30" s="90"/>
      <c r="L30" s="90">
        <f t="shared" si="1"/>
        <v>11538</v>
      </c>
      <c r="M30" s="90">
        <v>10830</v>
      </c>
      <c r="N30" s="90">
        <v>227</v>
      </c>
      <c r="O30" s="90">
        <v>49</v>
      </c>
      <c r="P30" s="91" t="s">
        <v>22</v>
      </c>
      <c r="Q30" s="70">
        <v>432</v>
      </c>
      <c r="R30" s="91" t="s">
        <v>22</v>
      </c>
      <c r="S30" s="91" t="s">
        <v>22</v>
      </c>
      <c r="T30" s="91" t="s">
        <v>22</v>
      </c>
    </row>
    <row r="31" spans="1:20" s="68" customFormat="1" ht="9" customHeight="1" x14ac:dyDescent="0.15">
      <c r="A31" s="66" t="s">
        <v>38</v>
      </c>
      <c r="B31" s="88">
        <f t="shared" si="0"/>
        <v>1671</v>
      </c>
      <c r="C31" s="88">
        <v>607</v>
      </c>
      <c r="D31" s="88">
        <v>607</v>
      </c>
      <c r="E31" s="88">
        <v>290</v>
      </c>
      <c r="F31" s="89" t="s">
        <v>22</v>
      </c>
      <c r="G31" s="67">
        <v>167</v>
      </c>
      <c r="H31" s="89" t="s">
        <v>22</v>
      </c>
      <c r="I31" s="89" t="s">
        <v>22</v>
      </c>
      <c r="J31" s="89" t="s">
        <v>22</v>
      </c>
      <c r="K31" s="88"/>
      <c r="L31" s="88">
        <f t="shared" si="1"/>
        <v>33246</v>
      </c>
      <c r="M31" s="88">
        <v>21373</v>
      </c>
      <c r="N31" s="88">
        <v>1325</v>
      </c>
      <c r="O31" s="88">
        <v>219</v>
      </c>
      <c r="P31" s="89" t="s">
        <v>22</v>
      </c>
      <c r="Q31" s="67">
        <v>10329</v>
      </c>
      <c r="R31" s="89" t="s">
        <v>22</v>
      </c>
      <c r="S31" s="89" t="s">
        <v>22</v>
      </c>
      <c r="T31" s="89" t="s">
        <v>22</v>
      </c>
    </row>
    <row r="32" spans="1:20" s="68" customFormat="1" ht="9" customHeight="1" x14ac:dyDescent="0.15">
      <c r="A32" s="66" t="s">
        <v>40</v>
      </c>
      <c r="B32" s="88">
        <f t="shared" si="0"/>
        <v>7011</v>
      </c>
      <c r="C32" s="88">
        <v>2731</v>
      </c>
      <c r="D32" s="88">
        <v>2910</v>
      </c>
      <c r="E32" s="88">
        <v>717</v>
      </c>
      <c r="F32" s="89" t="s">
        <v>22</v>
      </c>
      <c r="G32" s="67">
        <v>653</v>
      </c>
      <c r="H32" s="89" t="s">
        <v>22</v>
      </c>
      <c r="I32" s="89" t="s">
        <v>22</v>
      </c>
      <c r="J32" s="89" t="s">
        <v>22</v>
      </c>
      <c r="K32" s="88"/>
      <c r="L32" s="88">
        <f t="shared" si="1"/>
        <v>77482</v>
      </c>
      <c r="M32" s="88">
        <v>58195</v>
      </c>
      <c r="N32" s="88">
        <v>5699</v>
      </c>
      <c r="O32" s="88">
        <v>599</v>
      </c>
      <c r="P32" s="89" t="s">
        <v>22</v>
      </c>
      <c r="Q32" s="67">
        <v>12989</v>
      </c>
      <c r="R32" s="89" t="s">
        <v>22</v>
      </c>
      <c r="S32" s="89" t="s">
        <v>22</v>
      </c>
      <c r="T32" s="89" t="s">
        <v>22</v>
      </c>
    </row>
    <row r="33" spans="1:20" s="68" customFormat="1" ht="9" customHeight="1" x14ac:dyDescent="0.15">
      <c r="A33" s="66" t="s">
        <v>42</v>
      </c>
      <c r="B33" s="88">
        <f t="shared" si="0"/>
        <v>4018</v>
      </c>
      <c r="C33" s="88">
        <v>1816</v>
      </c>
      <c r="D33" s="88">
        <v>1666</v>
      </c>
      <c r="E33" s="88">
        <v>372</v>
      </c>
      <c r="F33" s="89" t="s">
        <v>22</v>
      </c>
      <c r="G33" s="67">
        <v>164</v>
      </c>
      <c r="H33" s="89" t="s">
        <v>22</v>
      </c>
      <c r="I33" s="89" t="s">
        <v>22</v>
      </c>
      <c r="J33" s="89" t="s">
        <v>22</v>
      </c>
      <c r="K33" s="88"/>
      <c r="L33" s="88">
        <f t="shared" si="1"/>
        <v>44691</v>
      </c>
      <c r="M33" s="88">
        <v>36764</v>
      </c>
      <c r="N33" s="88">
        <v>1437</v>
      </c>
      <c r="O33" s="88">
        <v>219</v>
      </c>
      <c r="P33" s="89" t="s">
        <v>22</v>
      </c>
      <c r="Q33" s="67">
        <v>6271</v>
      </c>
      <c r="R33" s="89" t="s">
        <v>22</v>
      </c>
      <c r="S33" s="89" t="s">
        <v>22</v>
      </c>
      <c r="T33" s="89" t="s">
        <v>22</v>
      </c>
    </row>
    <row r="34" spans="1:20" s="68" customFormat="1" ht="9" customHeight="1" x14ac:dyDescent="0.15">
      <c r="A34" s="69" t="s">
        <v>43</v>
      </c>
      <c r="B34" s="90">
        <f t="shared" si="0"/>
        <v>1868</v>
      </c>
      <c r="C34" s="90">
        <v>968</v>
      </c>
      <c r="D34" s="90">
        <v>617</v>
      </c>
      <c r="E34" s="90">
        <v>180</v>
      </c>
      <c r="F34" s="91" t="s">
        <v>22</v>
      </c>
      <c r="G34" s="70">
        <v>103</v>
      </c>
      <c r="H34" s="91" t="s">
        <v>22</v>
      </c>
      <c r="I34" s="91" t="s">
        <v>22</v>
      </c>
      <c r="J34" s="91" t="s">
        <v>22</v>
      </c>
      <c r="K34" s="90"/>
      <c r="L34" s="90">
        <f t="shared" si="1"/>
        <v>18704</v>
      </c>
      <c r="M34" s="90">
        <v>15911</v>
      </c>
      <c r="N34" s="90">
        <v>1163</v>
      </c>
      <c r="O34" s="90">
        <v>112</v>
      </c>
      <c r="P34" s="91" t="s">
        <v>22</v>
      </c>
      <c r="Q34" s="70">
        <v>1518</v>
      </c>
      <c r="R34" s="91" t="s">
        <v>22</v>
      </c>
      <c r="S34" s="91" t="s">
        <v>22</v>
      </c>
      <c r="T34" s="91" t="s">
        <v>22</v>
      </c>
    </row>
    <row r="35" spans="1:20" s="68" customFormat="1" ht="9" customHeight="1" x14ac:dyDescent="0.15">
      <c r="A35" s="66" t="s">
        <v>44</v>
      </c>
      <c r="B35" s="88">
        <f t="shared" si="0"/>
        <v>1844</v>
      </c>
      <c r="C35" s="88">
        <v>536</v>
      </c>
      <c r="D35" s="88">
        <v>616</v>
      </c>
      <c r="E35" s="88">
        <v>153</v>
      </c>
      <c r="F35" s="89" t="s">
        <v>22</v>
      </c>
      <c r="G35" s="67">
        <v>539</v>
      </c>
      <c r="H35" s="89" t="s">
        <v>22</v>
      </c>
      <c r="I35" s="89" t="s">
        <v>22</v>
      </c>
      <c r="J35" s="89" t="s">
        <v>22</v>
      </c>
      <c r="K35" s="88"/>
      <c r="L35" s="88">
        <f t="shared" si="1"/>
        <v>33745</v>
      </c>
      <c r="M35" s="88">
        <v>9401</v>
      </c>
      <c r="N35" s="88">
        <v>1180</v>
      </c>
      <c r="O35" s="88">
        <v>45</v>
      </c>
      <c r="P35" s="89" t="s">
        <v>22</v>
      </c>
      <c r="Q35" s="67">
        <v>23119</v>
      </c>
      <c r="R35" s="89" t="s">
        <v>22</v>
      </c>
      <c r="S35" s="89" t="s">
        <v>22</v>
      </c>
      <c r="T35" s="89" t="s">
        <v>22</v>
      </c>
    </row>
    <row r="36" spans="1:20" s="68" customFormat="1" ht="9" customHeight="1" x14ac:dyDescent="0.15">
      <c r="A36" s="71" t="s">
        <v>45</v>
      </c>
      <c r="B36" s="92">
        <f t="shared" si="0"/>
        <v>2611</v>
      </c>
      <c r="C36" s="92">
        <v>862</v>
      </c>
      <c r="D36" s="92">
        <v>618</v>
      </c>
      <c r="E36" s="92">
        <v>407</v>
      </c>
      <c r="F36" s="89" t="s">
        <v>22</v>
      </c>
      <c r="G36" s="67">
        <v>724</v>
      </c>
      <c r="H36" s="89" t="s">
        <v>22</v>
      </c>
      <c r="I36" s="89" t="s">
        <v>22</v>
      </c>
      <c r="J36" s="89" t="s">
        <v>22</v>
      </c>
      <c r="K36" s="92"/>
      <c r="L36" s="92">
        <f t="shared" si="1"/>
        <v>48675</v>
      </c>
      <c r="M36" s="92">
        <v>21205</v>
      </c>
      <c r="N36" s="92">
        <v>468</v>
      </c>
      <c r="O36" s="92">
        <v>359</v>
      </c>
      <c r="P36" s="89" t="s">
        <v>22</v>
      </c>
      <c r="Q36" s="67">
        <v>26643</v>
      </c>
      <c r="R36" s="89" t="s">
        <v>22</v>
      </c>
      <c r="S36" s="89" t="s">
        <v>22</v>
      </c>
      <c r="T36" s="89" t="s">
        <v>22</v>
      </c>
    </row>
    <row r="37" spans="1:20" s="68" customFormat="1" ht="9" customHeight="1" x14ac:dyDescent="0.15">
      <c r="A37" s="66" t="s">
        <v>46</v>
      </c>
      <c r="B37" s="88">
        <f t="shared" si="0"/>
        <v>11496</v>
      </c>
      <c r="C37" s="88">
        <v>3140</v>
      </c>
      <c r="D37" s="88">
        <v>4277</v>
      </c>
      <c r="E37" s="88">
        <v>1665</v>
      </c>
      <c r="F37" s="89" t="s">
        <v>22</v>
      </c>
      <c r="G37" s="67">
        <v>2414</v>
      </c>
      <c r="H37" s="89" t="s">
        <v>22</v>
      </c>
      <c r="I37" s="89" t="s">
        <v>22</v>
      </c>
      <c r="J37" s="89" t="s">
        <v>22</v>
      </c>
      <c r="K37" s="88"/>
      <c r="L37" s="88">
        <f t="shared" si="1"/>
        <v>121206</v>
      </c>
      <c r="M37" s="88">
        <v>80138</v>
      </c>
      <c r="N37" s="88">
        <v>4412</v>
      </c>
      <c r="O37" s="88">
        <v>795</v>
      </c>
      <c r="P37" s="89" t="s">
        <v>22</v>
      </c>
      <c r="Q37" s="67">
        <v>35861</v>
      </c>
      <c r="R37" s="89" t="s">
        <v>22</v>
      </c>
      <c r="S37" s="89" t="s">
        <v>22</v>
      </c>
      <c r="T37" s="89" t="s">
        <v>22</v>
      </c>
    </row>
    <row r="38" spans="1:20" s="68" customFormat="1" ht="9" customHeight="1" x14ac:dyDescent="0.15">
      <c r="A38" s="69" t="s">
        <v>47</v>
      </c>
      <c r="B38" s="90">
        <f t="shared" si="0"/>
        <v>2404</v>
      </c>
      <c r="C38" s="90">
        <v>799</v>
      </c>
      <c r="D38" s="90">
        <v>1097</v>
      </c>
      <c r="E38" s="90">
        <v>285</v>
      </c>
      <c r="F38" s="91" t="s">
        <v>22</v>
      </c>
      <c r="G38" s="70">
        <v>223</v>
      </c>
      <c r="H38" s="91" t="s">
        <v>22</v>
      </c>
      <c r="I38" s="91" t="s">
        <v>22</v>
      </c>
      <c r="J38" s="91" t="s">
        <v>22</v>
      </c>
      <c r="K38" s="90"/>
      <c r="L38" s="90">
        <f t="shared" si="1"/>
        <v>26023</v>
      </c>
      <c r="M38" s="90">
        <v>16507</v>
      </c>
      <c r="N38" s="90">
        <v>2024</v>
      </c>
      <c r="O38" s="90">
        <v>172</v>
      </c>
      <c r="P38" s="91" t="s">
        <v>22</v>
      </c>
      <c r="Q38" s="70">
        <v>7320</v>
      </c>
      <c r="R38" s="91" t="s">
        <v>22</v>
      </c>
      <c r="S38" s="91" t="s">
        <v>22</v>
      </c>
      <c r="T38" s="91" t="s">
        <v>22</v>
      </c>
    </row>
    <row r="39" spans="1:20" s="68" customFormat="1" ht="9" customHeight="1" x14ac:dyDescent="0.15">
      <c r="A39" s="71" t="s">
        <v>49</v>
      </c>
      <c r="B39" s="92">
        <f t="shared" si="0"/>
        <v>4785</v>
      </c>
      <c r="C39" s="92">
        <v>1230</v>
      </c>
      <c r="D39" s="92">
        <v>1711</v>
      </c>
      <c r="E39" s="92">
        <v>674</v>
      </c>
      <c r="F39" s="89" t="s">
        <v>22</v>
      </c>
      <c r="G39" s="67">
        <v>1170</v>
      </c>
      <c r="H39" s="89" t="s">
        <v>22</v>
      </c>
      <c r="I39" s="89" t="s">
        <v>22</v>
      </c>
      <c r="J39" s="89" t="s">
        <v>22</v>
      </c>
      <c r="K39" s="92"/>
      <c r="L39" s="92">
        <f t="shared" si="1"/>
        <v>45587</v>
      </c>
      <c r="M39" s="92">
        <v>24004</v>
      </c>
      <c r="N39" s="92">
        <v>3075</v>
      </c>
      <c r="O39" s="92">
        <v>277</v>
      </c>
      <c r="P39" s="89" t="s">
        <v>22</v>
      </c>
      <c r="Q39" s="67">
        <v>18231</v>
      </c>
      <c r="R39" s="89" t="s">
        <v>22</v>
      </c>
      <c r="S39" s="89" t="s">
        <v>22</v>
      </c>
      <c r="T39" s="89" t="s">
        <v>22</v>
      </c>
    </row>
    <row r="40" spans="1:20" s="68" customFormat="1" ht="9" customHeight="1" x14ac:dyDescent="0.15">
      <c r="A40" s="66" t="s">
        <v>51</v>
      </c>
      <c r="B40" s="88">
        <f t="shared" si="0"/>
        <v>4431</v>
      </c>
      <c r="C40" s="88">
        <v>1947</v>
      </c>
      <c r="D40" s="88">
        <v>1383</v>
      </c>
      <c r="E40" s="88">
        <v>494</v>
      </c>
      <c r="F40" s="89" t="s">
        <v>22</v>
      </c>
      <c r="G40" s="67">
        <v>607</v>
      </c>
      <c r="H40" s="89" t="s">
        <v>22</v>
      </c>
      <c r="I40" s="89" t="s">
        <v>22</v>
      </c>
      <c r="J40" s="89" t="s">
        <v>22</v>
      </c>
      <c r="K40" s="88"/>
      <c r="L40" s="88">
        <f t="shared" si="1"/>
        <v>52077</v>
      </c>
      <c r="M40" s="88">
        <v>41816</v>
      </c>
      <c r="N40" s="88">
        <v>2250</v>
      </c>
      <c r="O40" s="88">
        <v>410</v>
      </c>
      <c r="P40" s="89" t="s">
        <v>22</v>
      </c>
      <c r="Q40" s="67">
        <v>7601</v>
      </c>
      <c r="R40" s="89" t="s">
        <v>22</v>
      </c>
      <c r="S40" s="89" t="s">
        <v>22</v>
      </c>
      <c r="T40" s="89" t="s">
        <v>22</v>
      </c>
    </row>
    <row r="41" spans="1:20" s="68" customFormat="1" ht="9" customHeight="1" x14ac:dyDescent="0.15">
      <c r="A41" s="66" t="s">
        <v>52</v>
      </c>
      <c r="B41" s="88">
        <f t="shared" si="0"/>
        <v>4075</v>
      </c>
      <c r="C41" s="88">
        <v>1031</v>
      </c>
      <c r="D41" s="88">
        <v>2207</v>
      </c>
      <c r="E41" s="88">
        <v>435</v>
      </c>
      <c r="F41" s="89" t="s">
        <v>22</v>
      </c>
      <c r="G41" s="67">
        <v>402</v>
      </c>
      <c r="H41" s="89" t="s">
        <v>22</v>
      </c>
      <c r="I41" s="89" t="s">
        <v>22</v>
      </c>
      <c r="J41" s="89" t="s">
        <v>22</v>
      </c>
      <c r="K41" s="88"/>
      <c r="L41" s="88">
        <f t="shared" si="1"/>
        <v>35833</v>
      </c>
      <c r="M41" s="88">
        <v>29622</v>
      </c>
      <c r="N41" s="88">
        <v>2761</v>
      </c>
      <c r="O41" s="88">
        <v>209</v>
      </c>
      <c r="P41" s="89" t="s">
        <v>22</v>
      </c>
      <c r="Q41" s="67">
        <v>3241</v>
      </c>
      <c r="R41" s="89" t="s">
        <v>22</v>
      </c>
      <c r="S41" s="89" t="s">
        <v>22</v>
      </c>
      <c r="T41" s="89" t="s">
        <v>22</v>
      </c>
    </row>
    <row r="42" spans="1:20" s="68" customFormat="1" ht="9" customHeight="1" x14ac:dyDescent="0.15">
      <c r="A42" s="69" t="s">
        <v>53</v>
      </c>
      <c r="B42" s="90">
        <f t="shared" si="0"/>
        <v>2529</v>
      </c>
      <c r="C42" s="90">
        <v>800</v>
      </c>
      <c r="D42" s="90">
        <v>1077</v>
      </c>
      <c r="E42" s="90">
        <v>214</v>
      </c>
      <c r="F42" s="91" t="s">
        <v>22</v>
      </c>
      <c r="G42" s="70">
        <v>438</v>
      </c>
      <c r="H42" s="91" t="s">
        <v>22</v>
      </c>
      <c r="I42" s="91" t="s">
        <v>22</v>
      </c>
      <c r="J42" s="91" t="s">
        <v>22</v>
      </c>
      <c r="K42" s="90"/>
      <c r="L42" s="90">
        <f t="shared" si="1"/>
        <v>36116</v>
      </c>
      <c r="M42" s="90">
        <v>23287</v>
      </c>
      <c r="N42" s="90">
        <v>1039</v>
      </c>
      <c r="O42" s="90">
        <v>243</v>
      </c>
      <c r="P42" s="91" t="s">
        <v>22</v>
      </c>
      <c r="Q42" s="70">
        <v>11547</v>
      </c>
      <c r="R42" s="91" t="s">
        <v>22</v>
      </c>
      <c r="S42" s="91" t="s">
        <v>22</v>
      </c>
      <c r="T42" s="91" t="s">
        <v>22</v>
      </c>
    </row>
    <row r="43" spans="1:20" s="68" customFormat="1" ht="9" customHeight="1" x14ac:dyDescent="0.15">
      <c r="A43" s="66" t="s">
        <v>54</v>
      </c>
      <c r="B43" s="88">
        <f t="shared" si="0"/>
        <v>3</v>
      </c>
      <c r="C43" s="88">
        <v>2</v>
      </c>
      <c r="D43" s="88">
        <v>0</v>
      </c>
      <c r="E43" s="88">
        <v>1</v>
      </c>
      <c r="F43" s="89" t="s">
        <v>22</v>
      </c>
      <c r="G43" s="67">
        <v>0</v>
      </c>
      <c r="H43" s="89" t="s">
        <v>22</v>
      </c>
      <c r="I43" s="89" t="s">
        <v>22</v>
      </c>
      <c r="J43" s="89" t="s">
        <v>22</v>
      </c>
      <c r="K43" s="88"/>
      <c r="L43" s="88">
        <f t="shared" si="1"/>
        <v>53</v>
      </c>
      <c r="M43" s="88">
        <v>48</v>
      </c>
      <c r="N43" s="88">
        <v>0</v>
      </c>
      <c r="O43" s="88">
        <v>5</v>
      </c>
      <c r="P43" s="89" t="s">
        <v>22</v>
      </c>
      <c r="Q43" s="67">
        <v>0</v>
      </c>
      <c r="R43" s="89" t="s">
        <v>22</v>
      </c>
      <c r="S43" s="89" t="s">
        <v>22</v>
      </c>
      <c r="T43" s="89" t="s">
        <v>22</v>
      </c>
    </row>
    <row r="44" spans="1:20" s="68" customFormat="1" ht="8.25" customHeight="1" x14ac:dyDescent="0.15">
      <c r="A44" s="66"/>
      <c r="B44" s="93"/>
      <c r="C44" s="93"/>
      <c r="D44" s="93"/>
      <c r="E44" s="93"/>
      <c r="F44" s="93"/>
      <c r="G44" s="67"/>
      <c r="H44" s="67"/>
      <c r="I44" s="67"/>
      <c r="J44" s="67"/>
      <c r="K44" s="93"/>
      <c r="L44" s="93"/>
      <c r="M44" s="93"/>
      <c r="N44" s="93"/>
      <c r="O44" s="93"/>
      <c r="P44" s="93"/>
      <c r="Q44" s="67"/>
      <c r="R44" s="67"/>
      <c r="S44" s="67"/>
      <c r="T44" s="67"/>
    </row>
    <row r="45" spans="1:20" s="65" customFormat="1" ht="9" customHeight="1" x14ac:dyDescent="0.25">
      <c r="A45" s="85">
        <v>2000</v>
      </c>
      <c r="B45" s="86"/>
      <c r="C45" s="86"/>
      <c r="D45" s="86"/>
      <c r="E45" s="86"/>
      <c r="F45" s="86"/>
      <c r="G45" s="63"/>
      <c r="H45" s="63"/>
      <c r="I45" s="63"/>
      <c r="J45" s="63"/>
      <c r="K45" s="86"/>
      <c r="L45" s="86"/>
      <c r="M45" s="86"/>
      <c r="N45" s="86"/>
      <c r="O45" s="86"/>
      <c r="P45" s="86"/>
      <c r="Q45" s="63"/>
      <c r="R45" s="63"/>
      <c r="S45" s="63"/>
      <c r="T45" s="63"/>
    </row>
    <row r="46" spans="1:20" s="65" customFormat="1" ht="9" customHeight="1" x14ac:dyDescent="0.25">
      <c r="A46" s="62" t="s">
        <v>21</v>
      </c>
      <c r="B46" s="63">
        <f>SUM(B48:B76)</f>
        <v>154631</v>
      </c>
      <c r="C46" s="63">
        <f>SUM(C48:C76)</f>
        <v>47091</v>
      </c>
      <c r="D46" s="63">
        <f>SUM(D48:D76)</f>
        <v>62153</v>
      </c>
      <c r="E46" s="63">
        <f>SUM(E48:E76)</f>
        <v>20202</v>
      </c>
      <c r="F46" s="63" t="s">
        <v>22</v>
      </c>
      <c r="G46" s="63">
        <f>SUM(G48:G76)</f>
        <v>25185</v>
      </c>
      <c r="H46" s="63" t="s">
        <v>22</v>
      </c>
      <c r="I46" s="63" t="s">
        <v>22</v>
      </c>
      <c r="J46" s="63" t="s">
        <v>22</v>
      </c>
      <c r="K46" s="63"/>
      <c r="L46" s="63">
        <f>SUM(L48:L76)</f>
        <v>1948728</v>
      </c>
      <c r="M46" s="63">
        <f>SUM(M48:M76)</f>
        <v>1066851</v>
      </c>
      <c r="N46" s="63">
        <f>SUM(N48:N76)</f>
        <v>101800</v>
      </c>
      <c r="O46" s="63">
        <f>SUM(O48:O76)</f>
        <v>14359</v>
      </c>
      <c r="P46" s="63" t="s">
        <v>22</v>
      </c>
      <c r="Q46" s="63">
        <f>SUM(Q48:Q76)</f>
        <v>765718</v>
      </c>
      <c r="R46" s="63" t="s">
        <v>22</v>
      </c>
      <c r="S46" s="63" t="s">
        <v>22</v>
      </c>
      <c r="T46" s="63" t="s">
        <v>22</v>
      </c>
    </row>
    <row r="47" spans="1:20" s="65" customFormat="1" ht="3.95" customHeight="1" x14ac:dyDescent="0.25">
      <c r="A47" s="62"/>
      <c r="B47" s="63"/>
      <c r="C47" s="63"/>
      <c r="D47" s="63"/>
      <c r="E47" s="63"/>
      <c r="F47" s="63"/>
      <c r="G47" s="63"/>
      <c r="H47" s="63"/>
      <c r="I47" s="63"/>
      <c r="J47" s="63"/>
      <c r="K47" s="63"/>
      <c r="L47" s="63"/>
      <c r="M47" s="63"/>
      <c r="N47" s="63"/>
      <c r="O47" s="63"/>
      <c r="P47" s="63"/>
      <c r="Q47" s="63"/>
      <c r="R47" s="63"/>
      <c r="S47" s="63"/>
      <c r="T47" s="63"/>
    </row>
    <row r="48" spans="1:20" s="68" customFormat="1" ht="9" customHeight="1" x14ac:dyDescent="0.15">
      <c r="A48" s="66" t="s">
        <v>23</v>
      </c>
      <c r="B48" s="88">
        <f t="shared" ref="B48:B76" si="2">SUM(C48,D48,E48,G48)</f>
        <v>2369</v>
      </c>
      <c r="C48" s="88">
        <v>697</v>
      </c>
      <c r="D48" s="88">
        <v>1060</v>
      </c>
      <c r="E48" s="88">
        <v>331</v>
      </c>
      <c r="F48" s="89" t="s">
        <v>22</v>
      </c>
      <c r="G48" s="67">
        <v>281</v>
      </c>
      <c r="H48" s="89" t="s">
        <v>22</v>
      </c>
      <c r="I48" s="89" t="s">
        <v>22</v>
      </c>
      <c r="J48" s="89" t="s">
        <v>22</v>
      </c>
      <c r="K48" s="88"/>
      <c r="L48" s="88">
        <f t="shared" ref="L48:L76" si="3">SUM(M48,N48,O48,Q48)</f>
        <v>18728</v>
      </c>
      <c r="M48" s="88">
        <v>12455</v>
      </c>
      <c r="N48" s="88">
        <v>2335</v>
      </c>
      <c r="O48" s="88">
        <v>152</v>
      </c>
      <c r="P48" s="89" t="s">
        <v>22</v>
      </c>
      <c r="Q48" s="67">
        <v>3786</v>
      </c>
      <c r="R48" s="89" t="s">
        <v>22</v>
      </c>
      <c r="S48" s="89" t="s">
        <v>22</v>
      </c>
      <c r="T48" s="89" t="s">
        <v>22</v>
      </c>
    </row>
    <row r="49" spans="1:20" s="68" customFormat="1" ht="9" customHeight="1" x14ac:dyDescent="0.15">
      <c r="A49" s="66" t="s">
        <v>24</v>
      </c>
      <c r="B49" s="88">
        <f t="shared" si="2"/>
        <v>3407</v>
      </c>
      <c r="C49" s="88">
        <v>1121</v>
      </c>
      <c r="D49" s="88">
        <v>1326</v>
      </c>
      <c r="E49" s="88">
        <v>335</v>
      </c>
      <c r="F49" s="89" t="s">
        <v>22</v>
      </c>
      <c r="G49" s="67">
        <v>625</v>
      </c>
      <c r="H49" s="89" t="s">
        <v>22</v>
      </c>
      <c r="I49" s="89" t="s">
        <v>22</v>
      </c>
      <c r="J49" s="89" t="s">
        <v>22</v>
      </c>
      <c r="K49" s="88"/>
      <c r="L49" s="88">
        <f t="shared" si="3"/>
        <v>36082</v>
      </c>
      <c r="M49" s="88">
        <v>26909</v>
      </c>
      <c r="N49" s="88">
        <v>1906</v>
      </c>
      <c r="O49" s="88">
        <v>190</v>
      </c>
      <c r="P49" s="89" t="s">
        <v>22</v>
      </c>
      <c r="Q49" s="67">
        <v>7077</v>
      </c>
      <c r="R49" s="89" t="s">
        <v>22</v>
      </c>
      <c r="S49" s="89" t="s">
        <v>22</v>
      </c>
      <c r="T49" s="89" t="s">
        <v>22</v>
      </c>
    </row>
    <row r="50" spans="1:20" s="68" customFormat="1" ht="9" customHeight="1" x14ac:dyDescent="0.15">
      <c r="A50" s="66" t="s">
        <v>25</v>
      </c>
      <c r="B50" s="88">
        <f t="shared" si="2"/>
        <v>1539</v>
      </c>
      <c r="C50" s="88">
        <v>649</v>
      </c>
      <c r="D50" s="88">
        <v>312</v>
      </c>
      <c r="E50" s="88">
        <v>140</v>
      </c>
      <c r="F50" s="89" t="s">
        <v>22</v>
      </c>
      <c r="G50" s="67">
        <v>438</v>
      </c>
      <c r="H50" s="89" t="s">
        <v>22</v>
      </c>
      <c r="I50" s="89" t="s">
        <v>22</v>
      </c>
      <c r="J50" s="89" t="s">
        <v>22</v>
      </c>
      <c r="K50" s="88"/>
      <c r="L50" s="88">
        <f t="shared" si="3"/>
        <v>26930</v>
      </c>
      <c r="M50" s="88">
        <v>13242</v>
      </c>
      <c r="N50" s="88">
        <v>691</v>
      </c>
      <c r="O50" s="88">
        <v>66</v>
      </c>
      <c r="P50" s="89" t="s">
        <v>22</v>
      </c>
      <c r="Q50" s="67">
        <v>12931</v>
      </c>
      <c r="R50" s="89" t="s">
        <v>22</v>
      </c>
      <c r="S50" s="89" t="s">
        <v>22</v>
      </c>
      <c r="T50" s="89" t="s">
        <v>22</v>
      </c>
    </row>
    <row r="51" spans="1:20" s="68" customFormat="1" ht="9" customHeight="1" x14ac:dyDescent="0.15">
      <c r="A51" s="69" t="s">
        <v>26</v>
      </c>
      <c r="B51" s="90">
        <f t="shared" si="2"/>
        <v>2048</v>
      </c>
      <c r="C51" s="90">
        <v>618</v>
      </c>
      <c r="D51" s="90">
        <v>652</v>
      </c>
      <c r="E51" s="90">
        <v>403</v>
      </c>
      <c r="F51" s="91" t="s">
        <v>22</v>
      </c>
      <c r="G51" s="70">
        <v>375</v>
      </c>
      <c r="H51" s="91" t="s">
        <v>22</v>
      </c>
      <c r="I51" s="91" t="s">
        <v>22</v>
      </c>
      <c r="J51" s="91" t="s">
        <v>22</v>
      </c>
      <c r="K51" s="90"/>
      <c r="L51" s="90">
        <f t="shared" si="3"/>
        <v>15459</v>
      </c>
      <c r="M51" s="90">
        <v>11596</v>
      </c>
      <c r="N51" s="90">
        <v>852</v>
      </c>
      <c r="O51" s="90">
        <v>81</v>
      </c>
      <c r="P51" s="91" t="s">
        <v>22</v>
      </c>
      <c r="Q51" s="70">
        <v>2930</v>
      </c>
      <c r="R51" s="91" t="s">
        <v>22</v>
      </c>
      <c r="S51" s="91" t="s">
        <v>22</v>
      </c>
      <c r="T51" s="91" t="s">
        <v>22</v>
      </c>
    </row>
    <row r="52" spans="1:20" s="68" customFormat="1" ht="9" customHeight="1" x14ac:dyDescent="0.15">
      <c r="A52" s="66" t="s">
        <v>27</v>
      </c>
      <c r="B52" s="88">
        <f t="shared" si="2"/>
        <v>4866</v>
      </c>
      <c r="C52" s="88">
        <v>1294</v>
      </c>
      <c r="D52" s="88">
        <v>1402</v>
      </c>
      <c r="E52" s="88">
        <v>1305</v>
      </c>
      <c r="F52" s="89" t="s">
        <v>22</v>
      </c>
      <c r="G52" s="67">
        <v>865</v>
      </c>
      <c r="H52" s="89" t="s">
        <v>22</v>
      </c>
      <c r="I52" s="89" t="s">
        <v>22</v>
      </c>
      <c r="J52" s="89" t="s">
        <v>22</v>
      </c>
      <c r="K52" s="88"/>
      <c r="L52" s="88">
        <f t="shared" si="3"/>
        <v>51850</v>
      </c>
      <c r="M52" s="88">
        <v>30347</v>
      </c>
      <c r="N52" s="88">
        <v>2303</v>
      </c>
      <c r="O52" s="88">
        <v>590</v>
      </c>
      <c r="P52" s="89" t="s">
        <v>22</v>
      </c>
      <c r="Q52" s="67">
        <v>18610</v>
      </c>
      <c r="R52" s="89" t="s">
        <v>22</v>
      </c>
      <c r="S52" s="89" t="s">
        <v>22</v>
      </c>
      <c r="T52" s="89" t="s">
        <v>22</v>
      </c>
    </row>
    <row r="53" spans="1:20" s="68" customFormat="1" ht="9" customHeight="1" x14ac:dyDescent="0.15">
      <c r="A53" s="66" t="s">
        <v>28</v>
      </c>
      <c r="B53" s="88">
        <f t="shared" si="2"/>
        <v>3688</v>
      </c>
      <c r="C53" s="88">
        <v>647</v>
      </c>
      <c r="D53" s="88">
        <v>1405</v>
      </c>
      <c r="E53" s="88">
        <v>330</v>
      </c>
      <c r="F53" s="89" t="s">
        <v>22</v>
      </c>
      <c r="G53" s="67">
        <v>1306</v>
      </c>
      <c r="H53" s="89" t="s">
        <v>22</v>
      </c>
      <c r="I53" s="89" t="s">
        <v>22</v>
      </c>
      <c r="J53" s="89" t="s">
        <v>22</v>
      </c>
      <c r="K53" s="88"/>
      <c r="L53" s="88">
        <f t="shared" si="3"/>
        <v>49762</v>
      </c>
      <c r="M53" s="88">
        <v>16289</v>
      </c>
      <c r="N53" s="88">
        <v>2805</v>
      </c>
      <c r="O53" s="88">
        <v>226</v>
      </c>
      <c r="P53" s="89" t="s">
        <v>22</v>
      </c>
      <c r="Q53" s="67">
        <v>30442</v>
      </c>
      <c r="R53" s="89" t="s">
        <v>22</v>
      </c>
      <c r="S53" s="89" t="s">
        <v>22</v>
      </c>
      <c r="T53" s="89" t="s">
        <v>22</v>
      </c>
    </row>
    <row r="54" spans="1:20" s="68" customFormat="1" ht="9" customHeight="1" x14ac:dyDescent="0.15">
      <c r="A54" s="66" t="s">
        <v>29</v>
      </c>
      <c r="B54" s="88">
        <f t="shared" si="2"/>
        <v>3676</v>
      </c>
      <c r="C54" s="88">
        <v>1051</v>
      </c>
      <c r="D54" s="88">
        <v>2086</v>
      </c>
      <c r="E54" s="88">
        <v>374</v>
      </c>
      <c r="F54" s="89" t="s">
        <v>22</v>
      </c>
      <c r="G54" s="67">
        <v>165</v>
      </c>
      <c r="H54" s="89" t="s">
        <v>22</v>
      </c>
      <c r="I54" s="89" t="s">
        <v>22</v>
      </c>
      <c r="J54" s="89" t="s">
        <v>22</v>
      </c>
      <c r="K54" s="88"/>
      <c r="L54" s="88">
        <f t="shared" si="3"/>
        <v>23616</v>
      </c>
      <c r="M54" s="88">
        <v>19925</v>
      </c>
      <c r="N54" s="88">
        <v>1596</v>
      </c>
      <c r="O54" s="88">
        <v>245</v>
      </c>
      <c r="P54" s="89" t="s">
        <v>22</v>
      </c>
      <c r="Q54" s="67">
        <v>1850</v>
      </c>
      <c r="R54" s="89" t="s">
        <v>22</v>
      </c>
      <c r="S54" s="89" t="s">
        <v>22</v>
      </c>
      <c r="T54" s="89" t="s">
        <v>22</v>
      </c>
    </row>
    <row r="55" spans="1:20" s="68" customFormat="1" ht="9" customHeight="1" x14ac:dyDescent="0.15">
      <c r="A55" s="69" t="s">
        <v>30</v>
      </c>
      <c r="B55" s="90">
        <f t="shared" si="2"/>
        <v>3871</v>
      </c>
      <c r="C55" s="90">
        <v>1442</v>
      </c>
      <c r="D55" s="90">
        <v>1497</v>
      </c>
      <c r="E55" s="90">
        <v>564</v>
      </c>
      <c r="F55" s="91" t="s">
        <v>22</v>
      </c>
      <c r="G55" s="70">
        <v>368</v>
      </c>
      <c r="H55" s="91" t="s">
        <v>22</v>
      </c>
      <c r="I55" s="91" t="s">
        <v>22</v>
      </c>
      <c r="J55" s="91" t="s">
        <v>22</v>
      </c>
      <c r="K55" s="90"/>
      <c r="L55" s="90">
        <f t="shared" si="3"/>
        <v>56932</v>
      </c>
      <c r="M55" s="90">
        <v>35744</v>
      </c>
      <c r="N55" s="90">
        <v>1235</v>
      </c>
      <c r="O55" s="90">
        <v>266</v>
      </c>
      <c r="P55" s="91" t="s">
        <v>22</v>
      </c>
      <c r="Q55" s="70">
        <v>19687</v>
      </c>
      <c r="R55" s="91" t="s">
        <v>22</v>
      </c>
      <c r="S55" s="91" t="s">
        <v>22</v>
      </c>
      <c r="T55" s="91" t="s">
        <v>22</v>
      </c>
    </row>
    <row r="56" spans="1:20" s="68" customFormat="1" ht="9" customHeight="1" x14ac:dyDescent="0.15">
      <c r="A56" s="66" t="s">
        <v>63</v>
      </c>
      <c r="B56" s="88">
        <f t="shared" si="2"/>
        <v>33110</v>
      </c>
      <c r="C56" s="88">
        <v>9480</v>
      </c>
      <c r="D56" s="88">
        <v>15348</v>
      </c>
      <c r="E56" s="88">
        <v>3656</v>
      </c>
      <c r="F56" s="89" t="s">
        <v>22</v>
      </c>
      <c r="G56" s="67">
        <v>4626</v>
      </c>
      <c r="H56" s="89" t="s">
        <v>22</v>
      </c>
      <c r="I56" s="89" t="s">
        <v>22</v>
      </c>
      <c r="J56" s="89" t="s">
        <v>22</v>
      </c>
      <c r="K56" s="88"/>
      <c r="L56" s="88">
        <f t="shared" si="3"/>
        <v>288752</v>
      </c>
      <c r="M56" s="88">
        <v>202930</v>
      </c>
      <c r="N56" s="88">
        <v>31366</v>
      </c>
      <c r="O56" s="88">
        <v>2796</v>
      </c>
      <c r="P56" s="89" t="s">
        <v>22</v>
      </c>
      <c r="Q56" s="67">
        <v>51660</v>
      </c>
      <c r="R56" s="89" t="s">
        <v>22</v>
      </c>
      <c r="S56" s="89" t="s">
        <v>22</v>
      </c>
      <c r="T56" s="89" t="s">
        <v>22</v>
      </c>
    </row>
    <row r="57" spans="1:20" s="68" customFormat="1" ht="9" customHeight="1" x14ac:dyDescent="0.15">
      <c r="A57" s="66" t="s">
        <v>31</v>
      </c>
      <c r="B57" s="88">
        <f t="shared" si="2"/>
        <v>3219</v>
      </c>
      <c r="C57" s="88">
        <v>761</v>
      </c>
      <c r="D57" s="88">
        <v>1775</v>
      </c>
      <c r="E57" s="88">
        <v>382</v>
      </c>
      <c r="F57" s="89" t="s">
        <v>22</v>
      </c>
      <c r="G57" s="67">
        <v>301</v>
      </c>
      <c r="H57" s="89" t="s">
        <v>22</v>
      </c>
      <c r="I57" s="89" t="s">
        <v>22</v>
      </c>
      <c r="J57" s="89" t="s">
        <v>22</v>
      </c>
      <c r="K57" s="88"/>
      <c r="L57" s="88">
        <f t="shared" si="3"/>
        <v>25337</v>
      </c>
      <c r="M57" s="88">
        <v>18975</v>
      </c>
      <c r="N57" s="88">
        <v>2281</v>
      </c>
      <c r="O57" s="88">
        <v>185</v>
      </c>
      <c r="P57" s="89" t="s">
        <v>22</v>
      </c>
      <c r="Q57" s="67">
        <v>3896</v>
      </c>
      <c r="R57" s="89" t="s">
        <v>22</v>
      </c>
      <c r="S57" s="89" t="s">
        <v>22</v>
      </c>
      <c r="T57" s="89" t="s">
        <v>22</v>
      </c>
    </row>
    <row r="58" spans="1:20" s="68" customFormat="1" ht="9" customHeight="1" x14ac:dyDescent="0.15">
      <c r="A58" s="66" t="s">
        <v>32</v>
      </c>
      <c r="B58" s="88">
        <f t="shared" si="2"/>
        <v>5161</v>
      </c>
      <c r="C58" s="88">
        <v>1793</v>
      </c>
      <c r="D58" s="88">
        <v>1592</v>
      </c>
      <c r="E58" s="88">
        <v>768</v>
      </c>
      <c r="F58" s="89" t="s">
        <v>22</v>
      </c>
      <c r="G58" s="67">
        <v>1008</v>
      </c>
      <c r="H58" s="89" t="s">
        <v>22</v>
      </c>
      <c r="I58" s="89" t="s">
        <v>22</v>
      </c>
      <c r="J58" s="89" t="s">
        <v>22</v>
      </c>
      <c r="K58" s="88"/>
      <c r="L58" s="88">
        <f t="shared" si="3"/>
        <v>82418</v>
      </c>
      <c r="M58" s="88">
        <v>51200</v>
      </c>
      <c r="N58" s="88">
        <v>1987</v>
      </c>
      <c r="O58" s="88">
        <v>481</v>
      </c>
      <c r="P58" s="89" t="s">
        <v>22</v>
      </c>
      <c r="Q58" s="67">
        <v>28750</v>
      </c>
      <c r="R58" s="89" t="s">
        <v>22</v>
      </c>
      <c r="S58" s="89" t="s">
        <v>22</v>
      </c>
      <c r="T58" s="89" t="s">
        <v>22</v>
      </c>
    </row>
    <row r="59" spans="1:20" s="68" customFormat="1" ht="9" customHeight="1" x14ac:dyDescent="0.15">
      <c r="A59" s="69" t="s">
        <v>33</v>
      </c>
      <c r="B59" s="90">
        <f t="shared" si="2"/>
        <v>4500</v>
      </c>
      <c r="C59" s="90">
        <v>1858</v>
      </c>
      <c r="D59" s="90">
        <v>1324</v>
      </c>
      <c r="E59" s="90">
        <v>981</v>
      </c>
      <c r="F59" s="91" t="s">
        <v>22</v>
      </c>
      <c r="G59" s="70">
        <v>337</v>
      </c>
      <c r="H59" s="91" t="s">
        <v>22</v>
      </c>
      <c r="I59" s="91" t="s">
        <v>22</v>
      </c>
      <c r="J59" s="91" t="s">
        <v>22</v>
      </c>
      <c r="K59" s="90"/>
      <c r="L59" s="90">
        <f t="shared" si="3"/>
        <v>407009</v>
      </c>
      <c r="M59" s="90">
        <v>49313</v>
      </c>
      <c r="N59" s="90">
        <v>1708</v>
      </c>
      <c r="O59" s="90">
        <v>1142</v>
      </c>
      <c r="P59" s="91" t="s">
        <v>22</v>
      </c>
      <c r="Q59" s="70">
        <v>354846</v>
      </c>
      <c r="R59" s="91" t="s">
        <v>22</v>
      </c>
      <c r="S59" s="91" t="s">
        <v>22</v>
      </c>
      <c r="T59" s="91" t="s">
        <v>22</v>
      </c>
    </row>
    <row r="60" spans="1:20" s="68" customFormat="1" ht="9" customHeight="1" x14ac:dyDescent="0.15">
      <c r="A60" s="66" t="s">
        <v>34</v>
      </c>
      <c r="B60" s="88">
        <f t="shared" si="2"/>
        <v>3016</v>
      </c>
      <c r="C60" s="88">
        <v>1087</v>
      </c>
      <c r="D60" s="88">
        <v>1237</v>
      </c>
      <c r="E60" s="88">
        <v>363</v>
      </c>
      <c r="F60" s="89" t="s">
        <v>22</v>
      </c>
      <c r="G60" s="67">
        <v>329</v>
      </c>
      <c r="H60" s="89" t="s">
        <v>22</v>
      </c>
      <c r="I60" s="89" t="s">
        <v>22</v>
      </c>
      <c r="J60" s="89" t="s">
        <v>22</v>
      </c>
      <c r="K60" s="88"/>
      <c r="L60" s="88">
        <f t="shared" si="3"/>
        <v>33850</v>
      </c>
      <c r="M60" s="88">
        <v>25467</v>
      </c>
      <c r="N60" s="88">
        <v>1557</v>
      </c>
      <c r="O60" s="88">
        <v>340</v>
      </c>
      <c r="P60" s="89" t="s">
        <v>22</v>
      </c>
      <c r="Q60" s="67">
        <v>6486</v>
      </c>
      <c r="R60" s="89" t="s">
        <v>22</v>
      </c>
      <c r="S60" s="89" t="s">
        <v>22</v>
      </c>
      <c r="T60" s="89" t="s">
        <v>22</v>
      </c>
    </row>
    <row r="61" spans="1:20" s="68" customFormat="1" ht="9" customHeight="1" x14ac:dyDescent="0.15">
      <c r="A61" s="66" t="s">
        <v>35</v>
      </c>
      <c r="B61" s="88">
        <f t="shared" si="2"/>
        <v>10458</v>
      </c>
      <c r="C61" s="88">
        <v>3256</v>
      </c>
      <c r="D61" s="88">
        <v>3996</v>
      </c>
      <c r="E61" s="88">
        <v>1799</v>
      </c>
      <c r="F61" s="89" t="s">
        <v>22</v>
      </c>
      <c r="G61" s="67">
        <v>1407</v>
      </c>
      <c r="H61" s="89" t="s">
        <v>22</v>
      </c>
      <c r="I61" s="89" t="s">
        <v>22</v>
      </c>
      <c r="J61" s="89" t="s">
        <v>22</v>
      </c>
      <c r="K61" s="88"/>
      <c r="L61" s="88">
        <f t="shared" si="3"/>
        <v>132777</v>
      </c>
      <c r="M61" s="88">
        <v>94139</v>
      </c>
      <c r="N61" s="88">
        <v>6081</v>
      </c>
      <c r="O61" s="88">
        <v>1383</v>
      </c>
      <c r="P61" s="89" t="s">
        <v>22</v>
      </c>
      <c r="Q61" s="67">
        <v>31174</v>
      </c>
      <c r="R61" s="89" t="s">
        <v>22</v>
      </c>
      <c r="S61" s="89" t="s">
        <v>22</v>
      </c>
      <c r="T61" s="89" t="s">
        <v>22</v>
      </c>
    </row>
    <row r="62" spans="1:20" s="68" customFormat="1" ht="9" customHeight="1" x14ac:dyDescent="0.15">
      <c r="A62" s="66" t="s">
        <v>36</v>
      </c>
      <c r="B62" s="88">
        <f t="shared" si="2"/>
        <v>15989</v>
      </c>
      <c r="C62" s="88">
        <v>4490</v>
      </c>
      <c r="D62" s="88">
        <v>6458</v>
      </c>
      <c r="E62" s="88">
        <v>2383</v>
      </c>
      <c r="F62" s="89" t="s">
        <v>22</v>
      </c>
      <c r="G62" s="67">
        <v>2658</v>
      </c>
      <c r="H62" s="89" t="s">
        <v>22</v>
      </c>
      <c r="I62" s="89" t="s">
        <v>22</v>
      </c>
      <c r="J62" s="89" t="s">
        <v>22</v>
      </c>
      <c r="K62" s="88"/>
      <c r="L62" s="88">
        <f t="shared" si="3"/>
        <v>143762</v>
      </c>
      <c r="M62" s="88">
        <v>108998</v>
      </c>
      <c r="N62" s="88">
        <v>12088</v>
      </c>
      <c r="O62" s="88">
        <v>2029</v>
      </c>
      <c r="P62" s="89" t="s">
        <v>22</v>
      </c>
      <c r="Q62" s="67">
        <v>20647</v>
      </c>
      <c r="R62" s="89" t="s">
        <v>22</v>
      </c>
      <c r="S62" s="89" t="s">
        <v>22</v>
      </c>
      <c r="T62" s="89" t="s">
        <v>22</v>
      </c>
    </row>
    <row r="63" spans="1:20" s="68" customFormat="1" ht="9" customHeight="1" x14ac:dyDescent="0.15">
      <c r="A63" s="69" t="s">
        <v>37</v>
      </c>
      <c r="B63" s="90">
        <f t="shared" si="2"/>
        <v>649</v>
      </c>
      <c r="C63" s="90">
        <v>426</v>
      </c>
      <c r="D63" s="90">
        <v>132</v>
      </c>
      <c r="E63" s="90">
        <v>30</v>
      </c>
      <c r="F63" s="91" t="s">
        <v>22</v>
      </c>
      <c r="G63" s="70">
        <v>61</v>
      </c>
      <c r="H63" s="91" t="s">
        <v>22</v>
      </c>
      <c r="I63" s="91" t="s">
        <v>22</v>
      </c>
      <c r="J63" s="91" t="s">
        <v>22</v>
      </c>
      <c r="K63" s="90"/>
      <c r="L63" s="90">
        <f t="shared" si="3"/>
        <v>3557</v>
      </c>
      <c r="M63" s="90">
        <v>3213</v>
      </c>
      <c r="N63" s="90">
        <v>47</v>
      </c>
      <c r="O63" s="90">
        <v>0</v>
      </c>
      <c r="P63" s="91" t="s">
        <v>22</v>
      </c>
      <c r="Q63" s="70">
        <v>297</v>
      </c>
      <c r="R63" s="91" t="s">
        <v>22</v>
      </c>
      <c r="S63" s="91" t="s">
        <v>22</v>
      </c>
      <c r="T63" s="91" t="s">
        <v>22</v>
      </c>
    </row>
    <row r="64" spans="1:20" s="68" customFormat="1" ht="9" customHeight="1" x14ac:dyDescent="0.15">
      <c r="A64" s="66" t="s">
        <v>38</v>
      </c>
      <c r="B64" s="88">
        <f t="shared" si="2"/>
        <v>2346</v>
      </c>
      <c r="C64" s="88">
        <v>852</v>
      </c>
      <c r="D64" s="88">
        <v>997</v>
      </c>
      <c r="E64" s="88">
        <v>246</v>
      </c>
      <c r="F64" s="89" t="s">
        <v>22</v>
      </c>
      <c r="G64" s="67">
        <v>251</v>
      </c>
      <c r="H64" s="89" t="s">
        <v>22</v>
      </c>
      <c r="I64" s="89" t="s">
        <v>22</v>
      </c>
      <c r="J64" s="89" t="s">
        <v>22</v>
      </c>
      <c r="K64" s="88"/>
      <c r="L64" s="88">
        <f t="shared" si="3"/>
        <v>36671</v>
      </c>
      <c r="M64" s="88">
        <v>27086</v>
      </c>
      <c r="N64" s="88">
        <v>1754</v>
      </c>
      <c r="O64" s="88">
        <v>206</v>
      </c>
      <c r="P64" s="89" t="s">
        <v>22</v>
      </c>
      <c r="Q64" s="67">
        <v>7625</v>
      </c>
      <c r="R64" s="89" t="s">
        <v>22</v>
      </c>
      <c r="S64" s="89" t="s">
        <v>22</v>
      </c>
      <c r="T64" s="89" t="s">
        <v>22</v>
      </c>
    </row>
    <row r="65" spans="1:20" s="68" customFormat="1" ht="9" customHeight="1" x14ac:dyDescent="0.15">
      <c r="A65" s="66" t="s">
        <v>40</v>
      </c>
      <c r="B65" s="88">
        <f t="shared" si="2"/>
        <v>6007</v>
      </c>
      <c r="C65" s="88">
        <v>1956</v>
      </c>
      <c r="D65" s="88">
        <v>2713</v>
      </c>
      <c r="E65" s="88">
        <v>611</v>
      </c>
      <c r="F65" s="89" t="s">
        <v>22</v>
      </c>
      <c r="G65" s="67">
        <v>727</v>
      </c>
      <c r="H65" s="89" t="s">
        <v>22</v>
      </c>
      <c r="I65" s="89" t="s">
        <v>22</v>
      </c>
      <c r="J65" s="89" t="s">
        <v>22</v>
      </c>
      <c r="K65" s="88"/>
      <c r="L65" s="88">
        <f t="shared" si="3"/>
        <v>60409</v>
      </c>
      <c r="M65" s="88">
        <v>40634</v>
      </c>
      <c r="N65" s="88">
        <v>5314</v>
      </c>
      <c r="O65" s="88">
        <v>370</v>
      </c>
      <c r="P65" s="89" t="s">
        <v>22</v>
      </c>
      <c r="Q65" s="67">
        <v>14091</v>
      </c>
      <c r="R65" s="89" t="s">
        <v>22</v>
      </c>
      <c r="S65" s="89" t="s">
        <v>22</v>
      </c>
      <c r="T65" s="89" t="s">
        <v>22</v>
      </c>
    </row>
    <row r="66" spans="1:20" s="68" customFormat="1" ht="9" customHeight="1" x14ac:dyDescent="0.15">
      <c r="A66" s="66" t="s">
        <v>42</v>
      </c>
      <c r="B66" s="88">
        <f t="shared" si="2"/>
        <v>3722</v>
      </c>
      <c r="C66" s="88">
        <v>1259</v>
      </c>
      <c r="D66" s="88">
        <v>1876</v>
      </c>
      <c r="E66" s="88">
        <v>327</v>
      </c>
      <c r="F66" s="89" t="s">
        <v>22</v>
      </c>
      <c r="G66" s="67">
        <v>260</v>
      </c>
      <c r="H66" s="89" t="s">
        <v>22</v>
      </c>
      <c r="I66" s="89" t="s">
        <v>22</v>
      </c>
      <c r="J66" s="89" t="s">
        <v>22</v>
      </c>
      <c r="K66" s="88"/>
      <c r="L66" s="88">
        <f t="shared" si="3"/>
        <v>38560</v>
      </c>
      <c r="M66" s="88">
        <v>31074</v>
      </c>
      <c r="N66" s="88">
        <v>2534</v>
      </c>
      <c r="O66" s="88">
        <v>181</v>
      </c>
      <c r="P66" s="89" t="s">
        <v>22</v>
      </c>
      <c r="Q66" s="67">
        <v>4771</v>
      </c>
      <c r="R66" s="89" t="s">
        <v>22</v>
      </c>
      <c r="S66" s="89" t="s">
        <v>22</v>
      </c>
      <c r="T66" s="89" t="s">
        <v>22</v>
      </c>
    </row>
    <row r="67" spans="1:20" s="68" customFormat="1" ht="9" customHeight="1" x14ac:dyDescent="0.15">
      <c r="A67" s="69" t="s">
        <v>43</v>
      </c>
      <c r="B67" s="90">
        <f t="shared" si="2"/>
        <v>1400</v>
      </c>
      <c r="C67" s="90">
        <v>484</v>
      </c>
      <c r="D67" s="90">
        <v>517</v>
      </c>
      <c r="E67" s="90">
        <v>189</v>
      </c>
      <c r="F67" s="91" t="s">
        <v>22</v>
      </c>
      <c r="G67" s="70">
        <v>210</v>
      </c>
      <c r="H67" s="91" t="s">
        <v>22</v>
      </c>
      <c r="I67" s="91" t="s">
        <v>22</v>
      </c>
      <c r="J67" s="91" t="s">
        <v>22</v>
      </c>
      <c r="K67" s="90"/>
      <c r="L67" s="90">
        <f t="shared" si="3"/>
        <v>17843</v>
      </c>
      <c r="M67" s="90">
        <v>11084</v>
      </c>
      <c r="N67" s="90">
        <v>845</v>
      </c>
      <c r="O67" s="90">
        <v>81</v>
      </c>
      <c r="P67" s="91" t="s">
        <v>22</v>
      </c>
      <c r="Q67" s="70">
        <v>5833</v>
      </c>
      <c r="R67" s="91" t="s">
        <v>22</v>
      </c>
      <c r="S67" s="91" t="s">
        <v>22</v>
      </c>
      <c r="T67" s="91" t="s">
        <v>22</v>
      </c>
    </row>
    <row r="68" spans="1:20" s="68" customFormat="1" ht="9" customHeight="1" x14ac:dyDescent="0.15">
      <c r="A68" s="66" t="s">
        <v>44</v>
      </c>
      <c r="B68" s="88">
        <f t="shared" si="2"/>
        <v>1753</v>
      </c>
      <c r="C68" s="88">
        <v>511</v>
      </c>
      <c r="D68" s="88">
        <v>617</v>
      </c>
      <c r="E68" s="88">
        <v>99</v>
      </c>
      <c r="F68" s="89" t="s">
        <v>22</v>
      </c>
      <c r="G68" s="67">
        <v>526</v>
      </c>
      <c r="H68" s="89" t="s">
        <v>22</v>
      </c>
      <c r="I68" s="89" t="s">
        <v>22</v>
      </c>
      <c r="J68" s="89" t="s">
        <v>22</v>
      </c>
      <c r="K68" s="88"/>
      <c r="L68" s="88">
        <f t="shared" si="3"/>
        <v>21044</v>
      </c>
      <c r="M68" s="88">
        <v>6510</v>
      </c>
      <c r="N68" s="88">
        <v>1073</v>
      </c>
      <c r="O68" s="88">
        <v>68</v>
      </c>
      <c r="P68" s="89" t="s">
        <v>22</v>
      </c>
      <c r="Q68" s="67">
        <v>13393</v>
      </c>
      <c r="R68" s="89" t="s">
        <v>22</v>
      </c>
      <c r="S68" s="89" t="s">
        <v>22</v>
      </c>
      <c r="T68" s="89" t="s">
        <v>22</v>
      </c>
    </row>
    <row r="69" spans="1:20" s="68" customFormat="1" ht="9" customHeight="1" x14ac:dyDescent="0.15">
      <c r="A69" s="71" t="s">
        <v>45</v>
      </c>
      <c r="B69" s="92">
        <f t="shared" si="2"/>
        <v>2320</v>
      </c>
      <c r="C69" s="92">
        <v>722</v>
      </c>
      <c r="D69" s="92">
        <v>416</v>
      </c>
      <c r="E69" s="92">
        <v>305</v>
      </c>
      <c r="F69" s="89" t="s">
        <v>22</v>
      </c>
      <c r="G69" s="67">
        <v>877</v>
      </c>
      <c r="H69" s="89" t="s">
        <v>22</v>
      </c>
      <c r="I69" s="89" t="s">
        <v>22</v>
      </c>
      <c r="J69" s="89" t="s">
        <v>22</v>
      </c>
      <c r="K69" s="92"/>
      <c r="L69" s="92">
        <f t="shared" si="3"/>
        <v>49679</v>
      </c>
      <c r="M69" s="92">
        <v>18111</v>
      </c>
      <c r="N69" s="92">
        <v>475</v>
      </c>
      <c r="O69" s="92">
        <v>343</v>
      </c>
      <c r="P69" s="89" t="s">
        <v>22</v>
      </c>
      <c r="Q69" s="67">
        <v>30750</v>
      </c>
      <c r="R69" s="89" t="s">
        <v>22</v>
      </c>
      <c r="S69" s="89" t="s">
        <v>22</v>
      </c>
      <c r="T69" s="89" t="s">
        <v>22</v>
      </c>
    </row>
    <row r="70" spans="1:20" s="68" customFormat="1" ht="9" customHeight="1" x14ac:dyDescent="0.15">
      <c r="A70" s="66" t="s">
        <v>46</v>
      </c>
      <c r="B70" s="88">
        <f t="shared" si="2"/>
        <v>15765</v>
      </c>
      <c r="C70" s="88">
        <v>4490</v>
      </c>
      <c r="D70" s="88">
        <v>5086</v>
      </c>
      <c r="E70" s="88">
        <v>2193</v>
      </c>
      <c r="F70" s="89" t="s">
        <v>22</v>
      </c>
      <c r="G70" s="67">
        <v>3996</v>
      </c>
      <c r="H70" s="89" t="s">
        <v>22</v>
      </c>
      <c r="I70" s="89" t="s">
        <v>22</v>
      </c>
      <c r="J70" s="89" t="s">
        <v>22</v>
      </c>
      <c r="K70" s="88"/>
      <c r="L70" s="88">
        <f t="shared" si="3"/>
        <v>154236</v>
      </c>
      <c r="M70" s="88">
        <v>88825</v>
      </c>
      <c r="N70" s="88">
        <v>6045</v>
      </c>
      <c r="O70" s="88">
        <v>1285</v>
      </c>
      <c r="P70" s="89" t="s">
        <v>22</v>
      </c>
      <c r="Q70" s="67">
        <v>58081</v>
      </c>
      <c r="R70" s="89" t="s">
        <v>22</v>
      </c>
      <c r="S70" s="89" t="s">
        <v>22</v>
      </c>
      <c r="T70" s="89" t="s">
        <v>22</v>
      </c>
    </row>
    <row r="71" spans="1:20" s="68" customFormat="1" ht="9" customHeight="1" x14ac:dyDescent="0.15">
      <c r="A71" s="69" t="s">
        <v>47</v>
      </c>
      <c r="B71" s="90">
        <f t="shared" si="2"/>
        <v>2350</v>
      </c>
      <c r="C71" s="90">
        <v>709</v>
      </c>
      <c r="D71" s="90">
        <v>1226</v>
      </c>
      <c r="E71" s="90">
        <v>258</v>
      </c>
      <c r="F71" s="91" t="s">
        <v>22</v>
      </c>
      <c r="G71" s="70">
        <v>157</v>
      </c>
      <c r="H71" s="91" t="s">
        <v>22</v>
      </c>
      <c r="I71" s="91" t="s">
        <v>22</v>
      </c>
      <c r="J71" s="91" t="s">
        <v>22</v>
      </c>
      <c r="K71" s="90"/>
      <c r="L71" s="90">
        <f t="shared" si="3"/>
        <v>18512</v>
      </c>
      <c r="M71" s="90">
        <v>12076</v>
      </c>
      <c r="N71" s="90">
        <v>1976</v>
      </c>
      <c r="O71" s="90">
        <v>159</v>
      </c>
      <c r="P71" s="91" t="s">
        <v>22</v>
      </c>
      <c r="Q71" s="70">
        <v>4301</v>
      </c>
      <c r="R71" s="91" t="s">
        <v>22</v>
      </c>
      <c r="S71" s="91" t="s">
        <v>22</v>
      </c>
      <c r="T71" s="91" t="s">
        <v>22</v>
      </c>
    </row>
    <row r="72" spans="1:20" s="68" customFormat="1" ht="9" customHeight="1" x14ac:dyDescent="0.15">
      <c r="A72" s="71" t="s">
        <v>49</v>
      </c>
      <c r="B72" s="92">
        <f t="shared" si="2"/>
        <v>4143</v>
      </c>
      <c r="C72" s="92">
        <v>1483</v>
      </c>
      <c r="D72" s="92">
        <v>1151</v>
      </c>
      <c r="E72" s="92">
        <v>746</v>
      </c>
      <c r="F72" s="89" t="s">
        <v>22</v>
      </c>
      <c r="G72" s="67">
        <v>763</v>
      </c>
      <c r="H72" s="89" t="s">
        <v>22</v>
      </c>
      <c r="I72" s="89" t="s">
        <v>22</v>
      </c>
      <c r="J72" s="89" t="s">
        <v>22</v>
      </c>
      <c r="K72" s="92"/>
      <c r="L72" s="92">
        <f t="shared" si="3"/>
        <v>38973</v>
      </c>
      <c r="M72" s="92">
        <v>26538</v>
      </c>
      <c r="N72" s="92">
        <v>2064</v>
      </c>
      <c r="O72" s="92">
        <v>650</v>
      </c>
      <c r="P72" s="89" t="s">
        <v>22</v>
      </c>
      <c r="Q72" s="67">
        <v>9721</v>
      </c>
      <c r="R72" s="89" t="s">
        <v>22</v>
      </c>
      <c r="S72" s="89" t="s">
        <v>22</v>
      </c>
      <c r="T72" s="89" t="s">
        <v>22</v>
      </c>
    </row>
    <row r="73" spans="1:20" s="68" customFormat="1" ht="9" customHeight="1" x14ac:dyDescent="0.15">
      <c r="A73" s="66" t="s">
        <v>51</v>
      </c>
      <c r="B73" s="88">
        <f t="shared" si="2"/>
        <v>4694</v>
      </c>
      <c r="C73" s="88">
        <v>1792</v>
      </c>
      <c r="D73" s="88">
        <v>1719</v>
      </c>
      <c r="E73" s="88">
        <v>491</v>
      </c>
      <c r="F73" s="89" t="s">
        <v>22</v>
      </c>
      <c r="G73" s="67">
        <v>692</v>
      </c>
      <c r="H73" s="89" t="s">
        <v>22</v>
      </c>
      <c r="I73" s="89" t="s">
        <v>22</v>
      </c>
      <c r="J73" s="89" t="s">
        <v>22</v>
      </c>
      <c r="K73" s="88"/>
      <c r="L73" s="88">
        <f t="shared" si="3"/>
        <v>37725</v>
      </c>
      <c r="M73" s="88">
        <v>31726</v>
      </c>
      <c r="N73" s="88">
        <v>2549</v>
      </c>
      <c r="O73" s="88">
        <v>373</v>
      </c>
      <c r="P73" s="89" t="s">
        <v>22</v>
      </c>
      <c r="Q73" s="67">
        <v>3077</v>
      </c>
      <c r="R73" s="89" t="s">
        <v>22</v>
      </c>
      <c r="S73" s="89" t="s">
        <v>22</v>
      </c>
      <c r="T73" s="89" t="s">
        <v>22</v>
      </c>
    </row>
    <row r="74" spans="1:20" s="68" customFormat="1" ht="9" customHeight="1" x14ac:dyDescent="0.15">
      <c r="A74" s="66" t="s">
        <v>52</v>
      </c>
      <c r="B74" s="88">
        <f t="shared" si="2"/>
        <v>4079</v>
      </c>
      <c r="C74" s="88">
        <v>1308</v>
      </c>
      <c r="D74" s="88">
        <v>1901</v>
      </c>
      <c r="E74" s="88">
        <v>308</v>
      </c>
      <c r="F74" s="89" t="s">
        <v>22</v>
      </c>
      <c r="G74" s="67">
        <v>562</v>
      </c>
      <c r="H74" s="89" t="s">
        <v>22</v>
      </c>
      <c r="I74" s="89" t="s">
        <v>22</v>
      </c>
      <c r="J74" s="89" t="s">
        <v>22</v>
      </c>
      <c r="K74" s="88"/>
      <c r="L74" s="88">
        <f t="shared" si="3"/>
        <v>43507</v>
      </c>
      <c r="M74" s="88">
        <v>33834</v>
      </c>
      <c r="N74" s="88">
        <v>2314</v>
      </c>
      <c r="O74" s="88">
        <v>169</v>
      </c>
      <c r="P74" s="89" t="s">
        <v>22</v>
      </c>
      <c r="Q74" s="67">
        <v>7190</v>
      </c>
      <c r="R74" s="89" t="s">
        <v>22</v>
      </c>
      <c r="S74" s="89" t="s">
        <v>22</v>
      </c>
      <c r="T74" s="89" t="s">
        <v>22</v>
      </c>
    </row>
    <row r="75" spans="1:20" s="68" customFormat="1" ht="9" customHeight="1" x14ac:dyDescent="0.15">
      <c r="A75" s="69" t="s">
        <v>53</v>
      </c>
      <c r="B75" s="90">
        <f t="shared" si="2"/>
        <v>4463</v>
      </c>
      <c r="C75" s="90">
        <v>847</v>
      </c>
      <c r="D75" s="90">
        <v>2319</v>
      </c>
      <c r="E75" s="90">
        <v>283</v>
      </c>
      <c r="F75" s="91" t="s">
        <v>22</v>
      </c>
      <c r="G75" s="70">
        <v>1014</v>
      </c>
      <c r="H75" s="91" t="s">
        <v>22</v>
      </c>
      <c r="I75" s="91" t="s">
        <v>22</v>
      </c>
      <c r="J75" s="91" t="s">
        <v>22</v>
      </c>
      <c r="K75" s="90"/>
      <c r="L75" s="90">
        <f t="shared" si="3"/>
        <v>34537</v>
      </c>
      <c r="M75" s="90">
        <v>18425</v>
      </c>
      <c r="N75" s="90">
        <v>3994</v>
      </c>
      <c r="O75" s="90">
        <v>302</v>
      </c>
      <c r="P75" s="91" t="s">
        <v>22</v>
      </c>
      <c r="Q75" s="70">
        <v>11816</v>
      </c>
      <c r="R75" s="91" t="s">
        <v>22</v>
      </c>
      <c r="S75" s="91" t="s">
        <v>22</v>
      </c>
      <c r="T75" s="91" t="s">
        <v>22</v>
      </c>
    </row>
    <row r="76" spans="1:20" s="68" customFormat="1" ht="9" customHeight="1" x14ac:dyDescent="0.15">
      <c r="A76" s="68" t="s">
        <v>54</v>
      </c>
      <c r="B76" s="88">
        <f t="shared" si="2"/>
        <v>23</v>
      </c>
      <c r="C76" s="94">
        <v>8</v>
      </c>
      <c r="D76" s="94">
        <v>13</v>
      </c>
      <c r="E76" s="94">
        <v>2</v>
      </c>
      <c r="F76" s="89" t="s">
        <v>22</v>
      </c>
      <c r="G76" s="94">
        <v>0</v>
      </c>
      <c r="H76" s="89" t="s">
        <v>22</v>
      </c>
      <c r="I76" s="89" t="s">
        <v>22</v>
      </c>
      <c r="J76" s="89" t="s">
        <v>22</v>
      </c>
      <c r="K76" s="94"/>
      <c r="L76" s="88">
        <f t="shared" si="3"/>
        <v>211</v>
      </c>
      <c r="M76" s="94">
        <v>186</v>
      </c>
      <c r="N76" s="94">
        <v>25</v>
      </c>
      <c r="O76" s="94">
        <v>0</v>
      </c>
      <c r="P76" s="89" t="s">
        <v>22</v>
      </c>
      <c r="Q76" s="94">
        <v>0</v>
      </c>
      <c r="R76" s="89" t="s">
        <v>22</v>
      </c>
      <c r="S76" s="89" t="s">
        <v>22</v>
      </c>
      <c r="T76" s="89" t="s">
        <v>22</v>
      </c>
    </row>
    <row r="77" spans="1:20" ht="8.65" customHeight="1" x14ac:dyDescent="0.25">
      <c r="A77" s="59"/>
      <c r="B77" s="59"/>
      <c r="C77" s="59"/>
      <c r="D77" s="59"/>
      <c r="E77" s="59"/>
      <c r="F77" s="59"/>
      <c r="K77" s="59"/>
      <c r="L77" s="59"/>
      <c r="M77" s="59"/>
      <c r="N77" s="59"/>
      <c r="O77" s="59"/>
      <c r="P77" s="59"/>
    </row>
    <row r="78" spans="1:20" s="65" customFormat="1" ht="9" customHeight="1" x14ac:dyDescent="0.25">
      <c r="A78" s="85">
        <v>2001</v>
      </c>
      <c r="B78" s="86"/>
      <c r="C78" s="87"/>
      <c r="D78" s="86"/>
      <c r="E78" s="86"/>
      <c r="F78" s="86"/>
      <c r="G78" s="63"/>
      <c r="H78" s="63"/>
      <c r="I78" s="63"/>
      <c r="J78" s="63"/>
      <c r="K78" s="86"/>
      <c r="L78" s="86"/>
      <c r="M78" s="86"/>
      <c r="N78" s="86"/>
      <c r="O78" s="86"/>
      <c r="P78" s="86"/>
      <c r="Q78" s="63"/>
      <c r="R78" s="63"/>
      <c r="S78" s="63"/>
      <c r="T78" s="63"/>
    </row>
    <row r="79" spans="1:20" s="65" customFormat="1" ht="9" customHeight="1" x14ac:dyDescent="0.25">
      <c r="A79" s="62" t="s">
        <v>21</v>
      </c>
      <c r="B79" s="63">
        <f>SUM(B81:B109)</f>
        <v>173911</v>
      </c>
      <c r="C79" s="63">
        <f>SUM(C81:C109)</f>
        <v>49103</v>
      </c>
      <c r="D79" s="63">
        <f>SUM(D81:D109)</f>
        <v>64217</v>
      </c>
      <c r="E79" s="63">
        <f>SUM(E81:E109)</f>
        <v>20382</v>
      </c>
      <c r="F79" s="63" t="s">
        <v>22</v>
      </c>
      <c r="G79" s="63">
        <f>SUM(G81:G109)</f>
        <v>40209</v>
      </c>
      <c r="H79" s="63" t="s">
        <v>22</v>
      </c>
      <c r="I79" s="63" t="s">
        <v>22</v>
      </c>
      <c r="J79" s="63" t="s">
        <v>22</v>
      </c>
      <c r="K79" s="63"/>
      <c r="L79" s="63">
        <f>SUM(L81:L109)</f>
        <v>2323369</v>
      </c>
      <c r="M79" s="63">
        <f>SUM(M81:M109)</f>
        <v>1159463</v>
      </c>
      <c r="N79" s="63">
        <f>SUM(N81:N109)</f>
        <v>97213</v>
      </c>
      <c r="O79" s="63">
        <f>SUM(O81:O109)</f>
        <v>17213</v>
      </c>
      <c r="P79" s="63" t="s">
        <v>22</v>
      </c>
      <c r="Q79" s="63">
        <f>SUM(Q81:Q109)</f>
        <v>1049480</v>
      </c>
      <c r="R79" s="63" t="s">
        <v>22</v>
      </c>
      <c r="S79" s="63" t="s">
        <v>22</v>
      </c>
      <c r="T79" s="63" t="s">
        <v>22</v>
      </c>
    </row>
    <row r="80" spans="1:20" s="65" customFormat="1" ht="3.95" customHeight="1" x14ac:dyDescent="0.25">
      <c r="A80" s="62"/>
      <c r="B80" s="63"/>
      <c r="C80" s="63"/>
      <c r="D80" s="63"/>
      <c r="E80" s="63"/>
      <c r="F80" s="63"/>
      <c r="G80" s="63"/>
      <c r="H80" s="63"/>
      <c r="I80" s="63"/>
      <c r="J80" s="63"/>
      <c r="K80" s="63"/>
      <c r="L80" s="63"/>
      <c r="M80" s="63"/>
      <c r="N80" s="63"/>
      <c r="O80" s="63"/>
      <c r="P80" s="63"/>
      <c r="Q80" s="63"/>
      <c r="R80" s="63"/>
      <c r="S80" s="63"/>
      <c r="T80" s="63"/>
    </row>
    <row r="81" spans="1:20" s="68" customFormat="1" ht="9" customHeight="1" x14ac:dyDescent="0.15">
      <c r="A81" s="66" t="s">
        <v>23</v>
      </c>
      <c r="B81" s="88">
        <f t="shared" ref="B81:B109" si="4">SUM(C81,D81,E81,G81)</f>
        <v>2429</v>
      </c>
      <c r="C81" s="88">
        <v>478</v>
      </c>
      <c r="D81" s="88">
        <v>1193</v>
      </c>
      <c r="E81" s="88">
        <v>363</v>
      </c>
      <c r="F81" s="89" t="s">
        <v>22</v>
      </c>
      <c r="G81" s="67">
        <v>395</v>
      </c>
      <c r="H81" s="89" t="s">
        <v>22</v>
      </c>
      <c r="I81" s="89" t="s">
        <v>22</v>
      </c>
      <c r="J81" s="89" t="s">
        <v>22</v>
      </c>
      <c r="K81" s="88"/>
      <c r="L81" s="88">
        <f t="shared" ref="L81:L109" si="5">SUM(M81,N81,O81,Q81)</f>
        <v>19702</v>
      </c>
      <c r="M81" s="88">
        <v>8455</v>
      </c>
      <c r="N81" s="88">
        <v>2052</v>
      </c>
      <c r="O81" s="88">
        <v>179</v>
      </c>
      <c r="P81" s="89" t="s">
        <v>22</v>
      </c>
      <c r="Q81" s="67">
        <v>9016</v>
      </c>
      <c r="R81" s="89" t="s">
        <v>22</v>
      </c>
      <c r="S81" s="89" t="s">
        <v>22</v>
      </c>
      <c r="T81" s="89" t="s">
        <v>22</v>
      </c>
    </row>
    <row r="82" spans="1:20" s="68" customFormat="1" ht="9" customHeight="1" x14ac:dyDescent="0.15">
      <c r="A82" s="66" t="s">
        <v>24</v>
      </c>
      <c r="B82" s="88">
        <f t="shared" si="4"/>
        <v>3037</v>
      </c>
      <c r="C82" s="88">
        <v>919</v>
      </c>
      <c r="D82" s="88">
        <v>973</v>
      </c>
      <c r="E82" s="88">
        <v>294</v>
      </c>
      <c r="F82" s="89" t="s">
        <v>22</v>
      </c>
      <c r="G82" s="67">
        <v>851</v>
      </c>
      <c r="H82" s="89" t="s">
        <v>22</v>
      </c>
      <c r="I82" s="89" t="s">
        <v>22</v>
      </c>
      <c r="J82" s="89" t="s">
        <v>22</v>
      </c>
      <c r="K82" s="88"/>
      <c r="L82" s="88">
        <f t="shared" si="5"/>
        <v>32465</v>
      </c>
      <c r="M82" s="88">
        <v>22378</v>
      </c>
      <c r="N82" s="88">
        <v>1398</v>
      </c>
      <c r="O82" s="88">
        <v>132</v>
      </c>
      <c r="P82" s="89" t="s">
        <v>22</v>
      </c>
      <c r="Q82" s="67">
        <v>8557</v>
      </c>
      <c r="R82" s="89" t="s">
        <v>22</v>
      </c>
      <c r="S82" s="89" t="s">
        <v>22</v>
      </c>
      <c r="T82" s="89" t="s">
        <v>22</v>
      </c>
    </row>
    <row r="83" spans="1:20" s="68" customFormat="1" ht="9" customHeight="1" x14ac:dyDescent="0.15">
      <c r="A83" s="66" t="s">
        <v>25</v>
      </c>
      <c r="B83" s="88">
        <f t="shared" si="4"/>
        <v>1869</v>
      </c>
      <c r="C83" s="88">
        <v>551</v>
      </c>
      <c r="D83" s="88">
        <v>343</v>
      </c>
      <c r="E83" s="88">
        <v>199</v>
      </c>
      <c r="F83" s="89" t="s">
        <v>22</v>
      </c>
      <c r="G83" s="67">
        <v>776</v>
      </c>
      <c r="H83" s="89" t="s">
        <v>22</v>
      </c>
      <c r="I83" s="89" t="s">
        <v>22</v>
      </c>
      <c r="J83" s="89" t="s">
        <v>22</v>
      </c>
      <c r="K83" s="88"/>
      <c r="L83" s="88">
        <f t="shared" si="5"/>
        <v>25421</v>
      </c>
      <c r="M83" s="88">
        <v>10002</v>
      </c>
      <c r="N83" s="88">
        <v>658</v>
      </c>
      <c r="O83" s="88">
        <v>255</v>
      </c>
      <c r="P83" s="89" t="s">
        <v>22</v>
      </c>
      <c r="Q83" s="67">
        <v>14506</v>
      </c>
      <c r="R83" s="89" t="s">
        <v>22</v>
      </c>
      <c r="S83" s="89" t="s">
        <v>22</v>
      </c>
      <c r="T83" s="89" t="s">
        <v>22</v>
      </c>
    </row>
    <row r="84" spans="1:20" s="68" customFormat="1" ht="9" customHeight="1" x14ac:dyDescent="0.15">
      <c r="A84" s="69" t="s">
        <v>26</v>
      </c>
      <c r="B84" s="90">
        <f t="shared" si="4"/>
        <v>2938</v>
      </c>
      <c r="C84" s="90">
        <v>903</v>
      </c>
      <c r="D84" s="90">
        <v>605</v>
      </c>
      <c r="E84" s="90">
        <v>300</v>
      </c>
      <c r="F84" s="91" t="s">
        <v>22</v>
      </c>
      <c r="G84" s="70">
        <v>1130</v>
      </c>
      <c r="H84" s="91" t="s">
        <v>22</v>
      </c>
      <c r="I84" s="91" t="s">
        <v>22</v>
      </c>
      <c r="J84" s="91" t="s">
        <v>22</v>
      </c>
      <c r="K84" s="90"/>
      <c r="L84" s="90">
        <f t="shared" si="5"/>
        <v>21349</v>
      </c>
      <c r="M84" s="90">
        <v>16598</v>
      </c>
      <c r="N84" s="90">
        <v>633</v>
      </c>
      <c r="O84" s="90">
        <v>142</v>
      </c>
      <c r="P84" s="91" t="s">
        <v>22</v>
      </c>
      <c r="Q84" s="70">
        <v>3976</v>
      </c>
      <c r="R84" s="91" t="s">
        <v>22</v>
      </c>
      <c r="S84" s="91" t="s">
        <v>22</v>
      </c>
      <c r="T84" s="91" t="s">
        <v>22</v>
      </c>
    </row>
    <row r="85" spans="1:20" s="68" customFormat="1" ht="9" customHeight="1" x14ac:dyDescent="0.15">
      <c r="A85" s="66" t="s">
        <v>27</v>
      </c>
      <c r="B85" s="88">
        <f t="shared" si="4"/>
        <v>6852</v>
      </c>
      <c r="C85" s="88">
        <v>1522</v>
      </c>
      <c r="D85" s="88">
        <v>2634</v>
      </c>
      <c r="E85" s="88">
        <v>1161</v>
      </c>
      <c r="F85" s="89" t="s">
        <v>22</v>
      </c>
      <c r="G85" s="67">
        <v>1535</v>
      </c>
      <c r="H85" s="89" t="s">
        <v>22</v>
      </c>
      <c r="I85" s="89" t="s">
        <v>22</v>
      </c>
      <c r="J85" s="89" t="s">
        <v>22</v>
      </c>
      <c r="K85" s="88"/>
      <c r="L85" s="88">
        <f t="shared" si="5"/>
        <v>61437</v>
      </c>
      <c r="M85" s="88">
        <v>36707</v>
      </c>
      <c r="N85" s="88">
        <v>4891</v>
      </c>
      <c r="O85" s="88">
        <v>747</v>
      </c>
      <c r="P85" s="89" t="s">
        <v>22</v>
      </c>
      <c r="Q85" s="67">
        <v>19092</v>
      </c>
      <c r="R85" s="89" t="s">
        <v>22</v>
      </c>
      <c r="S85" s="89" t="s">
        <v>22</v>
      </c>
      <c r="T85" s="89" t="s">
        <v>22</v>
      </c>
    </row>
    <row r="86" spans="1:20" s="68" customFormat="1" ht="9" customHeight="1" x14ac:dyDescent="0.15">
      <c r="A86" s="66" t="s">
        <v>28</v>
      </c>
      <c r="B86" s="88">
        <f t="shared" si="4"/>
        <v>6447</v>
      </c>
      <c r="C86" s="88">
        <v>1356</v>
      </c>
      <c r="D86" s="88">
        <v>1991</v>
      </c>
      <c r="E86" s="88">
        <v>390</v>
      </c>
      <c r="F86" s="89" t="s">
        <v>22</v>
      </c>
      <c r="G86" s="67">
        <v>2710</v>
      </c>
      <c r="H86" s="89" t="s">
        <v>22</v>
      </c>
      <c r="I86" s="89" t="s">
        <v>22</v>
      </c>
      <c r="J86" s="89" t="s">
        <v>22</v>
      </c>
      <c r="K86" s="88"/>
      <c r="L86" s="88">
        <f t="shared" si="5"/>
        <v>84659</v>
      </c>
      <c r="M86" s="88">
        <v>36844</v>
      </c>
      <c r="N86" s="88">
        <v>3562</v>
      </c>
      <c r="O86" s="88">
        <v>370</v>
      </c>
      <c r="P86" s="89" t="s">
        <v>22</v>
      </c>
      <c r="Q86" s="67">
        <v>43883</v>
      </c>
      <c r="R86" s="89" t="s">
        <v>22</v>
      </c>
      <c r="S86" s="89" t="s">
        <v>22</v>
      </c>
      <c r="T86" s="89" t="s">
        <v>22</v>
      </c>
    </row>
    <row r="87" spans="1:20" s="68" customFormat="1" ht="9" customHeight="1" x14ac:dyDescent="0.15">
      <c r="A87" s="66" t="s">
        <v>29</v>
      </c>
      <c r="B87" s="88">
        <f t="shared" si="4"/>
        <v>3540</v>
      </c>
      <c r="C87" s="88">
        <v>862</v>
      </c>
      <c r="D87" s="88">
        <v>2127</v>
      </c>
      <c r="E87" s="88">
        <v>484</v>
      </c>
      <c r="F87" s="89" t="s">
        <v>22</v>
      </c>
      <c r="G87" s="67">
        <v>67</v>
      </c>
      <c r="H87" s="89" t="s">
        <v>22</v>
      </c>
      <c r="I87" s="89" t="s">
        <v>22</v>
      </c>
      <c r="J87" s="89" t="s">
        <v>22</v>
      </c>
      <c r="K87" s="88"/>
      <c r="L87" s="88">
        <f t="shared" si="5"/>
        <v>19193</v>
      </c>
      <c r="M87" s="88">
        <v>14415</v>
      </c>
      <c r="N87" s="88">
        <v>1335</v>
      </c>
      <c r="O87" s="88">
        <v>476</v>
      </c>
      <c r="P87" s="89" t="s">
        <v>22</v>
      </c>
      <c r="Q87" s="67">
        <v>2967</v>
      </c>
      <c r="R87" s="89" t="s">
        <v>22</v>
      </c>
      <c r="S87" s="89" t="s">
        <v>22</v>
      </c>
      <c r="T87" s="89" t="s">
        <v>22</v>
      </c>
    </row>
    <row r="88" spans="1:20" s="68" customFormat="1" ht="9" customHeight="1" x14ac:dyDescent="0.15">
      <c r="A88" s="69" t="s">
        <v>30</v>
      </c>
      <c r="B88" s="90">
        <f t="shared" si="4"/>
        <v>3901</v>
      </c>
      <c r="C88" s="90">
        <v>1319</v>
      </c>
      <c r="D88" s="90">
        <v>1651</v>
      </c>
      <c r="E88" s="90">
        <v>592</v>
      </c>
      <c r="F88" s="91" t="s">
        <v>22</v>
      </c>
      <c r="G88" s="70">
        <v>339</v>
      </c>
      <c r="H88" s="91" t="s">
        <v>22</v>
      </c>
      <c r="I88" s="91" t="s">
        <v>22</v>
      </c>
      <c r="J88" s="91" t="s">
        <v>22</v>
      </c>
      <c r="K88" s="90"/>
      <c r="L88" s="90">
        <f t="shared" si="5"/>
        <v>39645</v>
      </c>
      <c r="M88" s="90">
        <v>30532</v>
      </c>
      <c r="N88" s="90">
        <v>1825</v>
      </c>
      <c r="O88" s="90">
        <v>363</v>
      </c>
      <c r="P88" s="91" t="s">
        <v>22</v>
      </c>
      <c r="Q88" s="70">
        <v>6925</v>
      </c>
      <c r="R88" s="91" t="s">
        <v>22</v>
      </c>
      <c r="S88" s="91" t="s">
        <v>22</v>
      </c>
      <c r="T88" s="91" t="s">
        <v>22</v>
      </c>
    </row>
    <row r="89" spans="1:20" s="68" customFormat="1" ht="9" customHeight="1" x14ac:dyDescent="0.15">
      <c r="A89" s="66" t="s">
        <v>63</v>
      </c>
      <c r="B89" s="88">
        <f t="shared" si="4"/>
        <v>33692</v>
      </c>
      <c r="C89" s="88">
        <v>9815</v>
      </c>
      <c r="D89" s="88">
        <v>14322</v>
      </c>
      <c r="E89" s="88">
        <v>3864</v>
      </c>
      <c r="F89" s="89" t="s">
        <v>22</v>
      </c>
      <c r="G89" s="67">
        <v>5691</v>
      </c>
      <c r="H89" s="89" t="s">
        <v>22</v>
      </c>
      <c r="I89" s="89" t="s">
        <v>22</v>
      </c>
      <c r="J89" s="89" t="s">
        <v>22</v>
      </c>
      <c r="K89" s="88"/>
      <c r="L89" s="88">
        <f t="shared" si="5"/>
        <v>302083</v>
      </c>
      <c r="M89" s="88">
        <v>227969</v>
      </c>
      <c r="N89" s="88">
        <v>23713</v>
      </c>
      <c r="O89" s="88">
        <v>2936</v>
      </c>
      <c r="P89" s="89" t="s">
        <v>22</v>
      </c>
      <c r="Q89" s="67">
        <v>47465</v>
      </c>
      <c r="R89" s="89" t="s">
        <v>22</v>
      </c>
      <c r="S89" s="89" t="s">
        <v>22</v>
      </c>
      <c r="T89" s="89" t="s">
        <v>22</v>
      </c>
    </row>
    <row r="90" spans="1:20" s="68" customFormat="1" ht="9" customHeight="1" x14ac:dyDescent="0.15">
      <c r="A90" s="66" t="s">
        <v>31</v>
      </c>
      <c r="B90" s="88">
        <f t="shared" si="4"/>
        <v>3669</v>
      </c>
      <c r="C90" s="88">
        <v>869</v>
      </c>
      <c r="D90" s="88">
        <v>1962</v>
      </c>
      <c r="E90" s="88">
        <v>558</v>
      </c>
      <c r="F90" s="89" t="s">
        <v>22</v>
      </c>
      <c r="G90" s="67">
        <v>280</v>
      </c>
      <c r="H90" s="89" t="s">
        <v>22</v>
      </c>
      <c r="I90" s="89" t="s">
        <v>22</v>
      </c>
      <c r="J90" s="89" t="s">
        <v>22</v>
      </c>
      <c r="K90" s="88"/>
      <c r="L90" s="88">
        <f t="shared" si="5"/>
        <v>29205</v>
      </c>
      <c r="M90" s="88">
        <v>18359</v>
      </c>
      <c r="N90" s="88">
        <v>3697</v>
      </c>
      <c r="O90" s="88">
        <v>392</v>
      </c>
      <c r="P90" s="89" t="s">
        <v>22</v>
      </c>
      <c r="Q90" s="67">
        <v>6757</v>
      </c>
      <c r="R90" s="89" t="s">
        <v>22</v>
      </c>
      <c r="S90" s="89" t="s">
        <v>22</v>
      </c>
      <c r="T90" s="89" t="s">
        <v>22</v>
      </c>
    </row>
    <row r="91" spans="1:20" s="68" customFormat="1" ht="9" customHeight="1" x14ac:dyDescent="0.15">
      <c r="A91" s="66" t="s">
        <v>32</v>
      </c>
      <c r="B91" s="88">
        <f t="shared" si="4"/>
        <v>6239</v>
      </c>
      <c r="C91" s="88">
        <v>1940</v>
      </c>
      <c r="D91" s="88">
        <v>1847</v>
      </c>
      <c r="E91" s="88">
        <v>790</v>
      </c>
      <c r="F91" s="89" t="s">
        <v>22</v>
      </c>
      <c r="G91" s="67">
        <v>1662</v>
      </c>
      <c r="H91" s="89" t="s">
        <v>22</v>
      </c>
      <c r="I91" s="89" t="s">
        <v>22</v>
      </c>
      <c r="J91" s="89" t="s">
        <v>22</v>
      </c>
      <c r="K91" s="88"/>
      <c r="L91" s="88">
        <f t="shared" si="5"/>
        <v>159054</v>
      </c>
      <c r="M91" s="88">
        <v>49564</v>
      </c>
      <c r="N91" s="88">
        <v>1870</v>
      </c>
      <c r="O91" s="88">
        <v>528</v>
      </c>
      <c r="P91" s="89" t="s">
        <v>22</v>
      </c>
      <c r="Q91" s="67">
        <v>107092</v>
      </c>
      <c r="R91" s="89" t="s">
        <v>22</v>
      </c>
      <c r="S91" s="89" t="s">
        <v>22</v>
      </c>
      <c r="T91" s="89" t="s">
        <v>22</v>
      </c>
    </row>
    <row r="92" spans="1:20" s="68" customFormat="1" ht="9" customHeight="1" x14ac:dyDescent="0.15">
      <c r="A92" s="69" t="s">
        <v>33</v>
      </c>
      <c r="B92" s="90">
        <f t="shared" si="4"/>
        <v>6407</v>
      </c>
      <c r="C92" s="90">
        <v>2050</v>
      </c>
      <c r="D92" s="90">
        <v>2663</v>
      </c>
      <c r="E92" s="90">
        <v>666</v>
      </c>
      <c r="F92" s="91" t="s">
        <v>22</v>
      </c>
      <c r="G92" s="70">
        <v>1028</v>
      </c>
      <c r="H92" s="91" t="s">
        <v>22</v>
      </c>
      <c r="I92" s="91" t="s">
        <v>22</v>
      </c>
      <c r="J92" s="91" t="s">
        <v>22</v>
      </c>
      <c r="K92" s="90"/>
      <c r="L92" s="90">
        <f t="shared" si="5"/>
        <v>412073</v>
      </c>
      <c r="M92" s="90">
        <v>54033</v>
      </c>
      <c r="N92" s="90">
        <v>2928</v>
      </c>
      <c r="O92" s="90">
        <v>669</v>
      </c>
      <c r="P92" s="91" t="s">
        <v>22</v>
      </c>
      <c r="Q92" s="70">
        <v>354443</v>
      </c>
      <c r="R92" s="91" t="s">
        <v>22</v>
      </c>
      <c r="S92" s="91" t="s">
        <v>22</v>
      </c>
      <c r="T92" s="91" t="s">
        <v>22</v>
      </c>
    </row>
    <row r="93" spans="1:20" s="68" customFormat="1" ht="9" customHeight="1" x14ac:dyDescent="0.15">
      <c r="A93" s="66" t="s">
        <v>34</v>
      </c>
      <c r="B93" s="88">
        <f t="shared" si="4"/>
        <v>4420</v>
      </c>
      <c r="C93" s="88">
        <v>1692</v>
      </c>
      <c r="D93" s="88">
        <v>1573</v>
      </c>
      <c r="E93" s="88">
        <v>448</v>
      </c>
      <c r="F93" s="89" t="s">
        <v>22</v>
      </c>
      <c r="G93" s="67">
        <v>707</v>
      </c>
      <c r="H93" s="89" t="s">
        <v>22</v>
      </c>
      <c r="I93" s="89" t="s">
        <v>22</v>
      </c>
      <c r="J93" s="89" t="s">
        <v>22</v>
      </c>
      <c r="K93" s="88"/>
      <c r="L93" s="88">
        <f t="shared" si="5"/>
        <v>53046</v>
      </c>
      <c r="M93" s="88">
        <v>45353</v>
      </c>
      <c r="N93" s="88">
        <v>2489</v>
      </c>
      <c r="O93" s="88">
        <v>321</v>
      </c>
      <c r="P93" s="89" t="s">
        <v>22</v>
      </c>
      <c r="Q93" s="67">
        <v>4883</v>
      </c>
      <c r="R93" s="89" t="s">
        <v>22</v>
      </c>
      <c r="S93" s="89" t="s">
        <v>22</v>
      </c>
      <c r="T93" s="89" t="s">
        <v>22</v>
      </c>
    </row>
    <row r="94" spans="1:20" s="68" customFormat="1" ht="9" customHeight="1" x14ac:dyDescent="0.15">
      <c r="A94" s="66" t="s">
        <v>35</v>
      </c>
      <c r="B94" s="88">
        <f t="shared" si="4"/>
        <v>9065</v>
      </c>
      <c r="C94" s="88">
        <v>2748</v>
      </c>
      <c r="D94" s="88">
        <v>3027</v>
      </c>
      <c r="E94" s="88">
        <v>1718</v>
      </c>
      <c r="F94" s="89" t="s">
        <v>22</v>
      </c>
      <c r="G94" s="67">
        <v>1572</v>
      </c>
      <c r="H94" s="89" t="s">
        <v>22</v>
      </c>
      <c r="I94" s="89" t="s">
        <v>22</v>
      </c>
      <c r="J94" s="89" t="s">
        <v>22</v>
      </c>
      <c r="K94" s="88"/>
      <c r="L94" s="88">
        <f t="shared" si="5"/>
        <v>96610</v>
      </c>
      <c r="M94" s="88">
        <v>72913</v>
      </c>
      <c r="N94" s="88">
        <v>4386</v>
      </c>
      <c r="O94" s="88">
        <v>2142</v>
      </c>
      <c r="P94" s="89" t="s">
        <v>22</v>
      </c>
      <c r="Q94" s="67">
        <v>17169</v>
      </c>
      <c r="R94" s="89" t="s">
        <v>22</v>
      </c>
      <c r="S94" s="89" t="s">
        <v>22</v>
      </c>
      <c r="T94" s="89" t="s">
        <v>22</v>
      </c>
    </row>
    <row r="95" spans="1:20" s="68" customFormat="1" ht="9" customHeight="1" x14ac:dyDescent="0.15">
      <c r="A95" s="66" t="s">
        <v>36</v>
      </c>
      <c r="B95" s="88">
        <f t="shared" si="4"/>
        <v>18380</v>
      </c>
      <c r="C95" s="88">
        <v>4775</v>
      </c>
      <c r="D95" s="88">
        <v>6829</v>
      </c>
      <c r="E95" s="88">
        <v>2211</v>
      </c>
      <c r="F95" s="89" t="s">
        <v>22</v>
      </c>
      <c r="G95" s="67">
        <v>4565</v>
      </c>
      <c r="H95" s="89" t="s">
        <v>22</v>
      </c>
      <c r="I95" s="89" t="s">
        <v>22</v>
      </c>
      <c r="J95" s="89" t="s">
        <v>22</v>
      </c>
      <c r="K95" s="88"/>
      <c r="L95" s="88">
        <f t="shared" si="5"/>
        <v>212630</v>
      </c>
      <c r="M95" s="88">
        <v>124657</v>
      </c>
      <c r="N95" s="88">
        <v>13785</v>
      </c>
      <c r="O95" s="88">
        <v>1843</v>
      </c>
      <c r="P95" s="89" t="s">
        <v>22</v>
      </c>
      <c r="Q95" s="67">
        <v>72345</v>
      </c>
      <c r="R95" s="89" t="s">
        <v>22</v>
      </c>
      <c r="S95" s="89" t="s">
        <v>22</v>
      </c>
      <c r="T95" s="89" t="s">
        <v>22</v>
      </c>
    </row>
    <row r="96" spans="1:20" s="68" customFormat="1" ht="9" customHeight="1" x14ac:dyDescent="0.15">
      <c r="A96" s="69" t="s">
        <v>37</v>
      </c>
      <c r="B96" s="90">
        <f t="shared" si="4"/>
        <v>745</v>
      </c>
      <c r="C96" s="90">
        <v>447</v>
      </c>
      <c r="D96" s="90">
        <v>202</v>
      </c>
      <c r="E96" s="90">
        <v>56</v>
      </c>
      <c r="F96" s="91" t="s">
        <v>22</v>
      </c>
      <c r="G96" s="70">
        <v>40</v>
      </c>
      <c r="H96" s="91" t="s">
        <v>22</v>
      </c>
      <c r="I96" s="91" t="s">
        <v>22</v>
      </c>
      <c r="J96" s="91" t="s">
        <v>22</v>
      </c>
      <c r="K96" s="90"/>
      <c r="L96" s="90">
        <f t="shared" si="5"/>
        <v>4950</v>
      </c>
      <c r="M96" s="90">
        <v>4634</v>
      </c>
      <c r="N96" s="90">
        <v>82</v>
      </c>
      <c r="O96" s="90">
        <v>13</v>
      </c>
      <c r="P96" s="91" t="s">
        <v>22</v>
      </c>
      <c r="Q96" s="70">
        <v>221</v>
      </c>
      <c r="R96" s="91" t="s">
        <v>22</v>
      </c>
      <c r="S96" s="91" t="s">
        <v>22</v>
      </c>
      <c r="T96" s="91" t="s">
        <v>22</v>
      </c>
    </row>
    <row r="97" spans="1:20" s="68" customFormat="1" ht="9" customHeight="1" x14ac:dyDescent="0.15">
      <c r="A97" s="66" t="s">
        <v>38</v>
      </c>
      <c r="B97" s="88">
        <f t="shared" si="4"/>
        <v>2482</v>
      </c>
      <c r="C97" s="88">
        <v>985</v>
      </c>
      <c r="D97" s="88">
        <v>1112</v>
      </c>
      <c r="E97" s="88">
        <v>281</v>
      </c>
      <c r="F97" s="89" t="s">
        <v>22</v>
      </c>
      <c r="G97" s="67">
        <v>104</v>
      </c>
      <c r="H97" s="89" t="s">
        <v>22</v>
      </c>
      <c r="I97" s="89" t="s">
        <v>22</v>
      </c>
      <c r="J97" s="89" t="s">
        <v>22</v>
      </c>
      <c r="K97" s="88"/>
      <c r="L97" s="88">
        <f t="shared" si="5"/>
        <v>28959</v>
      </c>
      <c r="M97" s="88">
        <v>24534</v>
      </c>
      <c r="N97" s="88">
        <v>1887</v>
      </c>
      <c r="O97" s="88">
        <v>337</v>
      </c>
      <c r="P97" s="89" t="s">
        <v>22</v>
      </c>
      <c r="Q97" s="67">
        <v>2201</v>
      </c>
      <c r="R97" s="89" t="s">
        <v>22</v>
      </c>
      <c r="S97" s="89" t="s">
        <v>22</v>
      </c>
      <c r="T97" s="89" t="s">
        <v>22</v>
      </c>
    </row>
    <row r="98" spans="1:20" s="68" customFormat="1" ht="9" customHeight="1" x14ac:dyDescent="0.15">
      <c r="A98" s="66" t="s">
        <v>40</v>
      </c>
      <c r="B98" s="88">
        <f t="shared" si="4"/>
        <v>7783</v>
      </c>
      <c r="C98" s="88">
        <v>2482</v>
      </c>
      <c r="D98" s="88">
        <v>2927</v>
      </c>
      <c r="E98" s="88">
        <v>811</v>
      </c>
      <c r="F98" s="89" t="s">
        <v>22</v>
      </c>
      <c r="G98" s="67">
        <v>1563</v>
      </c>
      <c r="H98" s="89" t="s">
        <v>22</v>
      </c>
      <c r="I98" s="89" t="s">
        <v>22</v>
      </c>
      <c r="J98" s="89" t="s">
        <v>22</v>
      </c>
      <c r="K98" s="88"/>
      <c r="L98" s="88">
        <f t="shared" si="5"/>
        <v>78446</v>
      </c>
      <c r="M98" s="88">
        <v>57486</v>
      </c>
      <c r="N98" s="88">
        <v>5817</v>
      </c>
      <c r="O98" s="88">
        <v>1083</v>
      </c>
      <c r="P98" s="89" t="s">
        <v>22</v>
      </c>
      <c r="Q98" s="67">
        <v>14060</v>
      </c>
      <c r="R98" s="89" t="s">
        <v>22</v>
      </c>
      <c r="S98" s="89" t="s">
        <v>22</v>
      </c>
      <c r="T98" s="89" t="s">
        <v>22</v>
      </c>
    </row>
    <row r="99" spans="1:20" s="68" customFormat="1" ht="9" customHeight="1" x14ac:dyDescent="0.15">
      <c r="A99" s="66" t="s">
        <v>42</v>
      </c>
      <c r="B99" s="88">
        <f t="shared" si="4"/>
        <v>5865</v>
      </c>
      <c r="C99" s="88">
        <v>1652</v>
      </c>
      <c r="D99" s="88">
        <v>3024</v>
      </c>
      <c r="E99" s="88">
        <v>446</v>
      </c>
      <c r="F99" s="89" t="s">
        <v>22</v>
      </c>
      <c r="G99" s="67">
        <v>743</v>
      </c>
      <c r="H99" s="89" t="s">
        <v>22</v>
      </c>
      <c r="I99" s="89" t="s">
        <v>22</v>
      </c>
      <c r="J99" s="89" t="s">
        <v>22</v>
      </c>
      <c r="K99" s="88"/>
      <c r="L99" s="88">
        <f t="shared" si="5"/>
        <v>48526</v>
      </c>
      <c r="M99" s="88">
        <v>37677</v>
      </c>
      <c r="N99" s="88">
        <v>3979</v>
      </c>
      <c r="O99" s="88">
        <v>430</v>
      </c>
      <c r="P99" s="89" t="s">
        <v>22</v>
      </c>
      <c r="Q99" s="67">
        <v>6440</v>
      </c>
      <c r="R99" s="89" t="s">
        <v>22</v>
      </c>
      <c r="S99" s="89" t="s">
        <v>22</v>
      </c>
      <c r="T99" s="89" t="s">
        <v>22</v>
      </c>
    </row>
    <row r="100" spans="1:20" s="68" customFormat="1" ht="9" customHeight="1" x14ac:dyDescent="0.15">
      <c r="A100" s="69" t="s">
        <v>43</v>
      </c>
      <c r="B100" s="90">
        <f t="shared" si="4"/>
        <v>1351</v>
      </c>
      <c r="C100" s="90">
        <v>362</v>
      </c>
      <c r="D100" s="90">
        <v>523</v>
      </c>
      <c r="E100" s="90">
        <v>259</v>
      </c>
      <c r="F100" s="91" t="s">
        <v>22</v>
      </c>
      <c r="G100" s="70">
        <v>207</v>
      </c>
      <c r="H100" s="91" t="s">
        <v>22</v>
      </c>
      <c r="I100" s="91" t="s">
        <v>22</v>
      </c>
      <c r="J100" s="91" t="s">
        <v>22</v>
      </c>
      <c r="K100" s="90"/>
      <c r="L100" s="90">
        <f t="shared" si="5"/>
        <v>11905</v>
      </c>
      <c r="M100" s="90">
        <v>6163</v>
      </c>
      <c r="N100" s="90">
        <v>775</v>
      </c>
      <c r="O100" s="90">
        <v>298</v>
      </c>
      <c r="P100" s="91" t="s">
        <v>22</v>
      </c>
      <c r="Q100" s="70">
        <v>4669</v>
      </c>
      <c r="R100" s="91" t="s">
        <v>22</v>
      </c>
      <c r="S100" s="91" t="s">
        <v>22</v>
      </c>
      <c r="T100" s="91" t="s">
        <v>22</v>
      </c>
    </row>
    <row r="101" spans="1:20" s="68" customFormat="1" ht="9" customHeight="1" x14ac:dyDescent="0.15">
      <c r="A101" s="66" t="s">
        <v>44</v>
      </c>
      <c r="B101" s="88">
        <f t="shared" si="4"/>
        <v>1684</v>
      </c>
      <c r="C101" s="88">
        <v>557</v>
      </c>
      <c r="D101" s="88">
        <v>487</v>
      </c>
      <c r="E101" s="88">
        <v>93</v>
      </c>
      <c r="F101" s="89" t="s">
        <v>22</v>
      </c>
      <c r="G101" s="67">
        <v>547</v>
      </c>
      <c r="H101" s="89" t="s">
        <v>22</v>
      </c>
      <c r="I101" s="89" t="s">
        <v>22</v>
      </c>
      <c r="J101" s="89" t="s">
        <v>22</v>
      </c>
      <c r="K101" s="88"/>
      <c r="L101" s="88">
        <f t="shared" si="5"/>
        <v>19208</v>
      </c>
      <c r="M101" s="88">
        <v>9828</v>
      </c>
      <c r="N101" s="88">
        <v>701</v>
      </c>
      <c r="O101" s="88">
        <v>46</v>
      </c>
      <c r="P101" s="89" t="s">
        <v>22</v>
      </c>
      <c r="Q101" s="67">
        <v>8633</v>
      </c>
      <c r="R101" s="89" t="s">
        <v>22</v>
      </c>
      <c r="S101" s="89" t="s">
        <v>22</v>
      </c>
      <c r="T101" s="89" t="s">
        <v>22</v>
      </c>
    </row>
    <row r="102" spans="1:20" s="68" customFormat="1" ht="9" customHeight="1" x14ac:dyDescent="0.15">
      <c r="A102" s="71" t="s">
        <v>45</v>
      </c>
      <c r="B102" s="92">
        <f t="shared" si="4"/>
        <v>4786</v>
      </c>
      <c r="C102" s="92">
        <v>1054</v>
      </c>
      <c r="D102" s="92">
        <v>894</v>
      </c>
      <c r="E102" s="92">
        <v>394</v>
      </c>
      <c r="F102" s="89" t="s">
        <v>22</v>
      </c>
      <c r="G102" s="67">
        <v>2444</v>
      </c>
      <c r="H102" s="89" t="s">
        <v>22</v>
      </c>
      <c r="I102" s="89" t="s">
        <v>22</v>
      </c>
      <c r="J102" s="89" t="s">
        <v>22</v>
      </c>
      <c r="K102" s="92"/>
      <c r="L102" s="92">
        <f t="shared" si="5"/>
        <v>194152</v>
      </c>
      <c r="M102" s="92">
        <v>38268</v>
      </c>
      <c r="N102" s="92">
        <v>1151</v>
      </c>
      <c r="O102" s="92">
        <v>300</v>
      </c>
      <c r="P102" s="89" t="s">
        <v>22</v>
      </c>
      <c r="Q102" s="67">
        <v>154433</v>
      </c>
      <c r="R102" s="89" t="s">
        <v>22</v>
      </c>
      <c r="S102" s="89" t="s">
        <v>22</v>
      </c>
      <c r="T102" s="89" t="s">
        <v>22</v>
      </c>
    </row>
    <row r="103" spans="1:20" s="68" customFormat="1" ht="9" customHeight="1" x14ac:dyDescent="0.15">
      <c r="A103" s="66" t="s">
        <v>46</v>
      </c>
      <c r="B103" s="88">
        <f t="shared" si="4"/>
        <v>16656</v>
      </c>
      <c r="C103" s="88">
        <v>3317</v>
      </c>
      <c r="D103" s="88">
        <v>4381</v>
      </c>
      <c r="E103" s="88">
        <v>1974</v>
      </c>
      <c r="F103" s="89" t="s">
        <v>22</v>
      </c>
      <c r="G103" s="67">
        <v>6984</v>
      </c>
      <c r="H103" s="89" t="s">
        <v>22</v>
      </c>
      <c r="I103" s="89" t="s">
        <v>22</v>
      </c>
      <c r="J103" s="89" t="s">
        <v>22</v>
      </c>
      <c r="K103" s="88"/>
      <c r="L103" s="88">
        <f t="shared" si="5"/>
        <v>173105</v>
      </c>
      <c r="M103" s="88">
        <v>66031</v>
      </c>
      <c r="N103" s="88">
        <v>5614</v>
      </c>
      <c r="O103" s="88">
        <v>1128</v>
      </c>
      <c r="P103" s="89" t="s">
        <v>22</v>
      </c>
      <c r="Q103" s="67">
        <v>100332</v>
      </c>
      <c r="R103" s="89" t="s">
        <v>22</v>
      </c>
      <c r="S103" s="89" t="s">
        <v>22</v>
      </c>
      <c r="T103" s="89" t="s">
        <v>22</v>
      </c>
    </row>
    <row r="104" spans="1:20" s="68" customFormat="1" ht="9" customHeight="1" x14ac:dyDescent="0.15">
      <c r="A104" s="69" t="s">
        <v>47</v>
      </c>
      <c r="B104" s="90">
        <f t="shared" si="4"/>
        <v>1491</v>
      </c>
      <c r="C104" s="90">
        <v>526</v>
      </c>
      <c r="D104" s="90">
        <v>664</v>
      </c>
      <c r="E104" s="90">
        <v>214</v>
      </c>
      <c r="F104" s="91" t="s">
        <v>22</v>
      </c>
      <c r="G104" s="70">
        <v>87</v>
      </c>
      <c r="H104" s="91" t="s">
        <v>22</v>
      </c>
      <c r="I104" s="91" t="s">
        <v>22</v>
      </c>
      <c r="J104" s="91" t="s">
        <v>22</v>
      </c>
      <c r="K104" s="90"/>
      <c r="L104" s="90">
        <f t="shared" si="5"/>
        <v>16010</v>
      </c>
      <c r="M104" s="90">
        <v>13890</v>
      </c>
      <c r="N104" s="90">
        <v>815</v>
      </c>
      <c r="O104" s="90">
        <v>360</v>
      </c>
      <c r="P104" s="91" t="s">
        <v>22</v>
      </c>
      <c r="Q104" s="70">
        <v>945</v>
      </c>
      <c r="R104" s="91" t="s">
        <v>22</v>
      </c>
      <c r="S104" s="91" t="s">
        <v>22</v>
      </c>
      <c r="T104" s="91" t="s">
        <v>22</v>
      </c>
    </row>
    <row r="105" spans="1:20" s="68" customFormat="1" ht="9" customHeight="1" x14ac:dyDescent="0.15">
      <c r="A105" s="71" t="s">
        <v>49</v>
      </c>
      <c r="B105" s="92">
        <f t="shared" si="4"/>
        <v>7708</v>
      </c>
      <c r="C105" s="92">
        <v>2746</v>
      </c>
      <c r="D105" s="92">
        <v>1325</v>
      </c>
      <c r="E105" s="92">
        <v>960</v>
      </c>
      <c r="F105" s="89" t="s">
        <v>22</v>
      </c>
      <c r="G105" s="67">
        <v>2677</v>
      </c>
      <c r="H105" s="89" t="s">
        <v>22</v>
      </c>
      <c r="I105" s="89" t="s">
        <v>22</v>
      </c>
      <c r="J105" s="89" t="s">
        <v>22</v>
      </c>
      <c r="K105" s="92"/>
      <c r="L105" s="92">
        <f t="shared" si="5"/>
        <v>80464</v>
      </c>
      <c r="M105" s="92">
        <v>58296</v>
      </c>
      <c r="N105" s="92">
        <v>1717</v>
      </c>
      <c r="O105" s="92">
        <v>1034</v>
      </c>
      <c r="P105" s="89" t="s">
        <v>22</v>
      </c>
      <c r="Q105" s="67">
        <v>19417</v>
      </c>
      <c r="R105" s="89" t="s">
        <v>22</v>
      </c>
      <c r="S105" s="89" t="s">
        <v>22</v>
      </c>
      <c r="T105" s="89" t="s">
        <v>22</v>
      </c>
    </row>
    <row r="106" spans="1:20" s="68" customFormat="1" ht="9" customHeight="1" x14ac:dyDescent="0.15">
      <c r="A106" s="66" t="s">
        <v>51</v>
      </c>
      <c r="B106" s="88">
        <f t="shared" si="4"/>
        <v>3917</v>
      </c>
      <c r="C106" s="88">
        <v>1467</v>
      </c>
      <c r="D106" s="88">
        <v>1267</v>
      </c>
      <c r="E106" s="88">
        <v>497</v>
      </c>
      <c r="F106" s="89" t="s">
        <v>22</v>
      </c>
      <c r="G106" s="67">
        <v>686</v>
      </c>
      <c r="H106" s="89" t="s">
        <v>22</v>
      </c>
      <c r="I106" s="89" t="s">
        <v>22</v>
      </c>
      <c r="J106" s="89" t="s">
        <v>22</v>
      </c>
      <c r="K106" s="88"/>
      <c r="L106" s="88">
        <f t="shared" si="5"/>
        <v>40781</v>
      </c>
      <c r="M106" s="88">
        <v>31307</v>
      </c>
      <c r="N106" s="88">
        <v>1627</v>
      </c>
      <c r="O106" s="88">
        <v>498</v>
      </c>
      <c r="P106" s="89" t="s">
        <v>22</v>
      </c>
      <c r="Q106" s="67">
        <v>7349</v>
      </c>
      <c r="R106" s="89" t="s">
        <v>22</v>
      </c>
      <c r="S106" s="89" t="s">
        <v>22</v>
      </c>
      <c r="T106" s="89" t="s">
        <v>22</v>
      </c>
    </row>
    <row r="107" spans="1:20" s="68" customFormat="1" ht="9" customHeight="1" x14ac:dyDescent="0.15">
      <c r="A107" s="66" t="s">
        <v>52</v>
      </c>
      <c r="B107" s="88">
        <f t="shared" si="4"/>
        <v>3561</v>
      </c>
      <c r="C107" s="88">
        <v>1012</v>
      </c>
      <c r="D107" s="88">
        <v>2057</v>
      </c>
      <c r="E107" s="88">
        <v>227</v>
      </c>
      <c r="F107" s="89" t="s">
        <v>22</v>
      </c>
      <c r="G107" s="67">
        <v>265</v>
      </c>
      <c r="H107" s="89" t="s">
        <v>22</v>
      </c>
      <c r="I107" s="89" t="s">
        <v>22</v>
      </c>
      <c r="J107" s="89" t="s">
        <v>22</v>
      </c>
      <c r="K107" s="88"/>
      <c r="L107" s="88">
        <f t="shared" si="5"/>
        <v>31713</v>
      </c>
      <c r="M107" s="88">
        <v>26683</v>
      </c>
      <c r="N107" s="88">
        <v>2394</v>
      </c>
      <c r="O107" s="88">
        <v>152</v>
      </c>
      <c r="P107" s="89" t="s">
        <v>22</v>
      </c>
      <c r="Q107" s="67">
        <v>2484</v>
      </c>
      <c r="R107" s="89" t="s">
        <v>22</v>
      </c>
      <c r="S107" s="89" t="s">
        <v>22</v>
      </c>
      <c r="T107" s="89" t="s">
        <v>22</v>
      </c>
    </row>
    <row r="108" spans="1:20" s="68" customFormat="1" ht="9" customHeight="1" x14ac:dyDescent="0.15">
      <c r="A108" s="69" t="s">
        <v>53</v>
      </c>
      <c r="B108" s="90">
        <f t="shared" si="4"/>
        <v>2958</v>
      </c>
      <c r="C108" s="90">
        <v>677</v>
      </c>
      <c r="D108" s="90">
        <v>1610</v>
      </c>
      <c r="E108" s="90">
        <v>126</v>
      </c>
      <c r="F108" s="91" t="s">
        <v>22</v>
      </c>
      <c r="G108" s="70">
        <v>545</v>
      </c>
      <c r="H108" s="91" t="s">
        <v>22</v>
      </c>
      <c r="I108" s="91" t="s">
        <v>22</v>
      </c>
      <c r="J108" s="91" t="s">
        <v>22</v>
      </c>
      <c r="K108" s="90"/>
      <c r="L108" s="90">
        <f t="shared" si="5"/>
        <v>26139</v>
      </c>
      <c r="M108" s="90">
        <v>15577</v>
      </c>
      <c r="N108" s="90">
        <v>1432</v>
      </c>
      <c r="O108" s="90">
        <v>39</v>
      </c>
      <c r="P108" s="91" t="s">
        <v>22</v>
      </c>
      <c r="Q108" s="70">
        <v>9091</v>
      </c>
      <c r="R108" s="91" t="s">
        <v>22</v>
      </c>
      <c r="S108" s="91" t="s">
        <v>22</v>
      </c>
      <c r="T108" s="91" t="s">
        <v>22</v>
      </c>
    </row>
    <row r="109" spans="1:20" s="68" customFormat="1" ht="9" customHeight="1" x14ac:dyDescent="0.15">
      <c r="A109" s="66" t="s">
        <v>54</v>
      </c>
      <c r="B109" s="95">
        <f t="shared" si="4"/>
        <v>39</v>
      </c>
      <c r="C109" s="95">
        <v>20</v>
      </c>
      <c r="D109" s="95">
        <v>4</v>
      </c>
      <c r="E109" s="95">
        <v>6</v>
      </c>
      <c r="F109" s="89" t="s">
        <v>22</v>
      </c>
      <c r="G109" s="67">
        <v>9</v>
      </c>
      <c r="H109" s="89" t="s">
        <v>22</v>
      </c>
      <c r="I109" s="89" t="s">
        <v>22</v>
      </c>
      <c r="J109" s="89" t="s">
        <v>22</v>
      </c>
      <c r="K109" s="95"/>
      <c r="L109" s="95">
        <f t="shared" si="5"/>
        <v>439</v>
      </c>
      <c r="M109" s="95">
        <v>310</v>
      </c>
      <c r="N109" s="95">
        <v>0</v>
      </c>
      <c r="O109" s="95">
        <v>0</v>
      </c>
      <c r="P109" s="89" t="s">
        <v>22</v>
      </c>
      <c r="Q109" s="67">
        <v>129</v>
      </c>
      <c r="R109" s="89" t="s">
        <v>22</v>
      </c>
      <c r="S109" s="89" t="s">
        <v>22</v>
      </c>
      <c r="T109" s="89" t="s">
        <v>22</v>
      </c>
    </row>
    <row r="110" spans="1:20" s="65" customFormat="1" ht="9" customHeight="1" x14ac:dyDescent="0.25">
      <c r="B110" s="86"/>
      <c r="C110" s="87"/>
      <c r="D110" s="86"/>
      <c r="E110" s="86"/>
      <c r="F110" s="86"/>
      <c r="G110" s="63"/>
      <c r="H110" s="63"/>
      <c r="I110" s="63"/>
      <c r="J110" s="63"/>
      <c r="K110" s="86"/>
      <c r="L110" s="86"/>
      <c r="M110" s="86"/>
      <c r="N110" s="86"/>
      <c r="O110" s="86"/>
      <c r="P110" s="86"/>
      <c r="Q110" s="63"/>
      <c r="R110" s="63"/>
      <c r="S110" s="63"/>
      <c r="T110" s="63"/>
    </row>
    <row r="111" spans="1:20" s="65" customFormat="1" ht="9" customHeight="1" x14ac:dyDescent="0.25">
      <c r="A111" s="85">
        <v>2002</v>
      </c>
      <c r="B111" s="86"/>
      <c r="C111" s="87"/>
      <c r="D111" s="86"/>
      <c r="E111" s="86"/>
      <c r="F111" s="86"/>
      <c r="G111" s="63"/>
      <c r="H111" s="63"/>
      <c r="I111" s="63"/>
      <c r="J111" s="63"/>
      <c r="K111" s="86"/>
      <c r="L111" s="86"/>
      <c r="M111" s="86"/>
      <c r="N111" s="86"/>
      <c r="O111" s="86"/>
      <c r="P111" s="86"/>
      <c r="Q111" s="63"/>
      <c r="R111" s="63"/>
      <c r="S111" s="63"/>
      <c r="T111" s="63"/>
    </row>
    <row r="112" spans="1:20" s="65" customFormat="1" ht="9" customHeight="1" x14ac:dyDescent="0.25">
      <c r="A112" s="62" t="s">
        <v>21</v>
      </c>
      <c r="B112" s="63">
        <f>SUM(B114:B143)</f>
        <v>191866</v>
      </c>
      <c r="C112" s="63">
        <f>SUM(C114:C143)</f>
        <v>50764</v>
      </c>
      <c r="D112" s="63">
        <f>SUM(D114:D143)</f>
        <v>80967</v>
      </c>
      <c r="E112" s="63">
        <f>SUM(E114:E143)</f>
        <v>22895</v>
      </c>
      <c r="F112" s="63" t="s">
        <v>22</v>
      </c>
      <c r="G112" s="63">
        <f>SUM(G114:G143)</f>
        <v>37240</v>
      </c>
      <c r="H112" s="63" t="s">
        <v>22</v>
      </c>
      <c r="I112" s="63" t="s">
        <v>22</v>
      </c>
      <c r="J112" s="63" t="s">
        <v>22</v>
      </c>
      <c r="K112" s="63"/>
      <c r="L112" s="63">
        <f>SUM(L114:L143)</f>
        <v>2778948</v>
      </c>
      <c r="M112" s="63">
        <f>SUM(M114:M143)</f>
        <v>1157919</v>
      </c>
      <c r="N112" s="63">
        <f>SUM(N114:N143)</f>
        <v>147215</v>
      </c>
      <c r="O112" s="63">
        <f>SUM(O114:O143)</f>
        <v>24467</v>
      </c>
      <c r="P112" s="63" t="s">
        <v>22</v>
      </c>
      <c r="Q112" s="63">
        <f>SUM(Q114:Q143)</f>
        <v>1449347</v>
      </c>
      <c r="R112" s="63" t="s">
        <v>22</v>
      </c>
      <c r="S112" s="63" t="s">
        <v>22</v>
      </c>
      <c r="T112" s="63" t="s">
        <v>22</v>
      </c>
    </row>
    <row r="113" spans="1:20" s="65" customFormat="1" ht="3.95" customHeight="1" x14ac:dyDescent="0.25">
      <c r="A113" s="62"/>
      <c r="B113" s="63"/>
      <c r="C113" s="63"/>
      <c r="D113" s="63"/>
      <c r="E113" s="63"/>
      <c r="F113" s="63"/>
      <c r="G113" s="63"/>
      <c r="H113" s="63"/>
      <c r="I113" s="63"/>
      <c r="J113" s="63"/>
      <c r="K113" s="63"/>
      <c r="L113" s="63"/>
      <c r="M113" s="63"/>
      <c r="N113" s="63"/>
      <c r="O113" s="63"/>
      <c r="P113" s="63"/>
      <c r="Q113" s="63"/>
      <c r="R113" s="63"/>
      <c r="S113" s="63"/>
      <c r="T113" s="63"/>
    </row>
    <row r="114" spans="1:20" s="68" customFormat="1" ht="9" customHeight="1" x14ac:dyDescent="0.15">
      <c r="A114" s="66" t="s">
        <v>23</v>
      </c>
      <c r="B114" s="88">
        <f t="shared" ref="B114:B143" si="6">SUM(C114,D114,E114,G114)</f>
        <v>3341</v>
      </c>
      <c r="C114" s="88">
        <v>488</v>
      </c>
      <c r="D114" s="88">
        <v>1684</v>
      </c>
      <c r="E114" s="88">
        <v>307</v>
      </c>
      <c r="F114" s="89" t="s">
        <v>22</v>
      </c>
      <c r="G114" s="67">
        <v>862</v>
      </c>
      <c r="H114" s="89" t="s">
        <v>22</v>
      </c>
      <c r="I114" s="89" t="s">
        <v>22</v>
      </c>
      <c r="J114" s="89" t="s">
        <v>22</v>
      </c>
      <c r="K114" s="88"/>
      <c r="L114" s="88">
        <f t="shared" ref="L114:L143" si="7">SUM(M114,N114,O114,Q114)</f>
        <v>19676</v>
      </c>
      <c r="M114" s="88">
        <v>9456</v>
      </c>
      <c r="N114" s="88">
        <v>2726</v>
      </c>
      <c r="O114" s="88">
        <v>175</v>
      </c>
      <c r="P114" s="89" t="s">
        <v>22</v>
      </c>
      <c r="Q114" s="67">
        <v>7319</v>
      </c>
      <c r="R114" s="89" t="s">
        <v>22</v>
      </c>
      <c r="S114" s="89" t="s">
        <v>22</v>
      </c>
      <c r="T114" s="89" t="s">
        <v>22</v>
      </c>
    </row>
    <row r="115" spans="1:20" s="68" customFormat="1" ht="9" customHeight="1" x14ac:dyDescent="0.15">
      <c r="A115" s="66" t="s">
        <v>24</v>
      </c>
      <c r="B115" s="88">
        <f t="shared" si="6"/>
        <v>4079</v>
      </c>
      <c r="C115" s="88">
        <v>1001</v>
      </c>
      <c r="D115" s="88">
        <v>1143</v>
      </c>
      <c r="E115" s="88">
        <v>419</v>
      </c>
      <c r="F115" s="89" t="s">
        <v>22</v>
      </c>
      <c r="G115" s="67">
        <v>1516</v>
      </c>
      <c r="H115" s="89" t="s">
        <v>22</v>
      </c>
      <c r="I115" s="89" t="s">
        <v>22</v>
      </c>
      <c r="J115" s="89" t="s">
        <v>22</v>
      </c>
      <c r="K115" s="88"/>
      <c r="L115" s="88">
        <f t="shared" si="7"/>
        <v>38624</v>
      </c>
      <c r="M115" s="88">
        <v>21534</v>
      </c>
      <c r="N115" s="88">
        <v>1293</v>
      </c>
      <c r="O115" s="88">
        <v>253</v>
      </c>
      <c r="P115" s="89" t="s">
        <v>22</v>
      </c>
      <c r="Q115" s="67">
        <v>15544</v>
      </c>
      <c r="R115" s="89" t="s">
        <v>22</v>
      </c>
      <c r="S115" s="89" t="s">
        <v>22</v>
      </c>
      <c r="T115" s="89" t="s">
        <v>22</v>
      </c>
    </row>
    <row r="116" spans="1:20" s="68" customFormat="1" ht="9" customHeight="1" x14ac:dyDescent="0.15">
      <c r="A116" s="66" t="s">
        <v>25</v>
      </c>
      <c r="B116" s="88">
        <f t="shared" si="6"/>
        <v>1898</v>
      </c>
      <c r="C116" s="88">
        <v>339</v>
      </c>
      <c r="D116" s="88">
        <v>427</v>
      </c>
      <c r="E116" s="88">
        <v>265</v>
      </c>
      <c r="F116" s="89" t="s">
        <v>22</v>
      </c>
      <c r="G116" s="67">
        <v>867</v>
      </c>
      <c r="H116" s="89" t="s">
        <v>22</v>
      </c>
      <c r="I116" s="89" t="s">
        <v>22</v>
      </c>
      <c r="J116" s="89" t="s">
        <v>22</v>
      </c>
      <c r="K116" s="88"/>
      <c r="L116" s="88">
        <f t="shared" si="7"/>
        <v>21583</v>
      </c>
      <c r="M116" s="88">
        <v>6564</v>
      </c>
      <c r="N116" s="88">
        <v>739</v>
      </c>
      <c r="O116" s="88">
        <v>241</v>
      </c>
      <c r="P116" s="89" t="s">
        <v>22</v>
      </c>
      <c r="Q116" s="67">
        <v>14039</v>
      </c>
      <c r="R116" s="89" t="s">
        <v>22</v>
      </c>
      <c r="S116" s="89" t="s">
        <v>22</v>
      </c>
      <c r="T116" s="89" t="s">
        <v>22</v>
      </c>
    </row>
    <row r="117" spans="1:20" s="68" customFormat="1" ht="9" customHeight="1" x14ac:dyDescent="0.15">
      <c r="A117" s="69" t="s">
        <v>26</v>
      </c>
      <c r="B117" s="90">
        <f t="shared" si="6"/>
        <v>3129</v>
      </c>
      <c r="C117" s="90">
        <v>807</v>
      </c>
      <c r="D117" s="90">
        <v>1079</v>
      </c>
      <c r="E117" s="90">
        <v>193</v>
      </c>
      <c r="F117" s="91" t="s">
        <v>22</v>
      </c>
      <c r="G117" s="70">
        <v>1050</v>
      </c>
      <c r="H117" s="91" t="s">
        <v>22</v>
      </c>
      <c r="I117" s="91" t="s">
        <v>22</v>
      </c>
      <c r="J117" s="91" t="s">
        <v>22</v>
      </c>
      <c r="K117" s="90"/>
      <c r="L117" s="90">
        <f t="shared" si="7"/>
        <v>20929</v>
      </c>
      <c r="M117" s="90">
        <v>13288</v>
      </c>
      <c r="N117" s="90">
        <v>1682</v>
      </c>
      <c r="O117" s="90">
        <v>90</v>
      </c>
      <c r="P117" s="91" t="s">
        <v>22</v>
      </c>
      <c r="Q117" s="70">
        <v>5869</v>
      </c>
      <c r="R117" s="91" t="s">
        <v>22</v>
      </c>
      <c r="S117" s="91" t="s">
        <v>22</v>
      </c>
      <c r="T117" s="91" t="s">
        <v>22</v>
      </c>
    </row>
    <row r="118" spans="1:20" s="68" customFormat="1" ht="9" customHeight="1" x14ac:dyDescent="0.15">
      <c r="A118" s="66" t="s">
        <v>27</v>
      </c>
      <c r="B118" s="88">
        <f t="shared" si="6"/>
        <v>6912</v>
      </c>
      <c r="C118" s="88">
        <v>1474</v>
      </c>
      <c r="D118" s="88">
        <v>2316</v>
      </c>
      <c r="E118" s="88">
        <v>1343</v>
      </c>
      <c r="F118" s="89" t="s">
        <v>22</v>
      </c>
      <c r="G118" s="67">
        <v>1779</v>
      </c>
      <c r="H118" s="89" t="s">
        <v>22</v>
      </c>
      <c r="I118" s="89" t="s">
        <v>22</v>
      </c>
      <c r="J118" s="89" t="s">
        <v>22</v>
      </c>
      <c r="K118" s="88"/>
      <c r="L118" s="88">
        <f t="shared" si="7"/>
        <v>64788</v>
      </c>
      <c r="M118" s="88">
        <v>32307</v>
      </c>
      <c r="N118" s="88">
        <v>4543</v>
      </c>
      <c r="O118" s="88">
        <v>1373</v>
      </c>
      <c r="P118" s="89" t="s">
        <v>22</v>
      </c>
      <c r="Q118" s="67">
        <v>26565</v>
      </c>
      <c r="R118" s="89" t="s">
        <v>22</v>
      </c>
      <c r="S118" s="89" t="s">
        <v>22</v>
      </c>
      <c r="T118" s="89" t="s">
        <v>22</v>
      </c>
    </row>
    <row r="119" spans="1:20" s="68" customFormat="1" ht="9" customHeight="1" x14ac:dyDescent="0.15">
      <c r="A119" s="66" t="s">
        <v>28</v>
      </c>
      <c r="B119" s="88">
        <f t="shared" si="6"/>
        <v>6148</v>
      </c>
      <c r="C119" s="88">
        <v>1300</v>
      </c>
      <c r="D119" s="88">
        <v>2258</v>
      </c>
      <c r="E119" s="88">
        <v>320</v>
      </c>
      <c r="F119" s="89" t="s">
        <v>22</v>
      </c>
      <c r="G119" s="67">
        <v>2270</v>
      </c>
      <c r="H119" s="89" t="s">
        <v>22</v>
      </c>
      <c r="I119" s="89" t="s">
        <v>22</v>
      </c>
      <c r="J119" s="89" t="s">
        <v>22</v>
      </c>
      <c r="K119" s="88"/>
      <c r="L119" s="88">
        <f t="shared" si="7"/>
        <v>62156</v>
      </c>
      <c r="M119" s="88">
        <v>24813</v>
      </c>
      <c r="N119" s="88">
        <v>5032</v>
      </c>
      <c r="O119" s="88">
        <v>282</v>
      </c>
      <c r="P119" s="89" t="s">
        <v>22</v>
      </c>
      <c r="Q119" s="67">
        <v>32029</v>
      </c>
      <c r="R119" s="89" t="s">
        <v>22</v>
      </c>
      <c r="S119" s="89" t="s">
        <v>22</v>
      </c>
      <c r="T119" s="89" t="s">
        <v>22</v>
      </c>
    </row>
    <row r="120" spans="1:20" s="68" customFormat="1" ht="9" customHeight="1" x14ac:dyDescent="0.15">
      <c r="A120" s="66" t="s">
        <v>29</v>
      </c>
      <c r="B120" s="88">
        <f t="shared" si="6"/>
        <v>3859</v>
      </c>
      <c r="C120" s="88">
        <v>1160</v>
      </c>
      <c r="D120" s="88">
        <v>2147</v>
      </c>
      <c r="E120" s="88">
        <v>330</v>
      </c>
      <c r="F120" s="89" t="s">
        <v>22</v>
      </c>
      <c r="G120" s="67">
        <v>222</v>
      </c>
      <c r="H120" s="89" t="s">
        <v>22</v>
      </c>
      <c r="I120" s="89" t="s">
        <v>22</v>
      </c>
      <c r="J120" s="89" t="s">
        <v>22</v>
      </c>
      <c r="K120" s="88"/>
      <c r="L120" s="88">
        <f t="shared" si="7"/>
        <v>27524</v>
      </c>
      <c r="M120" s="88">
        <v>25356</v>
      </c>
      <c r="N120" s="88">
        <v>1576</v>
      </c>
      <c r="O120" s="88">
        <v>272</v>
      </c>
      <c r="P120" s="89" t="s">
        <v>22</v>
      </c>
      <c r="Q120" s="67">
        <v>320</v>
      </c>
      <c r="R120" s="89" t="s">
        <v>22</v>
      </c>
      <c r="S120" s="89" t="s">
        <v>22</v>
      </c>
      <c r="T120" s="89" t="s">
        <v>22</v>
      </c>
    </row>
    <row r="121" spans="1:20" s="68" customFormat="1" ht="9" customHeight="1" x14ac:dyDescent="0.15">
      <c r="A121" s="69" t="s">
        <v>30</v>
      </c>
      <c r="B121" s="90">
        <f t="shared" si="6"/>
        <v>3916</v>
      </c>
      <c r="C121" s="90">
        <v>1020</v>
      </c>
      <c r="D121" s="90">
        <v>1948</v>
      </c>
      <c r="E121" s="90">
        <v>595</v>
      </c>
      <c r="F121" s="91" t="s">
        <v>22</v>
      </c>
      <c r="G121" s="70">
        <v>353</v>
      </c>
      <c r="H121" s="91" t="s">
        <v>22</v>
      </c>
      <c r="I121" s="91" t="s">
        <v>22</v>
      </c>
      <c r="J121" s="91" t="s">
        <v>22</v>
      </c>
      <c r="K121" s="90"/>
      <c r="L121" s="90">
        <f t="shared" si="7"/>
        <v>30564</v>
      </c>
      <c r="M121" s="90">
        <v>23897</v>
      </c>
      <c r="N121" s="90">
        <v>2927</v>
      </c>
      <c r="O121" s="90">
        <v>385</v>
      </c>
      <c r="P121" s="91" t="s">
        <v>22</v>
      </c>
      <c r="Q121" s="70">
        <v>3355</v>
      </c>
      <c r="R121" s="91" t="s">
        <v>22</v>
      </c>
      <c r="S121" s="91" t="s">
        <v>22</v>
      </c>
      <c r="T121" s="91" t="s">
        <v>22</v>
      </c>
    </row>
    <row r="122" spans="1:20" s="68" customFormat="1" ht="9" customHeight="1" x14ac:dyDescent="0.15">
      <c r="A122" s="66" t="s">
        <v>63</v>
      </c>
      <c r="B122" s="88">
        <f t="shared" si="6"/>
        <v>34338</v>
      </c>
      <c r="C122" s="88">
        <v>8994</v>
      </c>
      <c r="D122" s="88">
        <v>16607</v>
      </c>
      <c r="E122" s="88">
        <v>4483</v>
      </c>
      <c r="F122" s="89" t="s">
        <v>22</v>
      </c>
      <c r="G122" s="67">
        <v>4254</v>
      </c>
      <c r="H122" s="89" t="s">
        <v>22</v>
      </c>
      <c r="I122" s="89" t="s">
        <v>22</v>
      </c>
      <c r="J122" s="89" t="s">
        <v>22</v>
      </c>
      <c r="K122" s="88"/>
      <c r="L122" s="88">
        <f t="shared" si="7"/>
        <v>277018</v>
      </c>
      <c r="M122" s="88">
        <v>203560</v>
      </c>
      <c r="N122" s="88">
        <v>31321</v>
      </c>
      <c r="O122" s="88">
        <v>4906</v>
      </c>
      <c r="P122" s="89" t="s">
        <v>22</v>
      </c>
      <c r="Q122" s="67">
        <v>37231</v>
      </c>
      <c r="R122" s="89" t="s">
        <v>22</v>
      </c>
      <c r="S122" s="89" t="s">
        <v>22</v>
      </c>
      <c r="T122" s="89" t="s">
        <v>22</v>
      </c>
    </row>
    <row r="123" spans="1:20" s="68" customFormat="1" ht="9" customHeight="1" x14ac:dyDescent="0.15">
      <c r="A123" s="66" t="s">
        <v>31</v>
      </c>
      <c r="B123" s="88">
        <f t="shared" si="6"/>
        <v>4071</v>
      </c>
      <c r="C123" s="88">
        <v>1328</v>
      </c>
      <c r="D123" s="88">
        <v>1809</v>
      </c>
      <c r="E123" s="88">
        <v>479</v>
      </c>
      <c r="F123" s="89" t="s">
        <v>22</v>
      </c>
      <c r="G123" s="67">
        <v>455</v>
      </c>
      <c r="H123" s="89" t="s">
        <v>22</v>
      </c>
      <c r="I123" s="89" t="s">
        <v>22</v>
      </c>
      <c r="J123" s="89" t="s">
        <v>22</v>
      </c>
      <c r="K123" s="88"/>
      <c r="L123" s="88">
        <f t="shared" si="7"/>
        <v>46210</v>
      </c>
      <c r="M123" s="88">
        <v>29412</v>
      </c>
      <c r="N123" s="88">
        <v>3531</v>
      </c>
      <c r="O123" s="88">
        <v>319</v>
      </c>
      <c r="P123" s="89" t="s">
        <v>22</v>
      </c>
      <c r="Q123" s="67">
        <v>12948</v>
      </c>
      <c r="R123" s="89" t="s">
        <v>22</v>
      </c>
      <c r="S123" s="89" t="s">
        <v>22</v>
      </c>
      <c r="T123" s="89" t="s">
        <v>22</v>
      </c>
    </row>
    <row r="124" spans="1:20" s="68" customFormat="1" ht="9" customHeight="1" x14ac:dyDescent="0.15">
      <c r="A124" s="66" t="s">
        <v>32</v>
      </c>
      <c r="B124" s="88">
        <f t="shared" si="6"/>
        <v>7361</v>
      </c>
      <c r="C124" s="88">
        <v>2108</v>
      </c>
      <c r="D124" s="88">
        <v>2722</v>
      </c>
      <c r="E124" s="88">
        <v>855</v>
      </c>
      <c r="F124" s="89" t="s">
        <v>22</v>
      </c>
      <c r="G124" s="67">
        <v>1676</v>
      </c>
      <c r="H124" s="89" t="s">
        <v>22</v>
      </c>
      <c r="I124" s="89" t="s">
        <v>22</v>
      </c>
      <c r="J124" s="89" t="s">
        <v>22</v>
      </c>
      <c r="K124" s="88"/>
      <c r="L124" s="88">
        <f t="shared" si="7"/>
        <v>143513</v>
      </c>
      <c r="M124" s="88">
        <v>54202</v>
      </c>
      <c r="N124" s="88">
        <v>4837</v>
      </c>
      <c r="O124" s="88">
        <v>833</v>
      </c>
      <c r="P124" s="89" t="s">
        <v>22</v>
      </c>
      <c r="Q124" s="67">
        <v>83641</v>
      </c>
      <c r="R124" s="89" t="s">
        <v>22</v>
      </c>
      <c r="S124" s="89" t="s">
        <v>22</v>
      </c>
      <c r="T124" s="89" t="s">
        <v>22</v>
      </c>
    </row>
    <row r="125" spans="1:20" s="68" customFormat="1" ht="9" customHeight="1" x14ac:dyDescent="0.15">
      <c r="A125" s="69" t="s">
        <v>33</v>
      </c>
      <c r="B125" s="90">
        <f t="shared" si="6"/>
        <v>6542</v>
      </c>
      <c r="C125" s="90">
        <v>2661</v>
      </c>
      <c r="D125" s="90">
        <v>2183</v>
      </c>
      <c r="E125" s="90">
        <v>713</v>
      </c>
      <c r="F125" s="91" t="s">
        <v>22</v>
      </c>
      <c r="G125" s="70">
        <v>985</v>
      </c>
      <c r="H125" s="91" t="s">
        <v>22</v>
      </c>
      <c r="I125" s="91" t="s">
        <v>22</v>
      </c>
      <c r="J125" s="91" t="s">
        <v>22</v>
      </c>
      <c r="K125" s="90"/>
      <c r="L125" s="90">
        <f t="shared" si="7"/>
        <v>968837</v>
      </c>
      <c r="M125" s="90">
        <v>66251</v>
      </c>
      <c r="N125" s="90">
        <v>3277</v>
      </c>
      <c r="O125" s="90">
        <v>562</v>
      </c>
      <c r="P125" s="91" t="s">
        <v>22</v>
      </c>
      <c r="Q125" s="70">
        <v>898747</v>
      </c>
      <c r="R125" s="91" t="s">
        <v>22</v>
      </c>
      <c r="S125" s="91" t="s">
        <v>22</v>
      </c>
      <c r="T125" s="91" t="s">
        <v>22</v>
      </c>
    </row>
    <row r="126" spans="1:20" s="68" customFormat="1" ht="9" customHeight="1" x14ac:dyDescent="0.15">
      <c r="A126" s="66" t="s">
        <v>34</v>
      </c>
      <c r="B126" s="88">
        <f t="shared" si="6"/>
        <v>3907</v>
      </c>
      <c r="C126" s="88">
        <v>1726</v>
      </c>
      <c r="D126" s="88">
        <v>1330</v>
      </c>
      <c r="E126" s="88">
        <v>476</v>
      </c>
      <c r="F126" s="89" t="s">
        <v>22</v>
      </c>
      <c r="G126" s="67">
        <v>375</v>
      </c>
      <c r="H126" s="89" t="s">
        <v>22</v>
      </c>
      <c r="I126" s="89" t="s">
        <v>22</v>
      </c>
      <c r="J126" s="89" t="s">
        <v>22</v>
      </c>
      <c r="K126" s="88"/>
      <c r="L126" s="88">
        <f t="shared" si="7"/>
        <v>56556</v>
      </c>
      <c r="M126" s="88">
        <v>50196</v>
      </c>
      <c r="N126" s="88">
        <v>2677</v>
      </c>
      <c r="O126" s="88">
        <v>618</v>
      </c>
      <c r="P126" s="89" t="s">
        <v>22</v>
      </c>
      <c r="Q126" s="67">
        <v>3065</v>
      </c>
      <c r="R126" s="89" t="s">
        <v>22</v>
      </c>
      <c r="S126" s="89" t="s">
        <v>22</v>
      </c>
      <c r="T126" s="89" t="s">
        <v>22</v>
      </c>
    </row>
    <row r="127" spans="1:20" s="68" customFormat="1" ht="9" customHeight="1" x14ac:dyDescent="0.15">
      <c r="A127" s="66" t="s">
        <v>35</v>
      </c>
      <c r="B127" s="88">
        <f t="shared" si="6"/>
        <v>13499</v>
      </c>
      <c r="C127" s="88">
        <v>3486</v>
      </c>
      <c r="D127" s="88">
        <v>5633</v>
      </c>
      <c r="E127" s="88">
        <v>1913</v>
      </c>
      <c r="F127" s="89" t="s">
        <v>22</v>
      </c>
      <c r="G127" s="67">
        <v>2467</v>
      </c>
      <c r="H127" s="89" t="s">
        <v>22</v>
      </c>
      <c r="I127" s="89" t="s">
        <v>22</v>
      </c>
      <c r="J127" s="89" t="s">
        <v>22</v>
      </c>
      <c r="K127" s="88"/>
      <c r="L127" s="88">
        <f t="shared" si="7"/>
        <v>129412</v>
      </c>
      <c r="M127" s="88">
        <v>85137</v>
      </c>
      <c r="N127" s="88">
        <v>10215</v>
      </c>
      <c r="O127" s="88">
        <v>1766</v>
      </c>
      <c r="P127" s="89" t="s">
        <v>22</v>
      </c>
      <c r="Q127" s="67">
        <v>32294</v>
      </c>
      <c r="R127" s="89" t="s">
        <v>22</v>
      </c>
      <c r="S127" s="89" t="s">
        <v>22</v>
      </c>
      <c r="T127" s="89" t="s">
        <v>22</v>
      </c>
    </row>
    <row r="128" spans="1:20" s="68" customFormat="1" ht="9" customHeight="1" x14ac:dyDescent="0.15">
      <c r="A128" s="66" t="s">
        <v>36</v>
      </c>
      <c r="B128" s="88">
        <f t="shared" si="6"/>
        <v>23428</v>
      </c>
      <c r="C128" s="88">
        <v>5837</v>
      </c>
      <c r="D128" s="88">
        <v>10708</v>
      </c>
      <c r="E128" s="88">
        <v>2989</v>
      </c>
      <c r="F128" s="89" t="s">
        <v>22</v>
      </c>
      <c r="G128" s="67">
        <v>3894</v>
      </c>
      <c r="H128" s="89" t="s">
        <v>22</v>
      </c>
      <c r="I128" s="89" t="s">
        <v>22</v>
      </c>
      <c r="J128" s="89" t="s">
        <v>22</v>
      </c>
      <c r="K128" s="88"/>
      <c r="L128" s="88">
        <f t="shared" si="7"/>
        <v>238228</v>
      </c>
      <c r="M128" s="88">
        <v>156623</v>
      </c>
      <c r="N128" s="88">
        <v>19573</v>
      </c>
      <c r="O128" s="88">
        <v>3624</v>
      </c>
      <c r="P128" s="89" t="s">
        <v>22</v>
      </c>
      <c r="Q128" s="67">
        <v>58408</v>
      </c>
      <c r="R128" s="89" t="s">
        <v>22</v>
      </c>
      <c r="S128" s="89" t="s">
        <v>22</v>
      </c>
      <c r="T128" s="89" t="s">
        <v>22</v>
      </c>
    </row>
    <row r="129" spans="1:20" s="68" customFormat="1" ht="9" customHeight="1" x14ac:dyDescent="0.15">
      <c r="A129" s="69" t="s">
        <v>37</v>
      </c>
      <c r="B129" s="90">
        <f t="shared" si="6"/>
        <v>1394</v>
      </c>
      <c r="C129" s="90">
        <v>448</v>
      </c>
      <c r="D129" s="90">
        <v>643</v>
      </c>
      <c r="E129" s="90">
        <v>191</v>
      </c>
      <c r="F129" s="91" t="s">
        <v>22</v>
      </c>
      <c r="G129" s="70">
        <v>112</v>
      </c>
      <c r="H129" s="91" t="s">
        <v>22</v>
      </c>
      <c r="I129" s="91" t="s">
        <v>22</v>
      </c>
      <c r="J129" s="91" t="s">
        <v>22</v>
      </c>
      <c r="K129" s="90"/>
      <c r="L129" s="90">
        <f t="shared" si="7"/>
        <v>9235</v>
      </c>
      <c r="M129" s="90">
        <v>7607</v>
      </c>
      <c r="N129" s="90">
        <v>1036</v>
      </c>
      <c r="O129" s="90">
        <v>79</v>
      </c>
      <c r="P129" s="91" t="s">
        <v>22</v>
      </c>
      <c r="Q129" s="70">
        <v>513</v>
      </c>
      <c r="R129" s="91" t="s">
        <v>22</v>
      </c>
      <c r="S129" s="91" t="s">
        <v>22</v>
      </c>
      <c r="T129" s="91" t="s">
        <v>22</v>
      </c>
    </row>
    <row r="130" spans="1:20" s="68" customFormat="1" ht="9" customHeight="1" x14ac:dyDescent="0.15">
      <c r="A130" s="66" t="s">
        <v>38</v>
      </c>
      <c r="B130" s="88">
        <f t="shared" si="6"/>
        <v>2762</v>
      </c>
      <c r="C130" s="88">
        <v>801</v>
      </c>
      <c r="D130" s="88">
        <v>1394</v>
      </c>
      <c r="E130" s="88">
        <v>300</v>
      </c>
      <c r="F130" s="89" t="s">
        <v>22</v>
      </c>
      <c r="G130" s="67">
        <v>267</v>
      </c>
      <c r="H130" s="89" t="s">
        <v>22</v>
      </c>
      <c r="I130" s="89" t="s">
        <v>22</v>
      </c>
      <c r="J130" s="89" t="s">
        <v>22</v>
      </c>
      <c r="K130" s="88"/>
      <c r="L130" s="88">
        <f t="shared" si="7"/>
        <v>23374</v>
      </c>
      <c r="M130" s="88">
        <v>17414</v>
      </c>
      <c r="N130" s="88">
        <v>3067</v>
      </c>
      <c r="O130" s="88">
        <v>321</v>
      </c>
      <c r="P130" s="89" t="s">
        <v>22</v>
      </c>
      <c r="Q130" s="67">
        <v>2572</v>
      </c>
      <c r="R130" s="89" t="s">
        <v>22</v>
      </c>
      <c r="S130" s="89" t="s">
        <v>22</v>
      </c>
      <c r="T130" s="89" t="s">
        <v>22</v>
      </c>
    </row>
    <row r="131" spans="1:20" s="68" customFormat="1" ht="9" customHeight="1" x14ac:dyDescent="0.15">
      <c r="A131" s="66" t="s">
        <v>39</v>
      </c>
      <c r="B131" s="88">
        <f t="shared" si="6"/>
        <v>2067</v>
      </c>
      <c r="C131" s="88">
        <v>595</v>
      </c>
      <c r="D131" s="88">
        <v>1177</v>
      </c>
      <c r="E131" s="88">
        <v>145</v>
      </c>
      <c r="F131" s="89" t="s">
        <v>22</v>
      </c>
      <c r="G131" s="67">
        <v>150</v>
      </c>
      <c r="H131" s="89" t="s">
        <v>22</v>
      </c>
      <c r="I131" s="89" t="s">
        <v>22</v>
      </c>
      <c r="J131" s="89" t="s">
        <v>22</v>
      </c>
      <c r="K131" s="88"/>
      <c r="L131" s="88">
        <f t="shared" si="7"/>
        <v>14804</v>
      </c>
      <c r="M131" s="88">
        <v>11487</v>
      </c>
      <c r="N131" s="88">
        <v>2283</v>
      </c>
      <c r="O131" s="88">
        <v>179</v>
      </c>
      <c r="P131" s="89" t="s">
        <v>22</v>
      </c>
      <c r="Q131" s="67">
        <v>855</v>
      </c>
      <c r="R131" s="89" t="s">
        <v>22</v>
      </c>
      <c r="S131" s="89" t="s">
        <v>22</v>
      </c>
      <c r="T131" s="89" t="s">
        <v>22</v>
      </c>
    </row>
    <row r="132" spans="1:20" s="68" customFormat="1" ht="9" customHeight="1" x14ac:dyDescent="0.15">
      <c r="A132" s="66" t="s">
        <v>40</v>
      </c>
      <c r="B132" s="88">
        <f t="shared" si="6"/>
        <v>8450</v>
      </c>
      <c r="C132" s="88">
        <v>2495</v>
      </c>
      <c r="D132" s="88">
        <v>4070</v>
      </c>
      <c r="E132" s="88">
        <v>880</v>
      </c>
      <c r="F132" s="89" t="s">
        <v>22</v>
      </c>
      <c r="G132" s="67">
        <v>1005</v>
      </c>
      <c r="H132" s="89" t="s">
        <v>22</v>
      </c>
      <c r="I132" s="89" t="s">
        <v>22</v>
      </c>
      <c r="J132" s="89" t="s">
        <v>22</v>
      </c>
      <c r="K132" s="88"/>
      <c r="L132" s="88">
        <f t="shared" si="7"/>
        <v>71308</v>
      </c>
      <c r="M132" s="88">
        <v>50569</v>
      </c>
      <c r="N132" s="88">
        <v>9401</v>
      </c>
      <c r="O132" s="88">
        <v>948</v>
      </c>
      <c r="P132" s="89" t="s">
        <v>22</v>
      </c>
      <c r="Q132" s="67">
        <v>10390</v>
      </c>
      <c r="R132" s="89" t="s">
        <v>22</v>
      </c>
      <c r="S132" s="89" t="s">
        <v>22</v>
      </c>
      <c r="T132" s="89" t="s">
        <v>22</v>
      </c>
    </row>
    <row r="133" spans="1:20" s="68" customFormat="1" ht="9" customHeight="1" x14ac:dyDescent="0.15">
      <c r="A133" s="69" t="s">
        <v>41</v>
      </c>
      <c r="B133" s="90">
        <f t="shared" si="6"/>
        <v>0</v>
      </c>
      <c r="C133" s="90">
        <v>0</v>
      </c>
      <c r="D133" s="90">
        <v>0</v>
      </c>
      <c r="E133" s="90">
        <v>0</v>
      </c>
      <c r="F133" s="91" t="s">
        <v>22</v>
      </c>
      <c r="G133" s="70">
        <v>0</v>
      </c>
      <c r="H133" s="91" t="s">
        <v>22</v>
      </c>
      <c r="I133" s="91" t="s">
        <v>22</v>
      </c>
      <c r="J133" s="91" t="s">
        <v>22</v>
      </c>
      <c r="K133" s="90"/>
      <c r="L133" s="90">
        <f t="shared" si="7"/>
        <v>0</v>
      </c>
      <c r="M133" s="90">
        <v>0</v>
      </c>
      <c r="N133" s="90">
        <v>0</v>
      </c>
      <c r="O133" s="90">
        <v>0</v>
      </c>
      <c r="P133" s="91" t="s">
        <v>22</v>
      </c>
      <c r="Q133" s="70">
        <v>0</v>
      </c>
      <c r="R133" s="91" t="s">
        <v>22</v>
      </c>
      <c r="S133" s="91" t="s">
        <v>22</v>
      </c>
      <c r="T133" s="91" t="s">
        <v>22</v>
      </c>
    </row>
    <row r="134" spans="1:20" s="68" customFormat="1" ht="9" customHeight="1" x14ac:dyDescent="0.15">
      <c r="A134" s="66" t="s">
        <v>42</v>
      </c>
      <c r="B134" s="88">
        <f t="shared" si="6"/>
        <v>4759</v>
      </c>
      <c r="C134" s="88">
        <v>1339</v>
      </c>
      <c r="D134" s="88">
        <v>2300</v>
      </c>
      <c r="E134" s="88">
        <v>550</v>
      </c>
      <c r="F134" s="89" t="s">
        <v>22</v>
      </c>
      <c r="G134" s="67">
        <v>570</v>
      </c>
      <c r="H134" s="89" t="s">
        <v>22</v>
      </c>
      <c r="I134" s="89" t="s">
        <v>22</v>
      </c>
      <c r="J134" s="89" t="s">
        <v>22</v>
      </c>
      <c r="K134" s="88"/>
      <c r="L134" s="88">
        <f t="shared" si="7"/>
        <v>38972</v>
      </c>
      <c r="M134" s="88">
        <v>29923</v>
      </c>
      <c r="N134" s="88">
        <v>4120</v>
      </c>
      <c r="O134" s="88">
        <v>1044</v>
      </c>
      <c r="P134" s="89" t="s">
        <v>22</v>
      </c>
      <c r="Q134" s="67">
        <v>3885</v>
      </c>
      <c r="R134" s="89" t="s">
        <v>22</v>
      </c>
      <c r="S134" s="89" t="s">
        <v>22</v>
      </c>
      <c r="T134" s="89" t="s">
        <v>22</v>
      </c>
    </row>
    <row r="135" spans="1:20" s="68" customFormat="1" ht="9" customHeight="1" x14ac:dyDescent="0.15">
      <c r="A135" s="66" t="s">
        <v>43</v>
      </c>
      <c r="B135" s="88">
        <f t="shared" si="6"/>
        <v>1525</v>
      </c>
      <c r="C135" s="88">
        <v>427</v>
      </c>
      <c r="D135" s="88">
        <v>614</v>
      </c>
      <c r="E135" s="88">
        <v>223</v>
      </c>
      <c r="F135" s="89" t="s">
        <v>22</v>
      </c>
      <c r="G135" s="67">
        <v>261</v>
      </c>
      <c r="H135" s="89" t="s">
        <v>22</v>
      </c>
      <c r="I135" s="89" t="s">
        <v>22</v>
      </c>
      <c r="J135" s="89" t="s">
        <v>22</v>
      </c>
      <c r="K135" s="88"/>
      <c r="L135" s="88">
        <f t="shared" si="7"/>
        <v>18368</v>
      </c>
      <c r="M135" s="88">
        <v>10108</v>
      </c>
      <c r="N135" s="88">
        <v>938</v>
      </c>
      <c r="O135" s="88">
        <v>276</v>
      </c>
      <c r="P135" s="89" t="s">
        <v>22</v>
      </c>
      <c r="Q135" s="67">
        <v>7046</v>
      </c>
      <c r="R135" s="89" t="s">
        <v>22</v>
      </c>
      <c r="S135" s="89" t="s">
        <v>22</v>
      </c>
      <c r="T135" s="89" t="s">
        <v>22</v>
      </c>
    </row>
    <row r="136" spans="1:20" s="68" customFormat="1" ht="9" customHeight="1" x14ac:dyDescent="0.15">
      <c r="A136" s="66" t="s">
        <v>44</v>
      </c>
      <c r="B136" s="88">
        <f t="shared" si="6"/>
        <v>3996</v>
      </c>
      <c r="C136" s="88">
        <v>763</v>
      </c>
      <c r="D136" s="88">
        <v>2518</v>
      </c>
      <c r="E136" s="88">
        <v>260</v>
      </c>
      <c r="F136" s="89" t="s">
        <v>22</v>
      </c>
      <c r="G136" s="67">
        <v>455</v>
      </c>
      <c r="H136" s="89" t="s">
        <v>22</v>
      </c>
      <c r="I136" s="89" t="s">
        <v>22</v>
      </c>
      <c r="J136" s="89" t="s">
        <v>22</v>
      </c>
      <c r="K136" s="88"/>
      <c r="L136" s="88">
        <f t="shared" si="7"/>
        <v>25394</v>
      </c>
      <c r="M136" s="88">
        <v>13520</v>
      </c>
      <c r="N136" s="88">
        <v>5686</v>
      </c>
      <c r="O136" s="88">
        <v>460</v>
      </c>
      <c r="P136" s="89" t="s">
        <v>22</v>
      </c>
      <c r="Q136" s="67">
        <v>5728</v>
      </c>
      <c r="R136" s="89" t="s">
        <v>22</v>
      </c>
      <c r="S136" s="89" t="s">
        <v>22</v>
      </c>
      <c r="T136" s="89" t="s">
        <v>22</v>
      </c>
    </row>
    <row r="137" spans="1:20" s="68" customFormat="1" ht="9" customHeight="1" x14ac:dyDescent="0.15">
      <c r="A137" s="69" t="s">
        <v>45</v>
      </c>
      <c r="B137" s="90">
        <f t="shared" si="6"/>
        <v>3636</v>
      </c>
      <c r="C137" s="90">
        <v>558</v>
      </c>
      <c r="D137" s="90">
        <v>1223</v>
      </c>
      <c r="E137" s="90">
        <v>366</v>
      </c>
      <c r="F137" s="91" t="s">
        <v>22</v>
      </c>
      <c r="G137" s="70">
        <v>1489</v>
      </c>
      <c r="H137" s="91" t="s">
        <v>22</v>
      </c>
      <c r="I137" s="91" t="s">
        <v>22</v>
      </c>
      <c r="J137" s="91" t="s">
        <v>22</v>
      </c>
      <c r="K137" s="90"/>
      <c r="L137" s="90">
        <f t="shared" si="7"/>
        <v>69106</v>
      </c>
      <c r="M137" s="90">
        <v>12329</v>
      </c>
      <c r="N137" s="90">
        <v>4211</v>
      </c>
      <c r="O137" s="90">
        <v>406</v>
      </c>
      <c r="P137" s="91" t="s">
        <v>22</v>
      </c>
      <c r="Q137" s="70">
        <v>52160</v>
      </c>
      <c r="R137" s="91" t="s">
        <v>22</v>
      </c>
      <c r="S137" s="91" t="s">
        <v>22</v>
      </c>
      <c r="T137" s="91" t="s">
        <v>22</v>
      </c>
    </row>
    <row r="138" spans="1:20" s="68" customFormat="1" ht="9" customHeight="1" x14ac:dyDescent="0.15">
      <c r="A138" s="66" t="s">
        <v>46</v>
      </c>
      <c r="B138" s="88">
        <f t="shared" si="6"/>
        <v>16556</v>
      </c>
      <c r="C138" s="88">
        <v>3409</v>
      </c>
      <c r="D138" s="88">
        <v>4946</v>
      </c>
      <c r="E138" s="88">
        <v>2129</v>
      </c>
      <c r="F138" s="89" t="s">
        <v>22</v>
      </c>
      <c r="G138" s="67">
        <v>6072</v>
      </c>
      <c r="H138" s="89" t="s">
        <v>22</v>
      </c>
      <c r="I138" s="89" t="s">
        <v>22</v>
      </c>
      <c r="J138" s="89" t="s">
        <v>22</v>
      </c>
      <c r="K138" s="88"/>
      <c r="L138" s="88">
        <f t="shared" si="7"/>
        <v>175942</v>
      </c>
      <c r="M138" s="88">
        <v>63206</v>
      </c>
      <c r="N138" s="88">
        <v>6112</v>
      </c>
      <c r="O138" s="88">
        <v>2305</v>
      </c>
      <c r="P138" s="89" t="s">
        <v>22</v>
      </c>
      <c r="Q138" s="67">
        <v>104319</v>
      </c>
      <c r="R138" s="89" t="s">
        <v>22</v>
      </c>
      <c r="S138" s="89" t="s">
        <v>22</v>
      </c>
      <c r="T138" s="89" t="s">
        <v>22</v>
      </c>
    </row>
    <row r="139" spans="1:20" s="68" customFormat="1" ht="9" customHeight="1" x14ac:dyDescent="0.15">
      <c r="A139" s="66" t="s">
        <v>47</v>
      </c>
      <c r="B139" s="88">
        <f t="shared" si="6"/>
        <v>2187</v>
      </c>
      <c r="C139" s="88">
        <v>501</v>
      </c>
      <c r="D139" s="88">
        <v>1341</v>
      </c>
      <c r="E139" s="88">
        <v>222</v>
      </c>
      <c r="F139" s="89" t="s">
        <v>22</v>
      </c>
      <c r="G139" s="67">
        <v>123</v>
      </c>
      <c r="H139" s="89" t="s">
        <v>22</v>
      </c>
      <c r="I139" s="89" t="s">
        <v>22</v>
      </c>
      <c r="J139" s="89" t="s">
        <v>22</v>
      </c>
      <c r="K139" s="88"/>
      <c r="L139" s="88">
        <f t="shared" si="7"/>
        <v>19395</v>
      </c>
      <c r="M139" s="88">
        <v>12890</v>
      </c>
      <c r="N139" s="88">
        <v>1773</v>
      </c>
      <c r="O139" s="88">
        <v>347</v>
      </c>
      <c r="P139" s="89" t="s">
        <v>22</v>
      </c>
      <c r="Q139" s="67">
        <v>4385</v>
      </c>
      <c r="R139" s="89" t="s">
        <v>22</v>
      </c>
      <c r="S139" s="89" t="s">
        <v>22</v>
      </c>
      <c r="T139" s="89" t="s">
        <v>22</v>
      </c>
    </row>
    <row r="140" spans="1:20" s="68" customFormat="1" ht="9" customHeight="1" x14ac:dyDescent="0.15">
      <c r="A140" s="71" t="s">
        <v>49</v>
      </c>
      <c r="B140" s="92">
        <f t="shared" si="6"/>
        <v>8732</v>
      </c>
      <c r="C140" s="92">
        <v>2426</v>
      </c>
      <c r="D140" s="92">
        <v>2856</v>
      </c>
      <c r="E140" s="92">
        <v>969</v>
      </c>
      <c r="F140" s="89" t="s">
        <v>22</v>
      </c>
      <c r="G140" s="67">
        <v>2481</v>
      </c>
      <c r="H140" s="89" t="s">
        <v>22</v>
      </c>
      <c r="I140" s="89" t="s">
        <v>22</v>
      </c>
      <c r="J140" s="89" t="s">
        <v>22</v>
      </c>
      <c r="K140" s="92"/>
      <c r="L140" s="92">
        <f t="shared" si="7"/>
        <v>72697</v>
      </c>
      <c r="M140" s="92">
        <v>49899</v>
      </c>
      <c r="N140" s="92">
        <v>6747</v>
      </c>
      <c r="O140" s="92">
        <v>1494</v>
      </c>
      <c r="P140" s="89" t="s">
        <v>22</v>
      </c>
      <c r="Q140" s="67">
        <v>14557</v>
      </c>
      <c r="R140" s="89" t="s">
        <v>22</v>
      </c>
      <c r="S140" s="89" t="s">
        <v>22</v>
      </c>
      <c r="T140" s="89" t="s">
        <v>22</v>
      </c>
    </row>
    <row r="141" spans="1:20" s="68" customFormat="1" ht="9" customHeight="1" x14ac:dyDescent="0.15">
      <c r="A141" s="69" t="s">
        <v>51</v>
      </c>
      <c r="B141" s="90">
        <f t="shared" si="6"/>
        <v>4562</v>
      </c>
      <c r="C141" s="90">
        <v>1617</v>
      </c>
      <c r="D141" s="90">
        <v>1591</v>
      </c>
      <c r="E141" s="90">
        <v>510</v>
      </c>
      <c r="F141" s="91" t="s">
        <v>22</v>
      </c>
      <c r="G141" s="70">
        <v>844</v>
      </c>
      <c r="H141" s="91" t="s">
        <v>22</v>
      </c>
      <c r="I141" s="91" t="s">
        <v>22</v>
      </c>
      <c r="J141" s="91" t="s">
        <v>22</v>
      </c>
      <c r="K141" s="90"/>
      <c r="L141" s="90">
        <f t="shared" si="7"/>
        <v>42039</v>
      </c>
      <c r="M141" s="90">
        <v>31636</v>
      </c>
      <c r="N141" s="90">
        <v>2595</v>
      </c>
      <c r="O141" s="90">
        <v>519</v>
      </c>
      <c r="P141" s="91" t="s">
        <v>22</v>
      </c>
      <c r="Q141" s="70">
        <v>7289</v>
      </c>
      <c r="R141" s="91" t="s">
        <v>22</v>
      </c>
      <c r="S141" s="91" t="s">
        <v>22</v>
      </c>
      <c r="T141" s="91" t="s">
        <v>22</v>
      </c>
    </row>
    <row r="142" spans="1:20" s="68" customFormat="1" ht="9" customHeight="1" x14ac:dyDescent="0.15">
      <c r="A142" s="66" t="s">
        <v>52</v>
      </c>
      <c r="B142" s="88">
        <f t="shared" si="6"/>
        <v>2260</v>
      </c>
      <c r="C142" s="88">
        <v>703</v>
      </c>
      <c r="D142" s="88">
        <v>1180</v>
      </c>
      <c r="E142" s="88">
        <v>202</v>
      </c>
      <c r="F142" s="89" t="s">
        <v>22</v>
      </c>
      <c r="G142" s="67">
        <v>175</v>
      </c>
      <c r="H142" s="89" t="s">
        <v>22</v>
      </c>
      <c r="I142" s="89" t="s">
        <v>22</v>
      </c>
      <c r="J142" s="89" t="s">
        <v>22</v>
      </c>
      <c r="K142" s="88"/>
      <c r="L142" s="88">
        <f t="shared" si="7"/>
        <v>24536</v>
      </c>
      <c r="M142" s="88">
        <v>21607</v>
      </c>
      <c r="N142" s="88">
        <v>2009</v>
      </c>
      <c r="O142" s="88">
        <v>138</v>
      </c>
      <c r="P142" s="89" t="s">
        <v>22</v>
      </c>
      <c r="Q142" s="67">
        <v>782</v>
      </c>
      <c r="R142" s="89" t="s">
        <v>22</v>
      </c>
      <c r="S142" s="89" t="s">
        <v>22</v>
      </c>
      <c r="T142" s="89" t="s">
        <v>22</v>
      </c>
    </row>
    <row r="143" spans="1:20" s="68" customFormat="1" ht="9" customHeight="1" x14ac:dyDescent="0.15">
      <c r="A143" s="71" t="s">
        <v>53</v>
      </c>
      <c r="B143" s="92">
        <f t="shared" si="6"/>
        <v>2552</v>
      </c>
      <c r="C143" s="92">
        <v>953</v>
      </c>
      <c r="D143" s="92">
        <v>1120</v>
      </c>
      <c r="E143" s="92">
        <v>268</v>
      </c>
      <c r="F143" s="92"/>
      <c r="G143" s="67">
        <v>211</v>
      </c>
      <c r="H143" s="89" t="s">
        <v>22</v>
      </c>
      <c r="I143" s="89" t="s">
        <v>22</v>
      </c>
      <c r="J143" s="89" t="s">
        <v>22</v>
      </c>
      <c r="K143" s="92"/>
      <c r="L143" s="92">
        <f t="shared" si="7"/>
        <v>28160</v>
      </c>
      <c r="M143" s="92">
        <v>23128</v>
      </c>
      <c r="N143" s="92">
        <v>1288</v>
      </c>
      <c r="O143" s="92">
        <v>252</v>
      </c>
      <c r="P143" s="92"/>
      <c r="Q143" s="67">
        <v>3492</v>
      </c>
      <c r="R143" s="89" t="s">
        <v>22</v>
      </c>
      <c r="S143" s="89" t="s">
        <v>22</v>
      </c>
      <c r="T143" s="89" t="s">
        <v>22</v>
      </c>
    </row>
    <row r="144" spans="1:20" s="65" customFormat="1" ht="9" customHeight="1" x14ac:dyDescent="0.25">
      <c r="B144" s="86"/>
      <c r="C144" s="87"/>
      <c r="D144" s="86"/>
      <c r="E144" s="86"/>
      <c r="F144" s="86"/>
      <c r="G144" s="63"/>
      <c r="H144" s="63"/>
      <c r="I144" s="63"/>
      <c r="J144" s="63"/>
      <c r="K144" s="86"/>
      <c r="L144" s="86"/>
      <c r="M144" s="86"/>
      <c r="N144" s="86"/>
      <c r="O144" s="86"/>
      <c r="P144" s="86"/>
      <c r="Q144" s="63"/>
      <c r="R144" s="63"/>
      <c r="S144" s="63"/>
      <c r="T144" s="63"/>
    </row>
    <row r="145" spans="1:20" s="65" customFormat="1" ht="9" customHeight="1" x14ac:dyDescent="0.25">
      <c r="A145" s="96">
        <v>2003</v>
      </c>
      <c r="B145" s="97"/>
      <c r="C145" s="98"/>
      <c r="D145" s="97"/>
      <c r="E145" s="97"/>
      <c r="F145" s="97"/>
      <c r="G145" s="64"/>
      <c r="H145" s="64"/>
      <c r="I145" s="64"/>
      <c r="J145" s="64"/>
      <c r="K145" s="97"/>
      <c r="L145" s="97"/>
      <c r="M145" s="97"/>
      <c r="N145" s="97"/>
      <c r="O145" s="97"/>
      <c r="P145" s="97"/>
      <c r="Q145" s="64"/>
      <c r="R145" s="64"/>
      <c r="S145" s="64"/>
      <c r="T145" s="64"/>
    </row>
    <row r="146" spans="1:20" s="65" customFormat="1" ht="9" customHeight="1" x14ac:dyDescent="0.25">
      <c r="A146" s="99" t="s">
        <v>21</v>
      </c>
      <c r="B146" s="64">
        <f>SUM(B148:B178)</f>
        <v>209441</v>
      </c>
      <c r="C146" s="64">
        <f>SUM(C148:C178)</f>
        <v>58320</v>
      </c>
      <c r="D146" s="64">
        <f>SUM(D148:D178)</f>
        <v>91754</v>
      </c>
      <c r="E146" s="64">
        <f>SUM(E148:E178)</f>
        <v>41227</v>
      </c>
      <c r="F146" s="63" t="s">
        <v>22</v>
      </c>
      <c r="G146" s="64">
        <f>SUM(G148:G178)</f>
        <v>18140</v>
      </c>
      <c r="H146" s="64" t="s">
        <v>22</v>
      </c>
      <c r="I146" s="64" t="s">
        <v>22</v>
      </c>
      <c r="J146" s="64" t="s">
        <v>22</v>
      </c>
      <c r="K146" s="64"/>
      <c r="L146" s="64">
        <f>SUM(L148:L178)</f>
        <v>2822224</v>
      </c>
      <c r="M146" s="64">
        <f>SUM(M148:M178)</f>
        <v>1275930</v>
      </c>
      <c r="N146" s="64">
        <f>SUM(N148:N178)</f>
        <v>231660</v>
      </c>
      <c r="O146" s="64">
        <f>SUM(O148:O178)</f>
        <v>29868</v>
      </c>
      <c r="P146" s="63" t="s">
        <v>22</v>
      </c>
      <c r="Q146" s="64">
        <f>SUM(Q148:Q178)</f>
        <v>1284766</v>
      </c>
      <c r="R146" s="64" t="s">
        <v>22</v>
      </c>
      <c r="S146" s="64" t="s">
        <v>22</v>
      </c>
      <c r="T146" s="64" t="s">
        <v>22</v>
      </c>
    </row>
    <row r="147" spans="1:20" s="65" customFormat="1" ht="3.95" customHeight="1" x14ac:dyDescent="0.25">
      <c r="A147" s="99"/>
      <c r="B147" s="64"/>
      <c r="C147" s="64"/>
      <c r="D147" s="64"/>
      <c r="E147" s="64"/>
      <c r="F147" s="63"/>
      <c r="G147" s="64"/>
      <c r="H147" s="64"/>
      <c r="I147" s="64"/>
      <c r="J147" s="64"/>
      <c r="K147" s="64"/>
      <c r="L147" s="64"/>
      <c r="M147" s="64"/>
      <c r="N147" s="64"/>
      <c r="O147" s="64"/>
      <c r="P147" s="63"/>
      <c r="Q147" s="64"/>
      <c r="R147" s="64"/>
      <c r="S147" s="64"/>
      <c r="T147" s="64"/>
    </row>
    <row r="148" spans="1:20" s="68" customFormat="1" ht="9" customHeight="1" x14ac:dyDescent="0.15">
      <c r="A148" s="66" t="s">
        <v>23</v>
      </c>
      <c r="B148" s="88">
        <f t="shared" ref="B148:B178" si="8">SUM(C148,D148,E148,G148)</f>
        <v>3025</v>
      </c>
      <c r="C148" s="88">
        <v>681</v>
      </c>
      <c r="D148" s="88">
        <v>1466</v>
      </c>
      <c r="E148" s="88">
        <v>706</v>
      </c>
      <c r="F148" s="89" t="s">
        <v>22</v>
      </c>
      <c r="G148" s="67">
        <v>172</v>
      </c>
      <c r="H148" s="89" t="s">
        <v>22</v>
      </c>
      <c r="I148" s="89" t="s">
        <v>22</v>
      </c>
      <c r="J148" s="89" t="s">
        <v>22</v>
      </c>
      <c r="K148" s="88"/>
      <c r="L148" s="88">
        <f t="shared" ref="L148:L178" si="9">SUM(M148,N148,O148,Q148)</f>
        <v>19221</v>
      </c>
      <c r="M148" s="88">
        <v>9710</v>
      </c>
      <c r="N148" s="88">
        <v>4031</v>
      </c>
      <c r="O148" s="88">
        <v>118</v>
      </c>
      <c r="P148" s="89" t="s">
        <v>22</v>
      </c>
      <c r="Q148" s="67">
        <v>5362</v>
      </c>
      <c r="R148" s="89" t="s">
        <v>22</v>
      </c>
      <c r="S148" s="89" t="s">
        <v>22</v>
      </c>
      <c r="T148" s="89" t="s">
        <v>22</v>
      </c>
    </row>
    <row r="149" spans="1:20" s="68" customFormat="1" ht="9" customHeight="1" x14ac:dyDescent="0.15">
      <c r="A149" s="66" t="s">
        <v>24</v>
      </c>
      <c r="B149" s="88">
        <f t="shared" si="8"/>
        <v>5642</v>
      </c>
      <c r="C149" s="88">
        <v>1104</v>
      </c>
      <c r="D149" s="88">
        <v>2729</v>
      </c>
      <c r="E149" s="88">
        <v>1179</v>
      </c>
      <c r="F149" s="89" t="s">
        <v>22</v>
      </c>
      <c r="G149" s="67">
        <v>630</v>
      </c>
      <c r="H149" s="89" t="s">
        <v>22</v>
      </c>
      <c r="I149" s="89" t="s">
        <v>22</v>
      </c>
      <c r="J149" s="89" t="s">
        <v>22</v>
      </c>
      <c r="K149" s="88"/>
      <c r="L149" s="88">
        <f t="shared" si="9"/>
        <v>41568</v>
      </c>
      <c r="M149" s="88">
        <v>22856</v>
      </c>
      <c r="N149" s="88">
        <v>6673</v>
      </c>
      <c r="O149" s="88">
        <v>462</v>
      </c>
      <c r="P149" s="89" t="s">
        <v>22</v>
      </c>
      <c r="Q149" s="67">
        <v>11577</v>
      </c>
      <c r="R149" s="89" t="s">
        <v>22</v>
      </c>
      <c r="S149" s="89" t="s">
        <v>22</v>
      </c>
      <c r="T149" s="89" t="s">
        <v>22</v>
      </c>
    </row>
    <row r="150" spans="1:20" s="68" customFormat="1" ht="9" customHeight="1" x14ac:dyDescent="0.15">
      <c r="A150" s="66" t="s">
        <v>25</v>
      </c>
      <c r="B150" s="88">
        <f t="shared" si="8"/>
        <v>1838</v>
      </c>
      <c r="C150" s="88">
        <v>570</v>
      </c>
      <c r="D150" s="88">
        <v>316</v>
      </c>
      <c r="E150" s="88">
        <v>824</v>
      </c>
      <c r="F150" s="89" t="s">
        <v>22</v>
      </c>
      <c r="G150" s="67">
        <v>128</v>
      </c>
      <c r="H150" s="89" t="s">
        <v>22</v>
      </c>
      <c r="I150" s="89" t="s">
        <v>22</v>
      </c>
      <c r="J150" s="89" t="s">
        <v>22</v>
      </c>
      <c r="K150" s="88"/>
      <c r="L150" s="88">
        <f t="shared" si="9"/>
        <v>17221</v>
      </c>
      <c r="M150" s="88">
        <v>11935</v>
      </c>
      <c r="N150" s="88">
        <v>722</v>
      </c>
      <c r="O150" s="88">
        <v>360</v>
      </c>
      <c r="P150" s="89" t="s">
        <v>22</v>
      </c>
      <c r="Q150" s="67">
        <v>4204</v>
      </c>
      <c r="R150" s="89" t="s">
        <v>22</v>
      </c>
      <c r="S150" s="89" t="s">
        <v>22</v>
      </c>
      <c r="T150" s="89" t="s">
        <v>22</v>
      </c>
    </row>
    <row r="151" spans="1:20" s="68" customFormat="1" ht="9" customHeight="1" x14ac:dyDescent="0.15">
      <c r="A151" s="69" t="s">
        <v>26</v>
      </c>
      <c r="B151" s="90">
        <f t="shared" si="8"/>
        <v>2213</v>
      </c>
      <c r="C151" s="90">
        <v>634</v>
      </c>
      <c r="D151" s="90">
        <v>629</v>
      </c>
      <c r="E151" s="90">
        <v>587</v>
      </c>
      <c r="F151" s="91" t="s">
        <v>22</v>
      </c>
      <c r="G151" s="70">
        <v>363</v>
      </c>
      <c r="H151" s="91" t="s">
        <v>22</v>
      </c>
      <c r="I151" s="91" t="s">
        <v>22</v>
      </c>
      <c r="J151" s="91" t="s">
        <v>22</v>
      </c>
      <c r="K151" s="90"/>
      <c r="L151" s="90">
        <f t="shared" si="9"/>
        <v>15447</v>
      </c>
      <c r="M151" s="90">
        <v>11098</v>
      </c>
      <c r="N151" s="90">
        <v>1238</v>
      </c>
      <c r="O151" s="90">
        <v>195</v>
      </c>
      <c r="P151" s="91" t="s">
        <v>22</v>
      </c>
      <c r="Q151" s="70">
        <v>2916</v>
      </c>
      <c r="R151" s="91" t="s">
        <v>22</v>
      </c>
      <c r="S151" s="91" t="s">
        <v>22</v>
      </c>
      <c r="T151" s="91" t="s">
        <v>22</v>
      </c>
    </row>
    <row r="152" spans="1:20" s="68" customFormat="1" ht="9" customHeight="1" x14ac:dyDescent="0.15">
      <c r="A152" s="66" t="s">
        <v>27</v>
      </c>
      <c r="B152" s="88">
        <f t="shared" si="8"/>
        <v>6529</v>
      </c>
      <c r="C152" s="88">
        <v>1586</v>
      </c>
      <c r="D152" s="88">
        <v>2748</v>
      </c>
      <c r="E152" s="88">
        <v>1528</v>
      </c>
      <c r="F152" s="89" t="s">
        <v>22</v>
      </c>
      <c r="G152" s="67">
        <v>667</v>
      </c>
      <c r="H152" s="89" t="s">
        <v>22</v>
      </c>
      <c r="I152" s="89" t="s">
        <v>22</v>
      </c>
      <c r="J152" s="89" t="s">
        <v>22</v>
      </c>
      <c r="K152" s="88"/>
      <c r="L152" s="88">
        <f t="shared" si="9"/>
        <v>68921</v>
      </c>
      <c r="M152" s="88">
        <v>33410</v>
      </c>
      <c r="N152" s="88">
        <v>4599</v>
      </c>
      <c r="O152" s="88">
        <v>938</v>
      </c>
      <c r="P152" s="89" t="s">
        <v>22</v>
      </c>
      <c r="Q152" s="67">
        <v>29974</v>
      </c>
      <c r="R152" s="89" t="s">
        <v>22</v>
      </c>
      <c r="S152" s="89" t="s">
        <v>22</v>
      </c>
      <c r="T152" s="89" t="s">
        <v>22</v>
      </c>
    </row>
    <row r="153" spans="1:20" s="68" customFormat="1" ht="9" customHeight="1" x14ac:dyDescent="0.15">
      <c r="A153" s="66" t="s">
        <v>28</v>
      </c>
      <c r="B153" s="88">
        <f t="shared" si="8"/>
        <v>10116</v>
      </c>
      <c r="C153" s="88">
        <v>3354</v>
      </c>
      <c r="D153" s="88">
        <v>3460</v>
      </c>
      <c r="E153" s="88">
        <v>1296</v>
      </c>
      <c r="F153" s="89" t="s">
        <v>22</v>
      </c>
      <c r="G153" s="67">
        <v>2006</v>
      </c>
      <c r="H153" s="89" t="s">
        <v>22</v>
      </c>
      <c r="I153" s="89" t="s">
        <v>22</v>
      </c>
      <c r="J153" s="89" t="s">
        <v>22</v>
      </c>
      <c r="K153" s="88"/>
      <c r="L153" s="88">
        <f t="shared" si="9"/>
        <v>90420</v>
      </c>
      <c r="M153" s="88">
        <v>49915</v>
      </c>
      <c r="N153" s="88">
        <v>6286</v>
      </c>
      <c r="O153" s="88">
        <v>386</v>
      </c>
      <c r="P153" s="89" t="s">
        <v>22</v>
      </c>
      <c r="Q153" s="67">
        <v>33833</v>
      </c>
      <c r="R153" s="89" t="s">
        <v>22</v>
      </c>
      <c r="S153" s="89" t="s">
        <v>22</v>
      </c>
      <c r="T153" s="89" t="s">
        <v>22</v>
      </c>
    </row>
    <row r="154" spans="1:20" s="68" customFormat="1" ht="9" customHeight="1" x14ac:dyDescent="0.15">
      <c r="A154" s="66" t="s">
        <v>29</v>
      </c>
      <c r="B154" s="88">
        <f t="shared" si="8"/>
        <v>4029</v>
      </c>
      <c r="C154" s="88">
        <v>973</v>
      </c>
      <c r="D154" s="88">
        <f>2434+47</f>
        <v>2481</v>
      </c>
      <c r="E154" s="88">
        <v>513</v>
      </c>
      <c r="F154" s="89" t="s">
        <v>22</v>
      </c>
      <c r="G154" s="67">
        <v>62</v>
      </c>
      <c r="H154" s="89" t="s">
        <v>22</v>
      </c>
      <c r="I154" s="89" t="s">
        <v>22</v>
      </c>
      <c r="J154" s="89" t="s">
        <v>22</v>
      </c>
      <c r="K154" s="88"/>
      <c r="L154" s="88">
        <f t="shared" si="9"/>
        <v>19513</v>
      </c>
      <c r="M154" s="88">
        <v>13006</v>
      </c>
      <c r="N154" s="88">
        <f>2937+941</f>
        <v>3878</v>
      </c>
      <c r="O154" s="88">
        <v>185</v>
      </c>
      <c r="P154" s="89" t="s">
        <v>22</v>
      </c>
      <c r="Q154" s="67">
        <v>2444</v>
      </c>
      <c r="R154" s="89" t="s">
        <v>22</v>
      </c>
      <c r="S154" s="89" t="s">
        <v>22</v>
      </c>
      <c r="T154" s="89" t="s">
        <v>22</v>
      </c>
    </row>
    <row r="155" spans="1:20" s="68" customFormat="1" ht="9" customHeight="1" x14ac:dyDescent="0.15">
      <c r="A155" s="69" t="s">
        <v>30</v>
      </c>
      <c r="B155" s="90">
        <f t="shared" si="8"/>
        <v>4971</v>
      </c>
      <c r="C155" s="90">
        <v>1676</v>
      </c>
      <c r="D155" s="90">
        <v>1517</v>
      </c>
      <c r="E155" s="90">
        <v>1636</v>
      </c>
      <c r="F155" s="91" t="s">
        <v>22</v>
      </c>
      <c r="G155" s="70">
        <v>142</v>
      </c>
      <c r="H155" s="91" t="s">
        <v>22</v>
      </c>
      <c r="I155" s="91" t="s">
        <v>22</v>
      </c>
      <c r="J155" s="91" t="s">
        <v>22</v>
      </c>
      <c r="K155" s="90"/>
      <c r="L155" s="90">
        <f t="shared" si="9"/>
        <v>43632</v>
      </c>
      <c r="M155" s="90">
        <v>33787</v>
      </c>
      <c r="N155" s="90">
        <v>2008</v>
      </c>
      <c r="O155" s="90">
        <v>1906</v>
      </c>
      <c r="P155" s="91" t="s">
        <v>22</v>
      </c>
      <c r="Q155" s="70">
        <v>5931</v>
      </c>
      <c r="R155" s="91" t="s">
        <v>22</v>
      </c>
      <c r="S155" s="91" t="s">
        <v>22</v>
      </c>
      <c r="T155" s="91" t="s">
        <v>22</v>
      </c>
    </row>
    <row r="156" spans="1:20" s="68" customFormat="1" ht="9" customHeight="1" x14ac:dyDescent="0.15">
      <c r="A156" s="66" t="s">
        <v>63</v>
      </c>
      <c r="B156" s="88">
        <f t="shared" si="8"/>
        <v>39319</v>
      </c>
      <c r="C156" s="88">
        <v>10609</v>
      </c>
      <c r="D156" s="88">
        <f>18201+63</f>
        <v>18264</v>
      </c>
      <c r="E156" s="88">
        <v>7775</v>
      </c>
      <c r="F156" s="89" t="s">
        <v>22</v>
      </c>
      <c r="G156" s="67">
        <v>2671</v>
      </c>
      <c r="H156" s="89" t="s">
        <v>22</v>
      </c>
      <c r="I156" s="89" t="s">
        <v>22</v>
      </c>
      <c r="J156" s="89" t="s">
        <v>22</v>
      </c>
      <c r="K156" s="88"/>
      <c r="L156" s="88">
        <f t="shared" si="9"/>
        <v>343470</v>
      </c>
      <c r="M156" s="88">
        <v>248239</v>
      </c>
      <c r="N156" s="88">
        <f>45584+1081</f>
        <v>46665</v>
      </c>
      <c r="O156" s="88">
        <v>7474</v>
      </c>
      <c r="P156" s="89" t="s">
        <v>22</v>
      </c>
      <c r="Q156" s="67">
        <v>41092</v>
      </c>
      <c r="R156" s="89" t="s">
        <v>22</v>
      </c>
      <c r="S156" s="89" t="s">
        <v>22</v>
      </c>
      <c r="T156" s="89" t="s">
        <v>22</v>
      </c>
    </row>
    <row r="157" spans="1:20" s="68" customFormat="1" ht="9" customHeight="1" x14ac:dyDescent="0.15">
      <c r="A157" s="66" t="s">
        <v>31</v>
      </c>
      <c r="B157" s="88">
        <f t="shared" si="8"/>
        <v>4474</v>
      </c>
      <c r="C157" s="88">
        <v>1142</v>
      </c>
      <c r="D157" s="88">
        <f>1700+287</f>
        <v>1987</v>
      </c>
      <c r="E157" s="88">
        <v>978</v>
      </c>
      <c r="F157" s="89" t="s">
        <v>22</v>
      </c>
      <c r="G157" s="67">
        <v>367</v>
      </c>
      <c r="H157" s="89" t="s">
        <v>22</v>
      </c>
      <c r="I157" s="89" t="s">
        <v>22</v>
      </c>
      <c r="J157" s="89" t="s">
        <v>22</v>
      </c>
      <c r="K157" s="88"/>
      <c r="L157" s="88">
        <f t="shared" si="9"/>
        <v>39204</v>
      </c>
      <c r="M157" s="88">
        <v>23523</v>
      </c>
      <c r="N157" s="88">
        <f>3839+4591</f>
        <v>8430</v>
      </c>
      <c r="O157" s="88">
        <v>577</v>
      </c>
      <c r="P157" s="89" t="s">
        <v>22</v>
      </c>
      <c r="Q157" s="67">
        <v>6674</v>
      </c>
      <c r="R157" s="89" t="s">
        <v>22</v>
      </c>
      <c r="S157" s="89" t="s">
        <v>22</v>
      </c>
      <c r="T157" s="89" t="s">
        <v>22</v>
      </c>
    </row>
    <row r="158" spans="1:20" s="68" customFormat="1" ht="9" customHeight="1" x14ac:dyDescent="0.15">
      <c r="A158" s="66" t="s">
        <v>32</v>
      </c>
      <c r="B158" s="88">
        <f t="shared" si="8"/>
        <v>7417</v>
      </c>
      <c r="C158" s="88">
        <v>1958</v>
      </c>
      <c r="D158" s="88">
        <v>2822</v>
      </c>
      <c r="E158" s="88">
        <v>1901</v>
      </c>
      <c r="F158" s="89" t="s">
        <v>22</v>
      </c>
      <c r="G158" s="67">
        <v>736</v>
      </c>
      <c r="H158" s="89" t="s">
        <v>22</v>
      </c>
      <c r="I158" s="89" t="s">
        <v>22</v>
      </c>
      <c r="J158" s="89" t="s">
        <v>22</v>
      </c>
      <c r="K158" s="88"/>
      <c r="L158" s="88">
        <f t="shared" si="9"/>
        <v>77943</v>
      </c>
      <c r="M158" s="88">
        <v>50082</v>
      </c>
      <c r="N158" s="88">
        <v>4927</v>
      </c>
      <c r="O158" s="88">
        <v>1364</v>
      </c>
      <c r="P158" s="89" t="s">
        <v>22</v>
      </c>
      <c r="Q158" s="67">
        <v>21570</v>
      </c>
      <c r="R158" s="89" t="s">
        <v>22</v>
      </c>
      <c r="S158" s="89" t="s">
        <v>22</v>
      </c>
      <c r="T158" s="89" t="s">
        <v>22</v>
      </c>
    </row>
    <row r="159" spans="1:20" s="68" customFormat="1" ht="9" customHeight="1" x14ac:dyDescent="0.15">
      <c r="A159" s="69" t="s">
        <v>33</v>
      </c>
      <c r="B159" s="90">
        <f t="shared" si="8"/>
        <v>5028</v>
      </c>
      <c r="C159" s="90">
        <v>1602</v>
      </c>
      <c r="D159" s="90">
        <v>2247</v>
      </c>
      <c r="E159" s="90">
        <v>1015</v>
      </c>
      <c r="F159" s="91" t="s">
        <v>22</v>
      </c>
      <c r="G159" s="70">
        <v>164</v>
      </c>
      <c r="H159" s="91" t="s">
        <v>22</v>
      </c>
      <c r="I159" s="91" t="s">
        <v>22</v>
      </c>
      <c r="J159" s="91" t="s">
        <v>22</v>
      </c>
      <c r="K159" s="90"/>
      <c r="L159" s="90">
        <f t="shared" si="9"/>
        <v>846438</v>
      </c>
      <c r="M159" s="90">
        <v>39056</v>
      </c>
      <c r="N159" s="90">
        <v>4440</v>
      </c>
      <c r="O159" s="90">
        <v>424</v>
      </c>
      <c r="P159" s="91" t="s">
        <v>22</v>
      </c>
      <c r="Q159" s="70">
        <v>802518</v>
      </c>
      <c r="R159" s="91" t="s">
        <v>22</v>
      </c>
      <c r="S159" s="91" t="s">
        <v>22</v>
      </c>
      <c r="T159" s="91" t="s">
        <v>22</v>
      </c>
    </row>
    <row r="160" spans="1:20" s="68" customFormat="1" ht="9" customHeight="1" x14ac:dyDescent="0.15">
      <c r="A160" s="66" t="s">
        <v>34</v>
      </c>
      <c r="B160" s="88">
        <f t="shared" si="8"/>
        <v>4315</v>
      </c>
      <c r="C160" s="88">
        <v>2382</v>
      </c>
      <c r="D160" s="88">
        <v>1022</v>
      </c>
      <c r="E160" s="88">
        <v>898</v>
      </c>
      <c r="F160" s="89" t="s">
        <v>22</v>
      </c>
      <c r="G160" s="67">
        <v>13</v>
      </c>
      <c r="H160" s="89" t="s">
        <v>22</v>
      </c>
      <c r="I160" s="89" t="s">
        <v>22</v>
      </c>
      <c r="J160" s="89" t="s">
        <v>22</v>
      </c>
      <c r="K160" s="88"/>
      <c r="L160" s="88">
        <f t="shared" si="9"/>
        <v>69302</v>
      </c>
      <c r="M160" s="88">
        <v>65920</v>
      </c>
      <c r="N160" s="88">
        <v>2177</v>
      </c>
      <c r="O160" s="88">
        <v>630</v>
      </c>
      <c r="P160" s="89" t="s">
        <v>22</v>
      </c>
      <c r="Q160" s="67">
        <v>575</v>
      </c>
      <c r="R160" s="89" t="s">
        <v>22</v>
      </c>
      <c r="S160" s="89" t="s">
        <v>22</v>
      </c>
      <c r="T160" s="89" t="s">
        <v>22</v>
      </c>
    </row>
    <row r="161" spans="1:20" s="68" customFormat="1" ht="9" customHeight="1" x14ac:dyDescent="0.15">
      <c r="A161" s="66" t="s">
        <v>35</v>
      </c>
      <c r="B161" s="88">
        <f t="shared" si="8"/>
        <v>15488</v>
      </c>
      <c r="C161" s="88">
        <v>3767</v>
      </c>
      <c r="D161" s="88">
        <f>7092+21</f>
        <v>7113</v>
      </c>
      <c r="E161" s="88">
        <v>3448</v>
      </c>
      <c r="F161" s="89" t="s">
        <v>22</v>
      </c>
      <c r="G161" s="67">
        <v>1160</v>
      </c>
      <c r="H161" s="89" t="s">
        <v>22</v>
      </c>
      <c r="I161" s="89" t="s">
        <v>22</v>
      </c>
      <c r="J161" s="89" t="s">
        <v>22</v>
      </c>
      <c r="K161" s="88"/>
      <c r="L161" s="88">
        <f t="shared" si="9"/>
        <v>119564</v>
      </c>
      <c r="M161" s="88">
        <v>82692</v>
      </c>
      <c r="N161" s="88">
        <f>15933+194</f>
        <v>16127</v>
      </c>
      <c r="O161" s="88">
        <v>3000</v>
      </c>
      <c r="P161" s="89" t="s">
        <v>22</v>
      </c>
      <c r="Q161" s="67">
        <v>17745</v>
      </c>
      <c r="R161" s="89" t="s">
        <v>22</v>
      </c>
      <c r="S161" s="89" t="s">
        <v>22</v>
      </c>
      <c r="T161" s="89" t="s">
        <v>22</v>
      </c>
    </row>
    <row r="162" spans="1:20" s="68" customFormat="1" ht="9" customHeight="1" x14ac:dyDescent="0.15">
      <c r="A162" s="66" t="s">
        <v>36</v>
      </c>
      <c r="B162" s="88">
        <f t="shared" si="8"/>
        <v>23888</v>
      </c>
      <c r="C162" s="88">
        <v>6934</v>
      </c>
      <c r="D162" s="88">
        <v>10478</v>
      </c>
      <c r="E162" s="88">
        <v>4069</v>
      </c>
      <c r="F162" s="89" t="s">
        <v>22</v>
      </c>
      <c r="G162" s="67">
        <v>2407</v>
      </c>
      <c r="H162" s="89" t="s">
        <v>22</v>
      </c>
      <c r="I162" s="89" t="s">
        <v>22</v>
      </c>
      <c r="J162" s="89" t="s">
        <v>22</v>
      </c>
      <c r="K162" s="88"/>
      <c r="L162" s="88">
        <f t="shared" si="9"/>
        <v>299489</v>
      </c>
      <c r="M162" s="88">
        <v>176527</v>
      </c>
      <c r="N162" s="88">
        <v>27402</v>
      </c>
      <c r="O162" s="88">
        <v>2665</v>
      </c>
      <c r="P162" s="89" t="s">
        <v>22</v>
      </c>
      <c r="Q162" s="67">
        <v>92895</v>
      </c>
      <c r="R162" s="89" t="s">
        <v>22</v>
      </c>
      <c r="S162" s="89" t="s">
        <v>22</v>
      </c>
      <c r="T162" s="89" t="s">
        <v>22</v>
      </c>
    </row>
    <row r="163" spans="1:20" s="68" customFormat="1" ht="9" customHeight="1" x14ac:dyDescent="0.15">
      <c r="A163" s="69" t="s">
        <v>37</v>
      </c>
      <c r="B163" s="90">
        <f t="shared" si="8"/>
        <v>1994</v>
      </c>
      <c r="C163" s="90">
        <v>842</v>
      </c>
      <c r="D163" s="90">
        <v>699</v>
      </c>
      <c r="E163" s="90">
        <v>359</v>
      </c>
      <c r="F163" s="91" t="s">
        <v>22</v>
      </c>
      <c r="G163" s="70">
        <v>94</v>
      </c>
      <c r="H163" s="91" t="s">
        <v>22</v>
      </c>
      <c r="I163" s="91" t="s">
        <v>22</v>
      </c>
      <c r="J163" s="91" t="s">
        <v>22</v>
      </c>
      <c r="K163" s="90"/>
      <c r="L163" s="90">
        <f t="shared" si="9"/>
        <v>17169</v>
      </c>
      <c r="M163" s="90">
        <v>14119</v>
      </c>
      <c r="N163" s="90">
        <v>1649</v>
      </c>
      <c r="O163" s="90">
        <v>1000</v>
      </c>
      <c r="P163" s="91" t="s">
        <v>22</v>
      </c>
      <c r="Q163" s="70">
        <v>401</v>
      </c>
      <c r="R163" s="91" t="s">
        <v>22</v>
      </c>
      <c r="S163" s="91" t="s">
        <v>22</v>
      </c>
      <c r="T163" s="91" t="s">
        <v>22</v>
      </c>
    </row>
    <row r="164" spans="1:20" s="68" customFormat="1" ht="9" customHeight="1" x14ac:dyDescent="0.15">
      <c r="A164" s="66" t="s">
        <v>38</v>
      </c>
      <c r="B164" s="88">
        <f t="shared" si="8"/>
        <v>4660</v>
      </c>
      <c r="C164" s="88">
        <v>1148</v>
      </c>
      <c r="D164" s="88">
        <f>2436+15</f>
        <v>2451</v>
      </c>
      <c r="E164" s="88">
        <v>950</v>
      </c>
      <c r="F164" s="89" t="s">
        <v>22</v>
      </c>
      <c r="G164" s="67">
        <v>111</v>
      </c>
      <c r="H164" s="89" t="s">
        <v>22</v>
      </c>
      <c r="I164" s="89" t="s">
        <v>22</v>
      </c>
      <c r="J164" s="89" t="s">
        <v>22</v>
      </c>
      <c r="K164" s="88"/>
      <c r="L164" s="88">
        <f t="shared" si="9"/>
        <v>47410</v>
      </c>
      <c r="M164" s="88">
        <v>29256</v>
      </c>
      <c r="N164" s="88">
        <f>9840+250</f>
        <v>10090</v>
      </c>
      <c r="O164" s="88">
        <v>550</v>
      </c>
      <c r="P164" s="89" t="s">
        <v>22</v>
      </c>
      <c r="Q164" s="67">
        <v>7514</v>
      </c>
      <c r="R164" s="89" t="s">
        <v>22</v>
      </c>
      <c r="S164" s="89" t="s">
        <v>22</v>
      </c>
      <c r="T164" s="89" t="s">
        <v>22</v>
      </c>
    </row>
    <row r="165" spans="1:20" s="68" customFormat="1" ht="9" customHeight="1" x14ac:dyDescent="0.15">
      <c r="A165" s="66" t="s">
        <v>39</v>
      </c>
      <c r="B165" s="88">
        <f t="shared" si="8"/>
        <v>3466</v>
      </c>
      <c r="C165" s="88">
        <v>1217</v>
      </c>
      <c r="D165" s="88">
        <v>1984</v>
      </c>
      <c r="E165" s="88">
        <v>263</v>
      </c>
      <c r="F165" s="89" t="s">
        <v>22</v>
      </c>
      <c r="G165" s="67">
        <v>2</v>
      </c>
      <c r="H165" s="89" t="s">
        <v>22</v>
      </c>
      <c r="I165" s="89" t="s">
        <v>22</v>
      </c>
      <c r="J165" s="89" t="s">
        <v>22</v>
      </c>
      <c r="K165" s="88"/>
      <c r="L165" s="88">
        <f t="shared" si="9"/>
        <v>25477</v>
      </c>
      <c r="M165" s="88">
        <v>20009</v>
      </c>
      <c r="N165" s="88">
        <v>4496</v>
      </c>
      <c r="O165" s="88">
        <v>404</v>
      </c>
      <c r="P165" s="89" t="s">
        <v>22</v>
      </c>
      <c r="Q165" s="67">
        <v>568</v>
      </c>
      <c r="R165" s="89" t="s">
        <v>22</v>
      </c>
      <c r="S165" s="89" t="s">
        <v>22</v>
      </c>
      <c r="T165" s="89" t="s">
        <v>22</v>
      </c>
    </row>
    <row r="166" spans="1:20" s="68" customFormat="1" ht="9" customHeight="1" x14ac:dyDescent="0.15">
      <c r="A166" s="66" t="s">
        <v>40</v>
      </c>
      <c r="B166" s="88">
        <f t="shared" si="8"/>
        <v>9633</v>
      </c>
      <c r="C166" s="88">
        <v>2866</v>
      </c>
      <c r="D166" s="88">
        <v>4346</v>
      </c>
      <c r="E166" s="88">
        <v>1946</v>
      </c>
      <c r="F166" s="89" t="s">
        <v>22</v>
      </c>
      <c r="G166" s="67">
        <v>475</v>
      </c>
      <c r="H166" s="89" t="s">
        <v>22</v>
      </c>
      <c r="I166" s="89" t="s">
        <v>22</v>
      </c>
      <c r="J166" s="89" t="s">
        <v>22</v>
      </c>
      <c r="K166" s="88"/>
      <c r="L166" s="88">
        <f t="shared" si="9"/>
        <v>74561</v>
      </c>
      <c r="M166" s="88">
        <v>58309</v>
      </c>
      <c r="N166" s="88">
        <v>9255</v>
      </c>
      <c r="O166" s="88">
        <v>843</v>
      </c>
      <c r="P166" s="89" t="s">
        <v>22</v>
      </c>
      <c r="Q166" s="67">
        <v>6154</v>
      </c>
      <c r="R166" s="89" t="s">
        <v>22</v>
      </c>
      <c r="S166" s="89" t="s">
        <v>22</v>
      </c>
      <c r="T166" s="89" t="s">
        <v>22</v>
      </c>
    </row>
    <row r="167" spans="1:20" s="68" customFormat="1" ht="9" customHeight="1" x14ac:dyDescent="0.15">
      <c r="A167" s="69" t="s">
        <v>41</v>
      </c>
      <c r="B167" s="90">
        <f t="shared" si="8"/>
        <v>504</v>
      </c>
      <c r="C167" s="90">
        <v>234</v>
      </c>
      <c r="D167" s="90">
        <v>224</v>
      </c>
      <c r="E167" s="90">
        <v>45</v>
      </c>
      <c r="F167" s="91" t="s">
        <v>22</v>
      </c>
      <c r="G167" s="70">
        <v>1</v>
      </c>
      <c r="H167" s="91" t="s">
        <v>22</v>
      </c>
      <c r="I167" s="91" t="s">
        <v>22</v>
      </c>
      <c r="J167" s="91" t="s">
        <v>22</v>
      </c>
      <c r="K167" s="90"/>
      <c r="L167" s="90">
        <f t="shared" si="9"/>
        <v>9734</v>
      </c>
      <c r="M167" s="90">
        <v>6522</v>
      </c>
      <c r="N167" s="90">
        <v>692</v>
      </c>
      <c r="O167" s="90">
        <v>99</v>
      </c>
      <c r="P167" s="91" t="s">
        <v>22</v>
      </c>
      <c r="Q167" s="70">
        <v>2421</v>
      </c>
      <c r="R167" s="91" t="s">
        <v>22</v>
      </c>
      <c r="S167" s="91" t="s">
        <v>22</v>
      </c>
      <c r="T167" s="91" t="s">
        <v>22</v>
      </c>
    </row>
    <row r="168" spans="1:20" s="68" customFormat="1" ht="9" customHeight="1" x14ac:dyDescent="0.15">
      <c r="A168" s="66" t="s">
        <v>42</v>
      </c>
      <c r="B168" s="88">
        <f t="shared" si="8"/>
        <v>5833</v>
      </c>
      <c r="C168" s="88">
        <v>1211</v>
      </c>
      <c r="D168" s="88">
        <v>3472</v>
      </c>
      <c r="E168" s="88">
        <v>833</v>
      </c>
      <c r="F168" s="89" t="s">
        <v>22</v>
      </c>
      <c r="G168" s="67">
        <v>317</v>
      </c>
      <c r="H168" s="89" t="s">
        <v>22</v>
      </c>
      <c r="I168" s="89" t="s">
        <v>22</v>
      </c>
      <c r="J168" s="89" t="s">
        <v>22</v>
      </c>
      <c r="K168" s="88"/>
      <c r="L168" s="88">
        <f t="shared" si="9"/>
        <v>44663</v>
      </c>
      <c r="M168" s="88">
        <v>29420</v>
      </c>
      <c r="N168" s="88">
        <v>9610</v>
      </c>
      <c r="O168" s="88">
        <v>723</v>
      </c>
      <c r="P168" s="89" t="s">
        <v>22</v>
      </c>
      <c r="Q168" s="67">
        <v>4910</v>
      </c>
      <c r="R168" s="89" t="s">
        <v>22</v>
      </c>
      <c r="S168" s="89" t="s">
        <v>22</v>
      </c>
      <c r="T168" s="89" t="s">
        <v>22</v>
      </c>
    </row>
    <row r="169" spans="1:20" s="68" customFormat="1" ht="9" customHeight="1" x14ac:dyDescent="0.15">
      <c r="A169" s="66" t="s">
        <v>43</v>
      </c>
      <c r="B169" s="88">
        <f t="shared" si="8"/>
        <v>2612</v>
      </c>
      <c r="C169" s="88">
        <v>456</v>
      </c>
      <c r="D169" s="88">
        <v>845</v>
      </c>
      <c r="E169" s="88">
        <v>1219</v>
      </c>
      <c r="F169" s="89" t="s">
        <v>22</v>
      </c>
      <c r="G169" s="67">
        <v>92</v>
      </c>
      <c r="H169" s="89" t="s">
        <v>22</v>
      </c>
      <c r="I169" s="89" t="s">
        <v>22</v>
      </c>
      <c r="J169" s="89" t="s">
        <v>22</v>
      </c>
      <c r="K169" s="88"/>
      <c r="L169" s="88">
        <f t="shared" si="9"/>
        <v>14175</v>
      </c>
      <c r="M169" s="88">
        <v>8983</v>
      </c>
      <c r="N169" s="88">
        <v>1364</v>
      </c>
      <c r="O169" s="88">
        <v>287</v>
      </c>
      <c r="P169" s="89" t="s">
        <v>22</v>
      </c>
      <c r="Q169" s="67">
        <v>3541</v>
      </c>
      <c r="R169" s="89" t="s">
        <v>22</v>
      </c>
      <c r="S169" s="89" t="s">
        <v>22</v>
      </c>
      <c r="T169" s="89" t="s">
        <v>22</v>
      </c>
    </row>
    <row r="170" spans="1:20" s="68" customFormat="1" ht="9" customHeight="1" x14ac:dyDescent="0.15">
      <c r="A170" s="66" t="s">
        <v>44</v>
      </c>
      <c r="B170" s="88">
        <f t="shared" si="8"/>
        <v>3950</v>
      </c>
      <c r="C170" s="88">
        <v>1037</v>
      </c>
      <c r="D170" s="88">
        <v>2451</v>
      </c>
      <c r="E170" s="88">
        <v>291</v>
      </c>
      <c r="F170" s="89" t="s">
        <v>22</v>
      </c>
      <c r="G170" s="67">
        <v>171</v>
      </c>
      <c r="H170" s="89" t="s">
        <v>22</v>
      </c>
      <c r="I170" s="89" t="s">
        <v>22</v>
      </c>
      <c r="J170" s="89" t="s">
        <v>22</v>
      </c>
      <c r="K170" s="88"/>
      <c r="L170" s="88">
        <f t="shared" si="9"/>
        <v>31517</v>
      </c>
      <c r="M170" s="88">
        <v>19851</v>
      </c>
      <c r="N170" s="88">
        <v>7514</v>
      </c>
      <c r="O170" s="88">
        <v>441</v>
      </c>
      <c r="P170" s="89" t="s">
        <v>22</v>
      </c>
      <c r="Q170" s="67">
        <v>3711</v>
      </c>
      <c r="R170" s="89" t="s">
        <v>22</v>
      </c>
      <c r="S170" s="89" t="s">
        <v>22</v>
      </c>
      <c r="T170" s="89" t="s">
        <v>22</v>
      </c>
    </row>
    <row r="171" spans="1:20" s="68" customFormat="1" ht="9" customHeight="1" x14ac:dyDescent="0.15">
      <c r="A171" s="69" t="s">
        <v>45</v>
      </c>
      <c r="B171" s="90">
        <f t="shared" si="8"/>
        <v>3400</v>
      </c>
      <c r="C171" s="90">
        <v>452</v>
      </c>
      <c r="D171" s="90">
        <v>1060</v>
      </c>
      <c r="E171" s="90">
        <v>1149</v>
      </c>
      <c r="F171" s="91" t="s">
        <v>22</v>
      </c>
      <c r="G171" s="70">
        <v>739</v>
      </c>
      <c r="H171" s="91" t="s">
        <v>22</v>
      </c>
      <c r="I171" s="91" t="s">
        <v>22</v>
      </c>
      <c r="J171" s="91" t="s">
        <v>22</v>
      </c>
      <c r="K171" s="90"/>
      <c r="L171" s="90">
        <f t="shared" si="9"/>
        <v>44716</v>
      </c>
      <c r="M171" s="90">
        <v>10980</v>
      </c>
      <c r="N171" s="90">
        <v>2754</v>
      </c>
      <c r="O171" s="90">
        <v>1030</v>
      </c>
      <c r="P171" s="91" t="s">
        <v>22</v>
      </c>
      <c r="Q171" s="70">
        <v>29952</v>
      </c>
      <c r="R171" s="91" t="s">
        <v>22</v>
      </c>
      <c r="S171" s="91" t="s">
        <v>22</v>
      </c>
      <c r="T171" s="91" t="s">
        <v>22</v>
      </c>
    </row>
    <row r="172" spans="1:20" s="68" customFormat="1" ht="9" customHeight="1" x14ac:dyDescent="0.15">
      <c r="A172" s="66" t="s">
        <v>46</v>
      </c>
      <c r="B172" s="88">
        <f t="shared" si="8"/>
        <v>14655</v>
      </c>
      <c r="C172" s="88">
        <v>3529</v>
      </c>
      <c r="D172" s="88">
        <v>5763</v>
      </c>
      <c r="E172" s="88">
        <v>2853</v>
      </c>
      <c r="F172" s="89" t="s">
        <v>22</v>
      </c>
      <c r="G172" s="67">
        <v>2510</v>
      </c>
      <c r="H172" s="89" t="s">
        <v>22</v>
      </c>
      <c r="I172" s="89" t="s">
        <v>22</v>
      </c>
      <c r="J172" s="89" t="s">
        <v>22</v>
      </c>
      <c r="K172" s="88"/>
      <c r="L172" s="88">
        <f t="shared" si="9"/>
        <v>208824</v>
      </c>
      <c r="M172" s="88">
        <v>66974</v>
      </c>
      <c r="N172" s="88">
        <v>12232</v>
      </c>
      <c r="O172" s="88">
        <v>1041</v>
      </c>
      <c r="P172" s="89" t="s">
        <v>22</v>
      </c>
      <c r="Q172" s="67">
        <v>128577</v>
      </c>
      <c r="R172" s="89" t="s">
        <v>22</v>
      </c>
      <c r="S172" s="89" t="s">
        <v>22</v>
      </c>
      <c r="T172" s="89" t="s">
        <v>22</v>
      </c>
    </row>
    <row r="173" spans="1:20" s="68" customFormat="1" ht="9" customHeight="1" x14ac:dyDescent="0.15">
      <c r="A173" s="66" t="s">
        <v>47</v>
      </c>
      <c r="B173" s="88">
        <f t="shared" si="8"/>
        <v>2637</v>
      </c>
      <c r="C173" s="88">
        <v>858</v>
      </c>
      <c r="D173" s="88">
        <v>1302</v>
      </c>
      <c r="E173" s="88">
        <v>469</v>
      </c>
      <c r="F173" s="89" t="s">
        <v>22</v>
      </c>
      <c r="G173" s="67">
        <v>8</v>
      </c>
      <c r="H173" s="89" t="s">
        <v>22</v>
      </c>
      <c r="I173" s="89" t="s">
        <v>22</v>
      </c>
      <c r="J173" s="89" t="s">
        <v>22</v>
      </c>
      <c r="K173" s="88"/>
      <c r="L173" s="88">
        <f t="shared" si="9"/>
        <v>22605</v>
      </c>
      <c r="M173" s="88">
        <v>19736</v>
      </c>
      <c r="N173" s="88">
        <v>2177</v>
      </c>
      <c r="O173" s="88">
        <v>447</v>
      </c>
      <c r="P173" s="89" t="s">
        <v>22</v>
      </c>
      <c r="Q173" s="67">
        <v>245</v>
      </c>
      <c r="R173" s="89" t="s">
        <v>22</v>
      </c>
      <c r="S173" s="89" t="s">
        <v>22</v>
      </c>
      <c r="T173" s="89" t="s">
        <v>22</v>
      </c>
    </row>
    <row r="174" spans="1:20" s="68" customFormat="1" ht="9" customHeight="1" x14ac:dyDescent="0.15">
      <c r="A174" s="66" t="s">
        <v>48</v>
      </c>
      <c r="B174" s="88">
        <f t="shared" si="8"/>
        <v>332</v>
      </c>
      <c r="C174" s="88">
        <v>145</v>
      </c>
      <c r="D174" s="88">
        <v>181</v>
      </c>
      <c r="E174" s="88">
        <v>4</v>
      </c>
      <c r="F174" s="89" t="s">
        <v>22</v>
      </c>
      <c r="G174" s="67">
        <v>2</v>
      </c>
      <c r="H174" s="89" t="s">
        <v>22</v>
      </c>
      <c r="I174" s="89" t="s">
        <v>22</v>
      </c>
      <c r="J174" s="89" t="s">
        <v>22</v>
      </c>
      <c r="K174" s="88"/>
      <c r="L174" s="88">
        <f t="shared" si="9"/>
        <v>4399</v>
      </c>
      <c r="M174" s="88">
        <v>3554</v>
      </c>
      <c r="N174" s="88">
        <v>386</v>
      </c>
      <c r="O174" s="88">
        <v>9</v>
      </c>
      <c r="P174" s="89" t="s">
        <v>22</v>
      </c>
      <c r="Q174" s="67">
        <v>450</v>
      </c>
      <c r="R174" s="89" t="s">
        <v>22</v>
      </c>
      <c r="S174" s="89" t="s">
        <v>22</v>
      </c>
      <c r="T174" s="89" t="s">
        <v>22</v>
      </c>
    </row>
    <row r="175" spans="1:20" s="68" customFormat="1" ht="9" customHeight="1" x14ac:dyDescent="0.15">
      <c r="A175" s="69" t="s">
        <v>49</v>
      </c>
      <c r="B175" s="90">
        <f t="shared" si="8"/>
        <v>6462</v>
      </c>
      <c r="C175" s="90">
        <v>1681</v>
      </c>
      <c r="D175" s="90">
        <v>2321</v>
      </c>
      <c r="E175" s="90">
        <v>1216</v>
      </c>
      <c r="F175" s="91" t="s">
        <v>22</v>
      </c>
      <c r="G175" s="70">
        <v>1244</v>
      </c>
      <c r="H175" s="91" t="s">
        <v>22</v>
      </c>
      <c r="I175" s="91" t="s">
        <v>22</v>
      </c>
      <c r="J175" s="91" t="s">
        <v>22</v>
      </c>
      <c r="K175" s="90"/>
      <c r="L175" s="90">
        <f t="shared" si="9"/>
        <v>45100</v>
      </c>
      <c r="M175" s="90">
        <v>30273</v>
      </c>
      <c r="N175" s="90">
        <v>6262</v>
      </c>
      <c r="O175" s="90">
        <v>912</v>
      </c>
      <c r="P175" s="91" t="s">
        <v>22</v>
      </c>
      <c r="Q175" s="70">
        <v>7653</v>
      </c>
      <c r="R175" s="91" t="s">
        <v>22</v>
      </c>
      <c r="S175" s="91" t="s">
        <v>22</v>
      </c>
      <c r="T175" s="91" t="s">
        <v>22</v>
      </c>
    </row>
    <row r="176" spans="1:20" s="68" customFormat="1" ht="9" customHeight="1" x14ac:dyDescent="0.15">
      <c r="A176" s="66" t="s">
        <v>51</v>
      </c>
      <c r="B176" s="88">
        <f t="shared" si="8"/>
        <v>5116</v>
      </c>
      <c r="C176" s="88">
        <v>2165</v>
      </c>
      <c r="D176" s="88">
        <v>1805</v>
      </c>
      <c r="E176" s="88">
        <v>870</v>
      </c>
      <c r="F176" s="89" t="s">
        <v>22</v>
      </c>
      <c r="G176" s="67">
        <v>276</v>
      </c>
      <c r="H176" s="89" t="s">
        <v>22</v>
      </c>
      <c r="I176" s="89" t="s">
        <v>22</v>
      </c>
      <c r="J176" s="89" t="s">
        <v>22</v>
      </c>
      <c r="K176" s="88"/>
      <c r="L176" s="88">
        <f t="shared" si="9"/>
        <v>50298</v>
      </c>
      <c r="M176" s="88">
        <v>40691</v>
      </c>
      <c r="N176" s="88">
        <v>3370</v>
      </c>
      <c r="O176" s="88">
        <v>710</v>
      </c>
      <c r="P176" s="89" t="s">
        <v>22</v>
      </c>
      <c r="Q176" s="67">
        <v>5527</v>
      </c>
      <c r="R176" s="89" t="s">
        <v>22</v>
      </c>
      <c r="S176" s="89" t="s">
        <v>22</v>
      </c>
      <c r="T176" s="89" t="s">
        <v>22</v>
      </c>
    </row>
    <row r="177" spans="1:20" s="68" customFormat="1" ht="9" customHeight="1" x14ac:dyDescent="0.15">
      <c r="A177" s="66" t="s">
        <v>52</v>
      </c>
      <c r="B177" s="88">
        <f t="shared" si="8"/>
        <v>2475</v>
      </c>
      <c r="C177" s="88">
        <v>827</v>
      </c>
      <c r="D177" s="88">
        <v>1190</v>
      </c>
      <c r="E177" s="88">
        <v>230</v>
      </c>
      <c r="F177" s="88" t="s">
        <v>22</v>
      </c>
      <c r="G177" s="67">
        <v>228</v>
      </c>
      <c r="H177" s="89" t="s">
        <v>22</v>
      </c>
      <c r="I177" s="89" t="s">
        <v>22</v>
      </c>
      <c r="J177" s="89" t="s">
        <v>22</v>
      </c>
      <c r="K177" s="88"/>
      <c r="L177" s="88">
        <f t="shared" si="9"/>
        <v>31606</v>
      </c>
      <c r="M177" s="88">
        <v>29171</v>
      </c>
      <c r="N177" s="88">
        <v>1374</v>
      </c>
      <c r="O177" s="88">
        <v>519</v>
      </c>
      <c r="P177" s="88" t="s">
        <v>22</v>
      </c>
      <c r="Q177" s="67">
        <v>542</v>
      </c>
      <c r="R177" s="89" t="s">
        <v>22</v>
      </c>
      <c r="S177" s="89" t="s">
        <v>22</v>
      </c>
      <c r="T177" s="89" t="s">
        <v>22</v>
      </c>
    </row>
    <row r="178" spans="1:20" s="68" customFormat="1" ht="9" customHeight="1" x14ac:dyDescent="0.15">
      <c r="A178" s="71" t="s">
        <v>53</v>
      </c>
      <c r="B178" s="92">
        <f t="shared" si="8"/>
        <v>3420</v>
      </c>
      <c r="C178" s="92">
        <v>680</v>
      </c>
      <c r="D178" s="92">
        <f>1548+833</f>
        <v>2381</v>
      </c>
      <c r="E178" s="92">
        <v>177</v>
      </c>
      <c r="F178" s="92" t="s">
        <v>22</v>
      </c>
      <c r="G178" s="67">
        <v>182</v>
      </c>
      <c r="H178" s="89" t="s">
        <v>22</v>
      </c>
      <c r="I178" s="89" t="s">
        <v>22</v>
      </c>
      <c r="J178" s="89" t="s">
        <v>22</v>
      </c>
      <c r="K178" s="92"/>
      <c r="L178" s="92">
        <f t="shared" si="9"/>
        <v>38617</v>
      </c>
      <c r="M178" s="92">
        <v>16326</v>
      </c>
      <c r="N178" s="92">
        <f>3618+15214</f>
        <v>18832</v>
      </c>
      <c r="O178" s="92">
        <v>169</v>
      </c>
      <c r="P178" s="92" t="s">
        <v>22</v>
      </c>
      <c r="Q178" s="67">
        <v>3290</v>
      </c>
      <c r="R178" s="89" t="s">
        <v>22</v>
      </c>
      <c r="S178" s="89" t="s">
        <v>22</v>
      </c>
      <c r="T178" s="89" t="s">
        <v>22</v>
      </c>
    </row>
    <row r="179" spans="1:20" s="65" customFormat="1" ht="9" customHeight="1" x14ac:dyDescent="0.25">
      <c r="A179" s="100"/>
      <c r="B179" s="97"/>
      <c r="C179" s="98"/>
      <c r="D179" s="97"/>
      <c r="E179" s="97"/>
      <c r="F179" s="97"/>
      <c r="G179" s="64"/>
      <c r="H179" s="64"/>
      <c r="I179" s="64"/>
      <c r="J179" s="64"/>
      <c r="K179" s="97"/>
      <c r="L179" s="97"/>
      <c r="M179" s="97"/>
      <c r="N179" s="97"/>
      <c r="O179" s="97"/>
      <c r="P179" s="97"/>
      <c r="Q179" s="64"/>
      <c r="R179" s="64"/>
      <c r="S179" s="64"/>
      <c r="T179" s="64"/>
    </row>
    <row r="180" spans="1:20" s="65" customFormat="1" ht="9" customHeight="1" x14ac:dyDescent="0.25">
      <c r="A180" s="96">
        <v>2004</v>
      </c>
      <c r="B180" s="97"/>
      <c r="C180" s="98"/>
      <c r="D180" s="97"/>
      <c r="E180" s="97"/>
      <c r="F180" s="97"/>
      <c r="G180" s="64"/>
      <c r="H180" s="64"/>
      <c r="I180" s="64"/>
      <c r="J180" s="64"/>
      <c r="K180" s="97"/>
      <c r="L180" s="97"/>
      <c r="M180" s="97"/>
      <c r="N180" s="97"/>
      <c r="O180" s="97"/>
      <c r="P180" s="97"/>
      <c r="Q180" s="64"/>
      <c r="R180" s="64"/>
      <c r="S180" s="64"/>
      <c r="T180" s="64"/>
    </row>
    <row r="181" spans="1:20" s="65" customFormat="1" ht="9" customHeight="1" x14ac:dyDescent="0.25">
      <c r="A181" s="99" t="s">
        <v>21</v>
      </c>
      <c r="B181" s="64">
        <f>SUM(B183:B213)</f>
        <v>220580</v>
      </c>
      <c r="C181" s="64">
        <f>SUM(C183:C213)</f>
        <v>63518</v>
      </c>
      <c r="D181" s="64">
        <f>SUM(D183:D213)</f>
        <v>98400</v>
      </c>
      <c r="E181" s="64">
        <f>SUM(E183:E213)</f>
        <v>38151</v>
      </c>
      <c r="F181" s="63" t="s">
        <v>22</v>
      </c>
      <c r="G181" s="64">
        <f>SUM(G183:G213)</f>
        <v>20511</v>
      </c>
      <c r="H181" s="64" t="s">
        <v>22</v>
      </c>
      <c r="I181" s="64" t="s">
        <v>22</v>
      </c>
      <c r="J181" s="64" t="s">
        <v>22</v>
      </c>
      <c r="K181" s="64"/>
      <c r="L181" s="64">
        <f>SUM(L183:L213)</f>
        <v>3109470</v>
      </c>
      <c r="M181" s="64">
        <f>SUM(M183:M213)</f>
        <v>1533114</v>
      </c>
      <c r="N181" s="64">
        <f>SUM(N183:N213)</f>
        <v>277347</v>
      </c>
      <c r="O181" s="64">
        <f>SUM(O183:O213)</f>
        <v>30453</v>
      </c>
      <c r="P181" s="63" t="s">
        <v>22</v>
      </c>
      <c r="Q181" s="64">
        <f>SUM(Q183:Q213)</f>
        <v>1268556</v>
      </c>
      <c r="R181" s="64" t="s">
        <v>22</v>
      </c>
      <c r="S181" s="64" t="s">
        <v>22</v>
      </c>
      <c r="T181" s="64" t="s">
        <v>22</v>
      </c>
    </row>
    <row r="182" spans="1:20" s="65" customFormat="1" ht="3.95" customHeight="1" x14ac:dyDescent="0.25">
      <c r="A182" s="99"/>
      <c r="B182" s="64"/>
      <c r="C182" s="64"/>
      <c r="D182" s="64"/>
      <c r="E182" s="64"/>
      <c r="F182" s="63"/>
      <c r="G182" s="64"/>
      <c r="H182" s="64"/>
      <c r="I182" s="64"/>
      <c r="J182" s="64"/>
      <c r="K182" s="64"/>
      <c r="L182" s="64"/>
      <c r="M182" s="64"/>
      <c r="N182" s="64"/>
      <c r="O182" s="64"/>
      <c r="P182" s="63"/>
      <c r="Q182" s="64"/>
      <c r="R182" s="64"/>
      <c r="S182" s="64"/>
      <c r="T182" s="64"/>
    </row>
    <row r="183" spans="1:20" s="68" customFormat="1" ht="9" customHeight="1" x14ac:dyDescent="0.15">
      <c r="A183" s="66" t="s">
        <v>23</v>
      </c>
      <c r="B183" s="88">
        <f t="shared" ref="B183:B213" si="10">SUM(C183,D183,E183,G183)</f>
        <v>2838</v>
      </c>
      <c r="C183" s="88">
        <v>594</v>
      </c>
      <c r="D183" s="88">
        <v>1425</v>
      </c>
      <c r="E183" s="88">
        <v>655</v>
      </c>
      <c r="F183" s="89" t="s">
        <v>22</v>
      </c>
      <c r="G183" s="67">
        <v>164</v>
      </c>
      <c r="H183" s="89" t="s">
        <v>22</v>
      </c>
      <c r="I183" s="89" t="s">
        <v>22</v>
      </c>
      <c r="J183" s="89" t="s">
        <v>22</v>
      </c>
      <c r="K183" s="88"/>
      <c r="L183" s="88">
        <f t="shared" ref="L183:L213" si="11">SUM(M183,N183,O183,Q183)</f>
        <v>17147</v>
      </c>
      <c r="M183" s="88">
        <v>8213</v>
      </c>
      <c r="N183" s="88">
        <v>4313</v>
      </c>
      <c r="O183" s="88">
        <v>79</v>
      </c>
      <c r="P183" s="89" t="s">
        <v>22</v>
      </c>
      <c r="Q183" s="67">
        <v>4542</v>
      </c>
      <c r="R183" s="89" t="s">
        <v>22</v>
      </c>
      <c r="S183" s="89" t="s">
        <v>22</v>
      </c>
      <c r="T183" s="89" t="s">
        <v>22</v>
      </c>
    </row>
    <row r="184" spans="1:20" s="68" customFormat="1" ht="9" customHeight="1" x14ac:dyDescent="0.15">
      <c r="A184" s="66" t="s">
        <v>24</v>
      </c>
      <c r="B184" s="88">
        <f t="shared" si="10"/>
        <v>6894</v>
      </c>
      <c r="C184" s="88">
        <f>652+1190</f>
        <v>1842</v>
      </c>
      <c r="D184" s="88">
        <f>1069+2448</f>
        <v>3517</v>
      </c>
      <c r="E184" s="88">
        <f>513+706</f>
        <v>1219</v>
      </c>
      <c r="F184" s="89" t="s">
        <v>22</v>
      </c>
      <c r="G184" s="67">
        <v>316</v>
      </c>
      <c r="H184" s="89" t="s">
        <v>22</v>
      </c>
      <c r="I184" s="89" t="s">
        <v>22</v>
      </c>
      <c r="J184" s="89" t="s">
        <v>22</v>
      </c>
      <c r="K184" s="88"/>
      <c r="L184" s="88">
        <f t="shared" si="11"/>
        <v>56265</v>
      </c>
      <c r="M184" s="88">
        <f>9027+30401</f>
        <v>39428</v>
      </c>
      <c r="N184" s="88">
        <f>1971+8609</f>
        <v>10580</v>
      </c>
      <c r="O184" s="88">
        <f>424+121</f>
        <v>545</v>
      </c>
      <c r="P184" s="89" t="s">
        <v>22</v>
      </c>
      <c r="Q184" s="67">
        <f>580+5132</f>
        <v>5712</v>
      </c>
      <c r="R184" s="89" t="s">
        <v>22</v>
      </c>
      <c r="S184" s="89" t="s">
        <v>22</v>
      </c>
      <c r="T184" s="89" t="s">
        <v>22</v>
      </c>
    </row>
    <row r="185" spans="1:20" s="68" customFormat="1" ht="9" customHeight="1" x14ac:dyDescent="0.15">
      <c r="A185" s="66" t="s">
        <v>25</v>
      </c>
      <c r="B185" s="88">
        <f t="shared" si="10"/>
        <v>1970</v>
      </c>
      <c r="C185" s="88">
        <f>401+140</f>
        <v>541</v>
      </c>
      <c r="D185" s="88">
        <f>404+64</f>
        <v>468</v>
      </c>
      <c r="E185" s="88">
        <f>720+218</f>
        <v>938</v>
      </c>
      <c r="F185" s="89" t="s">
        <v>22</v>
      </c>
      <c r="G185" s="67">
        <v>23</v>
      </c>
      <c r="H185" s="89" t="s">
        <v>22</v>
      </c>
      <c r="I185" s="89" t="s">
        <v>22</v>
      </c>
      <c r="J185" s="89" t="s">
        <v>22</v>
      </c>
      <c r="K185" s="88"/>
      <c r="L185" s="88">
        <f t="shared" si="11"/>
        <v>15009</v>
      </c>
      <c r="M185" s="88">
        <f>8185+2414</f>
        <v>10599</v>
      </c>
      <c r="N185" s="88">
        <f>1511+106</f>
        <v>1617</v>
      </c>
      <c r="O185" s="88">
        <f>415+285</f>
        <v>700</v>
      </c>
      <c r="P185" s="89" t="s">
        <v>22</v>
      </c>
      <c r="Q185" s="67">
        <f>2093</f>
        <v>2093</v>
      </c>
      <c r="R185" s="89" t="s">
        <v>22</v>
      </c>
      <c r="S185" s="89" t="s">
        <v>22</v>
      </c>
      <c r="T185" s="89" t="s">
        <v>22</v>
      </c>
    </row>
    <row r="186" spans="1:20" s="68" customFormat="1" ht="9" customHeight="1" x14ac:dyDescent="0.15">
      <c r="A186" s="69" t="s">
        <v>26</v>
      </c>
      <c r="B186" s="90">
        <f t="shared" si="10"/>
        <v>2449</v>
      </c>
      <c r="C186" s="90">
        <v>522</v>
      </c>
      <c r="D186" s="90">
        <v>912</v>
      </c>
      <c r="E186" s="90">
        <v>582</v>
      </c>
      <c r="F186" s="91" t="s">
        <v>22</v>
      </c>
      <c r="G186" s="70">
        <v>433</v>
      </c>
      <c r="H186" s="91" t="s">
        <v>22</v>
      </c>
      <c r="I186" s="91" t="s">
        <v>22</v>
      </c>
      <c r="J186" s="91" t="s">
        <v>22</v>
      </c>
      <c r="K186" s="90"/>
      <c r="L186" s="90">
        <f t="shared" si="11"/>
        <v>14009</v>
      </c>
      <c r="M186" s="90">
        <v>9194</v>
      </c>
      <c r="N186" s="90">
        <v>2330</v>
      </c>
      <c r="O186" s="90">
        <v>199</v>
      </c>
      <c r="P186" s="91" t="s">
        <v>22</v>
      </c>
      <c r="Q186" s="70">
        <v>2286</v>
      </c>
      <c r="R186" s="91" t="s">
        <v>22</v>
      </c>
      <c r="S186" s="91" t="s">
        <v>22</v>
      </c>
      <c r="T186" s="91" t="s">
        <v>22</v>
      </c>
    </row>
    <row r="187" spans="1:20" s="68" customFormat="1" ht="9" customHeight="1" x14ac:dyDescent="0.15">
      <c r="A187" s="66" t="s">
        <v>27</v>
      </c>
      <c r="B187" s="88">
        <f t="shared" si="10"/>
        <v>8306</v>
      </c>
      <c r="C187" s="88">
        <f>890+66+1364</f>
        <v>2320</v>
      </c>
      <c r="D187" s="88">
        <f>1488+125+1832</f>
        <v>3445</v>
      </c>
      <c r="E187" s="88">
        <f>679+88+1231</f>
        <v>1998</v>
      </c>
      <c r="F187" s="89" t="s">
        <v>22</v>
      </c>
      <c r="G187" s="67">
        <v>543</v>
      </c>
      <c r="H187" s="89" t="s">
        <v>22</v>
      </c>
      <c r="I187" s="89" t="s">
        <v>22</v>
      </c>
      <c r="J187" s="89" t="s">
        <v>22</v>
      </c>
      <c r="K187" s="88"/>
      <c r="L187" s="88">
        <f t="shared" si="11"/>
        <v>88336</v>
      </c>
      <c r="M187" s="88">
        <f>19885+1368+31915</f>
        <v>53168</v>
      </c>
      <c r="N187" s="88">
        <f>4107+305+5831</f>
        <v>10243</v>
      </c>
      <c r="O187" s="88">
        <f>615+87+605</f>
        <v>1307</v>
      </c>
      <c r="P187" s="89" t="s">
        <v>22</v>
      </c>
      <c r="Q187" s="67">
        <f>16964+1320+5334</f>
        <v>23618</v>
      </c>
      <c r="R187" s="89" t="s">
        <v>22</v>
      </c>
      <c r="S187" s="89" t="s">
        <v>22</v>
      </c>
      <c r="T187" s="89" t="s">
        <v>22</v>
      </c>
    </row>
    <row r="188" spans="1:20" s="68" customFormat="1" ht="9" customHeight="1" x14ac:dyDescent="0.15">
      <c r="A188" s="66" t="s">
        <v>28</v>
      </c>
      <c r="B188" s="88">
        <f t="shared" si="10"/>
        <v>7929</v>
      </c>
      <c r="C188" s="88">
        <f>1298+709+331</f>
        <v>2338</v>
      </c>
      <c r="D188" s="88">
        <f>2080+403+659</f>
        <v>3142</v>
      </c>
      <c r="E188" s="88">
        <f>1025+16+2</f>
        <v>1043</v>
      </c>
      <c r="F188" s="89" t="s">
        <v>22</v>
      </c>
      <c r="G188" s="67">
        <v>1406</v>
      </c>
      <c r="H188" s="89" t="s">
        <v>22</v>
      </c>
      <c r="I188" s="89" t="s">
        <v>22</v>
      </c>
      <c r="J188" s="89" t="s">
        <v>22</v>
      </c>
      <c r="K188" s="88"/>
      <c r="L188" s="88">
        <f t="shared" si="11"/>
        <v>80625</v>
      </c>
      <c r="M188" s="88">
        <f>22943+7653+3656</f>
        <v>34252</v>
      </c>
      <c r="N188" s="88">
        <f>4335+895+1640</f>
        <v>6870</v>
      </c>
      <c r="O188" s="88">
        <f>144+3+3</f>
        <v>150</v>
      </c>
      <c r="P188" s="89" t="s">
        <v>22</v>
      </c>
      <c r="Q188" s="67">
        <f>39353</f>
        <v>39353</v>
      </c>
      <c r="R188" s="89" t="s">
        <v>22</v>
      </c>
      <c r="S188" s="89" t="s">
        <v>22</v>
      </c>
      <c r="T188" s="89" t="s">
        <v>22</v>
      </c>
    </row>
    <row r="189" spans="1:20" s="68" customFormat="1" ht="9" customHeight="1" x14ac:dyDescent="0.15">
      <c r="A189" s="66" t="s">
        <v>29</v>
      </c>
      <c r="B189" s="88">
        <f t="shared" si="10"/>
        <v>5942</v>
      </c>
      <c r="C189" s="88">
        <f>1080+980</f>
        <v>2060</v>
      </c>
      <c r="D189" s="88">
        <f>908+2408</f>
        <v>3316</v>
      </c>
      <c r="E189" s="88">
        <f>129+415</f>
        <v>544</v>
      </c>
      <c r="F189" s="89" t="s">
        <v>22</v>
      </c>
      <c r="G189" s="67">
        <v>22</v>
      </c>
      <c r="H189" s="89" t="s">
        <v>22</v>
      </c>
      <c r="I189" s="89" t="s">
        <v>22</v>
      </c>
      <c r="J189" s="89" t="s">
        <v>22</v>
      </c>
      <c r="K189" s="88"/>
      <c r="L189" s="88">
        <f t="shared" si="11"/>
        <v>49533</v>
      </c>
      <c r="M189" s="88">
        <f>23580+18772</f>
        <v>42352</v>
      </c>
      <c r="N189" s="88">
        <f>2186+3164</f>
        <v>5350</v>
      </c>
      <c r="O189" s="88">
        <f>130+416</f>
        <v>546</v>
      </c>
      <c r="P189" s="89" t="s">
        <v>22</v>
      </c>
      <c r="Q189" s="67">
        <v>1285</v>
      </c>
      <c r="R189" s="89" t="s">
        <v>22</v>
      </c>
      <c r="S189" s="89" t="s">
        <v>22</v>
      </c>
      <c r="T189" s="89" t="s">
        <v>22</v>
      </c>
    </row>
    <row r="190" spans="1:20" s="68" customFormat="1" ht="9" customHeight="1" x14ac:dyDescent="0.15">
      <c r="A190" s="69" t="s">
        <v>30</v>
      </c>
      <c r="B190" s="90">
        <f t="shared" si="10"/>
        <v>5421</v>
      </c>
      <c r="C190" s="90">
        <f>940+801</f>
        <v>1741</v>
      </c>
      <c r="D190" s="90">
        <f>1733+674</f>
        <v>2407</v>
      </c>
      <c r="E190" s="90">
        <f>364+823</f>
        <v>1187</v>
      </c>
      <c r="F190" s="91" t="s">
        <v>22</v>
      </c>
      <c r="G190" s="70">
        <v>86</v>
      </c>
      <c r="H190" s="91" t="s">
        <v>22</v>
      </c>
      <c r="I190" s="91" t="s">
        <v>22</v>
      </c>
      <c r="J190" s="91" t="s">
        <v>22</v>
      </c>
      <c r="K190" s="90"/>
      <c r="L190" s="90">
        <f t="shared" si="11"/>
        <v>51800</v>
      </c>
      <c r="M190" s="90">
        <f>17121+20381</f>
        <v>37502</v>
      </c>
      <c r="N190" s="90">
        <f>3787+2531</f>
        <v>6318</v>
      </c>
      <c r="O190" s="90">
        <f>273+1743</f>
        <v>2016</v>
      </c>
      <c r="P190" s="91" t="s">
        <v>22</v>
      </c>
      <c r="Q190" s="70">
        <f>5344+620</f>
        <v>5964</v>
      </c>
      <c r="R190" s="91" t="s">
        <v>22</v>
      </c>
      <c r="S190" s="91" t="s">
        <v>22</v>
      </c>
      <c r="T190" s="91" t="s">
        <v>22</v>
      </c>
    </row>
    <row r="191" spans="1:20" s="68" customFormat="1" ht="9" customHeight="1" x14ac:dyDescent="0.15">
      <c r="A191" s="66" t="s">
        <v>63</v>
      </c>
      <c r="B191" s="88">
        <f t="shared" si="10"/>
        <v>40946</v>
      </c>
      <c r="C191" s="88">
        <v>12061</v>
      </c>
      <c r="D191" s="88">
        <v>17729</v>
      </c>
      <c r="E191" s="88">
        <v>6504</v>
      </c>
      <c r="F191" s="89" t="s">
        <v>22</v>
      </c>
      <c r="G191" s="67">
        <v>4652</v>
      </c>
      <c r="H191" s="89" t="s">
        <v>22</v>
      </c>
      <c r="I191" s="89" t="s">
        <v>22</v>
      </c>
      <c r="J191" s="89" t="s">
        <v>22</v>
      </c>
      <c r="K191" s="88"/>
      <c r="L191" s="88">
        <f t="shared" si="11"/>
        <v>515551</v>
      </c>
      <c r="M191" s="88">
        <v>394130</v>
      </c>
      <c r="N191" s="88">
        <v>57227</v>
      </c>
      <c r="O191" s="88">
        <v>7503</v>
      </c>
      <c r="P191" s="89" t="s">
        <v>22</v>
      </c>
      <c r="Q191" s="67">
        <v>56691</v>
      </c>
      <c r="R191" s="89" t="s">
        <v>22</v>
      </c>
      <c r="S191" s="89" t="s">
        <v>22</v>
      </c>
      <c r="T191" s="89" t="s">
        <v>22</v>
      </c>
    </row>
    <row r="192" spans="1:20" s="68" customFormat="1" ht="9" customHeight="1" x14ac:dyDescent="0.15">
      <c r="A192" s="66" t="s">
        <v>31</v>
      </c>
      <c r="B192" s="88">
        <f t="shared" si="10"/>
        <v>5534</v>
      </c>
      <c r="C192" s="88">
        <f>1189+569</f>
        <v>1758</v>
      </c>
      <c r="D192" s="88">
        <f>1234+1253</f>
        <v>2487</v>
      </c>
      <c r="E192" s="88">
        <f>226+734</f>
        <v>960</v>
      </c>
      <c r="F192" s="89" t="s">
        <v>22</v>
      </c>
      <c r="G192" s="67">
        <v>329</v>
      </c>
      <c r="H192" s="89" t="s">
        <v>22</v>
      </c>
      <c r="I192" s="89" t="s">
        <v>22</v>
      </c>
      <c r="J192" s="89" t="s">
        <v>22</v>
      </c>
      <c r="K192" s="88"/>
      <c r="L192" s="88">
        <f t="shared" si="11"/>
        <v>37416</v>
      </c>
      <c r="M192" s="88">
        <f>17791+12819</f>
        <v>30610</v>
      </c>
      <c r="N192" s="88">
        <f>2001+2883</f>
        <v>4884</v>
      </c>
      <c r="O192" s="88">
        <f>85+484</f>
        <v>569</v>
      </c>
      <c r="P192" s="89" t="s">
        <v>22</v>
      </c>
      <c r="Q192" s="67">
        <f>71+1282</f>
        <v>1353</v>
      </c>
      <c r="R192" s="89" t="s">
        <v>22</v>
      </c>
      <c r="S192" s="89" t="s">
        <v>22</v>
      </c>
      <c r="T192" s="89" t="s">
        <v>22</v>
      </c>
    </row>
    <row r="193" spans="1:20" s="68" customFormat="1" ht="9" customHeight="1" x14ac:dyDescent="0.15">
      <c r="A193" s="66" t="s">
        <v>32</v>
      </c>
      <c r="B193" s="88">
        <f t="shared" si="10"/>
        <v>8200</v>
      </c>
      <c r="C193" s="88">
        <v>2260</v>
      </c>
      <c r="D193" s="88">
        <v>3357</v>
      </c>
      <c r="E193" s="88">
        <v>1623</v>
      </c>
      <c r="F193" s="89" t="s">
        <v>22</v>
      </c>
      <c r="G193" s="67">
        <v>960</v>
      </c>
      <c r="H193" s="89" t="s">
        <v>22</v>
      </c>
      <c r="I193" s="89" t="s">
        <v>22</v>
      </c>
      <c r="J193" s="89" t="s">
        <v>22</v>
      </c>
      <c r="K193" s="88"/>
      <c r="L193" s="88">
        <f t="shared" si="11"/>
        <v>87851</v>
      </c>
      <c r="M193" s="88">
        <v>55041</v>
      </c>
      <c r="N193" s="88">
        <v>8359</v>
      </c>
      <c r="O193" s="88">
        <v>930</v>
      </c>
      <c r="P193" s="89" t="s">
        <v>22</v>
      </c>
      <c r="Q193" s="67">
        <v>23521</v>
      </c>
      <c r="R193" s="89" t="s">
        <v>22</v>
      </c>
      <c r="S193" s="89" t="s">
        <v>22</v>
      </c>
      <c r="T193" s="89" t="s">
        <v>22</v>
      </c>
    </row>
    <row r="194" spans="1:20" s="68" customFormat="1" ht="9" customHeight="1" x14ac:dyDescent="0.15">
      <c r="A194" s="69" t="s">
        <v>33</v>
      </c>
      <c r="B194" s="90">
        <f t="shared" si="10"/>
        <v>5574</v>
      </c>
      <c r="C194" s="90">
        <v>1905</v>
      </c>
      <c r="D194" s="90">
        <v>2299</v>
      </c>
      <c r="E194" s="90">
        <v>1059</v>
      </c>
      <c r="F194" s="91" t="s">
        <v>22</v>
      </c>
      <c r="G194" s="70">
        <v>311</v>
      </c>
      <c r="H194" s="91" t="s">
        <v>22</v>
      </c>
      <c r="I194" s="91" t="s">
        <v>22</v>
      </c>
      <c r="J194" s="91" t="s">
        <v>22</v>
      </c>
      <c r="K194" s="90"/>
      <c r="L194" s="90">
        <f t="shared" si="11"/>
        <v>861915</v>
      </c>
      <c r="M194" s="90">
        <v>50507</v>
      </c>
      <c r="N194" s="90">
        <v>4270</v>
      </c>
      <c r="O194" s="90">
        <v>550</v>
      </c>
      <c r="P194" s="91" t="s">
        <v>22</v>
      </c>
      <c r="Q194" s="70">
        <v>806588</v>
      </c>
      <c r="R194" s="91" t="s">
        <v>22</v>
      </c>
      <c r="S194" s="91" t="s">
        <v>22</v>
      </c>
      <c r="T194" s="91" t="s">
        <v>22</v>
      </c>
    </row>
    <row r="195" spans="1:20" s="68" customFormat="1" ht="9" customHeight="1" x14ac:dyDescent="0.15">
      <c r="A195" s="66" t="s">
        <v>34</v>
      </c>
      <c r="B195" s="88">
        <f t="shared" si="10"/>
        <v>6030</v>
      </c>
      <c r="C195" s="88">
        <f>1064+120</f>
        <v>1184</v>
      </c>
      <c r="D195" s="88">
        <f>3547+656</f>
        <v>4203</v>
      </c>
      <c r="E195" s="88">
        <f>521+18</f>
        <v>539</v>
      </c>
      <c r="F195" s="89" t="s">
        <v>22</v>
      </c>
      <c r="G195" s="67">
        <v>104</v>
      </c>
      <c r="H195" s="89" t="s">
        <v>22</v>
      </c>
      <c r="I195" s="89" t="s">
        <v>22</v>
      </c>
      <c r="J195" s="89" t="s">
        <v>22</v>
      </c>
      <c r="K195" s="88"/>
      <c r="L195" s="88">
        <f t="shared" si="11"/>
        <v>39049</v>
      </c>
      <c r="M195" s="88">
        <f>23736+3769</f>
        <v>27505</v>
      </c>
      <c r="N195" s="88">
        <f>7373+1367</f>
        <v>8740</v>
      </c>
      <c r="O195" s="88">
        <f>326+42</f>
        <v>368</v>
      </c>
      <c r="P195" s="89" t="s">
        <v>22</v>
      </c>
      <c r="Q195" s="67">
        <f>2400+36</f>
        <v>2436</v>
      </c>
      <c r="R195" s="89" t="s">
        <v>22</v>
      </c>
      <c r="S195" s="89" t="s">
        <v>22</v>
      </c>
      <c r="T195" s="89" t="s">
        <v>22</v>
      </c>
    </row>
    <row r="196" spans="1:20" s="68" customFormat="1" ht="9" customHeight="1" x14ac:dyDescent="0.15">
      <c r="A196" s="66" t="s">
        <v>35</v>
      </c>
      <c r="B196" s="88">
        <f t="shared" si="10"/>
        <v>20600</v>
      </c>
      <c r="C196" s="88">
        <v>4122</v>
      </c>
      <c r="D196" s="88">
        <v>9483</v>
      </c>
      <c r="E196" s="88">
        <v>4123</v>
      </c>
      <c r="F196" s="89" t="s">
        <v>22</v>
      </c>
      <c r="G196" s="67">
        <v>2872</v>
      </c>
      <c r="H196" s="89" t="s">
        <v>22</v>
      </c>
      <c r="I196" s="89" t="s">
        <v>22</v>
      </c>
      <c r="J196" s="89" t="s">
        <v>22</v>
      </c>
      <c r="K196" s="88"/>
      <c r="L196" s="88">
        <f t="shared" si="11"/>
        <v>129335</v>
      </c>
      <c r="M196" s="88">
        <v>89581</v>
      </c>
      <c r="N196" s="88">
        <f>22750+68</f>
        <v>22818</v>
      </c>
      <c r="O196" s="88">
        <v>1925</v>
      </c>
      <c r="P196" s="89" t="s">
        <v>22</v>
      </c>
      <c r="Q196" s="67">
        <v>15011</v>
      </c>
      <c r="R196" s="89" t="s">
        <v>22</v>
      </c>
      <c r="S196" s="89" t="s">
        <v>22</v>
      </c>
      <c r="T196" s="89" t="s">
        <v>22</v>
      </c>
    </row>
    <row r="197" spans="1:20" s="68" customFormat="1" ht="9" customHeight="1" x14ac:dyDescent="0.15">
      <c r="A197" s="66" t="s">
        <v>36</v>
      </c>
      <c r="B197" s="88">
        <f t="shared" si="10"/>
        <v>21524</v>
      </c>
      <c r="C197" s="88">
        <v>7209</v>
      </c>
      <c r="D197" s="88">
        <v>8470</v>
      </c>
      <c r="E197" s="88">
        <v>4273</v>
      </c>
      <c r="F197" s="89" t="s">
        <v>22</v>
      </c>
      <c r="G197" s="67">
        <v>1572</v>
      </c>
      <c r="H197" s="89" t="s">
        <v>22</v>
      </c>
      <c r="I197" s="89" t="s">
        <v>22</v>
      </c>
      <c r="J197" s="89" t="s">
        <v>22</v>
      </c>
      <c r="K197" s="88"/>
      <c r="L197" s="88">
        <f t="shared" si="11"/>
        <v>301370</v>
      </c>
      <c r="M197" s="88">
        <v>198386</v>
      </c>
      <c r="N197" s="88">
        <v>27103</v>
      </c>
      <c r="O197" s="88">
        <v>3011</v>
      </c>
      <c r="P197" s="89" t="s">
        <v>22</v>
      </c>
      <c r="Q197" s="67">
        <v>72870</v>
      </c>
      <c r="R197" s="89" t="s">
        <v>22</v>
      </c>
      <c r="S197" s="89" t="s">
        <v>22</v>
      </c>
      <c r="T197" s="89" t="s">
        <v>22</v>
      </c>
    </row>
    <row r="198" spans="1:20" s="68" customFormat="1" ht="9" customHeight="1" x14ac:dyDescent="0.15">
      <c r="A198" s="69" t="s">
        <v>37</v>
      </c>
      <c r="B198" s="90">
        <f t="shared" si="10"/>
        <v>2254</v>
      </c>
      <c r="C198" s="90">
        <v>780</v>
      </c>
      <c r="D198" s="90">
        <v>735</v>
      </c>
      <c r="E198" s="90">
        <v>515</v>
      </c>
      <c r="F198" s="91" t="s">
        <v>22</v>
      </c>
      <c r="G198" s="70">
        <v>224</v>
      </c>
      <c r="H198" s="91" t="s">
        <v>22</v>
      </c>
      <c r="I198" s="91" t="s">
        <v>22</v>
      </c>
      <c r="J198" s="91" t="s">
        <v>22</v>
      </c>
      <c r="K198" s="90"/>
      <c r="L198" s="90">
        <f t="shared" si="11"/>
        <v>12833</v>
      </c>
      <c r="M198" s="90">
        <v>8346</v>
      </c>
      <c r="N198" s="90">
        <v>2497</v>
      </c>
      <c r="O198" s="90">
        <v>1500</v>
      </c>
      <c r="P198" s="91" t="s">
        <v>22</v>
      </c>
      <c r="Q198" s="70">
        <v>490</v>
      </c>
      <c r="R198" s="91" t="s">
        <v>22</v>
      </c>
      <c r="S198" s="91" t="s">
        <v>22</v>
      </c>
      <c r="T198" s="91" t="s">
        <v>22</v>
      </c>
    </row>
    <row r="199" spans="1:20" s="68" customFormat="1" ht="9" customHeight="1" x14ac:dyDescent="0.15">
      <c r="A199" s="66" t="s">
        <v>38</v>
      </c>
      <c r="B199" s="88">
        <f t="shared" si="10"/>
        <v>3413</v>
      </c>
      <c r="C199" s="88">
        <v>1340</v>
      </c>
      <c r="D199" s="88">
        <v>1278</v>
      </c>
      <c r="E199" s="88">
        <v>727</v>
      </c>
      <c r="F199" s="89" t="s">
        <v>22</v>
      </c>
      <c r="G199" s="67">
        <v>68</v>
      </c>
      <c r="H199" s="89" t="s">
        <v>22</v>
      </c>
      <c r="I199" s="89" t="s">
        <v>22</v>
      </c>
      <c r="J199" s="89" t="s">
        <v>22</v>
      </c>
      <c r="K199" s="88"/>
      <c r="L199" s="88">
        <f t="shared" si="11"/>
        <v>45435</v>
      </c>
      <c r="M199" s="88">
        <v>35368</v>
      </c>
      <c r="N199" s="88">
        <v>8330</v>
      </c>
      <c r="O199" s="88">
        <v>201</v>
      </c>
      <c r="P199" s="89" t="s">
        <v>22</v>
      </c>
      <c r="Q199" s="67">
        <v>1536</v>
      </c>
      <c r="R199" s="89" t="s">
        <v>22</v>
      </c>
      <c r="S199" s="89" t="s">
        <v>22</v>
      </c>
      <c r="T199" s="89" t="s">
        <v>22</v>
      </c>
    </row>
    <row r="200" spans="1:20" s="68" customFormat="1" ht="9" customHeight="1" x14ac:dyDescent="0.15">
      <c r="A200" s="66" t="s">
        <v>39</v>
      </c>
      <c r="B200" s="88">
        <f t="shared" si="10"/>
        <v>3194</v>
      </c>
      <c r="C200" s="88">
        <f>433+592</f>
        <v>1025</v>
      </c>
      <c r="D200" s="88">
        <f>105+1682</f>
        <v>1787</v>
      </c>
      <c r="E200" s="88">
        <v>320</v>
      </c>
      <c r="F200" s="89" t="s">
        <v>22</v>
      </c>
      <c r="G200" s="67">
        <v>62</v>
      </c>
      <c r="H200" s="89" t="s">
        <v>22</v>
      </c>
      <c r="I200" s="89" t="s">
        <v>22</v>
      </c>
      <c r="J200" s="89" t="s">
        <v>22</v>
      </c>
      <c r="K200" s="88"/>
      <c r="L200" s="88">
        <f t="shared" si="11"/>
        <v>19600</v>
      </c>
      <c r="M200" s="88">
        <f>520+12986</f>
        <v>13506</v>
      </c>
      <c r="N200" s="88">
        <f>324+4162</f>
        <v>4486</v>
      </c>
      <c r="O200" s="88">
        <v>138</v>
      </c>
      <c r="P200" s="89" t="s">
        <v>22</v>
      </c>
      <c r="Q200" s="67">
        <v>1470</v>
      </c>
      <c r="R200" s="89" t="s">
        <v>22</v>
      </c>
      <c r="S200" s="89" t="s">
        <v>22</v>
      </c>
      <c r="T200" s="89" t="s">
        <v>22</v>
      </c>
    </row>
    <row r="201" spans="1:20" s="68" customFormat="1" ht="9" customHeight="1" x14ac:dyDescent="0.15">
      <c r="A201" s="66" t="s">
        <v>40</v>
      </c>
      <c r="B201" s="88">
        <f t="shared" si="10"/>
        <v>10162</v>
      </c>
      <c r="C201" s="88">
        <v>2345</v>
      </c>
      <c r="D201" s="88">
        <v>5637</v>
      </c>
      <c r="E201" s="88">
        <v>2022</v>
      </c>
      <c r="F201" s="89" t="s">
        <v>22</v>
      </c>
      <c r="G201" s="67">
        <v>158</v>
      </c>
      <c r="H201" s="89" t="s">
        <v>22</v>
      </c>
      <c r="I201" s="89" t="s">
        <v>22</v>
      </c>
      <c r="J201" s="89" t="s">
        <v>22</v>
      </c>
      <c r="K201" s="88"/>
      <c r="L201" s="88">
        <f t="shared" si="11"/>
        <v>64209</v>
      </c>
      <c r="M201" s="88">
        <v>46408</v>
      </c>
      <c r="N201" s="88">
        <v>13295</v>
      </c>
      <c r="O201" s="88">
        <v>1057</v>
      </c>
      <c r="P201" s="89" t="s">
        <v>22</v>
      </c>
      <c r="Q201" s="67">
        <v>3449</v>
      </c>
      <c r="R201" s="89" t="s">
        <v>22</v>
      </c>
      <c r="S201" s="89" t="s">
        <v>22</v>
      </c>
      <c r="T201" s="89" t="s">
        <v>22</v>
      </c>
    </row>
    <row r="202" spans="1:20" s="68" customFormat="1" ht="9" customHeight="1" x14ac:dyDescent="0.15">
      <c r="A202" s="69" t="s">
        <v>41</v>
      </c>
      <c r="B202" s="90">
        <f t="shared" si="10"/>
        <v>1987</v>
      </c>
      <c r="C202" s="90">
        <v>1089</v>
      </c>
      <c r="D202" s="90">
        <v>757</v>
      </c>
      <c r="E202" s="90">
        <v>122</v>
      </c>
      <c r="F202" s="91" t="s">
        <v>22</v>
      </c>
      <c r="G202" s="70">
        <v>19</v>
      </c>
      <c r="H202" s="91" t="s">
        <v>22</v>
      </c>
      <c r="I202" s="91" t="s">
        <v>22</v>
      </c>
      <c r="J202" s="91" t="s">
        <v>22</v>
      </c>
      <c r="K202" s="90"/>
      <c r="L202" s="90">
        <f t="shared" si="11"/>
        <v>28208</v>
      </c>
      <c r="M202" s="90">
        <v>22985</v>
      </c>
      <c r="N202" s="90">
        <v>2997</v>
      </c>
      <c r="O202" s="90">
        <v>296</v>
      </c>
      <c r="P202" s="91" t="s">
        <v>22</v>
      </c>
      <c r="Q202" s="70">
        <v>1930</v>
      </c>
      <c r="R202" s="91" t="s">
        <v>22</v>
      </c>
      <c r="S202" s="91" t="s">
        <v>22</v>
      </c>
      <c r="T202" s="91" t="s">
        <v>22</v>
      </c>
    </row>
    <row r="203" spans="1:20" s="68" customFormat="1" ht="9" customHeight="1" x14ac:dyDescent="0.15">
      <c r="A203" s="66" t="s">
        <v>42</v>
      </c>
      <c r="B203" s="88">
        <f t="shared" si="10"/>
        <v>5551</v>
      </c>
      <c r="C203" s="88">
        <f>1051+324</f>
        <v>1375</v>
      </c>
      <c r="D203" s="88">
        <f>2370+867</f>
        <v>3237</v>
      </c>
      <c r="E203" s="88">
        <f>585+41</f>
        <v>626</v>
      </c>
      <c r="F203" s="89" t="s">
        <v>22</v>
      </c>
      <c r="G203" s="67">
        <v>313</v>
      </c>
      <c r="H203" s="89" t="s">
        <v>22</v>
      </c>
      <c r="I203" s="89" t="s">
        <v>22</v>
      </c>
      <c r="J203" s="89" t="s">
        <v>22</v>
      </c>
      <c r="K203" s="88"/>
      <c r="L203" s="88">
        <f t="shared" si="11"/>
        <v>56466</v>
      </c>
      <c r="M203" s="88">
        <f>21787+11271</f>
        <v>33058</v>
      </c>
      <c r="N203" s="88">
        <f>8448+2994</f>
        <v>11442</v>
      </c>
      <c r="O203" s="88">
        <f>1166+82</f>
        <v>1248</v>
      </c>
      <c r="P203" s="89" t="s">
        <v>22</v>
      </c>
      <c r="Q203" s="67">
        <f>5160+5558</f>
        <v>10718</v>
      </c>
      <c r="R203" s="89" t="s">
        <v>22</v>
      </c>
      <c r="S203" s="89" t="s">
        <v>22</v>
      </c>
      <c r="T203" s="89" t="s">
        <v>22</v>
      </c>
    </row>
    <row r="204" spans="1:20" s="68" customFormat="1" ht="9" customHeight="1" x14ac:dyDescent="0.15">
      <c r="A204" s="66" t="s">
        <v>43</v>
      </c>
      <c r="B204" s="88">
        <f t="shared" si="10"/>
        <v>1649</v>
      </c>
      <c r="C204" s="88">
        <v>364</v>
      </c>
      <c r="D204" s="88">
        <v>755</v>
      </c>
      <c r="E204" s="88">
        <v>436</v>
      </c>
      <c r="F204" s="89" t="s">
        <v>22</v>
      </c>
      <c r="G204" s="67">
        <v>94</v>
      </c>
      <c r="H204" s="89" t="s">
        <v>22</v>
      </c>
      <c r="I204" s="89" t="s">
        <v>22</v>
      </c>
      <c r="J204" s="89" t="s">
        <v>22</v>
      </c>
      <c r="K204" s="88"/>
      <c r="L204" s="88">
        <f t="shared" si="11"/>
        <v>23542</v>
      </c>
      <c r="M204" s="88">
        <v>6812</v>
      </c>
      <c r="N204" s="88">
        <v>1812</v>
      </c>
      <c r="O204" s="88">
        <v>152</v>
      </c>
      <c r="P204" s="89" t="s">
        <v>22</v>
      </c>
      <c r="Q204" s="67">
        <v>14766</v>
      </c>
      <c r="R204" s="89" t="s">
        <v>22</v>
      </c>
      <c r="S204" s="89" t="s">
        <v>22</v>
      </c>
      <c r="T204" s="89" t="s">
        <v>22</v>
      </c>
    </row>
    <row r="205" spans="1:20" s="68" customFormat="1" ht="9" customHeight="1" x14ac:dyDescent="0.15">
      <c r="A205" s="66" t="s">
        <v>44</v>
      </c>
      <c r="B205" s="88">
        <f t="shared" si="10"/>
        <v>3682</v>
      </c>
      <c r="C205" s="88">
        <f>748+453</f>
        <v>1201</v>
      </c>
      <c r="D205" s="88">
        <f>695+1101</f>
        <v>1796</v>
      </c>
      <c r="E205" s="88">
        <f>145+174</f>
        <v>319</v>
      </c>
      <c r="F205" s="89" t="s">
        <v>22</v>
      </c>
      <c r="G205" s="67">
        <v>366</v>
      </c>
      <c r="H205" s="89" t="s">
        <v>22</v>
      </c>
      <c r="I205" s="89" t="s">
        <v>22</v>
      </c>
      <c r="J205" s="89" t="s">
        <v>22</v>
      </c>
      <c r="K205" s="88"/>
      <c r="L205" s="88">
        <f t="shared" si="11"/>
        <v>34685</v>
      </c>
      <c r="M205" s="88">
        <f>14405+9397</f>
        <v>23802</v>
      </c>
      <c r="N205" s="88">
        <f>2669+3263</f>
        <v>5932</v>
      </c>
      <c r="O205" s="88">
        <f>207+511</f>
        <v>718</v>
      </c>
      <c r="P205" s="89" t="s">
        <v>22</v>
      </c>
      <c r="Q205" s="67">
        <f>4133+100</f>
        <v>4233</v>
      </c>
      <c r="R205" s="89" t="s">
        <v>22</v>
      </c>
      <c r="S205" s="89" t="s">
        <v>22</v>
      </c>
      <c r="T205" s="89" t="s">
        <v>22</v>
      </c>
    </row>
    <row r="206" spans="1:20" s="68" customFormat="1" ht="9" customHeight="1" x14ac:dyDescent="0.15">
      <c r="A206" s="69" t="s">
        <v>45</v>
      </c>
      <c r="B206" s="90">
        <f t="shared" si="10"/>
        <v>3064</v>
      </c>
      <c r="C206" s="90">
        <v>1308</v>
      </c>
      <c r="D206" s="90">
        <v>439</v>
      </c>
      <c r="E206" s="90">
        <v>669</v>
      </c>
      <c r="F206" s="91" t="s">
        <v>22</v>
      </c>
      <c r="G206" s="70">
        <v>648</v>
      </c>
      <c r="H206" s="91" t="s">
        <v>22</v>
      </c>
      <c r="I206" s="91" t="s">
        <v>22</v>
      </c>
      <c r="J206" s="91" t="s">
        <v>22</v>
      </c>
      <c r="K206" s="90"/>
      <c r="L206" s="90">
        <f t="shared" si="11"/>
        <v>120492</v>
      </c>
      <c r="M206" s="90">
        <v>44328</v>
      </c>
      <c r="N206" s="90">
        <v>1273</v>
      </c>
      <c r="O206" s="90">
        <v>512</v>
      </c>
      <c r="P206" s="91" t="s">
        <v>22</v>
      </c>
      <c r="Q206" s="70">
        <v>74379</v>
      </c>
      <c r="R206" s="91" t="s">
        <v>22</v>
      </c>
      <c r="S206" s="91" t="s">
        <v>22</v>
      </c>
      <c r="T206" s="91" t="s">
        <v>22</v>
      </c>
    </row>
    <row r="207" spans="1:20" s="68" customFormat="1" ht="9" customHeight="1" x14ac:dyDescent="0.15">
      <c r="A207" s="66" t="s">
        <v>46</v>
      </c>
      <c r="B207" s="88">
        <f t="shared" si="10"/>
        <v>17938</v>
      </c>
      <c r="C207" s="88">
        <v>4342</v>
      </c>
      <c r="D207" s="88">
        <v>7637</v>
      </c>
      <c r="E207" s="88">
        <v>2581</v>
      </c>
      <c r="F207" s="89" t="s">
        <v>22</v>
      </c>
      <c r="G207" s="67">
        <v>3378</v>
      </c>
      <c r="H207" s="89" t="s">
        <v>22</v>
      </c>
      <c r="I207" s="89" t="s">
        <v>22</v>
      </c>
      <c r="J207" s="89" t="s">
        <v>22</v>
      </c>
      <c r="K207" s="88"/>
      <c r="L207" s="88">
        <f t="shared" si="11"/>
        <v>201139</v>
      </c>
      <c r="M207" s="88">
        <v>94626</v>
      </c>
      <c r="N207" s="88">
        <v>27453</v>
      </c>
      <c r="O207" s="88">
        <v>1724</v>
      </c>
      <c r="P207" s="89" t="s">
        <v>22</v>
      </c>
      <c r="Q207" s="67">
        <v>77336</v>
      </c>
      <c r="R207" s="89" t="s">
        <v>22</v>
      </c>
      <c r="S207" s="89" t="s">
        <v>22</v>
      </c>
      <c r="T207" s="89" t="s">
        <v>22</v>
      </c>
    </row>
    <row r="208" spans="1:20" s="68" customFormat="1" ht="9" customHeight="1" x14ac:dyDescent="0.15">
      <c r="A208" s="66" t="s">
        <v>47</v>
      </c>
      <c r="B208" s="88">
        <f t="shared" si="10"/>
        <v>1457</v>
      </c>
      <c r="C208" s="88">
        <v>501</v>
      </c>
      <c r="D208" s="88">
        <v>594</v>
      </c>
      <c r="E208" s="88">
        <v>359</v>
      </c>
      <c r="F208" s="89" t="s">
        <v>22</v>
      </c>
      <c r="G208" s="67">
        <v>3</v>
      </c>
      <c r="H208" s="89" t="s">
        <v>22</v>
      </c>
      <c r="I208" s="89" t="s">
        <v>22</v>
      </c>
      <c r="J208" s="89" t="s">
        <v>22</v>
      </c>
      <c r="K208" s="88"/>
      <c r="L208" s="88">
        <f t="shared" si="11"/>
        <v>12769</v>
      </c>
      <c r="M208" s="88">
        <v>11239</v>
      </c>
      <c r="N208" s="88">
        <v>1081</v>
      </c>
      <c r="O208" s="88">
        <v>449</v>
      </c>
      <c r="P208" s="89" t="s">
        <v>22</v>
      </c>
      <c r="Q208" s="67">
        <v>0</v>
      </c>
      <c r="R208" s="89" t="s">
        <v>22</v>
      </c>
      <c r="S208" s="89" t="s">
        <v>22</v>
      </c>
      <c r="T208" s="89" t="s">
        <v>22</v>
      </c>
    </row>
    <row r="209" spans="1:20" s="68" customFormat="1" ht="9" customHeight="1" x14ac:dyDescent="0.15">
      <c r="A209" s="66" t="s">
        <v>48</v>
      </c>
      <c r="B209" s="88">
        <f t="shared" si="10"/>
        <v>1926</v>
      </c>
      <c r="C209" s="88">
        <v>510</v>
      </c>
      <c r="D209" s="88">
        <v>1319</v>
      </c>
      <c r="E209" s="88">
        <v>88</v>
      </c>
      <c r="F209" s="89" t="s">
        <v>22</v>
      </c>
      <c r="G209" s="67">
        <v>9</v>
      </c>
      <c r="H209" s="89" t="s">
        <v>22</v>
      </c>
      <c r="I209" s="89" t="s">
        <v>22</v>
      </c>
      <c r="J209" s="89" t="s">
        <v>22</v>
      </c>
      <c r="K209" s="88"/>
      <c r="L209" s="88">
        <f t="shared" si="11"/>
        <v>16856</v>
      </c>
      <c r="M209" s="88">
        <v>11343</v>
      </c>
      <c r="N209" s="88">
        <v>3842</v>
      </c>
      <c r="O209" s="88">
        <v>144</v>
      </c>
      <c r="P209" s="89" t="s">
        <v>22</v>
      </c>
      <c r="Q209" s="67">
        <v>1527</v>
      </c>
      <c r="R209" s="89" t="s">
        <v>22</v>
      </c>
      <c r="S209" s="89" t="s">
        <v>22</v>
      </c>
      <c r="T209" s="89" t="s">
        <v>22</v>
      </c>
    </row>
    <row r="210" spans="1:20" s="68" customFormat="1" ht="9" customHeight="1" x14ac:dyDescent="0.15">
      <c r="A210" s="69" t="s">
        <v>49</v>
      </c>
      <c r="B210" s="90">
        <f t="shared" si="10"/>
        <v>5365</v>
      </c>
      <c r="C210" s="90">
        <f>365+1029</f>
        <v>1394</v>
      </c>
      <c r="D210" s="90">
        <f>708+1168</f>
        <v>1876</v>
      </c>
      <c r="E210" s="90">
        <f>251+811</f>
        <v>1062</v>
      </c>
      <c r="F210" s="91" t="s">
        <v>22</v>
      </c>
      <c r="G210" s="70">
        <v>1033</v>
      </c>
      <c r="H210" s="91" t="s">
        <v>22</v>
      </c>
      <c r="I210" s="91" t="s">
        <v>22</v>
      </c>
      <c r="J210" s="91" t="s">
        <v>22</v>
      </c>
      <c r="K210" s="90"/>
      <c r="L210" s="90">
        <f t="shared" si="11"/>
        <v>33154</v>
      </c>
      <c r="M210" s="90">
        <f>5864+17146</f>
        <v>23010</v>
      </c>
      <c r="N210" s="90">
        <f>1388+3385</f>
        <v>4773</v>
      </c>
      <c r="O210" s="90">
        <f>204+314</f>
        <v>518</v>
      </c>
      <c r="P210" s="91" t="s">
        <v>22</v>
      </c>
      <c r="Q210" s="70">
        <f>1680+3173</f>
        <v>4853</v>
      </c>
      <c r="R210" s="91" t="s">
        <v>22</v>
      </c>
      <c r="S210" s="91" t="s">
        <v>22</v>
      </c>
      <c r="T210" s="91" t="s">
        <v>22</v>
      </c>
    </row>
    <row r="211" spans="1:20" s="68" customFormat="1" ht="9" customHeight="1" x14ac:dyDescent="0.15">
      <c r="A211" s="66" t="s">
        <v>51</v>
      </c>
      <c r="B211" s="88">
        <f t="shared" si="10"/>
        <v>4247</v>
      </c>
      <c r="C211" s="88">
        <f>996+974</f>
        <v>1970</v>
      </c>
      <c r="D211" s="88">
        <f>1087+589</f>
        <v>1676</v>
      </c>
      <c r="E211" s="88">
        <f>363+187</f>
        <v>550</v>
      </c>
      <c r="F211" s="89" t="s">
        <v>22</v>
      </c>
      <c r="G211" s="67">
        <v>51</v>
      </c>
      <c r="H211" s="89" t="s">
        <v>22</v>
      </c>
      <c r="I211" s="89" t="s">
        <v>22</v>
      </c>
      <c r="J211" s="89" t="s">
        <v>22</v>
      </c>
      <c r="K211" s="88"/>
      <c r="L211" s="88">
        <f t="shared" si="11"/>
        <v>42171</v>
      </c>
      <c r="M211" s="88">
        <f>17216+16100</f>
        <v>33316</v>
      </c>
      <c r="N211" s="88">
        <f>2211+1298</f>
        <v>3509</v>
      </c>
      <c r="O211" s="88">
        <f>238+223</f>
        <v>461</v>
      </c>
      <c r="P211" s="89" t="s">
        <v>22</v>
      </c>
      <c r="Q211" s="67">
        <f>2125+2760</f>
        <v>4885</v>
      </c>
      <c r="R211" s="89" t="s">
        <v>22</v>
      </c>
      <c r="S211" s="89" t="s">
        <v>22</v>
      </c>
      <c r="T211" s="89" t="s">
        <v>22</v>
      </c>
    </row>
    <row r="212" spans="1:20" s="68" customFormat="1" ht="9" customHeight="1" x14ac:dyDescent="0.15">
      <c r="A212" s="66" t="s">
        <v>52</v>
      </c>
      <c r="B212" s="88">
        <f t="shared" si="10"/>
        <v>2358</v>
      </c>
      <c r="C212" s="88">
        <v>829</v>
      </c>
      <c r="D212" s="88">
        <v>1089</v>
      </c>
      <c r="E212" s="88">
        <v>317</v>
      </c>
      <c r="F212" s="88" t="s">
        <v>22</v>
      </c>
      <c r="G212" s="67">
        <v>123</v>
      </c>
      <c r="H212" s="89" t="s">
        <v>22</v>
      </c>
      <c r="I212" s="89" t="s">
        <v>22</v>
      </c>
      <c r="J212" s="89" t="s">
        <v>22</v>
      </c>
      <c r="K212" s="88"/>
      <c r="L212" s="88">
        <f t="shared" si="11"/>
        <v>33918</v>
      </c>
      <c r="M212" s="88">
        <v>27975</v>
      </c>
      <c r="N212" s="88">
        <v>1965</v>
      </c>
      <c r="O212" s="88">
        <v>650</v>
      </c>
      <c r="P212" s="89" t="s">
        <v>22</v>
      </c>
      <c r="Q212" s="67">
        <v>3328</v>
      </c>
      <c r="R212" s="89" t="s">
        <v>22</v>
      </c>
      <c r="S212" s="89" t="s">
        <v>22</v>
      </c>
      <c r="T212" s="89" t="s">
        <v>22</v>
      </c>
    </row>
    <row r="213" spans="1:20" s="68" customFormat="1" ht="9" customHeight="1" x14ac:dyDescent="0.15">
      <c r="A213" s="71" t="s">
        <v>53</v>
      </c>
      <c r="B213" s="92">
        <f t="shared" si="10"/>
        <v>2176</v>
      </c>
      <c r="C213" s="92">
        <v>688</v>
      </c>
      <c r="D213" s="92">
        <v>1128</v>
      </c>
      <c r="E213" s="92">
        <v>191</v>
      </c>
      <c r="F213" s="92" t="s">
        <v>22</v>
      </c>
      <c r="G213" s="67">
        <v>169</v>
      </c>
      <c r="H213" s="89" t="s">
        <v>22</v>
      </c>
      <c r="I213" s="89" t="s">
        <v>22</v>
      </c>
      <c r="J213" s="89" t="s">
        <v>22</v>
      </c>
      <c r="K213" s="92"/>
      <c r="L213" s="92">
        <f t="shared" si="11"/>
        <v>18782</v>
      </c>
      <c r="M213" s="92">
        <v>16524</v>
      </c>
      <c r="N213" s="92">
        <v>1638</v>
      </c>
      <c r="O213" s="92">
        <v>287</v>
      </c>
      <c r="P213" s="89" t="s">
        <v>22</v>
      </c>
      <c r="Q213" s="67">
        <v>333</v>
      </c>
      <c r="R213" s="89" t="s">
        <v>22</v>
      </c>
      <c r="S213" s="89" t="s">
        <v>22</v>
      </c>
      <c r="T213" s="89" t="s">
        <v>22</v>
      </c>
    </row>
    <row r="214" spans="1:20" s="65" customFormat="1" ht="9" customHeight="1" x14ac:dyDescent="0.25">
      <c r="A214" s="100"/>
      <c r="B214" s="97"/>
      <c r="C214" s="98"/>
      <c r="D214" s="97"/>
      <c r="E214" s="97"/>
      <c r="F214" s="97"/>
      <c r="G214" s="64"/>
      <c r="H214" s="64"/>
      <c r="I214" s="64"/>
      <c r="J214" s="64"/>
      <c r="K214" s="97"/>
      <c r="L214" s="97"/>
      <c r="M214" s="97"/>
      <c r="N214" s="97"/>
      <c r="O214" s="97"/>
      <c r="P214" s="97"/>
      <c r="Q214" s="64"/>
      <c r="R214" s="64"/>
      <c r="S214" s="64"/>
      <c r="T214" s="64"/>
    </row>
    <row r="215" spans="1:20" s="65" customFormat="1" ht="9" customHeight="1" x14ac:dyDescent="0.25">
      <c r="A215" s="96">
        <v>2005</v>
      </c>
      <c r="B215" s="97"/>
      <c r="C215" s="98"/>
      <c r="D215" s="97"/>
      <c r="E215" s="97"/>
      <c r="F215" s="97"/>
      <c r="G215" s="64"/>
      <c r="H215" s="64"/>
      <c r="I215" s="64"/>
      <c r="J215" s="64"/>
      <c r="K215" s="97"/>
      <c r="L215" s="97"/>
      <c r="M215" s="97"/>
      <c r="N215" s="97"/>
      <c r="O215" s="97"/>
      <c r="P215" s="97"/>
      <c r="Q215" s="64"/>
      <c r="R215" s="64"/>
      <c r="S215" s="64"/>
      <c r="T215" s="64"/>
    </row>
    <row r="216" spans="1:20" s="65" customFormat="1" ht="9" customHeight="1" x14ac:dyDescent="0.25">
      <c r="A216" s="99" t="s">
        <v>21</v>
      </c>
      <c r="B216" s="64">
        <f>SUM(B218:B248)</f>
        <v>242998</v>
      </c>
      <c r="C216" s="64">
        <f>SUM(C218:C248)</f>
        <v>68047</v>
      </c>
      <c r="D216" s="64">
        <f>SUM(D218:D248)</f>
        <v>115510</v>
      </c>
      <c r="E216" s="64">
        <f>SUM(E218:E248)</f>
        <v>40287</v>
      </c>
      <c r="F216" s="63" t="s">
        <v>22</v>
      </c>
      <c r="G216" s="64">
        <f>SUM(G218:G248)</f>
        <v>19154</v>
      </c>
      <c r="H216" s="64" t="s">
        <v>22</v>
      </c>
      <c r="I216" s="64" t="s">
        <v>22</v>
      </c>
      <c r="J216" s="64" t="s">
        <v>22</v>
      </c>
      <c r="K216" s="64"/>
      <c r="L216" s="64">
        <f>SUM(L218:L248)</f>
        <v>3514706</v>
      </c>
      <c r="M216" s="64">
        <f>SUM(M218:M248)</f>
        <v>1714340</v>
      </c>
      <c r="N216" s="64">
        <f>SUM(N218:N248)</f>
        <v>379743</v>
      </c>
      <c r="O216" s="64">
        <f>SUM(O218:O248)</f>
        <v>31317</v>
      </c>
      <c r="P216" s="63" t="s">
        <v>22</v>
      </c>
      <c r="Q216" s="64">
        <f>SUM(Q218:Q248)</f>
        <v>1389306</v>
      </c>
      <c r="R216" s="64" t="s">
        <v>22</v>
      </c>
      <c r="S216" s="64" t="s">
        <v>22</v>
      </c>
      <c r="T216" s="64" t="s">
        <v>22</v>
      </c>
    </row>
    <row r="217" spans="1:20" s="65" customFormat="1" ht="3.95" customHeight="1" x14ac:dyDescent="0.25">
      <c r="A217" s="99"/>
      <c r="B217" s="64"/>
      <c r="C217" s="64"/>
      <c r="D217" s="64"/>
      <c r="E217" s="64"/>
      <c r="F217" s="63"/>
      <c r="G217" s="64"/>
      <c r="H217" s="64"/>
      <c r="I217" s="64"/>
      <c r="J217" s="64"/>
      <c r="K217" s="64"/>
      <c r="L217" s="64"/>
      <c r="M217" s="64"/>
      <c r="N217" s="64"/>
      <c r="O217" s="64"/>
      <c r="P217" s="63"/>
      <c r="Q217" s="64"/>
      <c r="R217" s="64"/>
      <c r="S217" s="64"/>
      <c r="T217" s="64"/>
    </row>
    <row r="218" spans="1:20" s="68" customFormat="1" ht="9" customHeight="1" x14ac:dyDescent="0.15">
      <c r="A218" s="66" t="s">
        <v>23</v>
      </c>
      <c r="B218" s="88">
        <f t="shared" ref="B218:B248" si="12">SUM(C218,D218,E218,G218)</f>
        <v>3284</v>
      </c>
      <c r="C218" s="88">
        <v>797</v>
      </c>
      <c r="D218" s="88">
        <v>1756</v>
      </c>
      <c r="E218" s="88">
        <v>680</v>
      </c>
      <c r="F218" s="89" t="s">
        <v>22</v>
      </c>
      <c r="G218" s="67">
        <v>51</v>
      </c>
      <c r="H218" s="89" t="s">
        <v>22</v>
      </c>
      <c r="I218" s="89" t="s">
        <v>22</v>
      </c>
      <c r="J218" s="89" t="s">
        <v>22</v>
      </c>
      <c r="K218" s="88"/>
      <c r="L218" s="88">
        <f t="shared" ref="L218:L248" si="13">SUM(M218,N218,O218,Q218)</f>
        <v>23784</v>
      </c>
      <c r="M218" s="88">
        <v>14868</v>
      </c>
      <c r="N218" s="88">
        <v>6253</v>
      </c>
      <c r="O218" s="88">
        <v>80</v>
      </c>
      <c r="P218" s="89" t="s">
        <v>22</v>
      </c>
      <c r="Q218" s="67">
        <v>2583</v>
      </c>
      <c r="R218" s="89" t="s">
        <v>22</v>
      </c>
      <c r="S218" s="89" t="s">
        <v>22</v>
      </c>
      <c r="T218" s="89" t="s">
        <v>22</v>
      </c>
    </row>
    <row r="219" spans="1:20" s="68" customFormat="1" ht="9" customHeight="1" x14ac:dyDescent="0.15">
      <c r="A219" s="66" t="s">
        <v>24</v>
      </c>
      <c r="B219" s="88">
        <f t="shared" si="12"/>
        <v>5650</v>
      </c>
      <c r="C219" s="88">
        <v>1119</v>
      </c>
      <c r="D219" s="88">
        <v>3654</v>
      </c>
      <c r="E219" s="88">
        <v>760</v>
      </c>
      <c r="F219" s="89" t="s">
        <v>22</v>
      </c>
      <c r="G219" s="67">
        <v>117</v>
      </c>
      <c r="H219" s="89" t="s">
        <v>22</v>
      </c>
      <c r="I219" s="89" t="s">
        <v>22</v>
      </c>
      <c r="J219" s="89" t="s">
        <v>22</v>
      </c>
      <c r="K219" s="88"/>
      <c r="L219" s="88">
        <f t="shared" si="13"/>
        <v>52726</v>
      </c>
      <c r="M219" s="88">
        <v>27903</v>
      </c>
      <c r="N219" s="88">
        <v>14309</v>
      </c>
      <c r="O219" s="88">
        <v>1623</v>
      </c>
      <c r="P219" s="89" t="s">
        <v>22</v>
      </c>
      <c r="Q219" s="67">
        <v>8891</v>
      </c>
      <c r="R219" s="89" t="s">
        <v>22</v>
      </c>
      <c r="S219" s="89" t="s">
        <v>22</v>
      </c>
      <c r="T219" s="89" t="s">
        <v>22</v>
      </c>
    </row>
    <row r="220" spans="1:20" s="68" customFormat="1" ht="9" customHeight="1" x14ac:dyDescent="0.15">
      <c r="A220" s="66" t="s">
        <v>25</v>
      </c>
      <c r="B220" s="88">
        <f t="shared" si="12"/>
        <v>3528</v>
      </c>
      <c r="C220" s="88">
        <v>1088</v>
      </c>
      <c r="D220" s="88">
        <v>1800</v>
      </c>
      <c r="E220" s="88">
        <v>602</v>
      </c>
      <c r="F220" s="89" t="s">
        <v>22</v>
      </c>
      <c r="G220" s="67">
        <v>38</v>
      </c>
      <c r="H220" s="89" t="s">
        <v>22</v>
      </c>
      <c r="I220" s="89" t="s">
        <v>22</v>
      </c>
      <c r="J220" s="89" t="s">
        <v>22</v>
      </c>
      <c r="K220" s="88"/>
      <c r="L220" s="88">
        <f t="shared" si="13"/>
        <v>26145</v>
      </c>
      <c r="M220" s="88">
        <v>16308</v>
      </c>
      <c r="N220" s="88">
        <v>5478</v>
      </c>
      <c r="O220" s="88">
        <v>928</v>
      </c>
      <c r="P220" s="89" t="s">
        <v>22</v>
      </c>
      <c r="Q220" s="67">
        <v>3431</v>
      </c>
      <c r="R220" s="89" t="s">
        <v>22</v>
      </c>
      <c r="S220" s="89" t="s">
        <v>22</v>
      </c>
      <c r="T220" s="89" t="s">
        <v>22</v>
      </c>
    </row>
    <row r="221" spans="1:20" s="68" customFormat="1" ht="9" customHeight="1" x14ac:dyDescent="0.15">
      <c r="A221" s="69" t="s">
        <v>26</v>
      </c>
      <c r="B221" s="90">
        <f t="shared" si="12"/>
        <v>2165</v>
      </c>
      <c r="C221" s="90">
        <v>497</v>
      </c>
      <c r="D221" s="90">
        <v>883</v>
      </c>
      <c r="E221" s="90">
        <v>383</v>
      </c>
      <c r="F221" s="91" t="s">
        <v>22</v>
      </c>
      <c r="G221" s="70">
        <v>402</v>
      </c>
      <c r="H221" s="91" t="s">
        <v>22</v>
      </c>
      <c r="I221" s="91" t="s">
        <v>22</v>
      </c>
      <c r="J221" s="91" t="s">
        <v>22</v>
      </c>
      <c r="K221" s="90"/>
      <c r="L221" s="90">
        <f t="shared" si="13"/>
        <v>26931</v>
      </c>
      <c r="M221" s="90">
        <v>19511</v>
      </c>
      <c r="N221" s="90">
        <v>2738</v>
      </c>
      <c r="O221" s="90">
        <v>102</v>
      </c>
      <c r="P221" s="91" t="s">
        <v>22</v>
      </c>
      <c r="Q221" s="70">
        <v>4580</v>
      </c>
      <c r="R221" s="91" t="s">
        <v>22</v>
      </c>
      <c r="S221" s="91" t="s">
        <v>22</v>
      </c>
      <c r="T221" s="91" t="s">
        <v>22</v>
      </c>
    </row>
    <row r="222" spans="1:20" s="68" customFormat="1" ht="9" customHeight="1" x14ac:dyDescent="0.15">
      <c r="A222" s="66" t="s">
        <v>27</v>
      </c>
      <c r="B222" s="88">
        <f t="shared" si="12"/>
        <v>7493</v>
      </c>
      <c r="C222" s="88">
        <v>1862</v>
      </c>
      <c r="D222" s="88">
        <v>3532</v>
      </c>
      <c r="E222" s="88">
        <v>1763</v>
      </c>
      <c r="F222" s="89" t="s">
        <v>22</v>
      </c>
      <c r="G222" s="67">
        <v>336</v>
      </c>
      <c r="H222" s="89" t="s">
        <v>22</v>
      </c>
      <c r="I222" s="89" t="s">
        <v>22</v>
      </c>
      <c r="J222" s="89" t="s">
        <v>22</v>
      </c>
      <c r="K222" s="88"/>
      <c r="L222" s="88">
        <f t="shared" si="13"/>
        <v>89557</v>
      </c>
      <c r="M222" s="88">
        <v>43814</v>
      </c>
      <c r="N222" s="88">
        <v>15690</v>
      </c>
      <c r="O222" s="88">
        <v>1091</v>
      </c>
      <c r="P222" s="89" t="s">
        <v>22</v>
      </c>
      <c r="Q222" s="67">
        <v>28962</v>
      </c>
      <c r="R222" s="89" t="s">
        <v>22</v>
      </c>
      <c r="S222" s="89" t="s">
        <v>22</v>
      </c>
      <c r="T222" s="89" t="s">
        <v>22</v>
      </c>
    </row>
    <row r="223" spans="1:20" s="68" customFormat="1" ht="9" customHeight="1" x14ac:dyDescent="0.15">
      <c r="A223" s="66" t="s">
        <v>28</v>
      </c>
      <c r="B223" s="88">
        <f t="shared" si="12"/>
        <v>8764</v>
      </c>
      <c r="C223" s="88">
        <v>2492</v>
      </c>
      <c r="D223" s="88">
        <v>3367</v>
      </c>
      <c r="E223" s="88">
        <v>1574</v>
      </c>
      <c r="F223" s="89" t="s">
        <v>22</v>
      </c>
      <c r="G223" s="67">
        <v>1331</v>
      </c>
      <c r="H223" s="89" t="s">
        <v>22</v>
      </c>
      <c r="I223" s="89" t="s">
        <v>22</v>
      </c>
      <c r="J223" s="89" t="s">
        <v>22</v>
      </c>
      <c r="K223" s="88"/>
      <c r="L223" s="88">
        <f t="shared" si="13"/>
        <v>80239</v>
      </c>
      <c r="M223" s="88">
        <v>38704</v>
      </c>
      <c r="N223" s="88">
        <v>9015</v>
      </c>
      <c r="O223" s="88">
        <v>656</v>
      </c>
      <c r="P223" s="89" t="s">
        <v>22</v>
      </c>
      <c r="Q223" s="67">
        <v>31864</v>
      </c>
      <c r="R223" s="89" t="s">
        <v>22</v>
      </c>
      <c r="S223" s="89" t="s">
        <v>22</v>
      </c>
      <c r="T223" s="89" t="s">
        <v>22</v>
      </c>
    </row>
    <row r="224" spans="1:20" s="68" customFormat="1" ht="9" customHeight="1" x14ac:dyDescent="0.15">
      <c r="A224" s="66" t="s">
        <v>29</v>
      </c>
      <c r="B224" s="88">
        <f t="shared" si="12"/>
        <v>7467</v>
      </c>
      <c r="C224" s="88">
        <v>2666</v>
      </c>
      <c r="D224" s="88">
        <v>4051</v>
      </c>
      <c r="E224" s="88">
        <v>620</v>
      </c>
      <c r="F224" s="89" t="s">
        <v>22</v>
      </c>
      <c r="G224" s="67">
        <v>130</v>
      </c>
      <c r="H224" s="89" t="s">
        <v>22</v>
      </c>
      <c r="I224" s="89" t="s">
        <v>22</v>
      </c>
      <c r="J224" s="89" t="s">
        <v>22</v>
      </c>
      <c r="K224" s="88"/>
      <c r="L224" s="88">
        <f t="shared" si="13"/>
        <v>99076</v>
      </c>
      <c r="M224" s="88">
        <v>48816</v>
      </c>
      <c r="N224" s="88">
        <v>8948</v>
      </c>
      <c r="O224" s="88">
        <v>585</v>
      </c>
      <c r="P224" s="89" t="s">
        <v>22</v>
      </c>
      <c r="Q224" s="67">
        <v>40727</v>
      </c>
      <c r="R224" s="89" t="s">
        <v>22</v>
      </c>
      <c r="S224" s="89" t="s">
        <v>22</v>
      </c>
      <c r="T224" s="89" t="s">
        <v>22</v>
      </c>
    </row>
    <row r="225" spans="1:20" s="68" customFormat="1" ht="9" customHeight="1" x14ac:dyDescent="0.15">
      <c r="A225" s="69" t="s">
        <v>30</v>
      </c>
      <c r="B225" s="90">
        <f t="shared" si="12"/>
        <v>5596</v>
      </c>
      <c r="C225" s="90">
        <v>1599</v>
      </c>
      <c r="D225" s="90">
        <v>3174</v>
      </c>
      <c r="E225" s="90">
        <v>775</v>
      </c>
      <c r="F225" s="91" t="s">
        <v>22</v>
      </c>
      <c r="G225" s="70">
        <v>48</v>
      </c>
      <c r="H225" s="91" t="s">
        <v>22</v>
      </c>
      <c r="I225" s="91" t="s">
        <v>22</v>
      </c>
      <c r="J225" s="91" t="s">
        <v>22</v>
      </c>
      <c r="K225" s="90"/>
      <c r="L225" s="90">
        <f t="shared" si="13"/>
        <v>64093</v>
      </c>
      <c r="M225" s="90">
        <v>46864</v>
      </c>
      <c r="N225" s="90">
        <v>12210</v>
      </c>
      <c r="O225" s="90">
        <v>401</v>
      </c>
      <c r="P225" s="91" t="s">
        <v>22</v>
      </c>
      <c r="Q225" s="70">
        <v>4618</v>
      </c>
      <c r="R225" s="91" t="s">
        <v>22</v>
      </c>
      <c r="S225" s="91" t="s">
        <v>22</v>
      </c>
      <c r="T225" s="91" t="s">
        <v>22</v>
      </c>
    </row>
    <row r="226" spans="1:20" s="68" customFormat="1" ht="9" customHeight="1" x14ac:dyDescent="0.15">
      <c r="A226" s="66" t="s">
        <v>63</v>
      </c>
      <c r="B226" s="88">
        <f t="shared" si="12"/>
        <v>46532</v>
      </c>
      <c r="C226" s="88">
        <v>14932</v>
      </c>
      <c r="D226" s="88">
        <v>21445</v>
      </c>
      <c r="E226" s="88">
        <v>6436</v>
      </c>
      <c r="F226" s="89" t="s">
        <v>22</v>
      </c>
      <c r="G226" s="67">
        <v>3719</v>
      </c>
      <c r="H226" s="89" t="s">
        <v>22</v>
      </c>
      <c r="I226" s="89" t="s">
        <v>22</v>
      </c>
      <c r="J226" s="89" t="s">
        <v>22</v>
      </c>
      <c r="K226" s="88"/>
      <c r="L226" s="88">
        <f t="shared" si="13"/>
        <v>609630</v>
      </c>
      <c r="M226" s="88">
        <v>445569</v>
      </c>
      <c r="N226" s="88">
        <v>76081</v>
      </c>
      <c r="O226" s="88">
        <v>5017</v>
      </c>
      <c r="P226" s="89" t="s">
        <v>22</v>
      </c>
      <c r="Q226" s="67">
        <v>82963</v>
      </c>
      <c r="R226" s="89" t="s">
        <v>22</v>
      </c>
      <c r="S226" s="89" t="s">
        <v>22</v>
      </c>
      <c r="T226" s="89" t="s">
        <v>22</v>
      </c>
    </row>
    <row r="227" spans="1:20" s="68" customFormat="1" ht="9" customHeight="1" x14ac:dyDescent="0.15">
      <c r="A227" s="66" t="s">
        <v>31</v>
      </c>
      <c r="B227" s="88">
        <f t="shared" si="12"/>
        <v>6697</v>
      </c>
      <c r="C227" s="88">
        <v>2201</v>
      </c>
      <c r="D227" s="88">
        <v>2683</v>
      </c>
      <c r="E227" s="88">
        <v>1343</v>
      </c>
      <c r="F227" s="89" t="s">
        <v>22</v>
      </c>
      <c r="G227" s="67">
        <v>470</v>
      </c>
      <c r="H227" s="89" t="s">
        <v>22</v>
      </c>
      <c r="I227" s="89" t="s">
        <v>22</v>
      </c>
      <c r="J227" s="89" t="s">
        <v>22</v>
      </c>
      <c r="K227" s="88"/>
      <c r="L227" s="88">
        <f t="shared" si="13"/>
        <v>51023</v>
      </c>
      <c r="M227" s="88">
        <v>34332</v>
      </c>
      <c r="N227" s="88">
        <v>7891</v>
      </c>
      <c r="O227" s="88">
        <v>895</v>
      </c>
      <c r="P227" s="89" t="s">
        <v>22</v>
      </c>
      <c r="Q227" s="67">
        <v>7905</v>
      </c>
      <c r="R227" s="89" t="s">
        <v>22</v>
      </c>
      <c r="S227" s="89" t="s">
        <v>22</v>
      </c>
      <c r="T227" s="89" t="s">
        <v>22</v>
      </c>
    </row>
    <row r="228" spans="1:20" s="68" customFormat="1" ht="9" customHeight="1" x14ac:dyDescent="0.15">
      <c r="A228" s="66" t="s">
        <v>32</v>
      </c>
      <c r="B228" s="88">
        <f t="shared" si="12"/>
        <v>8590</v>
      </c>
      <c r="C228" s="88">
        <v>1856</v>
      </c>
      <c r="D228" s="88">
        <v>3391</v>
      </c>
      <c r="E228" s="88">
        <v>1843</v>
      </c>
      <c r="F228" s="89" t="s">
        <v>22</v>
      </c>
      <c r="G228" s="67">
        <v>1500</v>
      </c>
      <c r="H228" s="89" t="s">
        <v>22</v>
      </c>
      <c r="I228" s="89" t="s">
        <v>22</v>
      </c>
      <c r="J228" s="89" t="s">
        <v>22</v>
      </c>
      <c r="K228" s="88"/>
      <c r="L228" s="88">
        <f t="shared" si="13"/>
        <v>92918</v>
      </c>
      <c r="M228" s="88">
        <v>46213</v>
      </c>
      <c r="N228" s="88">
        <v>9007</v>
      </c>
      <c r="O228" s="88">
        <v>890</v>
      </c>
      <c r="P228" s="89" t="s">
        <v>22</v>
      </c>
      <c r="Q228" s="67">
        <v>36808</v>
      </c>
      <c r="R228" s="89" t="s">
        <v>22</v>
      </c>
      <c r="S228" s="89" t="s">
        <v>22</v>
      </c>
      <c r="T228" s="89" t="s">
        <v>22</v>
      </c>
    </row>
    <row r="229" spans="1:20" s="68" customFormat="1" ht="9" customHeight="1" x14ac:dyDescent="0.15">
      <c r="A229" s="69" t="s">
        <v>33</v>
      </c>
      <c r="B229" s="90">
        <f t="shared" si="12"/>
        <v>8698</v>
      </c>
      <c r="C229" s="90">
        <v>3086</v>
      </c>
      <c r="D229" s="90">
        <v>3177</v>
      </c>
      <c r="E229" s="90">
        <v>1660</v>
      </c>
      <c r="F229" s="91" t="s">
        <v>22</v>
      </c>
      <c r="G229" s="70">
        <v>775</v>
      </c>
      <c r="H229" s="91" t="s">
        <v>22</v>
      </c>
      <c r="I229" s="91" t="s">
        <v>22</v>
      </c>
      <c r="J229" s="91" t="s">
        <v>22</v>
      </c>
      <c r="K229" s="90"/>
      <c r="L229" s="90">
        <f t="shared" si="13"/>
        <v>896975</v>
      </c>
      <c r="M229" s="90">
        <v>76960</v>
      </c>
      <c r="N229" s="90">
        <v>5288</v>
      </c>
      <c r="O229" s="90">
        <v>539</v>
      </c>
      <c r="P229" s="91" t="s">
        <v>22</v>
      </c>
      <c r="Q229" s="70">
        <v>814188</v>
      </c>
      <c r="R229" s="91" t="s">
        <v>22</v>
      </c>
      <c r="S229" s="91" t="s">
        <v>22</v>
      </c>
      <c r="T229" s="91" t="s">
        <v>22</v>
      </c>
    </row>
    <row r="230" spans="1:20" s="68" customFormat="1" ht="9" customHeight="1" x14ac:dyDescent="0.15">
      <c r="A230" s="66" t="s">
        <v>34</v>
      </c>
      <c r="B230" s="88">
        <f t="shared" si="12"/>
        <v>5567</v>
      </c>
      <c r="C230" s="88">
        <v>1886</v>
      </c>
      <c r="D230" s="88">
        <v>2519</v>
      </c>
      <c r="E230" s="88">
        <v>878</v>
      </c>
      <c r="F230" s="89" t="s">
        <v>22</v>
      </c>
      <c r="G230" s="67">
        <v>284</v>
      </c>
      <c r="H230" s="89" t="s">
        <v>22</v>
      </c>
      <c r="I230" s="89" t="s">
        <v>22</v>
      </c>
      <c r="J230" s="89" t="s">
        <v>22</v>
      </c>
      <c r="K230" s="88"/>
      <c r="L230" s="88">
        <f t="shared" si="13"/>
        <v>69423</v>
      </c>
      <c r="M230" s="88">
        <v>42758</v>
      </c>
      <c r="N230" s="88">
        <v>8964</v>
      </c>
      <c r="O230" s="88">
        <v>464</v>
      </c>
      <c r="P230" s="89" t="s">
        <v>22</v>
      </c>
      <c r="Q230" s="67">
        <v>17237</v>
      </c>
      <c r="R230" s="89" t="s">
        <v>22</v>
      </c>
      <c r="S230" s="89" t="s">
        <v>22</v>
      </c>
      <c r="T230" s="89" t="s">
        <v>22</v>
      </c>
    </row>
    <row r="231" spans="1:20" s="68" customFormat="1" ht="9" customHeight="1" x14ac:dyDescent="0.15">
      <c r="A231" s="66" t="s">
        <v>35</v>
      </c>
      <c r="B231" s="88">
        <f t="shared" si="12"/>
        <v>19330</v>
      </c>
      <c r="C231" s="88">
        <v>4253</v>
      </c>
      <c r="D231" s="88">
        <v>9146</v>
      </c>
      <c r="E231" s="88">
        <v>3956</v>
      </c>
      <c r="F231" s="89" t="s">
        <v>22</v>
      </c>
      <c r="G231" s="67">
        <v>1975</v>
      </c>
      <c r="H231" s="89" t="s">
        <v>22</v>
      </c>
      <c r="I231" s="89" t="s">
        <v>22</v>
      </c>
      <c r="J231" s="89" t="s">
        <v>22</v>
      </c>
      <c r="K231" s="88"/>
      <c r="L231" s="88">
        <f t="shared" si="13"/>
        <v>169207</v>
      </c>
      <c r="M231" s="88">
        <v>111053</v>
      </c>
      <c r="N231" s="88">
        <v>23003</v>
      </c>
      <c r="O231" s="88">
        <v>2790</v>
      </c>
      <c r="P231" s="89" t="s">
        <v>22</v>
      </c>
      <c r="Q231" s="67">
        <v>32361</v>
      </c>
      <c r="R231" s="89" t="s">
        <v>22</v>
      </c>
      <c r="S231" s="89" t="s">
        <v>22</v>
      </c>
      <c r="T231" s="89" t="s">
        <v>22</v>
      </c>
    </row>
    <row r="232" spans="1:20" s="68" customFormat="1" ht="9" customHeight="1" x14ac:dyDescent="0.15">
      <c r="A232" s="66" t="s">
        <v>36</v>
      </c>
      <c r="B232" s="88">
        <f t="shared" si="12"/>
        <v>22764</v>
      </c>
      <c r="C232" s="88">
        <v>6693</v>
      </c>
      <c r="D232" s="88">
        <v>9640</v>
      </c>
      <c r="E232" s="88">
        <v>4974</v>
      </c>
      <c r="F232" s="89" t="s">
        <v>22</v>
      </c>
      <c r="G232" s="67">
        <v>1457</v>
      </c>
      <c r="H232" s="89" t="s">
        <v>22</v>
      </c>
      <c r="I232" s="89" t="s">
        <v>22</v>
      </c>
      <c r="J232" s="89" t="s">
        <v>22</v>
      </c>
      <c r="K232" s="88"/>
      <c r="L232" s="88">
        <f t="shared" si="13"/>
        <v>322491</v>
      </c>
      <c r="M232" s="88">
        <v>196757</v>
      </c>
      <c r="N232" s="88">
        <v>40211</v>
      </c>
      <c r="O232" s="88">
        <v>4847</v>
      </c>
      <c r="P232" s="89" t="s">
        <v>22</v>
      </c>
      <c r="Q232" s="67">
        <v>80676</v>
      </c>
      <c r="R232" s="89" t="s">
        <v>22</v>
      </c>
      <c r="S232" s="89" t="s">
        <v>22</v>
      </c>
      <c r="T232" s="89" t="s">
        <v>22</v>
      </c>
    </row>
    <row r="233" spans="1:20" s="68" customFormat="1" ht="9" customHeight="1" x14ac:dyDescent="0.15">
      <c r="A233" s="69" t="s">
        <v>37</v>
      </c>
      <c r="B233" s="90">
        <f t="shared" si="12"/>
        <v>3565</v>
      </c>
      <c r="C233" s="90">
        <v>1039</v>
      </c>
      <c r="D233" s="90">
        <v>1711</v>
      </c>
      <c r="E233" s="90">
        <v>475</v>
      </c>
      <c r="F233" s="91" t="s">
        <v>22</v>
      </c>
      <c r="G233" s="70">
        <v>340</v>
      </c>
      <c r="H233" s="91" t="s">
        <v>22</v>
      </c>
      <c r="I233" s="91" t="s">
        <v>22</v>
      </c>
      <c r="J233" s="91" t="s">
        <v>22</v>
      </c>
      <c r="K233" s="90"/>
      <c r="L233" s="90">
        <f t="shared" si="13"/>
        <v>24388</v>
      </c>
      <c r="M233" s="90">
        <v>14934</v>
      </c>
      <c r="N233" s="90">
        <v>4710</v>
      </c>
      <c r="O233" s="90">
        <v>961</v>
      </c>
      <c r="P233" s="91" t="s">
        <v>22</v>
      </c>
      <c r="Q233" s="70">
        <v>3783</v>
      </c>
      <c r="R233" s="91" t="s">
        <v>22</v>
      </c>
      <c r="S233" s="91" t="s">
        <v>22</v>
      </c>
      <c r="T233" s="91" t="s">
        <v>22</v>
      </c>
    </row>
    <row r="234" spans="1:20" s="68" customFormat="1" ht="9" customHeight="1" x14ac:dyDescent="0.15">
      <c r="A234" s="66" t="s">
        <v>38</v>
      </c>
      <c r="B234" s="88">
        <f t="shared" si="12"/>
        <v>4044</v>
      </c>
      <c r="C234" s="88">
        <v>841</v>
      </c>
      <c r="D234" s="88">
        <v>2243</v>
      </c>
      <c r="E234" s="88">
        <v>875</v>
      </c>
      <c r="F234" s="89" t="s">
        <v>22</v>
      </c>
      <c r="G234" s="67">
        <v>85</v>
      </c>
      <c r="H234" s="89" t="s">
        <v>22</v>
      </c>
      <c r="I234" s="89" t="s">
        <v>22</v>
      </c>
      <c r="J234" s="89" t="s">
        <v>22</v>
      </c>
      <c r="K234" s="88"/>
      <c r="L234" s="88">
        <f t="shared" si="13"/>
        <v>39364</v>
      </c>
      <c r="M234" s="88">
        <v>20601</v>
      </c>
      <c r="N234" s="88">
        <v>14308</v>
      </c>
      <c r="O234" s="88">
        <v>555</v>
      </c>
      <c r="P234" s="89" t="s">
        <v>22</v>
      </c>
      <c r="Q234" s="67">
        <v>3900</v>
      </c>
      <c r="R234" s="89" t="s">
        <v>22</v>
      </c>
      <c r="S234" s="89" t="s">
        <v>22</v>
      </c>
      <c r="T234" s="89" t="s">
        <v>22</v>
      </c>
    </row>
    <row r="235" spans="1:20" s="68" customFormat="1" ht="9" customHeight="1" x14ac:dyDescent="0.15">
      <c r="A235" s="66" t="s">
        <v>39</v>
      </c>
      <c r="B235" s="88">
        <f t="shared" si="12"/>
        <v>3328</v>
      </c>
      <c r="C235" s="88">
        <v>823</v>
      </c>
      <c r="D235" s="88">
        <v>2228</v>
      </c>
      <c r="E235" s="88">
        <v>266</v>
      </c>
      <c r="F235" s="89" t="s">
        <v>22</v>
      </c>
      <c r="G235" s="67">
        <v>11</v>
      </c>
      <c r="H235" s="89" t="s">
        <v>22</v>
      </c>
      <c r="I235" s="89" t="s">
        <v>22</v>
      </c>
      <c r="J235" s="89" t="s">
        <v>22</v>
      </c>
      <c r="K235" s="88"/>
      <c r="L235" s="88">
        <f t="shared" si="13"/>
        <v>26141</v>
      </c>
      <c r="M235" s="88">
        <v>17726</v>
      </c>
      <c r="N235" s="88">
        <v>5753</v>
      </c>
      <c r="O235" s="88">
        <v>123</v>
      </c>
      <c r="P235" s="89" t="s">
        <v>22</v>
      </c>
      <c r="Q235" s="67">
        <v>2539</v>
      </c>
      <c r="R235" s="89" t="s">
        <v>22</v>
      </c>
      <c r="S235" s="89" t="s">
        <v>22</v>
      </c>
      <c r="T235" s="89" t="s">
        <v>22</v>
      </c>
    </row>
    <row r="236" spans="1:20" s="68" customFormat="1" ht="9" customHeight="1" x14ac:dyDescent="0.15">
      <c r="A236" s="66" t="s">
        <v>40</v>
      </c>
      <c r="B236" s="88">
        <f t="shared" si="12"/>
        <v>9214</v>
      </c>
      <c r="C236" s="88">
        <v>1899</v>
      </c>
      <c r="D236" s="88">
        <v>5535</v>
      </c>
      <c r="E236" s="88">
        <v>1671</v>
      </c>
      <c r="F236" s="89" t="s">
        <v>22</v>
      </c>
      <c r="G236" s="67">
        <v>109</v>
      </c>
      <c r="H236" s="89" t="s">
        <v>22</v>
      </c>
      <c r="I236" s="89" t="s">
        <v>22</v>
      </c>
      <c r="J236" s="89" t="s">
        <v>22</v>
      </c>
      <c r="K236" s="88"/>
      <c r="L236" s="88">
        <f t="shared" si="13"/>
        <v>64459</v>
      </c>
      <c r="M236" s="88">
        <v>38183</v>
      </c>
      <c r="N236" s="88">
        <v>19428</v>
      </c>
      <c r="O236" s="88">
        <v>771</v>
      </c>
      <c r="P236" s="89" t="s">
        <v>22</v>
      </c>
      <c r="Q236" s="67">
        <v>6077</v>
      </c>
      <c r="R236" s="89" t="s">
        <v>22</v>
      </c>
      <c r="S236" s="89" t="s">
        <v>22</v>
      </c>
      <c r="T236" s="89" t="s">
        <v>22</v>
      </c>
    </row>
    <row r="237" spans="1:20" s="68" customFormat="1" ht="9" customHeight="1" x14ac:dyDescent="0.15">
      <c r="A237" s="69" t="s">
        <v>41</v>
      </c>
      <c r="B237" s="90">
        <f t="shared" si="12"/>
        <v>2468</v>
      </c>
      <c r="C237" s="90">
        <v>734</v>
      </c>
      <c r="D237" s="90">
        <v>1469</v>
      </c>
      <c r="E237" s="90">
        <v>240</v>
      </c>
      <c r="F237" s="91" t="s">
        <v>22</v>
      </c>
      <c r="G237" s="70">
        <v>25</v>
      </c>
      <c r="H237" s="91" t="s">
        <v>22</v>
      </c>
      <c r="I237" s="91" t="s">
        <v>22</v>
      </c>
      <c r="J237" s="91" t="s">
        <v>22</v>
      </c>
      <c r="K237" s="90"/>
      <c r="L237" s="90">
        <f t="shared" si="13"/>
        <v>35669</v>
      </c>
      <c r="M237" s="90">
        <v>20370</v>
      </c>
      <c r="N237" s="90">
        <v>7134</v>
      </c>
      <c r="O237" s="90">
        <v>279</v>
      </c>
      <c r="P237" s="91" t="s">
        <v>22</v>
      </c>
      <c r="Q237" s="70">
        <v>7886</v>
      </c>
      <c r="R237" s="91" t="s">
        <v>22</v>
      </c>
      <c r="S237" s="91" t="s">
        <v>22</v>
      </c>
      <c r="T237" s="91" t="s">
        <v>22</v>
      </c>
    </row>
    <row r="238" spans="1:20" s="68" customFormat="1" ht="9" customHeight="1" x14ac:dyDescent="0.15">
      <c r="A238" s="66" t="s">
        <v>42</v>
      </c>
      <c r="B238" s="88">
        <f t="shared" si="12"/>
        <v>6436</v>
      </c>
      <c r="C238" s="88">
        <v>1585</v>
      </c>
      <c r="D238" s="88">
        <v>3531</v>
      </c>
      <c r="E238" s="88">
        <v>786</v>
      </c>
      <c r="F238" s="89" t="s">
        <v>22</v>
      </c>
      <c r="G238" s="67">
        <v>534</v>
      </c>
      <c r="H238" s="89" t="s">
        <v>22</v>
      </c>
      <c r="I238" s="89" t="s">
        <v>22</v>
      </c>
      <c r="J238" s="89" t="s">
        <v>22</v>
      </c>
      <c r="K238" s="88"/>
      <c r="L238" s="88">
        <f t="shared" si="13"/>
        <v>89955</v>
      </c>
      <c r="M238" s="88">
        <v>51963</v>
      </c>
      <c r="N238" s="88">
        <v>13854</v>
      </c>
      <c r="O238" s="88">
        <v>1943</v>
      </c>
      <c r="P238" s="89" t="s">
        <v>22</v>
      </c>
      <c r="Q238" s="67">
        <v>22195</v>
      </c>
      <c r="R238" s="89" t="s">
        <v>22</v>
      </c>
      <c r="S238" s="89" t="s">
        <v>22</v>
      </c>
      <c r="T238" s="89" t="s">
        <v>22</v>
      </c>
    </row>
    <row r="239" spans="1:20" s="68" customFormat="1" ht="9" customHeight="1" x14ac:dyDescent="0.15">
      <c r="A239" s="66" t="s">
        <v>43</v>
      </c>
      <c r="B239" s="88">
        <f t="shared" si="12"/>
        <v>2026</v>
      </c>
      <c r="C239" s="88">
        <v>329</v>
      </c>
      <c r="D239" s="88">
        <v>1048</v>
      </c>
      <c r="E239" s="88">
        <v>496</v>
      </c>
      <c r="F239" s="89" t="s">
        <v>22</v>
      </c>
      <c r="G239" s="67">
        <v>153</v>
      </c>
      <c r="H239" s="89" t="s">
        <v>22</v>
      </c>
      <c r="I239" s="89" t="s">
        <v>22</v>
      </c>
      <c r="J239" s="89" t="s">
        <v>22</v>
      </c>
      <c r="K239" s="88"/>
      <c r="L239" s="88">
        <f t="shared" si="13"/>
        <v>15666</v>
      </c>
      <c r="M239" s="88">
        <v>6962</v>
      </c>
      <c r="N239" s="88">
        <v>2969</v>
      </c>
      <c r="O239" s="88">
        <v>440</v>
      </c>
      <c r="P239" s="89" t="s">
        <v>22</v>
      </c>
      <c r="Q239" s="67">
        <v>5295</v>
      </c>
      <c r="R239" s="89" t="s">
        <v>22</v>
      </c>
      <c r="S239" s="89" t="s">
        <v>22</v>
      </c>
      <c r="T239" s="89" t="s">
        <v>22</v>
      </c>
    </row>
    <row r="240" spans="1:20" s="68" customFormat="1" ht="9" customHeight="1" x14ac:dyDescent="0.15">
      <c r="A240" s="66" t="s">
        <v>44</v>
      </c>
      <c r="B240" s="88">
        <f t="shared" si="12"/>
        <v>3191</v>
      </c>
      <c r="C240" s="88">
        <v>876</v>
      </c>
      <c r="D240" s="88">
        <v>1836</v>
      </c>
      <c r="E240" s="88">
        <v>215</v>
      </c>
      <c r="F240" s="89" t="s">
        <v>22</v>
      </c>
      <c r="G240" s="67">
        <v>264</v>
      </c>
      <c r="H240" s="89" t="s">
        <v>22</v>
      </c>
      <c r="I240" s="89" t="s">
        <v>22</v>
      </c>
      <c r="J240" s="89" t="s">
        <v>22</v>
      </c>
      <c r="K240" s="88"/>
      <c r="L240" s="88">
        <f t="shared" si="13"/>
        <v>44686</v>
      </c>
      <c r="M240" s="88">
        <v>24002</v>
      </c>
      <c r="N240" s="88">
        <v>7201</v>
      </c>
      <c r="O240" s="88">
        <v>398</v>
      </c>
      <c r="P240" s="89" t="s">
        <v>22</v>
      </c>
      <c r="Q240" s="67">
        <v>13085</v>
      </c>
      <c r="R240" s="89" t="s">
        <v>22</v>
      </c>
      <c r="S240" s="89" t="s">
        <v>22</v>
      </c>
      <c r="T240" s="89" t="s">
        <v>22</v>
      </c>
    </row>
    <row r="241" spans="1:20" s="68" customFormat="1" ht="9" customHeight="1" x14ac:dyDescent="0.15">
      <c r="A241" s="69" t="s">
        <v>45</v>
      </c>
      <c r="B241" s="90">
        <f t="shared" si="12"/>
        <v>2323</v>
      </c>
      <c r="C241" s="90">
        <v>909</v>
      </c>
      <c r="D241" s="90">
        <v>677</v>
      </c>
      <c r="E241" s="90">
        <v>541</v>
      </c>
      <c r="F241" s="91" t="s">
        <v>22</v>
      </c>
      <c r="G241" s="70">
        <v>196</v>
      </c>
      <c r="H241" s="91" t="s">
        <v>22</v>
      </c>
      <c r="I241" s="91" t="s">
        <v>22</v>
      </c>
      <c r="J241" s="91" t="s">
        <v>22</v>
      </c>
      <c r="K241" s="90"/>
      <c r="L241" s="90">
        <f t="shared" si="13"/>
        <v>40477</v>
      </c>
      <c r="M241" s="90">
        <v>26899</v>
      </c>
      <c r="N241" s="90">
        <v>4204</v>
      </c>
      <c r="O241" s="90">
        <v>549</v>
      </c>
      <c r="P241" s="91" t="s">
        <v>22</v>
      </c>
      <c r="Q241" s="70">
        <v>8825</v>
      </c>
      <c r="R241" s="91" t="s">
        <v>22</v>
      </c>
      <c r="S241" s="91" t="s">
        <v>22</v>
      </c>
      <c r="T241" s="91" t="s">
        <v>22</v>
      </c>
    </row>
    <row r="242" spans="1:20" s="68" customFormat="1" ht="9" customHeight="1" x14ac:dyDescent="0.15">
      <c r="A242" s="66" t="s">
        <v>46</v>
      </c>
      <c r="B242" s="88">
        <f t="shared" si="12"/>
        <v>17546</v>
      </c>
      <c r="C242" s="88">
        <v>4126</v>
      </c>
      <c r="D242" s="88">
        <v>7620</v>
      </c>
      <c r="E242" s="88">
        <v>2569</v>
      </c>
      <c r="F242" s="89" t="s">
        <v>22</v>
      </c>
      <c r="G242" s="67">
        <v>3231</v>
      </c>
      <c r="H242" s="89" t="s">
        <v>22</v>
      </c>
      <c r="I242" s="89" t="s">
        <v>22</v>
      </c>
      <c r="J242" s="89" t="s">
        <v>22</v>
      </c>
      <c r="K242" s="88"/>
      <c r="L242" s="88">
        <f t="shared" si="13"/>
        <v>221457</v>
      </c>
      <c r="M242" s="88">
        <v>101880</v>
      </c>
      <c r="N242" s="88">
        <v>26561</v>
      </c>
      <c r="O242" s="88">
        <v>1798</v>
      </c>
      <c r="P242" s="89" t="s">
        <v>22</v>
      </c>
      <c r="Q242" s="67">
        <v>91218</v>
      </c>
      <c r="R242" s="89" t="s">
        <v>22</v>
      </c>
      <c r="S242" s="89" t="s">
        <v>22</v>
      </c>
      <c r="T242" s="89" t="s">
        <v>22</v>
      </c>
    </row>
    <row r="243" spans="1:20" s="68" customFormat="1" ht="9" customHeight="1" x14ac:dyDescent="0.15">
      <c r="A243" s="66" t="s">
        <v>47</v>
      </c>
      <c r="B243" s="88">
        <f t="shared" si="12"/>
        <v>1718</v>
      </c>
      <c r="C243" s="88">
        <v>494</v>
      </c>
      <c r="D243" s="88">
        <v>952</v>
      </c>
      <c r="E243" s="88">
        <v>269</v>
      </c>
      <c r="F243" s="89" t="s">
        <v>22</v>
      </c>
      <c r="G243" s="67">
        <v>3</v>
      </c>
      <c r="H243" s="89" t="s">
        <v>22</v>
      </c>
      <c r="I243" s="89" t="s">
        <v>22</v>
      </c>
      <c r="J243" s="89" t="s">
        <v>22</v>
      </c>
      <c r="K243" s="88"/>
      <c r="L243" s="88">
        <f t="shared" si="13"/>
        <v>9642</v>
      </c>
      <c r="M243" s="88">
        <v>7676</v>
      </c>
      <c r="N243" s="88">
        <v>1439</v>
      </c>
      <c r="O243" s="88">
        <v>177</v>
      </c>
      <c r="P243" s="89" t="s">
        <v>22</v>
      </c>
      <c r="Q243" s="67">
        <v>350</v>
      </c>
      <c r="R243" s="89" t="s">
        <v>22</v>
      </c>
      <c r="S243" s="89" t="s">
        <v>22</v>
      </c>
      <c r="T243" s="89" t="s">
        <v>22</v>
      </c>
    </row>
    <row r="244" spans="1:20" s="68" customFormat="1" ht="9" customHeight="1" x14ac:dyDescent="0.15">
      <c r="A244" s="66" t="s">
        <v>48</v>
      </c>
      <c r="B244" s="88">
        <f t="shared" si="12"/>
        <v>7244</v>
      </c>
      <c r="C244" s="88">
        <v>1848</v>
      </c>
      <c r="D244" s="88">
        <v>4946</v>
      </c>
      <c r="E244" s="88">
        <v>444</v>
      </c>
      <c r="F244" s="89" t="s">
        <v>22</v>
      </c>
      <c r="G244" s="67">
        <v>6</v>
      </c>
      <c r="H244" s="89" t="s">
        <v>22</v>
      </c>
      <c r="I244" s="89" t="s">
        <v>22</v>
      </c>
      <c r="J244" s="89" t="s">
        <v>22</v>
      </c>
      <c r="K244" s="88"/>
      <c r="L244" s="88">
        <f t="shared" si="13"/>
        <v>53635</v>
      </c>
      <c r="M244" s="88">
        <v>42095</v>
      </c>
      <c r="N244" s="88">
        <v>9044</v>
      </c>
      <c r="O244" s="88">
        <v>172</v>
      </c>
      <c r="P244" s="89" t="s">
        <v>22</v>
      </c>
      <c r="Q244" s="67">
        <v>2324</v>
      </c>
      <c r="R244" s="89" t="s">
        <v>22</v>
      </c>
      <c r="S244" s="89" t="s">
        <v>22</v>
      </c>
      <c r="T244" s="89" t="s">
        <v>22</v>
      </c>
    </row>
    <row r="245" spans="1:20" s="68" customFormat="1" ht="9" customHeight="1" x14ac:dyDescent="0.15">
      <c r="A245" s="69" t="s">
        <v>49</v>
      </c>
      <c r="B245" s="90">
        <f t="shared" si="12"/>
        <v>6482</v>
      </c>
      <c r="C245" s="90">
        <v>1617</v>
      </c>
      <c r="D245" s="90">
        <v>2162</v>
      </c>
      <c r="E245" s="90">
        <v>1448</v>
      </c>
      <c r="F245" s="91" t="s">
        <v>22</v>
      </c>
      <c r="G245" s="70">
        <v>1255</v>
      </c>
      <c r="H245" s="91" t="s">
        <v>22</v>
      </c>
      <c r="I245" s="91" t="s">
        <v>22</v>
      </c>
      <c r="J245" s="91" t="s">
        <v>22</v>
      </c>
      <c r="K245" s="90"/>
      <c r="L245" s="90">
        <f t="shared" si="13"/>
        <v>46651</v>
      </c>
      <c r="M245" s="90">
        <v>33345</v>
      </c>
      <c r="N245" s="90">
        <v>5803</v>
      </c>
      <c r="O245" s="90">
        <v>616</v>
      </c>
      <c r="P245" s="91" t="s">
        <v>22</v>
      </c>
      <c r="Q245" s="70">
        <v>6887</v>
      </c>
      <c r="R245" s="91" t="s">
        <v>22</v>
      </c>
      <c r="S245" s="91" t="s">
        <v>22</v>
      </c>
      <c r="T245" s="91" t="s">
        <v>22</v>
      </c>
    </row>
    <row r="246" spans="1:20" s="68" customFormat="1" ht="9" customHeight="1" x14ac:dyDescent="0.15">
      <c r="A246" s="66" t="s">
        <v>51</v>
      </c>
      <c r="B246" s="88">
        <f t="shared" si="12"/>
        <v>5278</v>
      </c>
      <c r="C246" s="88">
        <v>2247</v>
      </c>
      <c r="D246" s="88">
        <v>2059</v>
      </c>
      <c r="E246" s="88">
        <v>903</v>
      </c>
      <c r="F246" s="89" t="s">
        <v>22</v>
      </c>
      <c r="G246" s="67">
        <v>69</v>
      </c>
      <c r="H246" s="89" t="s">
        <v>22</v>
      </c>
      <c r="I246" s="89" t="s">
        <v>22</v>
      </c>
      <c r="J246" s="89" t="s">
        <v>22</v>
      </c>
      <c r="K246" s="88"/>
      <c r="L246" s="88">
        <f t="shared" si="13"/>
        <v>61994</v>
      </c>
      <c r="M246" s="88">
        <v>47368</v>
      </c>
      <c r="N246" s="88">
        <v>5609</v>
      </c>
      <c r="O246" s="88">
        <v>604</v>
      </c>
      <c r="P246" s="89" t="s">
        <v>22</v>
      </c>
      <c r="Q246" s="67">
        <v>8413</v>
      </c>
      <c r="R246" s="89" t="s">
        <v>22</v>
      </c>
      <c r="S246" s="89" t="s">
        <v>22</v>
      </c>
      <c r="T246" s="89" t="s">
        <v>22</v>
      </c>
    </row>
    <row r="247" spans="1:20" s="68" customFormat="1" ht="9" customHeight="1" x14ac:dyDescent="0.15">
      <c r="A247" s="66" t="s">
        <v>52</v>
      </c>
      <c r="B247" s="88">
        <f t="shared" si="12"/>
        <v>3002</v>
      </c>
      <c r="C247" s="88">
        <v>878</v>
      </c>
      <c r="D247" s="88">
        <v>1459</v>
      </c>
      <c r="E247" s="88">
        <v>545</v>
      </c>
      <c r="F247" s="88" t="s">
        <v>22</v>
      </c>
      <c r="G247" s="67">
        <v>120</v>
      </c>
      <c r="H247" s="89" t="s">
        <v>22</v>
      </c>
      <c r="I247" s="89" t="s">
        <v>22</v>
      </c>
      <c r="J247" s="89" t="s">
        <v>22</v>
      </c>
      <c r="K247" s="88"/>
      <c r="L247" s="88">
        <f t="shared" si="13"/>
        <v>43215</v>
      </c>
      <c r="M247" s="88">
        <v>32914</v>
      </c>
      <c r="N247" s="88">
        <v>3288</v>
      </c>
      <c r="O247" s="88">
        <v>951</v>
      </c>
      <c r="P247" s="88" t="s">
        <v>22</v>
      </c>
      <c r="Q247" s="67">
        <v>6062</v>
      </c>
      <c r="R247" s="89" t="s">
        <v>22</v>
      </c>
      <c r="S247" s="89" t="s">
        <v>22</v>
      </c>
      <c r="T247" s="89" t="s">
        <v>22</v>
      </c>
    </row>
    <row r="248" spans="1:20" s="68" customFormat="1" ht="9" customHeight="1" x14ac:dyDescent="0.15">
      <c r="A248" s="71" t="s">
        <v>53</v>
      </c>
      <c r="B248" s="92">
        <f t="shared" si="12"/>
        <v>3008</v>
      </c>
      <c r="C248" s="92">
        <v>775</v>
      </c>
      <c r="D248" s="92">
        <v>1816</v>
      </c>
      <c r="E248" s="92">
        <v>297</v>
      </c>
      <c r="F248" s="92" t="s">
        <v>22</v>
      </c>
      <c r="G248" s="67">
        <v>120</v>
      </c>
      <c r="H248" s="89" t="s">
        <v>22</v>
      </c>
      <c r="I248" s="89" t="s">
        <v>22</v>
      </c>
      <c r="J248" s="89" t="s">
        <v>22</v>
      </c>
      <c r="K248" s="92"/>
      <c r="L248" s="92">
        <f t="shared" si="13"/>
        <v>23089</v>
      </c>
      <c r="M248" s="92">
        <v>16992</v>
      </c>
      <c r="N248" s="92">
        <v>3352</v>
      </c>
      <c r="O248" s="92">
        <v>72</v>
      </c>
      <c r="P248" s="92" t="s">
        <v>22</v>
      </c>
      <c r="Q248" s="67">
        <v>2673</v>
      </c>
      <c r="R248" s="89" t="s">
        <v>22</v>
      </c>
      <c r="S248" s="89" t="s">
        <v>22</v>
      </c>
      <c r="T248" s="89" t="s">
        <v>22</v>
      </c>
    </row>
    <row r="249" spans="1:20" s="65" customFormat="1" ht="9" customHeight="1" x14ac:dyDescent="0.25">
      <c r="A249" s="100"/>
      <c r="B249" s="97"/>
      <c r="C249" s="98"/>
      <c r="D249" s="97"/>
      <c r="E249" s="97"/>
      <c r="F249" s="97"/>
      <c r="G249" s="64"/>
      <c r="H249" s="64"/>
      <c r="I249" s="64"/>
      <c r="J249" s="64"/>
      <c r="K249" s="97"/>
      <c r="L249" s="97"/>
      <c r="M249" s="97"/>
      <c r="N249" s="97"/>
      <c r="O249" s="97"/>
      <c r="P249" s="97"/>
      <c r="Q249" s="64"/>
      <c r="R249" s="64"/>
      <c r="S249" s="64"/>
      <c r="T249" s="64"/>
    </row>
    <row r="250" spans="1:20" s="65" customFormat="1" ht="9" customHeight="1" x14ac:dyDescent="0.25">
      <c r="A250" s="96">
        <v>2006</v>
      </c>
      <c r="B250" s="97"/>
      <c r="C250" s="98"/>
      <c r="D250" s="97"/>
      <c r="E250" s="97"/>
      <c r="F250" s="97"/>
      <c r="G250" s="64"/>
      <c r="H250" s="64"/>
      <c r="I250" s="64"/>
      <c r="J250" s="64"/>
      <c r="K250" s="97"/>
      <c r="L250" s="97"/>
      <c r="M250" s="97"/>
      <c r="N250" s="97"/>
      <c r="O250" s="97"/>
      <c r="P250" s="97"/>
      <c r="Q250" s="64"/>
      <c r="R250" s="64"/>
      <c r="S250" s="64"/>
      <c r="T250" s="64"/>
    </row>
    <row r="251" spans="1:20" s="65" customFormat="1" ht="9" customHeight="1" x14ac:dyDescent="0.25">
      <c r="A251" s="99" t="s">
        <v>21</v>
      </c>
      <c r="B251" s="64">
        <f>SUM(B253:B283)</f>
        <v>230851</v>
      </c>
      <c r="C251" s="64">
        <f>SUM(C253:C283)</f>
        <v>68998</v>
      </c>
      <c r="D251" s="64">
        <f>SUM(D253:D283)</f>
        <v>102308</v>
      </c>
      <c r="E251" s="64">
        <f>SUM(E253:E283)</f>
        <v>39652</v>
      </c>
      <c r="F251" s="63" t="s">
        <v>22</v>
      </c>
      <c r="G251" s="64">
        <f>SUM(G253:G283)</f>
        <v>19893</v>
      </c>
      <c r="H251" s="64" t="s">
        <v>22</v>
      </c>
      <c r="I251" s="64" t="s">
        <v>22</v>
      </c>
      <c r="J251" s="64" t="s">
        <v>22</v>
      </c>
      <c r="K251" s="64"/>
      <c r="L251" s="64">
        <f>SUM(L253:L283)</f>
        <v>3802280</v>
      </c>
      <c r="M251" s="64">
        <f>SUM(M253:M283)</f>
        <v>2035995</v>
      </c>
      <c r="N251" s="64">
        <f>SUM(N253:N283)</f>
        <v>371647</v>
      </c>
      <c r="O251" s="64">
        <f>SUM(O253:O283)</f>
        <v>30620</v>
      </c>
      <c r="P251" s="63" t="s">
        <v>22</v>
      </c>
      <c r="Q251" s="64">
        <f>SUM(Q253:Q283)</f>
        <v>1364018</v>
      </c>
      <c r="R251" s="64" t="s">
        <v>22</v>
      </c>
      <c r="S251" s="64" t="s">
        <v>22</v>
      </c>
      <c r="T251" s="64" t="s">
        <v>22</v>
      </c>
    </row>
    <row r="252" spans="1:20" s="65" customFormat="1" ht="3.95" customHeight="1" x14ac:dyDescent="0.25">
      <c r="A252" s="99"/>
      <c r="B252" s="64"/>
      <c r="C252" s="64"/>
      <c r="D252" s="64"/>
      <c r="E252" s="64"/>
      <c r="F252" s="63"/>
      <c r="G252" s="64"/>
      <c r="H252" s="64"/>
      <c r="I252" s="64"/>
      <c r="J252" s="64"/>
      <c r="K252" s="64"/>
      <c r="L252" s="64"/>
      <c r="M252" s="64"/>
      <c r="N252" s="64"/>
      <c r="O252" s="64"/>
      <c r="P252" s="63"/>
      <c r="Q252" s="64"/>
      <c r="R252" s="64"/>
      <c r="S252" s="64"/>
      <c r="T252" s="64"/>
    </row>
    <row r="253" spans="1:20" s="68" customFormat="1" ht="9" customHeight="1" x14ac:dyDescent="0.15">
      <c r="A253" s="66" t="s">
        <v>23</v>
      </c>
      <c r="B253" s="88">
        <f t="shared" ref="B253:B283" si="14">SUM(C253,D253,E253,G253)</f>
        <v>2794</v>
      </c>
      <c r="C253" s="88">
        <v>617</v>
      </c>
      <c r="D253" s="88">
        <v>1557</v>
      </c>
      <c r="E253" s="88">
        <v>512</v>
      </c>
      <c r="F253" s="89" t="s">
        <v>22</v>
      </c>
      <c r="G253" s="67">
        <v>108</v>
      </c>
      <c r="H253" s="89" t="s">
        <v>22</v>
      </c>
      <c r="I253" s="89" t="s">
        <v>22</v>
      </c>
      <c r="J253" s="89" t="s">
        <v>22</v>
      </c>
      <c r="K253" s="88"/>
      <c r="L253" s="88">
        <f t="shared" ref="L253:L283" si="15">SUM(M253,N253,O253,Q253)</f>
        <v>20801</v>
      </c>
      <c r="M253" s="88">
        <v>9852</v>
      </c>
      <c r="N253" s="88">
        <v>6783</v>
      </c>
      <c r="O253" s="88">
        <v>263</v>
      </c>
      <c r="P253" s="89" t="s">
        <v>22</v>
      </c>
      <c r="Q253" s="67">
        <v>3903</v>
      </c>
      <c r="R253" s="89" t="s">
        <v>22</v>
      </c>
      <c r="S253" s="89" t="s">
        <v>22</v>
      </c>
      <c r="T253" s="89" t="s">
        <v>22</v>
      </c>
    </row>
    <row r="254" spans="1:20" s="68" customFormat="1" ht="9" customHeight="1" x14ac:dyDescent="0.15">
      <c r="A254" s="66" t="s">
        <v>24</v>
      </c>
      <c r="B254" s="88">
        <f t="shared" si="14"/>
        <v>4628</v>
      </c>
      <c r="C254" s="88">
        <v>1177</v>
      </c>
      <c r="D254" s="88">
        <v>2534</v>
      </c>
      <c r="E254" s="88">
        <v>856</v>
      </c>
      <c r="F254" s="89" t="s">
        <v>22</v>
      </c>
      <c r="G254" s="67">
        <v>61</v>
      </c>
      <c r="H254" s="89" t="s">
        <v>22</v>
      </c>
      <c r="I254" s="89" t="s">
        <v>22</v>
      </c>
      <c r="J254" s="89" t="s">
        <v>22</v>
      </c>
      <c r="K254" s="88"/>
      <c r="L254" s="88">
        <f t="shared" si="15"/>
        <v>56277</v>
      </c>
      <c r="M254" s="88">
        <v>43039</v>
      </c>
      <c r="N254" s="88">
        <v>8561</v>
      </c>
      <c r="O254" s="88">
        <v>620</v>
      </c>
      <c r="P254" s="89" t="s">
        <v>22</v>
      </c>
      <c r="Q254" s="67">
        <v>4057</v>
      </c>
      <c r="R254" s="89" t="s">
        <v>22</v>
      </c>
      <c r="S254" s="89" t="s">
        <v>22</v>
      </c>
      <c r="T254" s="89" t="s">
        <v>22</v>
      </c>
    </row>
    <row r="255" spans="1:20" s="68" customFormat="1" ht="9" customHeight="1" x14ac:dyDescent="0.15">
      <c r="A255" s="66" t="s">
        <v>25</v>
      </c>
      <c r="B255" s="88">
        <f t="shared" si="14"/>
        <v>2320</v>
      </c>
      <c r="C255" s="88">
        <v>608</v>
      </c>
      <c r="D255" s="88">
        <v>1072</v>
      </c>
      <c r="E255" s="88">
        <v>378</v>
      </c>
      <c r="F255" s="89" t="s">
        <v>22</v>
      </c>
      <c r="G255" s="67">
        <v>262</v>
      </c>
      <c r="H255" s="89" t="s">
        <v>22</v>
      </c>
      <c r="I255" s="89" t="s">
        <v>22</v>
      </c>
      <c r="J255" s="89" t="s">
        <v>22</v>
      </c>
      <c r="K255" s="88"/>
      <c r="L255" s="88">
        <f t="shared" si="15"/>
        <v>16863</v>
      </c>
      <c r="M255" s="88">
        <v>9445</v>
      </c>
      <c r="N255" s="88">
        <v>3375</v>
      </c>
      <c r="O255" s="88">
        <v>104</v>
      </c>
      <c r="P255" s="89" t="s">
        <v>22</v>
      </c>
      <c r="Q255" s="67">
        <v>3939</v>
      </c>
      <c r="R255" s="89" t="s">
        <v>22</v>
      </c>
      <c r="S255" s="89" t="s">
        <v>22</v>
      </c>
      <c r="T255" s="89" t="s">
        <v>22</v>
      </c>
    </row>
    <row r="256" spans="1:20" s="68" customFormat="1" ht="9" customHeight="1" x14ac:dyDescent="0.15">
      <c r="A256" s="69" t="s">
        <v>26</v>
      </c>
      <c r="B256" s="90">
        <f t="shared" si="14"/>
        <v>2193</v>
      </c>
      <c r="C256" s="90">
        <v>531</v>
      </c>
      <c r="D256" s="90">
        <v>1069</v>
      </c>
      <c r="E256" s="90">
        <v>324</v>
      </c>
      <c r="F256" s="91" t="s">
        <v>22</v>
      </c>
      <c r="G256" s="70">
        <v>269</v>
      </c>
      <c r="H256" s="91" t="s">
        <v>22</v>
      </c>
      <c r="I256" s="91" t="s">
        <v>22</v>
      </c>
      <c r="J256" s="91" t="s">
        <v>22</v>
      </c>
      <c r="K256" s="90"/>
      <c r="L256" s="90">
        <f t="shared" si="15"/>
        <v>17802</v>
      </c>
      <c r="M256" s="90">
        <v>10548</v>
      </c>
      <c r="N256" s="90">
        <v>3698</v>
      </c>
      <c r="O256" s="90">
        <v>98</v>
      </c>
      <c r="P256" s="91" t="s">
        <v>22</v>
      </c>
      <c r="Q256" s="70">
        <v>3458</v>
      </c>
      <c r="R256" s="91" t="s">
        <v>22</v>
      </c>
      <c r="S256" s="91" t="s">
        <v>22</v>
      </c>
      <c r="T256" s="91" t="s">
        <v>22</v>
      </c>
    </row>
    <row r="257" spans="1:20" s="68" customFormat="1" ht="9" customHeight="1" x14ac:dyDescent="0.15">
      <c r="A257" s="66" t="s">
        <v>27</v>
      </c>
      <c r="B257" s="88">
        <f t="shared" si="14"/>
        <v>7023</v>
      </c>
      <c r="C257" s="88">
        <v>1864</v>
      </c>
      <c r="D257" s="88">
        <v>2680</v>
      </c>
      <c r="E257" s="88">
        <v>2183</v>
      </c>
      <c r="F257" s="89" t="s">
        <v>22</v>
      </c>
      <c r="G257" s="67">
        <v>296</v>
      </c>
      <c r="H257" s="89" t="s">
        <v>22</v>
      </c>
      <c r="I257" s="89" t="s">
        <v>22</v>
      </c>
      <c r="J257" s="89" t="s">
        <v>22</v>
      </c>
      <c r="K257" s="88"/>
      <c r="L257" s="88">
        <f t="shared" si="15"/>
        <v>95300</v>
      </c>
      <c r="M257" s="88">
        <v>52996</v>
      </c>
      <c r="N257" s="88">
        <v>11071</v>
      </c>
      <c r="O257" s="88">
        <v>1486</v>
      </c>
      <c r="P257" s="89" t="s">
        <v>22</v>
      </c>
      <c r="Q257" s="67">
        <v>29747</v>
      </c>
      <c r="R257" s="89" t="s">
        <v>22</v>
      </c>
      <c r="S257" s="89" t="s">
        <v>22</v>
      </c>
      <c r="T257" s="89" t="s">
        <v>22</v>
      </c>
    </row>
    <row r="258" spans="1:20" s="68" customFormat="1" ht="9" customHeight="1" x14ac:dyDescent="0.15">
      <c r="A258" s="66" t="s">
        <v>28</v>
      </c>
      <c r="B258" s="88">
        <f t="shared" si="14"/>
        <v>7116</v>
      </c>
      <c r="C258" s="88">
        <v>1530</v>
      </c>
      <c r="D258" s="88">
        <v>3043</v>
      </c>
      <c r="E258" s="88">
        <v>1285</v>
      </c>
      <c r="F258" s="89" t="s">
        <v>22</v>
      </c>
      <c r="G258" s="67">
        <v>1258</v>
      </c>
      <c r="H258" s="89" t="s">
        <v>22</v>
      </c>
      <c r="I258" s="89" t="s">
        <v>22</v>
      </c>
      <c r="J258" s="89" t="s">
        <v>22</v>
      </c>
      <c r="K258" s="88"/>
      <c r="L258" s="88">
        <f t="shared" si="15"/>
        <v>61474</v>
      </c>
      <c r="M258" s="88">
        <v>26522</v>
      </c>
      <c r="N258" s="88">
        <v>7111</v>
      </c>
      <c r="O258" s="88">
        <v>988</v>
      </c>
      <c r="P258" s="89" t="s">
        <v>22</v>
      </c>
      <c r="Q258" s="67">
        <v>26853</v>
      </c>
      <c r="R258" s="89" t="s">
        <v>22</v>
      </c>
      <c r="S258" s="89" t="s">
        <v>22</v>
      </c>
      <c r="T258" s="89" t="s">
        <v>22</v>
      </c>
    </row>
    <row r="259" spans="1:20" s="68" customFormat="1" ht="9" customHeight="1" x14ac:dyDescent="0.15">
      <c r="A259" s="66" t="s">
        <v>29</v>
      </c>
      <c r="B259" s="88">
        <f t="shared" si="14"/>
        <v>6235</v>
      </c>
      <c r="C259" s="88">
        <v>2676</v>
      </c>
      <c r="D259" s="88">
        <v>3074</v>
      </c>
      <c r="E259" s="88">
        <v>353</v>
      </c>
      <c r="F259" s="89" t="s">
        <v>22</v>
      </c>
      <c r="G259" s="67">
        <v>132</v>
      </c>
      <c r="H259" s="89" t="s">
        <v>22</v>
      </c>
      <c r="I259" s="89" t="s">
        <v>22</v>
      </c>
      <c r="J259" s="89" t="s">
        <v>22</v>
      </c>
      <c r="K259" s="88"/>
      <c r="L259" s="88">
        <f t="shared" si="15"/>
        <v>84951</v>
      </c>
      <c r="M259" s="88">
        <v>70728</v>
      </c>
      <c r="N259" s="88">
        <v>8786</v>
      </c>
      <c r="O259" s="88">
        <v>299</v>
      </c>
      <c r="P259" s="89" t="s">
        <v>22</v>
      </c>
      <c r="Q259" s="67">
        <v>5138</v>
      </c>
      <c r="R259" s="89" t="s">
        <v>22</v>
      </c>
      <c r="S259" s="89" t="s">
        <v>22</v>
      </c>
      <c r="T259" s="89" t="s">
        <v>22</v>
      </c>
    </row>
    <row r="260" spans="1:20" s="68" customFormat="1" ht="9" customHeight="1" x14ac:dyDescent="0.15">
      <c r="A260" s="69" t="s">
        <v>30</v>
      </c>
      <c r="B260" s="90">
        <f t="shared" si="14"/>
        <v>4053</v>
      </c>
      <c r="C260" s="90">
        <v>1499</v>
      </c>
      <c r="D260" s="90">
        <v>1776</v>
      </c>
      <c r="E260" s="90">
        <v>634</v>
      </c>
      <c r="F260" s="91" t="s">
        <v>22</v>
      </c>
      <c r="G260" s="70">
        <v>144</v>
      </c>
      <c r="H260" s="91" t="s">
        <v>22</v>
      </c>
      <c r="I260" s="91" t="s">
        <v>22</v>
      </c>
      <c r="J260" s="91" t="s">
        <v>22</v>
      </c>
      <c r="K260" s="90"/>
      <c r="L260" s="90">
        <f t="shared" si="15"/>
        <v>60342</v>
      </c>
      <c r="M260" s="90">
        <v>50842</v>
      </c>
      <c r="N260" s="90">
        <v>4438</v>
      </c>
      <c r="O260" s="90">
        <v>196</v>
      </c>
      <c r="P260" s="91" t="s">
        <v>22</v>
      </c>
      <c r="Q260" s="70">
        <v>4866</v>
      </c>
      <c r="R260" s="91" t="s">
        <v>22</v>
      </c>
      <c r="S260" s="91" t="s">
        <v>22</v>
      </c>
      <c r="T260" s="91" t="s">
        <v>22</v>
      </c>
    </row>
    <row r="261" spans="1:20" s="68" customFormat="1" ht="9" customHeight="1" x14ac:dyDescent="0.15">
      <c r="A261" s="66" t="s">
        <v>63</v>
      </c>
      <c r="B261" s="88">
        <f t="shared" si="14"/>
        <v>42538</v>
      </c>
      <c r="C261" s="88">
        <v>13526</v>
      </c>
      <c r="D261" s="88">
        <v>19380</v>
      </c>
      <c r="E261" s="88">
        <v>6550</v>
      </c>
      <c r="F261" s="89" t="s">
        <v>22</v>
      </c>
      <c r="G261" s="67">
        <v>3082</v>
      </c>
      <c r="H261" s="89" t="s">
        <v>22</v>
      </c>
      <c r="I261" s="89" t="s">
        <v>22</v>
      </c>
      <c r="J261" s="89" t="s">
        <v>22</v>
      </c>
      <c r="K261" s="88"/>
      <c r="L261" s="88">
        <f t="shared" si="15"/>
        <v>563785</v>
      </c>
      <c r="M261" s="88">
        <v>449682</v>
      </c>
      <c r="N261" s="88">
        <v>60872</v>
      </c>
      <c r="O261" s="88">
        <v>5880</v>
      </c>
      <c r="P261" s="89" t="s">
        <v>22</v>
      </c>
      <c r="Q261" s="67">
        <v>47351</v>
      </c>
      <c r="R261" s="89" t="s">
        <v>22</v>
      </c>
      <c r="S261" s="89" t="s">
        <v>22</v>
      </c>
      <c r="T261" s="89" t="s">
        <v>22</v>
      </c>
    </row>
    <row r="262" spans="1:20" s="68" customFormat="1" ht="9" customHeight="1" x14ac:dyDescent="0.15">
      <c r="A262" s="66" t="s">
        <v>31</v>
      </c>
      <c r="B262" s="88">
        <f t="shared" si="14"/>
        <v>7987</v>
      </c>
      <c r="C262" s="88">
        <v>2743</v>
      </c>
      <c r="D262" s="88">
        <v>3546</v>
      </c>
      <c r="E262" s="88">
        <v>994</v>
      </c>
      <c r="F262" s="89" t="s">
        <v>22</v>
      </c>
      <c r="G262" s="67">
        <v>704</v>
      </c>
      <c r="H262" s="89" t="s">
        <v>22</v>
      </c>
      <c r="I262" s="89" t="s">
        <v>22</v>
      </c>
      <c r="J262" s="89" t="s">
        <v>22</v>
      </c>
      <c r="K262" s="88"/>
      <c r="L262" s="88">
        <f t="shared" si="15"/>
        <v>68547</v>
      </c>
      <c r="M262" s="88">
        <v>44474</v>
      </c>
      <c r="N262" s="88">
        <v>11329</v>
      </c>
      <c r="O262" s="88">
        <v>568</v>
      </c>
      <c r="P262" s="89" t="s">
        <v>22</v>
      </c>
      <c r="Q262" s="67">
        <v>12176</v>
      </c>
      <c r="R262" s="89" t="s">
        <v>22</v>
      </c>
      <c r="S262" s="89" t="s">
        <v>22</v>
      </c>
      <c r="T262" s="89" t="s">
        <v>22</v>
      </c>
    </row>
    <row r="263" spans="1:20" s="68" customFormat="1" ht="9" customHeight="1" x14ac:dyDescent="0.15">
      <c r="A263" s="66" t="s">
        <v>32</v>
      </c>
      <c r="B263" s="88">
        <f t="shared" si="14"/>
        <v>8871</v>
      </c>
      <c r="C263" s="88">
        <v>1888</v>
      </c>
      <c r="D263" s="88">
        <v>2505</v>
      </c>
      <c r="E263" s="88">
        <v>2190</v>
      </c>
      <c r="F263" s="89" t="s">
        <v>22</v>
      </c>
      <c r="G263" s="67">
        <v>2288</v>
      </c>
      <c r="H263" s="89" t="s">
        <v>22</v>
      </c>
      <c r="I263" s="89" t="s">
        <v>22</v>
      </c>
      <c r="J263" s="89" t="s">
        <v>22</v>
      </c>
      <c r="K263" s="88"/>
      <c r="L263" s="88">
        <f t="shared" si="15"/>
        <v>108523</v>
      </c>
      <c r="M263" s="88">
        <v>45162</v>
      </c>
      <c r="N263" s="88">
        <v>7800</v>
      </c>
      <c r="O263" s="88">
        <v>1524</v>
      </c>
      <c r="P263" s="89" t="s">
        <v>22</v>
      </c>
      <c r="Q263" s="67">
        <v>54037</v>
      </c>
      <c r="R263" s="89" t="s">
        <v>22</v>
      </c>
      <c r="S263" s="89" t="s">
        <v>22</v>
      </c>
      <c r="T263" s="89" t="s">
        <v>22</v>
      </c>
    </row>
    <row r="264" spans="1:20" s="68" customFormat="1" ht="9" customHeight="1" x14ac:dyDescent="0.15">
      <c r="A264" s="69" t="s">
        <v>33</v>
      </c>
      <c r="B264" s="90">
        <f t="shared" si="14"/>
        <v>10148</v>
      </c>
      <c r="C264" s="90">
        <v>3763</v>
      </c>
      <c r="D264" s="90">
        <v>3556</v>
      </c>
      <c r="E264" s="90">
        <v>1685</v>
      </c>
      <c r="F264" s="91" t="s">
        <v>22</v>
      </c>
      <c r="G264" s="70">
        <v>1144</v>
      </c>
      <c r="H264" s="91" t="s">
        <v>22</v>
      </c>
      <c r="I264" s="91" t="s">
        <v>22</v>
      </c>
      <c r="J264" s="91" t="s">
        <v>22</v>
      </c>
      <c r="K264" s="90"/>
      <c r="L264" s="90">
        <f t="shared" si="15"/>
        <v>935125</v>
      </c>
      <c r="M264" s="90">
        <v>94682</v>
      </c>
      <c r="N264" s="90">
        <v>14889</v>
      </c>
      <c r="O264" s="90">
        <v>557</v>
      </c>
      <c r="P264" s="91" t="s">
        <v>22</v>
      </c>
      <c r="Q264" s="70">
        <v>824997</v>
      </c>
      <c r="R264" s="91" t="s">
        <v>22</v>
      </c>
      <c r="S264" s="91" t="s">
        <v>22</v>
      </c>
      <c r="T264" s="91" t="s">
        <v>22</v>
      </c>
    </row>
    <row r="265" spans="1:20" s="68" customFormat="1" ht="9" customHeight="1" x14ac:dyDescent="0.15">
      <c r="A265" s="66" t="s">
        <v>34</v>
      </c>
      <c r="B265" s="88">
        <f t="shared" si="14"/>
        <v>7911</v>
      </c>
      <c r="C265" s="88">
        <v>4045</v>
      </c>
      <c r="D265" s="88">
        <v>2450</v>
      </c>
      <c r="E265" s="88">
        <v>1236</v>
      </c>
      <c r="F265" s="89" t="s">
        <v>22</v>
      </c>
      <c r="G265" s="67">
        <v>180</v>
      </c>
      <c r="H265" s="89" t="s">
        <v>22</v>
      </c>
      <c r="I265" s="89" t="s">
        <v>22</v>
      </c>
      <c r="J265" s="89" t="s">
        <v>22</v>
      </c>
      <c r="K265" s="88"/>
      <c r="L265" s="88">
        <f t="shared" si="15"/>
        <v>141028</v>
      </c>
      <c r="M265" s="88">
        <v>122415</v>
      </c>
      <c r="N265" s="88">
        <v>11822</v>
      </c>
      <c r="O265" s="88">
        <v>1368</v>
      </c>
      <c r="P265" s="89" t="s">
        <v>22</v>
      </c>
      <c r="Q265" s="67">
        <v>5423</v>
      </c>
      <c r="R265" s="89" t="s">
        <v>22</v>
      </c>
      <c r="S265" s="89" t="s">
        <v>22</v>
      </c>
      <c r="T265" s="89" t="s">
        <v>22</v>
      </c>
    </row>
    <row r="266" spans="1:20" s="68" customFormat="1" ht="9" customHeight="1" x14ac:dyDescent="0.15">
      <c r="A266" s="66" t="s">
        <v>35</v>
      </c>
      <c r="B266" s="88">
        <f t="shared" si="14"/>
        <v>19042</v>
      </c>
      <c r="C266" s="88">
        <v>3848</v>
      </c>
      <c r="D266" s="88">
        <v>8418</v>
      </c>
      <c r="E266" s="88">
        <v>3743</v>
      </c>
      <c r="F266" s="89" t="s">
        <v>22</v>
      </c>
      <c r="G266" s="67">
        <v>3033</v>
      </c>
      <c r="H266" s="89" t="s">
        <v>22</v>
      </c>
      <c r="I266" s="89" t="s">
        <v>22</v>
      </c>
      <c r="J266" s="89" t="s">
        <v>22</v>
      </c>
      <c r="K266" s="88"/>
      <c r="L266" s="88">
        <f t="shared" si="15"/>
        <v>174438</v>
      </c>
      <c r="M266" s="88">
        <v>98873</v>
      </c>
      <c r="N266" s="88">
        <v>27123</v>
      </c>
      <c r="O266" s="88">
        <v>2546</v>
      </c>
      <c r="P266" s="89" t="s">
        <v>22</v>
      </c>
      <c r="Q266" s="67">
        <v>45896</v>
      </c>
      <c r="R266" s="89" t="s">
        <v>22</v>
      </c>
      <c r="S266" s="89" t="s">
        <v>22</v>
      </c>
      <c r="T266" s="89" t="s">
        <v>22</v>
      </c>
    </row>
    <row r="267" spans="1:20" s="68" customFormat="1" ht="9" customHeight="1" x14ac:dyDescent="0.15">
      <c r="A267" s="66" t="s">
        <v>36</v>
      </c>
      <c r="B267" s="88">
        <f t="shared" si="14"/>
        <v>20195</v>
      </c>
      <c r="C267" s="88">
        <v>6622</v>
      </c>
      <c r="D267" s="88">
        <v>8523</v>
      </c>
      <c r="E267" s="88">
        <v>3878</v>
      </c>
      <c r="F267" s="89" t="s">
        <v>22</v>
      </c>
      <c r="G267" s="67">
        <v>1172</v>
      </c>
      <c r="H267" s="89" t="s">
        <v>22</v>
      </c>
      <c r="I267" s="89" t="s">
        <v>22</v>
      </c>
      <c r="J267" s="89" t="s">
        <v>22</v>
      </c>
      <c r="K267" s="88"/>
      <c r="L267" s="88">
        <f t="shared" si="15"/>
        <v>307254</v>
      </c>
      <c r="M267" s="88">
        <v>214410</v>
      </c>
      <c r="N267" s="88">
        <v>35559</v>
      </c>
      <c r="O267" s="88">
        <v>3662</v>
      </c>
      <c r="P267" s="89" t="s">
        <v>22</v>
      </c>
      <c r="Q267" s="67">
        <v>53623</v>
      </c>
      <c r="R267" s="89" t="s">
        <v>22</v>
      </c>
      <c r="S267" s="89" t="s">
        <v>22</v>
      </c>
      <c r="T267" s="89" t="s">
        <v>22</v>
      </c>
    </row>
    <row r="268" spans="1:20" s="68" customFormat="1" ht="9" customHeight="1" x14ac:dyDescent="0.15">
      <c r="A268" s="69" t="s">
        <v>37</v>
      </c>
      <c r="B268" s="90">
        <f t="shared" si="14"/>
        <v>3308</v>
      </c>
      <c r="C268" s="90">
        <v>980</v>
      </c>
      <c r="D268" s="90">
        <v>1653</v>
      </c>
      <c r="E268" s="90">
        <v>417</v>
      </c>
      <c r="F268" s="91" t="s">
        <v>22</v>
      </c>
      <c r="G268" s="70">
        <v>258</v>
      </c>
      <c r="H268" s="91" t="s">
        <v>22</v>
      </c>
      <c r="I268" s="91" t="s">
        <v>22</v>
      </c>
      <c r="J268" s="91" t="s">
        <v>22</v>
      </c>
      <c r="K268" s="90"/>
      <c r="L268" s="90">
        <f t="shared" si="15"/>
        <v>25384</v>
      </c>
      <c r="M268" s="90">
        <v>16038</v>
      </c>
      <c r="N268" s="90">
        <v>5645</v>
      </c>
      <c r="O268" s="90">
        <v>569</v>
      </c>
      <c r="P268" s="91" t="s">
        <v>22</v>
      </c>
      <c r="Q268" s="70">
        <v>3132</v>
      </c>
      <c r="R268" s="91" t="s">
        <v>22</v>
      </c>
      <c r="S268" s="91" t="s">
        <v>22</v>
      </c>
      <c r="T268" s="91" t="s">
        <v>22</v>
      </c>
    </row>
    <row r="269" spans="1:20" s="68" customFormat="1" ht="9" customHeight="1" x14ac:dyDescent="0.15">
      <c r="A269" s="66" t="s">
        <v>38</v>
      </c>
      <c r="B269" s="88">
        <f t="shared" si="14"/>
        <v>3802</v>
      </c>
      <c r="C269" s="88">
        <v>746</v>
      </c>
      <c r="D269" s="88">
        <v>1821</v>
      </c>
      <c r="E269" s="88">
        <v>1046</v>
      </c>
      <c r="F269" s="89" t="s">
        <v>22</v>
      </c>
      <c r="G269" s="67">
        <v>189</v>
      </c>
      <c r="H269" s="89" t="s">
        <v>22</v>
      </c>
      <c r="I269" s="89" t="s">
        <v>22</v>
      </c>
      <c r="J269" s="89" t="s">
        <v>22</v>
      </c>
      <c r="K269" s="88"/>
      <c r="L269" s="88">
        <f t="shared" si="15"/>
        <v>37322</v>
      </c>
      <c r="M269" s="88">
        <v>20428</v>
      </c>
      <c r="N269" s="88">
        <v>10457</v>
      </c>
      <c r="O269" s="88">
        <v>525</v>
      </c>
      <c r="P269" s="89" t="s">
        <v>22</v>
      </c>
      <c r="Q269" s="67">
        <v>5912</v>
      </c>
      <c r="R269" s="89" t="s">
        <v>22</v>
      </c>
      <c r="S269" s="89" t="s">
        <v>22</v>
      </c>
      <c r="T269" s="89" t="s">
        <v>22</v>
      </c>
    </row>
    <row r="270" spans="1:20" s="68" customFormat="1" ht="9" customHeight="1" x14ac:dyDescent="0.15">
      <c r="A270" s="66" t="s">
        <v>39</v>
      </c>
      <c r="B270" s="88">
        <f t="shared" si="14"/>
        <v>2861</v>
      </c>
      <c r="C270" s="88">
        <v>867</v>
      </c>
      <c r="D270" s="88">
        <v>1846</v>
      </c>
      <c r="E270" s="88">
        <v>144</v>
      </c>
      <c r="F270" s="89" t="s">
        <v>22</v>
      </c>
      <c r="G270" s="67">
        <v>4</v>
      </c>
      <c r="H270" s="89" t="s">
        <v>22</v>
      </c>
      <c r="I270" s="89" t="s">
        <v>22</v>
      </c>
      <c r="J270" s="89" t="s">
        <v>22</v>
      </c>
      <c r="K270" s="88"/>
      <c r="L270" s="88">
        <f t="shared" si="15"/>
        <v>31666</v>
      </c>
      <c r="M270" s="88">
        <v>25442</v>
      </c>
      <c r="N270" s="88">
        <v>4881</v>
      </c>
      <c r="O270" s="88">
        <v>343</v>
      </c>
      <c r="P270" s="89" t="s">
        <v>22</v>
      </c>
      <c r="Q270" s="67">
        <v>1000</v>
      </c>
      <c r="R270" s="89" t="s">
        <v>22</v>
      </c>
      <c r="S270" s="89" t="s">
        <v>22</v>
      </c>
      <c r="T270" s="89" t="s">
        <v>22</v>
      </c>
    </row>
    <row r="271" spans="1:20" s="68" customFormat="1" ht="9" customHeight="1" x14ac:dyDescent="0.15">
      <c r="A271" s="66" t="s">
        <v>40</v>
      </c>
      <c r="B271" s="88">
        <f t="shared" si="14"/>
        <v>8383</v>
      </c>
      <c r="C271" s="88">
        <v>2172</v>
      </c>
      <c r="D271" s="88">
        <v>4677</v>
      </c>
      <c r="E271" s="88">
        <v>1467</v>
      </c>
      <c r="F271" s="89" t="s">
        <v>22</v>
      </c>
      <c r="G271" s="67">
        <v>67</v>
      </c>
      <c r="H271" s="89" t="s">
        <v>22</v>
      </c>
      <c r="I271" s="89" t="s">
        <v>22</v>
      </c>
      <c r="J271" s="89" t="s">
        <v>22</v>
      </c>
      <c r="K271" s="88"/>
      <c r="L271" s="88">
        <f t="shared" si="15"/>
        <v>77836</v>
      </c>
      <c r="M271" s="88">
        <v>51682</v>
      </c>
      <c r="N271" s="88">
        <v>17275</v>
      </c>
      <c r="O271" s="88">
        <v>795</v>
      </c>
      <c r="P271" s="89" t="s">
        <v>22</v>
      </c>
      <c r="Q271" s="67">
        <v>8084</v>
      </c>
      <c r="R271" s="89" t="s">
        <v>22</v>
      </c>
      <c r="S271" s="89" t="s">
        <v>22</v>
      </c>
      <c r="T271" s="89" t="s">
        <v>22</v>
      </c>
    </row>
    <row r="272" spans="1:20" s="68" customFormat="1" ht="9" customHeight="1" x14ac:dyDescent="0.15">
      <c r="A272" s="69" t="s">
        <v>41</v>
      </c>
      <c r="B272" s="90">
        <f t="shared" si="14"/>
        <v>4369</v>
      </c>
      <c r="C272" s="90">
        <v>1191</v>
      </c>
      <c r="D272" s="90">
        <v>2920</v>
      </c>
      <c r="E272" s="90">
        <v>249</v>
      </c>
      <c r="F272" s="91" t="s">
        <v>22</v>
      </c>
      <c r="G272" s="70">
        <v>9</v>
      </c>
      <c r="H272" s="91" t="s">
        <v>22</v>
      </c>
      <c r="I272" s="91" t="s">
        <v>22</v>
      </c>
      <c r="J272" s="91" t="s">
        <v>22</v>
      </c>
      <c r="K272" s="90"/>
      <c r="L272" s="90">
        <f t="shared" si="15"/>
        <v>47642</v>
      </c>
      <c r="M272" s="90">
        <v>31945</v>
      </c>
      <c r="N272" s="90">
        <v>14392</v>
      </c>
      <c r="O272" s="90">
        <v>358</v>
      </c>
      <c r="P272" s="91" t="s">
        <v>22</v>
      </c>
      <c r="Q272" s="70">
        <v>947</v>
      </c>
      <c r="R272" s="91" t="s">
        <v>22</v>
      </c>
      <c r="S272" s="91" t="s">
        <v>22</v>
      </c>
      <c r="T272" s="91" t="s">
        <v>22</v>
      </c>
    </row>
    <row r="273" spans="1:20" s="68" customFormat="1" ht="9" customHeight="1" x14ac:dyDescent="0.15">
      <c r="A273" s="66" t="s">
        <v>42</v>
      </c>
      <c r="B273" s="88">
        <f t="shared" si="14"/>
        <v>6747</v>
      </c>
      <c r="C273" s="88">
        <v>1824</v>
      </c>
      <c r="D273" s="88">
        <v>3957</v>
      </c>
      <c r="E273" s="88">
        <v>629</v>
      </c>
      <c r="F273" s="89" t="s">
        <v>22</v>
      </c>
      <c r="G273" s="67">
        <v>337</v>
      </c>
      <c r="H273" s="89" t="s">
        <v>22</v>
      </c>
      <c r="I273" s="89" t="s">
        <v>22</v>
      </c>
      <c r="J273" s="89" t="s">
        <v>22</v>
      </c>
      <c r="K273" s="88"/>
      <c r="L273" s="88">
        <f t="shared" si="15"/>
        <v>85850</v>
      </c>
      <c r="M273" s="88">
        <v>57903</v>
      </c>
      <c r="N273" s="88">
        <v>20631</v>
      </c>
      <c r="O273" s="88">
        <v>1032</v>
      </c>
      <c r="P273" s="89" t="s">
        <v>22</v>
      </c>
      <c r="Q273" s="67">
        <v>6284</v>
      </c>
      <c r="R273" s="89" t="s">
        <v>22</v>
      </c>
      <c r="S273" s="89" t="s">
        <v>22</v>
      </c>
      <c r="T273" s="89" t="s">
        <v>22</v>
      </c>
    </row>
    <row r="274" spans="1:20" s="68" customFormat="1" ht="9" customHeight="1" x14ac:dyDescent="0.15">
      <c r="A274" s="66" t="s">
        <v>43</v>
      </c>
      <c r="B274" s="88">
        <f t="shared" si="14"/>
        <v>1484</v>
      </c>
      <c r="C274" s="88">
        <v>374</v>
      </c>
      <c r="D274" s="88">
        <v>681</v>
      </c>
      <c r="E274" s="88">
        <v>417</v>
      </c>
      <c r="F274" s="89" t="s">
        <v>22</v>
      </c>
      <c r="G274" s="67">
        <v>12</v>
      </c>
      <c r="H274" s="89" t="s">
        <v>22</v>
      </c>
      <c r="I274" s="89" t="s">
        <v>22</v>
      </c>
      <c r="J274" s="89" t="s">
        <v>22</v>
      </c>
      <c r="K274" s="88"/>
      <c r="L274" s="88">
        <f t="shared" si="15"/>
        <v>25152</v>
      </c>
      <c r="M274" s="88">
        <v>9972</v>
      </c>
      <c r="N274" s="88">
        <v>3150</v>
      </c>
      <c r="O274" s="88">
        <v>318</v>
      </c>
      <c r="P274" s="89" t="s">
        <v>22</v>
      </c>
      <c r="Q274" s="67">
        <v>11712</v>
      </c>
      <c r="R274" s="89" t="s">
        <v>22</v>
      </c>
      <c r="S274" s="89" t="s">
        <v>22</v>
      </c>
      <c r="T274" s="89" t="s">
        <v>22</v>
      </c>
    </row>
    <row r="275" spans="1:20" s="68" customFormat="1" ht="9" customHeight="1" x14ac:dyDescent="0.15">
      <c r="A275" s="66" t="s">
        <v>44</v>
      </c>
      <c r="B275" s="88">
        <f t="shared" si="14"/>
        <v>4010</v>
      </c>
      <c r="C275" s="88">
        <v>1236</v>
      </c>
      <c r="D275" s="88">
        <v>2151</v>
      </c>
      <c r="E275" s="88">
        <v>351</v>
      </c>
      <c r="F275" s="89" t="s">
        <v>22</v>
      </c>
      <c r="G275" s="67">
        <v>272</v>
      </c>
      <c r="H275" s="89" t="s">
        <v>22</v>
      </c>
      <c r="I275" s="89" t="s">
        <v>22</v>
      </c>
      <c r="J275" s="89" t="s">
        <v>22</v>
      </c>
      <c r="K275" s="88"/>
      <c r="L275" s="88">
        <f t="shared" si="15"/>
        <v>57434</v>
      </c>
      <c r="M275" s="88">
        <v>38138</v>
      </c>
      <c r="N275" s="88">
        <v>8288</v>
      </c>
      <c r="O275" s="88">
        <v>805</v>
      </c>
      <c r="P275" s="89" t="s">
        <v>22</v>
      </c>
      <c r="Q275" s="67">
        <v>10203</v>
      </c>
      <c r="R275" s="89" t="s">
        <v>22</v>
      </c>
      <c r="S275" s="89" t="s">
        <v>22</v>
      </c>
      <c r="T275" s="89" t="s">
        <v>22</v>
      </c>
    </row>
    <row r="276" spans="1:20" s="68" customFormat="1" ht="9" customHeight="1" x14ac:dyDescent="0.15">
      <c r="A276" s="69" t="s">
        <v>45</v>
      </c>
      <c r="B276" s="90">
        <f t="shared" si="14"/>
        <v>2438</v>
      </c>
      <c r="C276" s="90">
        <v>606</v>
      </c>
      <c r="D276" s="90">
        <v>714</v>
      </c>
      <c r="E276" s="90">
        <v>687</v>
      </c>
      <c r="F276" s="91" t="s">
        <v>22</v>
      </c>
      <c r="G276" s="70">
        <v>431</v>
      </c>
      <c r="H276" s="91" t="s">
        <v>22</v>
      </c>
      <c r="I276" s="91" t="s">
        <v>22</v>
      </c>
      <c r="J276" s="91" t="s">
        <v>22</v>
      </c>
      <c r="K276" s="90"/>
      <c r="L276" s="90">
        <f t="shared" si="15"/>
        <v>172507</v>
      </c>
      <c r="M276" s="90">
        <v>145483</v>
      </c>
      <c r="N276" s="90">
        <v>3401</v>
      </c>
      <c r="O276" s="90">
        <v>438</v>
      </c>
      <c r="P276" s="91" t="s">
        <v>22</v>
      </c>
      <c r="Q276" s="70">
        <v>23185</v>
      </c>
      <c r="R276" s="91" t="s">
        <v>22</v>
      </c>
      <c r="S276" s="91" t="s">
        <v>22</v>
      </c>
      <c r="T276" s="91" t="s">
        <v>22</v>
      </c>
    </row>
    <row r="277" spans="1:20" s="68" customFormat="1" ht="9" customHeight="1" x14ac:dyDescent="0.15">
      <c r="A277" s="66" t="s">
        <v>46</v>
      </c>
      <c r="B277" s="88">
        <f t="shared" si="14"/>
        <v>16685</v>
      </c>
      <c r="C277" s="88">
        <v>4739</v>
      </c>
      <c r="D277" s="88">
        <v>6866</v>
      </c>
      <c r="E277" s="88">
        <v>2983</v>
      </c>
      <c r="F277" s="89" t="s">
        <v>22</v>
      </c>
      <c r="G277" s="67">
        <v>2097</v>
      </c>
      <c r="H277" s="89" t="s">
        <v>22</v>
      </c>
      <c r="I277" s="89" t="s">
        <v>22</v>
      </c>
      <c r="J277" s="89" t="s">
        <v>22</v>
      </c>
      <c r="K277" s="88"/>
      <c r="L277" s="88">
        <f t="shared" si="15"/>
        <v>233588</v>
      </c>
      <c r="M277" s="88">
        <v>123641</v>
      </c>
      <c r="N277" s="88">
        <v>22912</v>
      </c>
      <c r="O277" s="88">
        <v>2134</v>
      </c>
      <c r="P277" s="89" t="s">
        <v>22</v>
      </c>
      <c r="Q277" s="67">
        <v>84901</v>
      </c>
      <c r="R277" s="89" t="s">
        <v>22</v>
      </c>
      <c r="S277" s="89" t="s">
        <v>22</v>
      </c>
      <c r="T277" s="89" t="s">
        <v>22</v>
      </c>
    </row>
    <row r="278" spans="1:20" s="68" customFormat="1" ht="9" customHeight="1" x14ac:dyDescent="0.15">
      <c r="A278" s="66" t="s">
        <v>47</v>
      </c>
      <c r="B278" s="88">
        <f t="shared" si="14"/>
        <v>1128</v>
      </c>
      <c r="C278" s="88">
        <v>324</v>
      </c>
      <c r="D278" s="88">
        <v>511</v>
      </c>
      <c r="E278" s="88">
        <v>286</v>
      </c>
      <c r="F278" s="89" t="s">
        <v>22</v>
      </c>
      <c r="G278" s="67">
        <v>7</v>
      </c>
      <c r="H278" s="89" t="s">
        <v>22</v>
      </c>
      <c r="I278" s="89" t="s">
        <v>22</v>
      </c>
      <c r="J278" s="89" t="s">
        <v>22</v>
      </c>
      <c r="K278" s="88"/>
      <c r="L278" s="88">
        <f t="shared" si="15"/>
        <v>6160</v>
      </c>
      <c r="M278" s="88">
        <v>4945</v>
      </c>
      <c r="N278" s="88">
        <v>639</v>
      </c>
      <c r="O278" s="88">
        <v>201</v>
      </c>
      <c r="P278" s="89" t="s">
        <v>22</v>
      </c>
      <c r="Q278" s="67">
        <v>375</v>
      </c>
      <c r="R278" s="89" t="s">
        <v>22</v>
      </c>
      <c r="S278" s="89" t="s">
        <v>22</v>
      </c>
      <c r="T278" s="89" t="s">
        <v>22</v>
      </c>
    </row>
    <row r="279" spans="1:20" s="68" customFormat="1" ht="9" customHeight="1" x14ac:dyDescent="0.15">
      <c r="A279" s="66" t="s">
        <v>48</v>
      </c>
      <c r="B279" s="88">
        <f t="shared" si="14"/>
        <v>4702</v>
      </c>
      <c r="C279" s="88">
        <v>1583</v>
      </c>
      <c r="D279" s="88">
        <v>2737</v>
      </c>
      <c r="E279" s="88">
        <v>336</v>
      </c>
      <c r="F279" s="89" t="s">
        <v>22</v>
      </c>
      <c r="G279" s="67">
        <v>46</v>
      </c>
      <c r="H279" s="89" t="s">
        <v>22</v>
      </c>
      <c r="I279" s="89" t="s">
        <v>22</v>
      </c>
      <c r="J279" s="89" t="s">
        <v>22</v>
      </c>
      <c r="K279" s="88"/>
      <c r="L279" s="88">
        <f t="shared" si="15"/>
        <v>58493</v>
      </c>
      <c r="M279" s="88">
        <v>40549</v>
      </c>
      <c r="N279" s="88">
        <v>15416</v>
      </c>
      <c r="O279" s="88">
        <v>266</v>
      </c>
      <c r="P279" s="89" t="s">
        <v>22</v>
      </c>
      <c r="Q279" s="67">
        <v>2262</v>
      </c>
      <c r="R279" s="89" t="s">
        <v>22</v>
      </c>
      <c r="S279" s="89" t="s">
        <v>22</v>
      </c>
      <c r="T279" s="89" t="s">
        <v>22</v>
      </c>
    </row>
    <row r="280" spans="1:20" s="68" customFormat="1" ht="9" customHeight="1" x14ac:dyDescent="0.15">
      <c r="A280" s="69" t="s">
        <v>49</v>
      </c>
      <c r="B280" s="90">
        <f t="shared" si="14"/>
        <v>7136</v>
      </c>
      <c r="C280" s="90">
        <v>1739</v>
      </c>
      <c r="D280" s="90">
        <v>2500</v>
      </c>
      <c r="E280" s="90">
        <v>1649</v>
      </c>
      <c r="F280" s="91" t="s">
        <v>22</v>
      </c>
      <c r="G280" s="70">
        <v>1248</v>
      </c>
      <c r="H280" s="91" t="s">
        <v>22</v>
      </c>
      <c r="I280" s="91" t="s">
        <v>22</v>
      </c>
      <c r="J280" s="91" t="s">
        <v>22</v>
      </c>
      <c r="K280" s="90"/>
      <c r="L280" s="90">
        <f t="shared" si="15"/>
        <v>57186</v>
      </c>
      <c r="M280" s="90">
        <v>38648</v>
      </c>
      <c r="N280" s="90">
        <v>8296</v>
      </c>
      <c r="O280" s="90">
        <v>944</v>
      </c>
      <c r="P280" s="91" t="s">
        <v>22</v>
      </c>
      <c r="Q280" s="70">
        <v>9298</v>
      </c>
      <c r="R280" s="91" t="s">
        <v>22</v>
      </c>
      <c r="S280" s="91" t="s">
        <v>22</v>
      </c>
      <c r="T280" s="91" t="s">
        <v>22</v>
      </c>
    </row>
    <row r="281" spans="1:20" s="68" customFormat="1" ht="9" customHeight="1" x14ac:dyDescent="0.15">
      <c r="A281" s="66" t="s">
        <v>51</v>
      </c>
      <c r="B281" s="88">
        <f t="shared" si="14"/>
        <v>4994</v>
      </c>
      <c r="C281" s="88">
        <v>2030</v>
      </c>
      <c r="D281" s="88">
        <v>1655</v>
      </c>
      <c r="E281" s="88">
        <v>1203</v>
      </c>
      <c r="F281" s="89" t="s">
        <v>22</v>
      </c>
      <c r="G281" s="67">
        <v>106</v>
      </c>
      <c r="H281" s="89" t="s">
        <v>22</v>
      </c>
      <c r="I281" s="89" t="s">
        <v>22</v>
      </c>
      <c r="J281" s="89" t="s">
        <v>22</v>
      </c>
      <c r="K281" s="88"/>
      <c r="L281" s="88">
        <f t="shared" si="15"/>
        <v>69669</v>
      </c>
      <c r="M281" s="88">
        <v>40785</v>
      </c>
      <c r="N281" s="88">
        <v>7219</v>
      </c>
      <c r="O281" s="88">
        <v>1162</v>
      </c>
      <c r="P281" s="89" t="s">
        <v>22</v>
      </c>
      <c r="Q281" s="67">
        <v>20503</v>
      </c>
      <c r="R281" s="89" t="s">
        <v>22</v>
      </c>
      <c r="S281" s="89" t="s">
        <v>22</v>
      </c>
      <c r="T281" s="89" t="s">
        <v>22</v>
      </c>
    </row>
    <row r="282" spans="1:20" s="68" customFormat="1" ht="9" customHeight="1" x14ac:dyDescent="0.15">
      <c r="A282" s="66" t="s">
        <v>52</v>
      </c>
      <c r="B282" s="88">
        <f t="shared" si="14"/>
        <v>2606</v>
      </c>
      <c r="C282" s="88">
        <v>695</v>
      </c>
      <c r="D282" s="88">
        <v>862</v>
      </c>
      <c r="E282" s="88">
        <v>621</v>
      </c>
      <c r="F282" s="88" t="s">
        <v>22</v>
      </c>
      <c r="G282" s="67">
        <v>428</v>
      </c>
      <c r="H282" s="89" t="s">
        <v>22</v>
      </c>
      <c r="I282" s="89" t="s">
        <v>22</v>
      </c>
      <c r="J282" s="89" t="s">
        <v>22</v>
      </c>
      <c r="K282" s="88"/>
      <c r="L282" s="88">
        <f t="shared" si="15"/>
        <v>56916</v>
      </c>
      <c r="M282" s="88">
        <v>18537</v>
      </c>
      <c r="N282" s="88">
        <v>1508</v>
      </c>
      <c r="O282" s="88">
        <v>365</v>
      </c>
      <c r="P282" s="88" t="s">
        <v>22</v>
      </c>
      <c r="Q282" s="67">
        <v>36506</v>
      </c>
      <c r="R282" s="89" t="s">
        <v>22</v>
      </c>
      <c r="S282" s="89" t="s">
        <v>22</v>
      </c>
      <c r="T282" s="89" t="s">
        <v>22</v>
      </c>
    </row>
    <row r="283" spans="1:20" s="68" customFormat="1" ht="9" customHeight="1" x14ac:dyDescent="0.15">
      <c r="A283" s="71" t="s">
        <v>53</v>
      </c>
      <c r="B283" s="92">
        <f t="shared" si="14"/>
        <v>3144</v>
      </c>
      <c r="C283" s="92">
        <v>955</v>
      </c>
      <c r="D283" s="92">
        <v>1574</v>
      </c>
      <c r="E283" s="92">
        <v>366</v>
      </c>
      <c r="F283" s="92" t="s">
        <v>22</v>
      </c>
      <c r="G283" s="67">
        <v>249</v>
      </c>
      <c r="H283" s="89" t="s">
        <v>22</v>
      </c>
      <c r="I283" s="89" t="s">
        <v>22</v>
      </c>
      <c r="J283" s="89" t="s">
        <v>22</v>
      </c>
      <c r="K283" s="92"/>
      <c r="L283" s="92">
        <f t="shared" si="15"/>
        <v>46965</v>
      </c>
      <c r="M283" s="92">
        <v>28189</v>
      </c>
      <c r="N283" s="92">
        <v>4320</v>
      </c>
      <c r="O283" s="92">
        <v>206</v>
      </c>
      <c r="P283" s="92" t="s">
        <v>22</v>
      </c>
      <c r="Q283" s="67">
        <v>14250</v>
      </c>
      <c r="R283" s="89" t="s">
        <v>22</v>
      </c>
      <c r="S283" s="89" t="s">
        <v>22</v>
      </c>
      <c r="T283" s="89" t="s">
        <v>22</v>
      </c>
    </row>
    <row r="284" spans="1:20" s="65" customFormat="1" ht="9" customHeight="1" x14ac:dyDescent="0.25">
      <c r="A284" s="100"/>
      <c r="B284" s="97"/>
      <c r="C284" s="98"/>
      <c r="D284" s="97"/>
      <c r="E284" s="97"/>
      <c r="F284" s="97"/>
      <c r="G284" s="64"/>
      <c r="H284" s="64"/>
      <c r="I284" s="64"/>
      <c r="J284" s="64"/>
      <c r="K284" s="97"/>
      <c r="L284" s="97"/>
      <c r="M284" s="97"/>
      <c r="N284" s="97"/>
      <c r="O284" s="97"/>
      <c r="P284" s="97"/>
      <c r="Q284" s="64"/>
      <c r="R284" s="64"/>
      <c r="S284" s="64"/>
      <c r="T284" s="64"/>
    </row>
    <row r="285" spans="1:20" s="65" customFormat="1" ht="9" customHeight="1" x14ac:dyDescent="0.25">
      <c r="A285" s="96">
        <v>2007</v>
      </c>
      <c r="B285" s="97"/>
      <c r="C285" s="98"/>
      <c r="D285" s="97"/>
      <c r="E285" s="97"/>
      <c r="F285" s="97"/>
      <c r="G285" s="64"/>
      <c r="H285" s="64"/>
      <c r="I285" s="64"/>
      <c r="J285" s="64"/>
      <c r="K285" s="97"/>
      <c r="L285" s="97"/>
      <c r="M285" s="97"/>
      <c r="N285" s="97"/>
      <c r="O285" s="97"/>
      <c r="P285" s="97"/>
      <c r="Q285" s="64"/>
      <c r="R285" s="64"/>
      <c r="S285" s="64"/>
      <c r="T285" s="64"/>
    </row>
    <row r="286" spans="1:20" s="65" customFormat="1" ht="9" customHeight="1" x14ac:dyDescent="0.25">
      <c r="A286" s="99" t="s">
        <v>21</v>
      </c>
      <c r="B286" s="64">
        <f>SUM(B288:B318)</f>
        <v>218987</v>
      </c>
      <c r="C286" s="64">
        <f>SUM(C288:C318)</f>
        <v>69489</v>
      </c>
      <c r="D286" s="64">
        <f>SUM(D288:D318)</f>
        <v>95021</v>
      </c>
      <c r="E286" s="64">
        <f>SUM(E288:E318)</f>
        <v>32849</v>
      </c>
      <c r="F286" s="63" t="s">
        <v>22</v>
      </c>
      <c r="G286" s="64">
        <f>SUM(G288:G318)</f>
        <v>21628</v>
      </c>
      <c r="H286" s="64" t="s">
        <v>22</v>
      </c>
      <c r="I286" s="64" t="s">
        <v>22</v>
      </c>
      <c r="J286" s="64" t="s">
        <v>22</v>
      </c>
      <c r="K286" s="64"/>
      <c r="L286" s="64">
        <f>SUM(L288:L318)</f>
        <v>3673000</v>
      </c>
      <c r="M286" s="64">
        <f>SUM(M288:M318)</f>
        <v>2004117</v>
      </c>
      <c r="N286" s="64">
        <f>SUM(N288:N318)</f>
        <v>330260</v>
      </c>
      <c r="O286" s="64">
        <f>SUM(O288:O318)</f>
        <v>23680</v>
      </c>
      <c r="P286" s="63" t="s">
        <v>22</v>
      </c>
      <c r="Q286" s="64">
        <f>SUM(Q288:Q318)</f>
        <v>1314943</v>
      </c>
      <c r="R286" s="64" t="s">
        <v>22</v>
      </c>
      <c r="S286" s="64" t="s">
        <v>22</v>
      </c>
      <c r="T286" s="64" t="s">
        <v>22</v>
      </c>
    </row>
    <row r="287" spans="1:20" s="65" customFormat="1" ht="3.95" customHeight="1" x14ac:dyDescent="0.25">
      <c r="A287" s="99"/>
      <c r="B287" s="64"/>
      <c r="C287" s="64"/>
      <c r="D287" s="64"/>
      <c r="E287" s="64"/>
      <c r="F287" s="63"/>
      <c r="G287" s="64"/>
      <c r="H287" s="64"/>
      <c r="I287" s="64"/>
      <c r="J287" s="64"/>
      <c r="K287" s="64"/>
      <c r="L287" s="64"/>
      <c r="M287" s="64"/>
      <c r="N287" s="64"/>
      <c r="O287" s="64"/>
      <c r="P287" s="63"/>
      <c r="Q287" s="64"/>
      <c r="R287" s="64"/>
      <c r="S287" s="64"/>
      <c r="T287" s="64"/>
    </row>
    <row r="288" spans="1:20" s="68" customFormat="1" ht="9" customHeight="1" x14ac:dyDescent="0.15">
      <c r="A288" s="66" t="s">
        <v>23</v>
      </c>
      <c r="B288" s="88">
        <f t="shared" ref="B288:B318" si="16">SUM(C288,D288,E288,G288)</f>
        <v>2380</v>
      </c>
      <c r="C288" s="88">
        <v>565</v>
      </c>
      <c r="D288" s="88">
        <v>1341</v>
      </c>
      <c r="E288" s="88">
        <v>365</v>
      </c>
      <c r="F288" s="89" t="s">
        <v>22</v>
      </c>
      <c r="G288" s="67">
        <v>109</v>
      </c>
      <c r="H288" s="89" t="s">
        <v>22</v>
      </c>
      <c r="I288" s="89" t="s">
        <v>22</v>
      </c>
      <c r="J288" s="89" t="s">
        <v>22</v>
      </c>
      <c r="K288" s="88"/>
      <c r="L288" s="88">
        <f t="shared" ref="L288:L318" si="17">SUM(M288,N288,O288,Q288)</f>
        <v>20502</v>
      </c>
      <c r="M288" s="88">
        <v>12997</v>
      </c>
      <c r="N288" s="88">
        <v>5056</v>
      </c>
      <c r="O288" s="88">
        <v>155</v>
      </c>
      <c r="P288" s="89" t="s">
        <v>22</v>
      </c>
      <c r="Q288" s="67">
        <v>2294</v>
      </c>
      <c r="R288" s="89" t="s">
        <v>22</v>
      </c>
      <c r="S288" s="89" t="s">
        <v>22</v>
      </c>
      <c r="T288" s="89" t="s">
        <v>22</v>
      </c>
    </row>
    <row r="289" spans="1:20" s="68" customFormat="1" ht="9" customHeight="1" x14ac:dyDescent="0.15">
      <c r="A289" s="66" t="s">
        <v>24</v>
      </c>
      <c r="B289" s="88">
        <f t="shared" si="16"/>
        <v>4693</v>
      </c>
      <c r="C289" s="88">
        <v>1377</v>
      </c>
      <c r="D289" s="88">
        <v>2510</v>
      </c>
      <c r="E289" s="88">
        <v>606</v>
      </c>
      <c r="F289" s="89" t="s">
        <v>22</v>
      </c>
      <c r="G289" s="67">
        <v>200</v>
      </c>
      <c r="H289" s="89" t="s">
        <v>22</v>
      </c>
      <c r="I289" s="89" t="s">
        <v>22</v>
      </c>
      <c r="J289" s="89" t="s">
        <v>22</v>
      </c>
      <c r="K289" s="88"/>
      <c r="L289" s="88">
        <f t="shared" si="17"/>
        <v>62573</v>
      </c>
      <c r="M289" s="88">
        <v>48308</v>
      </c>
      <c r="N289" s="88">
        <v>9475</v>
      </c>
      <c r="O289" s="88">
        <v>238</v>
      </c>
      <c r="P289" s="89" t="s">
        <v>22</v>
      </c>
      <c r="Q289" s="67">
        <v>4552</v>
      </c>
      <c r="R289" s="89" t="s">
        <v>22</v>
      </c>
      <c r="S289" s="89" t="s">
        <v>22</v>
      </c>
      <c r="T289" s="89" t="s">
        <v>22</v>
      </c>
    </row>
    <row r="290" spans="1:20" s="68" customFormat="1" ht="9" customHeight="1" x14ac:dyDescent="0.15">
      <c r="A290" s="66" t="s">
        <v>25</v>
      </c>
      <c r="B290" s="88">
        <f t="shared" si="16"/>
        <v>3103</v>
      </c>
      <c r="C290" s="88">
        <v>861</v>
      </c>
      <c r="D290" s="88">
        <v>1545</v>
      </c>
      <c r="E290" s="88">
        <v>448</v>
      </c>
      <c r="F290" s="89" t="s">
        <v>22</v>
      </c>
      <c r="G290" s="67">
        <v>249</v>
      </c>
      <c r="H290" s="89" t="s">
        <v>22</v>
      </c>
      <c r="I290" s="89" t="s">
        <v>22</v>
      </c>
      <c r="J290" s="89" t="s">
        <v>22</v>
      </c>
      <c r="K290" s="88"/>
      <c r="L290" s="88">
        <f t="shared" si="17"/>
        <v>28756</v>
      </c>
      <c r="M290" s="88">
        <v>19318</v>
      </c>
      <c r="N290" s="88">
        <v>4738</v>
      </c>
      <c r="O290" s="88">
        <v>272</v>
      </c>
      <c r="P290" s="89" t="s">
        <v>22</v>
      </c>
      <c r="Q290" s="67">
        <v>4428</v>
      </c>
      <c r="R290" s="89" t="s">
        <v>22</v>
      </c>
      <c r="S290" s="89" t="s">
        <v>22</v>
      </c>
      <c r="T290" s="89" t="s">
        <v>22</v>
      </c>
    </row>
    <row r="291" spans="1:20" s="68" customFormat="1" ht="9" customHeight="1" x14ac:dyDescent="0.15">
      <c r="A291" s="69" t="s">
        <v>26</v>
      </c>
      <c r="B291" s="90">
        <f t="shared" si="16"/>
        <v>1995</v>
      </c>
      <c r="C291" s="90">
        <v>549</v>
      </c>
      <c r="D291" s="90">
        <v>1220</v>
      </c>
      <c r="E291" s="90">
        <v>202</v>
      </c>
      <c r="F291" s="91" t="s">
        <v>22</v>
      </c>
      <c r="G291" s="70">
        <v>24</v>
      </c>
      <c r="H291" s="91" t="s">
        <v>22</v>
      </c>
      <c r="I291" s="91" t="s">
        <v>22</v>
      </c>
      <c r="J291" s="91" t="s">
        <v>22</v>
      </c>
      <c r="K291" s="90"/>
      <c r="L291" s="90">
        <f t="shared" si="17"/>
        <v>19469</v>
      </c>
      <c r="M291" s="90">
        <v>12293</v>
      </c>
      <c r="N291" s="90">
        <v>5264</v>
      </c>
      <c r="O291" s="90">
        <v>157</v>
      </c>
      <c r="P291" s="91" t="s">
        <v>22</v>
      </c>
      <c r="Q291" s="70">
        <v>1755</v>
      </c>
      <c r="R291" s="91" t="s">
        <v>22</v>
      </c>
      <c r="S291" s="91" t="s">
        <v>22</v>
      </c>
      <c r="T291" s="91" t="s">
        <v>22</v>
      </c>
    </row>
    <row r="292" spans="1:20" s="68" customFormat="1" ht="9" customHeight="1" x14ac:dyDescent="0.15">
      <c r="A292" s="66" t="s">
        <v>27</v>
      </c>
      <c r="B292" s="88">
        <f t="shared" si="16"/>
        <v>7385</v>
      </c>
      <c r="C292" s="88">
        <v>2683</v>
      </c>
      <c r="D292" s="88">
        <v>2846</v>
      </c>
      <c r="E292" s="88">
        <v>1646</v>
      </c>
      <c r="F292" s="89" t="s">
        <v>22</v>
      </c>
      <c r="G292" s="67">
        <v>210</v>
      </c>
      <c r="H292" s="89" t="s">
        <v>22</v>
      </c>
      <c r="I292" s="89" t="s">
        <v>22</v>
      </c>
      <c r="J292" s="89" t="s">
        <v>22</v>
      </c>
      <c r="K292" s="88"/>
      <c r="L292" s="88">
        <f t="shared" si="17"/>
        <v>117836</v>
      </c>
      <c r="M292" s="88">
        <v>79436</v>
      </c>
      <c r="N292" s="88">
        <v>9917</v>
      </c>
      <c r="O292" s="88">
        <v>940</v>
      </c>
      <c r="P292" s="89" t="s">
        <v>22</v>
      </c>
      <c r="Q292" s="67">
        <v>27543</v>
      </c>
      <c r="R292" s="89" t="s">
        <v>22</v>
      </c>
      <c r="S292" s="89" t="s">
        <v>22</v>
      </c>
      <c r="T292" s="89" t="s">
        <v>22</v>
      </c>
    </row>
    <row r="293" spans="1:20" s="68" customFormat="1" ht="9" customHeight="1" x14ac:dyDescent="0.15">
      <c r="A293" s="66" t="s">
        <v>28</v>
      </c>
      <c r="B293" s="88">
        <f t="shared" si="16"/>
        <v>7088</v>
      </c>
      <c r="C293" s="88">
        <v>1342</v>
      </c>
      <c r="D293" s="88">
        <v>3074</v>
      </c>
      <c r="E293" s="88">
        <v>1094</v>
      </c>
      <c r="F293" s="89" t="s">
        <v>22</v>
      </c>
      <c r="G293" s="67">
        <v>1578</v>
      </c>
      <c r="H293" s="89" t="s">
        <v>22</v>
      </c>
      <c r="I293" s="89" t="s">
        <v>22</v>
      </c>
      <c r="J293" s="89" t="s">
        <v>22</v>
      </c>
      <c r="K293" s="88"/>
      <c r="L293" s="88">
        <f t="shared" si="17"/>
        <v>82583</v>
      </c>
      <c r="M293" s="88">
        <v>28420</v>
      </c>
      <c r="N293" s="88">
        <v>6915</v>
      </c>
      <c r="O293" s="88">
        <v>341</v>
      </c>
      <c r="P293" s="89" t="s">
        <v>22</v>
      </c>
      <c r="Q293" s="67">
        <v>46907</v>
      </c>
      <c r="R293" s="89" t="s">
        <v>22</v>
      </c>
      <c r="S293" s="89" t="s">
        <v>22</v>
      </c>
      <c r="T293" s="89" t="s">
        <v>22</v>
      </c>
    </row>
    <row r="294" spans="1:20" s="68" customFormat="1" ht="9" customHeight="1" x14ac:dyDescent="0.15">
      <c r="A294" s="66" t="s">
        <v>29</v>
      </c>
      <c r="B294" s="88">
        <f t="shared" si="16"/>
        <v>4154</v>
      </c>
      <c r="C294" s="88">
        <v>2034</v>
      </c>
      <c r="D294" s="88">
        <v>1789</v>
      </c>
      <c r="E294" s="88">
        <v>289</v>
      </c>
      <c r="F294" s="89" t="s">
        <v>22</v>
      </c>
      <c r="G294" s="67">
        <v>42</v>
      </c>
      <c r="H294" s="89" t="s">
        <v>22</v>
      </c>
      <c r="I294" s="89" t="s">
        <v>22</v>
      </c>
      <c r="J294" s="89" t="s">
        <v>22</v>
      </c>
      <c r="K294" s="88"/>
      <c r="L294" s="88">
        <f t="shared" si="17"/>
        <v>45384</v>
      </c>
      <c r="M294" s="88">
        <v>38131</v>
      </c>
      <c r="N294" s="88">
        <v>3642</v>
      </c>
      <c r="O294" s="88">
        <v>393</v>
      </c>
      <c r="P294" s="89" t="s">
        <v>22</v>
      </c>
      <c r="Q294" s="67">
        <v>3218</v>
      </c>
      <c r="R294" s="89" t="s">
        <v>22</v>
      </c>
      <c r="S294" s="89" t="s">
        <v>22</v>
      </c>
      <c r="T294" s="89" t="s">
        <v>22</v>
      </c>
    </row>
    <row r="295" spans="1:20" s="68" customFormat="1" ht="9" customHeight="1" x14ac:dyDescent="0.15">
      <c r="A295" s="69" t="s">
        <v>30</v>
      </c>
      <c r="B295" s="90">
        <f t="shared" si="16"/>
        <v>4599</v>
      </c>
      <c r="C295" s="90">
        <v>1848</v>
      </c>
      <c r="D295" s="90">
        <v>1807</v>
      </c>
      <c r="E295" s="90">
        <v>699</v>
      </c>
      <c r="F295" s="91" t="s">
        <v>22</v>
      </c>
      <c r="G295" s="70">
        <v>245</v>
      </c>
      <c r="H295" s="91" t="s">
        <v>22</v>
      </c>
      <c r="I295" s="91" t="s">
        <v>22</v>
      </c>
      <c r="J295" s="91" t="s">
        <v>22</v>
      </c>
      <c r="K295" s="90"/>
      <c r="L295" s="90">
        <f t="shared" si="17"/>
        <v>59697</v>
      </c>
      <c r="M295" s="90">
        <v>50752</v>
      </c>
      <c r="N295" s="90">
        <v>5227</v>
      </c>
      <c r="O295" s="90">
        <v>287</v>
      </c>
      <c r="P295" s="91" t="s">
        <v>22</v>
      </c>
      <c r="Q295" s="70">
        <v>3431</v>
      </c>
      <c r="R295" s="91" t="s">
        <v>22</v>
      </c>
      <c r="S295" s="91" t="s">
        <v>22</v>
      </c>
      <c r="T295" s="91" t="s">
        <v>22</v>
      </c>
    </row>
    <row r="296" spans="1:20" s="68" customFormat="1" ht="9" customHeight="1" x14ac:dyDescent="0.15">
      <c r="A296" s="66" t="s">
        <v>63</v>
      </c>
      <c r="B296" s="88">
        <f t="shared" si="16"/>
        <v>38316</v>
      </c>
      <c r="C296" s="88">
        <v>12519</v>
      </c>
      <c r="D296" s="88">
        <v>17164</v>
      </c>
      <c r="E296" s="88">
        <v>4574</v>
      </c>
      <c r="F296" s="89" t="s">
        <v>22</v>
      </c>
      <c r="G296" s="67">
        <v>4059</v>
      </c>
      <c r="H296" s="89" t="s">
        <v>22</v>
      </c>
      <c r="I296" s="89" t="s">
        <v>22</v>
      </c>
      <c r="J296" s="89" t="s">
        <v>22</v>
      </c>
      <c r="K296" s="88"/>
      <c r="L296" s="88">
        <f t="shared" si="17"/>
        <v>554753</v>
      </c>
      <c r="M296" s="88">
        <v>445267</v>
      </c>
      <c r="N296" s="88">
        <v>58949</v>
      </c>
      <c r="O296" s="88">
        <v>4489</v>
      </c>
      <c r="P296" s="89" t="s">
        <v>22</v>
      </c>
      <c r="Q296" s="67">
        <v>46048</v>
      </c>
      <c r="R296" s="89" t="s">
        <v>22</v>
      </c>
      <c r="S296" s="89" t="s">
        <v>22</v>
      </c>
      <c r="T296" s="89" t="s">
        <v>22</v>
      </c>
    </row>
    <row r="297" spans="1:20" s="68" customFormat="1" ht="9" customHeight="1" x14ac:dyDescent="0.15">
      <c r="A297" s="66" t="s">
        <v>31</v>
      </c>
      <c r="B297" s="88">
        <f t="shared" si="16"/>
        <v>5703</v>
      </c>
      <c r="C297" s="88">
        <v>2676</v>
      </c>
      <c r="D297" s="88">
        <v>1773</v>
      </c>
      <c r="E297" s="88">
        <v>975</v>
      </c>
      <c r="F297" s="89" t="s">
        <v>22</v>
      </c>
      <c r="G297" s="67">
        <v>279</v>
      </c>
      <c r="H297" s="89" t="s">
        <v>22</v>
      </c>
      <c r="I297" s="89" t="s">
        <v>22</v>
      </c>
      <c r="J297" s="89" t="s">
        <v>22</v>
      </c>
      <c r="K297" s="88"/>
      <c r="L297" s="88">
        <f t="shared" si="17"/>
        <v>76270</v>
      </c>
      <c r="M297" s="88">
        <v>49018</v>
      </c>
      <c r="N297" s="88">
        <v>6141</v>
      </c>
      <c r="O297" s="88">
        <v>726</v>
      </c>
      <c r="P297" s="89" t="s">
        <v>22</v>
      </c>
      <c r="Q297" s="67">
        <v>20385</v>
      </c>
      <c r="R297" s="89" t="s">
        <v>22</v>
      </c>
      <c r="S297" s="89" t="s">
        <v>22</v>
      </c>
      <c r="T297" s="89" t="s">
        <v>22</v>
      </c>
    </row>
    <row r="298" spans="1:20" s="68" customFormat="1" ht="9" customHeight="1" x14ac:dyDescent="0.15">
      <c r="A298" s="66" t="s">
        <v>32</v>
      </c>
      <c r="B298" s="88">
        <f t="shared" si="16"/>
        <v>9300</v>
      </c>
      <c r="C298" s="88">
        <v>2693</v>
      </c>
      <c r="D298" s="88">
        <v>3086</v>
      </c>
      <c r="E298" s="88">
        <v>1750</v>
      </c>
      <c r="F298" s="89" t="s">
        <v>22</v>
      </c>
      <c r="G298" s="67">
        <v>1771</v>
      </c>
      <c r="H298" s="89" t="s">
        <v>22</v>
      </c>
      <c r="I298" s="89" t="s">
        <v>22</v>
      </c>
      <c r="J298" s="89" t="s">
        <v>22</v>
      </c>
      <c r="K298" s="88"/>
      <c r="L298" s="88">
        <f t="shared" si="17"/>
        <v>117842</v>
      </c>
      <c r="M298" s="88">
        <v>68470</v>
      </c>
      <c r="N298" s="88">
        <v>8388</v>
      </c>
      <c r="O298" s="88">
        <v>1007</v>
      </c>
      <c r="P298" s="89" t="s">
        <v>22</v>
      </c>
      <c r="Q298" s="67">
        <v>39977</v>
      </c>
      <c r="R298" s="89" t="s">
        <v>22</v>
      </c>
      <c r="S298" s="89" t="s">
        <v>22</v>
      </c>
      <c r="T298" s="89" t="s">
        <v>22</v>
      </c>
    </row>
    <row r="299" spans="1:20" s="68" customFormat="1" ht="9" customHeight="1" x14ac:dyDescent="0.15">
      <c r="A299" s="69" t="s">
        <v>33</v>
      </c>
      <c r="B299" s="90">
        <f t="shared" si="16"/>
        <v>8964</v>
      </c>
      <c r="C299" s="90">
        <v>4152</v>
      </c>
      <c r="D299" s="90">
        <v>2826</v>
      </c>
      <c r="E299" s="90">
        <v>1335</v>
      </c>
      <c r="F299" s="91" t="s">
        <v>22</v>
      </c>
      <c r="G299" s="70">
        <v>651</v>
      </c>
      <c r="H299" s="91" t="s">
        <v>22</v>
      </c>
      <c r="I299" s="91" t="s">
        <v>22</v>
      </c>
      <c r="J299" s="91" t="s">
        <v>22</v>
      </c>
      <c r="K299" s="90"/>
      <c r="L299" s="90">
        <f t="shared" si="17"/>
        <v>927093</v>
      </c>
      <c r="M299" s="90">
        <v>97129</v>
      </c>
      <c r="N299" s="90">
        <v>7889</v>
      </c>
      <c r="O299" s="90">
        <v>394</v>
      </c>
      <c r="P299" s="91" t="s">
        <v>22</v>
      </c>
      <c r="Q299" s="70">
        <v>821681</v>
      </c>
      <c r="R299" s="91" t="s">
        <v>22</v>
      </c>
      <c r="S299" s="91" t="s">
        <v>22</v>
      </c>
      <c r="T299" s="91" t="s">
        <v>22</v>
      </c>
    </row>
    <row r="300" spans="1:20" s="68" customFormat="1" ht="9" customHeight="1" x14ac:dyDescent="0.15">
      <c r="A300" s="66" t="s">
        <v>34</v>
      </c>
      <c r="B300" s="88">
        <f t="shared" si="16"/>
        <v>8067</v>
      </c>
      <c r="C300" s="88">
        <v>2859</v>
      </c>
      <c r="D300" s="88">
        <v>3309</v>
      </c>
      <c r="E300" s="88">
        <v>1796</v>
      </c>
      <c r="F300" s="89" t="s">
        <v>22</v>
      </c>
      <c r="G300" s="67">
        <v>103</v>
      </c>
      <c r="H300" s="89" t="s">
        <v>22</v>
      </c>
      <c r="I300" s="89" t="s">
        <v>22</v>
      </c>
      <c r="J300" s="89" t="s">
        <v>22</v>
      </c>
      <c r="K300" s="88"/>
      <c r="L300" s="88">
        <f t="shared" si="17"/>
        <v>94691</v>
      </c>
      <c r="M300" s="88">
        <v>80482</v>
      </c>
      <c r="N300" s="88">
        <v>11238</v>
      </c>
      <c r="O300" s="88">
        <v>1443</v>
      </c>
      <c r="P300" s="89" t="s">
        <v>22</v>
      </c>
      <c r="Q300" s="67">
        <v>1528</v>
      </c>
      <c r="R300" s="89" t="s">
        <v>22</v>
      </c>
      <c r="S300" s="89" t="s">
        <v>22</v>
      </c>
      <c r="T300" s="89" t="s">
        <v>22</v>
      </c>
    </row>
    <row r="301" spans="1:20" s="68" customFormat="1" ht="9" customHeight="1" x14ac:dyDescent="0.15">
      <c r="A301" s="66" t="s">
        <v>35</v>
      </c>
      <c r="B301" s="88">
        <f t="shared" si="16"/>
        <v>19972</v>
      </c>
      <c r="C301" s="88">
        <v>3477</v>
      </c>
      <c r="D301" s="88">
        <v>8894</v>
      </c>
      <c r="E301" s="88">
        <v>3292</v>
      </c>
      <c r="F301" s="89" t="s">
        <v>22</v>
      </c>
      <c r="G301" s="67">
        <v>4309</v>
      </c>
      <c r="H301" s="89" t="s">
        <v>22</v>
      </c>
      <c r="I301" s="89" t="s">
        <v>22</v>
      </c>
      <c r="J301" s="89" t="s">
        <v>22</v>
      </c>
      <c r="K301" s="88"/>
      <c r="L301" s="88">
        <f t="shared" si="17"/>
        <v>172783</v>
      </c>
      <c r="M301" s="88">
        <v>87079</v>
      </c>
      <c r="N301" s="88">
        <v>27685</v>
      </c>
      <c r="O301" s="88">
        <v>1218</v>
      </c>
      <c r="P301" s="89" t="s">
        <v>22</v>
      </c>
      <c r="Q301" s="67">
        <v>56801</v>
      </c>
      <c r="R301" s="89" t="s">
        <v>22</v>
      </c>
      <c r="S301" s="89" t="s">
        <v>22</v>
      </c>
      <c r="T301" s="89" t="s">
        <v>22</v>
      </c>
    </row>
    <row r="302" spans="1:20" s="68" customFormat="1" ht="9" customHeight="1" x14ac:dyDescent="0.15">
      <c r="A302" s="66" t="s">
        <v>36</v>
      </c>
      <c r="B302" s="88">
        <f t="shared" si="16"/>
        <v>21204</v>
      </c>
      <c r="C302" s="88">
        <v>7796</v>
      </c>
      <c r="D302" s="88">
        <v>8347</v>
      </c>
      <c r="E302" s="88">
        <v>3402</v>
      </c>
      <c r="F302" s="89" t="s">
        <v>22</v>
      </c>
      <c r="G302" s="67">
        <v>1659</v>
      </c>
      <c r="H302" s="89" t="s">
        <v>22</v>
      </c>
      <c r="I302" s="89" t="s">
        <v>22</v>
      </c>
      <c r="J302" s="89" t="s">
        <v>22</v>
      </c>
      <c r="K302" s="88"/>
      <c r="L302" s="88">
        <f t="shared" si="17"/>
        <v>400114</v>
      </c>
      <c r="M302" s="88">
        <v>313661</v>
      </c>
      <c r="N302" s="88">
        <v>32949</v>
      </c>
      <c r="O302" s="88">
        <v>3494</v>
      </c>
      <c r="P302" s="89" t="s">
        <v>22</v>
      </c>
      <c r="Q302" s="67">
        <v>50010</v>
      </c>
      <c r="R302" s="89" t="s">
        <v>22</v>
      </c>
      <c r="S302" s="89" t="s">
        <v>22</v>
      </c>
      <c r="T302" s="89" t="s">
        <v>22</v>
      </c>
    </row>
    <row r="303" spans="1:20" s="68" customFormat="1" ht="9" customHeight="1" x14ac:dyDescent="0.15">
      <c r="A303" s="69" t="s">
        <v>37</v>
      </c>
      <c r="B303" s="90">
        <f t="shared" si="16"/>
        <v>3091</v>
      </c>
      <c r="C303" s="90">
        <v>1226</v>
      </c>
      <c r="D303" s="90">
        <v>1127</v>
      </c>
      <c r="E303" s="90">
        <v>345</v>
      </c>
      <c r="F303" s="91" t="s">
        <v>22</v>
      </c>
      <c r="G303" s="70">
        <v>393</v>
      </c>
      <c r="H303" s="91" t="s">
        <v>22</v>
      </c>
      <c r="I303" s="91" t="s">
        <v>22</v>
      </c>
      <c r="J303" s="91" t="s">
        <v>22</v>
      </c>
      <c r="K303" s="90"/>
      <c r="L303" s="90">
        <f t="shared" si="17"/>
        <v>38161</v>
      </c>
      <c r="M303" s="90">
        <v>23664</v>
      </c>
      <c r="N303" s="90">
        <v>4183</v>
      </c>
      <c r="O303" s="90">
        <v>361</v>
      </c>
      <c r="P303" s="91" t="s">
        <v>22</v>
      </c>
      <c r="Q303" s="70">
        <v>9953</v>
      </c>
      <c r="R303" s="91" t="s">
        <v>22</v>
      </c>
      <c r="S303" s="91" t="s">
        <v>22</v>
      </c>
      <c r="T303" s="91" t="s">
        <v>22</v>
      </c>
    </row>
    <row r="304" spans="1:20" s="68" customFormat="1" ht="9" customHeight="1" x14ac:dyDescent="0.15">
      <c r="A304" s="66" t="s">
        <v>38</v>
      </c>
      <c r="B304" s="88">
        <f t="shared" si="16"/>
        <v>3550</v>
      </c>
      <c r="C304" s="88">
        <v>1086</v>
      </c>
      <c r="D304" s="88">
        <v>1335</v>
      </c>
      <c r="E304" s="88">
        <v>904</v>
      </c>
      <c r="F304" s="89" t="s">
        <v>22</v>
      </c>
      <c r="G304" s="67">
        <v>225</v>
      </c>
      <c r="H304" s="89" t="s">
        <v>22</v>
      </c>
      <c r="I304" s="89" t="s">
        <v>22</v>
      </c>
      <c r="J304" s="89" t="s">
        <v>22</v>
      </c>
      <c r="K304" s="88"/>
      <c r="L304" s="88">
        <f t="shared" si="17"/>
        <v>39854</v>
      </c>
      <c r="M304" s="88">
        <v>24506</v>
      </c>
      <c r="N304" s="88">
        <v>7378</v>
      </c>
      <c r="O304" s="88">
        <v>282</v>
      </c>
      <c r="P304" s="89" t="s">
        <v>22</v>
      </c>
      <c r="Q304" s="67">
        <v>7688</v>
      </c>
      <c r="R304" s="89" t="s">
        <v>22</v>
      </c>
      <c r="S304" s="89" t="s">
        <v>22</v>
      </c>
      <c r="T304" s="89" t="s">
        <v>22</v>
      </c>
    </row>
    <row r="305" spans="1:20" s="68" customFormat="1" ht="9" customHeight="1" x14ac:dyDescent="0.15">
      <c r="A305" s="66" t="s">
        <v>39</v>
      </c>
      <c r="B305" s="88">
        <f t="shared" si="16"/>
        <v>2015</v>
      </c>
      <c r="C305" s="88">
        <v>509</v>
      </c>
      <c r="D305" s="88">
        <v>1234</v>
      </c>
      <c r="E305" s="88">
        <v>269</v>
      </c>
      <c r="F305" s="89" t="s">
        <v>22</v>
      </c>
      <c r="G305" s="67">
        <v>3</v>
      </c>
      <c r="H305" s="89" t="s">
        <v>22</v>
      </c>
      <c r="I305" s="89" t="s">
        <v>22</v>
      </c>
      <c r="J305" s="89" t="s">
        <v>22</v>
      </c>
      <c r="K305" s="88"/>
      <c r="L305" s="88">
        <f t="shared" si="17"/>
        <v>13509</v>
      </c>
      <c r="M305" s="88">
        <v>10403</v>
      </c>
      <c r="N305" s="88">
        <v>2323</v>
      </c>
      <c r="O305" s="88">
        <v>158</v>
      </c>
      <c r="P305" s="89" t="s">
        <v>22</v>
      </c>
      <c r="Q305" s="67">
        <v>625</v>
      </c>
      <c r="R305" s="89" t="s">
        <v>22</v>
      </c>
      <c r="S305" s="89" t="s">
        <v>22</v>
      </c>
      <c r="T305" s="89" t="s">
        <v>22</v>
      </c>
    </row>
    <row r="306" spans="1:20" s="68" customFormat="1" ht="9" customHeight="1" x14ac:dyDescent="0.15">
      <c r="A306" s="66" t="s">
        <v>40</v>
      </c>
      <c r="B306" s="88">
        <f t="shared" si="16"/>
        <v>6948</v>
      </c>
      <c r="C306" s="88">
        <v>1726</v>
      </c>
      <c r="D306" s="88">
        <v>3848</v>
      </c>
      <c r="E306" s="88">
        <v>1239</v>
      </c>
      <c r="F306" s="89" t="s">
        <v>22</v>
      </c>
      <c r="G306" s="67">
        <v>135</v>
      </c>
      <c r="H306" s="89" t="s">
        <v>22</v>
      </c>
      <c r="I306" s="89" t="s">
        <v>22</v>
      </c>
      <c r="J306" s="89" t="s">
        <v>22</v>
      </c>
      <c r="K306" s="88"/>
      <c r="L306" s="88">
        <f t="shared" si="17"/>
        <v>54652</v>
      </c>
      <c r="M306" s="88">
        <v>32139</v>
      </c>
      <c r="N306" s="88">
        <v>12872</v>
      </c>
      <c r="O306" s="88">
        <v>812</v>
      </c>
      <c r="P306" s="89" t="s">
        <v>22</v>
      </c>
      <c r="Q306" s="67">
        <v>8829</v>
      </c>
      <c r="R306" s="89" t="s">
        <v>22</v>
      </c>
      <c r="S306" s="89" t="s">
        <v>22</v>
      </c>
      <c r="T306" s="89" t="s">
        <v>22</v>
      </c>
    </row>
    <row r="307" spans="1:20" s="68" customFormat="1" ht="9" customHeight="1" x14ac:dyDescent="0.15">
      <c r="A307" s="69" t="s">
        <v>41</v>
      </c>
      <c r="B307" s="90">
        <f t="shared" si="16"/>
        <v>5844</v>
      </c>
      <c r="C307" s="90">
        <v>1685</v>
      </c>
      <c r="D307" s="90">
        <v>3711</v>
      </c>
      <c r="E307" s="90">
        <v>430</v>
      </c>
      <c r="F307" s="91" t="s">
        <v>22</v>
      </c>
      <c r="G307" s="70">
        <v>18</v>
      </c>
      <c r="H307" s="91" t="s">
        <v>22</v>
      </c>
      <c r="I307" s="91" t="s">
        <v>22</v>
      </c>
      <c r="J307" s="91" t="s">
        <v>22</v>
      </c>
      <c r="K307" s="90"/>
      <c r="L307" s="90">
        <f t="shared" si="17"/>
        <v>65522</v>
      </c>
      <c r="M307" s="90">
        <v>37312</v>
      </c>
      <c r="N307" s="90">
        <v>18203</v>
      </c>
      <c r="O307" s="90">
        <v>861</v>
      </c>
      <c r="P307" s="91" t="s">
        <v>22</v>
      </c>
      <c r="Q307" s="70">
        <v>9146</v>
      </c>
      <c r="R307" s="91" t="s">
        <v>22</v>
      </c>
      <c r="S307" s="91" t="s">
        <v>22</v>
      </c>
      <c r="T307" s="91" t="s">
        <v>22</v>
      </c>
    </row>
    <row r="308" spans="1:20" s="68" customFormat="1" ht="9" customHeight="1" x14ac:dyDescent="0.15">
      <c r="A308" s="66" t="s">
        <v>42</v>
      </c>
      <c r="B308" s="88">
        <f t="shared" si="16"/>
        <v>7009</v>
      </c>
      <c r="C308" s="88">
        <v>1968</v>
      </c>
      <c r="D308" s="88">
        <v>3584</v>
      </c>
      <c r="E308" s="88">
        <v>545</v>
      </c>
      <c r="F308" s="89" t="s">
        <v>22</v>
      </c>
      <c r="G308" s="67">
        <v>912</v>
      </c>
      <c r="H308" s="89" t="s">
        <v>22</v>
      </c>
      <c r="I308" s="89" t="s">
        <v>22</v>
      </c>
      <c r="J308" s="89" t="s">
        <v>22</v>
      </c>
      <c r="K308" s="88"/>
      <c r="L308" s="88">
        <f t="shared" si="17"/>
        <v>99929</v>
      </c>
      <c r="M308" s="88">
        <v>67159</v>
      </c>
      <c r="N308" s="88">
        <v>20989</v>
      </c>
      <c r="O308" s="88">
        <v>505</v>
      </c>
      <c r="P308" s="89" t="s">
        <v>22</v>
      </c>
      <c r="Q308" s="67">
        <v>11276</v>
      </c>
      <c r="R308" s="89" t="s">
        <v>22</v>
      </c>
      <c r="S308" s="89" t="s">
        <v>22</v>
      </c>
      <c r="T308" s="89" t="s">
        <v>22</v>
      </c>
    </row>
    <row r="309" spans="1:20" s="68" customFormat="1" ht="9" customHeight="1" x14ac:dyDescent="0.15">
      <c r="A309" s="66" t="s">
        <v>43</v>
      </c>
      <c r="B309" s="88">
        <f t="shared" si="16"/>
        <v>1878</v>
      </c>
      <c r="C309" s="88">
        <v>675</v>
      </c>
      <c r="D309" s="88">
        <v>614</v>
      </c>
      <c r="E309" s="88">
        <v>465</v>
      </c>
      <c r="F309" s="89" t="s">
        <v>22</v>
      </c>
      <c r="G309" s="67">
        <v>124</v>
      </c>
      <c r="H309" s="89" t="s">
        <v>22</v>
      </c>
      <c r="I309" s="89" t="s">
        <v>22</v>
      </c>
      <c r="J309" s="89" t="s">
        <v>22</v>
      </c>
      <c r="K309" s="88"/>
      <c r="L309" s="88">
        <f t="shared" si="17"/>
        <v>27725</v>
      </c>
      <c r="M309" s="88">
        <v>19390</v>
      </c>
      <c r="N309" s="88">
        <v>2972</v>
      </c>
      <c r="O309" s="88">
        <v>237</v>
      </c>
      <c r="P309" s="89" t="s">
        <v>22</v>
      </c>
      <c r="Q309" s="67">
        <v>5126</v>
      </c>
      <c r="R309" s="89" t="s">
        <v>22</v>
      </c>
      <c r="S309" s="89" t="s">
        <v>22</v>
      </c>
      <c r="T309" s="89" t="s">
        <v>22</v>
      </c>
    </row>
    <row r="310" spans="1:20" s="68" customFormat="1" ht="9" customHeight="1" x14ac:dyDescent="0.15">
      <c r="A310" s="66" t="s">
        <v>44</v>
      </c>
      <c r="B310" s="88">
        <f t="shared" si="16"/>
        <v>4474</v>
      </c>
      <c r="C310" s="88">
        <v>1206</v>
      </c>
      <c r="D310" s="88">
        <v>2428</v>
      </c>
      <c r="E310" s="88">
        <v>429</v>
      </c>
      <c r="F310" s="89" t="s">
        <v>22</v>
      </c>
      <c r="G310" s="67">
        <v>411</v>
      </c>
      <c r="H310" s="89" t="s">
        <v>22</v>
      </c>
      <c r="I310" s="89" t="s">
        <v>22</v>
      </c>
      <c r="J310" s="89" t="s">
        <v>22</v>
      </c>
      <c r="K310" s="88"/>
      <c r="L310" s="88">
        <f t="shared" si="17"/>
        <v>53411</v>
      </c>
      <c r="M310" s="88">
        <v>30332</v>
      </c>
      <c r="N310" s="88">
        <v>9864</v>
      </c>
      <c r="O310" s="88">
        <v>646</v>
      </c>
      <c r="P310" s="89" t="s">
        <v>22</v>
      </c>
      <c r="Q310" s="67">
        <v>12569</v>
      </c>
      <c r="R310" s="89" t="s">
        <v>22</v>
      </c>
      <c r="S310" s="89" t="s">
        <v>22</v>
      </c>
      <c r="T310" s="89" t="s">
        <v>22</v>
      </c>
    </row>
    <row r="311" spans="1:20" s="68" customFormat="1" ht="9" customHeight="1" x14ac:dyDescent="0.15">
      <c r="A311" s="69" t="s">
        <v>45</v>
      </c>
      <c r="B311" s="90">
        <f t="shared" si="16"/>
        <v>2094</v>
      </c>
      <c r="C311" s="90">
        <v>587</v>
      </c>
      <c r="D311" s="90">
        <v>459</v>
      </c>
      <c r="E311" s="90">
        <v>618</v>
      </c>
      <c r="F311" s="91" t="s">
        <v>22</v>
      </c>
      <c r="G311" s="70">
        <v>430</v>
      </c>
      <c r="H311" s="91" t="s">
        <v>22</v>
      </c>
      <c r="I311" s="91" t="s">
        <v>22</v>
      </c>
      <c r="J311" s="91" t="s">
        <v>22</v>
      </c>
      <c r="K311" s="90"/>
      <c r="L311" s="90">
        <f t="shared" si="17"/>
        <v>95970</v>
      </c>
      <c r="M311" s="90">
        <v>68391</v>
      </c>
      <c r="N311" s="90">
        <v>1863</v>
      </c>
      <c r="O311" s="90">
        <v>346</v>
      </c>
      <c r="P311" s="91" t="s">
        <v>22</v>
      </c>
      <c r="Q311" s="70">
        <v>25370</v>
      </c>
      <c r="R311" s="91" t="s">
        <v>22</v>
      </c>
      <c r="S311" s="91" t="s">
        <v>22</v>
      </c>
      <c r="T311" s="91" t="s">
        <v>22</v>
      </c>
    </row>
    <row r="312" spans="1:20" s="68" customFormat="1" ht="9" customHeight="1" x14ac:dyDescent="0.15">
      <c r="A312" s="66" t="s">
        <v>46</v>
      </c>
      <c r="B312" s="88">
        <f t="shared" si="16"/>
        <v>13192</v>
      </c>
      <c r="C312" s="88">
        <v>3953</v>
      </c>
      <c r="D312" s="88">
        <v>5466</v>
      </c>
      <c r="E312" s="88">
        <v>2106</v>
      </c>
      <c r="F312" s="89" t="s">
        <v>22</v>
      </c>
      <c r="G312" s="67">
        <v>1667</v>
      </c>
      <c r="H312" s="89" t="s">
        <v>22</v>
      </c>
      <c r="I312" s="89" t="s">
        <v>22</v>
      </c>
      <c r="J312" s="89" t="s">
        <v>22</v>
      </c>
      <c r="K312" s="88"/>
      <c r="L312" s="88">
        <f t="shared" si="17"/>
        <v>177684</v>
      </c>
      <c r="M312" s="88">
        <v>103002</v>
      </c>
      <c r="N312" s="88">
        <v>14343</v>
      </c>
      <c r="O312" s="88">
        <v>1943</v>
      </c>
      <c r="P312" s="89" t="s">
        <v>22</v>
      </c>
      <c r="Q312" s="67">
        <v>58396</v>
      </c>
      <c r="R312" s="89" t="s">
        <v>22</v>
      </c>
      <c r="S312" s="89" t="s">
        <v>22</v>
      </c>
      <c r="T312" s="89" t="s">
        <v>22</v>
      </c>
    </row>
    <row r="313" spans="1:20" s="68" customFormat="1" ht="9" customHeight="1" x14ac:dyDescent="0.15">
      <c r="A313" s="66" t="s">
        <v>47</v>
      </c>
      <c r="B313" s="88">
        <f t="shared" si="16"/>
        <v>2529</v>
      </c>
      <c r="C313" s="88">
        <v>1295</v>
      </c>
      <c r="D313" s="88">
        <v>883</v>
      </c>
      <c r="E313" s="88">
        <v>264</v>
      </c>
      <c r="F313" s="89" t="s">
        <v>22</v>
      </c>
      <c r="G313" s="67">
        <v>87</v>
      </c>
      <c r="H313" s="89" t="s">
        <v>22</v>
      </c>
      <c r="I313" s="89" t="s">
        <v>22</v>
      </c>
      <c r="J313" s="89" t="s">
        <v>22</v>
      </c>
      <c r="K313" s="88"/>
      <c r="L313" s="88">
        <f t="shared" si="17"/>
        <v>30544</v>
      </c>
      <c r="M313" s="88">
        <v>27179</v>
      </c>
      <c r="N313" s="88">
        <v>2471</v>
      </c>
      <c r="O313" s="88">
        <v>90</v>
      </c>
      <c r="P313" s="89" t="s">
        <v>22</v>
      </c>
      <c r="Q313" s="67">
        <v>804</v>
      </c>
      <c r="R313" s="89" t="s">
        <v>22</v>
      </c>
      <c r="S313" s="89" t="s">
        <v>22</v>
      </c>
      <c r="T313" s="89" t="s">
        <v>22</v>
      </c>
    </row>
    <row r="314" spans="1:20" s="68" customFormat="1" ht="9" customHeight="1" x14ac:dyDescent="0.15">
      <c r="A314" s="66" t="s">
        <v>48</v>
      </c>
      <c r="B314" s="88">
        <f t="shared" si="16"/>
        <v>2471</v>
      </c>
      <c r="C314" s="88">
        <v>1133</v>
      </c>
      <c r="D314" s="88">
        <v>1100</v>
      </c>
      <c r="E314" s="88">
        <v>203</v>
      </c>
      <c r="F314" s="89" t="s">
        <v>22</v>
      </c>
      <c r="G314" s="67">
        <v>35</v>
      </c>
      <c r="H314" s="89" t="s">
        <v>22</v>
      </c>
      <c r="I314" s="89" t="s">
        <v>22</v>
      </c>
      <c r="J314" s="89" t="s">
        <v>22</v>
      </c>
      <c r="K314" s="88"/>
      <c r="L314" s="88">
        <f t="shared" si="17"/>
        <v>31867</v>
      </c>
      <c r="M314" s="88">
        <v>22409</v>
      </c>
      <c r="N314" s="88">
        <v>6931</v>
      </c>
      <c r="O314" s="88">
        <v>359</v>
      </c>
      <c r="P314" s="89" t="s">
        <v>22</v>
      </c>
      <c r="Q314" s="67">
        <v>2168</v>
      </c>
      <c r="R314" s="89" t="s">
        <v>22</v>
      </c>
      <c r="S314" s="89" t="s">
        <v>22</v>
      </c>
      <c r="T314" s="89" t="s">
        <v>22</v>
      </c>
    </row>
    <row r="315" spans="1:20" s="68" customFormat="1" ht="9" customHeight="1" x14ac:dyDescent="0.15">
      <c r="A315" s="69" t="s">
        <v>49</v>
      </c>
      <c r="B315" s="90">
        <f t="shared" si="16"/>
        <v>6662</v>
      </c>
      <c r="C315" s="90">
        <v>1698</v>
      </c>
      <c r="D315" s="90">
        <v>2548</v>
      </c>
      <c r="E315" s="90">
        <v>1318</v>
      </c>
      <c r="F315" s="91" t="s">
        <v>22</v>
      </c>
      <c r="G315" s="70">
        <v>1098</v>
      </c>
      <c r="H315" s="91" t="s">
        <v>22</v>
      </c>
      <c r="I315" s="91" t="s">
        <v>22</v>
      </c>
      <c r="J315" s="91" t="s">
        <v>22</v>
      </c>
      <c r="K315" s="90"/>
      <c r="L315" s="90">
        <f t="shared" si="17"/>
        <v>51000</v>
      </c>
      <c r="M315" s="90">
        <v>39608</v>
      </c>
      <c r="N315" s="90">
        <v>6105</v>
      </c>
      <c r="O315" s="90">
        <v>603</v>
      </c>
      <c r="P315" s="91" t="s">
        <v>22</v>
      </c>
      <c r="Q315" s="70">
        <v>4684</v>
      </c>
      <c r="R315" s="91" t="s">
        <v>22</v>
      </c>
      <c r="S315" s="91" t="s">
        <v>22</v>
      </c>
      <c r="T315" s="91" t="s">
        <v>22</v>
      </c>
    </row>
    <row r="316" spans="1:20" s="68" customFormat="1" ht="9" customHeight="1" x14ac:dyDescent="0.15">
      <c r="A316" s="66" t="s">
        <v>51</v>
      </c>
      <c r="B316" s="88">
        <f t="shared" si="16"/>
        <v>5001</v>
      </c>
      <c r="C316" s="88">
        <v>1844</v>
      </c>
      <c r="D316" s="88">
        <v>2384</v>
      </c>
      <c r="E316" s="88">
        <v>573</v>
      </c>
      <c r="F316" s="89" t="s">
        <v>22</v>
      </c>
      <c r="G316" s="67">
        <v>200</v>
      </c>
      <c r="H316" s="89" t="s">
        <v>22</v>
      </c>
      <c r="I316" s="89" t="s">
        <v>22</v>
      </c>
      <c r="J316" s="89" t="s">
        <v>22</v>
      </c>
      <c r="K316" s="88"/>
      <c r="L316" s="88">
        <f t="shared" si="17"/>
        <v>49740</v>
      </c>
      <c r="M316" s="88">
        <v>37360</v>
      </c>
      <c r="N316" s="88">
        <v>8153</v>
      </c>
      <c r="O316" s="88">
        <v>532</v>
      </c>
      <c r="P316" s="89" t="s">
        <v>22</v>
      </c>
      <c r="Q316" s="67">
        <v>3695</v>
      </c>
      <c r="R316" s="89" t="s">
        <v>22</v>
      </c>
      <c r="S316" s="89" t="s">
        <v>22</v>
      </c>
      <c r="T316" s="89" t="s">
        <v>22</v>
      </c>
    </row>
    <row r="317" spans="1:20" s="68" customFormat="1" ht="9" customHeight="1" x14ac:dyDescent="0.15">
      <c r="A317" s="66" t="s">
        <v>52</v>
      </c>
      <c r="B317" s="88">
        <f t="shared" si="16"/>
        <v>2585</v>
      </c>
      <c r="C317" s="88">
        <v>765</v>
      </c>
      <c r="D317" s="88">
        <v>1258</v>
      </c>
      <c r="E317" s="88">
        <v>428</v>
      </c>
      <c r="F317" s="88" t="s">
        <v>22</v>
      </c>
      <c r="G317" s="67">
        <v>134</v>
      </c>
      <c r="H317" s="89" t="s">
        <v>22</v>
      </c>
      <c r="I317" s="89" t="s">
        <v>22</v>
      </c>
      <c r="J317" s="89" t="s">
        <v>22</v>
      </c>
      <c r="K317" s="88"/>
      <c r="L317" s="88">
        <f t="shared" si="17"/>
        <v>30056</v>
      </c>
      <c r="M317" s="88">
        <v>14121</v>
      </c>
      <c r="N317" s="88">
        <v>1927</v>
      </c>
      <c r="O317" s="88">
        <v>194</v>
      </c>
      <c r="P317" s="88" t="s">
        <v>22</v>
      </c>
      <c r="Q317" s="67">
        <v>13814</v>
      </c>
      <c r="R317" s="89" t="s">
        <v>22</v>
      </c>
      <c r="S317" s="89" t="s">
        <v>22</v>
      </c>
      <c r="T317" s="89" t="s">
        <v>22</v>
      </c>
    </row>
    <row r="318" spans="1:20" s="68" customFormat="1" ht="9" customHeight="1" x14ac:dyDescent="0.15">
      <c r="A318" s="71" t="s">
        <v>53</v>
      </c>
      <c r="B318" s="92">
        <f t="shared" si="16"/>
        <v>2721</v>
      </c>
      <c r="C318" s="92">
        <v>702</v>
      </c>
      <c r="D318" s="92">
        <v>1511</v>
      </c>
      <c r="E318" s="92">
        <v>240</v>
      </c>
      <c r="F318" s="92" t="s">
        <v>22</v>
      </c>
      <c r="G318" s="67">
        <v>268</v>
      </c>
      <c r="H318" s="89" t="s">
        <v>22</v>
      </c>
      <c r="I318" s="89" t="s">
        <v>22</v>
      </c>
      <c r="J318" s="89" t="s">
        <v>22</v>
      </c>
      <c r="K318" s="92"/>
      <c r="L318" s="92">
        <f t="shared" si="17"/>
        <v>33030</v>
      </c>
      <c r="M318" s="92">
        <v>16381</v>
      </c>
      <c r="N318" s="92">
        <v>6210</v>
      </c>
      <c r="O318" s="92">
        <v>197</v>
      </c>
      <c r="P318" s="92" t="s">
        <v>22</v>
      </c>
      <c r="Q318" s="67">
        <v>10242</v>
      </c>
      <c r="R318" s="89" t="s">
        <v>22</v>
      </c>
      <c r="S318" s="89" t="s">
        <v>22</v>
      </c>
      <c r="T318" s="89" t="s">
        <v>22</v>
      </c>
    </row>
    <row r="319" spans="1:20" s="72" customFormat="1" ht="5.25" customHeight="1" x14ac:dyDescent="0.15">
      <c r="A319" s="71"/>
      <c r="B319" s="92"/>
      <c r="C319" s="92"/>
      <c r="D319" s="92"/>
      <c r="E319" s="92"/>
      <c r="F319" s="92"/>
      <c r="G319" s="67"/>
      <c r="H319" s="67"/>
      <c r="I319" s="67"/>
      <c r="J319" s="67"/>
      <c r="K319" s="92"/>
      <c r="L319" s="92"/>
      <c r="M319" s="92"/>
      <c r="N319" s="92"/>
      <c r="O319" s="92"/>
      <c r="P319" s="92"/>
      <c r="Q319" s="67"/>
      <c r="R319" s="67"/>
      <c r="S319" s="67"/>
      <c r="T319" s="67"/>
    </row>
    <row r="320" spans="1:20" s="65" customFormat="1" ht="9" customHeight="1" x14ac:dyDescent="0.25">
      <c r="A320" s="96">
        <v>2008</v>
      </c>
      <c r="B320" s="97"/>
      <c r="C320" s="98"/>
      <c r="D320" s="97"/>
      <c r="E320" s="97"/>
      <c r="F320" s="97"/>
      <c r="G320" s="64"/>
      <c r="H320" s="64"/>
      <c r="I320" s="64"/>
      <c r="J320" s="64"/>
      <c r="K320" s="97"/>
      <c r="L320" s="97"/>
      <c r="M320" s="97"/>
      <c r="N320" s="97"/>
      <c r="O320" s="97"/>
      <c r="P320" s="97"/>
      <c r="Q320" s="64"/>
      <c r="R320" s="64"/>
      <c r="S320" s="64"/>
      <c r="T320" s="64"/>
    </row>
    <row r="321" spans="1:20" s="65" customFormat="1" ht="9" customHeight="1" x14ac:dyDescent="0.25">
      <c r="A321" s="99" t="s">
        <v>21</v>
      </c>
      <c r="B321" s="64">
        <f>SUM(B323:B354)</f>
        <v>230527</v>
      </c>
      <c r="C321" s="64">
        <f>SUM(C323:C354)</f>
        <v>74550</v>
      </c>
      <c r="D321" s="64">
        <f>SUM(D323:D354)</f>
        <v>100376</v>
      </c>
      <c r="E321" s="64">
        <f>SUM(E323:E354)</f>
        <v>32793</v>
      </c>
      <c r="F321" s="63" t="s">
        <v>22</v>
      </c>
      <c r="G321" s="64">
        <f>SUM(G323:G354)</f>
        <v>22808</v>
      </c>
      <c r="H321" s="64" t="s">
        <v>22</v>
      </c>
      <c r="I321" s="64" t="s">
        <v>22</v>
      </c>
      <c r="J321" s="64" t="s">
        <v>22</v>
      </c>
      <c r="K321" s="64"/>
      <c r="L321" s="64">
        <f>SUM(L323:L354)</f>
        <v>3054029</v>
      </c>
      <c r="M321" s="64">
        <f>SUM(M323:M354)</f>
        <v>2013121</v>
      </c>
      <c r="N321" s="64">
        <f>SUM(N323:N354)</f>
        <v>353139</v>
      </c>
      <c r="O321" s="64">
        <f>SUM(O323:O354)</f>
        <v>20355</v>
      </c>
      <c r="P321" s="63" t="s">
        <v>22</v>
      </c>
      <c r="Q321" s="64">
        <f>SUM(Q323:Q354)</f>
        <v>667414</v>
      </c>
      <c r="R321" s="64" t="s">
        <v>22</v>
      </c>
      <c r="S321" s="64" t="s">
        <v>22</v>
      </c>
      <c r="T321" s="64" t="s">
        <v>22</v>
      </c>
    </row>
    <row r="322" spans="1:20" s="65" customFormat="1" ht="3.95" customHeight="1" x14ac:dyDescent="0.25">
      <c r="A322" s="99"/>
      <c r="B322" s="64"/>
      <c r="C322" s="64"/>
      <c r="D322" s="64"/>
      <c r="E322" s="64"/>
      <c r="F322" s="63"/>
      <c r="G322" s="64"/>
      <c r="H322" s="64"/>
      <c r="I322" s="64"/>
      <c r="J322" s="64"/>
      <c r="K322" s="64"/>
      <c r="L322" s="64"/>
      <c r="M322" s="64"/>
      <c r="N322" s="64"/>
      <c r="O322" s="64"/>
      <c r="P322" s="63"/>
      <c r="Q322" s="64"/>
      <c r="R322" s="64"/>
      <c r="S322" s="64"/>
      <c r="T322" s="64"/>
    </row>
    <row r="323" spans="1:20" s="68" customFormat="1" ht="9" customHeight="1" x14ac:dyDescent="0.15">
      <c r="A323" s="66" t="s">
        <v>23</v>
      </c>
      <c r="B323" s="88">
        <f t="shared" ref="B323:B354" si="18">SUM(C323,D323,E323,G323)</f>
        <v>2546</v>
      </c>
      <c r="C323" s="88">
        <v>640</v>
      </c>
      <c r="D323" s="88">
        <v>1455</v>
      </c>
      <c r="E323" s="88">
        <v>364</v>
      </c>
      <c r="F323" s="89" t="s">
        <v>22</v>
      </c>
      <c r="G323" s="67">
        <v>87</v>
      </c>
      <c r="H323" s="89" t="s">
        <v>22</v>
      </c>
      <c r="I323" s="89" t="s">
        <v>22</v>
      </c>
      <c r="J323" s="89" t="s">
        <v>22</v>
      </c>
      <c r="K323" s="88"/>
      <c r="L323" s="88">
        <f t="shared" ref="L323:L354" si="19">SUM(M323,N323,O323,Q323)</f>
        <v>25372</v>
      </c>
      <c r="M323" s="88">
        <v>16697</v>
      </c>
      <c r="N323" s="88">
        <v>6200</v>
      </c>
      <c r="O323" s="88">
        <v>47</v>
      </c>
      <c r="P323" s="89" t="s">
        <v>22</v>
      </c>
      <c r="Q323" s="67">
        <v>2428</v>
      </c>
      <c r="R323" s="89" t="s">
        <v>22</v>
      </c>
      <c r="S323" s="89" t="s">
        <v>22</v>
      </c>
      <c r="T323" s="89" t="s">
        <v>22</v>
      </c>
    </row>
    <row r="324" spans="1:20" s="68" customFormat="1" ht="9" customHeight="1" x14ac:dyDescent="0.15">
      <c r="A324" s="66" t="s">
        <v>24</v>
      </c>
      <c r="B324" s="88">
        <f t="shared" si="18"/>
        <v>4521</v>
      </c>
      <c r="C324" s="88">
        <v>1318</v>
      </c>
      <c r="D324" s="88">
        <v>2410</v>
      </c>
      <c r="E324" s="88">
        <v>583</v>
      </c>
      <c r="F324" s="89" t="s">
        <v>22</v>
      </c>
      <c r="G324" s="67">
        <v>210</v>
      </c>
      <c r="H324" s="89" t="s">
        <v>22</v>
      </c>
      <c r="I324" s="89" t="s">
        <v>22</v>
      </c>
      <c r="J324" s="89" t="s">
        <v>22</v>
      </c>
      <c r="K324" s="88"/>
      <c r="L324" s="88">
        <f t="shared" si="19"/>
        <v>54695</v>
      </c>
      <c r="M324" s="88">
        <v>39504</v>
      </c>
      <c r="N324" s="88">
        <v>7186</v>
      </c>
      <c r="O324" s="88">
        <v>476</v>
      </c>
      <c r="P324" s="89" t="s">
        <v>22</v>
      </c>
      <c r="Q324" s="67">
        <v>7529</v>
      </c>
      <c r="R324" s="89" t="s">
        <v>22</v>
      </c>
      <c r="S324" s="89" t="s">
        <v>22</v>
      </c>
      <c r="T324" s="89" t="s">
        <v>22</v>
      </c>
    </row>
    <row r="325" spans="1:20" s="68" customFormat="1" ht="9" customHeight="1" x14ac:dyDescent="0.15">
      <c r="A325" s="66" t="s">
        <v>25</v>
      </c>
      <c r="B325" s="88">
        <f t="shared" si="18"/>
        <v>3487</v>
      </c>
      <c r="C325" s="88">
        <v>1056</v>
      </c>
      <c r="D325" s="88">
        <v>1623</v>
      </c>
      <c r="E325" s="88">
        <v>462</v>
      </c>
      <c r="F325" s="89" t="s">
        <v>22</v>
      </c>
      <c r="G325" s="67">
        <v>346</v>
      </c>
      <c r="H325" s="89" t="s">
        <v>22</v>
      </c>
      <c r="I325" s="89" t="s">
        <v>22</v>
      </c>
      <c r="J325" s="89" t="s">
        <v>22</v>
      </c>
      <c r="K325" s="88"/>
      <c r="L325" s="88">
        <f t="shared" si="19"/>
        <v>37700</v>
      </c>
      <c r="M325" s="88">
        <v>21337</v>
      </c>
      <c r="N325" s="88">
        <v>4883</v>
      </c>
      <c r="O325" s="88">
        <v>210</v>
      </c>
      <c r="P325" s="89" t="s">
        <v>22</v>
      </c>
      <c r="Q325" s="67">
        <v>11270</v>
      </c>
      <c r="R325" s="89" t="s">
        <v>22</v>
      </c>
      <c r="S325" s="89" t="s">
        <v>22</v>
      </c>
      <c r="T325" s="89" t="s">
        <v>22</v>
      </c>
    </row>
    <row r="326" spans="1:20" s="68" customFormat="1" ht="9" customHeight="1" x14ac:dyDescent="0.15">
      <c r="A326" s="69" t="s">
        <v>26</v>
      </c>
      <c r="B326" s="90">
        <f t="shared" si="18"/>
        <v>2419</v>
      </c>
      <c r="C326" s="90">
        <v>783</v>
      </c>
      <c r="D326" s="90">
        <v>1258</v>
      </c>
      <c r="E326" s="90">
        <v>309</v>
      </c>
      <c r="F326" s="91" t="s">
        <v>22</v>
      </c>
      <c r="G326" s="70">
        <v>69</v>
      </c>
      <c r="H326" s="91" t="s">
        <v>22</v>
      </c>
      <c r="I326" s="91" t="s">
        <v>22</v>
      </c>
      <c r="J326" s="91" t="s">
        <v>22</v>
      </c>
      <c r="K326" s="90"/>
      <c r="L326" s="90">
        <f t="shared" si="19"/>
        <v>32301</v>
      </c>
      <c r="M326" s="90">
        <v>21238</v>
      </c>
      <c r="N326" s="90">
        <v>6996</v>
      </c>
      <c r="O326" s="90">
        <v>90</v>
      </c>
      <c r="P326" s="91" t="s">
        <v>22</v>
      </c>
      <c r="Q326" s="70">
        <v>3977</v>
      </c>
      <c r="R326" s="91" t="s">
        <v>22</v>
      </c>
      <c r="S326" s="91" t="s">
        <v>22</v>
      </c>
      <c r="T326" s="91" t="s">
        <v>22</v>
      </c>
    </row>
    <row r="327" spans="1:20" s="68" customFormat="1" ht="9" customHeight="1" x14ac:dyDescent="0.15">
      <c r="A327" s="66" t="s">
        <v>27</v>
      </c>
      <c r="B327" s="88">
        <f t="shared" si="18"/>
        <v>5776</v>
      </c>
      <c r="C327" s="88">
        <v>1978</v>
      </c>
      <c r="D327" s="88">
        <v>2227</v>
      </c>
      <c r="E327" s="88">
        <v>1422</v>
      </c>
      <c r="F327" s="89" t="s">
        <v>22</v>
      </c>
      <c r="G327" s="67">
        <v>149</v>
      </c>
      <c r="H327" s="89" t="s">
        <v>22</v>
      </c>
      <c r="I327" s="89" t="s">
        <v>22</v>
      </c>
      <c r="J327" s="89" t="s">
        <v>22</v>
      </c>
      <c r="K327" s="88"/>
      <c r="L327" s="88">
        <f t="shared" si="19"/>
        <v>79710</v>
      </c>
      <c r="M327" s="88">
        <v>53074</v>
      </c>
      <c r="N327" s="88">
        <v>8643</v>
      </c>
      <c r="O327" s="88">
        <v>1257</v>
      </c>
      <c r="P327" s="89" t="s">
        <v>22</v>
      </c>
      <c r="Q327" s="67">
        <v>16736</v>
      </c>
      <c r="R327" s="89" t="s">
        <v>22</v>
      </c>
      <c r="S327" s="89" t="s">
        <v>22</v>
      </c>
      <c r="T327" s="89" t="s">
        <v>22</v>
      </c>
    </row>
    <row r="328" spans="1:20" s="68" customFormat="1" ht="9" customHeight="1" x14ac:dyDescent="0.15">
      <c r="A328" s="66" t="s">
        <v>28</v>
      </c>
      <c r="B328" s="88">
        <f t="shared" si="18"/>
        <v>7874</v>
      </c>
      <c r="C328" s="88">
        <v>1935</v>
      </c>
      <c r="D328" s="88">
        <v>2801</v>
      </c>
      <c r="E328" s="88">
        <v>1102</v>
      </c>
      <c r="F328" s="89" t="s">
        <v>22</v>
      </c>
      <c r="G328" s="67">
        <v>2036</v>
      </c>
      <c r="H328" s="89" t="s">
        <v>22</v>
      </c>
      <c r="I328" s="89" t="s">
        <v>22</v>
      </c>
      <c r="J328" s="89" t="s">
        <v>22</v>
      </c>
      <c r="K328" s="88"/>
      <c r="L328" s="88">
        <f t="shared" si="19"/>
        <v>113136</v>
      </c>
      <c r="M328" s="88">
        <v>40761</v>
      </c>
      <c r="N328" s="88">
        <v>6859</v>
      </c>
      <c r="O328" s="88">
        <v>457</v>
      </c>
      <c r="P328" s="89" t="s">
        <v>22</v>
      </c>
      <c r="Q328" s="67">
        <v>65059</v>
      </c>
      <c r="R328" s="89" t="s">
        <v>22</v>
      </c>
      <c r="S328" s="89" t="s">
        <v>22</v>
      </c>
      <c r="T328" s="89" t="s">
        <v>22</v>
      </c>
    </row>
    <row r="329" spans="1:20" s="68" customFormat="1" ht="9" customHeight="1" x14ac:dyDescent="0.15">
      <c r="A329" s="66" t="s">
        <v>29</v>
      </c>
      <c r="B329" s="88">
        <f t="shared" si="18"/>
        <v>5485</v>
      </c>
      <c r="C329" s="88">
        <v>1845</v>
      </c>
      <c r="D329" s="88">
        <v>3166</v>
      </c>
      <c r="E329" s="88">
        <v>337</v>
      </c>
      <c r="F329" s="89" t="s">
        <v>22</v>
      </c>
      <c r="G329" s="67">
        <v>137</v>
      </c>
      <c r="H329" s="89" t="s">
        <v>22</v>
      </c>
      <c r="I329" s="89" t="s">
        <v>22</v>
      </c>
      <c r="J329" s="89" t="s">
        <v>22</v>
      </c>
      <c r="K329" s="88"/>
      <c r="L329" s="88">
        <f t="shared" si="19"/>
        <v>54367</v>
      </c>
      <c r="M329" s="88">
        <v>42785</v>
      </c>
      <c r="N329" s="88">
        <v>8139</v>
      </c>
      <c r="O329" s="88">
        <v>313</v>
      </c>
      <c r="P329" s="89" t="s">
        <v>22</v>
      </c>
      <c r="Q329" s="67">
        <v>3130</v>
      </c>
      <c r="R329" s="89" t="s">
        <v>22</v>
      </c>
      <c r="S329" s="89" t="s">
        <v>22</v>
      </c>
      <c r="T329" s="89" t="s">
        <v>22</v>
      </c>
    </row>
    <row r="330" spans="1:20" s="68" customFormat="1" ht="9" customHeight="1" x14ac:dyDescent="0.15">
      <c r="A330" s="69" t="s">
        <v>30</v>
      </c>
      <c r="B330" s="90">
        <f t="shared" si="18"/>
        <v>4613</v>
      </c>
      <c r="C330" s="90">
        <v>1416</v>
      </c>
      <c r="D330" s="90">
        <v>1839</v>
      </c>
      <c r="E330" s="90">
        <v>1191</v>
      </c>
      <c r="F330" s="91" t="s">
        <v>22</v>
      </c>
      <c r="G330" s="70">
        <v>167</v>
      </c>
      <c r="H330" s="91" t="s">
        <v>22</v>
      </c>
      <c r="I330" s="91" t="s">
        <v>22</v>
      </c>
      <c r="J330" s="91" t="s">
        <v>22</v>
      </c>
      <c r="K330" s="90"/>
      <c r="L330" s="90">
        <f t="shared" si="19"/>
        <v>52100</v>
      </c>
      <c r="M330" s="90">
        <v>40177</v>
      </c>
      <c r="N330" s="90">
        <v>5310</v>
      </c>
      <c r="O330" s="90">
        <v>498</v>
      </c>
      <c r="P330" s="91" t="s">
        <v>22</v>
      </c>
      <c r="Q330" s="70">
        <v>6115</v>
      </c>
      <c r="R330" s="91" t="s">
        <v>22</v>
      </c>
      <c r="S330" s="91" t="s">
        <v>22</v>
      </c>
      <c r="T330" s="91" t="s">
        <v>22</v>
      </c>
    </row>
    <row r="331" spans="1:20" s="68" customFormat="1" ht="9" customHeight="1" x14ac:dyDescent="0.15">
      <c r="A331" s="66" t="s">
        <v>63</v>
      </c>
      <c r="B331" s="88">
        <f t="shared" si="18"/>
        <v>39511</v>
      </c>
      <c r="C331" s="88">
        <v>13230</v>
      </c>
      <c r="D331" s="88">
        <v>18018</v>
      </c>
      <c r="E331" s="88">
        <v>4598</v>
      </c>
      <c r="F331" s="89" t="s">
        <v>22</v>
      </c>
      <c r="G331" s="67">
        <v>3665</v>
      </c>
      <c r="H331" s="89" t="s">
        <v>22</v>
      </c>
      <c r="I331" s="89" t="s">
        <v>22</v>
      </c>
      <c r="J331" s="89" t="s">
        <v>22</v>
      </c>
      <c r="K331" s="88"/>
      <c r="L331" s="88">
        <f t="shared" si="19"/>
        <v>617656</v>
      </c>
      <c r="M331" s="88">
        <v>490664</v>
      </c>
      <c r="N331" s="88">
        <v>62893</v>
      </c>
      <c r="O331" s="88">
        <v>2741</v>
      </c>
      <c r="P331" s="89" t="s">
        <v>22</v>
      </c>
      <c r="Q331" s="67">
        <v>61358</v>
      </c>
      <c r="R331" s="89" t="s">
        <v>22</v>
      </c>
      <c r="S331" s="89" t="s">
        <v>22</v>
      </c>
      <c r="T331" s="89" t="s">
        <v>22</v>
      </c>
    </row>
    <row r="332" spans="1:20" s="68" customFormat="1" ht="9" customHeight="1" x14ac:dyDescent="0.15">
      <c r="A332" s="66" t="s">
        <v>31</v>
      </c>
      <c r="B332" s="88">
        <f t="shared" si="18"/>
        <v>5981</v>
      </c>
      <c r="C332" s="88">
        <v>2295</v>
      </c>
      <c r="D332" s="88">
        <v>2249</v>
      </c>
      <c r="E332" s="88">
        <v>1088</v>
      </c>
      <c r="F332" s="89" t="s">
        <v>22</v>
      </c>
      <c r="G332" s="67">
        <v>349</v>
      </c>
      <c r="H332" s="89" t="s">
        <v>22</v>
      </c>
      <c r="I332" s="89" t="s">
        <v>22</v>
      </c>
      <c r="J332" s="89" t="s">
        <v>22</v>
      </c>
      <c r="K332" s="88"/>
      <c r="L332" s="88">
        <f t="shared" si="19"/>
        <v>74821</v>
      </c>
      <c r="M332" s="88">
        <v>44249</v>
      </c>
      <c r="N332" s="88">
        <v>9419</v>
      </c>
      <c r="O332" s="88">
        <v>1411</v>
      </c>
      <c r="P332" s="89" t="s">
        <v>22</v>
      </c>
      <c r="Q332" s="67">
        <v>19742</v>
      </c>
      <c r="R332" s="89" t="s">
        <v>22</v>
      </c>
      <c r="S332" s="89" t="s">
        <v>22</v>
      </c>
      <c r="T332" s="89" t="s">
        <v>22</v>
      </c>
    </row>
    <row r="333" spans="1:20" s="68" customFormat="1" ht="9" customHeight="1" x14ac:dyDescent="0.15">
      <c r="A333" s="66" t="s">
        <v>32</v>
      </c>
      <c r="B333" s="88">
        <f t="shared" si="18"/>
        <v>8559</v>
      </c>
      <c r="C333" s="88">
        <v>2031</v>
      </c>
      <c r="D333" s="88">
        <v>3169</v>
      </c>
      <c r="E333" s="88">
        <v>1892</v>
      </c>
      <c r="F333" s="89" t="s">
        <v>22</v>
      </c>
      <c r="G333" s="67">
        <v>1467</v>
      </c>
      <c r="H333" s="89" t="s">
        <v>22</v>
      </c>
      <c r="I333" s="89" t="s">
        <v>22</v>
      </c>
      <c r="J333" s="89" t="s">
        <v>22</v>
      </c>
      <c r="K333" s="88"/>
      <c r="L333" s="88">
        <f t="shared" si="19"/>
        <v>99404</v>
      </c>
      <c r="M333" s="88">
        <v>47974</v>
      </c>
      <c r="N333" s="88">
        <v>8889</v>
      </c>
      <c r="O333" s="88">
        <v>1315</v>
      </c>
      <c r="P333" s="89" t="s">
        <v>22</v>
      </c>
      <c r="Q333" s="67">
        <v>41226</v>
      </c>
      <c r="R333" s="89" t="s">
        <v>22</v>
      </c>
      <c r="S333" s="89" t="s">
        <v>22</v>
      </c>
      <c r="T333" s="89" t="s">
        <v>22</v>
      </c>
    </row>
    <row r="334" spans="1:20" s="68" customFormat="1" ht="9" customHeight="1" x14ac:dyDescent="0.15">
      <c r="A334" s="69" t="s">
        <v>33</v>
      </c>
      <c r="B334" s="90">
        <f t="shared" si="18"/>
        <v>9888</v>
      </c>
      <c r="C334" s="90">
        <v>5061</v>
      </c>
      <c r="D334" s="90">
        <v>3224</v>
      </c>
      <c r="E334" s="90">
        <v>995</v>
      </c>
      <c r="F334" s="91" t="s">
        <v>22</v>
      </c>
      <c r="G334" s="70">
        <v>608</v>
      </c>
      <c r="H334" s="91" t="s">
        <v>22</v>
      </c>
      <c r="I334" s="91" t="s">
        <v>22</v>
      </c>
      <c r="J334" s="91" t="s">
        <v>22</v>
      </c>
      <c r="K334" s="90"/>
      <c r="L334" s="90">
        <f t="shared" si="19"/>
        <v>112447</v>
      </c>
      <c r="M334" s="90">
        <v>91193</v>
      </c>
      <c r="N334" s="90">
        <v>7646</v>
      </c>
      <c r="O334" s="90">
        <v>113</v>
      </c>
      <c r="P334" s="91" t="s">
        <v>22</v>
      </c>
      <c r="Q334" s="70">
        <v>13495</v>
      </c>
      <c r="R334" s="91" t="s">
        <v>22</v>
      </c>
      <c r="S334" s="91" t="s">
        <v>22</v>
      </c>
      <c r="T334" s="91" t="s">
        <v>22</v>
      </c>
    </row>
    <row r="335" spans="1:20" s="68" customFormat="1" ht="9" customHeight="1" x14ac:dyDescent="0.15">
      <c r="A335" s="66" t="s">
        <v>34</v>
      </c>
      <c r="B335" s="88">
        <f t="shared" si="18"/>
        <v>5601</v>
      </c>
      <c r="C335" s="88">
        <v>1396</v>
      </c>
      <c r="D335" s="88">
        <v>2900</v>
      </c>
      <c r="E335" s="88">
        <v>1108</v>
      </c>
      <c r="F335" s="89" t="s">
        <v>22</v>
      </c>
      <c r="G335" s="67">
        <v>197</v>
      </c>
      <c r="H335" s="89" t="s">
        <v>22</v>
      </c>
      <c r="I335" s="89" t="s">
        <v>22</v>
      </c>
      <c r="J335" s="89" t="s">
        <v>22</v>
      </c>
      <c r="K335" s="88"/>
      <c r="L335" s="88">
        <f t="shared" si="19"/>
        <v>51406</v>
      </c>
      <c r="M335" s="88">
        <v>36874</v>
      </c>
      <c r="N335" s="88">
        <v>9127</v>
      </c>
      <c r="O335" s="88">
        <v>286</v>
      </c>
      <c r="P335" s="89" t="s">
        <v>22</v>
      </c>
      <c r="Q335" s="67">
        <v>5119</v>
      </c>
      <c r="R335" s="89" t="s">
        <v>22</v>
      </c>
      <c r="S335" s="89" t="s">
        <v>22</v>
      </c>
      <c r="T335" s="89" t="s">
        <v>22</v>
      </c>
    </row>
    <row r="336" spans="1:20" s="68" customFormat="1" ht="9" customHeight="1" x14ac:dyDescent="0.15">
      <c r="A336" s="66" t="s">
        <v>35</v>
      </c>
      <c r="B336" s="88">
        <f t="shared" si="18"/>
        <v>21475</v>
      </c>
      <c r="C336" s="88">
        <v>3952</v>
      </c>
      <c r="D336" s="88">
        <v>9565</v>
      </c>
      <c r="E336" s="88">
        <v>3160</v>
      </c>
      <c r="F336" s="89" t="s">
        <v>22</v>
      </c>
      <c r="G336" s="67">
        <v>4798</v>
      </c>
      <c r="H336" s="89" t="s">
        <v>22</v>
      </c>
      <c r="I336" s="89" t="s">
        <v>22</v>
      </c>
      <c r="J336" s="89" t="s">
        <v>22</v>
      </c>
      <c r="K336" s="88"/>
      <c r="L336" s="88">
        <f t="shared" si="19"/>
        <v>163915</v>
      </c>
      <c r="M336" s="88">
        <v>86536</v>
      </c>
      <c r="N336" s="88">
        <v>30930</v>
      </c>
      <c r="O336" s="88">
        <v>1428</v>
      </c>
      <c r="P336" s="89" t="s">
        <v>22</v>
      </c>
      <c r="Q336" s="67">
        <v>45021</v>
      </c>
      <c r="R336" s="89" t="s">
        <v>22</v>
      </c>
      <c r="S336" s="89" t="s">
        <v>22</v>
      </c>
      <c r="T336" s="89" t="s">
        <v>22</v>
      </c>
    </row>
    <row r="337" spans="1:20" s="68" customFormat="1" ht="9" customHeight="1" x14ac:dyDescent="0.15">
      <c r="A337" s="66" t="s">
        <v>36</v>
      </c>
      <c r="B337" s="88">
        <f t="shared" si="18"/>
        <v>19335</v>
      </c>
      <c r="C337" s="88">
        <v>7378</v>
      </c>
      <c r="D337" s="88">
        <v>8493</v>
      </c>
      <c r="E337" s="88">
        <v>2490</v>
      </c>
      <c r="F337" s="89" t="s">
        <v>22</v>
      </c>
      <c r="G337" s="67">
        <v>974</v>
      </c>
      <c r="H337" s="89" t="s">
        <v>22</v>
      </c>
      <c r="I337" s="89" t="s">
        <v>22</v>
      </c>
      <c r="J337" s="89" t="s">
        <v>22</v>
      </c>
      <c r="K337" s="88"/>
      <c r="L337" s="88">
        <f t="shared" si="19"/>
        <v>373190</v>
      </c>
      <c r="M337" s="88">
        <v>273643</v>
      </c>
      <c r="N337" s="88">
        <v>33928</v>
      </c>
      <c r="O337" s="88">
        <v>1788</v>
      </c>
      <c r="P337" s="89" t="s">
        <v>22</v>
      </c>
      <c r="Q337" s="67">
        <v>63831</v>
      </c>
      <c r="R337" s="89" t="s">
        <v>22</v>
      </c>
      <c r="S337" s="89" t="s">
        <v>22</v>
      </c>
      <c r="T337" s="89" t="s">
        <v>22</v>
      </c>
    </row>
    <row r="338" spans="1:20" s="68" customFormat="1" ht="9" customHeight="1" x14ac:dyDescent="0.15">
      <c r="A338" s="69" t="s">
        <v>37</v>
      </c>
      <c r="B338" s="90">
        <f t="shared" si="18"/>
        <v>4871</v>
      </c>
      <c r="C338" s="90">
        <v>2194</v>
      </c>
      <c r="D338" s="90">
        <v>1582</v>
      </c>
      <c r="E338" s="90">
        <v>669</v>
      </c>
      <c r="F338" s="91" t="s">
        <v>22</v>
      </c>
      <c r="G338" s="70">
        <v>426</v>
      </c>
      <c r="H338" s="91" t="s">
        <v>22</v>
      </c>
      <c r="I338" s="91" t="s">
        <v>22</v>
      </c>
      <c r="J338" s="91" t="s">
        <v>22</v>
      </c>
      <c r="K338" s="90"/>
      <c r="L338" s="90">
        <f t="shared" si="19"/>
        <v>59171</v>
      </c>
      <c r="M338" s="90">
        <v>46895</v>
      </c>
      <c r="N338" s="90">
        <v>4416</v>
      </c>
      <c r="O338" s="90">
        <v>195</v>
      </c>
      <c r="P338" s="91" t="s">
        <v>22</v>
      </c>
      <c r="Q338" s="70">
        <v>7665</v>
      </c>
      <c r="R338" s="91" t="s">
        <v>22</v>
      </c>
      <c r="S338" s="91" t="s">
        <v>22</v>
      </c>
      <c r="T338" s="91" t="s">
        <v>22</v>
      </c>
    </row>
    <row r="339" spans="1:20" s="68" customFormat="1" ht="9" customHeight="1" x14ac:dyDescent="0.15">
      <c r="A339" s="66" t="s">
        <v>38</v>
      </c>
      <c r="B339" s="88">
        <f t="shared" si="18"/>
        <v>3583</v>
      </c>
      <c r="C339" s="88">
        <v>1325</v>
      </c>
      <c r="D339" s="88">
        <v>1391</v>
      </c>
      <c r="E339" s="88">
        <v>633</v>
      </c>
      <c r="F339" s="89" t="s">
        <v>22</v>
      </c>
      <c r="G339" s="67">
        <v>234</v>
      </c>
      <c r="H339" s="89" t="s">
        <v>22</v>
      </c>
      <c r="I339" s="89" t="s">
        <v>22</v>
      </c>
      <c r="J339" s="89" t="s">
        <v>22</v>
      </c>
      <c r="K339" s="88"/>
      <c r="L339" s="88">
        <f t="shared" si="19"/>
        <v>40380</v>
      </c>
      <c r="M339" s="88">
        <v>25502</v>
      </c>
      <c r="N339" s="88">
        <v>6464</v>
      </c>
      <c r="O339" s="88">
        <v>553</v>
      </c>
      <c r="P339" s="89" t="s">
        <v>22</v>
      </c>
      <c r="Q339" s="67">
        <v>7861</v>
      </c>
      <c r="R339" s="89" t="s">
        <v>22</v>
      </c>
      <c r="S339" s="89" t="s">
        <v>22</v>
      </c>
      <c r="T339" s="89" t="s">
        <v>22</v>
      </c>
    </row>
    <row r="340" spans="1:20" s="68" customFormat="1" ht="9" customHeight="1" x14ac:dyDescent="0.15">
      <c r="A340" s="66" t="s">
        <v>39</v>
      </c>
      <c r="B340" s="88">
        <f t="shared" si="18"/>
        <v>3148</v>
      </c>
      <c r="C340" s="88">
        <v>624</v>
      </c>
      <c r="D340" s="88">
        <v>2139</v>
      </c>
      <c r="E340" s="88">
        <v>379</v>
      </c>
      <c r="F340" s="89" t="s">
        <v>22</v>
      </c>
      <c r="G340" s="67">
        <v>6</v>
      </c>
      <c r="H340" s="89" t="s">
        <v>22</v>
      </c>
      <c r="I340" s="89" t="s">
        <v>22</v>
      </c>
      <c r="J340" s="89" t="s">
        <v>22</v>
      </c>
      <c r="K340" s="88"/>
      <c r="L340" s="88">
        <f t="shared" si="19"/>
        <v>19886</v>
      </c>
      <c r="M340" s="88">
        <v>13225</v>
      </c>
      <c r="N340" s="88">
        <v>5292</v>
      </c>
      <c r="O340" s="88">
        <v>169</v>
      </c>
      <c r="P340" s="89" t="s">
        <v>22</v>
      </c>
      <c r="Q340" s="67">
        <v>1200</v>
      </c>
      <c r="R340" s="89" t="s">
        <v>22</v>
      </c>
      <c r="S340" s="89" t="s">
        <v>22</v>
      </c>
      <c r="T340" s="89" t="s">
        <v>22</v>
      </c>
    </row>
    <row r="341" spans="1:20" s="68" customFormat="1" ht="9" customHeight="1" x14ac:dyDescent="0.15">
      <c r="A341" s="66" t="s">
        <v>40</v>
      </c>
      <c r="B341" s="88">
        <f t="shared" si="18"/>
        <v>6182</v>
      </c>
      <c r="C341" s="88">
        <v>1626</v>
      </c>
      <c r="D341" s="88">
        <v>3444</v>
      </c>
      <c r="E341" s="88">
        <v>983</v>
      </c>
      <c r="F341" s="89" t="s">
        <v>22</v>
      </c>
      <c r="G341" s="67">
        <v>129</v>
      </c>
      <c r="H341" s="89" t="s">
        <v>22</v>
      </c>
      <c r="I341" s="89" t="s">
        <v>22</v>
      </c>
      <c r="J341" s="89" t="s">
        <v>22</v>
      </c>
      <c r="K341" s="88"/>
      <c r="L341" s="88">
        <f t="shared" si="19"/>
        <v>50778</v>
      </c>
      <c r="M341" s="88">
        <v>29680</v>
      </c>
      <c r="N341" s="88">
        <v>12758</v>
      </c>
      <c r="O341" s="88">
        <v>203</v>
      </c>
      <c r="P341" s="89" t="s">
        <v>22</v>
      </c>
      <c r="Q341" s="67">
        <v>8137</v>
      </c>
      <c r="R341" s="89" t="s">
        <v>22</v>
      </c>
      <c r="S341" s="89" t="s">
        <v>22</v>
      </c>
      <c r="T341" s="89" t="s">
        <v>22</v>
      </c>
    </row>
    <row r="342" spans="1:20" s="68" customFormat="1" ht="9" customHeight="1" x14ac:dyDescent="0.15">
      <c r="A342" s="69" t="s">
        <v>41</v>
      </c>
      <c r="B342" s="90">
        <f t="shared" si="18"/>
        <v>6821</v>
      </c>
      <c r="C342" s="90">
        <v>2599</v>
      </c>
      <c r="D342" s="90">
        <v>3826</v>
      </c>
      <c r="E342" s="90">
        <v>376</v>
      </c>
      <c r="F342" s="91" t="s">
        <v>22</v>
      </c>
      <c r="G342" s="70">
        <v>20</v>
      </c>
      <c r="H342" s="91" t="s">
        <v>22</v>
      </c>
      <c r="I342" s="91" t="s">
        <v>22</v>
      </c>
      <c r="J342" s="91" t="s">
        <v>22</v>
      </c>
      <c r="K342" s="90"/>
      <c r="L342" s="90">
        <f t="shared" si="19"/>
        <v>99939</v>
      </c>
      <c r="M342" s="90">
        <v>73198</v>
      </c>
      <c r="N342" s="90">
        <v>21903</v>
      </c>
      <c r="O342" s="90">
        <v>500</v>
      </c>
      <c r="P342" s="91" t="s">
        <v>22</v>
      </c>
      <c r="Q342" s="70">
        <v>4338</v>
      </c>
      <c r="R342" s="91" t="s">
        <v>22</v>
      </c>
      <c r="S342" s="91" t="s">
        <v>22</v>
      </c>
      <c r="T342" s="91" t="s">
        <v>22</v>
      </c>
    </row>
    <row r="343" spans="1:20" s="68" customFormat="1" ht="9" customHeight="1" x14ac:dyDescent="0.15">
      <c r="A343" s="66" t="s">
        <v>42</v>
      </c>
      <c r="B343" s="88">
        <f t="shared" si="18"/>
        <v>6158</v>
      </c>
      <c r="C343" s="88">
        <v>2425</v>
      </c>
      <c r="D343" s="88">
        <v>2675</v>
      </c>
      <c r="E343" s="88">
        <v>606</v>
      </c>
      <c r="F343" s="89" t="s">
        <v>22</v>
      </c>
      <c r="G343" s="67">
        <v>452</v>
      </c>
      <c r="H343" s="89" t="s">
        <v>22</v>
      </c>
      <c r="I343" s="89" t="s">
        <v>22</v>
      </c>
      <c r="J343" s="89" t="s">
        <v>22</v>
      </c>
      <c r="K343" s="88"/>
      <c r="L343" s="88">
        <f t="shared" si="19"/>
        <v>110239</v>
      </c>
      <c r="M343" s="88">
        <v>80817</v>
      </c>
      <c r="N343" s="88">
        <v>15724</v>
      </c>
      <c r="O343" s="88">
        <v>514</v>
      </c>
      <c r="P343" s="89" t="s">
        <v>22</v>
      </c>
      <c r="Q343" s="67">
        <v>13184</v>
      </c>
      <c r="R343" s="89" t="s">
        <v>22</v>
      </c>
      <c r="S343" s="89" t="s">
        <v>22</v>
      </c>
      <c r="T343" s="89" t="s">
        <v>22</v>
      </c>
    </row>
    <row r="344" spans="1:20" s="68" customFormat="1" ht="9" customHeight="1" x14ac:dyDescent="0.15">
      <c r="A344" s="66" t="s">
        <v>43</v>
      </c>
      <c r="B344" s="88">
        <f t="shared" si="18"/>
        <v>1291</v>
      </c>
      <c r="C344" s="88">
        <v>545</v>
      </c>
      <c r="D344" s="88">
        <v>311</v>
      </c>
      <c r="E344" s="88">
        <v>280</v>
      </c>
      <c r="F344" s="89" t="s">
        <v>22</v>
      </c>
      <c r="G344" s="67">
        <v>155</v>
      </c>
      <c r="H344" s="89" t="s">
        <v>22</v>
      </c>
      <c r="I344" s="89" t="s">
        <v>22</v>
      </c>
      <c r="J344" s="89" t="s">
        <v>22</v>
      </c>
      <c r="K344" s="88"/>
      <c r="L344" s="88">
        <f t="shared" si="19"/>
        <v>29828</v>
      </c>
      <c r="M344" s="88">
        <v>23102</v>
      </c>
      <c r="N344" s="88">
        <v>887</v>
      </c>
      <c r="O344" s="88">
        <v>106</v>
      </c>
      <c r="P344" s="89" t="s">
        <v>22</v>
      </c>
      <c r="Q344" s="67">
        <v>5733</v>
      </c>
      <c r="R344" s="89" t="s">
        <v>22</v>
      </c>
      <c r="S344" s="89" t="s">
        <v>22</v>
      </c>
      <c r="T344" s="89" t="s">
        <v>22</v>
      </c>
    </row>
    <row r="345" spans="1:20" s="68" customFormat="1" ht="9" customHeight="1" x14ac:dyDescent="0.15">
      <c r="A345" s="66" t="s">
        <v>44</v>
      </c>
      <c r="B345" s="88">
        <f t="shared" si="18"/>
        <v>5764</v>
      </c>
      <c r="C345" s="88">
        <v>1747</v>
      </c>
      <c r="D345" s="88">
        <v>2965</v>
      </c>
      <c r="E345" s="88">
        <v>646</v>
      </c>
      <c r="F345" s="89" t="s">
        <v>22</v>
      </c>
      <c r="G345" s="67">
        <v>406</v>
      </c>
      <c r="H345" s="89" t="s">
        <v>22</v>
      </c>
      <c r="I345" s="89" t="s">
        <v>22</v>
      </c>
      <c r="J345" s="89" t="s">
        <v>22</v>
      </c>
      <c r="K345" s="88"/>
      <c r="L345" s="88">
        <f t="shared" si="19"/>
        <v>60728</v>
      </c>
      <c r="M345" s="88">
        <v>32408</v>
      </c>
      <c r="N345" s="88">
        <v>10404</v>
      </c>
      <c r="O345" s="88">
        <v>1017</v>
      </c>
      <c r="P345" s="89" t="s">
        <v>22</v>
      </c>
      <c r="Q345" s="67">
        <v>16899</v>
      </c>
      <c r="R345" s="89" t="s">
        <v>22</v>
      </c>
      <c r="S345" s="89" t="s">
        <v>22</v>
      </c>
      <c r="T345" s="89" t="s">
        <v>22</v>
      </c>
    </row>
    <row r="346" spans="1:20" s="68" customFormat="1" ht="9" customHeight="1" x14ac:dyDescent="0.15">
      <c r="A346" s="69" t="s">
        <v>45</v>
      </c>
      <c r="B346" s="90">
        <f t="shared" si="18"/>
        <v>2878</v>
      </c>
      <c r="C346" s="90">
        <v>1550</v>
      </c>
      <c r="D346" s="90">
        <v>276</v>
      </c>
      <c r="E346" s="90">
        <v>719</v>
      </c>
      <c r="F346" s="91" t="s">
        <v>22</v>
      </c>
      <c r="G346" s="70">
        <v>333</v>
      </c>
      <c r="H346" s="91" t="s">
        <v>22</v>
      </c>
      <c r="I346" s="91" t="s">
        <v>22</v>
      </c>
      <c r="J346" s="91" t="s">
        <v>22</v>
      </c>
      <c r="K346" s="90"/>
      <c r="L346" s="90">
        <f t="shared" si="19"/>
        <v>97807</v>
      </c>
      <c r="M346" s="90">
        <v>34185</v>
      </c>
      <c r="N346" s="90">
        <v>1190</v>
      </c>
      <c r="O346" s="90">
        <v>648</v>
      </c>
      <c r="P346" s="91" t="s">
        <v>22</v>
      </c>
      <c r="Q346" s="70">
        <v>61784</v>
      </c>
      <c r="R346" s="91" t="s">
        <v>22</v>
      </c>
      <c r="S346" s="91" t="s">
        <v>22</v>
      </c>
      <c r="T346" s="91" t="s">
        <v>22</v>
      </c>
    </row>
    <row r="347" spans="1:20" s="68" customFormat="1" ht="9" customHeight="1" x14ac:dyDescent="0.15">
      <c r="A347" s="66" t="s">
        <v>46</v>
      </c>
      <c r="B347" s="88">
        <f t="shared" si="18"/>
        <v>16265</v>
      </c>
      <c r="C347" s="88">
        <v>4457</v>
      </c>
      <c r="D347" s="88">
        <v>6246</v>
      </c>
      <c r="E347" s="88">
        <v>2826</v>
      </c>
      <c r="F347" s="89" t="s">
        <v>22</v>
      </c>
      <c r="G347" s="67">
        <v>2736</v>
      </c>
      <c r="H347" s="89" t="s">
        <v>22</v>
      </c>
      <c r="I347" s="89" t="s">
        <v>22</v>
      </c>
      <c r="J347" s="89" t="s">
        <v>22</v>
      </c>
      <c r="K347" s="88"/>
      <c r="L347" s="88">
        <f t="shared" si="19"/>
        <v>261084</v>
      </c>
      <c r="M347" s="88">
        <v>128221</v>
      </c>
      <c r="N347" s="88">
        <v>19549</v>
      </c>
      <c r="O347" s="88">
        <v>1262</v>
      </c>
      <c r="P347" s="89" t="s">
        <v>22</v>
      </c>
      <c r="Q347" s="67">
        <v>112052</v>
      </c>
      <c r="R347" s="89" t="s">
        <v>22</v>
      </c>
      <c r="S347" s="89" t="s">
        <v>22</v>
      </c>
      <c r="T347" s="89" t="s">
        <v>22</v>
      </c>
    </row>
    <row r="348" spans="1:20" s="68" customFormat="1" ht="9" customHeight="1" x14ac:dyDescent="0.15">
      <c r="A348" s="66" t="s">
        <v>47</v>
      </c>
      <c r="B348" s="88">
        <f t="shared" si="18"/>
        <v>2026</v>
      </c>
      <c r="C348" s="88">
        <v>1405</v>
      </c>
      <c r="D348" s="88">
        <v>482</v>
      </c>
      <c r="E348" s="88">
        <v>117</v>
      </c>
      <c r="F348" s="89" t="s">
        <v>22</v>
      </c>
      <c r="G348" s="67">
        <v>22</v>
      </c>
      <c r="H348" s="89" t="s">
        <v>22</v>
      </c>
      <c r="I348" s="89" t="s">
        <v>22</v>
      </c>
      <c r="J348" s="89" t="s">
        <v>22</v>
      </c>
      <c r="K348" s="88"/>
      <c r="L348" s="88">
        <f t="shared" si="19"/>
        <v>27013</v>
      </c>
      <c r="M348" s="88">
        <v>23135</v>
      </c>
      <c r="N348" s="88">
        <v>1038</v>
      </c>
      <c r="O348" s="88">
        <v>19</v>
      </c>
      <c r="P348" s="89" t="s">
        <v>22</v>
      </c>
      <c r="Q348" s="67">
        <v>2821</v>
      </c>
      <c r="R348" s="89" t="s">
        <v>22</v>
      </c>
      <c r="S348" s="89" t="s">
        <v>22</v>
      </c>
      <c r="T348" s="89" t="s">
        <v>22</v>
      </c>
    </row>
    <row r="349" spans="1:20" s="68" customFormat="1" ht="9" customHeight="1" x14ac:dyDescent="0.15">
      <c r="A349" s="66" t="s">
        <v>48</v>
      </c>
      <c r="B349" s="88">
        <f t="shared" si="18"/>
        <v>3925</v>
      </c>
      <c r="C349" s="88">
        <v>1327</v>
      </c>
      <c r="D349" s="88">
        <v>1295</v>
      </c>
      <c r="E349" s="88">
        <v>502</v>
      </c>
      <c r="F349" s="89" t="s">
        <v>22</v>
      </c>
      <c r="G349" s="67">
        <v>801</v>
      </c>
      <c r="H349" s="89" t="s">
        <v>22</v>
      </c>
      <c r="I349" s="89" t="s">
        <v>22</v>
      </c>
      <c r="J349" s="89" t="s">
        <v>22</v>
      </c>
      <c r="K349" s="88"/>
      <c r="L349" s="88">
        <f t="shared" si="19"/>
        <v>49839</v>
      </c>
      <c r="M349" s="88">
        <v>30004</v>
      </c>
      <c r="N349" s="88">
        <v>8559</v>
      </c>
      <c r="O349" s="88">
        <v>112</v>
      </c>
      <c r="P349" s="89" t="s">
        <v>22</v>
      </c>
      <c r="Q349" s="67">
        <v>11164</v>
      </c>
      <c r="R349" s="89" t="s">
        <v>22</v>
      </c>
      <c r="S349" s="89" t="s">
        <v>22</v>
      </c>
      <c r="T349" s="89" t="s">
        <v>22</v>
      </c>
    </row>
    <row r="350" spans="1:20" s="68" customFormat="1" ht="9" customHeight="1" x14ac:dyDescent="0.15">
      <c r="A350" s="69" t="s">
        <v>49</v>
      </c>
      <c r="B350" s="90">
        <f t="shared" si="18"/>
        <v>5898</v>
      </c>
      <c r="C350" s="90">
        <v>1623</v>
      </c>
      <c r="D350" s="90">
        <v>2426</v>
      </c>
      <c r="E350" s="90">
        <v>1239</v>
      </c>
      <c r="F350" s="91" t="s">
        <v>22</v>
      </c>
      <c r="G350" s="70">
        <v>610</v>
      </c>
      <c r="H350" s="91" t="s">
        <v>22</v>
      </c>
      <c r="I350" s="91" t="s">
        <v>22</v>
      </c>
      <c r="J350" s="91" t="s">
        <v>22</v>
      </c>
      <c r="K350" s="90"/>
      <c r="L350" s="90">
        <f t="shared" si="19"/>
        <v>46987</v>
      </c>
      <c r="M350" s="90">
        <v>33761</v>
      </c>
      <c r="N350" s="90">
        <v>6167</v>
      </c>
      <c r="O350" s="90">
        <v>432</v>
      </c>
      <c r="P350" s="91" t="s">
        <v>22</v>
      </c>
      <c r="Q350" s="70">
        <v>6627</v>
      </c>
      <c r="R350" s="91" t="s">
        <v>22</v>
      </c>
      <c r="S350" s="91" t="s">
        <v>22</v>
      </c>
      <c r="T350" s="91" t="s">
        <v>22</v>
      </c>
    </row>
    <row r="351" spans="1:20" s="68" customFormat="1" ht="9" customHeight="1" x14ac:dyDescent="0.15">
      <c r="A351" s="71" t="s">
        <v>50</v>
      </c>
      <c r="B351" s="92">
        <f t="shared" si="18"/>
        <v>550</v>
      </c>
      <c r="C351" s="92">
        <v>367</v>
      </c>
      <c r="D351" s="92">
        <v>183</v>
      </c>
      <c r="E351" s="92">
        <v>0</v>
      </c>
      <c r="F351" s="89" t="s">
        <v>22</v>
      </c>
      <c r="G351" s="67">
        <v>0</v>
      </c>
      <c r="H351" s="89" t="s">
        <v>22</v>
      </c>
      <c r="I351" s="89" t="s">
        <v>22</v>
      </c>
      <c r="J351" s="89" t="s">
        <v>22</v>
      </c>
      <c r="K351" s="92"/>
      <c r="L351" s="92">
        <f t="shared" si="19"/>
        <v>15041</v>
      </c>
      <c r="M351" s="92">
        <v>14069</v>
      </c>
      <c r="N351" s="92">
        <v>972</v>
      </c>
      <c r="O351" s="92">
        <v>0</v>
      </c>
      <c r="P351" s="89" t="s">
        <v>22</v>
      </c>
      <c r="Q351" s="67">
        <v>0</v>
      </c>
      <c r="R351" s="89" t="s">
        <v>22</v>
      </c>
      <c r="S351" s="89" t="s">
        <v>22</v>
      </c>
      <c r="T351" s="89" t="s">
        <v>22</v>
      </c>
    </row>
    <row r="352" spans="1:20" s="68" customFormat="1" ht="9" customHeight="1" x14ac:dyDescent="0.15">
      <c r="A352" s="66" t="s">
        <v>51</v>
      </c>
      <c r="B352" s="92">
        <f t="shared" si="18"/>
        <v>5699</v>
      </c>
      <c r="C352" s="88">
        <v>1807</v>
      </c>
      <c r="D352" s="88">
        <v>2774</v>
      </c>
      <c r="E352" s="88">
        <v>553</v>
      </c>
      <c r="F352" s="88" t="s">
        <v>22</v>
      </c>
      <c r="G352" s="67">
        <v>565</v>
      </c>
      <c r="H352" s="89" t="s">
        <v>22</v>
      </c>
      <c r="I352" s="89" t="s">
        <v>22</v>
      </c>
      <c r="J352" s="89" t="s">
        <v>22</v>
      </c>
      <c r="K352" s="88"/>
      <c r="L352" s="88">
        <f t="shared" si="19"/>
        <v>52116</v>
      </c>
      <c r="M352" s="88">
        <v>36040</v>
      </c>
      <c r="N352" s="88">
        <v>8560</v>
      </c>
      <c r="O352" s="88">
        <v>1243</v>
      </c>
      <c r="P352" s="88" t="s">
        <v>22</v>
      </c>
      <c r="Q352" s="67">
        <v>6273</v>
      </c>
      <c r="R352" s="89" t="s">
        <v>22</v>
      </c>
      <c r="S352" s="89" t="s">
        <v>22</v>
      </c>
      <c r="T352" s="89" t="s">
        <v>22</v>
      </c>
    </row>
    <row r="353" spans="1:22" s="68" customFormat="1" ht="9" customHeight="1" x14ac:dyDescent="0.15">
      <c r="A353" s="66" t="s">
        <v>52</v>
      </c>
      <c r="B353" s="92">
        <f t="shared" si="18"/>
        <v>2514</v>
      </c>
      <c r="C353" s="88">
        <v>821</v>
      </c>
      <c r="D353" s="88">
        <v>1193</v>
      </c>
      <c r="E353" s="88">
        <v>393</v>
      </c>
      <c r="F353" s="92" t="s">
        <v>22</v>
      </c>
      <c r="G353" s="67">
        <v>107</v>
      </c>
      <c r="H353" s="89" t="s">
        <v>22</v>
      </c>
      <c r="I353" s="89" t="s">
        <v>22</v>
      </c>
      <c r="J353" s="89" t="s">
        <v>22</v>
      </c>
      <c r="K353" s="88"/>
      <c r="L353" s="88">
        <f t="shared" si="19"/>
        <v>27321</v>
      </c>
      <c r="M353" s="88">
        <v>13362</v>
      </c>
      <c r="N353" s="88">
        <v>2811</v>
      </c>
      <c r="O353" s="88">
        <v>261</v>
      </c>
      <c r="P353" s="92" t="s">
        <v>22</v>
      </c>
      <c r="Q353" s="67">
        <v>10887</v>
      </c>
      <c r="R353" s="89" t="s">
        <v>22</v>
      </c>
      <c r="S353" s="89" t="s">
        <v>22</v>
      </c>
      <c r="T353" s="89" t="s">
        <v>22</v>
      </c>
    </row>
    <row r="354" spans="1:22" s="68" customFormat="1" ht="9" customHeight="1" x14ac:dyDescent="0.15">
      <c r="A354" s="69" t="s">
        <v>53</v>
      </c>
      <c r="B354" s="90">
        <f t="shared" si="18"/>
        <v>5883</v>
      </c>
      <c r="C354" s="90">
        <v>1794</v>
      </c>
      <c r="D354" s="90">
        <v>2771</v>
      </c>
      <c r="E354" s="90">
        <v>771</v>
      </c>
      <c r="F354" s="90" t="s">
        <v>22</v>
      </c>
      <c r="G354" s="70">
        <v>547</v>
      </c>
      <c r="H354" s="91" t="s">
        <v>22</v>
      </c>
      <c r="I354" s="91" t="s">
        <v>22</v>
      </c>
      <c r="J354" s="91" t="s">
        <v>22</v>
      </c>
      <c r="K354" s="90"/>
      <c r="L354" s="90">
        <f t="shared" si="19"/>
        <v>63652</v>
      </c>
      <c r="M354" s="90">
        <v>28811</v>
      </c>
      <c r="N354" s="90">
        <v>9397</v>
      </c>
      <c r="O354" s="90">
        <v>691</v>
      </c>
      <c r="P354" s="90" t="s">
        <v>22</v>
      </c>
      <c r="Q354" s="70">
        <v>24753</v>
      </c>
      <c r="R354" s="91" t="s">
        <v>22</v>
      </c>
      <c r="S354" s="91" t="s">
        <v>22</v>
      </c>
      <c r="T354" s="91" t="s">
        <v>22</v>
      </c>
    </row>
    <row r="355" spans="1:22" s="72" customFormat="1" ht="5.25" customHeight="1" x14ac:dyDescent="0.15">
      <c r="A355" s="71"/>
      <c r="B355" s="92"/>
      <c r="C355" s="92"/>
      <c r="D355" s="92"/>
      <c r="E355" s="92"/>
      <c r="F355" s="92"/>
      <c r="G355" s="67"/>
      <c r="H355" s="67"/>
      <c r="I355" s="67"/>
      <c r="J355" s="67"/>
      <c r="K355" s="92"/>
      <c r="L355" s="92"/>
      <c r="M355" s="92"/>
      <c r="N355" s="92"/>
      <c r="O355" s="92"/>
      <c r="P355" s="92"/>
      <c r="Q355" s="67"/>
      <c r="R355" s="67"/>
      <c r="S355" s="67"/>
      <c r="T355" s="67"/>
    </row>
    <row r="356" spans="1:22" s="65" customFormat="1" ht="9" customHeight="1" x14ac:dyDescent="0.25">
      <c r="A356" s="96">
        <v>2009</v>
      </c>
      <c r="B356" s="97"/>
      <c r="C356" s="98"/>
      <c r="D356" s="97"/>
      <c r="E356" s="97"/>
      <c r="F356" s="97"/>
      <c r="G356" s="64"/>
      <c r="H356" s="64"/>
      <c r="I356" s="64"/>
      <c r="J356" s="64"/>
      <c r="K356" s="97"/>
      <c r="L356" s="97"/>
      <c r="M356" s="97"/>
      <c r="N356" s="97"/>
      <c r="O356" s="97"/>
      <c r="P356" s="97"/>
      <c r="Q356" s="64"/>
      <c r="R356" s="64"/>
      <c r="S356" s="64"/>
      <c r="T356" s="64"/>
    </row>
    <row r="357" spans="1:22" s="65" customFormat="1" ht="9" customHeight="1" x14ac:dyDescent="0.25">
      <c r="A357" s="99" t="s">
        <v>21</v>
      </c>
      <c r="B357" s="64">
        <f>SUM(B359:B390)</f>
        <v>221044</v>
      </c>
      <c r="C357" s="64">
        <f>SUM(C359:C390)</f>
        <v>77325</v>
      </c>
      <c r="D357" s="64">
        <f>SUM(D359:D390)</f>
        <v>88503</v>
      </c>
      <c r="E357" s="64">
        <f>SUM(E359:E390)</f>
        <v>30883</v>
      </c>
      <c r="F357" s="64" t="s">
        <v>22</v>
      </c>
      <c r="G357" s="64">
        <f>SUM(G359:G390)</f>
        <v>24333</v>
      </c>
      <c r="H357" s="64" t="s">
        <v>22</v>
      </c>
      <c r="I357" s="64" t="s">
        <v>22</v>
      </c>
      <c r="J357" s="64" t="s">
        <v>22</v>
      </c>
      <c r="K357" s="64"/>
      <c r="L357" s="64">
        <f>SUM(L359:L390)</f>
        <v>3451957</v>
      </c>
      <c r="M357" s="64">
        <f>SUM(M359:M390)</f>
        <v>2080680</v>
      </c>
      <c r="N357" s="64">
        <f>SUM(N359:N390)</f>
        <v>313380</v>
      </c>
      <c r="O357" s="64">
        <f>SUM(O359:O390)</f>
        <v>18405</v>
      </c>
      <c r="P357" s="64" t="s">
        <v>22</v>
      </c>
      <c r="Q357" s="64">
        <f>SUM(Q359:Q390)</f>
        <v>1039492</v>
      </c>
      <c r="R357" s="64" t="s">
        <v>22</v>
      </c>
      <c r="S357" s="64" t="s">
        <v>22</v>
      </c>
      <c r="T357" s="64" t="s">
        <v>22</v>
      </c>
      <c r="V357" s="101"/>
    </row>
    <row r="358" spans="1:22" s="65" customFormat="1" ht="3.95" customHeight="1" x14ac:dyDescent="0.25">
      <c r="A358" s="99"/>
      <c r="B358" s="64"/>
      <c r="C358" s="64"/>
      <c r="D358" s="64"/>
      <c r="E358" s="64"/>
      <c r="F358" s="64"/>
      <c r="G358" s="64"/>
      <c r="H358" s="64"/>
      <c r="I358" s="64"/>
      <c r="J358" s="64"/>
      <c r="K358" s="64"/>
      <c r="L358" s="64"/>
      <c r="M358" s="64"/>
      <c r="N358" s="64"/>
      <c r="O358" s="64"/>
      <c r="P358" s="64"/>
      <c r="Q358" s="64"/>
      <c r="R358" s="64"/>
      <c r="S358" s="64"/>
      <c r="T358" s="64"/>
    </row>
    <row r="359" spans="1:22" s="68" customFormat="1" ht="9" customHeight="1" x14ac:dyDescent="0.15">
      <c r="A359" s="66" t="s">
        <v>23</v>
      </c>
      <c r="B359" s="88">
        <f t="shared" ref="B359:B390" si="20">SUM(C359,D359,E359,G359)</f>
        <v>2478</v>
      </c>
      <c r="C359" s="88">
        <v>781</v>
      </c>
      <c r="D359" s="88">
        <v>1175</v>
      </c>
      <c r="E359" s="88">
        <v>380</v>
      </c>
      <c r="F359" s="89" t="s">
        <v>22</v>
      </c>
      <c r="G359" s="67">
        <v>142</v>
      </c>
      <c r="H359" s="89" t="s">
        <v>22</v>
      </c>
      <c r="I359" s="89" t="s">
        <v>22</v>
      </c>
      <c r="J359" s="89" t="s">
        <v>22</v>
      </c>
      <c r="K359" s="88"/>
      <c r="L359" s="88">
        <f t="shared" ref="L359:L390" si="21">SUM(M359,N359,O359,Q359)</f>
        <v>24439</v>
      </c>
      <c r="M359" s="88">
        <v>18239</v>
      </c>
      <c r="N359" s="88">
        <v>4397</v>
      </c>
      <c r="O359" s="88">
        <v>208</v>
      </c>
      <c r="P359" s="89" t="s">
        <v>22</v>
      </c>
      <c r="Q359" s="67">
        <v>1595</v>
      </c>
      <c r="R359" s="89" t="s">
        <v>22</v>
      </c>
      <c r="S359" s="89" t="s">
        <v>22</v>
      </c>
      <c r="T359" s="89" t="s">
        <v>22</v>
      </c>
    </row>
    <row r="360" spans="1:22" s="68" customFormat="1" ht="9" customHeight="1" x14ac:dyDescent="0.15">
      <c r="A360" s="66" t="s">
        <v>24</v>
      </c>
      <c r="B360" s="88">
        <f t="shared" si="20"/>
        <v>4207</v>
      </c>
      <c r="C360" s="88">
        <v>1121</v>
      </c>
      <c r="D360" s="88">
        <v>2222</v>
      </c>
      <c r="E360" s="88">
        <v>517</v>
      </c>
      <c r="F360" s="89" t="s">
        <v>22</v>
      </c>
      <c r="G360" s="67">
        <v>347</v>
      </c>
      <c r="H360" s="89" t="s">
        <v>22</v>
      </c>
      <c r="I360" s="89" t="s">
        <v>22</v>
      </c>
      <c r="J360" s="89" t="s">
        <v>22</v>
      </c>
      <c r="K360" s="88"/>
      <c r="L360" s="88">
        <f t="shared" si="21"/>
        <v>44615</v>
      </c>
      <c r="M360" s="88">
        <v>30097</v>
      </c>
      <c r="N360" s="88">
        <v>6412</v>
      </c>
      <c r="O360" s="88">
        <v>162</v>
      </c>
      <c r="P360" s="89" t="s">
        <v>22</v>
      </c>
      <c r="Q360" s="67">
        <v>7944</v>
      </c>
      <c r="R360" s="89" t="s">
        <v>22</v>
      </c>
      <c r="S360" s="89" t="s">
        <v>22</v>
      </c>
      <c r="T360" s="89" t="s">
        <v>22</v>
      </c>
    </row>
    <row r="361" spans="1:22" s="68" customFormat="1" ht="9" customHeight="1" x14ac:dyDescent="0.15">
      <c r="A361" s="66" t="s">
        <v>25</v>
      </c>
      <c r="B361" s="88">
        <f t="shared" si="20"/>
        <v>2202</v>
      </c>
      <c r="C361" s="88">
        <v>586</v>
      </c>
      <c r="D361" s="88">
        <v>594</v>
      </c>
      <c r="E361" s="88">
        <v>517</v>
      </c>
      <c r="F361" s="89" t="s">
        <v>22</v>
      </c>
      <c r="G361" s="67">
        <v>505</v>
      </c>
      <c r="H361" s="89" t="s">
        <v>22</v>
      </c>
      <c r="I361" s="89" t="s">
        <v>22</v>
      </c>
      <c r="J361" s="89" t="s">
        <v>22</v>
      </c>
      <c r="K361" s="88"/>
      <c r="L361" s="88">
        <f t="shared" si="21"/>
        <v>24536</v>
      </c>
      <c r="M361" s="88">
        <v>10893</v>
      </c>
      <c r="N361" s="88">
        <v>2387</v>
      </c>
      <c r="O361" s="88">
        <v>157</v>
      </c>
      <c r="P361" s="89" t="s">
        <v>22</v>
      </c>
      <c r="Q361" s="67">
        <v>11099</v>
      </c>
      <c r="R361" s="89" t="s">
        <v>22</v>
      </c>
      <c r="S361" s="89" t="s">
        <v>22</v>
      </c>
      <c r="T361" s="89" t="s">
        <v>22</v>
      </c>
    </row>
    <row r="362" spans="1:22" s="68" customFormat="1" ht="9" customHeight="1" x14ac:dyDescent="0.15">
      <c r="A362" s="69" t="s">
        <v>26</v>
      </c>
      <c r="B362" s="90">
        <f t="shared" si="20"/>
        <v>2810</v>
      </c>
      <c r="C362" s="90">
        <v>594</v>
      </c>
      <c r="D362" s="90">
        <v>1558</v>
      </c>
      <c r="E362" s="90">
        <v>333</v>
      </c>
      <c r="F362" s="91" t="s">
        <v>22</v>
      </c>
      <c r="G362" s="70">
        <v>325</v>
      </c>
      <c r="H362" s="91" t="s">
        <v>22</v>
      </c>
      <c r="I362" s="91" t="s">
        <v>22</v>
      </c>
      <c r="J362" s="91" t="s">
        <v>22</v>
      </c>
      <c r="K362" s="90"/>
      <c r="L362" s="90">
        <f t="shared" si="21"/>
        <v>29608</v>
      </c>
      <c r="M362" s="90">
        <v>17801</v>
      </c>
      <c r="N362" s="90">
        <v>7080</v>
      </c>
      <c r="O362" s="90">
        <v>159</v>
      </c>
      <c r="P362" s="91" t="s">
        <v>22</v>
      </c>
      <c r="Q362" s="70">
        <v>4568</v>
      </c>
      <c r="R362" s="91" t="s">
        <v>22</v>
      </c>
      <c r="S362" s="91" t="s">
        <v>22</v>
      </c>
      <c r="T362" s="91" t="s">
        <v>22</v>
      </c>
    </row>
    <row r="363" spans="1:22" s="68" customFormat="1" ht="9" customHeight="1" x14ac:dyDescent="0.15">
      <c r="A363" s="66" t="s">
        <v>27</v>
      </c>
      <c r="B363" s="88">
        <f t="shared" si="20"/>
        <v>4775</v>
      </c>
      <c r="C363" s="88">
        <v>1730</v>
      </c>
      <c r="D363" s="88">
        <v>1367</v>
      </c>
      <c r="E363" s="88">
        <v>1413</v>
      </c>
      <c r="F363" s="89" t="s">
        <v>22</v>
      </c>
      <c r="G363" s="67">
        <v>265</v>
      </c>
      <c r="H363" s="89" t="s">
        <v>22</v>
      </c>
      <c r="I363" s="89" t="s">
        <v>22</v>
      </c>
      <c r="J363" s="89" t="s">
        <v>22</v>
      </c>
      <c r="K363" s="88"/>
      <c r="L363" s="88">
        <f t="shared" si="21"/>
        <v>87234</v>
      </c>
      <c r="M363" s="88">
        <v>42477</v>
      </c>
      <c r="N363" s="88">
        <v>6047</v>
      </c>
      <c r="O363" s="88">
        <v>716</v>
      </c>
      <c r="P363" s="89" t="s">
        <v>22</v>
      </c>
      <c r="Q363" s="67">
        <v>37994</v>
      </c>
      <c r="R363" s="89" t="s">
        <v>22</v>
      </c>
      <c r="S363" s="89" t="s">
        <v>22</v>
      </c>
      <c r="T363" s="89" t="s">
        <v>22</v>
      </c>
    </row>
    <row r="364" spans="1:22" s="68" customFormat="1" ht="9" customHeight="1" x14ac:dyDescent="0.15">
      <c r="A364" s="66" t="s">
        <v>28</v>
      </c>
      <c r="B364" s="88">
        <f t="shared" si="20"/>
        <v>7202</v>
      </c>
      <c r="C364" s="88">
        <v>2666</v>
      </c>
      <c r="D364" s="88">
        <v>1682</v>
      </c>
      <c r="E364" s="88">
        <v>991</v>
      </c>
      <c r="F364" s="89" t="s">
        <v>22</v>
      </c>
      <c r="G364" s="67">
        <v>1863</v>
      </c>
      <c r="H364" s="89" t="s">
        <v>22</v>
      </c>
      <c r="I364" s="89" t="s">
        <v>22</v>
      </c>
      <c r="J364" s="89" t="s">
        <v>22</v>
      </c>
      <c r="K364" s="88"/>
      <c r="L364" s="88">
        <f t="shared" si="21"/>
        <v>85230</v>
      </c>
      <c r="M364" s="88">
        <v>47900</v>
      </c>
      <c r="N364" s="88">
        <v>3115</v>
      </c>
      <c r="O364" s="88">
        <v>243</v>
      </c>
      <c r="P364" s="89" t="s">
        <v>22</v>
      </c>
      <c r="Q364" s="67">
        <v>33972</v>
      </c>
      <c r="R364" s="89" t="s">
        <v>22</v>
      </c>
      <c r="S364" s="89" t="s">
        <v>22</v>
      </c>
      <c r="T364" s="89" t="s">
        <v>22</v>
      </c>
    </row>
    <row r="365" spans="1:22" s="68" customFormat="1" ht="9" customHeight="1" x14ac:dyDescent="0.15">
      <c r="A365" s="66" t="s">
        <v>29</v>
      </c>
      <c r="B365" s="88">
        <f t="shared" si="20"/>
        <v>4708</v>
      </c>
      <c r="C365" s="88">
        <v>1716</v>
      </c>
      <c r="D365" s="88">
        <v>2465</v>
      </c>
      <c r="E365" s="88">
        <v>351</v>
      </c>
      <c r="F365" s="89" t="s">
        <v>22</v>
      </c>
      <c r="G365" s="67">
        <v>176</v>
      </c>
      <c r="H365" s="89" t="s">
        <v>22</v>
      </c>
      <c r="I365" s="89" t="s">
        <v>22</v>
      </c>
      <c r="J365" s="89" t="s">
        <v>22</v>
      </c>
      <c r="K365" s="88"/>
      <c r="L365" s="88">
        <f t="shared" si="21"/>
        <v>45221</v>
      </c>
      <c r="M365" s="88">
        <v>38629</v>
      </c>
      <c r="N365" s="88">
        <v>5257</v>
      </c>
      <c r="O365" s="88">
        <v>371</v>
      </c>
      <c r="P365" s="89" t="s">
        <v>22</v>
      </c>
      <c r="Q365" s="67">
        <v>964</v>
      </c>
      <c r="R365" s="89" t="s">
        <v>22</v>
      </c>
      <c r="S365" s="89" t="s">
        <v>22</v>
      </c>
      <c r="T365" s="89" t="s">
        <v>22</v>
      </c>
    </row>
    <row r="366" spans="1:22" s="68" customFormat="1" ht="9" customHeight="1" x14ac:dyDescent="0.15">
      <c r="A366" s="69" t="s">
        <v>30</v>
      </c>
      <c r="B366" s="90">
        <f t="shared" si="20"/>
        <v>4303</v>
      </c>
      <c r="C366" s="90">
        <v>1448</v>
      </c>
      <c r="D366" s="90">
        <v>1753</v>
      </c>
      <c r="E366" s="90">
        <v>918</v>
      </c>
      <c r="F366" s="91" t="s">
        <v>22</v>
      </c>
      <c r="G366" s="70">
        <v>184</v>
      </c>
      <c r="H366" s="91" t="s">
        <v>22</v>
      </c>
      <c r="I366" s="91" t="s">
        <v>22</v>
      </c>
      <c r="J366" s="91" t="s">
        <v>22</v>
      </c>
      <c r="K366" s="90"/>
      <c r="L366" s="90">
        <f t="shared" si="21"/>
        <v>57857</v>
      </c>
      <c r="M366" s="90">
        <v>43160</v>
      </c>
      <c r="N366" s="90">
        <v>3803</v>
      </c>
      <c r="O366" s="90">
        <v>491</v>
      </c>
      <c r="P366" s="91" t="s">
        <v>22</v>
      </c>
      <c r="Q366" s="70">
        <v>10403</v>
      </c>
      <c r="R366" s="91" t="s">
        <v>22</v>
      </c>
      <c r="S366" s="91" t="s">
        <v>22</v>
      </c>
      <c r="T366" s="91" t="s">
        <v>22</v>
      </c>
    </row>
    <row r="367" spans="1:22" s="68" customFormat="1" ht="9" customHeight="1" x14ac:dyDescent="0.15">
      <c r="A367" s="66" t="s">
        <v>63</v>
      </c>
      <c r="B367" s="88">
        <f t="shared" si="20"/>
        <v>37097</v>
      </c>
      <c r="C367" s="88">
        <v>14656</v>
      </c>
      <c r="D367" s="88">
        <v>13744</v>
      </c>
      <c r="E367" s="88">
        <v>4072</v>
      </c>
      <c r="F367" s="89" t="s">
        <v>22</v>
      </c>
      <c r="G367" s="67">
        <v>4625</v>
      </c>
      <c r="H367" s="89" t="s">
        <v>22</v>
      </c>
      <c r="I367" s="89" t="s">
        <v>22</v>
      </c>
      <c r="J367" s="89" t="s">
        <v>22</v>
      </c>
      <c r="K367" s="88"/>
      <c r="L367" s="88">
        <f t="shared" si="21"/>
        <v>740391</v>
      </c>
      <c r="M367" s="88">
        <v>575698</v>
      </c>
      <c r="N367" s="88">
        <v>54622</v>
      </c>
      <c r="O367" s="88">
        <v>2250</v>
      </c>
      <c r="P367" s="89" t="s">
        <v>22</v>
      </c>
      <c r="Q367" s="67">
        <v>107821</v>
      </c>
      <c r="R367" s="89" t="s">
        <v>22</v>
      </c>
      <c r="S367" s="89" t="s">
        <v>22</v>
      </c>
      <c r="T367" s="89" t="s">
        <v>22</v>
      </c>
    </row>
    <row r="368" spans="1:22" s="68" customFormat="1" ht="9" customHeight="1" x14ac:dyDescent="0.15">
      <c r="A368" s="66" t="s">
        <v>31</v>
      </c>
      <c r="B368" s="88">
        <f t="shared" si="20"/>
        <v>6036</v>
      </c>
      <c r="C368" s="88">
        <v>2021</v>
      </c>
      <c r="D368" s="88">
        <v>2586</v>
      </c>
      <c r="E368" s="88">
        <v>941</v>
      </c>
      <c r="F368" s="89" t="s">
        <v>22</v>
      </c>
      <c r="G368" s="67">
        <v>488</v>
      </c>
      <c r="H368" s="89" t="s">
        <v>22</v>
      </c>
      <c r="I368" s="89" t="s">
        <v>22</v>
      </c>
      <c r="J368" s="89" t="s">
        <v>22</v>
      </c>
      <c r="K368" s="88"/>
      <c r="L368" s="88">
        <f t="shared" si="21"/>
        <v>56937</v>
      </c>
      <c r="M368" s="88">
        <v>39049</v>
      </c>
      <c r="N368" s="88">
        <v>6748</v>
      </c>
      <c r="O368" s="88">
        <v>859</v>
      </c>
      <c r="P368" s="89" t="s">
        <v>22</v>
      </c>
      <c r="Q368" s="67">
        <v>10281</v>
      </c>
      <c r="R368" s="89" t="s">
        <v>22</v>
      </c>
      <c r="S368" s="89" t="s">
        <v>22</v>
      </c>
      <c r="T368" s="89" t="s">
        <v>22</v>
      </c>
    </row>
    <row r="369" spans="1:20" s="68" customFormat="1" ht="9" customHeight="1" x14ac:dyDescent="0.15">
      <c r="A369" s="66" t="s">
        <v>32</v>
      </c>
      <c r="B369" s="88">
        <f t="shared" si="20"/>
        <v>6193</v>
      </c>
      <c r="C369" s="88">
        <v>1420</v>
      </c>
      <c r="D369" s="88">
        <v>1779</v>
      </c>
      <c r="E369" s="88">
        <v>1623</v>
      </c>
      <c r="F369" s="89" t="s">
        <v>22</v>
      </c>
      <c r="G369" s="67">
        <v>1371</v>
      </c>
      <c r="H369" s="89" t="s">
        <v>22</v>
      </c>
      <c r="I369" s="89" t="s">
        <v>22</v>
      </c>
      <c r="J369" s="89" t="s">
        <v>22</v>
      </c>
      <c r="K369" s="88"/>
      <c r="L369" s="88">
        <f t="shared" si="21"/>
        <v>129277</v>
      </c>
      <c r="M369" s="88">
        <v>31857</v>
      </c>
      <c r="N369" s="88">
        <v>4148</v>
      </c>
      <c r="O369" s="88">
        <v>932</v>
      </c>
      <c r="P369" s="89" t="s">
        <v>22</v>
      </c>
      <c r="Q369" s="67">
        <v>92340</v>
      </c>
      <c r="R369" s="89" t="s">
        <v>22</v>
      </c>
      <c r="S369" s="89" t="s">
        <v>22</v>
      </c>
      <c r="T369" s="89" t="s">
        <v>22</v>
      </c>
    </row>
    <row r="370" spans="1:20" s="68" customFormat="1" ht="9" customHeight="1" x14ac:dyDescent="0.15">
      <c r="A370" s="69" t="s">
        <v>33</v>
      </c>
      <c r="B370" s="90">
        <f t="shared" si="20"/>
        <v>9938</v>
      </c>
      <c r="C370" s="90">
        <v>5298</v>
      </c>
      <c r="D370" s="90">
        <v>2886</v>
      </c>
      <c r="E370" s="90">
        <v>1122</v>
      </c>
      <c r="F370" s="91" t="s">
        <v>22</v>
      </c>
      <c r="G370" s="70">
        <v>632</v>
      </c>
      <c r="H370" s="91" t="s">
        <v>22</v>
      </c>
      <c r="I370" s="91" t="s">
        <v>22</v>
      </c>
      <c r="J370" s="91" t="s">
        <v>22</v>
      </c>
      <c r="K370" s="90"/>
      <c r="L370" s="90">
        <f t="shared" si="21"/>
        <v>483342</v>
      </c>
      <c r="M370" s="90">
        <v>88172</v>
      </c>
      <c r="N370" s="90">
        <v>7838</v>
      </c>
      <c r="O370" s="90">
        <v>381</v>
      </c>
      <c r="P370" s="91" t="s">
        <v>22</v>
      </c>
      <c r="Q370" s="70">
        <v>386951</v>
      </c>
      <c r="R370" s="91" t="s">
        <v>22</v>
      </c>
      <c r="S370" s="91" t="s">
        <v>22</v>
      </c>
      <c r="T370" s="91" t="s">
        <v>22</v>
      </c>
    </row>
    <row r="371" spans="1:20" s="68" customFormat="1" ht="9" customHeight="1" x14ac:dyDescent="0.15">
      <c r="A371" s="66" t="s">
        <v>34</v>
      </c>
      <c r="B371" s="88">
        <f t="shared" si="20"/>
        <v>5032</v>
      </c>
      <c r="C371" s="88">
        <v>873</v>
      </c>
      <c r="D371" s="88">
        <v>2683</v>
      </c>
      <c r="E371" s="88">
        <v>1062</v>
      </c>
      <c r="F371" s="89" t="s">
        <v>22</v>
      </c>
      <c r="G371" s="67">
        <v>414</v>
      </c>
      <c r="H371" s="89" t="s">
        <v>22</v>
      </c>
      <c r="I371" s="89" t="s">
        <v>22</v>
      </c>
      <c r="J371" s="89" t="s">
        <v>22</v>
      </c>
      <c r="K371" s="88"/>
      <c r="L371" s="88">
        <f t="shared" si="21"/>
        <v>36315</v>
      </c>
      <c r="M371" s="88">
        <v>23518</v>
      </c>
      <c r="N371" s="88">
        <v>8682</v>
      </c>
      <c r="O371" s="88">
        <v>602</v>
      </c>
      <c r="P371" s="89" t="s">
        <v>22</v>
      </c>
      <c r="Q371" s="67">
        <v>3513</v>
      </c>
      <c r="R371" s="89" t="s">
        <v>22</v>
      </c>
      <c r="S371" s="89" t="s">
        <v>22</v>
      </c>
      <c r="T371" s="89" t="s">
        <v>22</v>
      </c>
    </row>
    <row r="372" spans="1:20" s="68" customFormat="1" ht="9" customHeight="1" x14ac:dyDescent="0.15">
      <c r="A372" s="66" t="s">
        <v>35</v>
      </c>
      <c r="B372" s="88">
        <f t="shared" si="20"/>
        <v>20130</v>
      </c>
      <c r="C372" s="88">
        <v>3984</v>
      </c>
      <c r="D372" s="88">
        <v>9294</v>
      </c>
      <c r="E372" s="88">
        <v>3222</v>
      </c>
      <c r="F372" s="89" t="s">
        <v>22</v>
      </c>
      <c r="G372" s="67">
        <v>3630</v>
      </c>
      <c r="H372" s="89" t="s">
        <v>22</v>
      </c>
      <c r="I372" s="89" t="s">
        <v>22</v>
      </c>
      <c r="J372" s="89" t="s">
        <v>22</v>
      </c>
      <c r="K372" s="88"/>
      <c r="L372" s="88">
        <f t="shared" si="21"/>
        <v>163723</v>
      </c>
      <c r="M372" s="88">
        <v>99765</v>
      </c>
      <c r="N372" s="88">
        <v>31598</v>
      </c>
      <c r="O372" s="88">
        <v>1605</v>
      </c>
      <c r="P372" s="89" t="s">
        <v>22</v>
      </c>
      <c r="Q372" s="67">
        <v>30755</v>
      </c>
      <c r="R372" s="89" t="s">
        <v>22</v>
      </c>
      <c r="S372" s="89" t="s">
        <v>22</v>
      </c>
      <c r="T372" s="89" t="s">
        <v>22</v>
      </c>
    </row>
    <row r="373" spans="1:20" s="68" customFormat="1" ht="9" customHeight="1" x14ac:dyDescent="0.15">
      <c r="A373" s="66" t="s">
        <v>36</v>
      </c>
      <c r="B373" s="88">
        <f t="shared" si="20"/>
        <v>16827</v>
      </c>
      <c r="C373" s="88">
        <v>6696</v>
      </c>
      <c r="D373" s="88">
        <v>6809</v>
      </c>
      <c r="E373" s="88">
        <v>1963</v>
      </c>
      <c r="F373" s="89" t="s">
        <v>22</v>
      </c>
      <c r="G373" s="67">
        <v>1359</v>
      </c>
      <c r="H373" s="89" t="s">
        <v>22</v>
      </c>
      <c r="I373" s="89" t="s">
        <v>22</v>
      </c>
      <c r="J373" s="89" t="s">
        <v>22</v>
      </c>
      <c r="K373" s="88"/>
      <c r="L373" s="88">
        <f t="shared" si="21"/>
        <v>358935</v>
      </c>
      <c r="M373" s="88">
        <v>251518</v>
      </c>
      <c r="N373" s="88">
        <v>25115</v>
      </c>
      <c r="O373" s="88">
        <v>2383</v>
      </c>
      <c r="P373" s="89" t="s">
        <v>22</v>
      </c>
      <c r="Q373" s="67">
        <v>79919</v>
      </c>
      <c r="R373" s="89" t="s">
        <v>22</v>
      </c>
      <c r="S373" s="89" t="s">
        <v>22</v>
      </c>
      <c r="T373" s="89" t="s">
        <v>22</v>
      </c>
    </row>
    <row r="374" spans="1:20" s="68" customFormat="1" ht="9" customHeight="1" x14ac:dyDescent="0.15">
      <c r="A374" s="69" t="s">
        <v>37</v>
      </c>
      <c r="B374" s="90">
        <f t="shared" si="20"/>
        <v>5340</v>
      </c>
      <c r="C374" s="90">
        <v>2971</v>
      </c>
      <c r="D374" s="90">
        <v>1446</v>
      </c>
      <c r="E374" s="90">
        <v>467</v>
      </c>
      <c r="F374" s="91" t="s">
        <v>22</v>
      </c>
      <c r="G374" s="70">
        <v>456</v>
      </c>
      <c r="H374" s="91" t="s">
        <v>22</v>
      </c>
      <c r="I374" s="91" t="s">
        <v>22</v>
      </c>
      <c r="J374" s="91" t="s">
        <v>22</v>
      </c>
      <c r="K374" s="90"/>
      <c r="L374" s="90">
        <f t="shared" si="21"/>
        <v>62336</v>
      </c>
      <c r="M374" s="90">
        <v>51997</v>
      </c>
      <c r="N374" s="90">
        <v>4393</v>
      </c>
      <c r="O374" s="90">
        <v>106</v>
      </c>
      <c r="P374" s="91" t="s">
        <v>22</v>
      </c>
      <c r="Q374" s="70">
        <v>5840</v>
      </c>
      <c r="R374" s="91" t="s">
        <v>22</v>
      </c>
      <c r="S374" s="91" t="s">
        <v>22</v>
      </c>
      <c r="T374" s="91" t="s">
        <v>22</v>
      </c>
    </row>
    <row r="375" spans="1:20" s="68" customFormat="1" ht="9" customHeight="1" x14ac:dyDescent="0.15">
      <c r="A375" s="66" t="s">
        <v>38</v>
      </c>
      <c r="B375" s="88">
        <f t="shared" si="20"/>
        <v>2264</v>
      </c>
      <c r="C375" s="88">
        <v>761</v>
      </c>
      <c r="D375" s="88">
        <v>927</v>
      </c>
      <c r="E375" s="88">
        <v>491</v>
      </c>
      <c r="F375" s="89" t="s">
        <v>22</v>
      </c>
      <c r="G375" s="67">
        <v>85</v>
      </c>
      <c r="H375" s="89" t="s">
        <v>22</v>
      </c>
      <c r="I375" s="89" t="s">
        <v>22</v>
      </c>
      <c r="J375" s="89" t="s">
        <v>22</v>
      </c>
      <c r="K375" s="88"/>
      <c r="L375" s="88">
        <f t="shared" si="21"/>
        <v>25732</v>
      </c>
      <c r="M375" s="88">
        <v>17345</v>
      </c>
      <c r="N375" s="88">
        <v>6092</v>
      </c>
      <c r="O375" s="88">
        <v>195</v>
      </c>
      <c r="P375" s="89" t="s">
        <v>22</v>
      </c>
      <c r="Q375" s="67">
        <v>2100</v>
      </c>
      <c r="R375" s="89" t="s">
        <v>22</v>
      </c>
      <c r="S375" s="89" t="s">
        <v>22</v>
      </c>
      <c r="T375" s="89" t="s">
        <v>22</v>
      </c>
    </row>
    <row r="376" spans="1:20" s="68" customFormat="1" ht="9" customHeight="1" x14ac:dyDescent="0.15">
      <c r="A376" s="66" t="s">
        <v>39</v>
      </c>
      <c r="B376" s="88">
        <f t="shared" si="20"/>
        <v>3337</v>
      </c>
      <c r="C376" s="88">
        <v>1127</v>
      </c>
      <c r="D376" s="88">
        <v>1779</v>
      </c>
      <c r="E376" s="88">
        <v>416</v>
      </c>
      <c r="F376" s="89" t="s">
        <v>22</v>
      </c>
      <c r="G376" s="67">
        <v>15</v>
      </c>
      <c r="H376" s="89" t="s">
        <v>22</v>
      </c>
      <c r="I376" s="89" t="s">
        <v>22</v>
      </c>
      <c r="J376" s="89" t="s">
        <v>22</v>
      </c>
      <c r="K376" s="88"/>
      <c r="L376" s="88">
        <f t="shared" si="21"/>
        <v>26418</v>
      </c>
      <c r="M376" s="88">
        <v>20177</v>
      </c>
      <c r="N376" s="88">
        <v>4873</v>
      </c>
      <c r="O376" s="88">
        <v>442</v>
      </c>
      <c r="P376" s="89" t="s">
        <v>22</v>
      </c>
      <c r="Q376" s="67">
        <v>926</v>
      </c>
      <c r="R376" s="89" t="s">
        <v>22</v>
      </c>
      <c r="S376" s="89" t="s">
        <v>22</v>
      </c>
      <c r="T376" s="89" t="s">
        <v>22</v>
      </c>
    </row>
    <row r="377" spans="1:20" s="68" customFormat="1" ht="9" customHeight="1" x14ac:dyDescent="0.15">
      <c r="A377" s="66" t="s">
        <v>40</v>
      </c>
      <c r="B377" s="88">
        <f t="shared" si="20"/>
        <v>6846</v>
      </c>
      <c r="C377" s="88">
        <v>2294</v>
      </c>
      <c r="D377" s="88">
        <v>3111</v>
      </c>
      <c r="E377" s="88">
        <v>1211</v>
      </c>
      <c r="F377" s="89" t="s">
        <v>22</v>
      </c>
      <c r="G377" s="67">
        <v>230</v>
      </c>
      <c r="H377" s="89" t="s">
        <v>22</v>
      </c>
      <c r="I377" s="89" t="s">
        <v>22</v>
      </c>
      <c r="J377" s="89" t="s">
        <v>22</v>
      </c>
      <c r="K377" s="88"/>
      <c r="L377" s="88">
        <f t="shared" si="21"/>
        <v>72157</v>
      </c>
      <c r="M377" s="88">
        <v>38662</v>
      </c>
      <c r="N377" s="88">
        <v>12345</v>
      </c>
      <c r="O377" s="88">
        <v>435</v>
      </c>
      <c r="P377" s="89" t="s">
        <v>22</v>
      </c>
      <c r="Q377" s="67">
        <v>20715</v>
      </c>
      <c r="R377" s="89" t="s">
        <v>22</v>
      </c>
      <c r="S377" s="89" t="s">
        <v>22</v>
      </c>
      <c r="T377" s="89" t="s">
        <v>22</v>
      </c>
    </row>
    <row r="378" spans="1:20" s="68" customFormat="1" ht="9" customHeight="1" x14ac:dyDescent="0.15">
      <c r="A378" s="69" t="s">
        <v>41</v>
      </c>
      <c r="B378" s="90">
        <f t="shared" si="20"/>
        <v>6478</v>
      </c>
      <c r="C378" s="90">
        <v>2040</v>
      </c>
      <c r="D378" s="90">
        <v>4125</v>
      </c>
      <c r="E378" s="90">
        <v>173</v>
      </c>
      <c r="F378" s="91" t="s">
        <v>22</v>
      </c>
      <c r="G378" s="70">
        <v>140</v>
      </c>
      <c r="H378" s="91" t="s">
        <v>22</v>
      </c>
      <c r="I378" s="91" t="s">
        <v>22</v>
      </c>
      <c r="J378" s="91" t="s">
        <v>22</v>
      </c>
      <c r="K378" s="90"/>
      <c r="L378" s="90">
        <f t="shared" si="21"/>
        <v>73894</v>
      </c>
      <c r="M378" s="90">
        <v>44202</v>
      </c>
      <c r="N378" s="90">
        <v>24353</v>
      </c>
      <c r="O378" s="90">
        <v>423</v>
      </c>
      <c r="P378" s="91" t="s">
        <v>22</v>
      </c>
      <c r="Q378" s="70">
        <v>4916</v>
      </c>
      <c r="R378" s="91" t="s">
        <v>22</v>
      </c>
      <c r="S378" s="91" t="s">
        <v>22</v>
      </c>
      <c r="T378" s="91" t="s">
        <v>22</v>
      </c>
    </row>
    <row r="379" spans="1:20" s="68" customFormat="1" ht="9" customHeight="1" x14ac:dyDescent="0.15">
      <c r="A379" s="66" t="s">
        <v>42</v>
      </c>
      <c r="B379" s="88">
        <f t="shared" si="20"/>
        <v>5645</v>
      </c>
      <c r="C379" s="88">
        <v>2052</v>
      </c>
      <c r="D379" s="88">
        <v>2591</v>
      </c>
      <c r="E379" s="88">
        <v>515</v>
      </c>
      <c r="F379" s="89" t="s">
        <v>22</v>
      </c>
      <c r="G379" s="67">
        <v>487</v>
      </c>
      <c r="H379" s="89" t="s">
        <v>22</v>
      </c>
      <c r="I379" s="89" t="s">
        <v>22</v>
      </c>
      <c r="J379" s="89" t="s">
        <v>22</v>
      </c>
      <c r="K379" s="88"/>
      <c r="L379" s="88">
        <f t="shared" si="21"/>
        <v>93333</v>
      </c>
      <c r="M379" s="88">
        <v>72597</v>
      </c>
      <c r="N379" s="88">
        <v>13250</v>
      </c>
      <c r="O379" s="88">
        <v>700</v>
      </c>
      <c r="P379" s="89" t="s">
        <v>22</v>
      </c>
      <c r="Q379" s="67">
        <v>6786</v>
      </c>
      <c r="R379" s="89" t="s">
        <v>22</v>
      </c>
      <c r="S379" s="89" t="s">
        <v>22</v>
      </c>
      <c r="T379" s="89" t="s">
        <v>22</v>
      </c>
    </row>
    <row r="380" spans="1:20" s="68" customFormat="1" ht="9" customHeight="1" x14ac:dyDescent="0.15">
      <c r="A380" s="66" t="s">
        <v>43</v>
      </c>
      <c r="B380" s="88">
        <f t="shared" si="20"/>
        <v>840</v>
      </c>
      <c r="C380" s="88">
        <v>449</v>
      </c>
      <c r="D380" s="88">
        <v>187</v>
      </c>
      <c r="E380" s="88">
        <v>128</v>
      </c>
      <c r="F380" s="89" t="s">
        <v>22</v>
      </c>
      <c r="G380" s="67">
        <v>76</v>
      </c>
      <c r="H380" s="89" t="s">
        <v>22</v>
      </c>
      <c r="I380" s="89" t="s">
        <v>22</v>
      </c>
      <c r="J380" s="89" t="s">
        <v>22</v>
      </c>
      <c r="K380" s="88"/>
      <c r="L380" s="88">
        <f t="shared" si="21"/>
        <v>14078</v>
      </c>
      <c r="M380" s="88">
        <v>11590</v>
      </c>
      <c r="N380" s="88">
        <v>638</v>
      </c>
      <c r="O380" s="88">
        <v>60</v>
      </c>
      <c r="P380" s="89" t="s">
        <v>22</v>
      </c>
      <c r="Q380" s="67">
        <v>1790</v>
      </c>
      <c r="R380" s="89" t="s">
        <v>22</v>
      </c>
      <c r="S380" s="89" t="s">
        <v>22</v>
      </c>
      <c r="T380" s="89" t="s">
        <v>22</v>
      </c>
    </row>
    <row r="381" spans="1:20" s="68" customFormat="1" ht="9" customHeight="1" x14ac:dyDescent="0.15">
      <c r="A381" s="66" t="s">
        <v>44</v>
      </c>
      <c r="B381" s="88">
        <f t="shared" si="20"/>
        <v>6009</v>
      </c>
      <c r="C381" s="88">
        <v>2690</v>
      </c>
      <c r="D381" s="88">
        <v>2470</v>
      </c>
      <c r="E381" s="88">
        <v>368</v>
      </c>
      <c r="F381" s="89" t="s">
        <v>22</v>
      </c>
      <c r="G381" s="67">
        <v>481</v>
      </c>
      <c r="H381" s="89" t="s">
        <v>22</v>
      </c>
      <c r="I381" s="89" t="s">
        <v>22</v>
      </c>
      <c r="J381" s="89" t="s">
        <v>22</v>
      </c>
      <c r="K381" s="88"/>
      <c r="L381" s="88">
        <f t="shared" si="21"/>
        <v>81753</v>
      </c>
      <c r="M381" s="88">
        <v>53617</v>
      </c>
      <c r="N381" s="88">
        <v>9248</v>
      </c>
      <c r="O381" s="88">
        <v>743</v>
      </c>
      <c r="P381" s="89" t="s">
        <v>22</v>
      </c>
      <c r="Q381" s="67">
        <v>18145</v>
      </c>
      <c r="R381" s="89" t="s">
        <v>22</v>
      </c>
      <c r="S381" s="89" t="s">
        <v>22</v>
      </c>
      <c r="T381" s="89" t="s">
        <v>22</v>
      </c>
    </row>
    <row r="382" spans="1:20" s="68" customFormat="1" ht="9" customHeight="1" x14ac:dyDescent="0.15">
      <c r="A382" s="69" t="s">
        <v>45</v>
      </c>
      <c r="B382" s="90">
        <f t="shared" si="20"/>
        <v>2526</v>
      </c>
      <c r="C382" s="90">
        <v>612</v>
      </c>
      <c r="D382" s="90">
        <v>890</v>
      </c>
      <c r="E382" s="90">
        <v>704</v>
      </c>
      <c r="F382" s="91" t="s">
        <v>22</v>
      </c>
      <c r="G382" s="70">
        <v>320</v>
      </c>
      <c r="H382" s="91" t="s">
        <v>22</v>
      </c>
      <c r="I382" s="91" t="s">
        <v>22</v>
      </c>
      <c r="J382" s="91" t="s">
        <v>22</v>
      </c>
      <c r="K382" s="90"/>
      <c r="L382" s="90">
        <f t="shared" si="21"/>
        <v>54657</v>
      </c>
      <c r="M382" s="90">
        <v>23914</v>
      </c>
      <c r="N382" s="90">
        <v>1596</v>
      </c>
      <c r="O382" s="90">
        <v>293</v>
      </c>
      <c r="P382" s="91" t="s">
        <v>22</v>
      </c>
      <c r="Q382" s="70">
        <v>28854</v>
      </c>
      <c r="R382" s="91" t="s">
        <v>22</v>
      </c>
      <c r="S382" s="91" t="s">
        <v>22</v>
      </c>
      <c r="T382" s="91" t="s">
        <v>22</v>
      </c>
    </row>
    <row r="383" spans="1:20" s="68" customFormat="1" ht="9" customHeight="1" x14ac:dyDescent="0.15">
      <c r="A383" s="66" t="s">
        <v>46</v>
      </c>
      <c r="B383" s="88">
        <f t="shared" si="20"/>
        <v>15750</v>
      </c>
      <c r="C383" s="88">
        <v>4150</v>
      </c>
      <c r="D383" s="88">
        <v>5976</v>
      </c>
      <c r="E383" s="88">
        <v>3020</v>
      </c>
      <c r="F383" s="89" t="s">
        <v>22</v>
      </c>
      <c r="G383" s="67">
        <v>2604</v>
      </c>
      <c r="H383" s="89" t="s">
        <v>22</v>
      </c>
      <c r="I383" s="89" t="s">
        <v>22</v>
      </c>
      <c r="J383" s="89" t="s">
        <v>22</v>
      </c>
      <c r="K383" s="88"/>
      <c r="L383" s="88">
        <f t="shared" si="21"/>
        <v>212632</v>
      </c>
      <c r="M383" s="88">
        <v>111733</v>
      </c>
      <c r="N383" s="88">
        <v>17848</v>
      </c>
      <c r="O383" s="88">
        <v>871</v>
      </c>
      <c r="P383" s="89" t="s">
        <v>22</v>
      </c>
      <c r="Q383" s="67">
        <v>82180</v>
      </c>
      <c r="R383" s="89" t="s">
        <v>22</v>
      </c>
      <c r="S383" s="89" t="s">
        <v>22</v>
      </c>
      <c r="T383" s="89" t="s">
        <v>22</v>
      </c>
    </row>
    <row r="384" spans="1:20" s="68" customFormat="1" ht="9" customHeight="1" x14ac:dyDescent="0.15">
      <c r="A384" s="66" t="s">
        <v>47</v>
      </c>
      <c r="B384" s="88">
        <f t="shared" si="20"/>
        <v>1681</v>
      </c>
      <c r="C384" s="88">
        <v>1076</v>
      </c>
      <c r="D384" s="88">
        <v>306</v>
      </c>
      <c r="E384" s="88">
        <v>221</v>
      </c>
      <c r="F384" s="89" t="s">
        <v>22</v>
      </c>
      <c r="G384" s="67">
        <v>78</v>
      </c>
      <c r="H384" s="89" t="s">
        <v>22</v>
      </c>
      <c r="I384" s="89" t="s">
        <v>22</v>
      </c>
      <c r="J384" s="89" t="s">
        <v>22</v>
      </c>
      <c r="K384" s="88"/>
      <c r="L384" s="88">
        <f t="shared" si="21"/>
        <v>25536</v>
      </c>
      <c r="M384" s="88">
        <v>23539</v>
      </c>
      <c r="N384" s="88">
        <v>768</v>
      </c>
      <c r="O384" s="88">
        <v>26</v>
      </c>
      <c r="P384" s="89" t="s">
        <v>22</v>
      </c>
      <c r="Q384" s="67">
        <v>1203</v>
      </c>
      <c r="R384" s="89" t="s">
        <v>22</v>
      </c>
      <c r="S384" s="89" t="s">
        <v>22</v>
      </c>
      <c r="T384" s="89" t="s">
        <v>22</v>
      </c>
    </row>
    <row r="385" spans="1:20" s="68" customFormat="1" ht="9" customHeight="1" x14ac:dyDescent="0.15">
      <c r="A385" s="66" t="s">
        <v>48</v>
      </c>
      <c r="B385" s="88">
        <f t="shared" si="20"/>
        <v>3362</v>
      </c>
      <c r="C385" s="88">
        <v>1830</v>
      </c>
      <c r="D385" s="88">
        <v>953</v>
      </c>
      <c r="E385" s="88">
        <v>351</v>
      </c>
      <c r="F385" s="89" t="s">
        <v>22</v>
      </c>
      <c r="G385" s="67">
        <v>228</v>
      </c>
      <c r="H385" s="89" t="s">
        <v>22</v>
      </c>
      <c r="I385" s="89" t="s">
        <v>22</v>
      </c>
      <c r="J385" s="89" t="s">
        <v>22</v>
      </c>
      <c r="K385" s="88"/>
      <c r="L385" s="88">
        <f t="shared" si="21"/>
        <v>67194</v>
      </c>
      <c r="M385" s="88">
        <v>57015</v>
      </c>
      <c r="N385" s="88">
        <v>7322</v>
      </c>
      <c r="O385" s="88">
        <v>655</v>
      </c>
      <c r="P385" s="89" t="s">
        <v>22</v>
      </c>
      <c r="Q385" s="67">
        <v>2202</v>
      </c>
      <c r="R385" s="89" t="s">
        <v>22</v>
      </c>
      <c r="S385" s="89" t="s">
        <v>22</v>
      </c>
      <c r="T385" s="89" t="s">
        <v>22</v>
      </c>
    </row>
    <row r="386" spans="1:20" s="68" customFormat="1" ht="9" customHeight="1" x14ac:dyDescent="0.15">
      <c r="A386" s="69" t="s">
        <v>49</v>
      </c>
      <c r="B386" s="90">
        <f t="shared" si="20"/>
        <v>6781</v>
      </c>
      <c r="C386" s="90">
        <v>1686</v>
      </c>
      <c r="D386" s="90">
        <v>2725</v>
      </c>
      <c r="E386" s="90">
        <v>1448</v>
      </c>
      <c r="F386" s="91" t="s">
        <v>22</v>
      </c>
      <c r="G386" s="70">
        <v>922</v>
      </c>
      <c r="H386" s="91" t="s">
        <v>22</v>
      </c>
      <c r="I386" s="91" t="s">
        <v>22</v>
      </c>
      <c r="J386" s="91" t="s">
        <v>22</v>
      </c>
      <c r="K386" s="90"/>
      <c r="L386" s="90">
        <f t="shared" si="21"/>
        <v>62125</v>
      </c>
      <c r="M386" s="90">
        <v>37273</v>
      </c>
      <c r="N386" s="90">
        <v>8118</v>
      </c>
      <c r="O386" s="90">
        <v>294</v>
      </c>
      <c r="P386" s="91" t="s">
        <v>22</v>
      </c>
      <c r="Q386" s="70">
        <v>16440</v>
      </c>
      <c r="R386" s="91" t="s">
        <v>22</v>
      </c>
      <c r="S386" s="91" t="s">
        <v>22</v>
      </c>
      <c r="T386" s="91" t="s">
        <v>22</v>
      </c>
    </row>
    <row r="387" spans="1:20" s="68" customFormat="1" ht="9" customHeight="1" x14ac:dyDescent="0.15">
      <c r="A387" s="71" t="s">
        <v>50</v>
      </c>
      <c r="B387" s="92">
        <f t="shared" si="20"/>
        <v>2762</v>
      </c>
      <c r="C387" s="92">
        <v>1658</v>
      </c>
      <c r="D387" s="92">
        <v>1076</v>
      </c>
      <c r="E387" s="92">
        <v>10</v>
      </c>
      <c r="F387" s="89" t="s">
        <v>22</v>
      </c>
      <c r="G387" s="67">
        <v>18</v>
      </c>
      <c r="H387" s="89" t="s">
        <v>22</v>
      </c>
      <c r="I387" s="89" t="s">
        <v>22</v>
      </c>
      <c r="J387" s="89" t="s">
        <v>22</v>
      </c>
      <c r="K387" s="92"/>
      <c r="L387" s="92">
        <f t="shared" si="21"/>
        <v>56011</v>
      </c>
      <c r="M387" s="92">
        <v>49223</v>
      </c>
      <c r="N387" s="92">
        <v>6376</v>
      </c>
      <c r="O387" s="92">
        <v>36</v>
      </c>
      <c r="P387" s="89" t="s">
        <v>22</v>
      </c>
      <c r="Q387" s="67">
        <v>376</v>
      </c>
      <c r="R387" s="89" t="s">
        <v>22</v>
      </c>
      <c r="S387" s="89" t="s">
        <v>22</v>
      </c>
      <c r="T387" s="89" t="s">
        <v>22</v>
      </c>
    </row>
    <row r="388" spans="1:20" s="68" customFormat="1" ht="9" customHeight="1" x14ac:dyDescent="0.15">
      <c r="A388" s="66" t="s">
        <v>51</v>
      </c>
      <c r="B388" s="92">
        <f t="shared" si="20"/>
        <v>6277</v>
      </c>
      <c r="C388" s="88">
        <v>2163</v>
      </c>
      <c r="D388" s="88">
        <v>2751</v>
      </c>
      <c r="E388" s="88">
        <v>636</v>
      </c>
      <c r="F388" s="89" t="s">
        <v>22</v>
      </c>
      <c r="G388" s="67">
        <v>727</v>
      </c>
      <c r="H388" s="89" t="s">
        <v>22</v>
      </c>
      <c r="I388" s="89" t="s">
        <v>22</v>
      </c>
      <c r="J388" s="89" t="s">
        <v>22</v>
      </c>
      <c r="K388" s="88"/>
      <c r="L388" s="88">
        <f t="shared" si="21"/>
        <v>60466</v>
      </c>
      <c r="M388" s="88">
        <v>42966</v>
      </c>
      <c r="N388" s="88">
        <v>7858</v>
      </c>
      <c r="O388" s="88">
        <v>625</v>
      </c>
      <c r="P388" s="89" t="s">
        <v>22</v>
      </c>
      <c r="Q388" s="67">
        <v>9017</v>
      </c>
      <c r="R388" s="89" t="s">
        <v>22</v>
      </c>
      <c r="S388" s="89" t="s">
        <v>22</v>
      </c>
      <c r="T388" s="89" t="s">
        <v>22</v>
      </c>
    </row>
    <row r="389" spans="1:20" s="68" customFormat="1" ht="9" customHeight="1" x14ac:dyDescent="0.15">
      <c r="A389" s="66" t="s">
        <v>52</v>
      </c>
      <c r="B389" s="92">
        <f t="shared" si="20"/>
        <v>2785</v>
      </c>
      <c r="C389" s="88">
        <v>1013</v>
      </c>
      <c r="D389" s="88">
        <v>1121</v>
      </c>
      <c r="E389" s="88">
        <v>476</v>
      </c>
      <c r="F389" s="89" t="s">
        <v>22</v>
      </c>
      <c r="G389" s="67">
        <v>175</v>
      </c>
      <c r="H389" s="89" t="s">
        <v>22</v>
      </c>
      <c r="I389" s="89" t="s">
        <v>22</v>
      </c>
      <c r="J389" s="89" t="s">
        <v>22</v>
      </c>
      <c r="K389" s="88"/>
      <c r="L389" s="88">
        <f t="shared" si="21"/>
        <v>27646</v>
      </c>
      <c r="M389" s="88">
        <v>23499</v>
      </c>
      <c r="N389" s="88">
        <v>1783</v>
      </c>
      <c r="O389" s="88">
        <v>413</v>
      </c>
      <c r="P389" s="89" t="s">
        <v>22</v>
      </c>
      <c r="Q389" s="67">
        <v>1951</v>
      </c>
      <c r="R389" s="89" t="s">
        <v>22</v>
      </c>
      <c r="S389" s="89" t="s">
        <v>22</v>
      </c>
      <c r="T389" s="89" t="s">
        <v>22</v>
      </c>
    </row>
    <row r="390" spans="1:20" s="68" customFormat="1" ht="9" customHeight="1" x14ac:dyDescent="0.15">
      <c r="A390" s="69" t="s">
        <v>53</v>
      </c>
      <c r="B390" s="90">
        <f t="shared" si="20"/>
        <v>8423</v>
      </c>
      <c r="C390" s="90">
        <v>3163</v>
      </c>
      <c r="D390" s="90">
        <v>3472</v>
      </c>
      <c r="E390" s="90">
        <v>823</v>
      </c>
      <c r="F390" s="91" t="s">
        <v>22</v>
      </c>
      <c r="G390" s="70">
        <v>965</v>
      </c>
      <c r="H390" s="91" t="s">
        <v>22</v>
      </c>
      <c r="I390" s="91" t="s">
        <v>22</v>
      </c>
      <c r="J390" s="91" t="s">
        <v>22</v>
      </c>
      <c r="K390" s="90"/>
      <c r="L390" s="90">
        <f t="shared" si="21"/>
        <v>68329</v>
      </c>
      <c r="M390" s="90">
        <v>42558</v>
      </c>
      <c r="N390" s="90">
        <v>9270</v>
      </c>
      <c r="O390" s="90">
        <v>569</v>
      </c>
      <c r="P390" s="91" t="s">
        <v>22</v>
      </c>
      <c r="Q390" s="70">
        <v>15932</v>
      </c>
      <c r="R390" s="91" t="s">
        <v>22</v>
      </c>
      <c r="S390" s="91" t="s">
        <v>22</v>
      </c>
      <c r="T390" s="91" t="s">
        <v>22</v>
      </c>
    </row>
    <row r="391" spans="1:20" s="65" customFormat="1" ht="9" customHeight="1" x14ac:dyDescent="0.15">
      <c r="A391" s="71"/>
      <c r="B391" s="92"/>
      <c r="C391" s="92"/>
      <c r="D391" s="92"/>
      <c r="E391" s="92"/>
      <c r="F391" s="92"/>
      <c r="G391" s="67"/>
      <c r="H391" s="67"/>
      <c r="I391" s="67"/>
      <c r="J391" s="67"/>
      <c r="K391" s="92"/>
      <c r="L391" s="92"/>
      <c r="M391" s="92"/>
      <c r="N391" s="92"/>
      <c r="O391" s="92"/>
      <c r="P391" s="92"/>
      <c r="Q391" s="67"/>
      <c r="R391" s="67"/>
      <c r="S391" s="67"/>
      <c r="T391" s="67"/>
    </row>
    <row r="392" spans="1:20" s="65" customFormat="1" ht="9" customHeight="1" x14ac:dyDescent="0.25">
      <c r="A392" s="96">
        <v>2010</v>
      </c>
      <c r="B392" s="97"/>
      <c r="C392" s="98"/>
      <c r="D392" s="97"/>
      <c r="E392" s="97"/>
      <c r="F392" s="97"/>
      <c r="G392" s="64"/>
      <c r="H392" s="64"/>
      <c r="I392" s="64"/>
      <c r="J392" s="64"/>
      <c r="K392" s="97"/>
      <c r="L392" s="97"/>
      <c r="M392" s="97"/>
      <c r="N392" s="97"/>
      <c r="O392" s="97"/>
      <c r="P392" s="97"/>
      <c r="Q392" s="64"/>
      <c r="R392" s="64"/>
      <c r="S392" s="64"/>
      <c r="T392" s="64"/>
    </row>
    <row r="393" spans="1:20" s="65" customFormat="1" ht="9" customHeight="1" x14ac:dyDescent="0.25">
      <c r="A393" s="99" t="s">
        <v>21</v>
      </c>
      <c r="B393" s="64">
        <f t="shared" ref="B393:H393" si="22">SUM(B395:B426)</f>
        <v>218645</v>
      </c>
      <c r="C393" s="64">
        <f t="shared" si="22"/>
        <v>91341</v>
      </c>
      <c r="D393" s="64">
        <f t="shared" si="22"/>
        <v>72783</v>
      </c>
      <c r="E393" s="64">
        <f t="shared" si="22"/>
        <v>30723</v>
      </c>
      <c r="F393" s="64" t="s">
        <v>22</v>
      </c>
      <c r="G393" s="64">
        <f t="shared" si="22"/>
        <v>22356</v>
      </c>
      <c r="H393" s="64">
        <f t="shared" si="22"/>
        <v>1442</v>
      </c>
      <c r="I393" s="64" t="s">
        <v>22</v>
      </c>
      <c r="J393" s="64" t="s">
        <v>22</v>
      </c>
      <c r="K393" s="64"/>
      <c r="L393" s="64">
        <f t="shared" ref="L393:R393" si="23">SUM(L395:L426)</f>
        <v>4099915</v>
      </c>
      <c r="M393" s="64">
        <f t="shared" si="23"/>
        <v>3009122</v>
      </c>
      <c r="N393" s="64">
        <f t="shared" si="23"/>
        <v>274963</v>
      </c>
      <c r="O393" s="64">
        <f t="shared" si="23"/>
        <v>19277</v>
      </c>
      <c r="P393" s="64" t="s">
        <v>22</v>
      </c>
      <c r="Q393" s="64">
        <f t="shared" si="23"/>
        <v>792045</v>
      </c>
      <c r="R393" s="64">
        <f t="shared" si="23"/>
        <v>4508</v>
      </c>
      <c r="S393" s="64" t="s">
        <v>22</v>
      </c>
      <c r="T393" s="64" t="s">
        <v>22</v>
      </c>
    </row>
    <row r="394" spans="1:20" s="65" customFormat="1" ht="3.95" customHeight="1" x14ac:dyDescent="0.25">
      <c r="A394" s="99"/>
      <c r="B394" s="64"/>
      <c r="C394" s="64"/>
      <c r="D394" s="64"/>
      <c r="E394" s="64"/>
      <c r="F394" s="64"/>
      <c r="G394" s="64"/>
      <c r="H394" s="64"/>
      <c r="I394" s="64"/>
      <c r="J394" s="64"/>
      <c r="K394" s="64"/>
      <c r="L394" s="64"/>
      <c r="M394" s="64"/>
      <c r="N394" s="64"/>
      <c r="O394" s="64"/>
      <c r="P394" s="64"/>
      <c r="Q394" s="64"/>
      <c r="R394" s="64"/>
      <c r="S394" s="64"/>
      <c r="T394" s="64"/>
    </row>
    <row r="395" spans="1:20" s="68" customFormat="1" ht="9" customHeight="1" x14ac:dyDescent="0.15">
      <c r="A395" s="66" t="s">
        <v>23</v>
      </c>
      <c r="B395" s="88">
        <f>SUM(C395:H395)</f>
        <v>2836</v>
      </c>
      <c r="C395" s="88">
        <v>843</v>
      </c>
      <c r="D395" s="88">
        <v>1268</v>
      </c>
      <c r="E395" s="88">
        <v>663</v>
      </c>
      <c r="F395" s="89" t="s">
        <v>22</v>
      </c>
      <c r="G395" s="67">
        <v>62</v>
      </c>
      <c r="H395" s="67">
        <v>0</v>
      </c>
      <c r="I395" s="89" t="s">
        <v>22</v>
      </c>
      <c r="J395" s="89" t="s">
        <v>22</v>
      </c>
      <c r="K395" s="88"/>
      <c r="L395" s="88">
        <f>SUM(M395:R395)</f>
        <v>40808</v>
      </c>
      <c r="M395" s="88">
        <v>25406</v>
      </c>
      <c r="N395" s="88">
        <v>6040</v>
      </c>
      <c r="O395" s="88">
        <v>1070</v>
      </c>
      <c r="P395" s="89" t="s">
        <v>22</v>
      </c>
      <c r="Q395" s="67">
        <v>8292</v>
      </c>
      <c r="R395" s="67">
        <v>0</v>
      </c>
      <c r="S395" s="89" t="s">
        <v>22</v>
      </c>
      <c r="T395" s="89" t="s">
        <v>22</v>
      </c>
    </row>
    <row r="396" spans="1:20" s="68" customFormat="1" ht="9" customHeight="1" x14ac:dyDescent="0.15">
      <c r="A396" s="66" t="s">
        <v>24</v>
      </c>
      <c r="B396" s="88">
        <f t="shared" ref="B396:B426" si="24">SUM(C396:H396)</f>
        <v>5061</v>
      </c>
      <c r="C396" s="88">
        <v>2363</v>
      </c>
      <c r="D396" s="88">
        <v>1481</v>
      </c>
      <c r="E396" s="88">
        <v>678</v>
      </c>
      <c r="F396" s="89" t="s">
        <v>22</v>
      </c>
      <c r="G396" s="67">
        <v>333</v>
      </c>
      <c r="H396" s="67">
        <v>206</v>
      </c>
      <c r="I396" s="89" t="s">
        <v>22</v>
      </c>
      <c r="J396" s="89" t="s">
        <v>22</v>
      </c>
      <c r="K396" s="88"/>
      <c r="L396" s="88">
        <f t="shared" ref="L396:L426" si="25">SUM(M396:R396)</f>
        <v>102666</v>
      </c>
      <c r="M396" s="88">
        <v>89728</v>
      </c>
      <c r="N396" s="88">
        <v>4383</v>
      </c>
      <c r="O396" s="88">
        <v>303</v>
      </c>
      <c r="P396" s="89" t="s">
        <v>22</v>
      </c>
      <c r="Q396" s="67">
        <v>8033</v>
      </c>
      <c r="R396" s="67">
        <v>219</v>
      </c>
      <c r="S396" s="89" t="s">
        <v>22</v>
      </c>
      <c r="T396" s="89" t="s">
        <v>22</v>
      </c>
    </row>
    <row r="397" spans="1:20" s="68" customFormat="1" ht="9" customHeight="1" x14ac:dyDescent="0.15">
      <c r="A397" s="66" t="s">
        <v>25</v>
      </c>
      <c r="B397" s="88">
        <f t="shared" si="24"/>
        <v>4665</v>
      </c>
      <c r="C397" s="88">
        <v>2024</v>
      </c>
      <c r="D397" s="88">
        <v>1462</v>
      </c>
      <c r="E397" s="88">
        <v>658</v>
      </c>
      <c r="F397" s="89" t="s">
        <v>22</v>
      </c>
      <c r="G397" s="67">
        <v>476</v>
      </c>
      <c r="H397" s="67">
        <v>45</v>
      </c>
      <c r="I397" s="89" t="s">
        <v>22</v>
      </c>
      <c r="J397" s="89" t="s">
        <v>22</v>
      </c>
      <c r="K397" s="88"/>
      <c r="L397" s="88">
        <f t="shared" si="25"/>
        <v>85547</v>
      </c>
      <c r="M397" s="88">
        <v>59724</v>
      </c>
      <c r="N397" s="88">
        <v>7493</v>
      </c>
      <c r="O397" s="88">
        <v>246</v>
      </c>
      <c r="P397" s="89" t="s">
        <v>22</v>
      </c>
      <c r="Q397" s="67">
        <v>17852</v>
      </c>
      <c r="R397" s="67">
        <v>232</v>
      </c>
      <c r="S397" s="89" t="s">
        <v>22</v>
      </c>
      <c r="T397" s="89" t="s">
        <v>22</v>
      </c>
    </row>
    <row r="398" spans="1:20" s="68" customFormat="1" ht="9" customHeight="1" x14ac:dyDescent="0.15">
      <c r="A398" s="69" t="s">
        <v>26</v>
      </c>
      <c r="B398" s="90">
        <f t="shared" si="24"/>
        <v>3185</v>
      </c>
      <c r="C398" s="90">
        <v>620</v>
      </c>
      <c r="D398" s="90">
        <v>2131</v>
      </c>
      <c r="E398" s="90">
        <v>256</v>
      </c>
      <c r="F398" s="91" t="s">
        <v>22</v>
      </c>
      <c r="G398" s="70">
        <v>178</v>
      </c>
      <c r="H398" s="70">
        <v>0</v>
      </c>
      <c r="I398" s="91" t="s">
        <v>22</v>
      </c>
      <c r="J398" s="91" t="s">
        <v>22</v>
      </c>
      <c r="K398" s="90"/>
      <c r="L398" s="90">
        <f t="shared" si="25"/>
        <v>32470</v>
      </c>
      <c r="M398" s="90">
        <v>14583</v>
      </c>
      <c r="N398" s="90">
        <v>8541</v>
      </c>
      <c r="O398" s="90">
        <v>104</v>
      </c>
      <c r="P398" s="91" t="s">
        <v>22</v>
      </c>
      <c r="Q398" s="70">
        <v>9242</v>
      </c>
      <c r="R398" s="70">
        <v>0</v>
      </c>
      <c r="S398" s="91" t="s">
        <v>22</v>
      </c>
      <c r="T398" s="91" t="s">
        <v>22</v>
      </c>
    </row>
    <row r="399" spans="1:20" s="68" customFormat="1" ht="9" customHeight="1" x14ac:dyDescent="0.15">
      <c r="A399" s="66" t="s">
        <v>27</v>
      </c>
      <c r="B399" s="88">
        <f t="shared" si="24"/>
        <v>4506</v>
      </c>
      <c r="C399" s="88">
        <v>2440</v>
      </c>
      <c r="D399" s="88">
        <v>1005</v>
      </c>
      <c r="E399" s="88">
        <v>951</v>
      </c>
      <c r="F399" s="89" t="s">
        <v>22</v>
      </c>
      <c r="G399" s="67">
        <v>103</v>
      </c>
      <c r="H399" s="67">
        <v>7</v>
      </c>
      <c r="I399" s="89" t="s">
        <v>22</v>
      </c>
      <c r="J399" s="89" t="s">
        <v>22</v>
      </c>
      <c r="K399" s="88"/>
      <c r="L399" s="88">
        <f t="shared" si="25"/>
        <v>93491</v>
      </c>
      <c r="M399" s="88">
        <v>72730</v>
      </c>
      <c r="N399" s="88">
        <v>5324</v>
      </c>
      <c r="O399" s="88">
        <v>1111</v>
      </c>
      <c r="P399" s="89" t="s">
        <v>22</v>
      </c>
      <c r="Q399" s="67">
        <v>14283</v>
      </c>
      <c r="R399" s="67">
        <v>43</v>
      </c>
      <c r="S399" s="89" t="s">
        <v>22</v>
      </c>
      <c r="T399" s="89" t="s">
        <v>22</v>
      </c>
    </row>
    <row r="400" spans="1:20" s="68" customFormat="1" ht="9" customHeight="1" x14ac:dyDescent="0.15">
      <c r="A400" s="66" t="s">
        <v>28</v>
      </c>
      <c r="B400" s="88">
        <f t="shared" si="24"/>
        <v>7561</v>
      </c>
      <c r="C400" s="88">
        <v>2781</v>
      </c>
      <c r="D400" s="88">
        <v>1859</v>
      </c>
      <c r="E400" s="88">
        <v>718</v>
      </c>
      <c r="F400" s="89" t="s">
        <v>22</v>
      </c>
      <c r="G400" s="67">
        <v>2176</v>
      </c>
      <c r="H400" s="67">
        <v>27</v>
      </c>
      <c r="I400" s="89" t="s">
        <v>22</v>
      </c>
      <c r="J400" s="89" t="s">
        <v>22</v>
      </c>
      <c r="K400" s="88"/>
      <c r="L400" s="88">
        <f t="shared" si="25"/>
        <v>89199</v>
      </c>
      <c r="M400" s="88">
        <v>55810</v>
      </c>
      <c r="N400" s="88">
        <v>4560</v>
      </c>
      <c r="O400" s="88">
        <v>140</v>
      </c>
      <c r="P400" s="89" t="s">
        <v>22</v>
      </c>
      <c r="Q400" s="67">
        <v>28598</v>
      </c>
      <c r="R400" s="67">
        <v>91</v>
      </c>
      <c r="S400" s="89" t="s">
        <v>22</v>
      </c>
      <c r="T400" s="89" t="s">
        <v>22</v>
      </c>
    </row>
    <row r="401" spans="1:20" s="68" customFormat="1" ht="9" customHeight="1" x14ac:dyDescent="0.15">
      <c r="A401" s="66" t="s">
        <v>29</v>
      </c>
      <c r="B401" s="88">
        <f t="shared" si="24"/>
        <v>3397</v>
      </c>
      <c r="C401" s="88">
        <v>1646</v>
      </c>
      <c r="D401" s="88">
        <v>1311</v>
      </c>
      <c r="E401" s="88">
        <v>248</v>
      </c>
      <c r="F401" s="89" t="s">
        <v>22</v>
      </c>
      <c r="G401" s="67">
        <v>192</v>
      </c>
      <c r="H401" s="67">
        <v>0</v>
      </c>
      <c r="I401" s="89" t="s">
        <v>22</v>
      </c>
      <c r="J401" s="89" t="s">
        <v>22</v>
      </c>
      <c r="K401" s="88"/>
      <c r="L401" s="88">
        <f t="shared" si="25"/>
        <v>60614</v>
      </c>
      <c r="M401" s="88">
        <v>46225</v>
      </c>
      <c r="N401" s="88">
        <v>4883</v>
      </c>
      <c r="O401" s="88">
        <v>179</v>
      </c>
      <c r="P401" s="89" t="s">
        <v>22</v>
      </c>
      <c r="Q401" s="67">
        <v>9327</v>
      </c>
      <c r="R401" s="67">
        <v>0</v>
      </c>
      <c r="S401" s="89" t="s">
        <v>22</v>
      </c>
      <c r="T401" s="89" t="s">
        <v>22</v>
      </c>
    </row>
    <row r="402" spans="1:20" s="68" customFormat="1" ht="9" customHeight="1" x14ac:dyDescent="0.15">
      <c r="A402" s="69" t="s">
        <v>30</v>
      </c>
      <c r="B402" s="90">
        <f t="shared" si="24"/>
        <v>4559</v>
      </c>
      <c r="C402" s="90">
        <v>2073</v>
      </c>
      <c r="D402" s="90">
        <v>1463</v>
      </c>
      <c r="E402" s="90">
        <v>875</v>
      </c>
      <c r="F402" s="91" t="s">
        <v>22</v>
      </c>
      <c r="G402" s="70">
        <v>138</v>
      </c>
      <c r="H402" s="70">
        <v>10</v>
      </c>
      <c r="I402" s="91" t="s">
        <v>22</v>
      </c>
      <c r="J402" s="91" t="s">
        <v>22</v>
      </c>
      <c r="K402" s="90"/>
      <c r="L402" s="90">
        <f t="shared" si="25"/>
        <v>122030</v>
      </c>
      <c r="M402" s="90">
        <v>74311</v>
      </c>
      <c r="N402" s="90">
        <v>3449</v>
      </c>
      <c r="O402" s="90">
        <v>345</v>
      </c>
      <c r="P402" s="91" t="s">
        <v>22</v>
      </c>
      <c r="Q402" s="70">
        <v>43915</v>
      </c>
      <c r="R402" s="70">
        <v>10</v>
      </c>
      <c r="S402" s="91" t="s">
        <v>22</v>
      </c>
      <c r="T402" s="91" t="s">
        <v>22</v>
      </c>
    </row>
    <row r="403" spans="1:20" s="68" customFormat="1" ht="9" customHeight="1" x14ac:dyDescent="0.15">
      <c r="A403" s="66" t="s">
        <v>63</v>
      </c>
      <c r="B403" s="88">
        <f t="shared" si="24"/>
        <v>32691</v>
      </c>
      <c r="C403" s="88">
        <v>15040</v>
      </c>
      <c r="D403" s="88">
        <v>9677</v>
      </c>
      <c r="E403" s="88">
        <v>3756</v>
      </c>
      <c r="F403" s="89" t="s">
        <v>22</v>
      </c>
      <c r="G403" s="67">
        <v>3935</v>
      </c>
      <c r="H403" s="67">
        <v>283</v>
      </c>
      <c r="I403" s="89" t="s">
        <v>22</v>
      </c>
      <c r="J403" s="89" t="s">
        <v>22</v>
      </c>
      <c r="K403" s="88"/>
      <c r="L403" s="88">
        <f t="shared" si="25"/>
        <v>915767</v>
      </c>
      <c r="M403" s="88">
        <v>730016</v>
      </c>
      <c r="N403" s="88">
        <v>34158</v>
      </c>
      <c r="O403" s="88">
        <v>2170</v>
      </c>
      <c r="P403" s="89" t="s">
        <v>22</v>
      </c>
      <c r="Q403" s="67">
        <v>148161</v>
      </c>
      <c r="R403" s="67">
        <v>1262</v>
      </c>
      <c r="S403" s="89" t="s">
        <v>22</v>
      </c>
      <c r="T403" s="89" t="s">
        <v>22</v>
      </c>
    </row>
    <row r="404" spans="1:20" s="68" customFormat="1" ht="9" customHeight="1" x14ac:dyDescent="0.15">
      <c r="A404" s="66" t="s">
        <v>31</v>
      </c>
      <c r="B404" s="88">
        <f t="shared" si="24"/>
        <v>4593</v>
      </c>
      <c r="C404" s="88">
        <v>2508</v>
      </c>
      <c r="D404" s="88">
        <v>984</v>
      </c>
      <c r="E404" s="88">
        <v>902</v>
      </c>
      <c r="F404" s="89" t="s">
        <v>22</v>
      </c>
      <c r="G404" s="67">
        <v>189</v>
      </c>
      <c r="H404" s="67">
        <v>10</v>
      </c>
      <c r="I404" s="89" t="s">
        <v>22</v>
      </c>
      <c r="J404" s="89" t="s">
        <v>22</v>
      </c>
      <c r="K404" s="88"/>
      <c r="L404" s="88">
        <f t="shared" si="25"/>
        <v>103961</v>
      </c>
      <c r="M404" s="88">
        <v>69685</v>
      </c>
      <c r="N404" s="88">
        <v>2657</v>
      </c>
      <c r="O404" s="88">
        <v>488</v>
      </c>
      <c r="P404" s="89" t="s">
        <v>22</v>
      </c>
      <c r="Q404" s="67">
        <v>30903</v>
      </c>
      <c r="R404" s="67">
        <v>228</v>
      </c>
      <c r="S404" s="89" t="s">
        <v>22</v>
      </c>
      <c r="T404" s="89" t="s">
        <v>22</v>
      </c>
    </row>
    <row r="405" spans="1:20" s="68" customFormat="1" ht="9" customHeight="1" x14ac:dyDescent="0.15">
      <c r="A405" s="66" t="s">
        <v>32</v>
      </c>
      <c r="B405" s="88">
        <f t="shared" si="24"/>
        <v>6840</v>
      </c>
      <c r="C405" s="88">
        <v>1803</v>
      </c>
      <c r="D405" s="88">
        <v>1033</v>
      </c>
      <c r="E405" s="88">
        <v>1531</v>
      </c>
      <c r="F405" s="89" t="s">
        <v>22</v>
      </c>
      <c r="G405" s="67">
        <v>2473</v>
      </c>
      <c r="H405" s="67">
        <v>0</v>
      </c>
      <c r="I405" s="89" t="s">
        <v>22</v>
      </c>
      <c r="J405" s="89" t="s">
        <v>22</v>
      </c>
      <c r="K405" s="88"/>
      <c r="L405" s="88">
        <f t="shared" si="25"/>
        <v>119690</v>
      </c>
      <c r="M405" s="88">
        <v>56492</v>
      </c>
      <c r="N405" s="88">
        <v>2525</v>
      </c>
      <c r="O405" s="88">
        <v>1054</v>
      </c>
      <c r="P405" s="89" t="s">
        <v>22</v>
      </c>
      <c r="Q405" s="67">
        <v>59619</v>
      </c>
      <c r="R405" s="67">
        <v>0</v>
      </c>
      <c r="S405" s="89" t="s">
        <v>22</v>
      </c>
      <c r="T405" s="89" t="s">
        <v>22</v>
      </c>
    </row>
    <row r="406" spans="1:20" s="68" customFormat="1" ht="9" customHeight="1" x14ac:dyDescent="0.15">
      <c r="A406" s="69" t="s">
        <v>33</v>
      </c>
      <c r="B406" s="90">
        <f t="shared" si="24"/>
        <v>9492</v>
      </c>
      <c r="C406" s="90">
        <v>4710</v>
      </c>
      <c r="D406" s="90">
        <v>2412</v>
      </c>
      <c r="E406" s="90">
        <v>1234</v>
      </c>
      <c r="F406" s="91" t="s">
        <v>22</v>
      </c>
      <c r="G406" s="70">
        <v>1136</v>
      </c>
      <c r="H406" s="70">
        <v>0</v>
      </c>
      <c r="I406" s="91" t="s">
        <v>22</v>
      </c>
      <c r="J406" s="91" t="s">
        <v>22</v>
      </c>
      <c r="K406" s="90"/>
      <c r="L406" s="90">
        <f t="shared" si="25"/>
        <v>121122</v>
      </c>
      <c r="M406" s="90">
        <v>96930</v>
      </c>
      <c r="N406" s="90">
        <v>5781</v>
      </c>
      <c r="O406" s="90">
        <v>154</v>
      </c>
      <c r="P406" s="91" t="s">
        <v>22</v>
      </c>
      <c r="Q406" s="70">
        <v>18257</v>
      </c>
      <c r="R406" s="70">
        <v>0</v>
      </c>
      <c r="S406" s="91" t="s">
        <v>22</v>
      </c>
      <c r="T406" s="91" t="s">
        <v>22</v>
      </c>
    </row>
    <row r="407" spans="1:20" s="68" customFormat="1" ht="9" customHeight="1" x14ac:dyDescent="0.15">
      <c r="A407" s="66" t="s">
        <v>34</v>
      </c>
      <c r="B407" s="88">
        <f t="shared" si="24"/>
        <v>5140</v>
      </c>
      <c r="C407" s="88">
        <v>1757</v>
      </c>
      <c r="D407" s="88">
        <v>2061</v>
      </c>
      <c r="E407" s="88">
        <v>855</v>
      </c>
      <c r="F407" s="89" t="s">
        <v>22</v>
      </c>
      <c r="G407" s="67">
        <v>382</v>
      </c>
      <c r="H407" s="67">
        <v>85</v>
      </c>
      <c r="I407" s="89" t="s">
        <v>22</v>
      </c>
      <c r="J407" s="89" t="s">
        <v>22</v>
      </c>
      <c r="K407" s="88"/>
      <c r="L407" s="88">
        <f t="shared" si="25"/>
        <v>89878</v>
      </c>
      <c r="M407" s="88">
        <v>74397</v>
      </c>
      <c r="N407" s="88">
        <v>8739</v>
      </c>
      <c r="O407" s="88">
        <v>275</v>
      </c>
      <c r="P407" s="89" t="s">
        <v>22</v>
      </c>
      <c r="Q407" s="67">
        <v>6425</v>
      </c>
      <c r="R407" s="67">
        <v>42</v>
      </c>
      <c r="S407" s="89" t="s">
        <v>22</v>
      </c>
      <c r="T407" s="89" t="s">
        <v>22</v>
      </c>
    </row>
    <row r="408" spans="1:20" s="68" customFormat="1" ht="9" customHeight="1" x14ac:dyDescent="0.15">
      <c r="A408" s="66" t="s">
        <v>35</v>
      </c>
      <c r="B408" s="88">
        <f t="shared" si="24"/>
        <v>19028</v>
      </c>
      <c r="C408" s="88">
        <v>5478</v>
      </c>
      <c r="D408" s="88">
        <v>7130</v>
      </c>
      <c r="E408" s="88">
        <v>3587</v>
      </c>
      <c r="F408" s="89" t="s">
        <v>22</v>
      </c>
      <c r="G408" s="67">
        <v>2589</v>
      </c>
      <c r="H408" s="67">
        <v>244</v>
      </c>
      <c r="I408" s="89" t="s">
        <v>22</v>
      </c>
      <c r="J408" s="89" t="s">
        <v>22</v>
      </c>
      <c r="K408" s="88"/>
      <c r="L408" s="88">
        <f t="shared" si="25"/>
        <v>226316</v>
      </c>
      <c r="M408" s="88">
        <v>143477</v>
      </c>
      <c r="N408" s="88">
        <v>31557</v>
      </c>
      <c r="O408" s="88">
        <v>948</v>
      </c>
      <c r="P408" s="89" t="s">
        <v>22</v>
      </c>
      <c r="Q408" s="67">
        <v>49055</v>
      </c>
      <c r="R408" s="67">
        <v>1279</v>
      </c>
      <c r="S408" s="89" t="s">
        <v>22</v>
      </c>
      <c r="T408" s="89" t="s">
        <v>22</v>
      </c>
    </row>
    <row r="409" spans="1:20" s="68" customFormat="1" ht="9" customHeight="1" x14ac:dyDescent="0.15">
      <c r="A409" s="66" t="s">
        <v>36</v>
      </c>
      <c r="B409" s="88">
        <f t="shared" si="24"/>
        <v>16664</v>
      </c>
      <c r="C409" s="88">
        <v>8938</v>
      </c>
      <c r="D409" s="88">
        <v>4187</v>
      </c>
      <c r="E409" s="88">
        <v>2364</v>
      </c>
      <c r="F409" s="89" t="s">
        <v>22</v>
      </c>
      <c r="G409" s="67">
        <v>1083</v>
      </c>
      <c r="H409" s="67">
        <v>92</v>
      </c>
      <c r="I409" s="89" t="s">
        <v>22</v>
      </c>
      <c r="J409" s="89" t="s">
        <v>22</v>
      </c>
      <c r="K409" s="88"/>
      <c r="L409" s="88">
        <f t="shared" si="25"/>
        <v>545387</v>
      </c>
      <c r="M409" s="88">
        <v>436910</v>
      </c>
      <c r="N409" s="88">
        <v>18171</v>
      </c>
      <c r="O409" s="88">
        <v>2817</v>
      </c>
      <c r="P409" s="89" t="s">
        <v>22</v>
      </c>
      <c r="Q409" s="67">
        <v>87120</v>
      </c>
      <c r="R409" s="67">
        <v>369</v>
      </c>
      <c r="S409" s="89" t="s">
        <v>22</v>
      </c>
      <c r="T409" s="89" t="s">
        <v>22</v>
      </c>
    </row>
    <row r="410" spans="1:20" s="68" customFormat="1" ht="9" customHeight="1" x14ac:dyDescent="0.15">
      <c r="A410" s="69" t="s">
        <v>37</v>
      </c>
      <c r="B410" s="90">
        <f t="shared" si="24"/>
        <v>5339</v>
      </c>
      <c r="C410" s="90">
        <v>1909</v>
      </c>
      <c r="D410" s="90">
        <v>2489</v>
      </c>
      <c r="E410" s="90">
        <v>488</v>
      </c>
      <c r="F410" s="91" t="s">
        <v>22</v>
      </c>
      <c r="G410" s="70">
        <v>453</v>
      </c>
      <c r="H410" s="70">
        <v>0</v>
      </c>
      <c r="I410" s="91" t="s">
        <v>22</v>
      </c>
      <c r="J410" s="91" t="s">
        <v>22</v>
      </c>
      <c r="K410" s="90"/>
      <c r="L410" s="90">
        <f t="shared" si="25"/>
        <v>57161</v>
      </c>
      <c r="M410" s="90">
        <v>36838</v>
      </c>
      <c r="N410" s="90">
        <v>7845</v>
      </c>
      <c r="O410" s="90">
        <v>185</v>
      </c>
      <c r="P410" s="91" t="s">
        <v>22</v>
      </c>
      <c r="Q410" s="70">
        <v>12293</v>
      </c>
      <c r="R410" s="70">
        <v>0</v>
      </c>
      <c r="S410" s="91" t="s">
        <v>22</v>
      </c>
      <c r="T410" s="91" t="s">
        <v>22</v>
      </c>
    </row>
    <row r="411" spans="1:20" s="68" customFormat="1" ht="9" customHeight="1" x14ac:dyDescent="0.15">
      <c r="A411" s="66" t="s">
        <v>38</v>
      </c>
      <c r="B411" s="88">
        <f t="shared" si="24"/>
        <v>2982</v>
      </c>
      <c r="C411" s="88">
        <v>1239</v>
      </c>
      <c r="D411" s="88">
        <v>953</v>
      </c>
      <c r="E411" s="88">
        <v>554</v>
      </c>
      <c r="F411" s="89" t="s">
        <v>22</v>
      </c>
      <c r="G411" s="67">
        <v>163</v>
      </c>
      <c r="H411" s="67">
        <v>73</v>
      </c>
      <c r="I411" s="89" t="s">
        <v>22</v>
      </c>
      <c r="J411" s="89" t="s">
        <v>22</v>
      </c>
      <c r="K411" s="88"/>
      <c r="L411" s="88">
        <f t="shared" si="25"/>
        <v>61983</v>
      </c>
      <c r="M411" s="88">
        <v>42673</v>
      </c>
      <c r="N411" s="88">
        <v>5790</v>
      </c>
      <c r="O411" s="88">
        <v>431</v>
      </c>
      <c r="P411" s="89" t="s">
        <v>22</v>
      </c>
      <c r="Q411" s="67">
        <v>12657</v>
      </c>
      <c r="R411" s="67">
        <v>432</v>
      </c>
      <c r="S411" s="89" t="s">
        <v>22</v>
      </c>
      <c r="T411" s="89" t="s">
        <v>22</v>
      </c>
    </row>
    <row r="412" spans="1:20" s="68" customFormat="1" ht="9" customHeight="1" x14ac:dyDescent="0.15">
      <c r="A412" s="66" t="s">
        <v>39</v>
      </c>
      <c r="B412" s="88">
        <f t="shared" si="24"/>
        <v>3300</v>
      </c>
      <c r="C412" s="88">
        <v>921</v>
      </c>
      <c r="D412" s="88">
        <v>2116</v>
      </c>
      <c r="E412" s="88">
        <v>237</v>
      </c>
      <c r="F412" s="89" t="s">
        <v>22</v>
      </c>
      <c r="G412" s="67">
        <v>15</v>
      </c>
      <c r="H412" s="67">
        <v>11</v>
      </c>
      <c r="I412" s="89" t="s">
        <v>22</v>
      </c>
      <c r="J412" s="89" t="s">
        <v>22</v>
      </c>
      <c r="K412" s="88"/>
      <c r="L412" s="88">
        <f t="shared" si="25"/>
        <v>32045</v>
      </c>
      <c r="M412" s="88">
        <v>24695</v>
      </c>
      <c r="N412" s="88">
        <v>6194</v>
      </c>
      <c r="O412" s="88">
        <v>156</v>
      </c>
      <c r="P412" s="89" t="s">
        <v>22</v>
      </c>
      <c r="Q412" s="67">
        <v>980</v>
      </c>
      <c r="R412" s="67">
        <v>20</v>
      </c>
      <c r="S412" s="89" t="s">
        <v>22</v>
      </c>
      <c r="T412" s="89" t="s">
        <v>22</v>
      </c>
    </row>
    <row r="413" spans="1:20" s="68" customFormat="1" ht="9" customHeight="1" x14ac:dyDescent="0.15">
      <c r="A413" s="66" t="s">
        <v>40</v>
      </c>
      <c r="B413" s="88">
        <f t="shared" si="24"/>
        <v>7343</v>
      </c>
      <c r="C413" s="88">
        <v>4405</v>
      </c>
      <c r="D413" s="88">
        <v>1285</v>
      </c>
      <c r="E413" s="88">
        <v>1173</v>
      </c>
      <c r="F413" s="89" t="s">
        <v>22</v>
      </c>
      <c r="G413" s="67">
        <v>480</v>
      </c>
      <c r="H413" s="67">
        <v>0</v>
      </c>
      <c r="I413" s="89" t="s">
        <v>22</v>
      </c>
      <c r="J413" s="89" t="s">
        <v>22</v>
      </c>
      <c r="K413" s="88"/>
      <c r="L413" s="88">
        <f t="shared" si="25"/>
        <v>134562</v>
      </c>
      <c r="M413" s="88">
        <v>109957</v>
      </c>
      <c r="N413" s="88">
        <v>7661</v>
      </c>
      <c r="O413" s="88">
        <v>1129</v>
      </c>
      <c r="P413" s="89" t="s">
        <v>22</v>
      </c>
      <c r="Q413" s="67">
        <v>15815</v>
      </c>
      <c r="R413" s="67">
        <v>0</v>
      </c>
      <c r="S413" s="89" t="s">
        <v>22</v>
      </c>
      <c r="T413" s="89" t="s">
        <v>22</v>
      </c>
    </row>
    <row r="414" spans="1:20" s="68" customFormat="1" ht="9" customHeight="1" x14ac:dyDescent="0.15">
      <c r="A414" s="69" t="s">
        <v>41</v>
      </c>
      <c r="B414" s="90">
        <f t="shared" si="24"/>
        <v>5227</v>
      </c>
      <c r="C414" s="90">
        <v>1253</v>
      </c>
      <c r="D414" s="90">
        <v>3860</v>
      </c>
      <c r="E414" s="90">
        <v>100</v>
      </c>
      <c r="F414" s="91" t="s">
        <v>22</v>
      </c>
      <c r="G414" s="70">
        <v>14</v>
      </c>
      <c r="H414" s="70">
        <v>0</v>
      </c>
      <c r="I414" s="91" t="s">
        <v>22</v>
      </c>
      <c r="J414" s="91" t="s">
        <v>22</v>
      </c>
      <c r="K414" s="90"/>
      <c r="L414" s="90">
        <f t="shared" si="25"/>
        <v>48655</v>
      </c>
      <c r="M414" s="90">
        <v>24238</v>
      </c>
      <c r="N414" s="90">
        <v>20502</v>
      </c>
      <c r="O414" s="90">
        <v>306</v>
      </c>
      <c r="P414" s="91" t="s">
        <v>22</v>
      </c>
      <c r="Q414" s="70">
        <v>3609</v>
      </c>
      <c r="R414" s="70">
        <v>0</v>
      </c>
      <c r="S414" s="91" t="s">
        <v>22</v>
      </c>
      <c r="T414" s="91" t="s">
        <v>22</v>
      </c>
    </row>
    <row r="415" spans="1:20" s="68" customFormat="1" ht="9" customHeight="1" x14ac:dyDescent="0.15">
      <c r="A415" s="66" t="s">
        <v>42</v>
      </c>
      <c r="B415" s="88">
        <f t="shared" si="24"/>
        <v>5687</v>
      </c>
      <c r="C415" s="88">
        <v>1840</v>
      </c>
      <c r="D415" s="88">
        <v>2661</v>
      </c>
      <c r="E415" s="88">
        <v>838</v>
      </c>
      <c r="F415" s="89" t="s">
        <v>22</v>
      </c>
      <c r="G415" s="67">
        <v>348</v>
      </c>
      <c r="H415" s="67">
        <v>0</v>
      </c>
      <c r="I415" s="89" t="s">
        <v>22</v>
      </c>
      <c r="J415" s="89" t="s">
        <v>22</v>
      </c>
      <c r="K415" s="88"/>
      <c r="L415" s="88">
        <f t="shared" si="25"/>
        <v>81166</v>
      </c>
      <c r="M415" s="88">
        <v>58932</v>
      </c>
      <c r="N415" s="88">
        <v>15377</v>
      </c>
      <c r="O415" s="88">
        <v>193</v>
      </c>
      <c r="P415" s="89" t="s">
        <v>22</v>
      </c>
      <c r="Q415" s="67">
        <v>6664</v>
      </c>
      <c r="R415" s="67">
        <v>0</v>
      </c>
      <c r="S415" s="89" t="s">
        <v>22</v>
      </c>
      <c r="T415" s="89" t="s">
        <v>22</v>
      </c>
    </row>
    <row r="416" spans="1:20" s="68" customFormat="1" ht="9" customHeight="1" x14ac:dyDescent="0.15">
      <c r="A416" s="66" t="s">
        <v>43</v>
      </c>
      <c r="B416" s="88">
        <f t="shared" si="24"/>
        <v>1024</v>
      </c>
      <c r="C416" s="88">
        <v>645</v>
      </c>
      <c r="D416" s="88">
        <v>64</v>
      </c>
      <c r="E416" s="88">
        <v>168</v>
      </c>
      <c r="F416" s="89" t="s">
        <v>22</v>
      </c>
      <c r="G416" s="67">
        <v>141</v>
      </c>
      <c r="H416" s="67">
        <v>6</v>
      </c>
      <c r="I416" s="89" t="s">
        <v>22</v>
      </c>
      <c r="J416" s="89" t="s">
        <v>22</v>
      </c>
      <c r="K416" s="88"/>
      <c r="L416" s="88">
        <f t="shared" si="25"/>
        <v>39445</v>
      </c>
      <c r="M416" s="88">
        <v>26528</v>
      </c>
      <c r="N416" s="88">
        <v>220</v>
      </c>
      <c r="O416" s="88">
        <v>260</v>
      </c>
      <c r="P416" s="89" t="s">
        <v>22</v>
      </c>
      <c r="Q416" s="67">
        <v>12428</v>
      </c>
      <c r="R416" s="67">
        <v>9</v>
      </c>
      <c r="S416" s="89" t="s">
        <v>22</v>
      </c>
      <c r="T416" s="89" t="s">
        <v>22</v>
      </c>
    </row>
    <row r="417" spans="1:20" s="68" customFormat="1" ht="9" customHeight="1" x14ac:dyDescent="0.15">
      <c r="A417" s="66" t="s">
        <v>44</v>
      </c>
      <c r="B417" s="88">
        <f t="shared" si="24"/>
        <v>6806</v>
      </c>
      <c r="C417" s="88">
        <v>2784</v>
      </c>
      <c r="D417" s="88">
        <v>3556</v>
      </c>
      <c r="E417" s="88">
        <v>233</v>
      </c>
      <c r="F417" s="89" t="s">
        <v>22</v>
      </c>
      <c r="G417" s="67">
        <v>233</v>
      </c>
      <c r="H417" s="67">
        <v>0</v>
      </c>
      <c r="I417" s="89" t="s">
        <v>22</v>
      </c>
      <c r="J417" s="89" t="s">
        <v>22</v>
      </c>
      <c r="K417" s="88"/>
      <c r="L417" s="88">
        <f t="shared" si="25"/>
        <v>66643</v>
      </c>
      <c r="M417" s="88">
        <v>42307</v>
      </c>
      <c r="N417" s="88">
        <v>10191</v>
      </c>
      <c r="O417" s="88">
        <v>383</v>
      </c>
      <c r="P417" s="89" t="s">
        <v>22</v>
      </c>
      <c r="Q417" s="67">
        <v>13762</v>
      </c>
      <c r="R417" s="67">
        <v>0</v>
      </c>
      <c r="S417" s="89" t="s">
        <v>22</v>
      </c>
      <c r="T417" s="89" t="s">
        <v>22</v>
      </c>
    </row>
    <row r="418" spans="1:20" s="68" customFormat="1" ht="9" customHeight="1" x14ac:dyDescent="0.15">
      <c r="A418" s="69" t="s">
        <v>45</v>
      </c>
      <c r="B418" s="90">
        <f t="shared" si="24"/>
        <v>2822</v>
      </c>
      <c r="C418" s="90">
        <v>602</v>
      </c>
      <c r="D418" s="90">
        <v>679</v>
      </c>
      <c r="E418" s="90">
        <v>870</v>
      </c>
      <c r="F418" s="91" t="s">
        <v>22</v>
      </c>
      <c r="G418" s="70">
        <v>546</v>
      </c>
      <c r="H418" s="70">
        <v>125</v>
      </c>
      <c r="I418" s="91" t="s">
        <v>22</v>
      </c>
      <c r="J418" s="91" t="s">
        <v>22</v>
      </c>
      <c r="K418" s="90"/>
      <c r="L418" s="90">
        <f t="shared" si="25"/>
        <v>61595</v>
      </c>
      <c r="M418" s="90">
        <v>19430</v>
      </c>
      <c r="N418" s="90">
        <v>1841</v>
      </c>
      <c r="O418" s="90">
        <v>621</v>
      </c>
      <c r="P418" s="91" t="s">
        <v>22</v>
      </c>
      <c r="Q418" s="70">
        <v>39520</v>
      </c>
      <c r="R418" s="70">
        <v>183</v>
      </c>
      <c r="S418" s="91" t="s">
        <v>22</v>
      </c>
      <c r="T418" s="91" t="s">
        <v>22</v>
      </c>
    </row>
    <row r="419" spans="1:20" s="68" customFormat="1" ht="9" customHeight="1" x14ac:dyDescent="0.15">
      <c r="A419" s="66" t="s">
        <v>46</v>
      </c>
      <c r="B419" s="88">
        <f t="shared" si="24"/>
        <v>17808</v>
      </c>
      <c r="C419" s="88">
        <v>7320</v>
      </c>
      <c r="D419" s="88">
        <v>4641</v>
      </c>
      <c r="E419" s="88">
        <v>2992</v>
      </c>
      <c r="F419" s="89" t="s">
        <v>22</v>
      </c>
      <c r="G419" s="67">
        <v>2749</v>
      </c>
      <c r="H419" s="67">
        <v>106</v>
      </c>
      <c r="I419" s="89" t="s">
        <v>22</v>
      </c>
      <c r="J419" s="89" t="s">
        <v>22</v>
      </c>
      <c r="K419" s="88"/>
      <c r="L419" s="88">
        <f t="shared" si="25"/>
        <v>313986</v>
      </c>
      <c r="M419" s="88">
        <v>215648</v>
      </c>
      <c r="N419" s="88">
        <v>13519</v>
      </c>
      <c r="O419" s="88">
        <v>641</v>
      </c>
      <c r="P419" s="89" t="s">
        <v>22</v>
      </c>
      <c r="Q419" s="67">
        <v>84165</v>
      </c>
      <c r="R419" s="67">
        <v>13</v>
      </c>
      <c r="S419" s="89" t="s">
        <v>22</v>
      </c>
      <c r="T419" s="89" t="s">
        <v>22</v>
      </c>
    </row>
    <row r="420" spans="1:20" s="68" customFormat="1" ht="9" customHeight="1" x14ac:dyDescent="0.15">
      <c r="A420" s="66" t="s">
        <v>47</v>
      </c>
      <c r="B420" s="88">
        <f t="shared" si="24"/>
        <v>2001</v>
      </c>
      <c r="C420" s="88">
        <v>1206</v>
      </c>
      <c r="D420" s="88">
        <v>301</v>
      </c>
      <c r="E420" s="88">
        <v>358</v>
      </c>
      <c r="F420" s="89" t="s">
        <v>22</v>
      </c>
      <c r="G420" s="67">
        <v>94</v>
      </c>
      <c r="H420" s="67">
        <v>42</v>
      </c>
      <c r="I420" s="89" t="s">
        <v>22</v>
      </c>
      <c r="J420" s="89" t="s">
        <v>22</v>
      </c>
      <c r="K420" s="88"/>
      <c r="L420" s="88">
        <f t="shared" si="25"/>
        <v>34795</v>
      </c>
      <c r="M420" s="88">
        <v>32775</v>
      </c>
      <c r="N420" s="88">
        <v>831</v>
      </c>
      <c r="O420" s="88">
        <v>95</v>
      </c>
      <c r="P420" s="89" t="s">
        <v>22</v>
      </c>
      <c r="Q420" s="67">
        <v>1094</v>
      </c>
      <c r="R420" s="67">
        <v>0</v>
      </c>
      <c r="S420" s="89" t="s">
        <v>22</v>
      </c>
      <c r="T420" s="89" t="s">
        <v>22</v>
      </c>
    </row>
    <row r="421" spans="1:20" s="68" customFormat="1" ht="9" customHeight="1" x14ac:dyDescent="0.15">
      <c r="A421" s="66" t="s">
        <v>48</v>
      </c>
      <c r="B421" s="88">
        <f t="shared" si="24"/>
        <v>2527</v>
      </c>
      <c r="C421" s="88">
        <v>1738</v>
      </c>
      <c r="D421" s="88">
        <v>520</v>
      </c>
      <c r="E421" s="88">
        <v>213</v>
      </c>
      <c r="F421" s="89" t="s">
        <v>22</v>
      </c>
      <c r="G421" s="67">
        <v>56</v>
      </c>
      <c r="H421" s="67">
        <v>0</v>
      </c>
      <c r="I421" s="89" t="s">
        <v>22</v>
      </c>
      <c r="J421" s="89" t="s">
        <v>22</v>
      </c>
      <c r="K421" s="88"/>
      <c r="L421" s="88">
        <f t="shared" si="25"/>
        <v>60382</v>
      </c>
      <c r="M421" s="88">
        <v>52699</v>
      </c>
      <c r="N421" s="88">
        <v>4950</v>
      </c>
      <c r="O421" s="88">
        <v>170</v>
      </c>
      <c r="P421" s="89" t="s">
        <v>22</v>
      </c>
      <c r="Q421" s="67">
        <v>2563</v>
      </c>
      <c r="R421" s="67">
        <v>0</v>
      </c>
      <c r="S421" s="89" t="s">
        <v>22</v>
      </c>
      <c r="T421" s="89" t="s">
        <v>22</v>
      </c>
    </row>
    <row r="422" spans="1:20" s="68" customFormat="1" ht="9" customHeight="1" x14ac:dyDescent="0.15">
      <c r="A422" s="69" t="s">
        <v>49</v>
      </c>
      <c r="B422" s="90">
        <f t="shared" si="24"/>
        <v>6481</v>
      </c>
      <c r="C422" s="90">
        <v>2378</v>
      </c>
      <c r="D422" s="90">
        <v>2161</v>
      </c>
      <c r="E422" s="90">
        <v>1121</v>
      </c>
      <c r="F422" s="91" t="s">
        <v>22</v>
      </c>
      <c r="G422" s="70">
        <v>802</v>
      </c>
      <c r="H422" s="70">
        <v>19</v>
      </c>
      <c r="I422" s="91" t="s">
        <v>22</v>
      </c>
      <c r="J422" s="91" t="s">
        <v>22</v>
      </c>
      <c r="K422" s="90"/>
      <c r="L422" s="90">
        <f t="shared" si="25"/>
        <v>90904</v>
      </c>
      <c r="M422" s="90">
        <v>70877</v>
      </c>
      <c r="N422" s="90">
        <v>7336</v>
      </c>
      <c r="O422" s="90">
        <v>158</v>
      </c>
      <c r="P422" s="91" t="s">
        <v>22</v>
      </c>
      <c r="Q422" s="70">
        <v>12485</v>
      </c>
      <c r="R422" s="70">
        <v>48</v>
      </c>
      <c r="S422" s="91" t="s">
        <v>22</v>
      </c>
      <c r="T422" s="91" t="s">
        <v>22</v>
      </c>
    </row>
    <row r="423" spans="1:20" s="72" customFormat="1" ht="9" customHeight="1" x14ac:dyDescent="0.15">
      <c r="A423" s="71" t="s">
        <v>50</v>
      </c>
      <c r="B423" s="92">
        <f t="shared" si="24"/>
        <v>4239</v>
      </c>
      <c r="C423" s="92">
        <v>3227</v>
      </c>
      <c r="D423" s="92">
        <v>760</v>
      </c>
      <c r="E423" s="92">
        <v>211</v>
      </c>
      <c r="F423" s="89" t="s">
        <v>22</v>
      </c>
      <c r="G423" s="67">
        <v>41</v>
      </c>
      <c r="H423" s="67">
        <v>0</v>
      </c>
      <c r="I423" s="89" t="s">
        <v>22</v>
      </c>
      <c r="J423" s="89" t="s">
        <v>22</v>
      </c>
      <c r="K423" s="92"/>
      <c r="L423" s="92">
        <f t="shared" si="25"/>
        <v>111963</v>
      </c>
      <c r="M423" s="92">
        <v>103927</v>
      </c>
      <c r="N423" s="92">
        <v>5167</v>
      </c>
      <c r="O423" s="92">
        <v>1390</v>
      </c>
      <c r="P423" s="89" t="s">
        <v>22</v>
      </c>
      <c r="Q423" s="67">
        <v>1479</v>
      </c>
      <c r="R423" s="67">
        <v>0</v>
      </c>
      <c r="S423" s="89" t="s">
        <v>22</v>
      </c>
      <c r="T423" s="89" t="s">
        <v>22</v>
      </c>
    </row>
    <row r="424" spans="1:20" s="68" customFormat="1" ht="9" customHeight="1" x14ac:dyDescent="0.15">
      <c r="A424" s="66" t="s">
        <v>51</v>
      </c>
      <c r="B424" s="88">
        <f t="shared" si="24"/>
        <v>5660</v>
      </c>
      <c r="C424" s="88">
        <v>1829</v>
      </c>
      <c r="D424" s="88">
        <v>2695</v>
      </c>
      <c r="E424" s="88">
        <v>849</v>
      </c>
      <c r="F424" s="89" t="s">
        <v>22</v>
      </c>
      <c r="G424" s="67">
        <v>266</v>
      </c>
      <c r="H424" s="67">
        <v>21</v>
      </c>
      <c r="I424" s="89" t="s">
        <v>22</v>
      </c>
      <c r="J424" s="89" t="s">
        <v>22</v>
      </c>
      <c r="K424" s="88"/>
      <c r="L424" s="88">
        <f t="shared" si="25"/>
        <v>54657</v>
      </c>
      <c r="M424" s="88">
        <v>41666</v>
      </c>
      <c r="N424" s="88">
        <v>6668</v>
      </c>
      <c r="O424" s="88">
        <v>603</v>
      </c>
      <c r="P424" s="89" t="s">
        <v>22</v>
      </c>
      <c r="Q424" s="67">
        <v>5714</v>
      </c>
      <c r="R424" s="67">
        <v>6</v>
      </c>
      <c r="S424" s="89" t="s">
        <v>22</v>
      </c>
      <c r="T424" s="89" t="s">
        <v>22</v>
      </c>
    </row>
    <row r="425" spans="1:20" s="68" customFormat="1" ht="9" customHeight="1" x14ac:dyDescent="0.15">
      <c r="A425" s="66" t="s">
        <v>52</v>
      </c>
      <c r="B425" s="88">
        <f t="shared" si="24"/>
        <v>2908</v>
      </c>
      <c r="C425" s="88">
        <v>633</v>
      </c>
      <c r="D425" s="88">
        <v>1705</v>
      </c>
      <c r="E425" s="88">
        <v>412</v>
      </c>
      <c r="F425" s="89" t="s">
        <v>22</v>
      </c>
      <c r="G425" s="67">
        <v>158</v>
      </c>
      <c r="H425" s="67">
        <v>0</v>
      </c>
      <c r="I425" s="89" t="s">
        <v>22</v>
      </c>
      <c r="J425" s="89" t="s">
        <v>22</v>
      </c>
      <c r="K425" s="88"/>
      <c r="L425" s="88">
        <f t="shared" si="25"/>
        <v>25522</v>
      </c>
      <c r="M425" s="88">
        <v>17788</v>
      </c>
      <c r="N425" s="88">
        <v>2717</v>
      </c>
      <c r="O425" s="88">
        <v>442</v>
      </c>
      <c r="P425" s="89" t="s">
        <v>22</v>
      </c>
      <c r="Q425" s="67">
        <v>4575</v>
      </c>
      <c r="R425" s="67">
        <v>0</v>
      </c>
      <c r="S425" s="89" t="s">
        <v>22</v>
      </c>
      <c r="T425" s="89" t="s">
        <v>22</v>
      </c>
    </row>
    <row r="426" spans="1:20" s="68" customFormat="1" ht="9" customHeight="1" x14ac:dyDescent="0.15">
      <c r="A426" s="69" t="s">
        <v>53</v>
      </c>
      <c r="B426" s="90">
        <f t="shared" si="24"/>
        <v>6273</v>
      </c>
      <c r="C426" s="90">
        <v>2388</v>
      </c>
      <c r="D426" s="90">
        <v>2873</v>
      </c>
      <c r="E426" s="90">
        <v>630</v>
      </c>
      <c r="F426" s="91" t="s">
        <v>22</v>
      </c>
      <c r="G426" s="70">
        <v>352</v>
      </c>
      <c r="H426" s="70">
        <v>30</v>
      </c>
      <c r="I426" s="91" t="s">
        <v>22</v>
      </c>
      <c r="J426" s="91" t="s">
        <v>22</v>
      </c>
      <c r="K426" s="90"/>
      <c r="L426" s="90">
        <f t="shared" si="25"/>
        <v>75505</v>
      </c>
      <c r="M426" s="90">
        <v>41720</v>
      </c>
      <c r="N426" s="90">
        <v>9893</v>
      </c>
      <c r="O426" s="90">
        <v>710</v>
      </c>
      <c r="P426" s="91" t="s">
        <v>22</v>
      </c>
      <c r="Q426" s="70">
        <v>23160</v>
      </c>
      <c r="R426" s="70">
        <v>22</v>
      </c>
      <c r="S426" s="91" t="s">
        <v>22</v>
      </c>
      <c r="T426" s="91" t="s">
        <v>22</v>
      </c>
    </row>
    <row r="427" spans="1:20" s="65" customFormat="1" ht="9" customHeight="1" x14ac:dyDescent="0.15">
      <c r="A427" s="71"/>
      <c r="B427" s="92"/>
      <c r="C427" s="92"/>
      <c r="D427" s="92"/>
      <c r="E427" s="92"/>
      <c r="F427" s="92"/>
      <c r="G427" s="67"/>
      <c r="H427" s="67"/>
      <c r="I427" s="67"/>
      <c r="J427" s="67"/>
      <c r="K427" s="92"/>
      <c r="L427" s="92"/>
      <c r="M427" s="92"/>
      <c r="N427" s="92"/>
      <c r="O427" s="92"/>
      <c r="P427" s="92"/>
      <c r="Q427" s="67"/>
      <c r="R427" s="67"/>
      <c r="S427" s="67"/>
      <c r="T427" s="67"/>
    </row>
    <row r="428" spans="1:20" s="65" customFormat="1" ht="9" customHeight="1" x14ac:dyDescent="0.25">
      <c r="A428" s="96">
        <v>2011</v>
      </c>
      <c r="B428" s="97"/>
      <c r="C428" s="98"/>
      <c r="D428" s="97"/>
      <c r="E428" s="97"/>
      <c r="F428" s="97"/>
      <c r="G428" s="64"/>
      <c r="H428" s="64"/>
      <c r="I428" s="64"/>
      <c r="J428" s="64"/>
      <c r="K428" s="97"/>
      <c r="L428" s="97"/>
      <c r="M428" s="97"/>
      <c r="N428" s="97"/>
      <c r="O428" s="97"/>
      <c r="P428" s="97"/>
      <c r="Q428" s="64"/>
      <c r="R428" s="64"/>
      <c r="S428" s="64"/>
      <c r="T428" s="64"/>
    </row>
    <row r="429" spans="1:20" s="65" customFormat="1" ht="9" customHeight="1" x14ac:dyDescent="0.25">
      <c r="A429" s="99" t="s">
        <v>21</v>
      </c>
      <c r="B429" s="64">
        <f t="shared" ref="B429:H429" si="26">SUM(B431:B462)</f>
        <v>236727</v>
      </c>
      <c r="C429" s="64">
        <f t="shared" si="26"/>
        <v>108232</v>
      </c>
      <c r="D429" s="64">
        <f t="shared" si="26"/>
        <v>63587</v>
      </c>
      <c r="E429" s="64">
        <f t="shared" si="26"/>
        <v>29547</v>
      </c>
      <c r="F429" s="64" t="s">
        <v>22</v>
      </c>
      <c r="G429" s="64">
        <f t="shared" si="26"/>
        <v>30792</v>
      </c>
      <c r="H429" s="64">
        <f t="shared" si="26"/>
        <v>4569</v>
      </c>
      <c r="I429" s="64" t="s">
        <v>22</v>
      </c>
      <c r="J429" s="64" t="s">
        <v>22</v>
      </c>
      <c r="K429" s="64"/>
      <c r="L429" s="64">
        <f t="shared" ref="L429:R429" si="27">SUM(L431:L462)</f>
        <v>5194864</v>
      </c>
      <c r="M429" s="64">
        <f t="shared" si="27"/>
        <v>3836595</v>
      </c>
      <c r="N429" s="64">
        <f t="shared" si="27"/>
        <v>311785</v>
      </c>
      <c r="O429" s="64">
        <f t="shared" si="27"/>
        <v>19572</v>
      </c>
      <c r="P429" s="64" t="s">
        <v>22</v>
      </c>
      <c r="Q429" s="64">
        <f t="shared" si="27"/>
        <v>1012170</v>
      </c>
      <c r="R429" s="64">
        <f t="shared" si="27"/>
        <v>14742</v>
      </c>
      <c r="S429" s="64" t="s">
        <v>22</v>
      </c>
      <c r="T429" s="64" t="s">
        <v>22</v>
      </c>
    </row>
    <row r="430" spans="1:20" s="65" customFormat="1" ht="3.95" customHeight="1" x14ac:dyDescent="0.25">
      <c r="A430" s="99"/>
      <c r="B430" s="64"/>
      <c r="C430" s="64"/>
      <c r="D430" s="64"/>
      <c r="E430" s="64"/>
      <c r="F430" s="64"/>
      <c r="G430" s="64"/>
      <c r="H430" s="64"/>
      <c r="I430" s="64"/>
      <c r="J430" s="64"/>
      <c r="K430" s="64"/>
      <c r="L430" s="64"/>
      <c r="M430" s="64"/>
      <c r="N430" s="64"/>
      <c r="O430" s="64"/>
      <c r="P430" s="64"/>
      <c r="Q430" s="64"/>
      <c r="R430" s="64"/>
      <c r="S430" s="64"/>
      <c r="T430" s="64"/>
    </row>
    <row r="431" spans="1:20" s="68" customFormat="1" ht="9" customHeight="1" x14ac:dyDescent="0.15">
      <c r="A431" s="66" t="s">
        <v>23</v>
      </c>
      <c r="B431" s="88">
        <f>SUM(C431:H431)</f>
        <v>2470</v>
      </c>
      <c r="C431" s="88">
        <v>1145</v>
      </c>
      <c r="D431" s="88">
        <v>876</v>
      </c>
      <c r="E431" s="88">
        <v>355</v>
      </c>
      <c r="F431" s="89" t="s">
        <v>22</v>
      </c>
      <c r="G431" s="67">
        <v>93</v>
      </c>
      <c r="H431" s="67">
        <v>1</v>
      </c>
      <c r="I431" s="89" t="s">
        <v>22</v>
      </c>
      <c r="J431" s="89" t="s">
        <v>22</v>
      </c>
      <c r="K431" s="88"/>
      <c r="L431" s="88">
        <f>SUM(M431:R431)</f>
        <v>56060</v>
      </c>
      <c r="M431" s="88">
        <v>38947</v>
      </c>
      <c r="N431" s="88">
        <v>3304</v>
      </c>
      <c r="O431" s="88">
        <v>38</v>
      </c>
      <c r="P431" s="89" t="s">
        <v>22</v>
      </c>
      <c r="Q431" s="67">
        <v>13771</v>
      </c>
      <c r="R431" s="67">
        <v>0</v>
      </c>
      <c r="S431" s="89" t="s">
        <v>22</v>
      </c>
      <c r="T431" s="89" t="s">
        <v>22</v>
      </c>
    </row>
    <row r="432" spans="1:20" s="68" customFormat="1" ht="9" customHeight="1" x14ac:dyDescent="0.15">
      <c r="A432" s="66" t="s">
        <v>24</v>
      </c>
      <c r="B432" s="88">
        <f t="shared" ref="B432:B462" si="28">SUM(C432:H432)</f>
        <v>4925</v>
      </c>
      <c r="C432" s="88">
        <v>2790</v>
      </c>
      <c r="D432" s="88">
        <v>915</v>
      </c>
      <c r="E432" s="88">
        <v>688</v>
      </c>
      <c r="F432" s="89" t="s">
        <v>22</v>
      </c>
      <c r="G432" s="67">
        <v>291</v>
      </c>
      <c r="H432" s="67">
        <v>241</v>
      </c>
      <c r="I432" s="89" t="s">
        <v>22</v>
      </c>
      <c r="J432" s="89" t="s">
        <v>22</v>
      </c>
      <c r="K432" s="88"/>
      <c r="L432" s="88">
        <f t="shared" ref="L432:L462" si="29">SUM(M432:R432)</f>
        <v>122645</v>
      </c>
      <c r="M432" s="88">
        <v>109278</v>
      </c>
      <c r="N432" s="88">
        <v>2945</v>
      </c>
      <c r="O432" s="88">
        <v>631</v>
      </c>
      <c r="P432" s="89" t="s">
        <v>22</v>
      </c>
      <c r="Q432" s="67">
        <v>9417</v>
      </c>
      <c r="R432" s="67">
        <v>374</v>
      </c>
      <c r="S432" s="89" t="s">
        <v>22</v>
      </c>
      <c r="T432" s="89" t="s">
        <v>22</v>
      </c>
    </row>
    <row r="433" spans="1:20" s="68" customFormat="1" ht="9" customHeight="1" x14ac:dyDescent="0.15">
      <c r="A433" s="66" t="s">
        <v>25</v>
      </c>
      <c r="B433" s="88">
        <f t="shared" si="28"/>
        <v>4806</v>
      </c>
      <c r="C433" s="88">
        <v>2412</v>
      </c>
      <c r="D433" s="88">
        <v>762</v>
      </c>
      <c r="E433" s="88">
        <v>635</v>
      </c>
      <c r="F433" s="89" t="s">
        <v>22</v>
      </c>
      <c r="G433" s="67">
        <v>891</v>
      </c>
      <c r="H433" s="67">
        <v>106</v>
      </c>
      <c r="I433" s="89" t="s">
        <v>22</v>
      </c>
      <c r="J433" s="89" t="s">
        <v>22</v>
      </c>
      <c r="K433" s="88"/>
      <c r="L433" s="88">
        <f t="shared" si="29"/>
        <v>102382</v>
      </c>
      <c r="M433" s="88">
        <v>76496</v>
      </c>
      <c r="N433" s="88">
        <v>4803</v>
      </c>
      <c r="O433" s="88">
        <v>128</v>
      </c>
      <c r="P433" s="89" t="s">
        <v>22</v>
      </c>
      <c r="Q433" s="67">
        <v>20483</v>
      </c>
      <c r="R433" s="67">
        <v>472</v>
      </c>
      <c r="S433" s="89" t="s">
        <v>22</v>
      </c>
      <c r="T433" s="89" t="s">
        <v>22</v>
      </c>
    </row>
    <row r="434" spans="1:20" s="68" customFormat="1" ht="9" customHeight="1" x14ac:dyDescent="0.15">
      <c r="A434" s="69" t="s">
        <v>26</v>
      </c>
      <c r="B434" s="90">
        <f t="shared" si="28"/>
        <v>2007</v>
      </c>
      <c r="C434" s="90">
        <v>392</v>
      </c>
      <c r="D434" s="90">
        <v>1042</v>
      </c>
      <c r="E434" s="90">
        <v>274</v>
      </c>
      <c r="F434" s="91" t="s">
        <v>22</v>
      </c>
      <c r="G434" s="70">
        <v>299</v>
      </c>
      <c r="H434" s="70">
        <v>0</v>
      </c>
      <c r="I434" s="91" t="s">
        <v>22</v>
      </c>
      <c r="J434" s="91" t="s">
        <v>22</v>
      </c>
      <c r="K434" s="90"/>
      <c r="L434" s="90">
        <f t="shared" si="29"/>
        <v>26088</v>
      </c>
      <c r="M434" s="90">
        <v>8418</v>
      </c>
      <c r="N434" s="90">
        <v>4617</v>
      </c>
      <c r="O434" s="90">
        <v>101</v>
      </c>
      <c r="P434" s="91" t="s">
        <v>22</v>
      </c>
      <c r="Q434" s="70">
        <v>12952</v>
      </c>
      <c r="R434" s="70">
        <v>0</v>
      </c>
      <c r="S434" s="91" t="s">
        <v>22</v>
      </c>
      <c r="T434" s="91" t="s">
        <v>22</v>
      </c>
    </row>
    <row r="435" spans="1:20" s="68" customFormat="1" ht="9" customHeight="1" x14ac:dyDescent="0.15">
      <c r="A435" s="66" t="s">
        <v>27</v>
      </c>
      <c r="B435" s="88">
        <f t="shared" si="28"/>
        <v>5621</v>
      </c>
      <c r="C435" s="88">
        <v>2808</v>
      </c>
      <c r="D435" s="88">
        <v>1403</v>
      </c>
      <c r="E435" s="88">
        <v>1154</v>
      </c>
      <c r="F435" s="89" t="s">
        <v>22</v>
      </c>
      <c r="G435" s="67">
        <v>204</v>
      </c>
      <c r="H435" s="67">
        <v>52</v>
      </c>
      <c r="I435" s="89" t="s">
        <v>22</v>
      </c>
      <c r="J435" s="89" t="s">
        <v>22</v>
      </c>
      <c r="K435" s="88"/>
      <c r="L435" s="88">
        <f t="shared" si="29"/>
        <v>141750</v>
      </c>
      <c r="M435" s="88">
        <v>100163</v>
      </c>
      <c r="N435" s="88">
        <v>6440</v>
      </c>
      <c r="O435" s="88">
        <v>1102</v>
      </c>
      <c r="P435" s="89" t="s">
        <v>22</v>
      </c>
      <c r="Q435" s="67">
        <v>33944</v>
      </c>
      <c r="R435" s="67">
        <v>101</v>
      </c>
      <c r="S435" s="89" t="s">
        <v>22</v>
      </c>
      <c r="T435" s="89" t="s">
        <v>22</v>
      </c>
    </row>
    <row r="436" spans="1:20" s="68" customFormat="1" ht="9" customHeight="1" x14ac:dyDescent="0.15">
      <c r="A436" s="66" t="s">
        <v>28</v>
      </c>
      <c r="B436" s="88">
        <f t="shared" si="28"/>
        <v>8445</v>
      </c>
      <c r="C436" s="88">
        <v>3686</v>
      </c>
      <c r="D436" s="88">
        <v>1593</v>
      </c>
      <c r="E436" s="88">
        <v>577</v>
      </c>
      <c r="F436" s="89" t="s">
        <v>22</v>
      </c>
      <c r="G436" s="67">
        <v>2587</v>
      </c>
      <c r="H436" s="67">
        <v>2</v>
      </c>
      <c r="I436" s="89" t="s">
        <v>22</v>
      </c>
      <c r="J436" s="89" t="s">
        <v>22</v>
      </c>
      <c r="K436" s="88"/>
      <c r="L436" s="88">
        <f t="shared" si="29"/>
        <v>149384</v>
      </c>
      <c r="M436" s="88">
        <v>78269</v>
      </c>
      <c r="N436" s="88">
        <v>3511</v>
      </c>
      <c r="O436" s="88">
        <v>57</v>
      </c>
      <c r="P436" s="89" t="s">
        <v>22</v>
      </c>
      <c r="Q436" s="67">
        <v>67547</v>
      </c>
      <c r="R436" s="67">
        <v>0</v>
      </c>
      <c r="S436" s="89" t="s">
        <v>22</v>
      </c>
      <c r="T436" s="89" t="s">
        <v>22</v>
      </c>
    </row>
    <row r="437" spans="1:20" s="68" customFormat="1" ht="9" customHeight="1" x14ac:dyDescent="0.15">
      <c r="A437" s="66" t="s">
        <v>29</v>
      </c>
      <c r="B437" s="88">
        <f t="shared" si="28"/>
        <v>2978</v>
      </c>
      <c r="C437" s="88">
        <v>1450</v>
      </c>
      <c r="D437" s="88">
        <v>1061</v>
      </c>
      <c r="E437" s="88">
        <v>281</v>
      </c>
      <c r="F437" s="89" t="s">
        <v>22</v>
      </c>
      <c r="G437" s="67">
        <v>164</v>
      </c>
      <c r="H437" s="67">
        <v>22</v>
      </c>
      <c r="I437" s="89" t="s">
        <v>22</v>
      </c>
      <c r="J437" s="89" t="s">
        <v>22</v>
      </c>
      <c r="K437" s="88"/>
      <c r="L437" s="88">
        <f t="shared" si="29"/>
        <v>72177</v>
      </c>
      <c r="M437" s="88">
        <v>56576</v>
      </c>
      <c r="N437" s="88">
        <v>3818</v>
      </c>
      <c r="O437" s="88">
        <v>164</v>
      </c>
      <c r="P437" s="89" t="s">
        <v>22</v>
      </c>
      <c r="Q437" s="67">
        <v>11536</v>
      </c>
      <c r="R437" s="67">
        <v>83</v>
      </c>
      <c r="S437" s="89" t="s">
        <v>22</v>
      </c>
      <c r="T437" s="89" t="s">
        <v>22</v>
      </c>
    </row>
    <row r="438" spans="1:20" s="68" customFormat="1" ht="9" customHeight="1" x14ac:dyDescent="0.15">
      <c r="A438" s="69" t="s">
        <v>30</v>
      </c>
      <c r="B438" s="90">
        <f t="shared" si="28"/>
        <v>4584</v>
      </c>
      <c r="C438" s="90">
        <v>1324</v>
      </c>
      <c r="D438" s="90">
        <v>1207</v>
      </c>
      <c r="E438" s="90">
        <v>1056</v>
      </c>
      <c r="F438" s="91" t="s">
        <v>22</v>
      </c>
      <c r="G438" s="70">
        <v>550</v>
      </c>
      <c r="H438" s="70">
        <v>447</v>
      </c>
      <c r="I438" s="91" t="s">
        <v>22</v>
      </c>
      <c r="J438" s="91" t="s">
        <v>22</v>
      </c>
      <c r="K438" s="90"/>
      <c r="L438" s="90">
        <f t="shared" si="29"/>
        <v>116670</v>
      </c>
      <c r="M438" s="90">
        <v>75833</v>
      </c>
      <c r="N438" s="90">
        <v>3088</v>
      </c>
      <c r="O438" s="90">
        <v>289</v>
      </c>
      <c r="P438" s="91" t="s">
        <v>22</v>
      </c>
      <c r="Q438" s="70">
        <v>37033</v>
      </c>
      <c r="R438" s="70">
        <v>427</v>
      </c>
      <c r="S438" s="91" t="s">
        <v>22</v>
      </c>
      <c r="T438" s="91" t="s">
        <v>22</v>
      </c>
    </row>
    <row r="439" spans="1:20" s="68" customFormat="1" ht="9" customHeight="1" x14ac:dyDescent="0.15">
      <c r="A439" s="66" t="s">
        <v>63</v>
      </c>
      <c r="B439" s="88">
        <f t="shared" si="28"/>
        <v>38905</v>
      </c>
      <c r="C439" s="88">
        <v>17444</v>
      </c>
      <c r="D439" s="88">
        <v>10319</v>
      </c>
      <c r="E439" s="88">
        <v>4992</v>
      </c>
      <c r="F439" s="89" t="s">
        <v>22</v>
      </c>
      <c r="G439" s="67">
        <v>5557</v>
      </c>
      <c r="H439" s="67">
        <v>593</v>
      </c>
      <c r="I439" s="89" t="s">
        <v>22</v>
      </c>
      <c r="J439" s="89" t="s">
        <v>22</v>
      </c>
      <c r="K439" s="88"/>
      <c r="L439" s="88">
        <f t="shared" si="29"/>
        <v>913561</v>
      </c>
      <c r="M439" s="88">
        <v>734218</v>
      </c>
      <c r="N439" s="88">
        <v>47155</v>
      </c>
      <c r="O439" s="88">
        <v>3119</v>
      </c>
      <c r="P439" s="89" t="s">
        <v>22</v>
      </c>
      <c r="Q439" s="67">
        <v>126646</v>
      </c>
      <c r="R439" s="67">
        <v>2423</v>
      </c>
      <c r="S439" s="89" t="s">
        <v>22</v>
      </c>
      <c r="T439" s="89" t="s">
        <v>22</v>
      </c>
    </row>
    <row r="440" spans="1:20" s="68" customFormat="1" ht="9" customHeight="1" x14ac:dyDescent="0.15">
      <c r="A440" s="66" t="s">
        <v>31</v>
      </c>
      <c r="B440" s="88">
        <f t="shared" si="28"/>
        <v>4121</v>
      </c>
      <c r="C440" s="88">
        <v>2060</v>
      </c>
      <c r="D440" s="88">
        <v>811</v>
      </c>
      <c r="E440" s="88">
        <v>917</v>
      </c>
      <c r="F440" s="89" t="s">
        <v>22</v>
      </c>
      <c r="G440" s="67">
        <v>272</v>
      </c>
      <c r="H440" s="67">
        <v>61</v>
      </c>
      <c r="I440" s="89" t="s">
        <v>22</v>
      </c>
      <c r="J440" s="89" t="s">
        <v>22</v>
      </c>
      <c r="K440" s="88"/>
      <c r="L440" s="88">
        <f t="shared" si="29"/>
        <v>111207</v>
      </c>
      <c r="M440" s="88">
        <v>63948</v>
      </c>
      <c r="N440" s="88">
        <v>9900</v>
      </c>
      <c r="O440" s="88">
        <v>701</v>
      </c>
      <c r="P440" s="89" t="s">
        <v>22</v>
      </c>
      <c r="Q440" s="67">
        <v>36401</v>
      </c>
      <c r="R440" s="67">
        <v>257</v>
      </c>
      <c r="S440" s="89" t="s">
        <v>22</v>
      </c>
      <c r="T440" s="89" t="s">
        <v>22</v>
      </c>
    </row>
    <row r="441" spans="1:20" s="68" customFormat="1" ht="9" customHeight="1" x14ac:dyDescent="0.15">
      <c r="A441" s="66" t="s">
        <v>32</v>
      </c>
      <c r="B441" s="88">
        <f t="shared" si="28"/>
        <v>8938</v>
      </c>
      <c r="C441" s="88">
        <v>3362</v>
      </c>
      <c r="D441" s="88">
        <v>2179</v>
      </c>
      <c r="E441" s="88">
        <v>1439</v>
      </c>
      <c r="F441" s="89" t="s">
        <v>22</v>
      </c>
      <c r="G441" s="67">
        <v>1903</v>
      </c>
      <c r="H441" s="67">
        <v>55</v>
      </c>
      <c r="I441" s="89" t="s">
        <v>22</v>
      </c>
      <c r="J441" s="89" t="s">
        <v>22</v>
      </c>
      <c r="K441" s="88"/>
      <c r="L441" s="88">
        <f t="shared" si="29"/>
        <v>182780</v>
      </c>
      <c r="M441" s="88">
        <v>106955</v>
      </c>
      <c r="N441" s="88">
        <v>5552</v>
      </c>
      <c r="O441" s="88">
        <v>766</v>
      </c>
      <c r="P441" s="89" t="s">
        <v>22</v>
      </c>
      <c r="Q441" s="67">
        <v>69298</v>
      </c>
      <c r="R441" s="67">
        <v>209</v>
      </c>
      <c r="S441" s="89" t="s">
        <v>22</v>
      </c>
      <c r="T441" s="89" t="s">
        <v>22</v>
      </c>
    </row>
    <row r="442" spans="1:20" s="68" customFormat="1" ht="9" customHeight="1" x14ac:dyDescent="0.15">
      <c r="A442" s="69" t="s">
        <v>33</v>
      </c>
      <c r="B442" s="90">
        <f t="shared" si="28"/>
        <v>12538</v>
      </c>
      <c r="C442" s="90">
        <v>6568</v>
      </c>
      <c r="D442" s="90">
        <v>3602</v>
      </c>
      <c r="E442" s="90">
        <v>1181</v>
      </c>
      <c r="F442" s="91" t="s">
        <v>22</v>
      </c>
      <c r="G442" s="70">
        <v>1144</v>
      </c>
      <c r="H442" s="70">
        <v>43</v>
      </c>
      <c r="I442" s="91" t="s">
        <v>22</v>
      </c>
      <c r="J442" s="91" t="s">
        <v>22</v>
      </c>
      <c r="K442" s="90"/>
      <c r="L442" s="90">
        <f t="shared" si="29"/>
        <v>214531</v>
      </c>
      <c r="M442" s="90">
        <v>182952</v>
      </c>
      <c r="N442" s="90">
        <v>8373</v>
      </c>
      <c r="O442" s="90">
        <v>453</v>
      </c>
      <c r="P442" s="91" t="s">
        <v>22</v>
      </c>
      <c r="Q442" s="70">
        <v>22714</v>
      </c>
      <c r="R442" s="70">
        <v>39</v>
      </c>
      <c r="S442" s="91" t="s">
        <v>22</v>
      </c>
      <c r="T442" s="91" t="s">
        <v>22</v>
      </c>
    </row>
    <row r="443" spans="1:20" s="68" customFormat="1" ht="9" customHeight="1" x14ac:dyDescent="0.15">
      <c r="A443" s="66" t="s">
        <v>34</v>
      </c>
      <c r="B443" s="88">
        <f t="shared" si="28"/>
        <v>9980</v>
      </c>
      <c r="C443" s="88">
        <v>3096</v>
      </c>
      <c r="D443" s="88">
        <v>5193</v>
      </c>
      <c r="E443" s="88">
        <v>781</v>
      </c>
      <c r="F443" s="89" t="s">
        <v>22</v>
      </c>
      <c r="G443" s="67">
        <v>576</v>
      </c>
      <c r="H443" s="67">
        <v>334</v>
      </c>
      <c r="I443" s="89" t="s">
        <v>22</v>
      </c>
      <c r="J443" s="89" t="s">
        <v>22</v>
      </c>
      <c r="K443" s="88"/>
      <c r="L443" s="88">
        <f t="shared" si="29"/>
        <v>147305</v>
      </c>
      <c r="M443" s="88">
        <v>105802</v>
      </c>
      <c r="N443" s="88">
        <v>26929</v>
      </c>
      <c r="O443" s="88">
        <v>170</v>
      </c>
      <c r="P443" s="89" t="s">
        <v>22</v>
      </c>
      <c r="Q443" s="67">
        <v>13630</v>
      </c>
      <c r="R443" s="67">
        <v>774</v>
      </c>
      <c r="S443" s="89" t="s">
        <v>22</v>
      </c>
      <c r="T443" s="89" t="s">
        <v>22</v>
      </c>
    </row>
    <row r="444" spans="1:20" s="68" customFormat="1" ht="9" customHeight="1" x14ac:dyDescent="0.15">
      <c r="A444" s="66" t="s">
        <v>35</v>
      </c>
      <c r="B444" s="88">
        <f t="shared" si="28"/>
        <v>21385</v>
      </c>
      <c r="C444" s="88">
        <v>6452</v>
      </c>
      <c r="D444" s="88">
        <v>6232</v>
      </c>
      <c r="E444" s="88">
        <v>3126</v>
      </c>
      <c r="F444" s="89" t="s">
        <v>22</v>
      </c>
      <c r="G444" s="67">
        <v>5369</v>
      </c>
      <c r="H444" s="67">
        <v>206</v>
      </c>
      <c r="I444" s="89" t="s">
        <v>22</v>
      </c>
      <c r="J444" s="89" t="s">
        <v>22</v>
      </c>
      <c r="K444" s="88"/>
      <c r="L444" s="88">
        <f t="shared" si="29"/>
        <v>318440</v>
      </c>
      <c r="M444" s="88">
        <v>206518</v>
      </c>
      <c r="N444" s="88">
        <v>35655</v>
      </c>
      <c r="O444" s="88">
        <v>1433</v>
      </c>
      <c r="P444" s="89" t="s">
        <v>22</v>
      </c>
      <c r="Q444" s="67">
        <v>73197</v>
      </c>
      <c r="R444" s="67">
        <v>1637</v>
      </c>
      <c r="S444" s="89" t="s">
        <v>22</v>
      </c>
      <c r="T444" s="89" t="s">
        <v>22</v>
      </c>
    </row>
    <row r="445" spans="1:20" s="68" customFormat="1" ht="9" customHeight="1" x14ac:dyDescent="0.15">
      <c r="A445" s="66" t="s">
        <v>36</v>
      </c>
      <c r="B445" s="88">
        <f t="shared" si="28"/>
        <v>15581</v>
      </c>
      <c r="C445" s="88">
        <v>8087</v>
      </c>
      <c r="D445" s="88">
        <v>3638</v>
      </c>
      <c r="E445" s="88">
        <v>1779</v>
      </c>
      <c r="F445" s="89" t="s">
        <v>22</v>
      </c>
      <c r="G445" s="67">
        <v>1699</v>
      </c>
      <c r="H445" s="67">
        <v>378</v>
      </c>
      <c r="I445" s="89" t="s">
        <v>22</v>
      </c>
      <c r="J445" s="89" t="s">
        <v>22</v>
      </c>
      <c r="K445" s="88"/>
      <c r="L445" s="88">
        <f t="shared" si="29"/>
        <v>553089</v>
      </c>
      <c r="M445" s="88">
        <v>424406</v>
      </c>
      <c r="N445" s="88">
        <v>19133</v>
      </c>
      <c r="O445" s="88">
        <v>3810</v>
      </c>
      <c r="P445" s="89" t="s">
        <v>22</v>
      </c>
      <c r="Q445" s="67">
        <v>105083</v>
      </c>
      <c r="R445" s="67">
        <v>657</v>
      </c>
      <c r="S445" s="89" t="s">
        <v>22</v>
      </c>
      <c r="T445" s="89" t="s">
        <v>22</v>
      </c>
    </row>
    <row r="446" spans="1:20" s="68" customFormat="1" ht="9" customHeight="1" x14ac:dyDescent="0.15">
      <c r="A446" s="69" t="s">
        <v>37</v>
      </c>
      <c r="B446" s="90">
        <f t="shared" si="28"/>
        <v>5422</v>
      </c>
      <c r="C446" s="90">
        <v>1997</v>
      </c>
      <c r="D446" s="90">
        <v>2030</v>
      </c>
      <c r="E446" s="90">
        <v>595</v>
      </c>
      <c r="F446" s="91" t="s">
        <v>22</v>
      </c>
      <c r="G446" s="70">
        <v>484</v>
      </c>
      <c r="H446" s="70">
        <v>316</v>
      </c>
      <c r="I446" s="91" t="s">
        <v>22</v>
      </c>
      <c r="J446" s="91" t="s">
        <v>22</v>
      </c>
      <c r="K446" s="90"/>
      <c r="L446" s="90">
        <f t="shared" si="29"/>
        <v>120183</v>
      </c>
      <c r="M446" s="90">
        <v>72475</v>
      </c>
      <c r="N446" s="90">
        <v>10203</v>
      </c>
      <c r="O446" s="90">
        <v>448</v>
      </c>
      <c r="P446" s="91" t="s">
        <v>22</v>
      </c>
      <c r="Q446" s="70">
        <v>36276</v>
      </c>
      <c r="R446" s="70">
        <v>781</v>
      </c>
      <c r="S446" s="91" t="s">
        <v>22</v>
      </c>
      <c r="T446" s="91" t="s">
        <v>22</v>
      </c>
    </row>
    <row r="447" spans="1:20" s="68" customFormat="1" ht="9" customHeight="1" x14ac:dyDescent="0.15">
      <c r="A447" s="66" t="s">
        <v>38</v>
      </c>
      <c r="B447" s="88">
        <f t="shared" si="28"/>
        <v>4848</v>
      </c>
      <c r="C447" s="88">
        <v>3239</v>
      </c>
      <c r="D447" s="88">
        <v>572</v>
      </c>
      <c r="E447" s="88">
        <v>730</v>
      </c>
      <c r="F447" s="89" t="s">
        <v>22</v>
      </c>
      <c r="G447" s="67">
        <v>181</v>
      </c>
      <c r="H447" s="67">
        <v>126</v>
      </c>
      <c r="I447" s="89" t="s">
        <v>22</v>
      </c>
      <c r="J447" s="89" t="s">
        <v>22</v>
      </c>
      <c r="K447" s="88"/>
      <c r="L447" s="88">
        <f t="shared" si="29"/>
        <v>88044</v>
      </c>
      <c r="M447" s="88">
        <v>79365</v>
      </c>
      <c r="N447" s="88">
        <v>4505</v>
      </c>
      <c r="O447" s="88">
        <v>514</v>
      </c>
      <c r="P447" s="89" t="s">
        <v>22</v>
      </c>
      <c r="Q447" s="67">
        <v>3467</v>
      </c>
      <c r="R447" s="67">
        <v>193</v>
      </c>
      <c r="S447" s="89" t="s">
        <v>22</v>
      </c>
      <c r="T447" s="89" t="s">
        <v>22</v>
      </c>
    </row>
    <row r="448" spans="1:20" s="68" customFormat="1" ht="9" customHeight="1" x14ac:dyDescent="0.15">
      <c r="A448" s="66" t="s">
        <v>39</v>
      </c>
      <c r="B448" s="88">
        <f t="shared" si="28"/>
        <v>2652</v>
      </c>
      <c r="C448" s="88">
        <v>1014</v>
      </c>
      <c r="D448" s="88">
        <v>967</v>
      </c>
      <c r="E448" s="88">
        <v>160</v>
      </c>
      <c r="F448" s="89" t="s">
        <v>22</v>
      </c>
      <c r="G448" s="67">
        <v>506</v>
      </c>
      <c r="H448" s="67">
        <v>5</v>
      </c>
      <c r="I448" s="89" t="s">
        <v>22</v>
      </c>
      <c r="J448" s="89" t="s">
        <v>22</v>
      </c>
      <c r="K448" s="88"/>
      <c r="L448" s="88">
        <f t="shared" si="29"/>
        <v>46883</v>
      </c>
      <c r="M448" s="88">
        <v>31327</v>
      </c>
      <c r="N448" s="88">
        <v>4429</v>
      </c>
      <c r="O448" s="88">
        <v>302</v>
      </c>
      <c r="P448" s="89" t="s">
        <v>22</v>
      </c>
      <c r="Q448" s="67">
        <v>10775</v>
      </c>
      <c r="R448" s="67">
        <v>50</v>
      </c>
      <c r="S448" s="89" t="s">
        <v>22</v>
      </c>
      <c r="T448" s="89" t="s">
        <v>22</v>
      </c>
    </row>
    <row r="449" spans="1:20" s="68" customFormat="1" ht="9" customHeight="1" x14ac:dyDescent="0.15">
      <c r="A449" s="66" t="s">
        <v>40</v>
      </c>
      <c r="B449" s="88">
        <f t="shared" si="28"/>
        <v>8157</v>
      </c>
      <c r="C449" s="88">
        <v>4741</v>
      </c>
      <c r="D449" s="88">
        <v>1386</v>
      </c>
      <c r="E449" s="88">
        <v>1213</v>
      </c>
      <c r="F449" s="89" t="s">
        <v>22</v>
      </c>
      <c r="G449" s="67">
        <v>470</v>
      </c>
      <c r="H449" s="67">
        <v>347</v>
      </c>
      <c r="I449" s="89" t="s">
        <v>22</v>
      </c>
      <c r="J449" s="89" t="s">
        <v>22</v>
      </c>
      <c r="K449" s="88"/>
      <c r="L449" s="88">
        <f t="shared" si="29"/>
        <v>165414</v>
      </c>
      <c r="M449" s="88">
        <v>123893</v>
      </c>
      <c r="N449" s="88">
        <v>5957</v>
      </c>
      <c r="O449" s="88">
        <v>533</v>
      </c>
      <c r="P449" s="89" t="s">
        <v>22</v>
      </c>
      <c r="Q449" s="67">
        <v>31893</v>
      </c>
      <c r="R449" s="67">
        <v>3138</v>
      </c>
      <c r="S449" s="89" t="s">
        <v>22</v>
      </c>
      <c r="T449" s="89" t="s">
        <v>22</v>
      </c>
    </row>
    <row r="450" spans="1:20" s="68" customFormat="1" ht="9" customHeight="1" x14ac:dyDescent="0.15">
      <c r="A450" s="69" t="s">
        <v>41</v>
      </c>
      <c r="B450" s="90">
        <f t="shared" si="28"/>
        <v>6092</v>
      </c>
      <c r="C450" s="90">
        <v>3873</v>
      </c>
      <c r="D450" s="90">
        <v>1750</v>
      </c>
      <c r="E450" s="90">
        <v>280</v>
      </c>
      <c r="F450" s="91" t="s">
        <v>22</v>
      </c>
      <c r="G450" s="70">
        <v>114</v>
      </c>
      <c r="H450" s="70">
        <v>75</v>
      </c>
      <c r="I450" s="91" t="s">
        <v>22</v>
      </c>
      <c r="J450" s="91" t="s">
        <v>22</v>
      </c>
      <c r="K450" s="90"/>
      <c r="L450" s="90">
        <f t="shared" si="29"/>
        <v>133555</v>
      </c>
      <c r="M450" s="90">
        <v>113320</v>
      </c>
      <c r="N450" s="90">
        <v>14056</v>
      </c>
      <c r="O450" s="90">
        <v>115</v>
      </c>
      <c r="P450" s="91" t="s">
        <v>22</v>
      </c>
      <c r="Q450" s="70">
        <v>5829</v>
      </c>
      <c r="R450" s="70">
        <v>235</v>
      </c>
      <c r="S450" s="91" t="s">
        <v>22</v>
      </c>
      <c r="T450" s="91" t="s">
        <v>22</v>
      </c>
    </row>
    <row r="451" spans="1:20" s="68" customFormat="1" ht="9" customHeight="1" x14ac:dyDescent="0.15">
      <c r="A451" s="66" t="s">
        <v>42</v>
      </c>
      <c r="B451" s="88">
        <f t="shared" si="28"/>
        <v>6269</v>
      </c>
      <c r="C451" s="88">
        <v>3065</v>
      </c>
      <c r="D451" s="88">
        <v>2156</v>
      </c>
      <c r="E451" s="88">
        <v>629</v>
      </c>
      <c r="F451" s="89" t="s">
        <v>22</v>
      </c>
      <c r="G451" s="67">
        <v>357</v>
      </c>
      <c r="H451" s="67">
        <v>62</v>
      </c>
      <c r="I451" s="89" t="s">
        <v>22</v>
      </c>
      <c r="J451" s="89" t="s">
        <v>22</v>
      </c>
      <c r="K451" s="88"/>
      <c r="L451" s="88">
        <f t="shared" si="29"/>
        <v>130091</v>
      </c>
      <c r="M451" s="88">
        <v>105668</v>
      </c>
      <c r="N451" s="88">
        <v>13377</v>
      </c>
      <c r="O451" s="88">
        <v>180</v>
      </c>
      <c r="P451" s="89" t="s">
        <v>22</v>
      </c>
      <c r="Q451" s="67">
        <v>10842</v>
      </c>
      <c r="R451" s="67">
        <v>24</v>
      </c>
      <c r="S451" s="89" t="s">
        <v>22</v>
      </c>
      <c r="T451" s="89" t="s">
        <v>22</v>
      </c>
    </row>
    <row r="452" spans="1:20" s="68" customFormat="1" ht="9" customHeight="1" x14ac:dyDescent="0.15">
      <c r="A452" s="66" t="s">
        <v>43</v>
      </c>
      <c r="B452" s="88">
        <f t="shared" si="28"/>
        <v>1402</v>
      </c>
      <c r="C452" s="88">
        <v>871</v>
      </c>
      <c r="D452" s="88">
        <v>59</v>
      </c>
      <c r="E452" s="88">
        <v>242</v>
      </c>
      <c r="F452" s="89" t="s">
        <v>22</v>
      </c>
      <c r="G452" s="67">
        <v>230</v>
      </c>
      <c r="H452" s="67">
        <v>0</v>
      </c>
      <c r="I452" s="89" t="s">
        <v>22</v>
      </c>
      <c r="J452" s="89" t="s">
        <v>22</v>
      </c>
      <c r="K452" s="88"/>
      <c r="L452" s="88">
        <f t="shared" si="29"/>
        <v>71351</v>
      </c>
      <c r="M452" s="88">
        <v>63078</v>
      </c>
      <c r="N452" s="88">
        <v>365</v>
      </c>
      <c r="O452" s="88">
        <v>259</v>
      </c>
      <c r="P452" s="89" t="s">
        <v>22</v>
      </c>
      <c r="Q452" s="67">
        <v>7649</v>
      </c>
      <c r="R452" s="67">
        <v>0</v>
      </c>
      <c r="S452" s="89" t="s">
        <v>22</v>
      </c>
      <c r="T452" s="89" t="s">
        <v>22</v>
      </c>
    </row>
    <row r="453" spans="1:20" s="68" customFormat="1" ht="9" customHeight="1" x14ac:dyDescent="0.15">
      <c r="A453" s="66" t="s">
        <v>44</v>
      </c>
      <c r="B453" s="88">
        <f t="shared" si="28"/>
        <v>5915</v>
      </c>
      <c r="C453" s="88">
        <v>3527</v>
      </c>
      <c r="D453" s="88">
        <v>1285</v>
      </c>
      <c r="E453" s="88">
        <v>430</v>
      </c>
      <c r="F453" s="89" t="s">
        <v>22</v>
      </c>
      <c r="G453" s="67">
        <v>553</v>
      </c>
      <c r="H453" s="67">
        <v>120</v>
      </c>
      <c r="I453" s="89" t="s">
        <v>22</v>
      </c>
      <c r="J453" s="89" t="s">
        <v>22</v>
      </c>
      <c r="K453" s="88"/>
      <c r="L453" s="88">
        <f t="shared" si="29"/>
        <v>132853</v>
      </c>
      <c r="M453" s="88">
        <v>95689</v>
      </c>
      <c r="N453" s="88">
        <v>5789</v>
      </c>
      <c r="O453" s="88">
        <v>207</v>
      </c>
      <c r="P453" s="89" t="s">
        <v>22</v>
      </c>
      <c r="Q453" s="67">
        <v>30587</v>
      </c>
      <c r="R453" s="67">
        <v>581</v>
      </c>
      <c r="S453" s="89" t="s">
        <v>22</v>
      </c>
      <c r="T453" s="89" t="s">
        <v>22</v>
      </c>
    </row>
    <row r="454" spans="1:20" s="68" customFormat="1" ht="9" customHeight="1" x14ac:dyDescent="0.15">
      <c r="A454" s="69" t="s">
        <v>45</v>
      </c>
      <c r="B454" s="90">
        <f t="shared" si="28"/>
        <v>3581</v>
      </c>
      <c r="C454" s="90">
        <v>1168</v>
      </c>
      <c r="D454" s="90">
        <v>513</v>
      </c>
      <c r="E454" s="90">
        <v>792</v>
      </c>
      <c r="F454" s="91" t="s">
        <v>22</v>
      </c>
      <c r="G454" s="70">
        <v>954</v>
      </c>
      <c r="H454" s="70">
        <v>154</v>
      </c>
      <c r="I454" s="91" t="s">
        <v>22</v>
      </c>
      <c r="J454" s="91" t="s">
        <v>22</v>
      </c>
      <c r="K454" s="90"/>
      <c r="L454" s="90">
        <f t="shared" si="29"/>
        <v>110919</v>
      </c>
      <c r="M454" s="90">
        <v>76276</v>
      </c>
      <c r="N454" s="90">
        <v>1948</v>
      </c>
      <c r="O454" s="90">
        <v>593</v>
      </c>
      <c r="P454" s="91" t="s">
        <v>22</v>
      </c>
      <c r="Q454" s="70">
        <v>31887</v>
      </c>
      <c r="R454" s="70">
        <v>215</v>
      </c>
      <c r="S454" s="91" t="s">
        <v>22</v>
      </c>
      <c r="T454" s="91" t="s">
        <v>22</v>
      </c>
    </row>
    <row r="455" spans="1:20" s="68" customFormat="1" ht="9" customHeight="1" x14ac:dyDescent="0.15">
      <c r="A455" s="66" t="s">
        <v>46</v>
      </c>
      <c r="B455" s="88">
        <f t="shared" si="28"/>
        <v>15198</v>
      </c>
      <c r="C455" s="88">
        <v>7278</v>
      </c>
      <c r="D455" s="88">
        <v>4025</v>
      </c>
      <c r="E455" s="88">
        <v>2062</v>
      </c>
      <c r="F455" s="89" t="s">
        <v>22</v>
      </c>
      <c r="G455" s="67">
        <v>1505</v>
      </c>
      <c r="H455" s="67">
        <v>328</v>
      </c>
      <c r="I455" s="89" t="s">
        <v>22</v>
      </c>
      <c r="J455" s="89" t="s">
        <v>22</v>
      </c>
      <c r="K455" s="88"/>
      <c r="L455" s="88">
        <f t="shared" si="29"/>
        <v>353973</v>
      </c>
      <c r="M455" s="88">
        <v>254451</v>
      </c>
      <c r="N455" s="88">
        <v>35274</v>
      </c>
      <c r="O455" s="88">
        <v>779</v>
      </c>
      <c r="P455" s="89" t="s">
        <v>22</v>
      </c>
      <c r="Q455" s="67">
        <v>63011</v>
      </c>
      <c r="R455" s="67">
        <v>458</v>
      </c>
      <c r="S455" s="89" t="s">
        <v>22</v>
      </c>
      <c r="T455" s="89" t="s">
        <v>22</v>
      </c>
    </row>
    <row r="456" spans="1:20" s="68" customFormat="1" ht="9" customHeight="1" x14ac:dyDescent="0.15">
      <c r="A456" s="66" t="s">
        <v>47</v>
      </c>
      <c r="B456" s="88">
        <f t="shared" si="28"/>
        <v>2539</v>
      </c>
      <c r="C456" s="88">
        <v>1415</v>
      </c>
      <c r="D456" s="88">
        <v>417</v>
      </c>
      <c r="E456" s="88">
        <v>381</v>
      </c>
      <c r="F456" s="89" t="s">
        <v>22</v>
      </c>
      <c r="G456" s="67">
        <v>160</v>
      </c>
      <c r="H456" s="67">
        <v>166</v>
      </c>
      <c r="I456" s="89" t="s">
        <v>22</v>
      </c>
      <c r="J456" s="89" t="s">
        <v>22</v>
      </c>
      <c r="K456" s="88"/>
      <c r="L456" s="88">
        <f t="shared" si="29"/>
        <v>90926</v>
      </c>
      <c r="M456" s="88">
        <v>44611</v>
      </c>
      <c r="N456" s="88">
        <v>1480</v>
      </c>
      <c r="O456" s="88">
        <v>104</v>
      </c>
      <c r="P456" s="89" t="s">
        <v>22</v>
      </c>
      <c r="Q456" s="67">
        <v>44494</v>
      </c>
      <c r="R456" s="67">
        <v>237</v>
      </c>
      <c r="S456" s="89" t="s">
        <v>22</v>
      </c>
      <c r="T456" s="89" t="s">
        <v>22</v>
      </c>
    </row>
    <row r="457" spans="1:20" s="68" customFormat="1" ht="9" customHeight="1" x14ac:dyDescent="0.15">
      <c r="A457" s="66" t="s">
        <v>48</v>
      </c>
      <c r="B457" s="88">
        <f t="shared" si="28"/>
        <v>3629</v>
      </c>
      <c r="C457" s="88">
        <v>1897</v>
      </c>
      <c r="D457" s="88">
        <v>127</v>
      </c>
      <c r="E457" s="88">
        <v>146</v>
      </c>
      <c r="F457" s="89" t="s">
        <v>22</v>
      </c>
      <c r="G457" s="67">
        <v>1430</v>
      </c>
      <c r="H457" s="67">
        <v>29</v>
      </c>
      <c r="I457" s="89" t="s">
        <v>22</v>
      </c>
      <c r="J457" s="89" t="s">
        <v>22</v>
      </c>
      <c r="K457" s="88"/>
      <c r="L457" s="88">
        <f t="shared" si="29"/>
        <v>88811</v>
      </c>
      <c r="M457" s="88">
        <v>83439</v>
      </c>
      <c r="N457" s="88">
        <v>1901</v>
      </c>
      <c r="O457" s="88">
        <v>36</v>
      </c>
      <c r="P457" s="89" t="s">
        <v>22</v>
      </c>
      <c r="Q457" s="67">
        <v>3435</v>
      </c>
      <c r="R457" s="67">
        <v>0</v>
      </c>
      <c r="S457" s="89" t="s">
        <v>22</v>
      </c>
      <c r="T457" s="89" t="s">
        <v>22</v>
      </c>
    </row>
    <row r="458" spans="1:20" s="68" customFormat="1" ht="9" customHeight="1" x14ac:dyDescent="0.15">
      <c r="A458" s="69" t="s">
        <v>49</v>
      </c>
      <c r="B458" s="90">
        <f t="shared" si="28"/>
        <v>4942</v>
      </c>
      <c r="C458" s="90">
        <v>2295</v>
      </c>
      <c r="D458" s="90">
        <v>965</v>
      </c>
      <c r="E458" s="90">
        <v>985</v>
      </c>
      <c r="F458" s="91" t="s">
        <v>22</v>
      </c>
      <c r="G458" s="70">
        <v>612</v>
      </c>
      <c r="H458" s="70">
        <v>85</v>
      </c>
      <c r="I458" s="91" t="s">
        <v>22</v>
      </c>
      <c r="J458" s="91" t="s">
        <v>22</v>
      </c>
      <c r="K458" s="90"/>
      <c r="L458" s="90">
        <f t="shared" si="29"/>
        <v>82177</v>
      </c>
      <c r="M458" s="90">
        <v>69161</v>
      </c>
      <c r="N458" s="90">
        <v>2918</v>
      </c>
      <c r="O458" s="90">
        <v>297</v>
      </c>
      <c r="P458" s="91" t="s">
        <v>22</v>
      </c>
      <c r="Q458" s="70">
        <v>8724</v>
      </c>
      <c r="R458" s="70">
        <v>1077</v>
      </c>
      <c r="S458" s="91" t="s">
        <v>22</v>
      </c>
      <c r="T458" s="91" t="s">
        <v>22</v>
      </c>
    </row>
    <row r="459" spans="1:20" s="72" customFormat="1" ht="9" customHeight="1" x14ac:dyDescent="0.15">
      <c r="A459" s="71" t="s">
        <v>50</v>
      </c>
      <c r="B459" s="92">
        <f t="shared" si="28"/>
        <v>3669</v>
      </c>
      <c r="C459" s="92">
        <v>2756</v>
      </c>
      <c r="D459" s="92">
        <v>707</v>
      </c>
      <c r="E459" s="92">
        <v>192</v>
      </c>
      <c r="F459" s="89" t="s">
        <v>22</v>
      </c>
      <c r="G459" s="67">
        <v>14</v>
      </c>
      <c r="H459" s="67">
        <v>0</v>
      </c>
      <c r="I459" s="89" t="s">
        <v>22</v>
      </c>
      <c r="J459" s="89" t="s">
        <v>22</v>
      </c>
      <c r="K459" s="92"/>
      <c r="L459" s="92">
        <f t="shared" si="29"/>
        <v>109626</v>
      </c>
      <c r="M459" s="92">
        <v>102116</v>
      </c>
      <c r="N459" s="92">
        <v>5067</v>
      </c>
      <c r="O459" s="92">
        <v>881</v>
      </c>
      <c r="P459" s="89" t="s">
        <v>22</v>
      </c>
      <c r="Q459" s="67">
        <v>1562</v>
      </c>
      <c r="R459" s="67">
        <v>0</v>
      </c>
      <c r="S459" s="89" t="s">
        <v>22</v>
      </c>
      <c r="T459" s="89" t="s">
        <v>22</v>
      </c>
    </row>
    <row r="460" spans="1:20" s="68" customFormat="1" ht="9" customHeight="1" x14ac:dyDescent="0.15">
      <c r="A460" s="66" t="s">
        <v>51</v>
      </c>
      <c r="B460" s="88">
        <f t="shared" si="28"/>
        <v>6394</v>
      </c>
      <c r="C460" s="88">
        <v>2128</v>
      </c>
      <c r="D460" s="88">
        <v>2313</v>
      </c>
      <c r="E460" s="88">
        <v>773</v>
      </c>
      <c r="F460" s="89" t="s">
        <v>22</v>
      </c>
      <c r="G460" s="67">
        <v>1136</v>
      </c>
      <c r="H460" s="67">
        <v>44</v>
      </c>
      <c r="I460" s="89" t="s">
        <v>22</v>
      </c>
      <c r="J460" s="89" t="s">
        <v>22</v>
      </c>
      <c r="K460" s="88"/>
      <c r="L460" s="88">
        <f t="shared" si="29"/>
        <v>113938</v>
      </c>
      <c r="M460" s="88">
        <v>57556</v>
      </c>
      <c r="N460" s="88">
        <v>7763</v>
      </c>
      <c r="O460" s="88">
        <v>810</v>
      </c>
      <c r="P460" s="89" t="s">
        <v>22</v>
      </c>
      <c r="Q460" s="67">
        <v>47735</v>
      </c>
      <c r="R460" s="67">
        <v>74</v>
      </c>
      <c r="S460" s="89" t="s">
        <v>22</v>
      </c>
      <c r="T460" s="89" t="s">
        <v>22</v>
      </c>
    </row>
    <row r="461" spans="1:20" s="68" customFormat="1" ht="9" customHeight="1" x14ac:dyDescent="0.15">
      <c r="A461" s="66" t="s">
        <v>52</v>
      </c>
      <c r="B461" s="88">
        <f t="shared" si="28"/>
        <v>2424</v>
      </c>
      <c r="C461" s="88">
        <v>890</v>
      </c>
      <c r="D461" s="88">
        <v>1048</v>
      </c>
      <c r="E461" s="88">
        <v>286</v>
      </c>
      <c r="F461" s="89" t="s">
        <v>22</v>
      </c>
      <c r="G461" s="67">
        <v>191</v>
      </c>
      <c r="H461" s="67">
        <v>9</v>
      </c>
      <c r="I461" s="89" t="s">
        <v>22</v>
      </c>
      <c r="J461" s="89" t="s">
        <v>22</v>
      </c>
      <c r="K461" s="88"/>
      <c r="L461" s="88">
        <f t="shared" si="29"/>
        <v>32754</v>
      </c>
      <c r="M461" s="88">
        <v>24184</v>
      </c>
      <c r="N461" s="88">
        <v>2072</v>
      </c>
      <c r="O461" s="88">
        <v>169</v>
      </c>
      <c r="P461" s="89" t="s">
        <v>22</v>
      </c>
      <c r="Q461" s="67">
        <v>6315</v>
      </c>
      <c r="R461" s="67">
        <v>14</v>
      </c>
      <c r="S461" s="89" t="s">
        <v>22</v>
      </c>
      <c r="T461" s="89" t="s">
        <v>22</v>
      </c>
    </row>
    <row r="462" spans="1:20" s="68" customFormat="1" ht="9" customHeight="1" x14ac:dyDescent="0.15">
      <c r="A462" s="69" t="s">
        <v>53</v>
      </c>
      <c r="B462" s="90">
        <f t="shared" si="28"/>
        <v>6310</v>
      </c>
      <c r="C462" s="90">
        <v>3002</v>
      </c>
      <c r="D462" s="90">
        <v>2434</v>
      </c>
      <c r="E462" s="90">
        <v>416</v>
      </c>
      <c r="F462" s="91" t="s">
        <v>22</v>
      </c>
      <c r="G462" s="70">
        <v>296</v>
      </c>
      <c r="H462" s="70">
        <v>162</v>
      </c>
      <c r="I462" s="91" t="s">
        <v>22</v>
      </c>
      <c r="J462" s="91" t="s">
        <v>22</v>
      </c>
      <c r="K462" s="90"/>
      <c r="L462" s="90">
        <f t="shared" si="29"/>
        <v>95297</v>
      </c>
      <c r="M462" s="90">
        <v>71207</v>
      </c>
      <c r="N462" s="90">
        <v>9458</v>
      </c>
      <c r="O462" s="90">
        <v>383</v>
      </c>
      <c r="P462" s="91" t="s">
        <v>22</v>
      </c>
      <c r="Q462" s="70">
        <v>14037</v>
      </c>
      <c r="R462" s="70">
        <v>212</v>
      </c>
      <c r="S462" s="91" t="s">
        <v>22</v>
      </c>
      <c r="T462" s="91" t="s">
        <v>22</v>
      </c>
    </row>
    <row r="463" spans="1:20" s="65" customFormat="1" ht="9" customHeight="1" x14ac:dyDescent="0.15">
      <c r="A463" s="71"/>
      <c r="B463" s="92"/>
      <c r="C463" s="92"/>
      <c r="D463" s="92"/>
      <c r="E463" s="92"/>
      <c r="F463" s="92"/>
      <c r="G463" s="67"/>
      <c r="H463" s="67"/>
      <c r="I463" s="67"/>
      <c r="J463" s="67"/>
      <c r="K463" s="92"/>
      <c r="L463" s="92"/>
      <c r="M463" s="92"/>
      <c r="N463" s="92"/>
      <c r="O463" s="92"/>
      <c r="P463" s="92"/>
      <c r="Q463" s="67"/>
      <c r="R463" s="67"/>
      <c r="S463" s="67"/>
      <c r="T463" s="67"/>
    </row>
    <row r="464" spans="1:20" s="65" customFormat="1" ht="9" customHeight="1" x14ac:dyDescent="0.25">
      <c r="A464" s="96">
        <v>2012</v>
      </c>
      <c r="B464" s="97"/>
      <c r="C464" s="98"/>
      <c r="D464" s="97"/>
      <c r="E464" s="97"/>
      <c r="F464" s="97"/>
      <c r="G464" s="64"/>
      <c r="H464" s="64"/>
      <c r="I464" s="64"/>
      <c r="J464" s="64"/>
      <c r="K464" s="97"/>
      <c r="L464" s="97"/>
      <c r="M464" s="97"/>
      <c r="N464" s="97"/>
      <c r="O464" s="97"/>
      <c r="P464" s="97"/>
      <c r="Q464" s="64"/>
      <c r="R464" s="64"/>
      <c r="S464" s="64"/>
      <c r="T464" s="64"/>
    </row>
    <row r="465" spans="1:20" s="65" customFormat="1" ht="9" customHeight="1" x14ac:dyDescent="0.25">
      <c r="A465" s="99" t="s">
        <v>21</v>
      </c>
      <c r="B465" s="64">
        <f t="shared" ref="B465:J465" si="30">SUM(B467:B498)</f>
        <v>466300</v>
      </c>
      <c r="C465" s="64">
        <f t="shared" si="30"/>
        <v>123144</v>
      </c>
      <c r="D465" s="64">
        <f t="shared" si="30"/>
        <v>59441</v>
      </c>
      <c r="E465" s="64">
        <f t="shared" si="30"/>
        <v>81189</v>
      </c>
      <c r="F465" s="64" t="s">
        <v>22</v>
      </c>
      <c r="G465" s="64">
        <f t="shared" si="30"/>
        <v>165372</v>
      </c>
      <c r="H465" s="64">
        <f t="shared" si="30"/>
        <v>7754</v>
      </c>
      <c r="I465" s="64">
        <f t="shared" si="30"/>
        <v>568</v>
      </c>
      <c r="J465" s="64">
        <f t="shared" si="30"/>
        <v>28832</v>
      </c>
      <c r="K465" s="64"/>
      <c r="L465" s="64">
        <f t="shared" ref="L465:T465" si="31">SUM(L467:L498)</f>
        <v>7743426</v>
      </c>
      <c r="M465" s="64">
        <f t="shared" si="31"/>
        <v>4624966</v>
      </c>
      <c r="N465" s="64">
        <f t="shared" si="31"/>
        <v>338191</v>
      </c>
      <c r="O465" s="64">
        <f t="shared" si="31"/>
        <v>35997</v>
      </c>
      <c r="P465" s="64" t="s">
        <v>22</v>
      </c>
      <c r="Q465" s="64">
        <f t="shared" si="31"/>
        <v>1821369</v>
      </c>
      <c r="R465" s="64">
        <f t="shared" si="31"/>
        <v>27309</v>
      </c>
      <c r="S465" s="64">
        <f t="shared" si="31"/>
        <v>1306</v>
      </c>
      <c r="T465" s="64">
        <f t="shared" si="31"/>
        <v>894288</v>
      </c>
    </row>
    <row r="466" spans="1:20" s="65" customFormat="1" ht="3.95" customHeight="1" x14ac:dyDescent="0.25">
      <c r="A466" s="99"/>
      <c r="B466" s="64"/>
      <c r="C466" s="64"/>
      <c r="D466" s="64"/>
      <c r="E466" s="64"/>
      <c r="F466" s="64"/>
      <c r="G466" s="64"/>
      <c r="H466" s="64"/>
      <c r="I466" s="64"/>
      <c r="J466" s="64"/>
      <c r="K466" s="64"/>
      <c r="L466" s="64"/>
      <c r="M466" s="64"/>
      <c r="N466" s="64"/>
      <c r="O466" s="64"/>
      <c r="P466" s="64"/>
      <c r="Q466" s="64"/>
      <c r="R466" s="64"/>
      <c r="S466" s="64"/>
      <c r="T466" s="64"/>
    </row>
    <row r="467" spans="1:20" s="68" customFormat="1" ht="9" customHeight="1" x14ac:dyDescent="0.15">
      <c r="A467" s="66" t="s">
        <v>23</v>
      </c>
      <c r="B467" s="88">
        <f>SUM(C467:J467)</f>
        <v>7748</v>
      </c>
      <c r="C467" s="88">
        <v>1149</v>
      </c>
      <c r="D467" s="88">
        <v>825</v>
      </c>
      <c r="E467" s="88">
        <v>454</v>
      </c>
      <c r="F467" s="89" t="s">
        <v>22</v>
      </c>
      <c r="G467" s="67">
        <v>5168</v>
      </c>
      <c r="H467" s="67">
        <v>20</v>
      </c>
      <c r="I467" s="67">
        <v>0</v>
      </c>
      <c r="J467" s="67">
        <v>132</v>
      </c>
      <c r="K467" s="88"/>
      <c r="L467" s="88">
        <f>SUM(M467:T467)</f>
        <v>84374</v>
      </c>
      <c r="M467" s="88">
        <v>52768</v>
      </c>
      <c r="N467" s="88">
        <v>3384</v>
      </c>
      <c r="O467" s="88">
        <v>62</v>
      </c>
      <c r="P467" s="89" t="s">
        <v>22</v>
      </c>
      <c r="Q467" s="67">
        <v>18600</v>
      </c>
      <c r="R467" s="67">
        <v>100</v>
      </c>
      <c r="S467" s="67">
        <v>0</v>
      </c>
      <c r="T467" s="67">
        <v>9460</v>
      </c>
    </row>
    <row r="468" spans="1:20" s="68" customFormat="1" ht="9" customHeight="1" x14ac:dyDescent="0.15">
      <c r="A468" s="66" t="s">
        <v>24</v>
      </c>
      <c r="B468" s="88">
        <f t="shared" ref="B468:B498" si="32">SUM(C468:J468)</f>
        <v>8479</v>
      </c>
      <c r="C468" s="88">
        <v>3283</v>
      </c>
      <c r="D468" s="88">
        <v>390</v>
      </c>
      <c r="E468" s="88">
        <v>2043</v>
      </c>
      <c r="F468" s="89" t="s">
        <v>22</v>
      </c>
      <c r="G468" s="67">
        <v>2217</v>
      </c>
      <c r="H468" s="67">
        <v>336</v>
      </c>
      <c r="I468" s="67">
        <v>104</v>
      </c>
      <c r="J468" s="67">
        <v>106</v>
      </c>
      <c r="K468" s="88"/>
      <c r="L468" s="88">
        <f t="shared" ref="L468:L498" si="33">SUM(M468:T468)</f>
        <v>176506</v>
      </c>
      <c r="M468" s="88">
        <v>144884</v>
      </c>
      <c r="N468" s="88">
        <v>1213</v>
      </c>
      <c r="O468" s="88">
        <v>374</v>
      </c>
      <c r="P468" s="89" t="s">
        <v>22</v>
      </c>
      <c r="Q468" s="67">
        <v>17918</v>
      </c>
      <c r="R468" s="67">
        <v>1285</v>
      </c>
      <c r="S468" s="67">
        <v>242</v>
      </c>
      <c r="T468" s="67">
        <v>10590</v>
      </c>
    </row>
    <row r="469" spans="1:20" s="68" customFormat="1" ht="9" customHeight="1" x14ac:dyDescent="0.15">
      <c r="A469" s="66" t="s">
        <v>25</v>
      </c>
      <c r="B469" s="88">
        <f t="shared" si="32"/>
        <v>6581</v>
      </c>
      <c r="C469" s="88">
        <v>3108</v>
      </c>
      <c r="D469" s="88">
        <v>783</v>
      </c>
      <c r="E469" s="88">
        <v>573</v>
      </c>
      <c r="F469" s="89" t="s">
        <v>22</v>
      </c>
      <c r="G469" s="67">
        <v>1475</v>
      </c>
      <c r="H469" s="67">
        <v>378</v>
      </c>
      <c r="I469" s="67">
        <v>0</v>
      </c>
      <c r="J469" s="67">
        <v>264</v>
      </c>
      <c r="K469" s="88"/>
      <c r="L469" s="88">
        <f t="shared" si="33"/>
        <v>171447</v>
      </c>
      <c r="M469" s="88">
        <v>104142</v>
      </c>
      <c r="N469" s="88">
        <v>6238</v>
      </c>
      <c r="O469" s="88">
        <v>346</v>
      </c>
      <c r="P469" s="89" t="s">
        <v>22</v>
      </c>
      <c r="Q469" s="67">
        <v>52367</v>
      </c>
      <c r="R469" s="67">
        <v>2272</v>
      </c>
      <c r="S469" s="67">
        <v>0</v>
      </c>
      <c r="T469" s="67">
        <v>6082</v>
      </c>
    </row>
    <row r="470" spans="1:20" s="68" customFormat="1" ht="9" customHeight="1" x14ac:dyDescent="0.15">
      <c r="A470" s="69" t="s">
        <v>26</v>
      </c>
      <c r="B470" s="102">
        <f t="shared" si="32"/>
        <v>5358</v>
      </c>
      <c r="C470" s="90">
        <v>662</v>
      </c>
      <c r="D470" s="90">
        <v>804</v>
      </c>
      <c r="E470" s="90">
        <v>598</v>
      </c>
      <c r="F470" s="91" t="s">
        <v>22</v>
      </c>
      <c r="G470" s="70">
        <v>3062</v>
      </c>
      <c r="H470" s="70">
        <v>76</v>
      </c>
      <c r="I470" s="70">
        <v>0</v>
      </c>
      <c r="J470" s="70">
        <v>156</v>
      </c>
      <c r="K470" s="90"/>
      <c r="L470" s="102">
        <f t="shared" si="33"/>
        <v>63501</v>
      </c>
      <c r="M470" s="90">
        <v>20066</v>
      </c>
      <c r="N470" s="90">
        <v>5803</v>
      </c>
      <c r="O470" s="90">
        <v>61</v>
      </c>
      <c r="P470" s="91" t="s">
        <v>22</v>
      </c>
      <c r="Q470" s="70">
        <v>24080</v>
      </c>
      <c r="R470" s="70">
        <v>124</v>
      </c>
      <c r="S470" s="70">
        <v>0</v>
      </c>
      <c r="T470" s="70">
        <v>13367</v>
      </c>
    </row>
    <row r="471" spans="1:20" s="68" customFormat="1" ht="9" customHeight="1" x14ac:dyDescent="0.15">
      <c r="A471" s="66" t="s">
        <v>27</v>
      </c>
      <c r="B471" s="88">
        <f t="shared" si="32"/>
        <v>7967</v>
      </c>
      <c r="C471" s="88">
        <v>2765</v>
      </c>
      <c r="D471" s="88">
        <v>1052</v>
      </c>
      <c r="E471" s="88">
        <v>1973</v>
      </c>
      <c r="F471" s="89" t="s">
        <v>22</v>
      </c>
      <c r="G471" s="67">
        <v>1732</v>
      </c>
      <c r="H471" s="67">
        <v>60</v>
      </c>
      <c r="I471" s="67">
        <v>4</v>
      </c>
      <c r="J471" s="67">
        <v>381</v>
      </c>
      <c r="K471" s="88"/>
      <c r="L471" s="88">
        <f t="shared" si="33"/>
        <v>203932</v>
      </c>
      <c r="M471" s="88">
        <v>135984</v>
      </c>
      <c r="N471" s="88">
        <v>6927</v>
      </c>
      <c r="O471" s="88">
        <v>634</v>
      </c>
      <c r="P471" s="89" t="s">
        <v>22</v>
      </c>
      <c r="Q471" s="67">
        <v>40482</v>
      </c>
      <c r="R471" s="67">
        <v>201</v>
      </c>
      <c r="S471" s="67">
        <v>0</v>
      </c>
      <c r="T471" s="67">
        <v>19704</v>
      </c>
    </row>
    <row r="472" spans="1:20" s="68" customFormat="1" ht="9" customHeight="1" x14ac:dyDescent="0.15">
      <c r="A472" s="66" t="s">
        <v>28</v>
      </c>
      <c r="B472" s="88">
        <f t="shared" si="32"/>
        <v>17906</v>
      </c>
      <c r="C472" s="88">
        <v>6059</v>
      </c>
      <c r="D472" s="88">
        <v>520</v>
      </c>
      <c r="E472" s="88">
        <v>1949</v>
      </c>
      <c r="F472" s="89" t="s">
        <v>22</v>
      </c>
      <c r="G472" s="67">
        <v>8977</v>
      </c>
      <c r="H472" s="67">
        <v>14</v>
      </c>
      <c r="I472" s="67">
        <v>17</v>
      </c>
      <c r="J472" s="67">
        <v>370</v>
      </c>
      <c r="K472" s="88"/>
      <c r="L472" s="88">
        <f t="shared" si="33"/>
        <v>252164</v>
      </c>
      <c r="M472" s="88">
        <v>167983</v>
      </c>
      <c r="N472" s="88">
        <v>1429</v>
      </c>
      <c r="O472" s="88">
        <v>168</v>
      </c>
      <c r="P472" s="89" t="s">
        <v>22</v>
      </c>
      <c r="Q472" s="67">
        <v>71370</v>
      </c>
      <c r="R472" s="67">
        <v>0</v>
      </c>
      <c r="S472" s="67">
        <v>1</v>
      </c>
      <c r="T472" s="67">
        <v>11213</v>
      </c>
    </row>
    <row r="473" spans="1:20" s="68" customFormat="1" ht="9" customHeight="1" x14ac:dyDescent="0.15">
      <c r="A473" s="66" t="s">
        <v>29</v>
      </c>
      <c r="B473" s="88">
        <f t="shared" si="32"/>
        <v>3855</v>
      </c>
      <c r="C473" s="88">
        <v>1929</v>
      </c>
      <c r="D473" s="88">
        <v>414</v>
      </c>
      <c r="E473" s="88">
        <v>333</v>
      </c>
      <c r="F473" s="89" t="s">
        <v>22</v>
      </c>
      <c r="G473" s="67">
        <v>782</v>
      </c>
      <c r="H473" s="67">
        <v>81</v>
      </c>
      <c r="I473" s="67">
        <v>2</v>
      </c>
      <c r="J473" s="67">
        <v>314</v>
      </c>
      <c r="K473" s="88"/>
      <c r="L473" s="88">
        <f t="shared" si="33"/>
        <v>94954</v>
      </c>
      <c r="M473" s="88">
        <v>79049</v>
      </c>
      <c r="N473" s="88">
        <v>1154</v>
      </c>
      <c r="O473" s="88">
        <v>294</v>
      </c>
      <c r="P473" s="89" t="s">
        <v>22</v>
      </c>
      <c r="Q473" s="67">
        <v>7609</v>
      </c>
      <c r="R473" s="67">
        <v>97</v>
      </c>
      <c r="S473" s="67">
        <v>0</v>
      </c>
      <c r="T473" s="67">
        <v>6751</v>
      </c>
    </row>
    <row r="474" spans="1:20" s="68" customFormat="1" ht="9" customHeight="1" x14ac:dyDescent="0.15">
      <c r="A474" s="69" t="s">
        <v>30</v>
      </c>
      <c r="B474" s="102">
        <f t="shared" si="32"/>
        <v>5651</v>
      </c>
      <c r="C474" s="90">
        <v>2332</v>
      </c>
      <c r="D474" s="90">
        <v>734</v>
      </c>
      <c r="E474" s="90">
        <v>1206</v>
      </c>
      <c r="F474" s="91" t="s">
        <v>22</v>
      </c>
      <c r="G474" s="70">
        <v>643</v>
      </c>
      <c r="H474" s="70">
        <v>417</v>
      </c>
      <c r="I474" s="70">
        <v>8</v>
      </c>
      <c r="J474" s="70">
        <v>311</v>
      </c>
      <c r="K474" s="90"/>
      <c r="L474" s="102">
        <f t="shared" si="33"/>
        <v>189244</v>
      </c>
      <c r="M474" s="90">
        <v>118073</v>
      </c>
      <c r="N474" s="90">
        <v>3219</v>
      </c>
      <c r="O474" s="90">
        <v>329</v>
      </c>
      <c r="P474" s="91" t="s">
        <v>22</v>
      </c>
      <c r="Q474" s="70">
        <v>54822</v>
      </c>
      <c r="R474" s="70">
        <v>999</v>
      </c>
      <c r="S474" s="70">
        <v>0</v>
      </c>
      <c r="T474" s="70">
        <v>11802</v>
      </c>
    </row>
    <row r="475" spans="1:20" s="68" customFormat="1" ht="9" customHeight="1" x14ac:dyDescent="0.15">
      <c r="A475" s="66" t="s">
        <v>63</v>
      </c>
      <c r="B475" s="88">
        <f t="shared" si="32"/>
        <v>94508</v>
      </c>
      <c r="C475" s="88">
        <v>21552</v>
      </c>
      <c r="D475" s="88">
        <v>10506</v>
      </c>
      <c r="E475" s="88">
        <v>21997</v>
      </c>
      <c r="F475" s="89" t="s">
        <v>22</v>
      </c>
      <c r="G475" s="67">
        <v>35321</v>
      </c>
      <c r="H475" s="67">
        <v>843</v>
      </c>
      <c r="I475" s="67">
        <v>32</v>
      </c>
      <c r="J475" s="67">
        <v>4257</v>
      </c>
      <c r="K475" s="88"/>
      <c r="L475" s="88">
        <f t="shared" si="33"/>
        <v>1251340</v>
      </c>
      <c r="M475" s="88">
        <v>858653</v>
      </c>
      <c r="N475" s="88">
        <v>53162</v>
      </c>
      <c r="O475" s="88">
        <v>2186</v>
      </c>
      <c r="P475" s="89" t="s">
        <v>22</v>
      </c>
      <c r="Q475" s="67">
        <v>131982</v>
      </c>
      <c r="R475" s="67">
        <v>3251</v>
      </c>
      <c r="S475" s="67">
        <v>74</v>
      </c>
      <c r="T475" s="67">
        <v>202032</v>
      </c>
    </row>
    <row r="476" spans="1:20" s="68" customFormat="1" ht="9" customHeight="1" x14ac:dyDescent="0.15">
      <c r="A476" s="66" t="s">
        <v>31</v>
      </c>
      <c r="B476" s="88">
        <f t="shared" si="32"/>
        <v>6473</v>
      </c>
      <c r="C476" s="88">
        <v>1163</v>
      </c>
      <c r="D476" s="88">
        <v>811</v>
      </c>
      <c r="E476" s="88">
        <v>1453</v>
      </c>
      <c r="F476" s="89" t="s">
        <v>22</v>
      </c>
      <c r="G476" s="67">
        <v>2290</v>
      </c>
      <c r="H476" s="67">
        <v>54</v>
      </c>
      <c r="I476" s="67">
        <v>3</v>
      </c>
      <c r="J476" s="67">
        <v>699</v>
      </c>
      <c r="K476" s="88"/>
      <c r="L476" s="88">
        <f t="shared" si="33"/>
        <v>135280</v>
      </c>
      <c r="M476" s="88">
        <v>31135</v>
      </c>
      <c r="N476" s="88">
        <v>2413</v>
      </c>
      <c r="O476" s="88">
        <v>1221</v>
      </c>
      <c r="P476" s="89" t="s">
        <v>22</v>
      </c>
      <c r="Q476" s="67">
        <v>38952</v>
      </c>
      <c r="R476" s="67">
        <v>42</v>
      </c>
      <c r="S476" s="67">
        <v>0</v>
      </c>
      <c r="T476" s="67">
        <v>61517</v>
      </c>
    </row>
    <row r="477" spans="1:20" s="68" customFormat="1" ht="9" customHeight="1" x14ac:dyDescent="0.15">
      <c r="A477" s="66" t="s">
        <v>32</v>
      </c>
      <c r="B477" s="88">
        <f t="shared" si="32"/>
        <v>19691</v>
      </c>
      <c r="C477" s="88">
        <v>2650</v>
      </c>
      <c r="D477" s="88">
        <v>1410</v>
      </c>
      <c r="E477" s="88">
        <v>4310</v>
      </c>
      <c r="F477" s="89" t="s">
        <v>22</v>
      </c>
      <c r="G477" s="67">
        <v>8311</v>
      </c>
      <c r="H477" s="67">
        <v>348</v>
      </c>
      <c r="I477" s="67">
        <v>1</v>
      </c>
      <c r="J477" s="67">
        <v>2661</v>
      </c>
      <c r="K477" s="88"/>
      <c r="L477" s="88">
        <f t="shared" si="33"/>
        <v>219491</v>
      </c>
      <c r="M477" s="88">
        <v>92007</v>
      </c>
      <c r="N477" s="88">
        <v>4091</v>
      </c>
      <c r="O477" s="88">
        <v>768</v>
      </c>
      <c r="P477" s="89" t="s">
        <v>22</v>
      </c>
      <c r="Q477" s="67">
        <v>61711</v>
      </c>
      <c r="R477" s="67">
        <v>1744</v>
      </c>
      <c r="S477" s="67">
        <v>0</v>
      </c>
      <c r="T477" s="67">
        <v>59170</v>
      </c>
    </row>
    <row r="478" spans="1:20" s="68" customFormat="1" ht="9" customHeight="1" x14ac:dyDescent="0.15">
      <c r="A478" s="69" t="s">
        <v>33</v>
      </c>
      <c r="B478" s="102">
        <f t="shared" si="32"/>
        <v>21225</v>
      </c>
      <c r="C478" s="90">
        <v>6091</v>
      </c>
      <c r="D478" s="90">
        <v>3108</v>
      </c>
      <c r="E478" s="90">
        <v>2015</v>
      </c>
      <c r="F478" s="91" t="s">
        <v>22</v>
      </c>
      <c r="G478" s="70">
        <v>9263</v>
      </c>
      <c r="H478" s="70">
        <v>120</v>
      </c>
      <c r="I478" s="70">
        <v>29</v>
      </c>
      <c r="J478" s="70">
        <v>599</v>
      </c>
      <c r="K478" s="90"/>
      <c r="L478" s="102">
        <f t="shared" si="33"/>
        <v>209838</v>
      </c>
      <c r="M478" s="90">
        <v>166377</v>
      </c>
      <c r="N478" s="90">
        <v>7796</v>
      </c>
      <c r="O478" s="90">
        <v>439</v>
      </c>
      <c r="P478" s="91" t="s">
        <v>22</v>
      </c>
      <c r="Q478" s="70">
        <v>32147</v>
      </c>
      <c r="R478" s="70">
        <v>171</v>
      </c>
      <c r="S478" s="70">
        <v>37</v>
      </c>
      <c r="T478" s="70">
        <v>2871</v>
      </c>
    </row>
    <row r="479" spans="1:20" s="68" customFormat="1" ht="9" customHeight="1" x14ac:dyDescent="0.15">
      <c r="A479" s="66" t="s">
        <v>34</v>
      </c>
      <c r="B479" s="88">
        <f t="shared" si="32"/>
        <v>22515</v>
      </c>
      <c r="C479" s="88">
        <v>6317</v>
      </c>
      <c r="D479" s="88">
        <v>4753</v>
      </c>
      <c r="E479" s="88">
        <v>3648</v>
      </c>
      <c r="F479" s="89" t="s">
        <v>22</v>
      </c>
      <c r="G479" s="67">
        <v>6000</v>
      </c>
      <c r="H479" s="67">
        <v>172</v>
      </c>
      <c r="I479" s="67">
        <v>21</v>
      </c>
      <c r="J479" s="67">
        <v>1604</v>
      </c>
      <c r="K479" s="88"/>
      <c r="L479" s="88">
        <f t="shared" si="33"/>
        <v>273081</v>
      </c>
      <c r="M479" s="88">
        <v>188268</v>
      </c>
      <c r="N479" s="88">
        <v>40549</v>
      </c>
      <c r="O479" s="88">
        <v>147</v>
      </c>
      <c r="P479" s="89" t="s">
        <v>22</v>
      </c>
      <c r="Q479" s="67">
        <v>13919</v>
      </c>
      <c r="R479" s="67">
        <v>466</v>
      </c>
      <c r="S479" s="67">
        <v>14</v>
      </c>
      <c r="T479" s="67">
        <v>29718</v>
      </c>
    </row>
    <row r="480" spans="1:20" s="68" customFormat="1" ht="9" customHeight="1" x14ac:dyDescent="0.15">
      <c r="A480" s="66" t="s">
        <v>35</v>
      </c>
      <c r="B480" s="88">
        <f t="shared" si="32"/>
        <v>44151</v>
      </c>
      <c r="C480" s="88">
        <v>8772</v>
      </c>
      <c r="D480" s="88">
        <v>5149</v>
      </c>
      <c r="E480" s="88">
        <v>7327</v>
      </c>
      <c r="F480" s="89" t="s">
        <v>22</v>
      </c>
      <c r="G480" s="67">
        <v>19787</v>
      </c>
      <c r="H480" s="67">
        <v>605</v>
      </c>
      <c r="I480" s="67">
        <v>20</v>
      </c>
      <c r="J480" s="67">
        <v>2491</v>
      </c>
      <c r="K480" s="88"/>
      <c r="L480" s="88">
        <f t="shared" si="33"/>
        <v>482873</v>
      </c>
      <c r="M480" s="88">
        <v>323013</v>
      </c>
      <c r="N480" s="88">
        <v>28973</v>
      </c>
      <c r="O480" s="88">
        <v>539</v>
      </c>
      <c r="P480" s="89" t="s">
        <v>22</v>
      </c>
      <c r="Q480" s="67">
        <v>98272</v>
      </c>
      <c r="R480" s="67">
        <v>2655</v>
      </c>
      <c r="S480" s="67">
        <v>12</v>
      </c>
      <c r="T480" s="67">
        <v>29409</v>
      </c>
    </row>
    <row r="481" spans="1:20" s="68" customFormat="1" ht="9" customHeight="1" x14ac:dyDescent="0.15">
      <c r="A481" s="66" t="s">
        <v>36</v>
      </c>
      <c r="B481" s="88">
        <f t="shared" si="32"/>
        <v>34265</v>
      </c>
      <c r="C481" s="88">
        <v>10863</v>
      </c>
      <c r="D481" s="88">
        <v>3336</v>
      </c>
      <c r="E481" s="88">
        <v>5260</v>
      </c>
      <c r="F481" s="89" t="s">
        <v>22</v>
      </c>
      <c r="G481" s="67">
        <v>12424</v>
      </c>
      <c r="H481" s="67">
        <v>424</v>
      </c>
      <c r="I481" s="67">
        <v>12</v>
      </c>
      <c r="J481" s="67">
        <v>1946</v>
      </c>
      <c r="K481" s="88"/>
      <c r="L481" s="88">
        <f t="shared" si="33"/>
        <v>842511</v>
      </c>
      <c r="M481" s="88">
        <v>501379</v>
      </c>
      <c r="N481" s="88">
        <v>16996</v>
      </c>
      <c r="O481" s="88">
        <v>8639</v>
      </c>
      <c r="P481" s="89" t="s">
        <v>22</v>
      </c>
      <c r="Q481" s="67">
        <v>224241</v>
      </c>
      <c r="R481" s="67">
        <v>975</v>
      </c>
      <c r="S481" s="67">
        <v>25</v>
      </c>
      <c r="T481" s="67">
        <v>90256</v>
      </c>
    </row>
    <row r="482" spans="1:20" s="68" customFormat="1" ht="9" customHeight="1" x14ac:dyDescent="0.15">
      <c r="A482" s="69" t="s">
        <v>37</v>
      </c>
      <c r="B482" s="102">
        <f t="shared" si="32"/>
        <v>12399</v>
      </c>
      <c r="C482" s="90">
        <v>2917</v>
      </c>
      <c r="D482" s="90">
        <v>2187</v>
      </c>
      <c r="E482" s="90">
        <v>1506</v>
      </c>
      <c r="F482" s="91" t="s">
        <v>22</v>
      </c>
      <c r="G482" s="70">
        <v>3942</v>
      </c>
      <c r="H482" s="70">
        <v>113</v>
      </c>
      <c r="I482" s="70">
        <v>146</v>
      </c>
      <c r="J482" s="70">
        <v>1588</v>
      </c>
      <c r="K482" s="90"/>
      <c r="L482" s="102">
        <f t="shared" si="33"/>
        <v>310214</v>
      </c>
      <c r="M482" s="90">
        <v>129226</v>
      </c>
      <c r="N482" s="90">
        <v>11453</v>
      </c>
      <c r="O482" s="90">
        <v>1143</v>
      </c>
      <c r="P482" s="91" t="s">
        <v>22</v>
      </c>
      <c r="Q482" s="70">
        <v>103963</v>
      </c>
      <c r="R482" s="70">
        <v>370</v>
      </c>
      <c r="S482" s="70">
        <v>656</v>
      </c>
      <c r="T482" s="70">
        <v>63403</v>
      </c>
    </row>
    <row r="483" spans="1:20" s="68" customFormat="1" ht="9" customHeight="1" x14ac:dyDescent="0.15">
      <c r="A483" s="66" t="s">
        <v>38</v>
      </c>
      <c r="B483" s="88">
        <f t="shared" si="32"/>
        <v>7956</v>
      </c>
      <c r="C483" s="88">
        <v>2824</v>
      </c>
      <c r="D483" s="88">
        <v>828</v>
      </c>
      <c r="E483" s="88">
        <v>1345</v>
      </c>
      <c r="F483" s="89" t="s">
        <v>22</v>
      </c>
      <c r="G483" s="67">
        <v>1308</v>
      </c>
      <c r="H483" s="67">
        <v>291</v>
      </c>
      <c r="I483" s="67">
        <v>0</v>
      </c>
      <c r="J483" s="67">
        <v>1360</v>
      </c>
      <c r="K483" s="88"/>
      <c r="L483" s="88">
        <f t="shared" si="33"/>
        <v>120118</v>
      </c>
      <c r="M483" s="88">
        <v>89453</v>
      </c>
      <c r="N483" s="88">
        <v>7404</v>
      </c>
      <c r="O483" s="88">
        <v>3402</v>
      </c>
      <c r="P483" s="89" t="s">
        <v>22</v>
      </c>
      <c r="Q483" s="67">
        <v>10952</v>
      </c>
      <c r="R483" s="67">
        <v>553</v>
      </c>
      <c r="S483" s="67">
        <v>0</v>
      </c>
      <c r="T483" s="67">
        <v>8354</v>
      </c>
    </row>
    <row r="484" spans="1:20" s="68" customFormat="1" ht="9" customHeight="1" x14ac:dyDescent="0.15">
      <c r="A484" s="66" t="s">
        <v>39</v>
      </c>
      <c r="B484" s="88">
        <f t="shared" si="32"/>
        <v>5267</v>
      </c>
      <c r="C484" s="88">
        <v>1479</v>
      </c>
      <c r="D484" s="88">
        <v>1894</v>
      </c>
      <c r="E484" s="88">
        <v>214</v>
      </c>
      <c r="F484" s="89" t="s">
        <v>22</v>
      </c>
      <c r="G484" s="67">
        <v>1654</v>
      </c>
      <c r="H484" s="67">
        <v>23</v>
      </c>
      <c r="I484" s="67">
        <v>0</v>
      </c>
      <c r="J484" s="67">
        <v>3</v>
      </c>
      <c r="K484" s="88"/>
      <c r="L484" s="88">
        <f t="shared" si="33"/>
        <v>80484</v>
      </c>
      <c r="M484" s="88">
        <v>64427</v>
      </c>
      <c r="N484" s="88">
        <v>7466</v>
      </c>
      <c r="O484" s="88">
        <v>39</v>
      </c>
      <c r="P484" s="89" t="s">
        <v>22</v>
      </c>
      <c r="Q484" s="67">
        <v>8437</v>
      </c>
      <c r="R484" s="67">
        <v>111</v>
      </c>
      <c r="S484" s="67">
        <v>0</v>
      </c>
      <c r="T484" s="67">
        <v>4</v>
      </c>
    </row>
    <row r="485" spans="1:20" s="68" customFormat="1" ht="9" customHeight="1" x14ac:dyDescent="0.15">
      <c r="A485" s="66" t="s">
        <v>40</v>
      </c>
      <c r="B485" s="88">
        <f t="shared" si="32"/>
        <v>16169</v>
      </c>
      <c r="C485" s="88">
        <v>4130</v>
      </c>
      <c r="D485" s="88">
        <v>1859</v>
      </c>
      <c r="E485" s="88">
        <v>3474</v>
      </c>
      <c r="F485" s="89" t="s">
        <v>22</v>
      </c>
      <c r="G485" s="67">
        <v>5205</v>
      </c>
      <c r="H485" s="67">
        <v>144</v>
      </c>
      <c r="I485" s="67">
        <v>0</v>
      </c>
      <c r="J485" s="67">
        <v>1357</v>
      </c>
      <c r="K485" s="88"/>
      <c r="L485" s="88">
        <f t="shared" si="33"/>
        <v>230870</v>
      </c>
      <c r="M485" s="88">
        <v>131435</v>
      </c>
      <c r="N485" s="88">
        <v>9545</v>
      </c>
      <c r="O485" s="88">
        <v>158</v>
      </c>
      <c r="P485" s="89" t="s">
        <v>22</v>
      </c>
      <c r="Q485" s="67">
        <v>52321</v>
      </c>
      <c r="R485" s="67">
        <v>534</v>
      </c>
      <c r="S485" s="67">
        <v>0</v>
      </c>
      <c r="T485" s="67">
        <v>36877</v>
      </c>
    </row>
    <row r="486" spans="1:20" s="68" customFormat="1" ht="9" customHeight="1" x14ac:dyDescent="0.15">
      <c r="A486" s="69" t="s">
        <v>41</v>
      </c>
      <c r="B486" s="102">
        <f t="shared" si="32"/>
        <v>8716</v>
      </c>
      <c r="C486" s="90">
        <v>4404</v>
      </c>
      <c r="D486" s="90">
        <v>1887</v>
      </c>
      <c r="E486" s="90">
        <v>479</v>
      </c>
      <c r="F486" s="91" t="s">
        <v>22</v>
      </c>
      <c r="G486" s="70">
        <v>1110</v>
      </c>
      <c r="H486" s="70">
        <v>575</v>
      </c>
      <c r="I486" s="70">
        <v>22</v>
      </c>
      <c r="J486" s="70">
        <v>239</v>
      </c>
      <c r="K486" s="90"/>
      <c r="L486" s="102">
        <f t="shared" si="33"/>
        <v>182322</v>
      </c>
      <c r="M486" s="90">
        <v>128487</v>
      </c>
      <c r="N486" s="90">
        <v>16514</v>
      </c>
      <c r="O486" s="90">
        <v>415</v>
      </c>
      <c r="P486" s="91" t="s">
        <v>22</v>
      </c>
      <c r="Q486" s="70">
        <v>30478</v>
      </c>
      <c r="R486" s="70">
        <v>4489</v>
      </c>
      <c r="S486" s="70">
        <v>22</v>
      </c>
      <c r="T486" s="70">
        <v>1917</v>
      </c>
    </row>
    <row r="487" spans="1:20" s="68" customFormat="1" ht="9" customHeight="1" x14ac:dyDescent="0.15">
      <c r="A487" s="66" t="s">
        <v>42</v>
      </c>
      <c r="B487" s="88">
        <f t="shared" si="32"/>
        <v>9637</v>
      </c>
      <c r="C487" s="88">
        <v>2143</v>
      </c>
      <c r="D487" s="88">
        <v>2785</v>
      </c>
      <c r="E487" s="88">
        <v>1129</v>
      </c>
      <c r="F487" s="89" t="s">
        <v>22</v>
      </c>
      <c r="G487" s="67">
        <v>2749</v>
      </c>
      <c r="H487" s="67">
        <v>42</v>
      </c>
      <c r="I487" s="67">
        <v>0</v>
      </c>
      <c r="J487" s="67">
        <v>789</v>
      </c>
      <c r="K487" s="88"/>
      <c r="L487" s="88">
        <f t="shared" si="33"/>
        <v>153576</v>
      </c>
      <c r="M487" s="88">
        <v>91649</v>
      </c>
      <c r="N487" s="88">
        <v>20777</v>
      </c>
      <c r="O487" s="88">
        <v>259</v>
      </c>
      <c r="P487" s="89" t="s">
        <v>22</v>
      </c>
      <c r="Q487" s="67">
        <v>28773</v>
      </c>
      <c r="R487" s="67">
        <v>0</v>
      </c>
      <c r="S487" s="67">
        <v>0</v>
      </c>
      <c r="T487" s="67">
        <v>12118</v>
      </c>
    </row>
    <row r="488" spans="1:20" s="68" customFormat="1" ht="9" customHeight="1" x14ac:dyDescent="0.15">
      <c r="A488" s="66" t="s">
        <v>43</v>
      </c>
      <c r="B488" s="88">
        <f t="shared" si="32"/>
        <v>1509</v>
      </c>
      <c r="C488" s="88">
        <v>322</v>
      </c>
      <c r="D488" s="88">
        <v>85</v>
      </c>
      <c r="E488" s="88">
        <v>212</v>
      </c>
      <c r="F488" s="89" t="s">
        <v>22</v>
      </c>
      <c r="G488" s="67">
        <v>308</v>
      </c>
      <c r="H488" s="67">
        <v>0</v>
      </c>
      <c r="I488" s="67">
        <v>0</v>
      </c>
      <c r="J488" s="67">
        <v>582</v>
      </c>
      <c r="K488" s="88"/>
      <c r="L488" s="88">
        <f t="shared" si="33"/>
        <v>74273</v>
      </c>
      <c r="M488" s="88">
        <v>66185</v>
      </c>
      <c r="N488" s="88">
        <v>258</v>
      </c>
      <c r="O488" s="88">
        <v>31</v>
      </c>
      <c r="P488" s="89" t="s">
        <v>22</v>
      </c>
      <c r="Q488" s="67">
        <v>6445</v>
      </c>
      <c r="R488" s="67">
        <v>0</v>
      </c>
      <c r="S488" s="67">
        <v>0</v>
      </c>
      <c r="T488" s="67">
        <v>1354</v>
      </c>
    </row>
    <row r="489" spans="1:20" s="68" customFormat="1" ht="9" customHeight="1" x14ac:dyDescent="0.15">
      <c r="A489" s="66" t="s">
        <v>44</v>
      </c>
      <c r="B489" s="88">
        <f t="shared" si="32"/>
        <v>10421</v>
      </c>
      <c r="C489" s="88">
        <v>2569</v>
      </c>
      <c r="D489" s="88">
        <v>906</v>
      </c>
      <c r="E489" s="88">
        <v>1320</v>
      </c>
      <c r="F489" s="89" t="s">
        <v>22</v>
      </c>
      <c r="G489" s="67">
        <v>4003</v>
      </c>
      <c r="H489" s="67">
        <v>271</v>
      </c>
      <c r="I489" s="67">
        <v>0</v>
      </c>
      <c r="J489" s="67">
        <v>1352</v>
      </c>
      <c r="K489" s="88"/>
      <c r="L489" s="88">
        <f t="shared" si="33"/>
        <v>210224</v>
      </c>
      <c r="M489" s="88">
        <v>94235</v>
      </c>
      <c r="N489" s="88">
        <v>4428</v>
      </c>
      <c r="O489" s="88">
        <v>273</v>
      </c>
      <c r="P489" s="89" t="s">
        <v>22</v>
      </c>
      <c r="Q489" s="67">
        <v>63828</v>
      </c>
      <c r="R489" s="67">
        <v>592</v>
      </c>
      <c r="S489" s="67">
        <v>0</v>
      </c>
      <c r="T489" s="67">
        <v>46868</v>
      </c>
    </row>
    <row r="490" spans="1:20" s="68" customFormat="1" ht="9" customHeight="1" x14ac:dyDescent="0.15">
      <c r="A490" s="69" t="s">
        <v>45</v>
      </c>
      <c r="B490" s="102">
        <f t="shared" si="32"/>
        <v>7372</v>
      </c>
      <c r="C490" s="90">
        <v>1695</v>
      </c>
      <c r="D490" s="90">
        <v>852</v>
      </c>
      <c r="E490" s="90">
        <v>1442</v>
      </c>
      <c r="F490" s="91" t="s">
        <v>22</v>
      </c>
      <c r="G490" s="70">
        <v>2692</v>
      </c>
      <c r="H490" s="70">
        <v>38</v>
      </c>
      <c r="I490" s="70">
        <v>0</v>
      </c>
      <c r="J490" s="70">
        <v>653</v>
      </c>
      <c r="K490" s="90"/>
      <c r="L490" s="102">
        <f t="shared" si="33"/>
        <v>127089</v>
      </c>
      <c r="M490" s="90">
        <v>57451</v>
      </c>
      <c r="N490" s="90">
        <v>2249</v>
      </c>
      <c r="O490" s="90">
        <v>187</v>
      </c>
      <c r="P490" s="91" t="s">
        <v>22</v>
      </c>
      <c r="Q490" s="70">
        <v>28169</v>
      </c>
      <c r="R490" s="70">
        <v>38</v>
      </c>
      <c r="S490" s="70">
        <v>0</v>
      </c>
      <c r="T490" s="70">
        <v>38995</v>
      </c>
    </row>
    <row r="491" spans="1:20" s="68" customFormat="1" ht="9" customHeight="1" x14ac:dyDescent="0.15">
      <c r="A491" s="66" t="s">
        <v>46</v>
      </c>
      <c r="B491" s="88">
        <f t="shared" si="32"/>
        <v>31878</v>
      </c>
      <c r="C491" s="88">
        <v>6331</v>
      </c>
      <c r="D491" s="88">
        <v>5526</v>
      </c>
      <c r="E491" s="88">
        <v>7965</v>
      </c>
      <c r="F491" s="89" t="s">
        <v>22</v>
      </c>
      <c r="G491" s="67">
        <v>9580</v>
      </c>
      <c r="H491" s="67">
        <v>1342</v>
      </c>
      <c r="I491" s="67">
        <v>56</v>
      </c>
      <c r="J491" s="67">
        <v>1078</v>
      </c>
      <c r="K491" s="88"/>
      <c r="L491" s="88">
        <f t="shared" si="33"/>
        <v>457442</v>
      </c>
      <c r="M491" s="88">
        <v>231161</v>
      </c>
      <c r="N491" s="88">
        <v>48004</v>
      </c>
      <c r="O491" s="88">
        <v>6278</v>
      </c>
      <c r="P491" s="89" t="s">
        <v>22</v>
      </c>
      <c r="Q491" s="67">
        <v>151464</v>
      </c>
      <c r="R491" s="67">
        <v>4064</v>
      </c>
      <c r="S491" s="67">
        <v>43</v>
      </c>
      <c r="T491" s="67">
        <v>16428</v>
      </c>
    </row>
    <row r="492" spans="1:20" s="68" customFormat="1" ht="9" customHeight="1" x14ac:dyDescent="0.15">
      <c r="A492" s="66" t="s">
        <v>47</v>
      </c>
      <c r="B492" s="88">
        <f t="shared" si="32"/>
        <v>3930</v>
      </c>
      <c r="C492" s="88">
        <v>1050</v>
      </c>
      <c r="D492" s="88">
        <v>104</v>
      </c>
      <c r="E492" s="88">
        <v>1109</v>
      </c>
      <c r="F492" s="89" t="s">
        <v>22</v>
      </c>
      <c r="G492" s="67">
        <v>1280</v>
      </c>
      <c r="H492" s="67">
        <v>168</v>
      </c>
      <c r="I492" s="67">
        <v>17</v>
      </c>
      <c r="J492" s="67">
        <v>202</v>
      </c>
      <c r="K492" s="88"/>
      <c r="L492" s="88">
        <f t="shared" si="33"/>
        <v>153935</v>
      </c>
      <c r="M492" s="88">
        <v>81739</v>
      </c>
      <c r="N492" s="88">
        <v>751</v>
      </c>
      <c r="O492" s="88">
        <v>1810</v>
      </c>
      <c r="P492" s="89" t="s">
        <v>22</v>
      </c>
      <c r="Q492" s="67">
        <v>57812</v>
      </c>
      <c r="R492" s="67">
        <v>351</v>
      </c>
      <c r="S492" s="67">
        <v>23</v>
      </c>
      <c r="T492" s="67">
        <v>11449</v>
      </c>
    </row>
    <row r="493" spans="1:20" s="68" customFormat="1" ht="9" customHeight="1" x14ac:dyDescent="0.15">
      <c r="A493" s="66" t="s">
        <v>48</v>
      </c>
      <c r="B493" s="88">
        <f t="shared" si="32"/>
        <v>6857</v>
      </c>
      <c r="C493" s="88">
        <v>1556</v>
      </c>
      <c r="D493" s="88">
        <v>278</v>
      </c>
      <c r="E493" s="88">
        <v>912</v>
      </c>
      <c r="F493" s="89" t="s">
        <v>22</v>
      </c>
      <c r="G493" s="67">
        <v>3757</v>
      </c>
      <c r="H493" s="67">
        <v>16</v>
      </c>
      <c r="I493" s="67">
        <v>8</v>
      </c>
      <c r="J493" s="67">
        <v>330</v>
      </c>
      <c r="K493" s="88"/>
      <c r="L493" s="88">
        <f t="shared" si="33"/>
        <v>111818</v>
      </c>
      <c r="M493" s="88">
        <v>78201</v>
      </c>
      <c r="N493" s="88">
        <v>2068</v>
      </c>
      <c r="O493" s="88">
        <v>61</v>
      </c>
      <c r="P493" s="89" t="s">
        <v>22</v>
      </c>
      <c r="Q493" s="67">
        <v>23497</v>
      </c>
      <c r="R493" s="67">
        <v>53</v>
      </c>
      <c r="S493" s="67">
        <v>0</v>
      </c>
      <c r="T493" s="67">
        <v>7938</v>
      </c>
    </row>
    <row r="494" spans="1:20" s="68" customFormat="1" ht="9" customHeight="1" x14ac:dyDescent="0.15">
      <c r="A494" s="69" t="s">
        <v>49</v>
      </c>
      <c r="B494" s="102">
        <f t="shared" si="32"/>
        <v>9302</v>
      </c>
      <c r="C494" s="90">
        <v>1886</v>
      </c>
      <c r="D494" s="90">
        <v>787</v>
      </c>
      <c r="E494" s="90">
        <v>2018</v>
      </c>
      <c r="F494" s="91" t="s">
        <v>22</v>
      </c>
      <c r="G494" s="70">
        <v>3645</v>
      </c>
      <c r="H494" s="70">
        <v>53</v>
      </c>
      <c r="I494" s="70">
        <v>0</v>
      </c>
      <c r="J494" s="70">
        <v>913</v>
      </c>
      <c r="K494" s="90"/>
      <c r="L494" s="102">
        <f t="shared" si="33"/>
        <v>113982</v>
      </c>
      <c r="M494" s="90">
        <v>57620</v>
      </c>
      <c r="N494" s="90">
        <v>3277</v>
      </c>
      <c r="O494" s="90">
        <v>289</v>
      </c>
      <c r="P494" s="91" t="s">
        <v>22</v>
      </c>
      <c r="Q494" s="70">
        <v>22885</v>
      </c>
      <c r="R494" s="70">
        <v>395</v>
      </c>
      <c r="S494" s="70">
        <v>0</v>
      </c>
      <c r="T494" s="70">
        <v>29516</v>
      </c>
    </row>
    <row r="495" spans="1:20" s="72" customFormat="1" ht="9" customHeight="1" x14ac:dyDescent="0.15">
      <c r="A495" s="71" t="s">
        <v>50</v>
      </c>
      <c r="B495" s="88">
        <f t="shared" si="32"/>
        <v>7212</v>
      </c>
      <c r="C495" s="92">
        <v>4307</v>
      </c>
      <c r="D495" s="92">
        <v>637</v>
      </c>
      <c r="E495" s="92">
        <v>619</v>
      </c>
      <c r="F495" s="89" t="s">
        <v>22</v>
      </c>
      <c r="G495" s="67">
        <v>1463</v>
      </c>
      <c r="H495" s="67">
        <v>118</v>
      </c>
      <c r="I495" s="67">
        <v>0</v>
      </c>
      <c r="J495" s="67">
        <v>68</v>
      </c>
      <c r="K495" s="92"/>
      <c r="L495" s="88">
        <f t="shared" si="33"/>
        <v>153601</v>
      </c>
      <c r="M495" s="92">
        <v>133649</v>
      </c>
      <c r="N495" s="92">
        <v>3481</v>
      </c>
      <c r="O495" s="92">
        <v>107</v>
      </c>
      <c r="P495" s="89" t="s">
        <v>22</v>
      </c>
      <c r="Q495" s="67">
        <v>14171</v>
      </c>
      <c r="R495" s="67">
        <v>224</v>
      </c>
      <c r="S495" s="67">
        <v>0</v>
      </c>
      <c r="T495" s="67">
        <v>1969</v>
      </c>
    </row>
    <row r="496" spans="1:20" s="68" customFormat="1" ht="9" customHeight="1" x14ac:dyDescent="0.15">
      <c r="A496" s="66" t="s">
        <v>51</v>
      </c>
      <c r="B496" s="88">
        <f t="shared" si="32"/>
        <v>6421</v>
      </c>
      <c r="C496" s="88">
        <v>1453</v>
      </c>
      <c r="D496" s="88">
        <v>1254</v>
      </c>
      <c r="E496" s="88">
        <v>896</v>
      </c>
      <c r="F496" s="89" t="s">
        <v>22</v>
      </c>
      <c r="G496" s="67">
        <v>1727</v>
      </c>
      <c r="H496" s="67">
        <v>239</v>
      </c>
      <c r="I496" s="67">
        <v>66</v>
      </c>
      <c r="J496" s="67">
        <v>786</v>
      </c>
      <c r="K496" s="88"/>
      <c r="L496" s="88">
        <f t="shared" si="33"/>
        <v>376332</v>
      </c>
      <c r="M496" s="88">
        <v>40976</v>
      </c>
      <c r="N496" s="88">
        <v>5070</v>
      </c>
      <c r="O496" s="88">
        <v>4005</v>
      </c>
      <c r="P496" s="89" t="s">
        <v>22</v>
      </c>
      <c r="Q496" s="67">
        <v>297499</v>
      </c>
      <c r="R496" s="67">
        <v>400</v>
      </c>
      <c r="S496" s="67">
        <v>157</v>
      </c>
      <c r="T496" s="67">
        <v>28225</v>
      </c>
    </row>
    <row r="497" spans="1:21" s="68" customFormat="1" ht="9" customHeight="1" x14ac:dyDescent="0.15">
      <c r="A497" s="66" t="s">
        <v>52</v>
      </c>
      <c r="B497" s="88">
        <f t="shared" si="32"/>
        <v>4381</v>
      </c>
      <c r="C497" s="88">
        <v>1023</v>
      </c>
      <c r="D497" s="88">
        <v>961</v>
      </c>
      <c r="E497" s="88">
        <v>411</v>
      </c>
      <c r="F497" s="89" t="s">
        <v>22</v>
      </c>
      <c r="G497" s="67">
        <v>1587</v>
      </c>
      <c r="H497" s="67">
        <v>115</v>
      </c>
      <c r="I497" s="67">
        <v>0</v>
      </c>
      <c r="J497" s="67">
        <v>284</v>
      </c>
      <c r="K497" s="88"/>
      <c r="L497" s="88">
        <f t="shared" si="33"/>
        <v>55104</v>
      </c>
      <c r="M497" s="88">
        <v>37391</v>
      </c>
      <c r="N497" s="88">
        <v>2080</v>
      </c>
      <c r="O497" s="88">
        <v>259</v>
      </c>
      <c r="P497" s="89" t="s">
        <v>22</v>
      </c>
      <c r="Q497" s="67">
        <v>12282</v>
      </c>
      <c r="R497" s="67">
        <v>246</v>
      </c>
      <c r="S497" s="67">
        <v>0</v>
      </c>
      <c r="T497" s="67">
        <v>2846</v>
      </c>
    </row>
    <row r="498" spans="1:21" s="68" customFormat="1" ht="9" customHeight="1" x14ac:dyDescent="0.15">
      <c r="A498" s="69" t="s">
        <v>53</v>
      </c>
      <c r="B498" s="102">
        <f t="shared" si="32"/>
        <v>10500</v>
      </c>
      <c r="C498" s="90">
        <v>4360</v>
      </c>
      <c r="D498" s="90">
        <v>2016</v>
      </c>
      <c r="E498" s="90">
        <v>999</v>
      </c>
      <c r="F498" s="91" t="s">
        <v>22</v>
      </c>
      <c r="G498" s="70">
        <v>1910</v>
      </c>
      <c r="H498" s="70">
        <v>258</v>
      </c>
      <c r="I498" s="70">
        <v>0</v>
      </c>
      <c r="J498" s="70">
        <v>957</v>
      </c>
      <c r="K498" s="90"/>
      <c r="L498" s="102">
        <f t="shared" si="33"/>
        <v>181506</v>
      </c>
      <c r="M498" s="90">
        <v>127900</v>
      </c>
      <c r="N498" s="90">
        <v>10019</v>
      </c>
      <c r="O498" s="90">
        <v>1074</v>
      </c>
      <c r="P498" s="91" t="s">
        <v>22</v>
      </c>
      <c r="Q498" s="70">
        <v>19921</v>
      </c>
      <c r="R498" s="70">
        <v>507</v>
      </c>
      <c r="S498" s="70">
        <v>0</v>
      </c>
      <c r="T498" s="70">
        <v>22085</v>
      </c>
    </row>
    <row r="499" spans="1:21" s="65" customFormat="1" ht="9" customHeight="1" x14ac:dyDescent="0.15">
      <c r="A499" s="71"/>
      <c r="B499" s="92"/>
      <c r="C499" s="92"/>
      <c r="D499" s="92"/>
      <c r="E499" s="92"/>
      <c r="F499" s="92"/>
      <c r="G499" s="67"/>
      <c r="H499" s="67"/>
      <c r="I499" s="67"/>
      <c r="J499" s="67"/>
      <c r="K499" s="92"/>
      <c r="L499" s="92"/>
      <c r="M499" s="92"/>
      <c r="N499" s="92"/>
      <c r="O499" s="92"/>
      <c r="P499" s="92"/>
      <c r="Q499" s="67"/>
      <c r="R499" s="67"/>
      <c r="S499" s="67"/>
      <c r="T499" s="67"/>
    </row>
    <row r="500" spans="1:21" s="65" customFormat="1" ht="9" customHeight="1" x14ac:dyDescent="0.25">
      <c r="A500" s="96">
        <v>2013</v>
      </c>
      <c r="B500" s="97"/>
      <c r="C500" s="98"/>
      <c r="D500" s="97"/>
      <c r="E500" s="97"/>
      <c r="F500" s="97"/>
      <c r="G500" s="64"/>
      <c r="H500" s="64"/>
      <c r="I500" s="64"/>
      <c r="J500" s="64"/>
      <c r="K500" s="97"/>
      <c r="L500" s="97"/>
      <c r="M500" s="97"/>
      <c r="N500" s="97"/>
      <c r="O500" s="97"/>
      <c r="P500" s="97"/>
      <c r="Q500" s="64"/>
      <c r="R500" s="64"/>
      <c r="S500" s="64"/>
      <c r="T500" s="64"/>
    </row>
    <row r="501" spans="1:21" s="65" customFormat="1" ht="9" customHeight="1" x14ac:dyDescent="0.25">
      <c r="A501" s="99" t="s">
        <v>21</v>
      </c>
      <c r="B501" s="64">
        <f t="shared" ref="B501:J501" si="34">SUM(B503:B534)</f>
        <v>467499</v>
      </c>
      <c r="C501" s="64">
        <f t="shared" si="34"/>
        <v>128140</v>
      </c>
      <c r="D501" s="64">
        <f t="shared" si="34"/>
        <v>53405</v>
      </c>
      <c r="E501" s="64">
        <f t="shared" si="34"/>
        <v>82957</v>
      </c>
      <c r="F501" s="64" t="s">
        <v>22</v>
      </c>
      <c r="G501" s="64">
        <f t="shared" si="34"/>
        <v>159804</v>
      </c>
      <c r="H501" s="64">
        <f t="shared" si="34"/>
        <v>7184</v>
      </c>
      <c r="I501" s="64">
        <f t="shared" si="34"/>
        <v>688</v>
      </c>
      <c r="J501" s="64">
        <f t="shared" si="34"/>
        <v>35321</v>
      </c>
      <c r="K501" s="64"/>
      <c r="L501" s="64">
        <f>SUM(L503:L534)</f>
        <v>8414539</v>
      </c>
      <c r="M501" s="64">
        <f t="shared" ref="M501:T501" si="35">SUM(M503:M534)</f>
        <v>4939125</v>
      </c>
      <c r="N501" s="64">
        <f t="shared" si="35"/>
        <v>318933</v>
      </c>
      <c r="O501" s="64">
        <f t="shared" si="35"/>
        <v>26446</v>
      </c>
      <c r="P501" s="64" t="s">
        <v>22</v>
      </c>
      <c r="Q501" s="64">
        <f t="shared" si="35"/>
        <v>1630158</v>
      </c>
      <c r="R501" s="64">
        <f t="shared" si="35"/>
        <v>33750</v>
      </c>
      <c r="S501" s="64">
        <f t="shared" si="35"/>
        <v>4111</v>
      </c>
      <c r="T501" s="64">
        <f t="shared" si="35"/>
        <v>1462016</v>
      </c>
      <c r="U501" s="101"/>
    </row>
    <row r="502" spans="1:21" s="65" customFormat="1" ht="3.95" customHeight="1" x14ac:dyDescent="0.25">
      <c r="A502" s="99"/>
      <c r="B502" s="64"/>
      <c r="C502" s="64"/>
      <c r="D502" s="64"/>
      <c r="E502" s="64"/>
      <c r="F502" s="64"/>
      <c r="G502" s="64"/>
      <c r="H502" s="64"/>
      <c r="I502" s="64"/>
      <c r="J502" s="64"/>
      <c r="K502" s="64"/>
      <c r="L502" s="64"/>
      <c r="M502" s="64"/>
      <c r="N502" s="64"/>
      <c r="O502" s="64"/>
      <c r="P502" s="64"/>
      <c r="Q502" s="64"/>
      <c r="R502" s="64"/>
      <c r="S502" s="64"/>
      <c r="T502" s="64"/>
    </row>
    <row r="503" spans="1:21" s="68" customFormat="1" ht="9" customHeight="1" x14ac:dyDescent="0.15">
      <c r="A503" s="66" t="s">
        <v>23</v>
      </c>
      <c r="B503" s="88">
        <f>SUM(C503:J503)</f>
        <v>3645</v>
      </c>
      <c r="C503" s="88">
        <v>1438</v>
      </c>
      <c r="D503" s="88">
        <v>258</v>
      </c>
      <c r="E503" s="88">
        <v>369</v>
      </c>
      <c r="F503" s="89" t="s">
        <v>22</v>
      </c>
      <c r="G503" s="67">
        <v>1528</v>
      </c>
      <c r="H503" s="67">
        <v>0</v>
      </c>
      <c r="I503" s="67">
        <v>0</v>
      </c>
      <c r="J503" s="67">
        <v>52</v>
      </c>
      <c r="K503" s="88"/>
      <c r="L503" s="88">
        <f>SUM(M503:T503)</f>
        <v>82241</v>
      </c>
      <c r="M503" s="88">
        <v>67053</v>
      </c>
      <c r="N503" s="88">
        <v>1895</v>
      </c>
      <c r="O503" s="88">
        <v>11</v>
      </c>
      <c r="P503" s="89" t="s">
        <v>22</v>
      </c>
      <c r="Q503" s="67">
        <v>11790</v>
      </c>
      <c r="R503" s="67">
        <v>0</v>
      </c>
      <c r="S503" s="67">
        <v>0</v>
      </c>
      <c r="T503" s="67">
        <v>1492</v>
      </c>
    </row>
    <row r="504" spans="1:21" s="68" customFormat="1" ht="9" customHeight="1" x14ac:dyDescent="0.15">
      <c r="A504" s="66" t="s">
        <v>24</v>
      </c>
      <c r="B504" s="88">
        <f t="shared" ref="B504:B534" si="36">SUM(C504:J504)</f>
        <v>10703</v>
      </c>
      <c r="C504" s="88">
        <v>5768</v>
      </c>
      <c r="D504" s="88">
        <v>324</v>
      </c>
      <c r="E504" s="88">
        <v>2641</v>
      </c>
      <c r="F504" s="89" t="s">
        <v>22</v>
      </c>
      <c r="G504" s="67">
        <v>1688</v>
      </c>
      <c r="H504" s="67">
        <v>115</v>
      </c>
      <c r="I504" s="67">
        <v>65</v>
      </c>
      <c r="J504" s="67">
        <v>102</v>
      </c>
      <c r="K504" s="88"/>
      <c r="L504" s="88">
        <f t="shared" ref="L504:L534" si="37">SUM(M504:T504)</f>
        <v>236024</v>
      </c>
      <c r="M504" s="88">
        <v>216410</v>
      </c>
      <c r="N504" s="88">
        <v>1219</v>
      </c>
      <c r="O504" s="88">
        <v>260</v>
      </c>
      <c r="P504" s="89" t="s">
        <v>22</v>
      </c>
      <c r="Q504" s="67">
        <v>12486</v>
      </c>
      <c r="R504" s="67">
        <v>1386</v>
      </c>
      <c r="S504" s="67">
        <v>166</v>
      </c>
      <c r="T504" s="67">
        <v>4097</v>
      </c>
    </row>
    <row r="505" spans="1:21" s="68" customFormat="1" ht="9" customHeight="1" x14ac:dyDescent="0.15">
      <c r="A505" s="66" t="s">
        <v>25</v>
      </c>
      <c r="B505" s="88">
        <f t="shared" si="36"/>
        <v>6019</v>
      </c>
      <c r="C505" s="88">
        <v>3632</v>
      </c>
      <c r="D505" s="88">
        <v>459</v>
      </c>
      <c r="E505" s="88">
        <v>724</v>
      </c>
      <c r="F505" s="89" t="s">
        <v>22</v>
      </c>
      <c r="G505" s="67">
        <v>443</v>
      </c>
      <c r="H505" s="67">
        <v>267</v>
      </c>
      <c r="I505" s="67">
        <v>0</v>
      </c>
      <c r="J505" s="67">
        <v>494</v>
      </c>
      <c r="K505" s="88"/>
      <c r="L505" s="88">
        <f t="shared" si="37"/>
        <v>176843</v>
      </c>
      <c r="M505" s="88">
        <v>125223</v>
      </c>
      <c r="N505" s="88">
        <v>3441</v>
      </c>
      <c r="O505" s="88">
        <v>572</v>
      </c>
      <c r="P505" s="89" t="s">
        <v>22</v>
      </c>
      <c r="Q505" s="67">
        <v>19373</v>
      </c>
      <c r="R505" s="67">
        <v>1857</v>
      </c>
      <c r="S505" s="67">
        <v>0</v>
      </c>
      <c r="T505" s="67">
        <v>26377</v>
      </c>
    </row>
    <row r="506" spans="1:21" s="68" customFormat="1" ht="9" customHeight="1" x14ac:dyDescent="0.15">
      <c r="A506" s="69" t="s">
        <v>26</v>
      </c>
      <c r="B506" s="102">
        <f t="shared" si="36"/>
        <v>3446</v>
      </c>
      <c r="C506" s="90">
        <v>1058</v>
      </c>
      <c r="D506" s="90">
        <v>274</v>
      </c>
      <c r="E506" s="90">
        <v>381</v>
      </c>
      <c r="F506" s="91" t="s">
        <v>22</v>
      </c>
      <c r="G506" s="70">
        <v>1648</v>
      </c>
      <c r="H506" s="70">
        <v>76</v>
      </c>
      <c r="I506" s="70">
        <v>0</v>
      </c>
      <c r="J506" s="70">
        <v>9</v>
      </c>
      <c r="K506" s="90"/>
      <c r="L506" s="102">
        <f t="shared" si="37"/>
        <v>50990</v>
      </c>
      <c r="M506" s="90">
        <v>32418</v>
      </c>
      <c r="N506" s="90">
        <v>1899</v>
      </c>
      <c r="O506" s="90">
        <v>113</v>
      </c>
      <c r="P506" s="91" t="s">
        <v>22</v>
      </c>
      <c r="Q506" s="70">
        <v>16346</v>
      </c>
      <c r="R506" s="70">
        <v>129</v>
      </c>
      <c r="S506" s="70">
        <v>0</v>
      </c>
      <c r="T506" s="70">
        <v>85</v>
      </c>
    </row>
    <row r="507" spans="1:21" s="68" customFormat="1" ht="9" customHeight="1" x14ac:dyDescent="0.15">
      <c r="A507" s="66" t="s">
        <v>27</v>
      </c>
      <c r="B507" s="88">
        <f t="shared" si="36"/>
        <v>11454</v>
      </c>
      <c r="C507" s="88">
        <v>3061</v>
      </c>
      <c r="D507" s="88">
        <v>790</v>
      </c>
      <c r="E507" s="88">
        <v>2876</v>
      </c>
      <c r="F507" s="89" t="s">
        <v>22</v>
      </c>
      <c r="G507" s="67">
        <v>4202</v>
      </c>
      <c r="H507" s="67">
        <v>74</v>
      </c>
      <c r="I507" s="67">
        <v>14</v>
      </c>
      <c r="J507" s="67">
        <v>437</v>
      </c>
      <c r="K507" s="88"/>
      <c r="L507" s="88">
        <f t="shared" si="37"/>
        <v>255128</v>
      </c>
      <c r="M507" s="88">
        <v>134671</v>
      </c>
      <c r="N507" s="88">
        <v>4298</v>
      </c>
      <c r="O507" s="88">
        <v>537</v>
      </c>
      <c r="P507" s="89" t="s">
        <v>22</v>
      </c>
      <c r="Q507" s="67">
        <v>55627</v>
      </c>
      <c r="R507" s="67">
        <v>26</v>
      </c>
      <c r="S507" s="67">
        <v>53</v>
      </c>
      <c r="T507" s="67">
        <v>59916</v>
      </c>
    </row>
    <row r="508" spans="1:21" s="68" customFormat="1" ht="9" customHeight="1" x14ac:dyDescent="0.15">
      <c r="A508" s="66" t="s">
        <v>28</v>
      </c>
      <c r="B508" s="88">
        <f t="shared" si="36"/>
        <v>17672</v>
      </c>
      <c r="C508" s="88">
        <v>5414</v>
      </c>
      <c r="D508" s="88">
        <v>872</v>
      </c>
      <c r="E508" s="88">
        <v>2161</v>
      </c>
      <c r="F508" s="89" t="s">
        <v>22</v>
      </c>
      <c r="G508" s="67">
        <v>8932</v>
      </c>
      <c r="H508" s="67">
        <v>43</v>
      </c>
      <c r="I508" s="67">
        <v>6</v>
      </c>
      <c r="J508" s="67">
        <v>244</v>
      </c>
      <c r="K508" s="88"/>
      <c r="L508" s="88">
        <f t="shared" si="37"/>
        <v>238106</v>
      </c>
      <c r="M508" s="88">
        <v>154411</v>
      </c>
      <c r="N508" s="88">
        <v>2786</v>
      </c>
      <c r="O508" s="88">
        <v>40</v>
      </c>
      <c r="P508" s="89" t="s">
        <v>22</v>
      </c>
      <c r="Q508" s="67">
        <v>72842</v>
      </c>
      <c r="R508" s="67">
        <v>65</v>
      </c>
      <c r="S508" s="67">
        <v>113</v>
      </c>
      <c r="T508" s="67">
        <v>7849</v>
      </c>
    </row>
    <row r="509" spans="1:21" s="68" customFormat="1" ht="9" customHeight="1" x14ac:dyDescent="0.15">
      <c r="A509" s="66" t="s">
        <v>29</v>
      </c>
      <c r="B509" s="88">
        <f t="shared" si="36"/>
        <v>3876</v>
      </c>
      <c r="C509" s="88">
        <v>1735</v>
      </c>
      <c r="D509" s="88">
        <v>663</v>
      </c>
      <c r="E509" s="88">
        <v>444</v>
      </c>
      <c r="F509" s="89" t="s">
        <v>22</v>
      </c>
      <c r="G509" s="67">
        <v>645</v>
      </c>
      <c r="H509" s="67">
        <v>64</v>
      </c>
      <c r="I509" s="67">
        <v>33</v>
      </c>
      <c r="J509" s="67">
        <v>292</v>
      </c>
      <c r="K509" s="88"/>
      <c r="L509" s="88">
        <f t="shared" si="37"/>
        <v>96132</v>
      </c>
      <c r="M509" s="88">
        <v>62704</v>
      </c>
      <c r="N509" s="88">
        <v>2662</v>
      </c>
      <c r="O509" s="88">
        <v>45</v>
      </c>
      <c r="P509" s="89" t="s">
        <v>22</v>
      </c>
      <c r="Q509" s="67">
        <v>16252</v>
      </c>
      <c r="R509" s="67">
        <v>539</v>
      </c>
      <c r="S509" s="67">
        <v>367</v>
      </c>
      <c r="T509" s="67">
        <v>13563</v>
      </c>
    </row>
    <row r="510" spans="1:21" s="68" customFormat="1" ht="9" customHeight="1" x14ac:dyDescent="0.15">
      <c r="A510" s="69" t="s">
        <v>30</v>
      </c>
      <c r="B510" s="102">
        <f t="shared" si="36"/>
        <v>7126</v>
      </c>
      <c r="C510" s="90">
        <v>3560</v>
      </c>
      <c r="D510" s="90">
        <v>629</v>
      </c>
      <c r="E510" s="90">
        <v>863</v>
      </c>
      <c r="F510" s="91" t="s">
        <v>22</v>
      </c>
      <c r="G510" s="70">
        <v>1002</v>
      </c>
      <c r="H510" s="70">
        <v>580</v>
      </c>
      <c r="I510" s="70">
        <v>3</v>
      </c>
      <c r="J510" s="70">
        <v>489</v>
      </c>
      <c r="K510" s="90"/>
      <c r="L510" s="102">
        <f t="shared" si="37"/>
        <v>206383</v>
      </c>
      <c r="M510" s="90">
        <v>142847</v>
      </c>
      <c r="N510" s="90">
        <v>2648</v>
      </c>
      <c r="O510" s="90">
        <v>600</v>
      </c>
      <c r="P510" s="91" t="s">
        <v>22</v>
      </c>
      <c r="Q510" s="70">
        <v>50670</v>
      </c>
      <c r="R510" s="70">
        <v>1387</v>
      </c>
      <c r="S510" s="70">
        <v>0</v>
      </c>
      <c r="T510" s="70">
        <v>8231</v>
      </c>
    </row>
    <row r="511" spans="1:21" s="68" customFormat="1" ht="9" customHeight="1" x14ac:dyDescent="0.15">
      <c r="A511" s="66" t="s">
        <v>63</v>
      </c>
      <c r="B511" s="88">
        <f t="shared" si="36"/>
        <v>94868</v>
      </c>
      <c r="C511" s="88">
        <v>20986</v>
      </c>
      <c r="D511" s="88">
        <v>11766</v>
      </c>
      <c r="E511" s="88">
        <v>20660</v>
      </c>
      <c r="F511" s="89" t="s">
        <v>22</v>
      </c>
      <c r="G511" s="67">
        <v>34304</v>
      </c>
      <c r="H511" s="67">
        <v>1220</v>
      </c>
      <c r="I511" s="67">
        <v>132</v>
      </c>
      <c r="J511" s="67">
        <v>5800</v>
      </c>
      <c r="K511" s="88"/>
      <c r="L511" s="88">
        <f t="shared" si="37"/>
        <v>1494589</v>
      </c>
      <c r="M511" s="88">
        <v>884125</v>
      </c>
      <c r="N511" s="88">
        <v>74987</v>
      </c>
      <c r="O511" s="88">
        <v>2700</v>
      </c>
      <c r="P511" s="89" t="s">
        <v>22</v>
      </c>
      <c r="Q511" s="67">
        <v>156027</v>
      </c>
      <c r="R511" s="67">
        <v>4460</v>
      </c>
      <c r="S511" s="67">
        <v>857</v>
      </c>
      <c r="T511" s="67">
        <v>371433</v>
      </c>
    </row>
    <row r="512" spans="1:21" s="68" customFormat="1" ht="9" customHeight="1" x14ac:dyDescent="0.15">
      <c r="A512" s="66" t="s">
        <v>31</v>
      </c>
      <c r="B512" s="88">
        <f t="shared" si="36"/>
        <v>5589</v>
      </c>
      <c r="C512" s="88">
        <v>1239</v>
      </c>
      <c r="D512" s="88">
        <v>378</v>
      </c>
      <c r="E512" s="88">
        <v>1188</v>
      </c>
      <c r="F512" s="89" t="s">
        <v>22</v>
      </c>
      <c r="G512" s="67">
        <v>2004</v>
      </c>
      <c r="H512" s="67">
        <v>105</v>
      </c>
      <c r="I512" s="67">
        <v>0</v>
      </c>
      <c r="J512" s="67">
        <v>675</v>
      </c>
      <c r="K512" s="88"/>
      <c r="L512" s="88">
        <f t="shared" si="37"/>
        <v>214984</v>
      </c>
      <c r="M512" s="88">
        <v>47296</v>
      </c>
      <c r="N512" s="88">
        <v>993</v>
      </c>
      <c r="O512" s="88">
        <v>694</v>
      </c>
      <c r="P512" s="89" t="s">
        <v>22</v>
      </c>
      <c r="Q512" s="67">
        <v>40442</v>
      </c>
      <c r="R512" s="67">
        <v>213</v>
      </c>
      <c r="S512" s="67">
        <v>0</v>
      </c>
      <c r="T512" s="67">
        <v>125346</v>
      </c>
    </row>
    <row r="513" spans="1:20" s="68" customFormat="1" ht="9" customHeight="1" x14ac:dyDescent="0.15">
      <c r="A513" s="66" t="s">
        <v>32</v>
      </c>
      <c r="B513" s="88">
        <f t="shared" si="36"/>
        <v>20149</v>
      </c>
      <c r="C513" s="88">
        <v>3509</v>
      </c>
      <c r="D513" s="88">
        <v>1423</v>
      </c>
      <c r="E513" s="88">
        <v>5391</v>
      </c>
      <c r="F513" s="89" t="s">
        <v>22</v>
      </c>
      <c r="G513" s="67">
        <v>6803</v>
      </c>
      <c r="H513" s="67">
        <v>161</v>
      </c>
      <c r="I513" s="67">
        <v>1</v>
      </c>
      <c r="J513" s="67">
        <v>2861</v>
      </c>
      <c r="K513" s="88"/>
      <c r="L513" s="88">
        <f t="shared" si="37"/>
        <v>290823</v>
      </c>
      <c r="M513" s="88">
        <v>118636</v>
      </c>
      <c r="N513" s="88">
        <v>7923</v>
      </c>
      <c r="O513" s="88">
        <v>693</v>
      </c>
      <c r="P513" s="89" t="s">
        <v>22</v>
      </c>
      <c r="Q513" s="67">
        <v>61394</v>
      </c>
      <c r="R513" s="67">
        <v>561</v>
      </c>
      <c r="S513" s="67">
        <v>0</v>
      </c>
      <c r="T513" s="67">
        <v>101616</v>
      </c>
    </row>
    <row r="514" spans="1:20" s="68" customFormat="1" ht="9" customHeight="1" x14ac:dyDescent="0.15">
      <c r="A514" s="69" t="s">
        <v>33</v>
      </c>
      <c r="B514" s="102">
        <f t="shared" si="36"/>
        <v>22483</v>
      </c>
      <c r="C514" s="90">
        <v>5703</v>
      </c>
      <c r="D514" s="90">
        <v>1630</v>
      </c>
      <c r="E514" s="90">
        <v>1928</v>
      </c>
      <c r="F514" s="91" t="s">
        <v>22</v>
      </c>
      <c r="G514" s="70">
        <v>11686</v>
      </c>
      <c r="H514" s="70">
        <v>73</v>
      </c>
      <c r="I514" s="70">
        <v>13</v>
      </c>
      <c r="J514" s="70">
        <v>1450</v>
      </c>
      <c r="K514" s="90"/>
      <c r="L514" s="102">
        <f t="shared" si="37"/>
        <v>247363</v>
      </c>
      <c r="M514" s="90">
        <v>164135</v>
      </c>
      <c r="N514" s="90">
        <v>4007</v>
      </c>
      <c r="O514" s="90">
        <v>835</v>
      </c>
      <c r="P514" s="91" t="s">
        <v>22</v>
      </c>
      <c r="Q514" s="70">
        <v>62948</v>
      </c>
      <c r="R514" s="70">
        <v>191</v>
      </c>
      <c r="S514" s="70">
        <v>781</v>
      </c>
      <c r="T514" s="70">
        <v>14466</v>
      </c>
    </row>
    <row r="515" spans="1:20" s="68" customFormat="1" ht="9" customHeight="1" x14ac:dyDescent="0.15">
      <c r="A515" s="66" t="s">
        <v>34</v>
      </c>
      <c r="B515" s="88">
        <f t="shared" si="36"/>
        <v>18477</v>
      </c>
      <c r="C515" s="88">
        <v>5463</v>
      </c>
      <c r="D515" s="88">
        <v>2625</v>
      </c>
      <c r="E515" s="88">
        <v>4153</v>
      </c>
      <c r="F515" s="89" t="s">
        <v>22</v>
      </c>
      <c r="G515" s="67">
        <v>4335</v>
      </c>
      <c r="H515" s="67">
        <v>219</v>
      </c>
      <c r="I515" s="67">
        <v>8</v>
      </c>
      <c r="J515" s="67">
        <v>1674</v>
      </c>
      <c r="K515" s="88"/>
      <c r="L515" s="88">
        <f t="shared" si="37"/>
        <v>269625</v>
      </c>
      <c r="M515" s="88">
        <v>190441</v>
      </c>
      <c r="N515" s="88">
        <v>16436</v>
      </c>
      <c r="O515" s="88">
        <v>158</v>
      </c>
      <c r="P515" s="89" t="s">
        <v>22</v>
      </c>
      <c r="Q515" s="67">
        <v>23984</v>
      </c>
      <c r="R515" s="67">
        <v>381</v>
      </c>
      <c r="S515" s="67">
        <v>17</v>
      </c>
      <c r="T515" s="67">
        <v>38208</v>
      </c>
    </row>
    <row r="516" spans="1:20" s="68" customFormat="1" ht="9" customHeight="1" x14ac:dyDescent="0.15">
      <c r="A516" s="66" t="s">
        <v>35</v>
      </c>
      <c r="B516" s="88">
        <f t="shared" si="36"/>
        <v>36227</v>
      </c>
      <c r="C516" s="88">
        <v>10379</v>
      </c>
      <c r="D516" s="88">
        <v>3986</v>
      </c>
      <c r="E516" s="88">
        <v>5501</v>
      </c>
      <c r="F516" s="89" t="s">
        <v>22</v>
      </c>
      <c r="G516" s="67">
        <v>13454</v>
      </c>
      <c r="H516" s="67">
        <v>518</v>
      </c>
      <c r="I516" s="67">
        <v>59</v>
      </c>
      <c r="J516" s="67">
        <v>2330</v>
      </c>
      <c r="K516" s="88"/>
      <c r="L516" s="88">
        <f t="shared" si="37"/>
        <v>554729</v>
      </c>
      <c r="M516" s="88">
        <v>356708</v>
      </c>
      <c r="N516" s="88">
        <v>29170</v>
      </c>
      <c r="O516" s="88">
        <v>543</v>
      </c>
      <c r="P516" s="89" t="s">
        <v>22</v>
      </c>
      <c r="Q516" s="67">
        <v>117730</v>
      </c>
      <c r="R516" s="67">
        <v>2358</v>
      </c>
      <c r="S516" s="67">
        <v>796</v>
      </c>
      <c r="T516" s="67">
        <v>47424</v>
      </c>
    </row>
    <row r="517" spans="1:20" s="68" customFormat="1" ht="9" customHeight="1" x14ac:dyDescent="0.15">
      <c r="A517" s="66" t="s">
        <v>36</v>
      </c>
      <c r="B517" s="88">
        <f t="shared" si="36"/>
        <v>38002</v>
      </c>
      <c r="C517" s="88">
        <v>9217</v>
      </c>
      <c r="D517" s="88">
        <v>3082</v>
      </c>
      <c r="E517" s="88">
        <v>5693</v>
      </c>
      <c r="F517" s="89" t="s">
        <v>22</v>
      </c>
      <c r="G517" s="67">
        <v>15694</v>
      </c>
      <c r="H517" s="67">
        <v>234</v>
      </c>
      <c r="I517" s="67">
        <v>26</v>
      </c>
      <c r="J517" s="67">
        <v>4056</v>
      </c>
      <c r="K517" s="88"/>
      <c r="L517" s="88">
        <f t="shared" si="37"/>
        <v>957431</v>
      </c>
      <c r="M517" s="88">
        <v>478017</v>
      </c>
      <c r="N517" s="88">
        <v>19454</v>
      </c>
      <c r="O517" s="88">
        <v>6338</v>
      </c>
      <c r="P517" s="89" t="s">
        <v>22</v>
      </c>
      <c r="Q517" s="67">
        <v>179153</v>
      </c>
      <c r="R517" s="67">
        <v>643</v>
      </c>
      <c r="S517" s="67">
        <v>35</v>
      </c>
      <c r="T517" s="67">
        <v>273791</v>
      </c>
    </row>
    <row r="518" spans="1:20" s="68" customFormat="1" ht="9" customHeight="1" x14ac:dyDescent="0.15">
      <c r="A518" s="69" t="s">
        <v>37</v>
      </c>
      <c r="B518" s="102">
        <f t="shared" si="36"/>
        <v>17437</v>
      </c>
      <c r="C518" s="90">
        <v>4691</v>
      </c>
      <c r="D518" s="90">
        <v>3226</v>
      </c>
      <c r="E518" s="90">
        <v>2240</v>
      </c>
      <c r="F518" s="91" t="s">
        <v>22</v>
      </c>
      <c r="G518" s="70">
        <v>4870</v>
      </c>
      <c r="H518" s="70">
        <v>296</v>
      </c>
      <c r="I518" s="70">
        <v>150</v>
      </c>
      <c r="J518" s="70">
        <v>1964</v>
      </c>
      <c r="K518" s="90"/>
      <c r="L518" s="102">
        <f t="shared" si="37"/>
        <v>323166</v>
      </c>
      <c r="M518" s="90">
        <v>190699</v>
      </c>
      <c r="N518" s="90">
        <v>18030</v>
      </c>
      <c r="O518" s="90">
        <v>438</v>
      </c>
      <c r="P518" s="91" t="s">
        <v>22</v>
      </c>
      <c r="Q518" s="70">
        <v>76624</v>
      </c>
      <c r="R518" s="70">
        <v>1518</v>
      </c>
      <c r="S518" s="70">
        <v>572</v>
      </c>
      <c r="T518" s="70">
        <v>35285</v>
      </c>
    </row>
    <row r="519" spans="1:20" s="68" customFormat="1" ht="9" customHeight="1" x14ac:dyDescent="0.15">
      <c r="A519" s="66" t="s">
        <v>38</v>
      </c>
      <c r="B519" s="88">
        <f t="shared" si="36"/>
        <v>5551</v>
      </c>
      <c r="C519" s="88">
        <v>2294</v>
      </c>
      <c r="D519" s="88">
        <v>677</v>
      </c>
      <c r="E519" s="88">
        <v>729</v>
      </c>
      <c r="F519" s="89" t="s">
        <v>22</v>
      </c>
      <c r="G519" s="67">
        <v>802</v>
      </c>
      <c r="H519" s="67">
        <v>44</v>
      </c>
      <c r="I519" s="67">
        <v>8</v>
      </c>
      <c r="J519" s="67">
        <v>997</v>
      </c>
      <c r="K519" s="88"/>
      <c r="L519" s="88">
        <f t="shared" si="37"/>
        <v>93050</v>
      </c>
      <c r="M519" s="88">
        <v>71309</v>
      </c>
      <c r="N519" s="88">
        <v>8516</v>
      </c>
      <c r="O519" s="88">
        <v>847</v>
      </c>
      <c r="P519" s="89" t="s">
        <v>22</v>
      </c>
      <c r="Q519" s="67">
        <v>4511</v>
      </c>
      <c r="R519" s="67">
        <v>105</v>
      </c>
      <c r="S519" s="67">
        <v>30</v>
      </c>
      <c r="T519" s="67">
        <v>7732</v>
      </c>
    </row>
    <row r="520" spans="1:20" s="68" customFormat="1" ht="9" customHeight="1" x14ac:dyDescent="0.15">
      <c r="A520" s="66" t="s">
        <v>39</v>
      </c>
      <c r="B520" s="88">
        <f t="shared" si="36"/>
        <v>4880</v>
      </c>
      <c r="C520" s="88">
        <v>1778</v>
      </c>
      <c r="D520" s="88">
        <v>1632</v>
      </c>
      <c r="E520" s="88">
        <v>250</v>
      </c>
      <c r="F520" s="89" t="s">
        <v>22</v>
      </c>
      <c r="G520" s="67">
        <v>1214</v>
      </c>
      <c r="H520" s="67">
        <v>6</v>
      </c>
      <c r="I520" s="67">
        <v>0</v>
      </c>
      <c r="J520" s="67">
        <v>0</v>
      </c>
      <c r="K520" s="88"/>
      <c r="L520" s="88">
        <f t="shared" si="37"/>
        <v>84371</v>
      </c>
      <c r="M520" s="88">
        <v>71003</v>
      </c>
      <c r="N520" s="88">
        <v>7660</v>
      </c>
      <c r="O520" s="88">
        <v>15</v>
      </c>
      <c r="P520" s="89" t="s">
        <v>22</v>
      </c>
      <c r="Q520" s="67">
        <v>5673</v>
      </c>
      <c r="R520" s="67">
        <v>20</v>
      </c>
      <c r="S520" s="67">
        <v>0</v>
      </c>
      <c r="T520" s="67">
        <v>0</v>
      </c>
    </row>
    <row r="521" spans="1:20" s="68" customFormat="1" ht="9" customHeight="1" x14ac:dyDescent="0.15">
      <c r="A521" s="66" t="s">
        <v>40</v>
      </c>
      <c r="B521" s="88">
        <f t="shared" si="36"/>
        <v>16271</v>
      </c>
      <c r="C521" s="88">
        <v>3653</v>
      </c>
      <c r="D521" s="88">
        <v>1264</v>
      </c>
      <c r="E521" s="88">
        <v>3415</v>
      </c>
      <c r="F521" s="89" t="s">
        <v>22</v>
      </c>
      <c r="G521" s="67">
        <v>5921</v>
      </c>
      <c r="H521" s="67">
        <v>132</v>
      </c>
      <c r="I521" s="67">
        <v>0</v>
      </c>
      <c r="J521" s="67">
        <v>1886</v>
      </c>
      <c r="K521" s="88"/>
      <c r="L521" s="88">
        <f t="shared" si="37"/>
        <v>280838</v>
      </c>
      <c r="M521" s="88">
        <v>150397</v>
      </c>
      <c r="N521" s="88">
        <v>5630</v>
      </c>
      <c r="O521" s="88">
        <v>314</v>
      </c>
      <c r="P521" s="89" t="s">
        <v>22</v>
      </c>
      <c r="Q521" s="67">
        <v>53681</v>
      </c>
      <c r="R521" s="67">
        <v>326</v>
      </c>
      <c r="S521" s="67">
        <v>0</v>
      </c>
      <c r="T521" s="67">
        <v>70490</v>
      </c>
    </row>
    <row r="522" spans="1:20" s="68" customFormat="1" ht="9" customHeight="1" x14ac:dyDescent="0.15">
      <c r="A522" s="69" t="s">
        <v>41</v>
      </c>
      <c r="B522" s="102">
        <f t="shared" si="36"/>
        <v>8599</v>
      </c>
      <c r="C522" s="90">
        <v>4408</v>
      </c>
      <c r="D522" s="90">
        <v>1565</v>
      </c>
      <c r="E522" s="90">
        <v>531</v>
      </c>
      <c r="F522" s="91" t="s">
        <v>22</v>
      </c>
      <c r="G522" s="70">
        <v>1143</v>
      </c>
      <c r="H522" s="70">
        <v>691</v>
      </c>
      <c r="I522" s="70">
        <v>3</v>
      </c>
      <c r="J522" s="70">
        <v>258</v>
      </c>
      <c r="K522" s="90"/>
      <c r="L522" s="102">
        <f t="shared" si="37"/>
        <v>164413</v>
      </c>
      <c r="M522" s="90">
        <v>120208</v>
      </c>
      <c r="N522" s="90">
        <v>12353</v>
      </c>
      <c r="O522" s="90">
        <v>2148</v>
      </c>
      <c r="P522" s="91" t="s">
        <v>22</v>
      </c>
      <c r="Q522" s="70">
        <v>17165</v>
      </c>
      <c r="R522" s="70">
        <v>8343</v>
      </c>
      <c r="S522" s="70">
        <v>0</v>
      </c>
      <c r="T522" s="70">
        <v>4196</v>
      </c>
    </row>
    <row r="523" spans="1:20" s="68" customFormat="1" ht="9" customHeight="1" x14ac:dyDescent="0.15">
      <c r="A523" s="66" t="s">
        <v>42</v>
      </c>
      <c r="B523" s="88">
        <f t="shared" si="36"/>
        <v>6190</v>
      </c>
      <c r="C523" s="88">
        <v>1734</v>
      </c>
      <c r="D523" s="88">
        <v>1086</v>
      </c>
      <c r="E523" s="88">
        <v>951</v>
      </c>
      <c r="F523" s="89" t="s">
        <v>22</v>
      </c>
      <c r="G523" s="67">
        <v>1569</v>
      </c>
      <c r="H523" s="67">
        <v>17</v>
      </c>
      <c r="I523" s="67">
        <v>0</v>
      </c>
      <c r="J523" s="67">
        <v>833</v>
      </c>
      <c r="K523" s="88"/>
      <c r="L523" s="88">
        <f t="shared" si="37"/>
        <v>141423</v>
      </c>
      <c r="M523" s="88">
        <v>74166</v>
      </c>
      <c r="N523" s="88">
        <v>8192</v>
      </c>
      <c r="O523" s="88">
        <v>532</v>
      </c>
      <c r="P523" s="89" t="s">
        <v>22</v>
      </c>
      <c r="Q523" s="67">
        <v>33697</v>
      </c>
      <c r="R523" s="67">
        <v>64</v>
      </c>
      <c r="S523" s="67">
        <v>0</v>
      </c>
      <c r="T523" s="67">
        <v>24772</v>
      </c>
    </row>
    <row r="524" spans="1:20" s="68" customFormat="1" ht="9" customHeight="1" x14ac:dyDescent="0.15">
      <c r="A524" s="66" t="s">
        <v>43</v>
      </c>
      <c r="B524" s="88">
        <f t="shared" si="36"/>
        <v>3739</v>
      </c>
      <c r="C524" s="88">
        <v>1008</v>
      </c>
      <c r="D524" s="88">
        <v>154</v>
      </c>
      <c r="E524" s="88">
        <v>814</v>
      </c>
      <c r="F524" s="89" t="s">
        <v>22</v>
      </c>
      <c r="G524" s="67">
        <v>1059</v>
      </c>
      <c r="H524" s="67">
        <v>5</v>
      </c>
      <c r="I524" s="67">
        <v>0</v>
      </c>
      <c r="J524" s="67">
        <v>699</v>
      </c>
      <c r="K524" s="88"/>
      <c r="L524" s="88">
        <f t="shared" si="37"/>
        <v>108786</v>
      </c>
      <c r="M524" s="88">
        <v>96159</v>
      </c>
      <c r="N524" s="88">
        <v>560</v>
      </c>
      <c r="O524" s="88">
        <v>106</v>
      </c>
      <c r="P524" s="89" t="s">
        <v>22</v>
      </c>
      <c r="Q524" s="67">
        <v>9490</v>
      </c>
      <c r="R524" s="67">
        <v>8</v>
      </c>
      <c r="S524" s="67">
        <v>0</v>
      </c>
      <c r="T524" s="67">
        <v>2463</v>
      </c>
    </row>
    <row r="525" spans="1:20" s="68" customFormat="1" ht="9" customHeight="1" x14ac:dyDescent="0.15">
      <c r="A525" s="66" t="s">
        <v>44</v>
      </c>
      <c r="B525" s="88">
        <f t="shared" si="36"/>
        <v>12769</v>
      </c>
      <c r="C525" s="88">
        <v>4253</v>
      </c>
      <c r="D525" s="88">
        <v>522</v>
      </c>
      <c r="E525" s="88">
        <v>1493</v>
      </c>
      <c r="F525" s="89" t="s">
        <v>22</v>
      </c>
      <c r="G525" s="67">
        <v>4191</v>
      </c>
      <c r="H525" s="67">
        <v>293</v>
      </c>
      <c r="I525" s="67">
        <v>15</v>
      </c>
      <c r="J525" s="67">
        <v>2002</v>
      </c>
      <c r="K525" s="88"/>
      <c r="L525" s="88">
        <f t="shared" si="37"/>
        <v>226618</v>
      </c>
      <c r="M525" s="88">
        <v>151300</v>
      </c>
      <c r="N525" s="88">
        <v>2931</v>
      </c>
      <c r="O525" s="88">
        <v>182</v>
      </c>
      <c r="P525" s="89" t="s">
        <v>22</v>
      </c>
      <c r="Q525" s="67">
        <v>58507</v>
      </c>
      <c r="R525" s="67">
        <v>953</v>
      </c>
      <c r="S525" s="67">
        <v>3</v>
      </c>
      <c r="T525" s="67">
        <v>12742</v>
      </c>
    </row>
    <row r="526" spans="1:20" s="68" customFormat="1" ht="9" customHeight="1" x14ac:dyDescent="0.15">
      <c r="A526" s="69" t="s">
        <v>45</v>
      </c>
      <c r="B526" s="102">
        <f t="shared" si="36"/>
        <v>15703</v>
      </c>
      <c r="C526" s="90">
        <v>1525</v>
      </c>
      <c r="D526" s="90">
        <v>2516</v>
      </c>
      <c r="E526" s="90">
        <v>4683</v>
      </c>
      <c r="F526" s="91" t="s">
        <v>22</v>
      </c>
      <c r="G526" s="70">
        <v>5903</v>
      </c>
      <c r="H526" s="70">
        <v>27</v>
      </c>
      <c r="I526" s="70">
        <v>1</v>
      </c>
      <c r="J526" s="70">
        <v>1048</v>
      </c>
      <c r="K526" s="90"/>
      <c r="L526" s="102">
        <f t="shared" si="37"/>
        <v>156195</v>
      </c>
      <c r="M526" s="90">
        <v>60279</v>
      </c>
      <c r="N526" s="90">
        <v>5808</v>
      </c>
      <c r="O526" s="90">
        <v>462</v>
      </c>
      <c r="P526" s="91" t="s">
        <v>22</v>
      </c>
      <c r="Q526" s="70">
        <v>29217</v>
      </c>
      <c r="R526" s="70">
        <v>44</v>
      </c>
      <c r="S526" s="70">
        <v>0</v>
      </c>
      <c r="T526" s="70">
        <v>60385</v>
      </c>
    </row>
    <row r="527" spans="1:20" s="68" customFormat="1" ht="9" customHeight="1" x14ac:dyDescent="0.15">
      <c r="A527" s="66" t="s">
        <v>46</v>
      </c>
      <c r="B527" s="88">
        <f t="shared" si="36"/>
        <v>29035</v>
      </c>
      <c r="C527" s="88">
        <v>8020</v>
      </c>
      <c r="D527" s="88">
        <v>4946</v>
      </c>
      <c r="E527" s="88">
        <v>5440</v>
      </c>
      <c r="F527" s="89" t="s">
        <v>22</v>
      </c>
      <c r="G527" s="67">
        <v>8362</v>
      </c>
      <c r="H527" s="67">
        <v>1020</v>
      </c>
      <c r="I527" s="67">
        <v>108</v>
      </c>
      <c r="J527" s="67">
        <v>1139</v>
      </c>
      <c r="K527" s="88"/>
      <c r="L527" s="88">
        <f t="shared" si="37"/>
        <v>466957</v>
      </c>
      <c r="M527" s="88">
        <v>281748</v>
      </c>
      <c r="N527" s="88">
        <v>37069</v>
      </c>
      <c r="O527" s="88">
        <v>1265</v>
      </c>
      <c r="P527" s="89" t="s">
        <v>22</v>
      </c>
      <c r="Q527" s="67">
        <v>103501</v>
      </c>
      <c r="R527" s="67">
        <v>2356</v>
      </c>
      <c r="S527" s="67">
        <v>277</v>
      </c>
      <c r="T527" s="67">
        <v>40741</v>
      </c>
    </row>
    <row r="528" spans="1:20" s="68" customFormat="1" ht="9" customHeight="1" x14ac:dyDescent="0.15">
      <c r="A528" s="66" t="s">
        <v>47</v>
      </c>
      <c r="B528" s="88">
        <f t="shared" si="36"/>
        <v>2889</v>
      </c>
      <c r="C528" s="88">
        <v>963</v>
      </c>
      <c r="D528" s="88">
        <v>87</v>
      </c>
      <c r="E528" s="88">
        <v>744</v>
      </c>
      <c r="F528" s="89" t="s">
        <v>22</v>
      </c>
      <c r="G528" s="67">
        <v>712</v>
      </c>
      <c r="H528" s="67">
        <v>71</v>
      </c>
      <c r="I528" s="67">
        <v>27</v>
      </c>
      <c r="J528" s="67">
        <v>285</v>
      </c>
      <c r="K528" s="88"/>
      <c r="L528" s="88">
        <f t="shared" si="37"/>
        <v>151378</v>
      </c>
      <c r="M528" s="88">
        <v>79570</v>
      </c>
      <c r="N528" s="88">
        <v>553</v>
      </c>
      <c r="O528" s="88">
        <v>4765</v>
      </c>
      <c r="P528" s="89" t="s">
        <v>22</v>
      </c>
      <c r="Q528" s="67">
        <v>40856</v>
      </c>
      <c r="R528" s="67">
        <v>124</v>
      </c>
      <c r="S528" s="67">
        <v>0</v>
      </c>
      <c r="T528" s="67">
        <v>25510</v>
      </c>
    </row>
    <row r="529" spans="1:21" s="68" customFormat="1" ht="9" customHeight="1" x14ac:dyDescent="0.15">
      <c r="A529" s="66" t="s">
        <v>48</v>
      </c>
      <c r="B529" s="88">
        <f t="shared" si="36"/>
        <v>6866</v>
      </c>
      <c r="C529" s="88">
        <v>763</v>
      </c>
      <c r="D529" s="88">
        <v>510</v>
      </c>
      <c r="E529" s="88">
        <v>355</v>
      </c>
      <c r="F529" s="89" t="s">
        <v>22</v>
      </c>
      <c r="G529" s="67">
        <v>4779</v>
      </c>
      <c r="H529" s="67">
        <v>5</v>
      </c>
      <c r="I529" s="67">
        <v>0</v>
      </c>
      <c r="J529" s="67">
        <v>454</v>
      </c>
      <c r="K529" s="88"/>
      <c r="L529" s="88">
        <f t="shared" si="37"/>
        <v>109639</v>
      </c>
      <c r="M529" s="88">
        <v>61132</v>
      </c>
      <c r="N529" s="88">
        <v>11448</v>
      </c>
      <c r="O529" s="88">
        <v>7</v>
      </c>
      <c r="P529" s="89" t="s">
        <v>22</v>
      </c>
      <c r="Q529" s="67">
        <v>16862</v>
      </c>
      <c r="R529" s="67">
        <v>10</v>
      </c>
      <c r="S529" s="67">
        <v>0</v>
      </c>
      <c r="T529" s="67">
        <v>20180</v>
      </c>
    </row>
    <row r="530" spans="1:21" s="68" customFormat="1" ht="9" customHeight="1" x14ac:dyDescent="0.15">
      <c r="A530" s="69" t="s">
        <v>49</v>
      </c>
      <c r="B530" s="102">
        <f t="shared" si="36"/>
        <v>9844</v>
      </c>
      <c r="C530" s="90">
        <v>1749</v>
      </c>
      <c r="D530" s="90">
        <v>686</v>
      </c>
      <c r="E530" s="90">
        <v>2978</v>
      </c>
      <c r="F530" s="91" t="s">
        <v>22</v>
      </c>
      <c r="G530" s="70">
        <v>3635</v>
      </c>
      <c r="H530" s="70">
        <v>71</v>
      </c>
      <c r="I530" s="70">
        <v>0</v>
      </c>
      <c r="J530" s="70">
        <v>725</v>
      </c>
      <c r="K530" s="90"/>
      <c r="L530" s="102">
        <f t="shared" si="37"/>
        <v>123712</v>
      </c>
      <c r="M530" s="90">
        <v>55626</v>
      </c>
      <c r="N530" s="90">
        <v>2115</v>
      </c>
      <c r="O530" s="90">
        <v>225</v>
      </c>
      <c r="P530" s="91" t="s">
        <v>22</v>
      </c>
      <c r="Q530" s="70">
        <v>35508</v>
      </c>
      <c r="R530" s="70">
        <v>1247</v>
      </c>
      <c r="S530" s="70">
        <v>0</v>
      </c>
      <c r="T530" s="70">
        <v>28991</v>
      </c>
    </row>
    <row r="531" spans="1:21" s="72" customFormat="1" ht="9" customHeight="1" x14ac:dyDescent="0.15">
      <c r="A531" s="71" t="s">
        <v>50</v>
      </c>
      <c r="B531" s="88">
        <f t="shared" si="36"/>
        <v>5200</v>
      </c>
      <c r="C531" s="92">
        <v>2814</v>
      </c>
      <c r="D531" s="92">
        <v>440</v>
      </c>
      <c r="E531" s="92">
        <v>365</v>
      </c>
      <c r="F531" s="89" t="s">
        <v>22</v>
      </c>
      <c r="G531" s="67">
        <v>1231</v>
      </c>
      <c r="H531" s="67">
        <v>211</v>
      </c>
      <c r="I531" s="67">
        <v>0</v>
      </c>
      <c r="J531" s="67">
        <v>139</v>
      </c>
      <c r="K531" s="92"/>
      <c r="L531" s="88">
        <f t="shared" si="37"/>
        <v>132831</v>
      </c>
      <c r="M531" s="92">
        <v>95423</v>
      </c>
      <c r="N531" s="92">
        <v>3500</v>
      </c>
      <c r="O531" s="92">
        <v>202</v>
      </c>
      <c r="P531" s="89" t="s">
        <v>22</v>
      </c>
      <c r="Q531" s="67">
        <v>28060</v>
      </c>
      <c r="R531" s="67">
        <v>698</v>
      </c>
      <c r="S531" s="67">
        <v>0</v>
      </c>
      <c r="T531" s="67">
        <v>4948</v>
      </c>
    </row>
    <row r="532" spans="1:21" s="68" customFormat="1" ht="9" customHeight="1" x14ac:dyDescent="0.15">
      <c r="A532" s="66" t="s">
        <v>51</v>
      </c>
      <c r="B532" s="88">
        <f t="shared" si="36"/>
        <v>7492</v>
      </c>
      <c r="C532" s="88">
        <v>1205</v>
      </c>
      <c r="D532" s="88">
        <v>1888</v>
      </c>
      <c r="E532" s="88">
        <v>941</v>
      </c>
      <c r="F532" s="89" t="s">
        <v>22</v>
      </c>
      <c r="G532" s="67">
        <v>2433</v>
      </c>
      <c r="H532" s="67">
        <v>425</v>
      </c>
      <c r="I532" s="67">
        <v>0</v>
      </c>
      <c r="J532" s="67">
        <v>600</v>
      </c>
      <c r="K532" s="88"/>
      <c r="L532" s="88">
        <f t="shared" si="37"/>
        <v>201743</v>
      </c>
      <c r="M532" s="88">
        <v>34004</v>
      </c>
      <c r="N532" s="88">
        <v>7780</v>
      </c>
      <c r="O532" s="88">
        <v>473</v>
      </c>
      <c r="P532" s="89" t="s">
        <v>22</v>
      </c>
      <c r="Q532" s="67">
        <v>146537</v>
      </c>
      <c r="R532" s="67">
        <v>3526</v>
      </c>
      <c r="S532" s="67">
        <v>0</v>
      </c>
      <c r="T532" s="67">
        <v>9423</v>
      </c>
    </row>
    <row r="533" spans="1:21" s="68" customFormat="1" ht="9" customHeight="1" x14ac:dyDescent="0.15">
      <c r="A533" s="66" t="s">
        <v>52</v>
      </c>
      <c r="B533" s="88">
        <f t="shared" si="36"/>
        <v>3483</v>
      </c>
      <c r="C533" s="88">
        <v>715</v>
      </c>
      <c r="D533" s="88">
        <v>564</v>
      </c>
      <c r="E533" s="88">
        <v>550</v>
      </c>
      <c r="F533" s="89" t="s">
        <v>22</v>
      </c>
      <c r="G533" s="67">
        <v>1387</v>
      </c>
      <c r="H533" s="67">
        <v>12</v>
      </c>
      <c r="I533" s="67">
        <v>15</v>
      </c>
      <c r="J533" s="67">
        <v>240</v>
      </c>
      <c r="K533" s="88"/>
      <c r="L533" s="88">
        <f t="shared" si="37"/>
        <v>47583</v>
      </c>
      <c r="M533" s="88">
        <v>30295</v>
      </c>
      <c r="N533" s="88">
        <v>890</v>
      </c>
      <c r="O533" s="88">
        <v>112</v>
      </c>
      <c r="P533" s="89" t="s">
        <v>22</v>
      </c>
      <c r="Q533" s="67">
        <v>11586</v>
      </c>
      <c r="R533" s="67">
        <v>23</v>
      </c>
      <c r="S533" s="67">
        <v>19</v>
      </c>
      <c r="T533" s="67">
        <v>4658</v>
      </c>
    </row>
    <row r="534" spans="1:21" s="68" customFormat="1" ht="9" customHeight="1" x14ac:dyDescent="0.15">
      <c r="A534" s="69" t="s">
        <v>53</v>
      </c>
      <c r="B534" s="102">
        <f t="shared" si="36"/>
        <v>11815</v>
      </c>
      <c r="C534" s="90">
        <v>4405</v>
      </c>
      <c r="D534" s="90">
        <v>2483</v>
      </c>
      <c r="E534" s="90">
        <v>1505</v>
      </c>
      <c r="F534" s="91" t="s">
        <v>22</v>
      </c>
      <c r="G534" s="70">
        <v>2225</v>
      </c>
      <c r="H534" s="70">
        <v>109</v>
      </c>
      <c r="I534" s="70">
        <v>1</v>
      </c>
      <c r="J534" s="70">
        <v>1087</v>
      </c>
      <c r="K534" s="90"/>
      <c r="L534" s="102">
        <f t="shared" si="37"/>
        <v>230445</v>
      </c>
      <c r="M534" s="90">
        <v>140712</v>
      </c>
      <c r="N534" s="90">
        <v>12080</v>
      </c>
      <c r="O534" s="90">
        <v>214</v>
      </c>
      <c r="P534" s="91" t="s">
        <v>22</v>
      </c>
      <c r="Q534" s="70">
        <v>61619</v>
      </c>
      <c r="R534" s="70">
        <v>189</v>
      </c>
      <c r="S534" s="70">
        <v>25</v>
      </c>
      <c r="T534" s="70">
        <v>15606</v>
      </c>
    </row>
    <row r="535" spans="1:21" s="65" customFormat="1" ht="9" customHeight="1" x14ac:dyDescent="0.15">
      <c r="A535" s="71"/>
      <c r="B535" s="92"/>
      <c r="C535" s="92"/>
      <c r="D535" s="92"/>
      <c r="E535" s="92"/>
      <c r="F535" s="92"/>
      <c r="G535" s="67"/>
      <c r="H535" s="67"/>
      <c r="I535" s="67"/>
      <c r="J535" s="67"/>
      <c r="K535" s="92"/>
      <c r="L535" s="92"/>
      <c r="M535" s="92"/>
      <c r="N535" s="92"/>
      <c r="O535" s="92"/>
      <c r="P535" s="92"/>
      <c r="Q535" s="67"/>
      <c r="R535" s="67"/>
      <c r="S535" s="67"/>
      <c r="T535" s="67"/>
    </row>
    <row r="536" spans="1:21" s="65" customFormat="1" ht="9" customHeight="1" x14ac:dyDescent="0.25">
      <c r="A536" s="96">
        <v>2014</v>
      </c>
      <c r="B536" s="97"/>
      <c r="C536" s="98"/>
      <c r="D536" s="97"/>
      <c r="E536" s="97"/>
      <c r="F536" s="97"/>
      <c r="G536" s="64"/>
      <c r="H536" s="64"/>
      <c r="I536" s="64"/>
      <c r="J536" s="64"/>
      <c r="K536" s="97"/>
      <c r="L536" s="97"/>
      <c r="M536" s="97"/>
      <c r="N536" s="97"/>
      <c r="O536" s="97"/>
      <c r="P536" s="97"/>
      <c r="Q536" s="64"/>
      <c r="R536" s="64"/>
      <c r="S536" s="64"/>
      <c r="T536" s="64"/>
    </row>
    <row r="537" spans="1:21" s="65" customFormat="1" ht="9" customHeight="1" x14ac:dyDescent="0.25">
      <c r="A537" s="99" t="s">
        <v>21</v>
      </c>
      <c r="B537" s="64">
        <f t="shared" ref="B537:J537" si="38">SUM(B539:B570)</f>
        <v>460252</v>
      </c>
      <c r="C537" s="64">
        <f t="shared" si="38"/>
        <v>128681</v>
      </c>
      <c r="D537" s="64">
        <f t="shared" si="38"/>
        <v>32315</v>
      </c>
      <c r="E537" s="64">
        <f t="shared" si="38"/>
        <v>86820</v>
      </c>
      <c r="F537" s="64" t="s">
        <v>22</v>
      </c>
      <c r="G537" s="64">
        <f t="shared" si="38"/>
        <v>142886</v>
      </c>
      <c r="H537" s="64">
        <f t="shared" si="38"/>
        <v>27484</v>
      </c>
      <c r="I537" s="64">
        <f t="shared" si="38"/>
        <v>1877</v>
      </c>
      <c r="J537" s="64">
        <f t="shared" si="38"/>
        <v>40189</v>
      </c>
      <c r="K537" s="64"/>
      <c r="L537" s="64">
        <f>SUM(L539:L570)</f>
        <v>9422792</v>
      </c>
      <c r="M537" s="64">
        <f t="shared" ref="M537:T537" si="39">SUM(M539:M570)</f>
        <v>5233106</v>
      </c>
      <c r="N537" s="64">
        <f t="shared" si="39"/>
        <v>177842</v>
      </c>
      <c r="O537" s="64">
        <f t="shared" si="39"/>
        <v>31521</v>
      </c>
      <c r="P537" s="64" t="s">
        <v>22</v>
      </c>
      <c r="Q537" s="64">
        <f t="shared" si="39"/>
        <v>1712101</v>
      </c>
      <c r="R537" s="64">
        <f t="shared" si="39"/>
        <v>212113</v>
      </c>
      <c r="S537" s="64">
        <f t="shared" si="39"/>
        <v>16187</v>
      </c>
      <c r="T537" s="64">
        <f t="shared" si="39"/>
        <v>2039922</v>
      </c>
      <c r="U537" s="101"/>
    </row>
    <row r="538" spans="1:21" s="65" customFormat="1" ht="3" customHeight="1" x14ac:dyDescent="0.25">
      <c r="A538" s="99"/>
      <c r="B538" s="64"/>
      <c r="C538" s="64"/>
      <c r="D538" s="64"/>
      <c r="E538" s="64"/>
      <c r="F538" s="64"/>
      <c r="G538" s="64"/>
      <c r="H538" s="64"/>
      <c r="I538" s="64"/>
      <c r="J538" s="64"/>
      <c r="K538" s="64"/>
      <c r="L538" s="64"/>
      <c r="M538" s="64"/>
      <c r="N538" s="64"/>
      <c r="O538" s="64"/>
      <c r="P538" s="64"/>
      <c r="Q538" s="64"/>
      <c r="R538" s="64"/>
      <c r="S538" s="64"/>
      <c r="T538" s="64"/>
    </row>
    <row r="539" spans="1:21" s="68" customFormat="1" ht="9" customHeight="1" x14ac:dyDescent="0.15">
      <c r="A539" s="66" t="s">
        <v>23</v>
      </c>
      <c r="B539" s="88">
        <f>SUM(C539:J539)</f>
        <v>4856</v>
      </c>
      <c r="C539" s="88">
        <v>1314</v>
      </c>
      <c r="D539" s="88">
        <v>311</v>
      </c>
      <c r="E539" s="88">
        <v>759</v>
      </c>
      <c r="F539" s="89" t="s">
        <v>22</v>
      </c>
      <c r="G539" s="67">
        <v>2067</v>
      </c>
      <c r="H539" s="67">
        <v>220</v>
      </c>
      <c r="I539" s="67">
        <v>3</v>
      </c>
      <c r="J539" s="67">
        <v>182</v>
      </c>
      <c r="K539" s="88"/>
      <c r="L539" s="88">
        <f>SUM(M539:T539)</f>
        <v>124944</v>
      </c>
      <c r="M539" s="88">
        <v>62475</v>
      </c>
      <c r="N539" s="88">
        <v>1958</v>
      </c>
      <c r="O539" s="88">
        <v>140</v>
      </c>
      <c r="P539" s="89" t="s">
        <v>22</v>
      </c>
      <c r="Q539" s="67">
        <v>42143</v>
      </c>
      <c r="R539" s="67">
        <v>1767</v>
      </c>
      <c r="S539" s="67">
        <v>6</v>
      </c>
      <c r="T539" s="67">
        <v>16455</v>
      </c>
    </row>
    <row r="540" spans="1:21" s="68" customFormat="1" ht="9" customHeight="1" x14ac:dyDescent="0.15">
      <c r="A540" s="66" t="s">
        <v>24</v>
      </c>
      <c r="B540" s="88">
        <f t="shared" ref="B540:B570" si="40">SUM(C540:J540)</f>
        <v>9844</v>
      </c>
      <c r="C540" s="88">
        <v>5522</v>
      </c>
      <c r="D540" s="88">
        <v>338</v>
      </c>
      <c r="E540" s="88">
        <v>2000</v>
      </c>
      <c r="F540" s="89" t="s">
        <v>22</v>
      </c>
      <c r="G540" s="67">
        <v>1342</v>
      </c>
      <c r="H540" s="67">
        <v>146</v>
      </c>
      <c r="I540" s="67">
        <v>63</v>
      </c>
      <c r="J540" s="67">
        <v>433</v>
      </c>
      <c r="K540" s="88"/>
      <c r="L540" s="88">
        <f t="shared" ref="L540:L570" si="41">SUM(M540:T540)</f>
        <v>281541</v>
      </c>
      <c r="M540" s="88">
        <v>202300</v>
      </c>
      <c r="N540" s="88">
        <v>1564</v>
      </c>
      <c r="O540" s="88">
        <v>791</v>
      </c>
      <c r="P540" s="89" t="s">
        <v>22</v>
      </c>
      <c r="Q540" s="67">
        <v>11249</v>
      </c>
      <c r="R540" s="67">
        <v>1189</v>
      </c>
      <c r="S540" s="67">
        <v>342</v>
      </c>
      <c r="T540" s="67">
        <v>64106</v>
      </c>
    </row>
    <row r="541" spans="1:21" s="68" customFormat="1" ht="9" customHeight="1" x14ac:dyDescent="0.15">
      <c r="A541" s="66" t="s">
        <v>25</v>
      </c>
      <c r="B541" s="88">
        <f t="shared" si="40"/>
        <v>5574</v>
      </c>
      <c r="C541" s="88">
        <v>2714</v>
      </c>
      <c r="D541" s="88">
        <v>426</v>
      </c>
      <c r="E541" s="88">
        <v>833</v>
      </c>
      <c r="F541" s="89" t="s">
        <v>22</v>
      </c>
      <c r="G541" s="67">
        <v>749</v>
      </c>
      <c r="H541" s="67">
        <v>162</v>
      </c>
      <c r="I541" s="67">
        <v>27</v>
      </c>
      <c r="J541" s="67">
        <v>663</v>
      </c>
      <c r="K541" s="88"/>
      <c r="L541" s="88">
        <f t="shared" si="41"/>
        <v>150514</v>
      </c>
      <c r="M541" s="88">
        <v>98140</v>
      </c>
      <c r="N541" s="88">
        <v>3040</v>
      </c>
      <c r="O541" s="88">
        <v>387</v>
      </c>
      <c r="P541" s="89" t="s">
        <v>22</v>
      </c>
      <c r="Q541" s="67">
        <v>12973</v>
      </c>
      <c r="R541" s="67">
        <v>1392</v>
      </c>
      <c r="S541" s="67">
        <v>82</v>
      </c>
      <c r="T541" s="67">
        <v>34500</v>
      </c>
    </row>
    <row r="542" spans="1:21" s="68" customFormat="1" ht="9" customHeight="1" x14ac:dyDescent="0.15">
      <c r="A542" s="69" t="s">
        <v>26</v>
      </c>
      <c r="B542" s="102">
        <f t="shared" si="40"/>
        <v>4808</v>
      </c>
      <c r="C542" s="90">
        <v>1205</v>
      </c>
      <c r="D542" s="90">
        <v>473</v>
      </c>
      <c r="E542" s="90">
        <v>915</v>
      </c>
      <c r="F542" s="91" t="s">
        <v>22</v>
      </c>
      <c r="G542" s="70">
        <v>2003</v>
      </c>
      <c r="H542" s="70">
        <v>172</v>
      </c>
      <c r="I542" s="70">
        <v>0</v>
      </c>
      <c r="J542" s="70">
        <v>40</v>
      </c>
      <c r="K542" s="90"/>
      <c r="L542" s="102">
        <f t="shared" si="41"/>
        <v>58260</v>
      </c>
      <c r="M542" s="90">
        <v>34159</v>
      </c>
      <c r="N542" s="90">
        <v>3192</v>
      </c>
      <c r="O542" s="90">
        <v>35</v>
      </c>
      <c r="P542" s="91" t="s">
        <v>22</v>
      </c>
      <c r="Q542" s="70">
        <v>18206</v>
      </c>
      <c r="R542" s="70">
        <v>1147</v>
      </c>
      <c r="S542" s="70">
        <v>0</v>
      </c>
      <c r="T542" s="70">
        <v>1521</v>
      </c>
    </row>
    <row r="543" spans="1:21" s="68" customFormat="1" ht="9" customHeight="1" x14ac:dyDescent="0.15">
      <c r="A543" s="66" t="s">
        <v>27</v>
      </c>
      <c r="B543" s="88">
        <f t="shared" si="40"/>
        <v>9302</v>
      </c>
      <c r="C543" s="88">
        <v>3037</v>
      </c>
      <c r="D543" s="88">
        <v>280</v>
      </c>
      <c r="E543" s="88">
        <v>2176</v>
      </c>
      <c r="F543" s="89" t="s">
        <v>22</v>
      </c>
      <c r="G543" s="67">
        <v>3086</v>
      </c>
      <c r="H543" s="67">
        <v>250</v>
      </c>
      <c r="I543" s="67">
        <v>8</v>
      </c>
      <c r="J543" s="67">
        <v>465</v>
      </c>
      <c r="K543" s="88"/>
      <c r="L543" s="88">
        <f t="shared" si="41"/>
        <v>258515</v>
      </c>
      <c r="M543" s="88">
        <v>175237</v>
      </c>
      <c r="N543" s="88">
        <v>2445</v>
      </c>
      <c r="O543" s="88">
        <v>1275</v>
      </c>
      <c r="P543" s="89" t="s">
        <v>22</v>
      </c>
      <c r="Q543" s="67">
        <v>27024</v>
      </c>
      <c r="R543" s="67">
        <v>2737</v>
      </c>
      <c r="S543" s="67">
        <v>259</v>
      </c>
      <c r="T543" s="67">
        <v>49538</v>
      </c>
    </row>
    <row r="544" spans="1:21" s="68" customFormat="1" ht="9" customHeight="1" x14ac:dyDescent="0.15">
      <c r="A544" s="66" t="s">
        <v>28</v>
      </c>
      <c r="B544" s="88">
        <f t="shared" si="40"/>
        <v>15485</v>
      </c>
      <c r="C544" s="88">
        <v>5255</v>
      </c>
      <c r="D544" s="88">
        <v>604</v>
      </c>
      <c r="E544" s="88">
        <v>2112</v>
      </c>
      <c r="F544" s="89" t="s">
        <v>22</v>
      </c>
      <c r="G544" s="67">
        <v>6442</v>
      </c>
      <c r="H544" s="67">
        <v>249</v>
      </c>
      <c r="I544" s="67">
        <v>34</v>
      </c>
      <c r="J544" s="67">
        <v>789</v>
      </c>
      <c r="K544" s="88"/>
      <c r="L544" s="88">
        <f t="shared" si="41"/>
        <v>307079</v>
      </c>
      <c r="M544" s="88">
        <v>178915</v>
      </c>
      <c r="N544" s="88">
        <v>2292</v>
      </c>
      <c r="O544" s="88">
        <v>553</v>
      </c>
      <c r="P544" s="89" t="s">
        <v>22</v>
      </c>
      <c r="Q544" s="67">
        <v>106862</v>
      </c>
      <c r="R544" s="67">
        <v>838</v>
      </c>
      <c r="S544" s="67">
        <v>539</v>
      </c>
      <c r="T544" s="67">
        <v>17080</v>
      </c>
    </row>
    <row r="545" spans="1:20" s="68" customFormat="1" ht="9" customHeight="1" x14ac:dyDescent="0.15">
      <c r="A545" s="66" t="s">
        <v>29</v>
      </c>
      <c r="B545" s="88">
        <f t="shared" si="40"/>
        <v>4855</v>
      </c>
      <c r="C545" s="88">
        <v>2327</v>
      </c>
      <c r="D545" s="88">
        <v>275</v>
      </c>
      <c r="E545" s="88">
        <v>589</v>
      </c>
      <c r="F545" s="89" t="s">
        <v>22</v>
      </c>
      <c r="G545" s="67">
        <v>718</v>
      </c>
      <c r="H545" s="67">
        <v>407</v>
      </c>
      <c r="I545" s="67">
        <v>110</v>
      </c>
      <c r="J545" s="67">
        <v>429</v>
      </c>
      <c r="K545" s="88"/>
      <c r="L545" s="88">
        <f t="shared" si="41"/>
        <v>120471</v>
      </c>
      <c r="M545" s="88">
        <v>85804</v>
      </c>
      <c r="N545" s="88">
        <v>1287</v>
      </c>
      <c r="O545" s="88">
        <v>79</v>
      </c>
      <c r="P545" s="89" t="s">
        <v>22</v>
      </c>
      <c r="Q545" s="67">
        <v>15873</v>
      </c>
      <c r="R545" s="67">
        <v>2644</v>
      </c>
      <c r="S545" s="67">
        <v>105</v>
      </c>
      <c r="T545" s="67">
        <v>14679</v>
      </c>
    </row>
    <row r="546" spans="1:20" s="68" customFormat="1" ht="9" customHeight="1" x14ac:dyDescent="0.15">
      <c r="A546" s="69" t="s">
        <v>30</v>
      </c>
      <c r="B546" s="102">
        <f t="shared" si="40"/>
        <v>8967</v>
      </c>
      <c r="C546" s="90">
        <v>4378</v>
      </c>
      <c r="D546" s="90">
        <v>779</v>
      </c>
      <c r="E546" s="90">
        <v>1200</v>
      </c>
      <c r="F546" s="91" t="s">
        <v>22</v>
      </c>
      <c r="G546" s="70">
        <v>1629</v>
      </c>
      <c r="H546" s="70">
        <v>543</v>
      </c>
      <c r="I546" s="70">
        <v>92</v>
      </c>
      <c r="J546" s="70">
        <v>346</v>
      </c>
      <c r="K546" s="90"/>
      <c r="L546" s="102">
        <f t="shared" si="41"/>
        <v>330096</v>
      </c>
      <c r="M546" s="90">
        <v>191351</v>
      </c>
      <c r="N546" s="90">
        <v>2135</v>
      </c>
      <c r="O546" s="90">
        <v>390</v>
      </c>
      <c r="P546" s="91" t="s">
        <v>22</v>
      </c>
      <c r="Q546" s="70">
        <v>61126</v>
      </c>
      <c r="R546" s="70">
        <v>1943</v>
      </c>
      <c r="S546" s="70">
        <v>1575</v>
      </c>
      <c r="T546" s="70">
        <v>71576</v>
      </c>
    </row>
    <row r="547" spans="1:20" s="68" customFormat="1" ht="9" customHeight="1" x14ac:dyDescent="0.15">
      <c r="A547" s="66" t="s">
        <v>63</v>
      </c>
      <c r="B547" s="88">
        <f t="shared" si="40"/>
        <v>90974</v>
      </c>
      <c r="C547" s="88">
        <v>21453</v>
      </c>
      <c r="D547" s="88">
        <v>4989</v>
      </c>
      <c r="E547" s="88">
        <v>22809</v>
      </c>
      <c r="F547" s="89" t="s">
        <v>22</v>
      </c>
      <c r="G547" s="67">
        <v>28538</v>
      </c>
      <c r="H547" s="67">
        <v>6777</v>
      </c>
      <c r="I547" s="67">
        <v>173</v>
      </c>
      <c r="J547" s="67">
        <v>6235</v>
      </c>
      <c r="K547" s="88"/>
      <c r="L547" s="88">
        <f t="shared" si="41"/>
        <v>1607855</v>
      </c>
      <c r="M547" s="88">
        <v>947661</v>
      </c>
      <c r="N547" s="88">
        <v>27783</v>
      </c>
      <c r="O547" s="88">
        <v>4218</v>
      </c>
      <c r="P547" s="89" t="s">
        <v>22</v>
      </c>
      <c r="Q547" s="67">
        <v>155207</v>
      </c>
      <c r="R547" s="67">
        <v>45168</v>
      </c>
      <c r="S547" s="67">
        <v>2843</v>
      </c>
      <c r="T547" s="67">
        <v>424975</v>
      </c>
    </row>
    <row r="548" spans="1:20" s="68" customFormat="1" ht="9" customHeight="1" x14ac:dyDescent="0.15">
      <c r="A548" s="66" t="s">
        <v>31</v>
      </c>
      <c r="B548" s="88">
        <f t="shared" si="40"/>
        <v>4403</v>
      </c>
      <c r="C548" s="88">
        <v>1080</v>
      </c>
      <c r="D548" s="88">
        <v>106</v>
      </c>
      <c r="E548" s="88">
        <v>1300</v>
      </c>
      <c r="F548" s="89" t="s">
        <v>22</v>
      </c>
      <c r="G548" s="67">
        <v>1316</v>
      </c>
      <c r="H548" s="67">
        <v>130</v>
      </c>
      <c r="I548" s="67">
        <v>0</v>
      </c>
      <c r="J548" s="67">
        <v>471</v>
      </c>
      <c r="K548" s="88"/>
      <c r="L548" s="88">
        <f t="shared" si="41"/>
        <v>245072</v>
      </c>
      <c r="M548" s="88">
        <v>34704</v>
      </c>
      <c r="N548" s="88">
        <v>547</v>
      </c>
      <c r="O548" s="88">
        <v>849</v>
      </c>
      <c r="P548" s="89" t="s">
        <v>22</v>
      </c>
      <c r="Q548" s="67">
        <v>38656</v>
      </c>
      <c r="R548" s="67">
        <v>863</v>
      </c>
      <c r="S548" s="67">
        <v>0</v>
      </c>
      <c r="T548" s="67">
        <v>169453</v>
      </c>
    </row>
    <row r="549" spans="1:20" s="68" customFormat="1" ht="9" customHeight="1" x14ac:dyDescent="0.15">
      <c r="A549" s="66" t="s">
        <v>32</v>
      </c>
      <c r="B549" s="88">
        <f t="shared" si="40"/>
        <v>18871</v>
      </c>
      <c r="C549" s="88">
        <v>2950</v>
      </c>
      <c r="D549" s="88">
        <v>1219</v>
      </c>
      <c r="E549" s="88">
        <v>4730</v>
      </c>
      <c r="F549" s="89" t="s">
        <v>22</v>
      </c>
      <c r="G549" s="67">
        <v>6746</v>
      </c>
      <c r="H549" s="67">
        <v>1343</v>
      </c>
      <c r="I549" s="67">
        <v>5</v>
      </c>
      <c r="J549" s="67">
        <v>1878</v>
      </c>
      <c r="K549" s="88"/>
      <c r="L549" s="88">
        <f t="shared" si="41"/>
        <v>247451</v>
      </c>
      <c r="M549" s="88">
        <v>99699</v>
      </c>
      <c r="N549" s="88">
        <v>4226</v>
      </c>
      <c r="O549" s="88">
        <v>4460</v>
      </c>
      <c r="P549" s="89" t="s">
        <v>22</v>
      </c>
      <c r="Q549" s="67">
        <v>63370</v>
      </c>
      <c r="R549" s="67">
        <v>5112</v>
      </c>
      <c r="S549" s="67">
        <v>1</v>
      </c>
      <c r="T549" s="67">
        <v>70583</v>
      </c>
    </row>
    <row r="550" spans="1:20" s="68" customFormat="1" ht="9" customHeight="1" x14ac:dyDescent="0.15">
      <c r="A550" s="69" t="s">
        <v>33</v>
      </c>
      <c r="B550" s="102">
        <f t="shared" si="40"/>
        <v>16920</v>
      </c>
      <c r="C550" s="90">
        <v>4590</v>
      </c>
      <c r="D550" s="90">
        <v>728</v>
      </c>
      <c r="E550" s="90">
        <v>1768</v>
      </c>
      <c r="F550" s="91" t="s">
        <v>22</v>
      </c>
      <c r="G550" s="70">
        <v>7653</v>
      </c>
      <c r="H550" s="70">
        <v>703</v>
      </c>
      <c r="I550" s="70">
        <v>10</v>
      </c>
      <c r="J550" s="70">
        <v>1468</v>
      </c>
      <c r="K550" s="90"/>
      <c r="L550" s="102">
        <f t="shared" si="41"/>
        <v>254093</v>
      </c>
      <c r="M550" s="90">
        <v>192128</v>
      </c>
      <c r="N550" s="90">
        <v>2077</v>
      </c>
      <c r="O550" s="90">
        <v>331</v>
      </c>
      <c r="P550" s="91" t="s">
        <v>22</v>
      </c>
      <c r="Q550" s="70">
        <v>36563</v>
      </c>
      <c r="R550" s="70">
        <v>3438</v>
      </c>
      <c r="S550" s="70">
        <v>388</v>
      </c>
      <c r="T550" s="70">
        <v>19168</v>
      </c>
    </row>
    <row r="551" spans="1:20" s="68" customFormat="1" ht="9" customHeight="1" x14ac:dyDescent="0.15">
      <c r="A551" s="66" t="s">
        <v>34</v>
      </c>
      <c r="B551" s="88">
        <f t="shared" si="40"/>
        <v>16497</v>
      </c>
      <c r="C551" s="88">
        <v>3685</v>
      </c>
      <c r="D551" s="88">
        <v>2038</v>
      </c>
      <c r="E551" s="88">
        <v>4192</v>
      </c>
      <c r="F551" s="89" t="s">
        <v>22</v>
      </c>
      <c r="G551" s="67">
        <v>4227</v>
      </c>
      <c r="H551" s="67">
        <v>720</v>
      </c>
      <c r="I551" s="67">
        <v>1</v>
      </c>
      <c r="J551" s="67">
        <v>1634</v>
      </c>
      <c r="K551" s="88"/>
      <c r="L551" s="88">
        <f t="shared" si="41"/>
        <v>224841</v>
      </c>
      <c r="M551" s="88">
        <v>134595</v>
      </c>
      <c r="N551" s="88">
        <v>11741</v>
      </c>
      <c r="O551" s="88">
        <v>128</v>
      </c>
      <c r="P551" s="89" t="s">
        <v>22</v>
      </c>
      <c r="Q551" s="67">
        <v>17365</v>
      </c>
      <c r="R551" s="67">
        <v>6042</v>
      </c>
      <c r="S551" s="67">
        <v>30</v>
      </c>
      <c r="T551" s="67">
        <v>54940</v>
      </c>
    </row>
    <row r="552" spans="1:20" s="68" customFormat="1" ht="9" customHeight="1" x14ac:dyDescent="0.15">
      <c r="A552" s="66" t="s">
        <v>35</v>
      </c>
      <c r="B552" s="88">
        <f t="shared" si="40"/>
        <v>27246</v>
      </c>
      <c r="C552" s="88">
        <v>10766</v>
      </c>
      <c r="D552" s="88">
        <v>1463</v>
      </c>
      <c r="E552" s="88">
        <v>3751</v>
      </c>
      <c r="F552" s="89" t="s">
        <v>22</v>
      </c>
      <c r="G552" s="67">
        <v>7276</v>
      </c>
      <c r="H552" s="67">
        <v>1392</v>
      </c>
      <c r="I552" s="67">
        <v>629</v>
      </c>
      <c r="J552" s="67">
        <v>1969</v>
      </c>
      <c r="K552" s="88"/>
      <c r="L552" s="88">
        <f t="shared" si="41"/>
        <v>549470</v>
      </c>
      <c r="M552" s="88">
        <v>378830</v>
      </c>
      <c r="N552" s="88">
        <v>7817</v>
      </c>
      <c r="O552" s="88">
        <v>729</v>
      </c>
      <c r="P552" s="89" t="s">
        <v>22</v>
      </c>
      <c r="Q552" s="67">
        <v>102413</v>
      </c>
      <c r="R552" s="67">
        <v>7902</v>
      </c>
      <c r="S552" s="67">
        <v>6346</v>
      </c>
      <c r="T552" s="67">
        <v>45433</v>
      </c>
    </row>
    <row r="553" spans="1:20" s="68" customFormat="1" ht="9" customHeight="1" x14ac:dyDescent="0.15">
      <c r="A553" s="66" t="s">
        <v>36</v>
      </c>
      <c r="B553" s="88">
        <f t="shared" si="40"/>
        <v>39951</v>
      </c>
      <c r="C553" s="88">
        <v>8836</v>
      </c>
      <c r="D553" s="88">
        <v>1919</v>
      </c>
      <c r="E553" s="88">
        <v>6336</v>
      </c>
      <c r="F553" s="89" t="s">
        <v>22</v>
      </c>
      <c r="G553" s="67">
        <v>15461</v>
      </c>
      <c r="H553" s="67">
        <v>2532</v>
      </c>
      <c r="I553" s="67">
        <v>47</v>
      </c>
      <c r="J553" s="67">
        <v>4820</v>
      </c>
      <c r="K553" s="88"/>
      <c r="L553" s="88">
        <f t="shared" si="41"/>
        <v>1074577</v>
      </c>
      <c r="M553" s="88">
        <v>489003</v>
      </c>
      <c r="N553" s="88">
        <v>11737</v>
      </c>
      <c r="O553" s="88">
        <v>8685</v>
      </c>
      <c r="P553" s="89" t="s">
        <v>22</v>
      </c>
      <c r="Q553" s="67">
        <v>241889</v>
      </c>
      <c r="R553" s="67">
        <v>17546</v>
      </c>
      <c r="S553" s="67">
        <v>496</v>
      </c>
      <c r="T553" s="67">
        <v>305221</v>
      </c>
    </row>
    <row r="554" spans="1:20" s="68" customFormat="1" ht="9" customHeight="1" x14ac:dyDescent="0.15">
      <c r="A554" s="69" t="s">
        <v>37</v>
      </c>
      <c r="B554" s="102">
        <f t="shared" si="40"/>
        <v>17125</v>
      </c>
      <c r="C554" s="90">
        <v>3622</v>
      </c>
      <c r="D554" s="90">
        <v>1656</v>
      </c>
      <c r="E554" s="90">
        <v>2055</v>
      </c>
      <c r="F554" s="91" t="s">
        <v>22</v>
      </c>
      <c r="G554" s="70">
        <v>4890</v>
      </c>
      <c r="H554" s="70">
        <v>1594</v>
      </c>
      <c r="I554" s="70">
        <v>136</v>
      </c>
      <c r="J554" s="70">
        <v>3172</v>
      </c>
      <c r="K554" s="90"/>
      <c r="L554" s="102">
        <f t="shared" si="41"/>
        <v>418331</v>
      </c>
      <c r="M554" s="90">
        <v>172009</v>
      </c>
      <c r="N554" s="90">
        <v>6936</v>
      </c>
      <c r="O554" s="90">
        <v>564</v>
      </c>
      <c r="P554" s="91" t="s">
        <v>22</v>
      </c>
      <c r="Q554" s="70">
        <v>89310</v>
      </c>
      <c r="R554" s="70">
        <v>8113</v>
      </c>
      <c r="S554" s="70">
        <v>574</v>
      </c>
      <c r="T554" s="70">
        <v>140825</v>
      </c>
    </row>
    <row r="555" spans="1:20" s="68" customFormat="1" ht="9" customHeight="1" x14ac:dyDescent="0.15">
      <c r="A555" s="66" t="s">
        <v>38</v>
      </c>
      <c r="B555" s="88">
        <f t="shared" si="40"/>
        <v>6792</v>
      </c>
      <c r="C555" s="88">
        <v>2648</v>
      </c>
      <c r="D555" s="88">
        <v>518</v>
      </c>
      <c r="E555" s="88">
        <v>1148</v>
      </c>
      <c r="F555" s="89" t="s">
        <v>22</v>
      </c>
      <c r="G555" s="67">
        <v>1084</v>
      </c>
      <c r="H555" s="67">
        <v>178</v>
      </c>
      <c r="I555" s="67">
        <v>0</v>
      </c>
      <c r="J555" s="67">
        <v>1216</v>
      </c>
      <c r="K555" s="88"/>
      <c r="L555" s="88">
        <f t="shared" si="41"/>
        <v>111303</v>
      </c>
      <c r="M555" s="88">
        <v>74314</v>
      </c>
      <c r="N555" s="88">
        <v>7995</v>
      </c>
      <c r="O555" s="88">
        <v>1064</v>
      </c>
      <c r="P555" s="89" t="s">
        <v>22</v>
      </c>
      <c r="Q555" s="67">
        <v>8935</v>
      </c>
      <c r="R555" s="67">
        <v>2322</v>
      </c>
      <c r="S555" s="67">
        <v>0</v>
      </c>
      <c r="T555" s="67">
        <v>16673</v>
      </c>
    </row>
    <row r="556" spans="1:20" s="68" customFormat="1" ht="9" customHeight="1" x14ac:dyDescent="0.15">
      <c r="A556" s="66" t="s">
        <v>39</v>
      </c>
      <c r="B556" s="88">
        <f t="shared" si="40"/>
        <v>6978</v>
      </c>
      <c r="C556" s="88">
        <v>1989</v>
      </c>
      <c r="D556" s="88">
        <v>1695</v>
      </c>
      <c r="E556" s="88">
        <v>269</v>
      </c>
      <c r="F556" s="89" t="s">
        <v>22</v>
      </c>
      <c r="G556" s="67">
        <v>1967</v>
      </c>
      <c r="H556" s="67">
        <v>1058</v>
      </c>
      <c r="I556" s="67">
        <v>0</v>
      </c>
      <c r="J556" s="67">
        <v>0</v>
      </c>
      <c r="K556" s="88"/>
      <c r="L556" s="88">
        <f t="shared" si="41"/>
        <v>99184</v>
      </c>
      <c r="M556" s="88">
        <v>77855</v>
      </c>
      <c r="N556" s="88">
        <v>10027</v>
      </c>
      <c r="O556" s="88">
        <v>60</v>
      </c>
      <c r="P556" s="89" t="s">
        <v>22</v>
      </c>
      <c r="Q556" s="67">
        <v>6985</v>
      </c>
      <c r="R556" s="67">
        <v>4257</v>
      </c>
      <c r="S556" s="67">
        <v>0</v>
      </c>
      <c r="T556" s="67">
        <v>0</v>
      </c>
    </row>
    <row r="557" spans="1:20" s="68" customFormat="1" ht="9" customHeight="1" x14ac:dyDescent="0.15">
      <c r="A557" s="66" t="s">
        <v>40</v>
      </c>
      <c r="B557" s="88">
        <f t="shared" si="40"/>
        <v>14419</v>
      </c>
      <c r="C557" s="88">
        <v>3700</v>
      </c>
      <c r="D557" s="88">
        <v>689</v>
      </c>
      <c r="E557" s="88">
        <v>3318</v>
      </c>
      <c r="F557" s="89" t="s">
        <v>22</v>
      </c>
      <c r="G557" s="67">
        <v>3952</v>
      </c>
      <c r="H557" s="67">
        <v>316</v>
      </c>
      <c r="I557" s="67">
        <v>112</v>
      </c>
      <c r="J557" s="67">
        <v>2332</v>
      </c>
      <c r="K557" s="88"/>
      <c r="L557" s="88">
        <f t="shared" si="41"/>
        <v>383181</v>
      </c>
      <c r="M557" s="88">
        <v>122942</v>
      </c>
      <c r="N557" s="88">
        <v>3839</v>
      </c>
      <c r="O557" s="88">
        <v>130</v>
      </c>
      <c r="P557" s="89" t="s">
        <v>22</v>
      </c>
      <c r="Q557" s="67">
        <v>62457</v>
      </c>
      <c r="R557" s="67">
        <v>1606</v>
      </c>
      <c r="S557" s="67">
        <v>786</v>
      </c>
      <c r="T557" s="67">
        <v>191421</v>
      </c>
    </row>
    <row r="558" spans="1:20" s="68" customFormat="1" ht="9" customHeight="1" x14ac:dyDescent="0.15">
      <c r="A558" s="69" t="s">
        <v>41</v>
      </c>
      <c r="B558" s="102">
        <f t="shared" si="40"/>
        <v>8394</v>
      </c>
      <c r="C558" s="90">
        <v>5266</v>
      </c>
      <c r="D558" s="90">
        <v>577</v>
      </c>
      <c r="E558" s="90">
        <v>349</v>
      </c>
      <c r="F558" s="91" t="s">
        <v>22</v>
      </c>
      <c r="G558" s="70">
        <v>840</v>
      </c>
      <c r="H558" s="70">
        <v>1017</v>
      </c>
      <c r="I558" s="70">
        <v>0</v>
      </c>
      <c r="J558" s="70">
        <v>345</v>
      </c>
      <c r="K558" s="90"/>
      <c r="L558" s="102">
        <f t="shared" si="41"/>
        <v>177412</v>
      </c>
      <c r="M558" s="90">
        <v>144707</v>
      </c>
      <c r="N558" s="90">
        <v>5794</v>
      </c>
      <c r="O558" s="90">
        <v>437</v>
      </c>
      <c r="P558" s="91" t="s">
        <v>22</v>
      </c>
      <c r="Q558" s="70">
        <v>14624</v>
      </c>
      <c r="R558" s="70">
        <v>9279</v>
      </c>
      <c r="S558" s="70">
        <v>0</v>
      </c>
      <c r="T558" s="70">
        <v>2571</v>
      </c>
    </row>
    <row r="559" spans="1:20" s="68" customFormat="1" ht="9" customHeight="1" x14ac:dyDescent="0.15">
      <c r="A559" s="66" t="s">
        <v>42</v>
      </c>
      <c r="B559" s="88">
        <f t="shared" si="40"/>
        <v>6322</v>
      </c>
      <c r="C559" s="88">
        <v>2380</v>
      </c>
      <c r="D559" s="88">
        <v>400</v>
      </c>
      <c r="E559" s="88">
        <v>710</v>
      </c>
      <c r="F559" s="89" t="s">
        <v>22</v>
      </c>
      <c r="G559" s="67">
        <v>1534</v>
      </c>
      <c r="H559" s="67">
        <v>537</v>
      </c>
      <c r="I559" s="67">
        <v>11</v>
      </c>
      <c r="J559" s="67">
        <v>750</v>
      </c>
      <c r="K559" s="88"/>
      <c r="L559" s="88">
        <f t="shared" si="41"/>
        <v>190642</v>
      </c>
      <c r="M559" s="88">
        <v>111764</v>
      </c>
      <c r="N559" s="88">
        <v>3424</v>
      </c>
      <c r="O559" s="88">
        <v>296</v>
      </c>
      <c r="P559" s="89" t="s">
        <v>22</v>
      </c>
      <c r="Q559" s="67">
        <v>27447</v>
      </c>
      <c r="R559" s="67">
        <v>4817</v>
      </c>
      <c r="S559" s="67">
        <v>92</v>
      </c>
      <c r="T559" s="67">
        <v>42802</v>
      </c>
    </row>
    <row r="560" spans="1:20" s="68" customFormat="1" ht="9" customHeight="1" x14ac:dyDescent="0.15">
      <c r="A560" s="66" t="s">
        <v>43</v>
      </c>
      <c r="B560" s="88">
        <f t="shared" si="40"/>
        <v>3689</v>
      </c>
      <c r="C560" s="88">
        <v>892</v>
      </c>
      <c r="D560" s="88">
        <v>126</v>
      </c>
      <c r="E560" s="88">
        <v>819</v>
      </c>
      <c r="F560" s="89" t="s">
        <v>22</v>
      </c>
      <c r="G560" s="67">
        <v>838</v>
      </c>
      <c r="H560" s="67">
        <v>250</v>
      </c>
      <c r="I560" s="67">
        <v>60</v>
      </c>
      <c r="J560" s="67">
        <v>704</v>
      </c>
      <c r="K560" s="88"/>
      <c r="L560" s="88">
        <f t="shared" si="41"/>
        <v>103938</v>
      </c>
      <c r="M560" s="88">
        <v>89786</v>
      </c>
      <c r="N560" s="88">
        <v>466</v>
      </c>
      <c r="O560" s="88">
        <v>479</v>
      </c>
      <c r="P560" s="89" t="s">
        <v>22</v>
      </c>
      <c r="Q560" s="67">
        <v>8367</v>
      </c>
      <c r="R560" s="67">
        <v>1405</v>
      </c>
      <c r="S560" s="67">
        <v>200</v>
      </c>
      <c r="T560" s="67">
        <v>3235</v>
      </c>
    </row>
    <row r="561" spans="1:21" s="68" customFormat="1" ht="9" customHeight="1" x14ac:dyDescent="0.15">
      <c r="A561" s="66" t="s">
        <v>44</v>
      </c>
      <c r="B561" s="88">
        <f t="shared" si="40"/>
        <v>17143</v>
      </c>
      <c r="C561" s="88">
        <v>4817</v>
      </c>
      <c r="D561" s="88">
        <v>425</v>
      </c>
      <c r="E561" s="88">
        <v>2203</v>
      </c>
      <c r="F561" s="89" t="s">
        <v>22</v>
      </c>
      <c r="G561" s="67">
        <v>5668</v>
      </c>
      <c r="H561" s="67">
        <v>522</v>
      </c>
      <c r="I561" s="67">
        <v>63</v>
      </c>
      <c r="J561" s="67">
        <v>3445</v>
      </c>
      <c r="K561" s="88"/>
      <c r="L561" s="88">
        <f t="shared" si="41"/>
        <v>262755</v>
      </c>
      <c r="M561" s="88">
        <v>160051</v>
      </c>
      <c r="N561" s="88">
        <v>2234</v>
      </c>
      <c r="O561" s="88">
        <v>773</v>
      </c>
      <c r="P561" s="89" t="s">
        <v>22</v>
      </c>
      <c r="Q561" s="67">
        <v>73064</v>
      </c>
      <c r="R561" s="67">
        <v>3008</v>
      </c>
      <c r="S561" s="67">
        <v>298</v>
      </c>
      <c r="T561" s="67">
        <v>23327</v>
      </c>
    </row>
    <row r="562" spans="1:21" s="68" customFormat="1" ht="9" customHeight="1" x14ac:dyDescent="0.15">
      <c r="A562" s="69" t="s">
        <v>45</v>
      </c>
      <c r="B562" s="102">
        <f t="shared" si="40"/>
        <v>10449</v>
      </c>
      <c r="C562" s="90">
        <v>2334</v>
      </c>
      <c r="D562" s="90">
        <v>81</v>
      </c>
      <c r="E562" s="90">
        <v>2688</v>
      </c>
      <c r="F562" s="91" t="s">
        <v>22</v>
      </c>
      <c r="G562" s="70">
        <v>4740</v>
      </c>
      <c r="H562" s="70">
        <v>154</v>
      </c>
      <c r="I562" s="70">
        <v>2</v>
      </c>
      <c r="J562" s="70">
        <v>450</v>
      </c>
      <c r="K562" s="90"/>
      <c r="L562" s="102">
        <f t="shared" si="41"/>
        <v>201995</v>
      </c>
      <c r="M562" s="90">
        <v>138407</v>
      </c>
      <c r="N562" s="90">
        <v>870</v>
      </c>
      <c r="O562" s="90">
        <v>523</v>
      </c>
      <c r="P562" s="91" t="s">
        <v>22</v>
      </c>
      <c r="Q562" s="70">
        <v>28618</v>
      </c>
      <c r="R562" s="70">
        <v>804</v>
      </c>
      <c r="S562" s="70">
        <v>110</v>
      </c>
      <c r="T562" s="70">
        <v>32663</v>
      </c>
    </row>
    <row r="563" spans="1:21" s="68" customFormat="1" ht="9" customHeight="1" x14ac:dyDescent="0.15">
      <c r="A563" s="66" t="s">
        <v>46</v>
      </c>
      <c r="B563" s="88">
        <f t="shared" si="40"/>
        <v>32506</v>
      </c>
      <c r="C563" s="88">
        <v>7077</v>
      </c>
      <c r="D563" s="88">
        <v>4087</v>
      </c>
      <c r="E563" s="88">
        <v>8302</v>
      </c>
      <c r="F563" s="89" t="s">
        <v>22</v>
      </c>
      <c r="G563" s="67">
        <v>8908</v>
      </c>
      <c r="H563" s="67">
        <v>2669</v>
      </c>
      <c r="I563" s="67">
        <v>193</v>
      </c>
      <c r="J563" s="67">
        <v>1270</v>
      </c>
      <c r="K563" s="88"/>
      <c r="L563" s="88">
        <f t="shared" si="41"/>
        <v>464425</v>
      </c>
      <c r="M563" s="88">
        <v>249053</v>
      </c>
      <c r="N563" s="88">
        <v>18907</v>
      </c>
      <c r="O563" s="88">
        <v>2092</v>
      </c>
      <c r="P563" s="89" t="s">
        <v>22</v>
      </c>
      <c r="Q563" s="67">
        <v>121325</v>
      </c>
      <c r="R563" s="67">
        <v>18795</v>
      </c>
      <c r="S563" s="67">
        <v>602</v>
      </c>
      <c r="T563" s="67">
        <v>53651</v>
      </c>
    </row>
    <row r="564" spans="1:21" s="68" customFormat="1" ht="9" customHeight="1" x14ac:dyDescent="0.15">
      <c r="A564" s="66" t="s">
        <v>47</v>
      </c>
      <c r="B564" s="88">
        <f t="shared" si="40"/>
        <v>6374</v>
      </c>
      <c r="C564" s="88">
        <v>1617</v>
      </c>
      <c r="D564" s="88">
        <v>187</v>
      </c>
      <c r="E564" s="88">
        <v>2096</v>
      </c>
      <c r="F564" s="89" t="s">
        <v>22</v>
      </c>
      <c r="G564" s="67">
        <v>1928</v>
      </c>
      <c r="H564" s="67">
        <v>196</v>
      </c>
      <c r="I564" s="67">
        <v>14</v>
      </c>
      <c r="J564" s="67">
        <v>336</v>
      </c>
      <c r="K564" s="88"/>
      <c r="L564" s="88">
        <f t="shared" si="41"/>
        <v>185694</v>
      </c>
      <c r="M564" s="88">
        <v>127785</v>
      </c>
      <c r="N564" s="88">
        <v>978</v>
      </c>
      <c r="O564" s="88">
        <v>570</v>
      </c>
      <c r="P564" s="89" t="s">
        <v>22</v>
      </c>
      <c r="Q564" s="67">
        <v>32033</v>
      </c>
      <c r="R564" s="67">
        <v>2772</v>
      </c>
      <c r="S564" s="67">
        <v>43</v>
      </c>
      <c r="T564" s="67">
        <v>21513</v>
      </c>
    </row>
    <row r="565" spans="1:21" s="68" customFormat="1" ht="9" customHeight="1" x14ac:dyDescent="0.15">
      <c r="A565" s="66" t="s">
        <v>48</v>
      </c>
      <c r="B565" s="88">
        <f t="shared" si="40"/>
        <v>7798</v>
      </c>
      <c r="C565" s="88">
        <v>846</v>
      </c>
      <c r="D565" s="88">
        <v>392</v>
      </c>
      <c r="E565" s="88">
        <v>612</v>
      </c>
      <c r="F565" s="89" t="s">
        <v>22</v>
      </c>
      <c r="G565" s="67">
        <v>4638</v>
      </c>
      <c r="H565" s="67">
        <v>369</v>
      </c>
      <c r="I565" s="67">
        <v>0</v>
      </c>
      <c r="J565" s="67">
        <v>941</v>
      </c>
      <c r="K565" s="88"/>
      <c r="L565" s="88">
        <f t="shared" si="41"/>
        <v>99495</v>
      </c>
      <c r="M565" s="88">
        <v>44852</v>
      </c>
      <c r="N565" s="88">
        <v>4742</v>
      </c>
      <c r="O565" s="88">
        <v>73</v>
      </c>
      <c r="P565" s="89" t="s">
        <v>22</v>
      </c>
      <c r="Q565" s="67">
        <v>16963</v>
      </c>
      <c r="R565" s="67">
        <v>3481</v>
      </c>
      <c r="S565" s="67">
        <v>0</v>
      </c>
      <c r="T565" s="67">
        <v>29384</v>
      </c>
    </row>
    <row r="566" spans="1:21" s="68" customFormat="1" ht="9" customHeight="1" x14ac:dyDescent="0.15">
      <c r="A566" s="69" t="s">
        <v>49</v>
      </c>
      <c r="B566" s="102">
        <f t="shared" si="40"/>
        <v>9705</v>
      </c>
      <c r="C566" s="90">
        <v>2102</v>
      </c>
      <c r="D566" s="90">
        <v>318</v>
      </c>
      <c r="E566" s="90">
        <v>2630</v>
      </c>
      <c r="F566" s="91" t="s">
        <v>22</v>
      </c>
      <c r="G566" s="70">
        <v>3653</v>
      </c>
      <c r="H566" s="70">
        <v>169</v>
      </c>
      <c r="I566" s="70">
        <v>9</v>
      </c>
      <c r="J566" s="70">
        <v>824</v>
      </c>
      <c r="K566" s="90"/>
      <c r="L566" s="102">
        <f t="shared" si="41"/>
        <v>185782</v>
      </c>
      <c r="M566" s="90">
        <v>63894</v>
      </c>
      <c r="N566" s="90">
        <v>1395</v>
      </c>
      <c r="O566" s="90">
        <v>86</v>
      </c>
      <c r="P566" s="91" t="s">
        <v>22</v>
      </c>
      <c r="Q566" s="70">
        <v>49256</v>
      </c>
      <c r="R566" s="70">
        <v>1332</v>
      </c>
      <c r="S566" s="70">
        <v>63</v>
      </c>
      <c r="T566" s="70">
        <v>69756</v>
      </c>
    </row>
    <row r="567" spans="1:21" s="72" customFormat="1" ht="9" customHeight="1" x14ac:dyDescent="0.15">
      <c r="A567" s="71" t="s">
        <v>50</v>
      </c>
      <c r="B567" s="88">
        <f t="shared" si="40"/>
        <v>5034</v>
      </c>
      <c r="C567" s="92">
        <v>3232</v>
      </c>
      <c r="D567" s="92">
        <v>698</v>
      </c>
      <c r="E567" s="92">
        <v>157</v>
      </c>
      <c r="F567" s="89" t="s">
        <v>22</v>
      </c>
      <c r="G567" s="67">
        <v>389</v>
      </c>
      <c r="H567" s="67">
        <v>408</v>
      </c>
      <c r="I567" s="67">
        <v>0</v>
      </c>
      <c r="J567" s="67">
        <v>150</v>
      </c>
      <c r="K567" s="92"/>
      <c r="L567" s="88">
        <f t="shared" si="41"/>
        <v>164549</v>
      </c>
      <c r="M567" s="92">
        <v>105323</v>
      </c>
      <c r="N567" s="92">
        <v>6979</v>
      </c>
      <c r="O567" s="92">
        <v>105</v>
      </c>
      <c r="P567" s="89" t="s">
        <v>22</v>
      </c>
      <c r="Q567" s="67">
        <v>44645</v>
      </c>
      <c r="R567" s="67">
        <v>4148</v>
      </c>
      <c r="S567" s="67">
        <v>0</v>
      </c>
      <c r="T567" s="67">
        <v>3349</v>
      </c>
    </row>
    <row r="568" spans="1:21" s="68" customFormat="1" ht="9" customHeight="1" x14ac:dyDescent="0.15">
      <c r="A568" s="66" t="s">
        <v>51</v>
      </c>
      <c r="B568" s="88">
        <f t="shared" si="40"/>
        <v>10382</v>
      </c>
      <c r="C568" s="88">
        <v>1882</v>
      </c>
      <c r="D568" s="88">
        <v>872</v>
      </c>
      <c r="E568" s="88">
        <v>1685</v>
      </c>
      <c r="F568" s="89" t="s">
        <v>22</v>
      </c>
      <c r="G568" s="67">
        <v>4045</v>
      </c>
      <c r="H568" s="67">
        <v>1063</v>
      </c>
      <c r="I568" s="67">
        <v>9</v>
      </c>
      <c r="J568" s="67">
        <v>826</v>
      </c>
      <c r="K568" s="88"/>
      <c r="L568" s="88">
        <f t="shared" si="41"/>
        <v>206504</v>
      </c>
      <c r="M568" s="88">
        <v>60325</v>
      </c>
      <c r="N568" s="88">
        <v>5366</v>
      </c>
      <c r="O568" s="88">
        <v>937</v>
      </c>
      <c r="P568" s="89" t="s">
        <v>22</v>
      </c>
      <c r="Q568" s="67">
        <v>87391</v>
      </c>
      <c r="R568" s="67">
        <v>37368</v>
      </c>
      <c r="S568" s="67">
        <v>130</v>
      </c>
      <c r="T568" s="67">
        <v>14987</v>
      </c>
    </row>
    <row r="569" spans="1:21" s="68" customFormat="1" ht="9" customHeight="1" x14ac:dyDescent="0.15">
      <c r="A569" s="66" t="s">
        <v>52</v>
      </c>
      <c r="B569" s="88">
        <f t="shared" si="40"/>
        <v>4861</v>
      </c>
      <c r="C569" s="88">
        <v>614</v>
      </c>
      <c r="D569" s="88">
        <v>971</v>
      </c>
      <c r="E569" s="88">
        <v>788</v>
      </c>
      <c r="F569" s="89" t="s">
        <v>22</v>
      </c>
      <c r="G569" s="67">
        <v>1847</v>
      </c>
      <c r="H569" s="67">
        <v>307</v>
      </c>
      <c r="I569" s="67">
        <v>63</v>
      </c>
      <c r="J569" s="67">
        <v>271</v>
      </c>
      <c r="K569" s="88"/>
      <c r="L569" s="88">
        <f t="shared" si="41"/>
        <v>70475</v>
      </c>
      <c r="M569" s="88">
        <v>31446</v>
      </c>
      <c r="N569" s="88">
        <v>1574</v>
      </c>
      <c r="O569" s="88">
        <v>212</v>
      </c>
      <c r="P569" s="89" t="s">
        <v>22</v>
      </c>
      <c r="Q569" s="67">
        <v>28620</v>
      </c>
      <c r="R569" s="67">
        <v>522</v>
      </c>
      <c r="S569" s="67">
        <v>237</v>
      </c>
      <c r="T569" s="67">
        <v>7864</v>
      </c>
    </row>
    <row r="570" spans="1:21" s="68" customFormat="1" ht="9" customHeight="1" x14ac:dyDescent="0.15">
      <c r="A570" s="69" t="s">
        <v>53</v>
      </c>
      <c r="B570" s="102">
        <f t="shared" si="40"/>
        <v>13728</v>
      </c>
      <c r="C570" s="90">
        <v>4551</v>
      </c>
      <c r="D570" s="90">
        <v>2675</v>
      </c>
      <c r="E570" s="90">
        <v>1521</v>
      </c>
      <c r="F570" s="91" t="s">
        <v>22</v>
      </c>
      <c r="G570" s="70">
        <v>2712</v>
      </c>
      <c r="H570" s="70">
        <v>931</v>
      </c>
      <c r="I570" s="70">
        <v>3</v>
      </c>
      <c r="J570" s="70">
        <v>1335</v>
      </c>
      <c r="K570" s="90"/>
      <c r="L570" s="102">
        <f t="shared" si="41"/>
        <v>262348</v>
      </c>
      <c r="M570" s="90">
        <v>153592</v>
      </c>
      <c r="N570" s="90">
        <v>12475</v>
      </c>
      <c r="O570" s="90">
        <v>70</v>
      </c>
      <c r="P570" s="91" t="s">
        <v>22</v>
      </c>
      <c r="Q570" s="70">
        <v>61142</v>
      </c>
      <c r="R570" s="70">
        <v>8356</v>
      </c>
      <c r="S570" s="70">
        <v>40</v>
      </c>
      <c r="T570" s="70">
        <v>26673</v>
      </c>
    </row>
    <row r="571" spans="1:21" s="65" customFormat="1" ht="9" customHeight="1" x14ac:dyDescent="0.15">
      <c r="A571" s="71"/>
      <c r="B571" s="92"/>
      <c r="C571" s="92"/>
      <c r="D571" s="92"/>
      <c r="E571" s="92"/>
      <c r="F571" s="92"/>
      <c r="G571" s="67"/>
      <c r="H571" s="67"/>
      <c r="I571" s="67"/>
      <c r="J571" s="67"/>
      <c r="K571" s="92"/>
      <c r="L571" s="92"/>
      <c r="M571" s="92"/>
      <c r="N571" s="92"/>
      <c r="O571" s="92"/>
      <c r="P571" s="92"/>
      <c r="Q571" s="67"/>
      <c r="R571" s="67"/>
      <c r="S571" s="67"/>
      <c r="T571" s="67"/>
    </row>
    <row r="572" spans="1:21" s="65" customFormat="1" ht="9" customHeight="1" x14ac:dyDescent="0.25">
      <c r="A572" s="96">
        <v>2015</v>
      </c>
      <c r="B572" s="97"/>
      <c r="C572" s="98"/>
      <c r="D572" s="97"/>
      <c r="E572" s="97"/>
      <c r="F572" s="97"/>
      <c r="G572" s="64"/>
      <c r="H572" s="64"/>
      <c r="I572" s="64"/>
      <c r="J572" s="64"/>
      <c r="K572" s="97"/>
      <c r="L572" s="97"/>
      <c r="M572" s="97"/>
      <c r="N572" s="97"/>
      <c r="O572" s="97"/>
      <c r="P572" s="97"/>
      <c r="Q572" s="64"/>
      <c r="R572" s="64"/>
      <c r="S572" s="64"/>
      <c r="T572" s="64"/>
    </row>
    <row r="573" spans="1:21" s="65" customFormat="1" ht="9" customHeight="1" x14ac:dyDescent="0.25">
      <c r="A573" s="99" t="s">
        <v>21</v>
      </c>
      <c r="B573" s="64">
        <f t="shared" ref="B573:J573" si="42">SUM(B575:B606)</f>
        <v>479576</v>
      </c>
      <c r="C573" s="64" t="s">
        <v>22</v>
      </c>
      <c r="D573" s="64" t="s">
        <v>22</v>
      </c>
      <c r="E573" s="64" t="s">
        <v>22</v>
      </c>
      <c r="F573" s="64">
        <f t="shared" si="42"/>
        <v>196967</v>
      </c>
      <c r="G573" s="64">
        <f t="shared" si="42"/>
        <v>153862</v>
      </c>
      <c r="H573" s="64">
        <f t="shared" si="42"/>
        <v>90610</v>
      </c>
      <c r="I573" s="64">
        <f t="shared" si="42"/>
        <v>1965</v>
      </c>
      <c r="J573" s="64">
        <f t="shared" si="42"/>
        <v>36172</v>
      </c>
      <c r="K573" s="64"/>
      <c r="L573" s="64">
        <f>SUM(L575:L606)</f>
        <v>9308825</v>
      </c>
      <c r="M573" s="64" t="s">
        <v>22</v>
      </c>
      <c r="N573" s="64" t="s">
        <v>22</v>
      </c>
      <c r="O573" s="64" t="s">
        <v>22</v>
      </c>
      <c r="P573" s="64">
        <f t="shared" ref="P573:T573" si="43">SUM(P575:P606)</f>
        <v>2921502</v>
      </c>
      <c r="Q573" s="64">
        <f t="shared" si="43"/>
        <v>1919151</v>
      </c>
      <c r="R573" s="64">
        <f t="shared" si="43"/>
        <v>2958834</v>
      </c>
      <c r="S573" s="64">
        <f t="shared" si="43"/>
        <v>15259</v>
      </c>
      <c r="T573" s="64">
        <f t="shared" si="43"/>
        <v>1494079</v>
      </c>
      <c r="U573" s="101"/>
    </row>
    <row r="574" spans="1:21" s="65" customFormat="1" ht="3" customHeight="1" x14ac:dyDescent="0.25">
      <c r="A574" s="99"/>
      <c r="B574" s="64"/>
      <c r="C574" s="64"/>
      <c r="D574" s="64"/>
      <c r="E574" s="64"/>
      <c r="F574" s="64"/>
      <c r="G574" s="64"/>
      <c r="H574" s="64"/>
      <c r="I574" s="64"/>
      <c r="J574" s="64"/>
      <c r="K574" s="64"/>
      <c r="L574" s="64"/>
      <c r="M574" s="64"/>
      <c r="N574" s="64"/>
      <c r="O574" s="64"/>
      <c r="P574" s="64"/>
      <c r="Q574" s="64"/>
      <c r="R574" s="64"/>
      <c r="S574" s="64"/>
      <c r="T574" s="64"/>
    </row>
    <row r="575" spans="1:21" s="68" customFormat="1" ht="9" customHeight="1" x14ac:dyDescent="0.15">
      <c r="A575" s="66" t="s">
        <v>23</v>
      </c>
      <c r="B575" s="88">
        <f>SUM(C575:J575)</f>
        <v>3899</v>
      </c>
      <c r="C575" s="89" t="s">
        <v>22</v>
      </c>
      <c r="D575" s="89" t="s">
        <v>22</v>
      </c>
      <c r="E575" s="89" t="s">
        <v>22</v>
      </c>
      <c r="F575" s="88">
        <v>1571</v>
      </c>
      <c r="G575" s="67">
        <v>1541</v>
      </c>
      <c r="H575" s="67">
        <v>718</v>
      </c>
      <c r="I575" s="67">
        <v>0</v>
      </c>
      <c r="J575" s="67">
        <v>69</v>
      </c>
      <c r="K575" s="88"/>
      <c r="L575" s="88">
        <f>SUM(M575:T575)</f>
        <v>141710</v>
      </c>
      <c r="M575" s="89" t="s">
        <v>22</v>
      </c>
      <c r="N575" s="89" t="s">
        <v>22</v>
      </c>
      <c r="O575" s="89" t="s">
        <v>22</v>
      </c>
      <c r="P575" s="88">
        <v>30935</v>
      </c>
      <c r="Q575" s="67">
        <v>65443</v>
      </c>
      <c r="R575" s="67">
        <v>30073</v>
      </c>
      <c r="S575" s="67">
        <v>0</v>
      </c>
      <c r="T575" s="67">
        <v>15259</v>
      </c>
    </row>
    <row r="576" spans="1:21" s="68" customFormat="1" ht="9" customHeight="1" x14ac:dyDescent="0.15">
      <c r="A576" s="66" t="s">
        <v>24</v>
      </c>
      <c r="B576" s="88">
        <f t="shared" ref="B576:B606" si="44">SUM(C576:J576)</f>
        <v>11191</v>
      </c>
      <c r="C576" s="89" t="s">
        <v>22</v>
      </c>
      <c r="D576" s="89" t="s">
        <v>22</v>
      </c>
      <c r="E576" s="89" t="s">
        <v>22</v>
      </c>
      <c r="F576" s="88">
        <v>4491</v>
      </c>
      <c r="G576" s="67">
        <v>2487</v>
      </c>
      <c r="H576" s="67">
        <v>3733</v>
      </c>
      <c r="I576" s="67">
        <v>128</v>
      </c>
      <c r="J576" s="67">
        <v>352</v>
      </c>
      <c r="K576" s="88"/>
      <c r="L576" s="88">
        <f t="shared" ref="L576:L606" si="45">SUM(M576:T576)</f>
        <v>287497</v>
      </c>
      <c r="M576" s="89" t="s">
        <v>22</v>
      </c>
      <c r="N576" s="89" t="s">
        <v>22</v>
      </c>
      <c r="O576" s="89" t="s">
        <v>22</v>
      </c>
      <c r="P576" s="88">
        <v>75837</v>
      </c>
      <c r="Q576" s="67">
        <v>25790</v>
      </c>
      <c r="R576" s="67">
        <v>140868</v>
      </c>
      <c r="S576" s="67">
        <v>637</v>
      </c>
      <c r="T576" s="67">
        <v>44365</v>
      </c>
    </row>
    <row r="577" spans="1:20" s="68" customFormat="1" ht="9" customHeight="1" x14ac:dyDescent="0.15">
      <c r="A577" s="66" t="s">
        <v>25</v>
      </c>
      <c r="B577" s="88">
        <f t="shared" si="44"/>
        <v>5737</v>
      </c>
      <c r="C577" s="89" t="s">
        <v>22</v>
      </c>
      <c r="D577" s="89" t="s">
        <v>22</v>
      </c>
      <c r="E577" s="89" t="s">
        <v>22</v>
      </c>
      <c r="F577" s="88">
        <v>3179</v>
      </c>
      <c r="G577" s="67">
        <v>705</v>
      </c>
      <c r="H577" s="67">
        <v>1107</v>
      </c>
      <c r="I577" s="67">
        <v>74</v>
      </c>
      <c r="J577" s="67">
        <v>672</v>
      </c>
      <c r="K577" s="88"/>
      <c r="L577" s="88">
        <f t="shared" si="45"/>
        <v>154839</v>
      </c>
      <c r="M577" s="89" t="s">
        <v>22</v>
      </c>
      <c r="N577" s="89" t="s">
        <v>22</v>
      </c>
      <c r="O577" s="89" t="s">
        <v>22</v>
      </c>
      <c r="P577" s="88">
        <v>57332</v>
      </c>
      <c r="Q577" s="67">
        <v>17452</v>
      </c>
      <c r="R577" s="67">
        <v>44462</v>
      </c>
      <c r="S577" s="67">
        <v>168</v>
      </c>
      <c r="T577" s="67">
        <v>35425</v>
      </c>
    </row>
    <row r="578" spans="1:20" s="68" customFormat="1" ht="9" customHeight="1" x14ac:dyDescent="0.15">
      <c r="A578" s="69" t="s">
        <v>26</v>
      </c>
      <c r="B578" s="102">
        <f t="shared" si="44"/>
        <v>2762</v>
      </c>
      <c r="C578" s="91" t="s">
        <v>22</v>
      </c>
      <c r="D578" s="91" t="s">
        <v>22</v>
      </c>
      <c r="E578" s="91" t="s">
        <v>22</v>
      </c>
      <c r="F578" s="90">
        <v>1712</v>
      </c>
      <c r="G578" s="70">
        <v>656</v>
      </c>
      <c r="H578" s="70">
        <v>361</v>
      </c>
      <c r="I578" s="70">
        <v>0</v>
      </c>
      <c r="J578" s="70">
        <v>33</v>
      </c>
      <c r="K578" s="90"/>
      <c r="L578" s="102">
        <f t="shared" si="45"/>
        <v>59432</v>
      </c>
      <c r="M578" s="91" t="s">
        <v>22</v>
      </c>
      <c r="N578" s="91" t="s">
        <v>22</v>
      </c>
      <c r="O578" s="91" t="s">
        <v>22</v>
      </c>
      <c r="P578" s="90">
        <v>29234</v>
      </c>
      <c r="Q578" s="70">
        <v>15098</v>
      </c>
      <c r="R578" s="70">
        <v>14055</v>
      </c>
      <c r="S578" s="70">
        <v>0</v>
      </c>
      <c r="T578" s="70">
        <v>1045</v>
      </c>
    </row>
    <row r="579" spans="1:20" s="68" customFormat="1" ht="9" customHeight="1" x14ac:dyDescent="0.15">
      <c r="A579" s="66" t="s">
        <v>27</v>
      </c>
      <c r="B579" s="88">
        <f t="shared" si="44"/>
        <v>10751</v>
      </c>
      <c r="C579" s="89" t="s">
        <v>22</v>
      </c>
      <c r="D579" s="89" t="s">
        <v>22</v>
      </c>
      <c r="E579" s="89" t="s">
        <v>22</v>
      </c>
      <c r="F579" s="88">
        <v>4455</v>
      </c>
      <c r="G579" s="67">
        <v>3435</v>
      </c>
      <c r="H579" s="67">
        <v>2353</v>
      </c>
      <c r="I579" s="67">
        <v>10</v>
      </c>
      <c r="J579" s="67">
        <v>498</v>
      </c>
      <c r="K579" s="88"/>
      <c r="L579" s="88">
        <f t="shared" si="45"/>
        <v>271359</v>
      </c>
      <c r="M579" s="89" t="s">
        <v>22</v>
      </c>
      <c r="N579" s="89" t="s">
        <v>22</v>
      </c>
      <c r="O579" s="89" t="s">
        <v>22</v>
      </c>
      <c r="P579" s="88">
        <v>75242</v>
      </c>
      <c r="Q579" s="67">
        <v>42851</v>
      </c>
      <c r="R579" s="67">
        <v>117373</v>
      </c>
      <c r="S579" s="67">
        <v>892</v>
      </c>
      <c r="T579" s="67">
        <v>35001</v>
      </c>
    </row>
    <row r="580" spans="1:20" s="68" customFormat="1" ht="9" customHeight="1" x14ac:dyDescent="0.15">
      <c r="A580" s="66" t="s">
        <v>28</v>
      </c>
      <c r="B580" s="88">
        <f t="shared" si="44"/>
        <v>13926</v>
      </c>
      <c r="C580" s="89" t="s">
        <v>22</v>
      </c>
      <c r="D580" s="89" t="s">
        <v>22</v>
      </c>
      <c r="E580" s="89" t="s">
        <v>22</v>
      </c>
      <c r="F580" s="88">
        <v>5789</v>
      </c>
      <c r="G580" s="67">
        <v>5980</v>
      </c>
      <c r="H580" s="67">
        <v>1622</v>
      </c>
      <c r="I580" s="67">
        <v>61</v>
      </c>
      <c r="J580" s="67">
        <v>474</v>
      </c>
      <c r="K580" s="88"/>
      <c r="L580" s="88">
        <f t="shared" si="45"/>
        <v>265781</v>
      </c>
      <c r="M580" s="89" t="s">
        <v>22</v>
      </c>
      <c r="N580" s="89" t="s">
        <v>22</v>
      </c>
      <c r="O580" s="89" t="s">
        <v>22</v>
      </c>
      <c r="P580" s="88">
        <v>119932</v>
      </c>
      <c r="Q580" s="67">
        <v>79595</v>
      </c>
      <c r="R580" s="67">
        <v>49555</v>
      </c>
      <c r="S580" s="67">
        <v>807</v>
      </c>
      <c r="T580" s="67">
        <v>15892</v>
      </c>
    </row>
    <row r="581" spans="1:20" s="68" customFormat="1" ht="9" customHeight="1" x14ac:dyDescent="0.15">
      <c r="A581" s="66" t="s">
        <v>29</v>
      </c>
      <c r="B581" s="88">
        <f t="shared" si="44"/>
        <v>5738</v>
      </c>
      <c r="C581" s="89" t="s">
        <v>22</v>
      </c>
      <c r="D581" s="89" t="s">
        <v>22</v>
      </c>
      <c r="E581" s="89" t="s">
        <v>22</v>
      </c>
      <c r="F581" s="88">
        <v>2411</v>
      </c>
      <c r="G581" s="67">
        <v>1002</v>
      </c>
      <c r="H581" s="67">
        <v>1557</v>
      </c>
      <c r="I581" s="67">
        <v>130</v>
      </c>
      <c r="J581" s="67">
        <v>638</v>
      </c>
      <c r="K581" s="88"/>
      <c r="L581" s="88">
        <f t="shared" si="45"/>
        <v>143917</v>
      </c>
      <c r="M581" s="89" t="s">
        <v>22</v>
      </c>
      <c r="N581" s="89" t="s">
        <v>22</v>
      </c>
      <c r="O581" s="89" t="s">
        <v>22</v>
      </c>
      <c r="P581" s="88">
        <v>45579</v>
      </c>
      <c r="Q581" s="67">
        <v>18299</v>
      </c>
      <c r="R581" s="67">
        <v>57028</v>
      </c>
      <c r="S581" s="67">
        <v>260</v>
      </c>
      <c r="T581" s="67">
        <v>22751</v>
      </c>
    </row>
    <row r="582" spans="1:20" s="68" customFormat="1" ht="9" customHeight="1" x14ac:dyDescent="0.15">
      <c r="A582" s="69" t="s">
        <v>30</v>
      </c>
      <c r="B582" s="102">
        <f t="shared" si="44"/>
        <v>8331</v>
      </c>
      <c r="C582" s="91" t="s">
        <v>22</v>
      </c>
      <c r="D582" s="91" t="s">
        <v>22</v>
      </c>
      <c r="E582" s="91" t="s">
        <v>22</v>
      </c>
      <c r="F582" s="90">
        <v>5243</v>
      </c>
      <c r="G582" s="70">
        <v>937</v>
      </c>
      <c r="H582" s="70">
        <v>1490</v>
      </c>
      <c r="I582" s="70">
        <v>192</v>
      </c>
      <c r="J582" s="70">
        <v>469</v>
      </c>
      <c r="K582" s="90"/>
      <c r="L582" s="102">
        <f t="shared" si="45"/>
        <v>187373</v>
      </c>
      <c r="M582" s="91" t="s">
        <v>22</v>
      </c>
      <c r="N582" s="91" t="s">
        <v>22</v>
      </c>
      <c r="O582" s="91" t="s">
        <v>22</v>
      </c>
      <c r="P582" s="90">
        <v>71542</v>
      </c>
      <c r="Q582" s="70">
        <v>32060</v>
      </c>
      <c r="R582" s="70">
        <v>43567</v>
      </c>
      <c r="S582" s="70">
        <v>2162</v>
      </c>
      <c r="T582" s="70">
        <v>38042</v>
      </c>
    </row>
    <row r="583" spans="1:20" s="68" customFormat="1" ht="9" customHeight="1" x14ac:dyDescent="0.15">
      <c r="A583" s="66" t="s">
        <v>63</v>
      </c>
      <c r="B583" s="88">
        <f t="shared" si="44"/>
        <v>95519</v>
      </c>
      <c r="C583" s="89" t="s">
        <v>22</v>
      </c>
      <c r="D583" s="89" t="s">
        <v>22</v>
      </c>
      <c r="E583" s="89" t="s">
        <v>22</v>
      </c>
      <c r="F583" s="88">
        <v>41032</v>
      </c>
      <c r="G583" s="67">
        <v>29198</v>
      </c>
      <c r="H583" s="67">
        <v>18081</v>
      </c>
      <c r="I583" s="67">
        <v>210</v>
      </c>
      <c r="J583" s="67">
        <v>6998</v>
      </c>
      <c r="K583" s="88"/>
      <c r="L583" s="88">
        <f t="shared" si="45"/>
        <v>1730617</v>
      </c>
      <c r="M583" s="89" t="s">
        <v>22</v>
      </c>
      <c r="N583" s="89" t="s">
        <v>22</v>
      </c>
      <c r="O583" s="89" t="s">
        <v>22</v>
      </c>
      <c r="P583" s="88">
        <v>520709</v>
      </c>
      <c r="Q583" s="67">
        <v>249125</v>
      </c>
      <c r="R583" s="67">
        <v>564652</v>
      </c>
      <c r="S583" s="67">
        <v>2348</v>
      </c>
      <c r="T583" s="67">
        <v>393783</v>
      </c>
    </row>
    <row r="584" spans="1:20" s="68" customFormat="1" ht="9" customHeight="1" x14ac:dyDescent="0.15">
      <c r="A584" s="66" t="s">
        <v>31</v>
      </c>
      <c r="B584" s="88">
        <f t="shared" si="44"/>
        <v>5791</v>
      </c>
      <c r="C584" s="89" t="s">
        <v>22</v>
      </c>
      <c r="D584" s="89" t="s">
        <v>22</v>
      </c>
      <c r="E584" s="89" t="s">
        <v>22</v>
      </c>
      <c r="F584" s="88">
        <v>2000</v>
      </c>
      <c r="G584" s="67">
        <v>1926</v>
      </c>
      <c r="H584" s="67">
        <v>901</v>
      </c>
      <c r="I584" s="67">
        <v>0</v>
      </c>
      <c r="J584" s="67">
        <v>964</v>
      </c>
      <c r="K584" s="88"/>
      <c r="L584" s="88">
        <f t="shared" si="45"/>
        <v>181662</v>
      </c>
      <c r="M584" s="89" t="s">
        <v>22</v>
      </c>
      <c r="N584" s="89" t="s">
        <v>22</v>
      </c>
      <c r="O584" s="89" t="s">
        <v>22</v>
      </c>
      <c r="P584" s="88">
        <v>16323</v>
      </c>
      <c r="Q584" s="67">
        <v>43021</v>
      </c>
      <c r="R584" s="67">
        <v>28647</v>
      </c>
      <c r="S584" s="67">
        <v>0</v>
      </c>
      <c r="T584" s="67">
        <v>93671</v>
      </c>
    </row>
    <row r="585" spans="1:20" s="68" customFormat="1" ht="9" customHeight="1" x14ac:dyDescent="0.15">
      <c r="A585" s="66" t="s">
        <v>32</v>
      </c>
      <c r="B585" s="88">
        <f t="shared" si="44"/>
        <v>16007</v>
      </c>
      <c r="C585" s="89" t="s">
        <v>22</v>
      </c>
      <c r="D585" s="89" t="s">
        <v>22</v>
      </c>
      <c r="E585" s="89" t="s">
        <v>22</v>
      </c>
      <c r="F585" s="88">
        <v>6834</v>
      </c>
      <c r="G585" s="67">
        <v>5734</v>
      </c>
      <c r="H585" s="67">
        <v>1501</v>
      </c>
      <c r="I585" s="67">
        <v>51</v>
      </c>
      <c r="J585" s="67">
        <v>1887</v>
      </c>
      <c r="K585" s="88"/>
      <c r="L585" s="88">
        <f t="shared" si="45"/>
        <v>244513</v>
      </c>
      <c r="M585" s="89" t="s">
        <v>22</v>
      </c>
      <c r="N585" s="89" t="s">
        <v>22</v>
      </c>
      <c r="O585" s="89" t="s">
        <v>22</v>
      </c>
      <c r="P585" s="88">
        <v>57763</v>
      </c>
      <c r="Q585" s="67">
        <v>69854</v>
      </c>
      <c r="R585" s="67">
        <v>47963</v>
      </c>
      <c r="S585" s="67">
        <v>455</v>
      </c>
      <c r="T585" s="67">
        <v>68478</v>
      </c>
    </row>
    <row r="586" spans="1:20" s="68" customFormat="1" ht="9" customHeight="1" x14ac:dyDescent="0.15">
      <c r="A586" s="69" t="s">
        <v>33</v>
      </c>
      <c r="B586" s="102">
        <f t="shared" si="44"/>
        <v>16550</v>
      </c>
      <c r="C586" s="91" t="s">
        <v>22</v>
      </c>
      <c r="D586" s="91" t="s">
        <v>22</v>
      </c>
      <c r="E586" s="91" t="s">
        <v>22</v>
      </c>
      <c r="F586" s="90">
        <v>6519</v>
      </c>
      <c r="G586" s="70">
        <v>6393</v>
      </c>
      <c r="H586" s="70">
        <v>2119</v>
      </c>
      <c r="I586" s="70">
        <v>3</v>
      </c>
      <c r="J586" s="70">
        <v>1516</v>
      </c>
      <c r="K586" s="90"/>
      <c r="L586" s="102">
        <f t="shared" si="45"/>
        <v>291628</v>
      </c>
      <c r="M586" s="91" t="s">
        <v>22</v>
      </c>
      <c r="N586" s="91" t="s">
        <v>22</v>
      </c>
      <c r="O586" s="91" t="s">
        <v>22</v>
      </c>
      <c r="P586" s="90">
        <v>127365</v>
      </c>
      <c r="Q586" s="70">
        <v>46652</v>
      </c>
      <c r="R586" s="70">
        <v>92316</v>
      </c>
      <c r="S586" s="70">
        <v>344</v>
      </c>
      <c r="T586" s="70">
        <v>24951</v>
      </c>
    </row>
    <row r="587" spans="1:20" s="68" customFormat="1" ht="9" customHeight="1" x14ac:dyDescent="0.15">
      <c r="A587" s="66" t="s">
        <v>34</v>
      </c>
      <c r="B587" s="88">
        <f t="shared" si="44"/>
        <v>16916</v>
      </c>
      <c r="C587" s="89" t="s">
        <v>22</v>
      </c>
      <c r="D587" s="89" t="s">
        <v>22</v>
      </c>
      <c r="E587" s="89" t="s">
        <v>22</v>
      </c>
      <c r="F587" s="88">
        <v>8477</v>
      </c>
      <c r="G587" s="67">
        <v>5176</v>
      </c>
      <c r="H587" s="67">
        <v>2500</v>
      </c>
      <c r="I587" s="67">
        <v>0</v>
      </c>
      <c r="J587" s="67">
        <v>763</v>
      </c>
      <c r="K587" s="88"/>
      <c r="L587" s="88">
        <f t="shared" si="45"/>
        <v>205627</v>
      </c>
      <c r="M587" s="89" t="s">
        <v>22</v>
      </c>
      <c r="N587" s="89" t="s">
        <v>22</v>
      </c>
      <c r="O587" s="89" t="s">
        <v>22</v>
      </c>
      <c r="P587" s="88">
        <v>92334</v>
      </c>
      <c r="Q587" s="67">
        <v>24191</v>
      </c>
      <c r="R587" s="67">
        <v>62859</v>
      </c>
      <c r="S587" s="67">
        <v>0</v>
      </c>
      <c r="T587" s="67">
        <v>26243</v>
      </c>
    </row>
    <row r="588" spans="1:20" s="68" customFormat="1" ht="9" customHeight="1" x14ac:dyDescent="0.15">
      <c r="A588" s="66" t="s">
        <v>35</v>
      </c>
      <c r="B588" s="88">
        <f t="shared" si="44"/>
        <v>34449</v>
      </c>
      <c r="C588" s="89" t="s">
        <v>22</v>
      </c>
      <c r="D588" s="89" t="s">
        <v>22</v>
      </c>
      <c r="E588" s="89" t="s">
        <v>22</v>
      </c>
      <c r="F588" s="88">
        <v>12862</v>
      </c>
      <c r="G588" s="67">
        <v>10299</v>
      </c>
      <c r="H588" s="67">
        <v>8524</v>
      </c>
      <c r="I588" s="67">
        <v>119</v>
      </c>
      <c r="J588" s="67">
        <v>2645</v>
      </c>
      <c r="K588" s="88"/>
      <c r="L588" s="88">
        <f t="shared" si="45"/>
        <v>602229</v>
      </c>
      <c r="M588" s="89" t="s">
        <v>22</v>
      </c>
      <c r="N588" s="89" t="s">
        <v>22</v>
      </c>
      <c r="O588" s="89" t="s">
        <v>22</v>
      </c>
      <c r="P588" s="88">
        <v>194178</v>
      </c>
      <c r="Q588" s="67">
        <v>107176</v>
      </c>
      <c r="R588" s="67">
        <v>231654</v>
      </c>
      <c r="S588" s="67">
        <v>2820</v>
      </c>
      <c r="T588" s="67">
        <v>66401</v>
      </c>
    </row>
    <row r="589" spans="1:20" s="68" customFormat="1" ht="9" customHeight="1" x14ac:dyDescent="0.15">
      <c r="A589" s="66" t="s">
        <v>36</v>
      </c>
      <c r="B589" s="88">
        <f t="shared" si="44"/>
        <v>47249</v>
      </c>
      <c r="C589" s="89" t="s">
        <v>22</v>
      </c>
      <c r="D589" s="89" t="s">
        <v>22</v>
      </c>
      <c r="E589" s="89" t="s">
        <v>22</v>
      </c>
      <c r="F589" s="88">
        <v>14602</v>
      </c>
      <c r="G589" s="67">
        <v>21294</v>
      </c>
      <c r="H589" s="67">
        <v>7590</v>
      </c>
      <c r="I589" s="67">
        <v>50</v>
      </c>
      <c r="J589" s="67">
        <v>3713</v>
      </c>
      <c r="K589" s="88"/>
      <c r="L589" s="88">
        <f t="shared" si="45"/>
        <v>1044064</v>
      </c>
      <c r="M589" s="89" t="s">
        <v>22</v>
      </c>
      <c r="N589" s="89" t="s">
        <v>22</v>
      </c>
      <c r="O589" s="89" t="s">
        <v>22</v>
      </c>
      <c r="P589" s="88">
        <v>224250</v>
      </c>
      <c r="Q589" s="67">
        <v>262915</v>
      </c>
      <c r="R589" s="67">
        <v>337772</v>
      </c>
      <c r="S589" s="67">
        <v>696</v>
      </c>
      <c r="T589" s="67">
        <v>218431</v>
      </c>
    </row>
    <row r="590" spans="1:20" s="68" customFormat="1" ht="9" customHeight="1" x14ac:dyDescent="0.15">
      <c r="A590" s="69" t="s">
        <v>37</v>
      </c>
      <c r="B590" s="102">
        <f t="shared" si="44"/>
        <v>13076</v>
      </c>
      <c r="C590" s="91" t="s">
        <v>22</v>
      </c>
      <c r="D590" s="91" t="s">
        <v>22</v>
      </c>
      <c r="E590" s="91" t="s">
        <v>22</v>
      </c>
      <c r="F590" s="90">
        <v>4996</v>
      </c>
      <c r="G590" s="70">
        <v>4314</v>
      </c>
      <c r="H590" s="70">
        <v>2062</v>
      </c>
      <c r="I590" s="70">
        <v>191</v>
      </c>
      <c r="J590" s="70">
        <v>1513</v>
      </c>
      <c r="K590" s="90"/>
      <c r="L590" s="102">
        <f t="shared" si="45"/>
        <v>339912</v>
      </c>
      <c r="M590" s="91" t="s">
        <v>22</v>
      </c>
      <c r="N590" s="91" t="s">
        <v>22</v>
      </c>
      <c r="O590" s="91" t="s">
        <v>22</v>
      </c>
      <c r="P590" s="90">
        <v>132507</v>
      </c>
      <c r="Q590" s="70">
        <v>101297</v>
      </c>
      <c r="R590" s="70">
        <v>51255</v>
      </c>
      <c r="S590" s="70">
        <v>627</v>
      </c>
      <c r="T590" s="70">
        <v>54226</v>
      </c>
    </row>
    <row r="591" spans="1:20" s="68" customFormat="1" ht="9" customHeight="1" x14ac:dyDescent="0.15">
      <c r="A591" s="66" t="s">
        <v>38</v>
      </c>
      <c r="B591" s="88">
        <f t="shared" si="44"/>
        <v>9369</v>
      </c>
      <c r="C591" s="89" t="s">
        <v>22</v>
      </c>
      <c r="D591" s="89" t="s">
        <v>22</v>
      </c>
      <c r="E591" s="89" t="s">
        <v>22</v>
      </c>
      <c r="F591" s="88">
        <v>4580</v>
      </c>
      <c r="G591" s="67">
        <v>1741</v>
      </c>
      <c r="H591" s="67">
        <v>1960</v>
      </c>
      <c r="I591" s="67">
        <v>0</v>
      </c>
      <c r="J591" s="67">
        <v>1088</v>
      </c>
      <c r="K591" s="88"/>
      <c r="L591" s="88">
        <f t="shared" si="45"/>
        <v>147651</v>
      </c>
      <c r="M591" s="89" t="s">
        <v>22</v>
      </c>
      <c r="N591" s="89" t="s">
        <v>22</v>
      </c>
      <c r="O591" s="89" t="s">
        <v>22</v>
      </c>
      <c r="P591" s="88">
        <v>65682</v>
      </c>
      <c r="Q591" s="67">
        <v>8307</v>
      </c>
      <c r="R591" s="67">
        <v>61602</v>
      </c>
      <c r="S591" s="67">
        <v>0</v>
      </c>
      <c r="T591" s="67">
        <v>12060</v>
      </c>
    </row>
    <row r="592" spans="1:20" s="68" customFormat="1" ht="9" customHeight="1" x14ac:dyDescent="0.15">
      <c r="A592" s="66" t="s">
        <v>39</v>
      </c>
      <c r="B592" s="88">
        <f t="shared" si="44"/>
        <v>7048</v>
      </c>
      <c r="C592" s="89" t="s">
        <v>22</v>
      </c>
      <c r="D592" s="89" t="s">
        <v>22</v>
      </c>
      <c r="E592" s="89" t="s">
        <v>22</v>
      </c>
      <c r="F592" s="88">
        <v>3920</v>
      </c>
      <c r="G592" s="67">
        <v>1893</v>
      </c>
      <c r="H592" s="67">
        <v>1235</v>
      </c>
      <c r="I592" s="67">
        <v>0</v>
      </c>
      <c r="J592" s="67">
        <v>0</v>
      </c>
      <c r="K592" s="88"/>
      <c r="L592" s="88">
        <f t="shared" si="45"/>
        <v>100241</v>
      </c>
      <c r="M592" s="89" t="s">
        <v>22</v>
      </c>
      <c r="N592" s="89" t="s">
        <v>22</v>
      </c>
      <c r="O592" s="89" t="s">
        <v>22</v>
      </c>
      <c r="P592" s="88">
        <v>62355</v>
      </c>
      <c r="Q592" s="67">
        <v>5854</v>
      </c>
      <c r="R592" s="67">
        <v>32032</v>
      </c>
      <c r="S592" s="67">
        <v>0</v>
      </c>
      <c r="T592" s="67">
        <v>0</v>
      </c>
    </row>
    <row r="593" spans="1:20" s="68" customFormat="1" ht="9" customHeight="1" x14ac:dyDescent="0.15">
      <c r="A593" s="66" t="s">
        <v>40</v>
      </c>
      <c r="B593" s="88">
        <f t="shared" si="44"/>
        <v>12543</v>
      </c>
      <c r="C593" s="89" t="s">
        <v>22</v>
      </c>
      <c r="D593" s="89" t="s">
        <v>22</v>
      </c>
      <c r="E593" s="89" t="s">
        <v>22</v>
      </c>
      <c r="F593" s="88">
        <v>4656</v>
      </c>
      <c r="G593" s="67">
        <v>3844</v>
      </c>
      <c r="H593" s="67">
        <v>2377</v>
      </c>
      <c r="I593" s="67">
        <v>60</v>
      </c>
      <c r="J593" s="67">
        <v>1606</v>
      </c>
      <c r="K593" s="88"/>
      <c r="L593" s="88">
        <f t="shared" si="45"/>
        <v>277300</v>
      </c>
      <c r="M593" s="89" t="s">
        <v>22</v>
      </c>
      <c r="N593" s="89" t="s">
        <v>22</v>
      </c>
      <c r="O593" s="89" t="s">
        <v>22</v>
      </c>
      <c r="P593" s="88">
        <v>50190</v>
      </c>
      <c r="Q593" s="67">
        <v>58322</v>
      </c>
      <c r="R593" s="67">
        <v>77231</v>
      </c>
      <c r="S593" s="67">
        <v>884</v>
      </c>
      <c r="T593" s="67">
        <v>90673</v>
      </c>
    </row>
    <row r="594" spans="1:20" s="68" customFormat="1" ht="9" customHeight="1" x14ac:dyDescent="0.15">
      <c r="A594" s="69" t="s">
        <v>41</v>
      </c>
      <c r="B594" s="102">
        <f t="shared" si="44"/>
        <v>10832</v>
      </c>
      <c r="C594" s="91" t="s">
        <v>22</v>
      </c>
      <c r="D594" s="91" t="s">
        <v>22</v>
      </c>
      <c r="E594" s="91" t="s">
        <v>22</v>
      </c>
      <c r="F594" s="90">
        <v>3212</v>
      </c>
      <c r="G594" s="70">
        <v>2948</v>
      </c>
      <c r="H594" s="70">
        <v>4307</v>
      </c>
      <c r="I594" s="70">
        <v>3</v>
      </c>
      <c r="J594" s="70">
        <v>362</v>
      </c>
      <c r="K594" s="90"/>
      <c r="L594" s="102">
        <f t="shared" si="45"/>
        <v>208672</v>
      </c>
      <c r="M594" s="91" t="s">
        <v>22</v>
      </c>
      <c r="N594" s="91" t="s">
        <v>22</v>
      </c>
      <c r="O594" s="91" t="s">
        <v>22</v>
      </c>
      <c r="P594" s="90">
        <v>57744</v>
      </c>
      <c r="Q594" s="70">
        <v>27222</v>
      </c>
      <c r="R594" s="70">
        <v>119965</v>
      </c>
      <c r="S594" s="70">
        <v>3</v>
      </c>
      <c r="T594" s="70">
        <v>3738</v>
      </c>
    </row>
    <row r="595" spans="1:20" s="68" customFormat="1" ht="9" customHeight="1" x14ac:dyDescent="0.15">
      <c r="A595" s="66" t="s">
        <v>42</v>
      </c>
      <c r="B595" s="88">
        <f t="shared" si="44"/>
        <v>6560</v>
      </c>
      <c r="C595" s="89" t="s">
        <v>22</v>
      </c>
      <c r="D595" s="89" t="s">
        <v>22</v>
      </c>
      <c r="E595" s="89" t="s">
        <v>22</v>
      </c>
      <c r="F595" s="88">
        <v>1866</v>
      </c>
      <c r="G595" s="67">
        <v>1506</v>
      </c>
      <c r="H595" s="67">
        <v>2154</v>
      </c>
      <c r="I595" s="67">
        <v>1</v>
      </c>
      <c r="J595" s="67">
        <v>1033</v>
      </c>
      <c r="K595" s="88"/>
      <c r="L595" s="88">
        <f t="shared" si="45"/>
        <v>187507</v>
      </c>
      <c r="M595" s="89" t="s">
        <v>22</v>
      </c>
      <c r="N595" s="89" t="s">
        <v>22</v>
      </c>
      <c r="O595" s="89" t="s">
        <v>22</v>
      </c>
      <c r="P595" s="88">
        <v>29729</v>
      </c>
      <c r="Q595" s="67">
        <v>34036</v>
      </c>
      <c r="R595" s="67">
        <v>84256</v>
      </c>
      <c r="S595" s="67">
        <v>20</v>
      </c>
      <c r="T595" s="67">
        <v>39466</v>
      </c>
    </row>
    <row r="596" spans="1:20" s="68" customFormat="1" ht="9" customHeight="1" x14ac:dyDescent="0.15">
      <c r="A596" s="66" t="s">
        <v>43</v>
      </c>
      <c r="B596" s="88">
        <f t="shared" si="44"/>
        <v>7029</v>
      </c>
      <c r="C596" s="89" t="s">
        <v>22</v>
      </c>
      <c r="D596" s="89" t="s">
        <v>22</v>
      </c>
      <c r="E596" s="89" t="s">
        <v>22</v>
      </c>
      <c r="F596" s="88">
        <v>3601</v>
      </c>
      <c r="G596" s="67">
        <v>1763</v>
      </c>
      <c r="H596" s="67">
        <v>476</v>
      </c>
      <c r="I596" s="67">
        <v>275</v>
      </c>
      <c r="J596" s="67">
        <v>914</v>
      </c>
      <c r="K596" s="88"/>
      <c r="L596" s="88">
        <f t="shared" si="45"/>
        <v>116367</v>
      </c>
      <c r="M596" s="89" t="s">
        <v>22</v>
      </c>
      <c r="N596" s="89" t="s">
        <v>22</v>
      </c>
      <c r="O596" s="89" t="s">
        <v>22</v>
      </c>
      <c r="P596" s="88">
        <v>95324</v>
      </c>
      <c r="Q596" s="67">
        <v>7086</v>
      </c>
      <c r="R596" s="67">
        <v>8321</v>
      </c>
      <c r="S596" s="67">
        <v>306</v>
      </c>
      <c r="T596" s="67">
        <v>5330</v>
      </c>
    </row>
    <row r="597" spans="1:20" s="68" customFormat="1" ht="9" customHeight="1" x14ac:dyDescent="0.15">
      <c r="A597" s="66" t="s">
        <v>44</v>
      </c>
      <c r="B597" s="88">
        <f t="shared" si="44"/>
        <v>16206</v>
      </c>
      <c r="C597" s="89" t="s">
        <v>22</v>
      </c>
      <c r="D597" s="89" t="s">
        <v>22</v>
      </c>
      <c r="E597" s="89" t="s">
        <v>22</v>
      </c>
      <c r="F597" s="88">
        <v>5294</v>
      </c>
      <c r="G597" s="67">
        <v>6097</v>
      </c>
      <c r="H597" s="67">
        <v>1776</v>
      </c>
      <c r="I597" s="67">
        <v>58</v>
      </c>
      <c r="J597" s="67">
        <v>2981</v>
      </c>
      <c r="K597" s="88"/>
      <c r="L597" s="88">
        <f t="shared" si="45"/>
        <v>305336</v>
      </c>
      <c r="M597" s="89" t="s">
        <v>22</v>
      </c>
      <c r="N597" s="89" t="s">
        <v>22</v>
      </c>
      <c r="O597" s="89" t="s">
        <v>22</v>
      </c>
      <c r="P597" s="88">
        <v>102134</v>
      </c>
      <c r="Q597" s="67">
        <v>99048</v>
      </c>
      <c r="R597" s="67">
        <v>74811</v>
      </c>
      <c r="S597" s="67">
        <v>333</v>
      </c>
      <c r="T597" s="67">
        <v>29010</v>
      </c>
    </row>
    <row r="598" spans="1:20" s="68" customFormat="1" ht="9" customHeight="1" x14ac:dyDescent="0.15">
      <c r="A598" s="69" t="s">
        <v>45</v>
      </c>
      <c r="B598" s="102">
        <f t="shared" si="44"/>
        <v>11259</v>
      </c>
      <c r="C598" s="91" t="s">
        <v>22</v>
      </c>
      <c r="D598" s="91" t="s">
        <v>22</v>
      </c>
      <c r="E598" s="91" t="s">
        <v>22</v>
      </c>
      <c r="F598" s="90">
        <v>5501</v>
      </c>
      <c r="G598" s="70">
        <v>3753</v>
      </c>
      <c r="H598" s="70">
        <v>1451</v>
      </c>
      <c r="I598" s="70">
        <v>15</v>
      </c>
      <c r="J598" s="70">
        <v>539</v>
      </c>
      <c r="K598" s="90"/>
      <c r="L598" s="102">
        <f t="shared" si="45"/>
        <v>199622</v>
      </c>
      <c r="M598" s="91" t="s">
        <v>22</v>
      </c>
      <c r="N598" s="91" t="s">
        <v>22</v>
      </c>
      <c r="O598" s="91" t="s">
        <v>22</v>
      </c>
      <c r="P598" s="90">
        <v>54421</v>
      </c>
      <c r="Q598" s="70">
        <v>39812</v>
      </c>
      <c r="R598" s="70">
        <v>87925</v>
      </c>
      <c r="S598" s="70">
        <v>401</v>
      </c>
      <c r="T598" s="70">
        <v>17063</v>
      </c>
    </row>
    <row r="599" spans="1:20" s="68" customFormat="1" ht="9" customHeight="1" x14ac:dyDescent="0.15">
      <c r="A599" s="66" t="s">
        <v>46</v>
      </c>
      <c r="B599" s="88">
        <f t="shared" si="44"/>
        <v>32703</v>
      </c>
      <c r="C599" s="89" t="s">
        <v>22</v>
      </c>
      <c r="D599" s="89" t="s">
        <v>22</v>
      </c>
      <c r="E599" s="89" t="s">
        <v>22</v>
      </c>
      <c r="F599" s="88">
        <v>15058</v>
      </c>
      <c r="G599" s="67">
        <v>8373</v>
      </c>
      <c r="H599" s="67">
        <v>7841</v>
      </c>
      <c r="I599" s="67">
        <v>263</v>
      </c>
      <c r="J599" s="67">
        <v>1168</v>
      </c>
      <c r="K599" s="88"/>
      <c r="L599" s="88">
        <f t="shared" si="45"/>
        <v>530725</v>
      </c>
      <c r="M599" s="89" t="s">
        <v>22</v>
      </c>
      <c r="N599" s="89" t="s">
        <v>22</v>
      </c>
      <c r="O599" s="89" t="s">
        <v>22</v>
      </c>
      <c r="P599" s="88">
        <v>216237</v>
      </c>
      <c r="Q599" s="67">
        <v>73705</v>
      </c>
      <c r="R599" s="67">
        <v>203238</v>
      </c>
      <c r="S599" s="67">
        <v>604</v>
      </c>
      <c r="T599" s="67">
        <v>36941</v>
      </c>
    </row>
    <row r="600" spans="1:20" s="68" customFormat="1" ht="9" customHeight="1" x14ac:dyDescent="0.15">
      <c r="A600" s="66" t="s">
        <v>47</v>
      </c>
      <c r="B600" s="88">
        <f t="shared" si="44"/>
        <v>7355</v>
      </c>
      <c r="C600" s="89" t="s">
        <v>22</v>
      </c>
      <c r="D600" s="89" t="s">
        <v>22</v>
      </c>
      <c r="E600" s="89" t="s">
        <v>22</v>
      </c>
      <c r="F600" s="88">
        <v>2820</v>
      </c>
      <c r="G600" s="67">
        <v>3256</v>
      </c>
      <c r="H600" s="67">
        <v>1008</v>
      </c>
      <c r="I600" s="67">
        <v>28</v>
      </c>
      <c r="J600" s="67">
        <v>243</v>
      </c>
      <c r="K600" s="88"/>
      <c r="L600" s="88">
        <f t="shared" si="45"/>
        <v>136026</v>
      </c>
      <c r="M600" s="89" t="s">
        <v>22</v>
      </c>
      <c r="N600" s="89" t="s">
        <v>22</v>
      </c>
      <c r="O600" s="89" t="s">
        <v>22</v>
      </c>
      <c r="P600" s="88">
        <v>42092</v>
      </c>
      <c r="Q600" s="67">
        <v>25832</v>
      </c>
      <c r="R600" s="67">
        <v>47800</v>
      </c>
      <c r="S600" s="67">
        <v>55</v>
      </c>
      <c r="T600" s="67">
        <v>20247</v>
      </c>
    </row>
    <row r="601" spans="1:20" s="68" customFormat="1" ht="9" customHeight="1" x14ac:dyDescent="0.15">
      <c r="A601" s="66" t="s">
        <v>48</v>
      </c>
      <c r="B601" s="88">
        <f t="shared" si="44"/>
        <v>8612</v>
      </c>
      <c r="C601" s="89" t="s">
        <v>22</v>
      </c>
      <c r="D601" s="89" t="s">
        <v>22</v>
      </c>
      <c r="E601" s="89" t="s">
        <v>22</v>
      </c>
      <c r="F601" s="88">
        <v>1570</v>
      </c>
      <c r="G601" s="67">
        <v>5802</v>
      </c>
      <c r="H601" s="67">
        <v>1019</v>
      </c>
      <c r="I601" s="67">
        <v>0</v>
      </c>
      <c r="J601" s="67">
        <v>221</v>
      </c>
      <c r="K601" s="88"/>
      <c r="L601" s="88">
        <f t="shared" si="45"/>
        <v>108434</v>
      </c>
      <c r="M601" s="89" t="s">
        <v>22</v>
      </c>
      <c r="N601" s="89" t="s">
        <v>22</v>
      </c>
      <c r="O601" s="89" t="s">
        <v>22</v>
      </c>
      <c r="P601" s="88">
        <v>22455</v>
      </c>
      <c r="Q601" s="67">
        <v>34960</v>
      </c>
      <c r="R601" s="67">
        <v>48076</v>
      </c>
      <c r="S601" s="67">
        <v>0</v>
      </c>
      <c r="T601" s="67">
        <v>2943</v>
      </c>
    </row>
    <row r="602" spans="1:20" s="68" customFormat="1" ht="9" customHeight="1" x14ac:dyDescent="0.15">
      <c r="A602" s="69" t="s">
        <v>49</v>
      </c>
      <c r="B602" s="102">
        <f t="shared" si="44"/>
        <v>8759</v>
      </c>
      <c r="C602" s="91" t="s">
        <v>22</v>
      </c>
      <c r="D602" s="91" t="s">
        <v>22</v>
      </c>
      <c r="E602" s="91" t="s">
        <v>22</v>
      </c>
      <c r="F602" s="90">
        <v>3641</v>
      </c>
      <c r="G602" s="70">
        <v>3315</v>
      </c>
      <c r="H602" s="70">
        <v>1045</v>
      </c>
      <c r="I602" s="70">
        <v>5</v>
      </c>
      <c r="J602" s="70">
        <v>753</v>
      </c>
      <c r="K602" s="90"/>
      <c r="L602" s="102">
        <f t="shared" si="45"/>
        <v>160402</v>
      </c>
      <c r="M602" s="91" t="s">
        <v>22</v>
      </c>
      <c r="N602" s="91" t="s">
        <v>22</v>
      </c>
      <c r="O602" s="91" t="s">
        <v>22</v>
      </c>
      <c r="P602" s="90">
        <v>29758</v>
      </c>
      <c r="Q602" s="70">
        <v>47165</v>
      </c>
      <c r="R602" s="70">
        <v>38883</v>
      </c>
      <c r="S602" s="70">
        <v>58</v>
      </c>
      <c r="T602" s="70">
        <v>44538</v>
      </c>
    </row>
    <row r="603" spans="1:20" s="72" customFormat="1" ht="9" customHeight="1" x14ac:dyDescent="0.15">
      <c r="A603" s="71" t="s">
        <v>50</v>
      </c>
      <c r="B603" s="88">
        <f t="shared" si="44"/>
        <v>3820</v>
      </c>
      <c r="C603" s="89" t="s">
        <v>22</v>
      </c>
      <c r="D603" s="89" t="s">
        <v>22</v>
      </c>
      <c r="E603" s="89" t="s">
        <v>22</v>
      </c>
      <c r="F603" s="92">
        <v>2188</v>
      </c>
      <c r="G603" s="67">
        <v>427</v>
      </c>
      <c r="H603" s="67">
        <v>1200</v>
      </c>
      <c r="I603" s="67">
        <v>0</v>
      </c>
      <c r="J603" s="67">
        <v>5</v>
      </c>
      <c r="K603" s="92"/>
      <c r="L603" s="88">
        <f t="shared" si="45"/>
        <v>103237</v>
      </c>
      <c r="M603" s="89" t="s">
        <v>22</v>
      </c>
      <c r="N603" s="89" t="s">
        <v>22</v>
      </c>
      <c r="O603" s="89" t="s">
        <v>22</v>
      </c>
      <c r="P603" s="92">
        <v>53304</v>
      </c>
      <c r="Q603" s="67">
        <v>26583</v>
      </c>
      <c r="R603" s="67">
        <v>23219</v>
      </c>
      <c r="S603" s="67">
        <v>0</v>
      </c>
      <c r="T603" s="67">
        <v>131</v>
      </c>
    </row>
    <row r="604" spans="1:20" s="68" customFormat="1" ht="9" customHeight="1" x14ac:dyDescent="0.15">
      <c r="A604" s="66" t="s">
        <v>51</v>
      </c>
      <c r="B604" s="88">
        <f t="shared" si="44"/>
        <v>11313</v>
      </c>
      <c r="C604" s="89" t="s">
        <v>22</v>
      </c>
      <c r="D604" s="89" t="s">
        <v>22</v>
      </c>
      <c r="E604" s="89" t="s">
        <v>22</v>
      </c>
      <c r="F604" s="88">
        <v>3375</v>
      </c>
      <c r="G604" s="67">
        <v>4816</v>
      </c>
      <c r="H604" s="67">
        <v>2497</v>
      </c>
      <c r="I604" s="67">
        <v>23</v>
      </c>
      <c r="J604" s="67">
        <v>602</v>
      </c>
      <c r="K604" s="88"/>
      <c r="L604" s="88">
        <f t="shared" si="45"/>
        <v>219027</v>
      </c>
      <c r="M604" s="89" t="s">
        <v>22</v>
      </c>
      <c r="N604" s="89" t="s">
        <v>22</v>
      </c>
      <c r="O604" s="89" t="s">
        <v>22</v>
      </c>
      <c r="P604" s="88">
        <v>43760</v>
      </c>
      <c r="Q604" s="67">
        <v>105528</v>
      </c>
      <c r="R604" s="67">
        <v>50101</v>
      </c>
      <c r="S604" s="67">
        <v>204</v>
      </c>
      <c r="T604" s="67">
        <v>19434</v>
      </c>
    </row>
    <row r="605" spans="1:20" s="68" customFormat="1" ht="9" customHeight="1" x14ac:dyDescent="0.15">
      <c r="A605" s="66" t="s">
        <v>52</v>
      </c>
      <c r="B605" s="88">
        <f t="shared" si="44"/>
        <v>4345</v>
      </c>
      <c r="C605" s="89" t="s">
        <v>22</v>
      </c>
      <c r="D605" s="89" t="s">
        <v>22</v>
      </c>
      <c r="E605" s="89" t="s">
        <v>22</v>
      </c>
      <c r="F605" s="88">
        <v>1944</v>
      </c>
      <c r="G605" s="67">
        <v>868</v>
      </c>
      <c r="H605" s="67">
        <v>1148</v>
      </c>
      <c r="I605" s="67">
        <v>15</v>
      </c>
      <c r="J605" s="67">
        <v>370</v>
      </c>
      <c r="K605" s="88"/>
      <c r="L605" s="88">
        <f t="shared" si="45"/>
        <v>71217</v>
      </c>
      <c r="M605" s="89" t="s">
        <v>22</v>
      </c>
      <c r="N605" s="89" t="s">
        <v>22</v>
      </c>
      <c r="O605" s="89" t="s">
        <v>22</v>
      </c>
      <c r="P605" s="88">
        <v>22978</v>
      </c>
      <c r="Q605" s="67">
        <v>21014</v>
      </c>
      <c r="R605" s="67">
        <v>22916</v>
      </c>
      <c r="S605" s="67">
        <v>175</v>
      </c>
      <c r="T605" s="67">
        <v>4134</v>
      </c>
    </row>
    <row r="606" spans="1:20" s="68" customFormat="1" ht="9" customHeight="1" x14ac:dyDescent="0.15">
      <c r="A606" s="69" t="s">
        <v>53</v>
      </c>
      <c r="B606" s="102">
        <f t="shared" si="44"/>
        <v>13931</v>
      </c>
      <c r="C606" s="91" t="s">
        <v>22</v>
      </c>
      <c r="D606" s="91" t="s">
        <v>22</v>
      </c>
      <c r="E606" s="91" t="s">
        <v>22</v>
      </c>
      <c r="F606" s="90">
        <v>7568</v>
      </c>
      <c r="G606" s="70">
        <v>2383</v>
      </c>
      <c r="H606" s="70">
        <v>2897</v>
      </c>
      <c r="I606" s="70">
        <v>0</v>
      </c>
      <c r="J606" s="70">
        <v>1083</v>
      </c>
      <c r="K606" s="90"/>
      <c r="L606" s="102">
        <f t="shared" si="45"/>
        <v>284901</v>
      </c>
      <c r="M606" s="91" t="s">
        <v>22</v>
      </c>
      <c r="N606" s="91" t="s">
        <v>22</v>
      </c>
      <c r="O606" s="91" t="s">
        <v>22</v>
      </c>
      <c r="P606" s="90">
        <v>102277</v>
      </c>
      <c r="Q606" s="70">
        <v>103858</v>
      </c>
      <c r="R606" s="70">
        <v>64359</v>
      </c>
      <c r="S606" s="70">
        <v>0</v>
      </c>
      <c r="T606" s="70">
        <v>14407</v>
      </c>
    </row>
    <row r="607" spans="1:20" s="65" customFormat="1" ht="9" customHeight="1" x14ac:dyDescent="0.15">
      <c r="A607" s="71"/>
      <c r="B607" s="92"/>
      <c r="C607" s="92"/>
      <c r="D607" s="92"/>
      <c r="E607" s="92"/>
      <c r="F607" s="92"/>
      <c r="G607" s="67"/>
      <c r="H607" s="67"/>
      <c r="I607" s="67"/>
      <c r="J607" s="67"/>
      <c r="K607" s="92"/>
      <c r="L607" s="92"/>
      <c r="M607" s="92"/>
      <c r="N607" s="92"/>
      <c r="O607" s="92"/>
      <c r="P607" s="92"/>
      <c r="Q607" s="67"/>
      <c r="R607" s="67"/>
      <c r="S607" s="67"/>
      <c r="T607" s="67"/>
    </row>
    <row r="608" spans="1:20" s="65" customFormat="1" ht="9" customHeight="1" x14ac:dyDescent="0.25">
      <c r="A608" s="96">
        <v>2016</v>
      </c>
      <c r="B608" s="97"/>
      <c r="C608" s="98"/>
      <c r="D608" s="97"/>
      <c r="E608" s="97"/>
      <c r="F608" s="97"/>
      <c r="G608" s="64"/>
      <c r="H608" s="64"/>
      <c r="I608" s="64"/>
      <c r="J608" s="64"/>
      <c r="K608" s="97"/>
      <c r="L608" s="97"/>
      <c r="M608" s="97"/>
      <c r="N608" s="97"/>
      <c r="O608" s="97"/>
      <c r="P608" s="97"/>
      <c r="Q608" s="64"/>
      <c r="R608" s="64"/>
      <c r="S608" s="64"/>
      <c r="T608" s="64"/>
    </row>
    <row r="609" spans="1:21" s="65" customFormat="1" ht="9" customHeight="1" x14ac:dyDescent="0.25">
      <c r="A609" s="99" t="s">
        <v>21</v>
      </c>
      <c r="B609" s="64">
        <f t="shared" ref="B609" si="46">SUM(B611:B642)</f>
        <v>509358</v>
      </c>
      <c r="C609" s="64" t="s">
        <v>22</v>
      </c>
      <c r="D609" s="64" t="s">
        <v>22</v>
      </c>
      <c r="E609" s="64" t="s">
        <v>22</v>
      </c>
      <c r="F609" s="64">
        <f t="shared" ref="F609:J609" si="47">SUM(F611:F642)</f>
        <v>206869</v>
      </c>
      <c r="G609" s="64">
        <f t="shared" si="47"/>
        <v>163608</v>
      </c>
      <c r="H609" s="64">
        <f t="shared" si="47"/>
        <v>106260</v>
      </c>
      <c r="I609" s="64">
        <f t="shared" si="47"/>
        <v>2199</v>
      </c>
      <c r="J609" s="64">
        <f t="shared" si="47"/>
        <v>30422</v>
      </c>
      <c r="K609" s="64"/>
      <c r="L609" s="64">
        <f>SUM(L611:L642)</f>
        <v>9781226</v>
      </c>
      <c r="M609" s="64" t="s">
        <v>22</v>
      </c>
      <c r="N609" s="64" t="s">
        <v>22</v>
      </c>
      <c r="O609" s="64" t="s">
        <v>22</v>
      </c>
      <c r="P609" s="64">
        <f t="shared" ref="P609:T609" si="48">SUM(P611:P642)</f>
        <v>2887235</v>
      </c>
      <c r="Q609" s="64">
        <f t="shared" si="48"/>
        <v>1892619</v>
      </c>
      <c r="R609" s="64">
        <f t="shared" si="48"/>
        <v>3811644</v>
      </c>
      <c r="S609" s="64">
        <f t="shared" si="48"/>
        <v>14449</v>
      </c>
      <c r="T609" s="64">
        <f t="shared" si="48"/>
        <v>1175279</v>
      </c>
      <c r="U609" s="101"/>
    </row>
    <row r="610" spans="1:21" s="65" customFormat="1" ht="3" customHeight="1" x14ac:dyDescent="0.25">
      <c r="A610" s="99"/>
      <c r="B610" s="64"/>
      <c r="C610" s="64"/>
      <c r="D610" s="64"/>
      <c r="E610" s="64"/>
      <c r="F610" s="64"/>
      <c r="G610" s="64"/>
      <c r="H610" s="64"/>
      <c r="I610" s="64"/>
      <c r="J610" s="64"/>
      <c r="K610" s="64"/>
      <c r="L610" s="64"/>
      <c r="M610" s="64"/>
      <c r="N610" s="64"/>
      <c r="O610" s="64"/>
      <c r="P610" s="64"/>
      <c r="Q610" s="64"/>
      <c r="R610" s="64"/>
      <c r="S610" s="64"/>
      <c r="T610" s="64"/>
    </row>
    <row r="611" spans="1:21" s="68" customFormat="1" ht="9" customHeight="1" x14ac:dyDescent="0.15">
      <c r="A611" s="66" t="s">
        <v>23</v>
      </c>
      <c r="B611" s="88">
        <f>SUM(C611:J611)</f>
        <v>4379</v>
      </c>
      <c r="C611" s="89" t="s">
        <v>22</v>
      </c>
      <c r="D611" s="89" t="s">
        <v>22</v>
      </c>
      <c r="E611" s="89" t="s">
        <v>22</v>
      </c>
      <c r="F611" s="88">
        <v>1684</v>
      </c>
      <c r="G611" s="67">
        <v>1733</v>
      </c>
      <c r="H611" s="67">
        <v>876</v>
      </c>
      <c r="I611" s="67">
        <v>1</v>
      </c>
      <c r="J611" s="67">
        <v>85</v>
      </c>
      <c r="K611" s="88"/>
      <c r="L611" s="88">
        <f>SUM(M611:T611)</f>
        <v>122711</v>
      </c>
      <c r="M611" s="89" t="s">
        <v>22</v>
      </c>
      <c r="N611" s="89" t="s">
        <v>22</v>
      </c>
      <c r="O611" s="89" t="s">
        <v>22</v>
      </c>
      <c r="P611" s="88">
        <v>28397</v>
      </c>
      <c r="Q611" s="67">
        <v>51047</v>
      </c>
      <c r="R611" s="67">
        <v>36768</v>
      </c>
      <c r="S611" s="67">
        <v>0</v>
      </c>
      <c r="T611" s="67">
        <v>6499</v>
      </c>
    </row>
    <row r="612" spans="1:21" s="68" customFormat="1" ht="9" customHeight="1" x14ac:dyDescent="0.15">
      <c r="A612" s="66" t="s">
        <v>24</v>
      </c>
      <c r="B612" s="88">
        <f t="shared" ref="B612:B642" si="49">SUM(C612:J612)</f>
        <v>10634</v>
      </c>
      <c r="C612" s="89" t="s">
        <v>22</v>
      </c>
      <c r="D612" s="89" t="s">
        <v>22</v>
      </c>
      <c r="E612" s="89" t="s">
        <v>22</v>
      </c>
      <c r="F612" s="88">
        <v>3282</v>
      </c>
      <c r="G612" s="67">
        <v>1580</v>
      </c>
      <c r="H612" s="67">
        <v>5010</v>
      </c>
      <c r="I612" s="67">
        <v>145</v>
      </c>
      <c r="J612" s="67">
        <v>617</v>
      </c>
      <c r="K612" s="88"/>
      <c r="L612" s="88">
        <f t="shared" ref="L612:L642" si="50">SUM(M612:T612)</f>
        <v>321205</v>
      </c>
      <c r="M612" s="89" t="s">
        <v>22</v>
      </c>
      <c r="N612" s="89" t="s">
        <v>22</v>
      </c>
      <c r="O612" s="89" t="s">
        <v>22</v>
      </c>
      <c r="P612" s="88">
        <v>43458</v>
      </c>
      <c r="Q612" s="67">
        <v>30217</v>
      </c>
      <c r="R612" s="67">
        <v>203589</v>
      </c>
      <c r="S612" s="67">
        <v>558</v>
      </c>
      <c r="T612" s="67">
        <v>43383</v>
      </c>
    </row>
    <row r="613" spans="1:21" s="68" customFormat="1" ht="9" customHeight="1" x14ac:dyDescent="0.15">
      <c r="A613" s="66" t="s">
        <v>25</v>
      </c>
      <c r="B613" s="88">
        <f t="shared" si="49"/>
        <v>4143</v>
      </c>
      <c r="C613" s="89" t="s">
        <v>22</v>
      </c>
      <c r="D613" s="89" t="s">
        <v>22</v>
      </c>
      <c r="E613" s="89" t="s">
        <v>22</v>
      </c>
      <c r="F613" s="88">
        <v>1796</v>
      </c>
      <c r="G613" s="67">
        <v>413</v>
      </c>
      <c r="H613" s="67">
        <v>1142</v>
      </c>
      <c r="I613" s="67">
        <v>32</v>
      </c>
      <c r="J613" s="67">
        <v>760</v>
      </c>
      <c r="K613" s="88"/>
      <c r="L613" s="88">
        <f t="shared" si="50"/>
        <v>129565</v>
      </c>
      <c r="M613" s="89" t="s">
        <v>22</v>
      </c>
      <c r="N613" s="89" t="s">
        <v>22</v>
      </c>
      <c r="O613" s="89" t="s">
        <v>22</v>
      </c>
      <c r="P613" s="88">
        <v>23985</v>
      </c>
      <c r="Q613" s="67">
        <v>29847</v>
      </c>
      <c r="R613" s="67">
        <v>36785</v>
      </c>
      <c r="S613" s="67">
        <v>205</v>
      </c>
      <c r="T613" s="67">
        <v>38743</v>
      </c>
    </row>
    <row r="614" spans="1:21" s="68" customFormat="1" ht="9" customHeight="1" x14ac:dyDescent="0.15">
      <c r="A614" s="69" t="s">
        <v>26</v>
      </c>
      <c r="B614" s="102">
        <f t="shared" si="49"/>
        <v>4140</v>
      </c>
      <c r="C614" s="103" t="s">
        <v>22</v>
      </c>
      <c r="D614" s="103" t="s">
        <v>22</v>
      </c>
      <c r="E614" s="103" t="s">
        <v>22</v>
      </c>
      <c r="F614" s="90">
        <v>2097</v>
      </c>
      <c r="G614" s="70">
        <v>1497</v>
      </c>
      <c r="H614" s="70">
        <v>510</v>
      </c>
      <c r="I614" s="70">
        <v>0</v>
      </c>
      <c r="J614" s="70">
        <v>36</v>
      </c>
      <c r="K614" s="90"/>
      <c r="L614" s="102">
        <f t="shared" si="50"/>
        <v>94480</v>
      </c>
      <c r="M614" s="103" t="s">
        <v>22</v>
      </c>
      <c r="N614" s="103" t="s">
        <v>22</v>
      </c>
      <c r="O614" s="103" t="s">
        <v>22</v>
      </c>
      <c r="P614" s="90">
        <v>47555</v>
      </c>
      <c r="Q614" s="70">
        <v>25346</v>
      </c>
      <c r="R614" s="70">
        <v>17854</v>
      </c>
      <c r="S614" s="70">
        <v>0</v>
      </c>
      <c r="T614" s="70">
        <v>3725</v>
      </c>
    </row>
    <row r="615" spans="1:21" s="68" customFormat="1" ht="9" customHeight="1" x14ac:dyDescent="0.15">
      <c r="A615" s="66" t="s">
        <v>27</v>
      </c>
      <c r="B615" s="88">
        <f t="shared" si="49"/>
        <v>10648</v>
      </c>
      <c r="C615" s="89" t="s">
        <v>22</v>
      </c>
      <c r="D615" s="89" t="s">
        <v>22</v>
      </c>
      <c r="E615" s="89" t="s">
        <v>22</v>
      </c>
      <c r="F615" s="88">
        <v>3461</v>
      </c>
      <c r="G615" s="67">
        <v>3134</v>
      </c>
      <c r="H615" s="67">
        <v>3753</v>
      </c>
      <c r="I615" s="67">
        <v>10</v>
      </c>
      <c r="J615" s="67">
        <v>290</v>
      </c>
      <c r="K615" s="88"/>
      <c r="L615" s="88">
        <f t="shared" si="50"/>
        <v>337271</v>
      </c>
      <c r="M615" s="89" t="s">
        <v>22</v>
      </c>
      <c r="N615" s="89" t="s">
        <v>22</v>
      </c>
      <c r="O615" s="89" t="s">
        <v>22</v>
      </c>
      <c r="P615" s="88">
        <v>36701</v>
      </c>
      <c r="Q615" s="67">
        <v>50774</v>
      </c>
      <c r="R615" s="67">
        <v>222926</v>
      </c>
      <c r="S615" s="67">
        <v>109</v>
      </c>
      <c r="T615" s="67">
        <v>26761</v>
      </c>
    </row>
    <row r="616" spans="1:21" s="68" customFormat="1" ht="9" customHeight="1" x14ac:dyDescent="0.15">
      <c r="A616" s="66" t="s">
        <v>28</v>
      </c>
      <c r="B616" s="88">
        <f t="shared" si="49"/>
        <v>11792</v>
      </c>
      <c r="C616" s="89" t="s">
        <v>22</v>
      </c>
      <c r="D616" s="89" t="s">
        <v>22</v>
      </c>
      <c r="E616" s="89" t="s">
        <v>22</v>
      </c>
      <c r="F616" s="88">
        <v>4763</v>
      </c>
      <c r="G616" s="67">
        <v>5256</v>
      </c>
      <c r="H616" s="67">
        <v>1531</v>
      </c>
      <c r="I616" s="67">
        <v>23</v>
      </c>
      <c r="J616" s="67">
        <v>219</v>
      </c>
      <c r="K616" s="88"/>
      <c r="L616" s="88">
        <f t="shared" si="50"/>
        <v>168327</v>
      </c>
      <c r="M616" s="89" t="s">
        <v>22</v>
      </c>
      <c r="N616" s="89" t="s">
        <v>22</v>
      </c>
      <c r="O616" s="89" t="s">
        <v>22</v>
      </c>
      <c r="P616" s="88">
        <v>80165</v>
      </c>
      <c r="Q616" s="67">
        <v>21986</v>
      </c>
      <c r="R616" s="67">
        <v>58745</v>
      </c>
      <c r="S616" s="67">
        <v>680</v>
      </c>
      <c r="T616" s="67">
        <v>6751</v>
      </c>
    </row>
    <row r="617" spans="1:21" s="68" customFormat="1" ht="9" customHeight="1" x14ac:dyDescent="0.15">
      <c r="A617" s="66" t="s">
        <v>29</v>
      </c>
      <c r="B617" s="88">
        <f t="shared" si="49"/>
        <v>6899</v>
      </c>
      <c r="C617" s="89" t="s">
        <v>22</v>
      </c>
      <c r="D617" s="89" t="s">
        <v>22</v>
      </c>
      <c r="E617" s="89" t="s">
        <v>22</v>
      </c>
      <c r="F617" s="88">
        <v>2436</v>
      </c>
      <c r="G617" s="67">
        <v>1450</v>
      </c>
      <c r="H617" s="67">
        <v>2331</v>
      </c>
      <c r="I617" s="67">
        <v>104</v>
      </c>
      <c r="J617" s="67">
        <v>578</v>
      </c>
      <c r="K617" s="88"/>
      <c r="L617" s="88">
        <f t="shared" si="50"/>
        <v>228850</v>
      </c>
      <c r="M617" s="89" t="s">
        <v>22</v>
      </c>
      <c r="N617" s="89" t="s">
        <v>22</v>
      </c>
      <c r="O617" s="89" t="s">
        <v>22</v>
      </c>
      <c r="P617" s="88">
        <v>66334</v>
      </c>
      <c r="Q617" s="67">
        <v>21604</v>
      </c>
      <c r="R617" s="67">
        <v>98260</v>
      </c>
      <c r="S617" s="67">
        <v>255</v>
      </c>
      <c r="T617" s="67">
        <v>42397</v>
      </c>
    </row>
    <row r="618" spans="1:21" s="68" customFormat="1" ht="9" customHeight="1" x14ac:dyDescent="0.15">
      <c r="A618" s="69" t="s">
        <v>30</v>
      </c>
      <c r="B618" s="102">
        <f t="shared" si="49"/>
        <v>6139</v>
      </c>
      <c r="C618" s="103" t="s">
        <v>22</v>
      </c>
      <c r="D618" s="103" t="s">
        <v>22</v>
      </c>
      <c r="E618" s="103" t="s">
        <v>22</v>
      </c>
      <c r="F618" s="90">
        <v>2618</v>
      </c>
      <c r="G618" s="70">
        <v>644</v>
      </c>
      <c r="H618" s="70">
        <v>2635</v>
      </c>
      <c r="I618" s="70">
        <v>164</v>
      </c>
      <c r="J618" s="70">
        <v>78</v>
      </c>
      <c r="K618" s="90"/>
      <c r="L618" s="102">
        <f t="shared" si="50"/>
        <v>181075</v>
      </c>
      <c r="M618" s="103" t="s">
        <v>22</v>
      </c>
      <c r="N618" s="103" t="s">
        <v>22</v>
      </c>
      <c r="O618" s="103" t="s">
        <v>22</v>
      </c>
      <c r="P618" s="90">
        <v>56288</v>
      </c>
      <c r="Q618" s="70">
        <v>34121</v>
      </c>
      <c r="R618" s="70">
        <v>88277</v>
      </c>
      <c r="S618" s="70">
        <v>1082</v>
      </c>
      <c r="T618" s="70">
        <v>1307</v>
      </c>
    </row>
    <row r="619" spans="1:21" s="68" customFormat="1" ht="9" customHeight="1" x14ac:dyDescent="0.15">
      <c r="A619" s="66" t="s">
        <v>63</v>
      </c>
      <c r="B619" s="88">
        <f t="shared" si="49"/>
        <v>114137</v>
      </c>
      <c r="C619" s="89" t="s">
        <v>22</v>
      </c>
      <c r="D619" s="89" t="s">
        <v>22</v>
      </c>
      <c r="E619" s="89" t="s">
        <v>22</v>
      </c>
      <c r="F619" s="88">
        <v>52053</v>
      </c>
      <c r="G619" s="67">
        <v>36449</v>
      </c>
      <c r="H619" s="67">
        <v>21371</v>
      </c>
      <c r="I619" s="67">
        <v>380</v>
      </c>
      <c r="J619" s="67">
        <v>3884</v>
      </c>
      <c r="K619" s="88"/>
      <c r="L619" s="88">
        <f t="shared" si="50"/>
        <v>1681028</v>
      </c>
      <c r="M619" s="89" t="s">
        <v>22</v>
      </c>
      <c r="N619" s="89" t="s">
        <v>22</v>
      </c>
      <c r="O619" s="89" t="s">
        <v>22</v>
      </c>
      <c r="P619" s="88">
        <v>546153</v>
      </c>
      <c r="Q619" s="67">
        <v>255266</v>
      </c>
      <c r="R619" s="67">
        <v>640048</v>
      </c>
      <c r="S619" s="67">
        <v>4727</v>
      </c>
      <c r="T619" s="67">
        <v>234834</v>
      </c>
    </row>
    <row r="620" spans="1:21" s="68" customFormat="1" ht="9" customHeight="1" x14ac:dyDescent="0.15">
      <c r="A620" s="66" t="s">
        <v>31</v>
      </c>
      <c r="B620" s="88">
        <f t="shared" si="49"/>
        <v>6952</v>
      </c>
      <c r="C620" s="89" t="s">
        <v>22</v>
      </c>
      <c r="D620" s="89" t="s">
        <v>22</v>
      </c>
      <c r="E620" s="89" t="s">
        <v>22</v>
      </c>
      <c r="F620" s="88">
        <v>2806</v>
      </c>
      <c r="G620" s="67">
        <v>2026</v>
      </c>
      <c r="H620" s="67">
        <v>1299</v>
      </c>
      <c r="I620" s="67">
        <v>1</v>
      </c>
      <c r="J620" s="67">
        <v>820</v>
      </c>
      <c r="K620" s="88"/>
      <c r="L620" s="88">
        <f t="shared" si="50"/>
        <v>200044</v>
      </c>
      <c r="M620" s="89" t="s">
        <v>22</v>
      </c>
      <c r="N620" s="89" t="s">
        <v>22</v>
      </c>
      <c r="O620" s="89" t="s">
        <v>22</v>
      </c>
      <c r="P620" s="88">
        <v>35737</v>
      </c>
      <c r="Q620" s="67">
        <v>68615</v>
      </c>
      <c r="R620" s="67">
        <v>73256</v>
      </c>
      <c r="S620" s="67">
        <v>3</v>
      </c>
      <c r="T620" s="67">
        <v>22433</v>
      </c>
    </row>
    <row r="621" spans="1:21" s="68" customFormat="1" ht="9" customHeight="1" x14ac:dyDescent="0.15">
      <c r="A621" s="66" t="s">
        <v>32</v>
      </c>
      <c r="B621" s="88">
        <f t="shared" si="49"/>
        <v>19372</v>
      </c>
      <c r="C621" s="89" t="s">
        <v>22</v>
      </c>
      <c r="D621" s="89" t="s">
        <v>22</v>
      </c>
      <c r="E621" s="89" t="s">
        <v>22</v>
      </c>
      <c r="F621" s="88">
        <v>6785</v>
      </c>
      <c r="G621" s="67">
        <v>7858</v>
      </c>
      <c r="H621" s="67">
        <v>2510</v>
      </c>
      <c r="I621" s="67">
        <v>36</v>
      </c>
      <c r="J621" s="67">
        <v>2183</v>
      </c>
      <c r="K621" s="88"/>
      <c r="L621" s="88">
        <f t="shared" si="50"/>
        <v>304745</v>
      </c>
      <c r="M621" s="89" t="s">
        <v>22</v>
      </c>
      <c r="N621" s="89" t="s">
        <v>22</v>
      </c>
      <c r="O621" s="89" t="s">
        <v>22</v>
      </c>
      <c r="P621" s="88">
        <v>54026</v>
      </c>
      <c r="Q621" s="67">
        <v>107839</v>
      </c>
      <c r="R621" s="67">
        <v>70670</v>
      </c>
      <c r="S621" s="67">
        <v>372</v>
      </c>
      <c r="T621" s="67">
        <v>71838</v>
      </c>
    </row>
    <row r="622" spans="1:21" s="68" customFormat="1" ht="9" customHeight="1" x14ac:dyDescent="0.15">
      <c r="A622" s="69" t="s">
        <v>33</v>
      </c>
      <c r="B622" s="102">
        <f t="shared" si="49"/>
        <v>19399</v>
      </c>
      <c r="C622" s="103" t="s">
        <v>22</v>
      </c>
      <c r="D622" s="103" t="s">
        <v>22</v>
      </c>
      <c r="E622" s="103" t="s">
        <v>22</v>
      </c>
      <c r="F622" s="90">
        <v>7980</v>
      </c>
      <c r="G622" s="70">
        <v>6885</v>
      </c>
      <c r="H622" s="70">
        <v>3467</v>
      </c>
      <c r="I622" s="70">
        <v>18</v>
      </c>
      <c r="J622" s="70">
        <v>1049</v>
      </c>
      <c r="K622" s="90"/>
      <c r="L622" s="102">
        <f t="shared" si="50"/>
        <v>334453</v>
      </c>
      <c r="M622" s="103" t="s">
        <v>22</v>
      </c>
      <c r="N622" s="103" t="s">
        <v>22</v>
      </c>
      <c r="O622" s="103" t="s">
        <v>22</v>
      </c>
      <c r="P622" s="90">
        <v>103341</v>
      </c>
      <c r="Q622" s="70">
        <v>51362</v>
      </c>
      <c r="R622" s="70">
        <v>166808</v>
      </c>
      <c r="S622" s="70">
        <v>621</v>
      </c>
      <c r="T622" s="70">
        <v>12321</v>
      </c>
    </row>
    <row r="623" spans="1:21" s="68" customFormat="1" ht="9" customHeight="1" x14ac:dyDescent="0.15">
      <c r="A623" s="66" t="s">
        <v>34</v>
      </c>
      <c r="B623" s="88">
        <f t="shared" si="49"/>
        <v>26990</v>
      </c>
      <c r="C623" s="89" t="s">
        <v>22</v>
      </c>
      <c r="D623" s="89" t="s">
        <v>22</v>
      </c>
      <c r="E623" s="89" t="s">
        <v>22</v>
      </c>
      <c r="F623" s="88">
        <v>13724</v>
      </c>
      <c r="G623" s="67">
        <v>7806</v>
      </c>
      <c r="H623" s="67">
        <v>3346</v>
      </c>
      <c r="I623" s="67">
        <v>53</v>
      </c>
      <c r="J623" s="67">
        <v>2061</v>
      </c>
      <c r="K623" s="88"/>
      <c r="L623" s="88">
        <f t="shared" si="50"/>
        <v>228599</v>
      </c>
      <c r="M623" s="89" t="s">
        <v>22</v>
      </c>
      <c r="N623" s="89" t="s">
        <v>22</v>
      </c>
      <c r="O623" s="89" t="s">
        <v>22</v>
      </c>
      <c r="P623" s="88">
        <v>115138</v>
      </c>
      <c r="Q623" s="67">
        <v>26679</v>
      </c>
      <c r="R623" s="67">
        <v>56484</v>
      </c>
      <c r="S623" s="67">
        <v>270</v>
      </c>
      <c r="T623" s="67">
        <v>30028</v>
      </c>
    </row>
    <row r="624" spans="1:21" s="68" customFormat="1" ht="9" customHeight="1" x14ac:dyDescent="0.15">
      <c r="A624" s="66" t="s">
        <v>35</v>
      </c>
      <c r="B624" s="88">
        <f t="shared" si="49"/>
        <v>33250</v>
      </c>
      <c r="C624" s="89" t="s">
        <v>22</v>
      </c>
      <c r="D624" s="89" t="s">
        <v>22</v>
      </c>
      <c r="E624" s="89" t="s">
        <v>22</v>
      </c>
      <c r="F624" s="88">
        <v>12607</v>
      </c>
      <c r="G624" s="67">
        <v>10064</v>
      </c>
      <c r="H624" s="67">
        <v>7790</v>
      </c>
      <c r="I624" s="67">
        <v>139</v>
      </c>
      <c r="J624" s="67">
        <v>2650</v>
      </c>
      <c r="K624" s="88"/>
      <c r="L624" s="88">
        <f t="shared" si="50"/>
        <v>654134</v>
      </c>
      <c r="M624" s="89" t="s">
        <v>22</v>
      </c>
      <c r="N624" s="89" t="s">
        <v>22</v>
      </c>
      <c r="O624" s="89" t="s">
        <v>22</v>
      </c>
      <c r="P624" s="88">
        <v>192936</v>
      </c>
      <c r="Q624" s="67">
        <v>77979</v>
      </c>
      <c r="R624" s="67">
        <v>300109</v>
      </c>
      <c r="S624" s="67">
        <v>1079</v>
      </c>
      <c r="T624" s="67">
        <v>82031</v>
      </c>
    </row>
    <row r="625" spans="1:20" s="68" customFormat="1" ht="9" customHeight="1" x14ac:dyDescent="0.15">
      <c r="A625" s="66" t="s">
        <v>36</v>
      </c>
      <c r="B625" s="88">
        <f t="shared" si="49"/>
        <v>50535</v>
      </c>
      <c r="C625" s="89" t="s">
        <v>22</v>
      </c>
      <c r="D625" s="89" t="s">
        <v>22</v>
      </c>
      <c r="E625" s="89" t="s">
        <v>22</v>
      </c>
      <c r="F625" s="88">
        <v>16956</v>
      </c>
      <c r="G625" s="67">
        <v>22968</v>
      </c>
      <c r="H625" s="67">
        <v>7355</v>
      </c>
      <c r="I625" s="67">
        <v>289</v>
      </c>
      <c r="J625" s="67">
        <v>2967</v>
      </c>
      <c r="K625" s="88"/>
      <c r="L625" s="88">
        <f t="shared" si="50"/>
        <v>920961</v>
      </c>
      <c r="M625" s="89" t="s">
        <v>22</v>
      </c>
      <c r="N625" s="89" t="s">
        <v>22</v>
      </c>
      <c r="O625" s="89" t="s">
        <v>22</v>
      </c>
      <c r="P625" s="88">
        <v>294595</v>
      </c>
      <c r="Q625" s="67">
        <v>212762</v>
      </c>
      <c r="R625" s="67">
        <v>304949</v>
      </c>
      <c r="S625" s="67">
        <v>464</v>
      </c>
      <c r="T625" s="67">
        <v>108191</v>
      </c>
    </row>
    <row r="626" spans="1:20" s="68" customFormat="1" ht="9" customHeight="1" x14ac:dyDescent="0.15">
      <c r="A626" s="69" t="s">
        <v>37</v>
      </c>
      <c r="B626" s="102">
        <f t="shared" si="49"/>
        <v>12606</v>
      </c>
      <c r="C626" s="103" t="s">
        <v>22</v>
      </c>
      <c r="D626" s="103" t="s">
        <v>22</v>
      </c>
      <c r="E626" s="103" t="s">
        <v>22</v>
      </c>
      <c r="F626" s="90">
        <v>4431</v>
      </c>
      <c r="G626" s="70">
        <v>4247</v>
      </c>
      <c r="H626" s="70">
        <v>2242</v>
      </c>
      <c r="I626" s="70">
        <v>279</v>
      </c>
      <c r="J626" s="70">
        <v>1407</v>
      </c>
      <c r="K626" s="90"/>
      <c r="L626" s="102">
        <f t="shared" si="50"/>
        <v>317248</v>
      </c>
      <c r="M626" s="103" t="s">
        <v>22</v>
      </c>
      <c r="N626" s="103" t="s">
        <v>22</v>
      </c>
      <c r="O626" s="103" t="s">
        <v>22</v>
      </c>
      <c r="P626" s="90">
        <v>143102</v>
      </c>
      <c r="Q626" s="70">
        <v>71112</v>
      </c>
      <c r="R626" s="70">
        <v>56314</v>
      </c>
      <c r="S626" s="70">
        <v>684</v>
      </c>
      <c r="T626" s="70">
        <v>46036</v>
      </c>
    </row>
    <row r="627" spans="1:20" s="68" customFormat="1" ht="9" customHeight="1" x14ac:dyDescent="0.15">
      <c r="A627" s="66" t="s">
        <v>38</v>
      </c>
      <c r="B627" s="88">
        <f t="shared" si="49"/>
        <v>9938</v>
      </c>
      <c r="C627" s="89" t="s">
        <v>22</v>
      </c>
      <c r="D627" s="89" t="s">
        <v>22</v>
      </c>
      <c r="E627" s="89" t="s">
        <v>22</v>
      </c>
      <c r="F627" s="88">
        <v>5029</v>
      </c>
      <c r="G627" s="67">
        <v>2147</v>
      </c>
      <c r="H627" s="67">
        <v>1905</v>
      </c>
      <c r="I627" s="67">
        <v>0</v>
      </c>
      <c r="J627" s="67">
        <v>857</v>
      </c>
      <c r="K627" s="88"/>
      <c r="L627" s="88">
        <f t="shared" si="50"/>
        <v>146581</v>
      </c>
      <c r="M627" s="89" t="s">
        <v>22</v>
      </c>
      <c r="N627" s="89" t="s">
        <v>22</v>
      </c>
      <c r="O627" s="89" t="s">
        <v>22</v>
      </c>
      <c r="P627" s="88">
        <v>58727</v>
      </c>
      <c r="Q627" s="67">
        <v>4842</v>
      </c>
      <c r="R627" s="67">
        <v>70058</v>
      </c>
      <c r="S627" s="67">
        <v>0</v>
      </c>
      <c r="T627" s="67">
        <v>12954</v>
      </c>
    </row>
    <row r="628" spans="1:20" s="68" customFormat="1" ht="9" customHeight="1" x14ac:dyDescent="0.15">
      <c r="A628" s="66" t="s">
        <v>39</v>
      </c>
      <c r="B628" s="88">
        <f t="shared" si="49"/>
        <v>6312</v>
      </c>
      <c r="C628" s="89" t="s">
        <v>22</v>
      </c>
      <c r="D628" s="89" t="s">
        <v>22</v>
      </c>
      <c r="E628" s="89" t="s">
        <v>22</v>
      </c>
      <c r="F628" s="88">
        <v>3200</v>
      </c>
      <c r="G628" s="67">
        <v>1328</v>
      </c>
      <c r="H628" s="67">
        <v>1784</v>
      </c>
      <c r="I628" s="67">
        <v>0</v>
      </c>
      <c r="J628" s="67">
        <v>0</v>
      </c>
      <c r="K628" s="88"/>
      <c r="L628" s="88">
        <f t="shared" si="50"/>
        <v>106732</v>
      </c>
      <c r="M628" s="89" t="s">
        <v>22</v>
      </c>
      <c r="N628" s="89" t="s">
        <v>22</v>
      </c>
      <c r="O628" s="89" t="s">
        <v>22</v>
      </c>
      <c r="P628" s="88">
        <v>51940</v>
      </c>
      <c r="Q628" s="67">
        <v>3437</v>
      </c>
      <c r="R628" s="67">
        <v>51355</v>
      </c>
      <c r="S628" s="67">
        <v>0</v>
      </c>
      <c r="T628" s="67">
        <v>0</v>
      </c>
    </row>
    <row r="629" spans="1:20" s="68" customFormat="1" ht="9" customHeight="1" x14ac:dyDescent="0.15">
      <c r="A629" s="66" t="s">
        <v>40</v>
      </c>
      <c r="B629" s="88">
        <f t="shared" si="49"/>
        <v>14971</v>
      </c>
      <c r="C629" s="89" t="s">
        <v>22</v>
      </c>
      <c r="D629" s="89" t="s">
        <v>22</v>
      </c>
      <c r="E629" s="89" t="s">
        <v>22</v>
      </c>
      <c r="F629" s="88">
        <v>6067</v>
      </c>
      <c r="G629" s="67">
        <v>4329</v>
      </c>
      <c r="H629" s="67">
        <v>3109</v>
      </c>
      <c r="I629" s="67">
        <v>117</v>
      </c>
      <c r="J629" s="67">
        <v>1349</v>
      </c>
      <c r="K629" s="88"/>
      <c r="L629" s="88">
        <f t="shared" si="50"/>
        <v>294515</v>
      </c>
      <c r="M629" s="89" t="s">
        <v>22</v>
      </c>
      <c r="N629" s="89" t="s">
        <v>22</v>
      </c>
      <c r="O629" s="89" t="s">
        <v>22</v>
      </c>
      <c r="P629" s="88">
        <v>77568</v>
      </c>
      <c r="Q629" s="67">
        <v>60629</v>
      </c>
      <c r="R629" s="67">
        <v>114024</v>
      </c>
      <c r="S629" s="67">
        <v>629</v>
      </c>
      <c r="T629" s="67">
        <v>41665</v>
      </c>
    </row>
    <row r="630" spans="1:20" s="68" customFormat="1" ht="9" customHeight="1" x14ac:dyDescent="0.15">
      <c r="A630" s="69" t="s">
        <v>41</v>
      </c>
      <c r="B630" s="102">
        <f t="shared" si="49"/>
        <v>11406</v>
      </c>
      <c r="C630" s="103" t="s">
        <v>22</v>
      </c>
      <c r="D630" s="103" t="s">
        <v>22</v>
      </c>
      <c r="E630" s="103" t="s">
        <v>22</v>
      </c>
      <c r="F630" s="90">
        <v>3043</v>
      </c>
      <c r="G630" s="70">
        <v>4134</v>
      </c>
      <c r="H630" s="70">
        <v>3764</v>
      </c>
      <c r="I630" s="70">
        <v>0</v>
      </c>
      <c r="J630" s="70">
        <v>465</v>
      </c>
      <c r="K630" s="90"/>
      <c r="L630" s="102">
        <f t="shared" si="50"/>
        <v>188314</v>
      </c>
      <c r="M630" s="103" t="s">
        <v>22</v>
      </c>
      <c r="N630" s="103" t="s">
        <v>22</v>
      </c>
      <c r="O630" s="103" t="s">
        <v>22</v>
      </c>
      <c r="P630" s="90">
        <v>53333</v>
      </c>
      <c r="Q630" s="70">
        <v>13414</v>
      </c>
      <c r="R630" s="70">
        <v>116790</v>
      </c>
      <c r="S630" s="70">
        <v>0</v>
      </c>
      <c r="T630" s="70">
        <v>4777</v>
      </c>
    </row>
    <row r="631" spans="1:20" s="68" customFormat="1" ht="9" customHeight="1" x14ac:dyDescent="0.15">
      <c r="A631" s="66" t="s">
        <v>42</v>
      </c>
      <c r="B631" s="88">
        <f t="shared" si="49"/>
        <v>8424</v>
      </c>
      <c r="C631" s="89" t="s">
        <v>22</v>
      </c>
      <c r="D631" s="89" t="s">
        <v>22</v>
      </c>
      <c r="E631" s="89" t="s">
        <v>22</v>
      </c>
      <c r="F631" s="88">
        <v>3576</v>
      </c>
      <c r="G631" s="67">
        <v>1763</v>
      </c>
      <c r="H631" s="67">
        <v>2309</v>
      </c>
      <c r="I631" s="67">
        <v>23</v>
      </c>
      <c r="J631" s="67">
        <v>753</v>
      </c>
      <c r="K631" s="88"/>
      <c r="L631" s="88">
        <f t="shared" si="50"/>
        <v>210765</v>
      </c>
      <c r="M631" s="89" t="s">
        <v>22</v>
      </c>
      <c r="N631" s="89" t="s">
        <v>22</v>
      </c>
      <c r="O631" s="89" t="s">
        <v>22</v>
      </c>
      <c r="P631" s="88">
        <v>61497</v>
      </c>
      <c r="Q631" s="67">
        <v>28667</v>
      </c>
      <c r="R631" s="67">
        <v>88607</v>
      </c>
      <c r="S631" s="67">
        <v>22</v>
      </c>
      <c r="T631" s="67">
        <v>31972</v>
      </c>
    </row>
    <row r="632" spans="1:20" s="68" customFormat="1" ht="9" customHeight="1" x14ac:dyDescent="0.15">
      <c r="A632" s="66" t="s">
        <v>43</v>
      </c>
      <c r="B632" s="88">
        <f t="shared" si="49"/>
        <v>6441</v>
      </c>
      <c r="C632" s="89" t="s">
        <v>22</v>
      </c>
      <c r="D632" s="89" t="s">
        <v>22</v>
      </c>
      <c r="E632" s="89" t="s">
        <v>22</v>
      </c>
      <c r="F632" s="88">
        <v>3452</v>
      </c>
      <c r="G632" s="67">
        <v>1540</v>
      </c>
      <c r="H632" s="67">
        <v>614</v>
      </c>
      <c r="I632" s="67">
        <v>0</v>
      </c>
      <c r="J632" s="67">
        <v>835</v>
      </c>
      <c r="K632" s="88"/>
      <c r="L632" s="88">
        <f t="shared" si="50"/>
        <v>103002</v>
      </c>
      <c r="M632" s="89" t="s">
        <v>22</v>
      </c>
      <c r="N632" s="89" t="s">
        <v>22</v>
      </c>
      <c r="O632" s="89" t="s">
        <v>22</v>
      </c>
      <c r="P632" s="88">
        <v>43339</v>
      </c>
      <c r="Q632" s="67">
        <v>10509</v>
      </c>
      <c r="R632" s="67">
        <v>28555</v>
      </c>
      <c r="S632" s="67">
        <v>0</v>
      </c>
      <c r="T632" s="67">
        <v>20599</v>
      </c>
    </row>
    <row r="633" spans="1:20" s="68" customFormat="1" ht="9" customHeight="1" x14ac:dyDescent="0.15">
      <c r="A633" s="66" t="s">
        <v>44</v>
      </c>
      <c r="B633" s="88">
        <f t="shared" si="49"/>
        <v>17529</v>
      </c>
      <c r="C633" s="89" t="s">
        <v>22</v>
      </c>
      <c r="D633" s="89" t="s">
        <v>22</v>
      </c>
      <c r="E633" s="89" t="s">
        <v>22</v>
      </c>
      <c r="F633" s="88">
        <v>4639</v>
      </c>
      <c r="G633" s="67">
        <v>8144</v>
      </c>
      <c r="H633" s="67">
        <v>3322</v>
      </c>
      <c r="I633" s="67">
        <v>67</v>
      </c>
      <c r="J633" s="67">
        <v>1357</v>
      </c>
      <c r="K633" s="88"/>
      <c r="L633" s="88">
        <f t="shared" si="50"/>
        <v>366614</v>
      </c>
      <c r="M633" s="89" t="s">
        <v>22</v>
      </c>
      <c r="N633" s="89" t="s">
        <v>22</v>
      </c>
      <c r="O633" s="89" t="s">
        <v>22</v>
      </c>
      <c r="P633" s="88">
        <v>115392</v>
      </c>
      <c r="Q633" s="67">
        <v>79349</v>
      </c>
      <c r="R633" s="67">
        <v>146085</v>
      </c>
      <c r="S633" s="67">
        <v>403</v>
      </c>
      <c r="T633" s="67">
        <v>25385</v>
      </c>
    </row>
    <row r="634" spans="1:20" s="68" customFormat="1" ht="9" customHeight="1" x14ac:dyDescent="0.15">
      <c r="A634" s="69" t="s">
        <v>45</v>
      </c>
      <c r="B634" s="102">
        <f t="shared" si="49"/>
        <v>7076</v>
      </c>
      <c r="C634" s="103" t="s">
        <v>22</v>
      </c>
      <c r="D634" s="103" t="s">
        <v>22</v>
      </c>
      <c r="E634" s="103" t="s">
        <v>22</v>
      </c>
      <c r="F634" s="90">
        <v>1895</v>
      </c>
      <c r="G634" s="70">
        <v>2004</v>
      </c>
      <c r="H634" s="70">
        <v>1907</v>
      </c>
      <c r="I634" s="70">
        <v>3</v>
      </c>
      <c r="J634" s="70">
        <v>1267</v>
      </c>
      <c r="K634" s="90"/>
      <c r="L634" s="102">
        <f t="shared" si="50"/>
        <v>195475</v>
      </c>
      <c r="M634" s="103" t="s">
        <v>22</v>
      </c>
      <c r="N634" s="103" t="s">
        <v>22</v>
      </c>
      <c r="O634" s="103" t="s">
        <v>22</v>
      </c>
      <c r="P634" s="90">
        <v>20277</v>
      </c>
      <c r="Q634" s="70">
        <v>24404</v>
      </c>
      <c r="R634" s="70">
        <v>95342</v>
      </c>
      <c r="S634" s="70">
        <v>80</v>
      </c>
      <c r="T634" s="70">
        <v>55372</v>
      </c>
    </row>
    <row r="635" spans="1:20" s="68" customFormat="1" ht="9" customHeight="1" x14ac:dyDescent="0.15">
      <c r="A635" s="66" t="s">
        <v>46</v>
      </c>
      <c r="B635" s="88">
        <f t="shared" si="49"/>
        <v>33816</v>
      </c>
      <c r="C635" s="89" t="s">
        <v>22</v>
      </c>
      <c r="D635" s="89" t="s">
        <v>22</v>
      </c>
      <c r="E635" s="89" t="s">
        <v>22</v>
      </c>
      <c r="F635" s="88">
        <v>14687</v>
      </c>
      <c r="G635" s="67">
        <v>9165</v>
      </c>
      <c r="H635" s="67">
        <v>8659</v>
      </c>
      <c r="I635" s="67">
        <v>193</v>
      </c>
      <c r="J635" s="67">
        <v>1112</v>
      </c>
      <c r="K635" s="88"/>
      <c r="L635" s="88">
        <f t="shared" si="50"/>
        <v>607859</v>
      </c>
      <c r="M635" s="89" t="s">
        <v>22</v>
      </c>
      <c r="N635" s="89" t="s">
        <v>22</v>
      </c>
      <c r="O635" s="89" t="s">
        <v>22</v>
      </c>
      <c r="P635" s="88">
        <v>208918</v>
      </c>
      <c r="Q635" s="67">
        <v>96405</v>
      </c>
      <c r="R635" s="67">
        <v>253979</v>
      </c>
      <c r="S635" s="67">
        <v>1956</v>
      </c>
      <c r="T635" s="67">
        <v>46601</v>
      </c>
    </row>
    <row r="636" spans="1:20" s="68" customFormat="1" ht="9" customHeight="1" x14ac:dyDescent="0.15">
      <c r="A636" s="66" t="s">
        <v>47</v>
      </c>
      <c r="B636" s="88">
        <f t="shared" si="49"/>
        <v>6425</v>
      </c>
      <c r="C636" s="89" t="s">
        <v>22</v>
      </c>
      <c r="D636" s="89" t="s">
        <v>22</v>
      </c>
      <c r="E636" s="89" t="s">
        <v>22</v>
      </c>
      <c r="F636" s="88">
        <v>2624</v>
      </c>
      <c r="G636" s="67">
        <v>2656</v>
      </c>
      <c r="H636" s="67">
        <v>814</v>
      </c>
      <c r="I636" s="67">
        <v>35</v>
      </c>
      <c r="J636" s="67">
        <v>296</v>
      </c>
      <c r="K636" s="88"/>
      <c r="L636" s="88">
        <f t="shared" si="50"/>
        <v>145579</v>
      </c>
      <c r="M636" s="89" t="s">
        <v>22</v>
      </c>
      <c r="N636" s="89" t="s">
        <v>22</v>
      </c>
      <c r="O636" s="89" t="s">
        <v>22</v>
      </c>
      <c r="P636" s="88">
        <v>13288</v>
      </c>
      <c r="Q636" s="67">
        <v>61630</v>
      </c>
      <c r="R636" s="67">
        <v>27899</v>
      </c>
      <c r="S636" s="67">
        <v>92</v>
      </c>
      <c r="T636" s="67">
        <v>42670</v>
      </c>
    </row>
    <row r="637" spans="1:20" s="68" customFormat="1" ht="9" customHeight="1" x14ac:dyDescent="0.15">
      <c r="A637" s="66" t="s">
        <v>48</v>
      </c>
      <c r="B637" s="88">
        <f t="shared" si="49"/>
        <v>3385</v>
      </c>
      <c r="C637" s="89" t="s">
        <v>22</v>
      </c>
      <c r="D637" s="89" t="s">
        <v>22</v>
      </c>
      <c r="E637" s="89" t="s">
        <v>22</v>
      </c>
      <c r="F637" s="88">
        <v>626</v>
      </c>
      <c r="G637" s="67">
        <v>1204</v>
      </c>
      <c r="H637" s="67">
        <v>1406</v>
      </c>
      <c r="I637" s="67">
        <v>0</v>
      </c>
      <c r="J637" s="67">
        <v>149</v>
      </c>
      <c r="K637" s="88"/>
      <c r="L637" s="88">
        <f t="shared" si="50"/>
        <v>133669</v>
      </c>
      <c r="M637" s="89" t="s">
        <v>22</v>
      </c>
      <c r="N637" s="89" t="s">
        <v>22</v>
      </c>
      <c r="O637" s="89" t="s">
        <v>22</v>
      </c>
      <c r="P637" s="88">
        <v>23364</v>
      </c>
      <c r="Q637" s="67">
        <v>23365</v>
      </c>
      <c r="R637" s="67">
        <v>85571</v>
      </c>
      <c r="S637" s="67">
        <v>0</v>
      </c>
      <c r="T637" s="67">
        <v>1369</v>
      </c>
    </row>
    <row r="638" spans="1:20" s="68" customFormat="1" ht="9" customHeight="1" x14ac:dyDescent="0.15">
      <c r="A638" s="69" t="s">
        <v>49</v>
      </c>
      <c r="B638" s="102">
        <f t="shared" si="49"/>
        <v>9306</v>
      </c>
      <c r="C638" s="103" t="s">
        <v>22</v>
      </c>
      <c r="D638" s="103" t="s">
        <v>22</v>
      </c>
      <c r="E638" s="103" t="s">
        <v>22</v>
      </c>
      <c r="F638" s="90">
        <v>4091</v>
      </c>
      <c r="G638" s="70">
        <v>3248</v>
      </c>
      <c r="H638" s="70">
        <v>1474</v>
      </c>
      <c r="I638" s="70">
        <v>5</v>
      </c>
      <c r="J638" s="70">
        <v>488</v>
      </c>
      <c r="K638" s="90"/>
      <c r="L638" s="102">
        <f t="shared" si="50"/>
        <v>239608</v>
      </c>
      <c r="M638" s="103" t="s">
        <v>22</v>
      </c>
      <c r="N638" s="103" t="s">
        <v>22</v>
      </c>
      <c r="O638" s="103" t="s">
        <v>22</v>
      </c>
      <c r="P638" s="90">
        <v>49923</v>
      </c>
      <c r="Q638" s="70">
        <v>83103</v>
      </c>
      <c r="R638" s="70">
        <v>71920</v>
      </c>
      <c r="S638" s="70">
        <v>86</v>
      </c>
      <c r="T638" s="70">
        <v>34576</v>
      </c>
    </row>
    <row r="639" spans="1:20" s="72" customFormat="1" ht="9" customHeight="1" x14ac:dyDescent="0.15">
      <c r="A639" s="71" t="s">
        <v>50</v>
      </c>
      <c r="B639" s="88">
        <f t="shared" si="49"/>
        <v>3972</v>
      </c>
      <c r="C639" s="89" t="s">
        <v>22</v>
      </c>
      <c r="D639" s="89" t="s">
        <v>22</v>
      </c>
      <c r="E639" s="89" t="s">
        <v>22</v>
      </c>
      <c r="F639" s="92">
        <v>2262</v>
      </c>
      <c r="G639" s="67">
        <v>60</v>
      </c>
      <c r="H639" s="67">
        <v>1650</v>
      </c>
      <c r="I639" s="67">
        <v>0</v>
      </c>
      <c r="J639" s="67">
        <v>0</v>
      </c>
      <c r="K639" s="92"/>
      <c r="L639" s="88">
        <f t="shared" si="50"/>
        <v>106098</v>
      </c>
      <c r="M639" s="89" t="s">
        <v>22</v>
      </c>
      <c r="N639" s="89" t="s">
        <v>22</v>
      </c>
      <c r="O639" s="89" t="s">
        <v>22</v>
      </c>
      <c r="P639" s="92">
        <v>47300</v>
      </c>
      <c r="Q639" s="67">
        <v>17014</v>
      </c>
      <c r="R639" s="67">
        <v>41784</v>
      </c>
      <c r="S639" s="67">
        <v>0</v>
      </c>
      <c r="T639" s="67">
        <v>0</v>
      </c>
    </row>
    <row r="640" spans="1:20" s="68" customFormat="1" ht="9" customHeight="1" x14ac:dyDescent="0.15">
      <c r="A640" s="66" t="s">
        <v>51</v>
      </c>
      <c r="B640" s="88">
        <f t="shared" si="49"/>
        <v>10800</v>
      </c>
      <c r="C640" s="89" t="s">
        <v>22</v>
      </c>
      <c r="D640" s="89" t="s">
        <v>22</v>
      </c>
      <c r="E640" s="89" t="s">
        <v>22</v>
      </c>
      <c r="F640" s="88">
        <v>3424</v>
      </c>
      <c r="G640" s="67">
        <v>4924</v>
      </c>
      <c r="H640" s="67">
        <v>1858</v>
      </c>
      <c r="I640" s="67">
        <v>0</v>
      </c>
      <c r="J640" s="67">
        <v>594</v>
      </c>
      <c r="K640" s="88"/>
      <c r="L640" s="88">
        <f t="shared" si="50"/>
        <v>252570</v>
      </c>
      <c r="M640" s="89" t="s">
        <v>22</v>
      </c>
      <c r="N640" s="89" t="s">
        <v>22</v>
      </c>
      <c r="O640" s="89" t="s">
        <v>22</v>
      </c>
      <c r="P640" s="88">
        <v>63631</v>
      </c>
      <c r="Q640" s="67">
        <v>111762</v>
      </c>
      <c r="R640" s="67">
        <v>32030</v>
      </c>
      <c r="S640" s="67">
        <v>0</v>
      </c>
      <c r="T640" s="67">
        <v>45147</v>
      </c>
    </row>
    <row r="641" spans="1:21" s="68" customFormat="1" ht="9" customHeight="1" x14ac:dyDescent="0.15">
      <c r="A641" s="66" t="s">
        <v>52</v>
      </c>
      <c r="B641" s="88">
        <f t="shared" si="49"/>
        <v>4345</v>
      </c>
      <c r="C641" s="89" t="s">
        <v>22</v>
      </c>
      <c r="D641" s="89" t="s">
        <v>22</v>
      </c>
      <c r="E641" s="89" t="s">
        <v>22</v>
      </c>
      <c r="F641" s="88">
        <v>1279</v>
      </c>
      <c r="G641" s="67">
        <v>994</v>
      </c>
      <c r="H641" s="67">
        <v>1635</v>
      </c>
      <c r="I641" s="67">
        <v>82</v>
      </c>
      <c r="J641" s="67">
        <v>355</v>
      </c>
      <c r="K641" s="88"/>
      <c r="L641" s="88">
        <f t="shared" si="50"/>
        <v>139595</v>
      </c>
      <c r="M641" s="89" t="s">
        <v>22</v>
      </c>
      <c r="N641" s="89" t="s">
        <v>22</v>
      </c>
      <c r="O641" s="89" t="s">
        <v>22</v>
      </c>
      <c r="P641" s="88">
        <v>25776</v>
      </c>
      <c r="Q641" s="67">
        <v>29290</v>
      </c>
      <c r="R641" s="67">
        <v>75401</v>
      </c>
      <c r="S641" s="67">
        <v>72</v>
      </c>
      <c r="T641" s="67">
        <v>9056</v>
      </c>
    </row>
    <row r="642" spans="1:21" s="68" customFormat="1" ht="9" customHeight="1" x14ac:dyDescent="0.15">
      <c r="A642" s="69" t="s">
        <v>53</v>
      </c>
      <c r="B642" s="102">
        <f t="shared" si="49"/>
        <v>13197</v>
      </c>
      <c r="C642" s="91" t="s">
        <v>22</v>
      </c>
      <c r="D642" s="91" t="s">
        <v>22</v>
      </c>
      <c r="E642" s="91" t="s">
        <v>22</v>
      </c>
      <c r="F642" s="90">
        <v>7496</v>
      </c>
      <c r="G642" s="70">
        <v>1958</v>
      </c>
      <c r="H642" s="70">
        <v>2882</v>
      </c>
      <c r="I642" s="70">
        <v>0</v>
      </c>
      <c r="J642" s="70">
        <v>861</v>
      </c>
      <c r="K642" s="90"/>
      <c r="L642" s="102">
        <f t="shared" si="50"/>
        <v>319554</v>
      </c>
      <c r="M642" s="103" t="s">
        <v>22</v>
      </c>
      <c r="N642" s="103" t="s">
        <v>22</v>
      </c>
      <c r="O642" s="103" t="s">
        <v>22</v>
      </c>
      <c r="P642" s="90">
        <v>105051</v>
      </c>
      <c r="Q642" s="70">
        <v>108243</v>
      </c>
      <c r="R642" s="70">
        <v>80402</v>
      </c>
      <c r="S642" s="70">
        <v>0</v>
      </c>
      <c r="T642" s="70">
        <v>25858</v>
      </c>
    </row>
    <row r="643" spans="1:21" s="65" customFormat="1" ht="9" customHeight="1" x14ac:dyDescent="0.15">
      <c r="A643" s="71"/>
      <c r="B643" s="92"/>
      <c r="C643" s="92"/>
      <c r="D643" s="92"/>
      <c r="E643" s="92"/>
      <c r="F643" s="92"/>
      <c r="G643" s="67"/>
      <c r="H643" s="67"/>
      <c r="I643" s="67"/>
      <c r="J643" s="67"/>
      <c r="K643" s="92"/>
      <c r="L643" s="92"/>
      <c r="M643" s="92"/>
      <c r="N643" s="92"/>
      <c r="O643" s="92"/>
      <c r="P643" s="92"/>
      <c r="Q643" s="67"/>
      <c r="R643" s="67"/>
      <c r="S643" s="67"/>
      <c r="T643" s="67"/>
    </row>
    <row r="644" spans="1:21" s="65" customFormat="1" ht="9" customHeight="1" x14ac:dyDescent="0.25">
      <c r="A644" s="96">
        <v>2017</v>
      </c>
      <c r="B644" s="97"/>
      <c r="C644" s="98"/>
      <c r="D644" s="97"/>
      <c r="E644" s="97"/>
      <c r="F644" s="97"/>
      <c r="G644" s="64"/>
      <c r="H644" s="64"/>
      <c r="I644" s="64"/>
      <c r="J644" s="64"/>
      <c r="K644" s="97"/>
      <c r="L644" s="97"/>
      <c r="M644" s="97"/>
      <c r="N644" s="97"/>
      <c r="O644" s="97"/>
      <c r="P644" s="97"/>
      <c r="Q644" s="64"/>
      <c r="R644" s="64"/>
      <c r="S644" s="64"/>
      <c r="T644" s="64"/>
    </row>
    <row r="645" spans="1:21" s="65" customFormat="1" ht="9" customHeight="1" x14ac:dyDescent="0.25">
      <c r="A645" s="99" t="s">
        <v>21</v>
      </c>
      <c r="B645" s="64">
        <f t="shared" ref="B645" si="51">SUM(B647:B678)</f>
        <v>526823</v>
      </c>
      <c r="C645" s="64" t="s">
        <v>22</v>
      </c>
      <c r="D645" s="64" t="s">
        <v>22</v>
      </c>
      <c r="E645" s="64" t="s">
        <v>22</v>
      </c>
      <c r="F645" s="64">
        <f t="shared" ref="F645:J645" si="52">SUM(F647:F678)</f>
        <v>185239</v>
      </c>
      <c r="G645" s="64">
        <f t="shared" si="52"/>
        <v>162420</v>
      </c>
      <c r="H645" s="64">
        <f t="shared" si="52"/>
        <v>142556</v>
      </c>
      <c r="I645" s="64">
        <f t="shared" si="52"/>
        <v>3517</v>
      </c>
      <c r="J645" s="64">
        <f t="shared" si="52"/>
        <v>33091</v>
      </c>
      <c r="K645" s="64"/>
      <c r="L645" s="64">
        <f>SUM(L647:L678)</f>
        <v>10240645</v>
      </c>
      <c r="M645" s="64" t="s">
        <v>22</v>
      </c>
      <c r="N645" s="64" t="s">
        <v>22</v>
      </c>
      <c r="O645" s="64" t="s">
        <v>22</v>
      </c>
      <c r="P645" s="64">
        <f t="shared" ref="P645:T645" si="53">SUM(P647:P678)</f>
        <v>2819399</v>
      </c>
      <c r="Q645" s="64">
        <f t="shared" si="53"/>
        <v>1349518</v>
      </c>
      <c r="R645" s="64">
        <f t="shared" si="53"/>
        <v>4827554</v>
      </c>
      <c r="S645" s="64">
        <f t="shared" si="53"/>
        <v>36658</v>
      </c>
      <c r="T645" s="64">
        <f t="shared" si="53"/>
        <v>1207516</v>
      </c>
      <c r="U645" s="101"/>
    </row>
    <row r="646" spans="1:21" s="65" customFormat="1" ht="3" customHeight="1" x14ac:dyDescent="0.25">
      <c r="A646" s="99"/>
      <c r="B646" s="64"/>
      <c r="C646" s="64"/>
      <c r="D646" s="64"/>
      <c r="E646" s="64"/>
      <c r="F646" s="64"/>
      <c r="G646" s="64"/>
      <c r="H646" s="64"/>
      <c r="I646" s="64"/>
      <c r="J646" s="64"/>
      <c r="K646" s="64"/>
      <c r="L646" s="64"/>
      <c r="M646" s="64"/>
      <c r="N646" s="64"/>
      <c r="O646" s="64"/>
      <c r="P646" s="64"/>
      <c r="Q646" s="64"/>
      <c r="R646" s="64"/>
      <c r="S646" s="64"/>
      <c r="T646" s="64"/>
    </row>
    <row r="647" spans="1:21" s="68" customFormat="1" ht="9" x14ac:dyDescent="0.15">
      <c r="A647" s="66" t="s">
        <v>23</v>
      </c>
      <c r="B647" s="88">
        <f>SUM(C647:J647)</f>
        <v>5507</v>
      </c>
      <c r="C647" s="89" t="s">
        <v>22</v>
      </c>
      <c r="D647" s="89" t="s">
        <v>22</v>
      </c>
      <c r="E647" s="89" t="s">
        <v>22</v>
      </c>
      <c r="F647" s="88">
        <v>2198</v>
      </c>
      <c r="G647" s="67">
        <v>1754</v>
      </c>
      <c r="H647" s="67">
        <v>1448</v>
      </c>
      <c r="I647" s="67">
        <v>0</v>
      </c>
      <c r="J647" s="67">
        <v>107</v>
      </c>
      <c r="K647" s="88"/>
      <c r="L647" s="88">
        <f>SUM(M647:T647)</f>
        <v>131906</v>
      </c>
      <c r="M647" s="89" t="s">
        <v>22</v>
      </c>
      <c r="N647" s="89" t="s">
        <v>22</v>
      </c>
      <c r="O647" s="89" t="s">
        <v>22</v>
      </c>
      <c r="P647" s="88">
        <v>19469</v>
      </c>
      <c r="Q647" s="67">
        <v>48450</v>
      </c>
      <c r="R647" s="67">
        <v>57294</v>
      </c>
      <c r="S647" s="67">
        <v>0</v>
      </c>
      <c r="T647" s="67">
        <v>6693</v>
      </c>
    </row>
    <row r="648" spans="1:21" s="68" customFormat="1" ht="9" customHeight="1" x14ac:dyDescent="0.15">
      <c r="A648" s="66" t="s">
        <v>24</v>
      </c>
      <c r="B648" s="88">
        <f t="shared" ref="B648:B678" si="54">SUM(C648:J648)</f>
        <v>8681</v>
      </c>
      <c r="C648" s="89" t="s">
        <v>22</v>
      </c>
      <c r="D648" s="89" t="s">
        <v>22</v>
      </c>
      <c r="E648" s="89" t="s">
        <v>22</v>
      </c>
      <c r="F648" s="88">
        <v>2502</v>
      </c>
      <c r="G648" s="67">
        <v>851</v>
      </c>
      <c r="H648" s="67">
        <v>4812</v>
      </c>
      <c r="I648" s="67">
        <v>68</v>
      </c>
      <c r="J648" s="67">
        <v>448</v>
      </c>
      <c r="K648" s="88"/>
      <c r="L648" s="88">
        <f t="shared" ref="L648:L678" si="55">SUM(M648:T648)</f>
        <v>304431</v>
      </c>
      <c r="M648" s="89" t="s">
        <v>22</v>
      </c>
      <c r="N648" s="89" t="s">
        <v>22</v>
      </c>
      <c r="O648" s="89" t="s">
        <v>22</v>
      </c>
      <c r="P648" s="88">
        <v>32705</v>
      </c>
      <c r="Q648" s="67">
        <v>13539</v>
      </c>
      <c r="R648" s="67">
        <v>207473</v>
      </c>
      <c r="S648" s="67">
        <v>194</v>
      </c>
      <c r="T648" s="67">
        <v>50520</v>
      </c>
    </row>
    <row r="649" spans="1:21" s="68" customFormat="1" ht="9" customHeight="1" x14ac:dyDescent="0.15">
      <c r="A649" s="66" t="s">
        <v>25</v>
      </c>
      <c r="B649" s="88">
        <f t="shared" si="54"/>
        <v>5682</v>
      </c>
      <c r="C649" s="89" t="s">
        <v>22</v>
      </c>
      <c r="D649" s="89" t="s">
        <v>22</v>
      </c>
      <c r="E649" s="89" t="s">
        <v>22</v>
      </c>
      <c r="F649" s="88">
        <v>2436</v>
      </c>
      <c r="G649" s="67">
        <v>716</v>
      </c>
      <c r="H649" s="67">
        <v>1815</v>
      </c>
      <c r="I649" s="67">
        <v>20</v>
      </c>
      <c r="J649" s="67">
        <v>695</v>
      </c>
      <c r="K649" s="88"/>
      <c r="L649" s="88">
        <f t="shared" si="55"/>
        <v>177956</v>
      </c>
      <c r="M649" s="89" t="s">
        <v>22</v>
      </c>
      <c r="N649" s="89" t="s">
        <v>22</v>
      </c>
      <c r="O649" s="89" t="s">
        <v>22</v>
      </c>
      <c r="P649" s="88">
        <v>46816</v>
      </c>
      <c r="Q649" s="67">
        <v>24521</v>
      </c>
      <c r="R649" s="67">
        <v>63639</v>
      </c>
      <c r="S649" s="67">
        <v>59</v>
      </c>
      <c r="T649" s="67">
        <v>42921</v>
      </c>
    </row>
    <row r="650" spans="1:21" s="68" customFormat="1" ht="9" customHeight="1" x14ac:dyDescent="0.15">
      <c r="A650" s="69" t="s">
        <v>26</v>
      </c>
      <c r="B650" s="102">
        <f t="shared" si="54"/>
        <v>4961</v>
      </c>
      <c r="C650" s="103" t="s">
        <v>22</v>
      </c>
      <c r="D650" s="103" t="s">
        <v>22</v>
      </c>
      <c r="E650" s="103" t="s">
        <v>22</v>
      </c>
      <c r="F650" s="90">
        <v>1170</v>
      </c>
      <c r="G650" s="70">
        <v>1827</v>
      </c>
      <c r="H650" s="70">
        <v>1950</v>
      </c>
      <c r="I650" s="70">
        <v>0</v>
      </c>
      <c r="J650" s="70">
        <v>14</v>
      </c>
      <c r="K650" s="90"/>
      <c r="L650" s="102">
        <f t="shared" si="55"/>
        <v>111153</v>
      </c>
      <c r="M650" s="103" t="s">
        <v>22</v>
      </c>
      <c r="N650" s="103" t="s">
        <v>22</v>
      </c>
      <c r="O650" s="103" t="s">
        <v>22</v>
      </c>
      <c r="P650" s="90">
        <v>14807</v>
      </c>
      <c r="Q650" s="70">
        <v>27217</v>
      </c>
      <c r="R650" s="70">
        <v>68599</v>
      </c>
      <c r="S650" s="70">
        <v>0</v>
      </c>
      <c r="T650" s="70">
        <v>530</v>
      </c>
    </row>
    <row r="651" spans="1:21" s="68" customFormat="1" ht="9" customHeight="1" x14ac:dyDescent="0.15">
      <c r="A651" s="66" t="s">
        <v>27</v>
      </c>
      <c r="B651" s="88">
        <f t="shared" si="54"/>
        <v>12372</v>
      </c>
      <c r="C651" s="89" t="s">
        <v>22</v>
      </c>
      <c r="D651" s="89" t="s">
        <v>22</v>
      </c>
      <c r="E651" s="89" t="s">
        <v>22</v>
      </c>
      <c r="F651" s="88">
        <v>4260</v>
      </c>
      <c r="G651" s="67">
        <v>3340</v>
      </c>
      <c r="H651" s="67">
        <v>4405</v>
      </c>
      <c r="I651" s="67">
        <v>6</v>
      </c>
      <c r="J651" s="67">
        <v>361</v>
      </c>
      <c r="K651" s="88"/>
      <c r="L651" s="88">
        <f t="shared" si="55"/>
        <v>301033</v>
      </c>
      <c r="M651" s="89" t="s">
        <v>22</v>
      </c>
      <c r="N651" s="89" t="s">
        <v>22</v>
      </c>
      <c r="O651" s="89" t="s">
        <v>22</v>
      </c>
      <c r="P651" s="88">
        <v>75622</v>
      </c>
      <c r="Q651" s="67">
        <v>24742</v>
      </c>
      <c r="R651" s="67">
        <v>176575</v>
      </c>
      <c r="S651" s="67">
        <v>0</v>
      </c>
      <c r="T651" s="67">
        <v>24094</v>
      </c>
    </row>
    <row r="652" spans="1:21" s="68" customFormat="1" ht="9" customHeight="1" x14ac:dyDescent="0.15">
      <c r="A652" s="66" t="s">
        <v>28</v>
      </c>
      <c r="B652" s="88">
        <f t="shared" si="54"/>
        <v>11575</v>
      </c>
      <c r="C652" s="89" t="s">
        <v>22</v>
      </c>
      <c r="D652" s="89" t="s">
        <v>22</v>
      </c>
      <c r="E652" s="89" t="s">
        <v>22</v>
      </c>
      <c r="F652" s="88">
        <v>3574</v>
      </c>
      <c r="G652" s="67">
        <v>5018</v>
      </c>
      <c r="H652" s="67">
        <v>2701</v>
      </c>
      <c r="I652" s="67">
        <v>12</v>
      </c>
      <c r="J652" s="67">
        <v>270</v>
      </c>
      <c r="K652" s="88"/>
      <c r="L652" s="88">
        <f t="shared" si="55"/>
        <v>180930</v>
      </c>
      <c r="M652" s="89" t="s">
        <v>22</v>
      </c>
      <c r="N652" s="89" t="s">
        <v>22</v>
      </c>
      <c r="O652" s="89" t="s">
        <v>22</v>
      </c>
      <c r="P652" s="88">
        <v>57655</v>
      </c>
      <c r="Q652" s="67">
        <v>22299</v>
      </c>
      <c r="R652" s="67">
        <v>90837</v>
      </c>
      <c r="S652" s="67">
        <v>254</v>
      </c>
      <c r="T652" s="67">
        <v>9885</v>
      </c>
    </row>
    <row r="653" spans="1:21" s="68" customFormat="1" ht="9" customHeight="1" x14ac:dyDescent="0.15">
      <c r="A653" s="66" t="s">
        <v>29</v>
      </c>
      <c r="B653" s="88">
        <f t="shared" si="54"/>
        <v>6715</v>
      </c>
      <c r="C653" s="89" t="s">
        <v>22</v>
      </c>
      <c r="D653" s="89" t="s">
        <v>22</v>
      </c>
      <c r="E653" s="89" t="s">
        <v>22</v>
      </c>
      <c r="F653" s="88">
        <v>2470</v>
      </c>
      <c r="G653" s="67">
        <v>1087</v>
      </c>
      <c r="H653" s="67">
        <v>2727</v>
      </c>
      <c r="I653" s="67">
        <v>59</v>
      </c>
      <c r="J653" s="67">
        <v>372</v>
      </c>
      <c r="K653" s="88"/>
      <c r="L653" s="88">
        <f t="shared" si="55"/>
        <v>174662</v>
      </c>
      <c r="M653" s="89" t="s">
        <v>22</v>
      </c>
      <c r="N653" s="89" t="s">
        <v>22</v>
      </c>
      <c r="O653" s="89" t="s">
        <v>22</v>
      </c>
      <c r="P653" s="88">
        <v>64317</v>
      </c>
      <c r="Q653" s="67">
        <v>6340</v>
      </c>
      <c r="R653" s="67">
        <v>95027</v>
      </c>
      <c r="S653" s="67">
        <v>74</v>
      </c>
      <c r="T653" s="67">
        <v>8904</v>
      </c>
    </row>
    <row r="654" spans="1:21" s="68" customFormat="1" ht="9" customHeight="1" x14ac:dyDescent="0.15">
      <c r="A654" s="69" t="s">
        <v>30</v>
      </c>
      <c r="B654" s="102">
        <f t="shared" si="54"/>
        <v>7045</v>
      </c>
      <c r="C654" s="103" t="s">
        <v>22</v>
      </c>
      <c r="D654" s="103" t="s">
        <v>22</v>
      </c>
      <c r="E654" s="103" t="s">
        <v>22</v>
      </c>
      <c r="F654" s="90">
        <v>2941</v>
      </c>
      <c r="G654" s="70">
        <v>1118</v>
      </c>
      <c r="H654" s="70">
        <v>2657</v>
      </c>
      <c r="I654" s="70">
        <v>90</v>
      </c>
      <c r="J654" s="70">
        <v>239</v>
      </c>
      <c r="K654" s="90"/>
      <c r="L654" s="102">
        <f t="shared" si="55"/>
        <v>249427</v>
      </c>
      <c r="M654" s="103" t="s">
        <v>22</v>
      </c>
      <c r="N654" s="103" t="s">
        <v>22</v>
      </c>
      <c r="O654" s="103" t="s">
        <v>22</v>
      </c>
      <c r="P654" s="90">
        <v>87586</v>
      </c>
      <c r="Q654" s="70">
        <v>28803</v>
      </c>
      <c r="R654" s="70">
        <v>112136</v>
      </c>
      <c r="S654" s="70">
        <v>998</v>
      </c>
      <c r="T654" s="70">
        <v>19904</v>
      </c>
    </row>
    <row r="655" spans="1:21" s="68" customFormat="1" ht="9" customHeight="1" x14ac:dyDescent="0.15">
      <c r="A655" s="66" t="s">
        <v>63</v>
      </c>
      <c r="B655" s="88">
        <f t="shared" si="54"/>
        <v>108725</v>
      </c>
      <c r="C655" s="89" t="s">
        <v>22</v>
      </c>
      <c r="D655" s="89" t="s">
        <v>22</v>
      </c>
      <c r="E655" s="89" t="s">
        <v>22</v>
      </c>
      <c r="F655" s="88">
        <v>45659</v>
      </c>
      <c r="G655" s="67">
        <v>32283</v>
      </c>
      <c r="H655" s="67">
        <v>25552</v>
      </c>
      <c r="I655" s="67">
        <v>508</v>
      </c>
      <c r="J655" s="67">
        <v>4723</v>
      </c>
      <c r="K655" s="88"/>
      <c r="L655" s="88">
        <f t="shared" si="55"/>
        <v>1711672</v>
      </c>
      <c r="M655" s="89" t="s">
        <v>22</v>
      </c>
      <c r="N655" s="89" t="s">
        <v>22</v>
      </c>
      <c r="O655" s="89" t="s">
        <v>22</v>
      </c>
      <c r="P655" s="88">
        <v>545865</v>
      </c>
      <c r="Q655" s="67">
        <v>179698</v>
      </c>
      <c r="R655" s="67">
        <v>714646</v>
      </c>
      <c r="S655" s="67">
        <v>4770</v>
      </c>
      <c r="T655" s="67">
        <v>266693</v>
      </c>
    </row>
    <row r="656" spans="1:21" s="68" customFormat="1" ht="9" customHeight="1" x14ac:dyDescent="0.15">
      <c r="A656" s="66" t="s">
        <v>31</v>
      </c>
      <c r="B656" s="88">
        <f t="shared" si="54"/>
        <v>6918</v>
      </c>
      <c r="C656" s="89" t="s">
        <v>22</v>
      </c>
      <c r="D656" s="89" t="s">
        <v>22</v>
      </c>
      <c r="E656" s="89" t="s">
        <v>22</v>
      </c>
      <c r="F656" s="88">
        <v>2133</v>
      </c>
      <c r="G656" s="67">
        <v>1628</v>
      </c>
      <c r="H656" s="67">
        <v>2451</v>
      </c>
      <c r="I656" s="67">
        <v>4</v>
      </c>
      <c r="J656" s="67">
        <v>702</v>
      </c>
      <c r="K656" s="88"/>
      <c r="L656" s="88">
        <f t="shared" si="55"/>
        <v>204657</v>
      </c>
      <c r="M656" s="89" t="s">
        <v>22</v>
      </c>
      <c r="N656" s="89" t="s">
        <v>22</v>
      </c>
      <c r="O656" s="89" t="s">
        <v>22</v>
      </c>
      <c r="P656" s="88">
        <v>23740</v>
      </c>
      <c r="Q656" s="67">
        <v>47069</v>
      </c>
      <c r="R656" s="67">
        <v>103748</v>
      </c>
      <c r="S656" s="67">
        <v>369</v>
      </c>
      <c r="T656" s="67">
        <v>29731</v>
      </c>
    </row>
    <row r="657" spans="1:20" s="68" customFormat="1" ht="9" customHeight="1" x14ac:dyDescent="0.15">
      <c r="A657" s="66" t="s">
        <v>32</v>
      </c>
      <c r="B657" s="88">
        <f t="shared" si="54"/>
        <v>20941</v>
      </c>
      <c r="C657" s="89" t="s">
        <v>22</v>
      </c>
      <c r="D657" s="89" t="s">
        <v>22</v>
      </c>
      <c r="E657" s="89" t="s">
        <v>22</v>
      </c>
      <c r="F657" s="88">
        <v>6364</v>
      </c>
      <c r="G657" s="67">
        <v>9830</v>
      </c>
      <c r="H657" s="67">
        <v>2960</v>
      </c>
      <c r="I657" s="67">
        <v>18</v>
      </c>
      <c r="J657" s="67">
        <v>1769</v>
      </c>
      <c r="K657" s="88"/>
      <c r="L657" s="88">
        <f t="shared" si="55"/>
        <v>308758</v>
      </c>
      <c r="M657" s="89" t="s">
        <v>22</v>
      </c>
      <c r="N657" s="89" t="s">
        <v>22</v>
      </c>
      <c r="O657" s="89" t="s">
        <v>22</v>
      </c>
      <c r="P657" s="88">
        <v>55087</v>
      </c>
      <c r="Q657" s="67">
        <v>115349</v>
      </c>
      <c r="R657" s="67">
        <v>91619</v>
      </c>
      <c r="S657" s="67">
        <v>74</v>
      </c>
      <c r="T657" s="67">
        <v>46629</v>
      </c>
    </row>
    <row r="658" spans="1:20" s="68" customFormat="1" ht="9" customHeight="1" x14ac:dyDescent="0.15">
      <c r="A658" s="69" t="s">
        <v>33</v>
      </c>
      <c r="B658" s="102">
        <f t="shared" si="54"/>
        <v>25488</v>
      </c>
      <c r="C658" s="103" t="s">
        <v>22</v>
      </c>
      <c r="D658" s="103" t="s">
        <v>22</v>
      </c>
      <c r="E658" s="103" t="s">
        <v>22</v>
      </c>
      <c r="F658" s="90">
        <v>9953</v>
      </c>
      <c r="G658" s="70">
        <v>9684</v>
      </c>
      <c r="H658" s="70">
        <v>3685</v>
      </c>
      <c r="I658" s="70">
        <v>17</v>
      </c>
      <c r="J658" s="70">
        <v>2149</v>
      </c>
      <c r="K658" s="90"/>
      <c r="L658" s="102">
        <f t="shared" si="55"/>
        <v>292261</v>
      </c>
      <c r="M658" s="103" t="s">
        <v>22</v>
      </c>
      <c r="N658" s="103" t="s">
        <v>22</v>
      </c>
      <c r="O658" s="103" t="s">
        <v>22</v>
      </c>
      <c r="P658" s="90">
        <v>87634</v>
      </c>
      <c r="Q658" s="70">
        <v>30000</v>
      </c>
      <c r="R658" s="70">
        <v>138098</v>
      </c>
      <c r="S658" s="70">
        <v>362</v>
      </c>
      <c r="T658" s="70">
        <v>36167</v>
      </c>
    </row>
    <row r="659" spans="1:20" s="68" customFormat="1" ht="9" customHeight="1" x14ac:dyDescent="0.15">
      <c r="A659" s="66" t="s">
        <v>34</v>
      </c>
      <c r="B659" s="88">
        <f t="shared" si="54"/>
        <v>25586</v>
      </c>
      <c r="C659" s="89" t="s">
        <v>22</v>
      </c>
      <c r="D659" s="89" t="s">
        <v>22</v>
      </c>
      <c r="E659" s="89" t="s">
        <v>22</v>
      </c>
      <c r="F659" s="88">
        <v>10844</v>
      </c>
      <c r="G659" s="67">
        <v>7156</v>
      </c>
      <c r="H659" s="67">
        <v>5535</v>
      </c>
      <c r="I659" s="67">
        <v>24</v>
      </c>
      <c r="J659" s="67">
        <v>2027</v>
      </c>
      <c r="K659" s="88"/>
      <c r="L659" s="88">
        <f t="shared" si="55"/>
        <v>231206</v>
      </c>
      <c r="M659" s="89" t="s">
        <v>22</v>
      </c>
      <c r="N659" s="89" t="s">
        <v>22</v>
      </c>
      <c r="O659" s="89" t="s">
        <v>22</v>
      </c>
      <c r="P659" s="88">
        <v>75363</v>
      </c>
      <c r="Q659" s="67">
        <v>8090</v>
      </c>
      <c r="R659" s="67">
        <v>95840</v>
      </c>
      <c r="S659" s="67">
        <v>259</v>
      </c>
      <c r="T659" s="67">
        <v>51654</v>
      </c>
    </row>
    <row r="660" spans="1:20" s="68" customFormat="1" ht="9" customHeight="1" x14ac:dyDescent="0.15">
      <c r="A660" s="66" t="s">
        <v>35</v>
      </c>
      <c r="B660" s="88">
        <f t="shared" si="54"/>
        <v>38610</v>
      </c>
      <c r="C660" s="89" t="s">
        <v>22</v>
      </c>
      <c r="D660" s="89" t="s">
        <v>22</v>
      </c>
      <c r="E660" s="89" t="s">
        <v>22</v>
      </c>
      <c r="F660" s="88">
        <v>12090</v>
      </c>
      <c r="G660" s="67">
        <v>11620</v>
      </c>
      <c r="H660" s="67">
        <v>11275</v>
      </c>
      <c r="I660" s="67">
        <v>113</v>
      </c>
      <c r="J660" s="67">
        <v>3512</v>
      </c>
      <c r="K660" s="88"/>
      <c r="L660" s="88">
        <f t="shared" si="55"/>
        <v>681614</v>
      </c>
      <c r="M660" s="89" t="s">
        <v>22</v>
      </c>
      <c r="N660" s="89" t="s">
        <v>22</v>
      </c>
      <c r="O660" s="89" t="s">
        <v>22</v>
      </c>
      <c r="P660" s="88">
        <v>159402</v>
      </c>
      <c r="Q660" s="67">
        <v>73636</v>
      </c>
      <c r="R660" s="67">
        <v>379425</v>
      </c>
      <c r="S660" s="67">
        <v>1364</v>
      </c>
      <c r="T660" s="67">
        <v>67787</v>
      </c>
    </row>
    <row r="661" spans="1:20" s="68" customFormat="1" ht="9" customHeight="1" x14ac:dyDescent="0.15">
      <c r="A661" s="66" t="s">
        <v>36</v>
      </c>
      <c r="B661" s="88">
        <f t="shared" si="54"/>
        <v>46386</v>
      </c>
      <c r="C661" s="89" t="s">
        <v>22</v>
      </c>
      <c r="D661" s="89" t="s">
        <v>22</v>
      </c>
      <c r="E661" s="89" t="s">
        <v>22</v>
      </c>
      <c r="F661" s="88">
        <v>16618</v>
      </c>
      <c r="G661" s="67">
        <v>16464</v>
      </c>
      <c r="H661" s="67">
        <v>10887</v>
      </c>
      <c r="I661" s="67">
        <v>421</v>
      </c>
      <c r="J661" s="67">
        <v>1996</v>
      </c>
      <c r="K661" s="88"/>
      <c r="L661" s="88">
        <f t="shared" si="55"/>
        <v>1039837</v>
      </c>
      <c r="M661" s="89" t="s">
        <v>22</v>
      </c>
      <c r="N661" s="89" t="s">
        <v>22</v>
      </c>
      <c r="O661" s="89" t="s">
        <v>22</v>
      </c>
      <c r="P661" s="88">
        <v>310126</v>
      </c>
      <c r="Q661" s="67">
        <v>110269</v>
      </c>
      <c r="R661" s="67">
        <v>551048</v>
      </c>
      <c r="S661" s="67">
        <v>1447</v>
      </c>
      <c r="T661" s="67">
        <v>66947</v>
      </c>
    </row>
    <row r="662" spans="1:20" s="68" customFormat="1" ht="9" customHeight="1" x14ac:dyDescent="0.15">
      <c r="A662" s="69" t="s">
        <v>37</v>
      </c>
      <c r="B662" s="102">
        <f t="shared" si="54"/>
        <v>13463</v>
      </c>
      <c r="C662" s="103" t="s">
        <v>22</v>
      </c>
      <c r="D662" s="103" t="s">
        <v>22</v>
      </c>
      <c r="E662" s="103" t="s">
        <v>22</v>
      </c>
      <c r="F662" s="90">
        <v>3455</v>
      </c>
      <c r="G662" s="70">
        <v>4708</v>
      </c>
      <c r="H662" s="70">
        <v>3529</v>
      </c>
      <c r="I662" s="70">
        <v>266</v>
      </c>
      <c r="J662" s="70">
        <v>1505</v>
      </c>
      <c r="K662" s="90"/>
      <c r="L662" s="102">
        <f t="shared" si="55"/>
        <v>301899</v>
      </c>
      <c r="M662" s="103" t="s">
        <v>22</v>
      </c>
      <c r="N662" s="103" t="s">
        <v>22</v>
      </c>
      <c r="O662" s="103" t="s">
        <v>22</v>
      </c>
      <c r="P662" s="90">
        <v>143519</v>
      </c>
      <c r="Q662" s="70">
        <v>38670</v>
      </c>
      <c r="R662" s="70">
        <v>78512</v>
      </c>
      <c r="S662" s="70">
        <v>683</v>
      </c>
      <c r="T662" s="70">
        <v>40515</v>
      </c>
    </row>
    <row r="663" spans="1:20" s="68" customFormat="1" ht="9" customHeight="1" x14ac:dyDescent="0.15">
      <c r="A663" s="66" t="s">
        <v>38</v>
      </c>
      <c r="B663" s="88">
        <f t="shared" si="54"/>
        <v>7891</v>
      </c>
      <c r="C663" s="89" t="s">
        <v>22</v>
      </c>
      <c r="D663" s="89" t="s">
        <v>22</v>
      </c>
      <c r="E663" s="89" t="s">
        <v>22</v>
      </c>
      <c r="F663" s="88">
        <v>3612</v>
      </c>
      <c r="G663" s="67">
        <v>2376</v>
      </c>
      <c r="H663" s="67">
        <v>1229</v>
      </c>
      <c r="I663" s="67">
        <v>0</v>
      </c>
      <c r="J663" s="67">
        <v>674</v>
      </c>
      <c r="K663" s="88"/>
      <c r="L663" s="88">
        <f t="shared" si="55"/>
        <v>104435</v>
      </c>
      <c r="M663" s="89" t="s">
        <v>22</v>
      </c>
      <c r="N663" s="89" t="s">
        <v>22</v>
      </c>
      <c r="O663" s="89" t="s">
        <v>22</v>
      </c>
      <c r="P663" s="88">
        <v>49876</v>
      </c>
      <c r="Q663" s="67">
        <v>5011</v>
      </c>
      <c r="R663" s="67">
        <v>42576</v>
      </c>
      <c r="S663" s="67">
        <v>0</v>
      </c>
      <c r="T663" s="67">
        <v>6972</v>
      </c>
    </row>
    <row r="664" spans="1:20" s="68" customFormat="1" ht="9" customHeight="1" x14ac:dyDescent="0.15">
      <c r="A664" s="66" t="s">
        <v>39</v>
      </c>
      <c r="B664" s="88">
        <f t="shared" si="54"/>
        <v>10011</v>
      </c>
      <c r="C664" s="89" t="s">
        <v>22</v>
      </c>
      <c r="D664" s="89" t="s">
        <v>22</v>
      </c>
      <c r="E664" s="89" t="s">
        <v>22</v>
      </c>
      <c r="F664" s="88">
        <v>2128</v>
      </c>
      <c r="G664" s="67">
        <v>2192</v>
      </c>
      <c r="H664" s="67">
        <v>5691</v>
      </c>
      <c r="I664" s="67">
        <v>0</v>
      </c>
      <c r="J664" s="67">
        <v>0</v>
      </c>
      <c r="K664" s="88"/>
      <c r="L664" s="88">
        <f t="shared" si="55"/>
        <v>108458</v>
      </c>
      <c r="M664" s="89" t="s">
        <v>22</v>
      </c>
      <c r="N664" s="89" t="s">
        <v>22</v>
      </c>
      <c r="O664" s="89" t="s">
        <v>22</v>
      </c>
      <c r="P664" s="88">
        <v>32349</v>
      </c>
      <c r="Q664" s="67">
        <v>3154</v>
      </c>
      <c r="R664" s="67">
        <v>72955</v>
      </c>
      <c r="S664" s="67">
        <v>0</v>
      </c>
      <c r="T664" s="67">
        <v>0</v>
      </c>
    </row>
    <row r="665" spans="1:20" s="68" customFormat="1" ht="9" customHeight="1" x14ac:dyDescent="0.15">
      <c r="A665" s="66" t="s">
        <v>40</v>
      </c>
      <c r="B665" s="88">
        <f t="shared" si="54"/>
        <v>14863</v>
      </c>
      <c r="C665" s="89" t="s">
        <v>22</v>
      </c>
      <c r="D665" s="89" t="s">
        <v>22</v>
      </c>
      <c r="E665" s="89" t="s">
        <v>22</v>
      </c>
      <c r="F665" s="88">
        <v>4580</v>
      </c>
      <c r="G665" s="67">
        <v>4006</v>
      </c>
      <c r="H665" s="67">
        <v>4762</v>
      </c>
      <c r="I665" s="67">
        <v>22</v>
      </c>
      <c r="J665" s="67">
        <v>1493</v>
      </c>
      <c r="K665" s="88"/>
      <c r="L665" s="88">
        <f t="shared" si="55"/>
        <v>351830</v>
      </c>
      <c r="M665" s="89" t="s">
        <v>22</v>
      </c>
      <c r="N665" s="89" t="s">
        <v>22</v>
      </c>
      <c r="O665" s="89" t="s">
        <v>22</v>
      </c>
      <c r="P665" s="88">
        <v>59778</v>
      </c>
      <c r="Q665" s="67">
        <v>70827</v>
      </c>
      <c r="R665" s="67">
        <v>174822</v>
      </c>
      <c r="S665" s="67">
        <v>87</v>
      </c>
      <c r="T665" s="67">
        <v>46316</v>
      </c>
    </row>
    <row r="666" spans="1:20" s="68" customFormat="1" ht="9" customHeight="1" x14ac:dyDescent="0.15">
      <c r="A666" s="69" t="s">
        <v>41</v>
      </c>
      <c r="B666" s="102">
        <f t="shared" si="54"/>
        <v>8769</v>
      </c>
      <c r="C666" s="103" t="s">
        <v>22</v>
      </c>
      <c r="D666" s="103" t="s">
        <v>22</v>
      </c>
      <c r="E666" s="103" t="s">
        <v>22</v>
      </c>
      <c r="F666" s="90">
        <v>2300</v>
      </c>
      <c r="G666" s="70">
        <v>2350</v>
      </c>
      <c r="H666" s="70">
        <v>3493</v>
      </c>
      <c r="I666" s="70">
        <v>0</v>
      </c>
      <c r="J666" s="70">
        <v>626</v>
      </c>
      <c r="K666" s="90"/>
      <c r="L666" s="102">
        <f t="shared" si="55"/>
        <v>159782</v>
      </c>
      <c r="M666" s="103" t="s">
        <v>22</v>
      </c>
      <c r="N666" s="103" t="s">
        <v>22</v>
      </c>
      <c r="O666" s="103" t="s">
        <v>22</v>
      </c>
      <c r="P666" s="90">
        <v>37898</v>
      </c>
      <c r="Q666" s="70">
        <v>7147</v>
      </c>
      <c r="R666" s="70">
        <v>111155</v>
      </c>
      <c r="S666" s="70">
        <v>0</v>
      </c>
      <c r="T666" s="70">
        <v>3582</v>
      </c>
    </row>
    <row r="667" spans="1:20" s="68" customFormat="1" ht="9" customHeight="1" x14ac:dyDescent="0.15">
      <c r="A667" s="66" t="s">
        <v>42</v>
      </c>
      <c r="B667" s="88">
        <f t="shared" si="54"/>
        <v>6269</v>
      </c>
      <c r="C667" s="89" t="s">
        <v>22</v>
      </c>
      <c r="D667" s="89" t="s">
        <v>22</v>
      </c>
      <c r="E667" s="89" t="s">
        <v>22</v>
      </c>
      <c r="F667" s="88">
        <v>1383</v>
      </c>
      <c r="G667" s="67">
        <v>1332</v>
      </c>
      <c r="H667" s="67">
        <v>2729</v>
      </c>
      <c r="I667" s="67">
        <v>168</v>
      </c>
      <c r="J667" s="67">
        <v>657</v>
      </c>
      <c r="K667" s="88"/>
      <c r="L667" s="88">
        <f t="shared" si="55"/>
        <v>144618</v>
      </c>
      <c r="M667" s="89" t="s">
        <v>22</v>
      </c>
      <c r="N667" s="89" t="s">
        <v>22</v>
      </c>
      <c r="O667" s="89" t="s">
        <v>22</v>
      </c>
      <c r="P667" s="88">
        <v>26431</v>
      </c>
      <c r="Q667" s="67">
        <v>12610</v>
      </c>
      <c r="R667" s="67">
        <v>94222</v>
      </c>
      <c r="S667" s="67">
        <v>154</v>
      </c>
      <c r="T667" s="67">
        <v>11201</v>
      </c>
    </row>
    <row r="668" spans="1:20" s="68" customFormat="1" ht="9" customHeight="1" x14ac:dyDescent="0.15">
      <c r="A668" s="66" t="s">
        <v>43</v>
      </c>
      <c r="B668" s="88">
        <f t="shared" si="54"/>
        <v>6735</v>
      </c>
      <c r="C668" s="89" t="s">
        <v>22</v>
      </c>
      <c r="D668" s="89" t="s">
        <v>22</v>
      </c>
      <c r="E668" s="89" t="s">
        <v>22</v>
      </c>
      <c r="F668" s="88">
        <v>3517</v>
      </c>
      <c r="G668" s="67">
        <v>1746</v>
      </c>
      <c r="H668" s="67">
        <v>972</v>
      </c>
      <c r="I668" s="67">
        <v>19</v>
      </c>
      <c r="J668" s="67">
        <v>481</v>
      </c>
      <c r="K668" s="88"/>
      <c r="L668" s="88">
        <f t="shared" si="55"/>
        <v>105008</v>
      </c>
      <c r="M668" s="89" t="s">
        <v>22</v>
      </c>
      <c r="N668" s="89" t="s">
        <v>22</v>
      </c>
      <c r="O668" s="89" t="s">
        <v>22</v>
      </c>
      <c r="P668" s="88">
        <v>53906</v>
      </c>
      <c r="Q668" s="67">
        <v>3211</v>
      </c>
      <c r="R668" s="67">
        <v>32040</v>
      </c>
      <c r="S668" s="67">
        <v>301</v>
      </c>
      <c r="T668" s="67">
        <v>15550</v>
      </c>
    </row>
    <row r="669" spans="1:20" s="68" customFormat="1" ht="9" customHeight="1" x14ac:dyDescent="0.15">
      <c r="A669" s="66" t="s">
        <v>44</v>
      </c>
      <c r="B669" s="88">
        <f t="shared" si="54"/>
        <v>20521</v>
      </c>
      <c r="C669" s="89" t="s">
        <v>22</v>
      </c>
      <c r="D669" s="89" t="s">
        <v>22</v>
      </c>
      <c r="E669" s="89" t="s">
        <v>22</v>
      </c>
      <c r="F669" s="88">
        <v>4644</v>
      </c>
      <c r="G669" s="67">
        <v>9769</v>
      </c>
      <c r="H669" s="67">
        <v>3957</v>
      </c>
      <c r="I669" s="67">
        <v>63</v>
      </c>
      <c r="J669" s="67">
        <v>2088</v>
      </c>
      <c r="K669" s="88"/>
      <c r="L669" s="88">
        <f t="shared" si="55"/>
        <v>356227</v>
      </c>
      <c r="M669" s="89" t="s">
        <v>22</v>
      </c>
      <c r="N669" s="89" t="s">
        <v>22</v>
      </c>
      <c r="O669" s="89" t="s">
        <v>22</v>
      </c>
      <c r="P669" s="88">
        <v>115787</v>
      </c>
      <c r="Q669" s="67">
        <v>30601</v>
      </c>
      <c r="R669" s="67">
        <v>160289</v>
      </c>
      <c r="S669" s="67">
        <v>1153</v>
      </c>
      <c r="T669" s="67">
        <v>48397</v>
      </c>
    </row>
    <row r="670" spans="1:20" s="68" customFormat="1" ht="9" customHeight="1" x14ac:dyDescent="0.15">
      <c r="A670" s="69" t="s">
        <v>45</v>
      </c>
      <c r="B670" s="102">
        <f t="shared" si="54"/>
        <v>7783</v>
      </c>
      <c r="C670" s="103" t="s">
        <v>22</v>
      </c>
      <c r="D670" s="103" t="s">
        <v>22</v>
      </c>
      <c r="E670" s="103" t="s">
        <v>22</v>
      </c>
      <c r="F670" s="90">
        <v>2964</v>
      </c>
      <c r="G670" s="70">
        <v>2173</v>
      </c>
      <c r="H670" s="70">
        <v>1847</v>
      </c>
      <c r="I670" s="70">
        <v>6</v>
      </c>
      <c r="J670" s="70">
        <v>793</v>
      </c>
      <c r="K670" s="90"/>
      <c r="L670" s="102">
        <f t="shared" si="55"/>
        <v>238093</v>
      </c>
      <c r="M670" s="103" t="s">
        <v>22</v>
      </c>
      <c r="N670" s="103" t="s">
        <v>22</v>
      </c>
      <c r="O670" s="103" t="s">
        <v>22</v>
      </c>
      <c r="P670" s="90">
        <v>65963</v>
      </c>
      <c r="Q670" s="70">
        <v>9130</v>
      </c>
      <c r="R670" s="70">
        <v>88897</v>
      </c>
      <c r="S670" s="70">
        <v>171</v>
      </c>
      <c r="T670" s="70">
        <v>73932</v>
      </c>
    </row>
    <row r="671" spans="1:20" s="68" customFormat="1" ht="9" customHeight="1" x14ac:dyDescent="0.15">
      <c r="A671" s="66" t="s">
        <v>46</v>
      </c>
      <c r="B671" s="88">
        <f t="shared" si="54"/>
        <v>35231</v>
      </c>
      <c r="C671" s="89" t="s">
        <v>22</v>
      </c>
      <c r="D671" s="89" t="s">
        <v>22</v>
      </c>
      <c r="E671" s="89" t="s">
        <v>22</v>
      </c>
      <c r="F671" s="88">
        <v>13205</v>
      </c>
      <c r="G671" s="67">
        <v>8688</v>
      </c>
      <c r="H671" s="67">
        <v>10600</v>
      </c>
      <c r="I671" s="67">
        <v>1424</v>
      </c>
      <c r="J671" s="67">
        <v>1314</v>
      </c>
      <c r="K671" s="88"/>
      <c r="L671" s="88">
        <f t="shared" si="55"/>
        <v>783854</v>
      </c>
      <c r="M671" s="89" t="s">
        <v>22</v>
      </c>
      <c r="N671" s="89" t="s">
        <v>22</v>
      </c>
      <c r="O671" s="89" t="s">
        <v>22</v>
      </c>
      <c r="P671" s="88">
        <v>268306</v>
      </c>
      <c r="Q671" s="67">
        <v>66102</v>
      </c>
      <c r="R671" s="67">
        <v>361399</v>
      </c>
      <c r="S671" s="67">
        <v>23166</v>
      </c>
      <c r="T671" s="67">
        <v>64881</v>
      </c>
    </row>
    <row r="672" spans="1:20" s="68" customFormat="1" ht="9" customHeight="1" x14ac:dyDescent="0.15">
      <c r="A672" s="66" t="s">
        <v>47</v>
      </c>
      <c r="B672" s="88">
        <f t="shared" si="54"/>
        <v>7507</v>
      </c>
      <c r="C672" s="89" t="s">
        <v>22</v>
      </c>
      <c r="D672" s="89" t="s">
        <v>22</v>
      </c>
      <c r="E672" s="89" t="s">
        <v>22</v>
      </c>
      <c r="F672" s="88">
        <v>3003</v>
      </c>
      <c r="G672" s="67">
        <v>2778</v>
      </c>
      <c r="H672" s="67">
        <v>1394</v>
      </c>
      <c r="I672" s="67">
        <v>42</v>
      </c>
      <c r="J672" s="67">
        <v>290</v>
      </c>
      <c r="K672" s="88"/>
      <c r="L672" s="88">
        <f t="shared" si="55"/>
        <v>172485</v>
      </c>
      <c r="M672" s="89" t="s">
        <v>22</v>
      </c>
      <c r="N672" s="89" t="s">
        <v>22</v>
      </c>
      <c r="O672" s="89" t="s">
        <v>22</v>
      </c>
      <c r="P672" s="88">
        <v>23438</v>
      </c>
      <c r="Q672" s="67">
        <v>61611</v>
      </c>
      <c r="R672" s="67">
        <v>61780</v>
      </c>
      <c r="S672" s="67">
        <v>106</v>
      </c>
      <c r="T672" s="67">
        <v>25550</v>
      </c>
    </row>
    <row r="673" spans="1:21" s="68" customFormat="1" ht="9" customHeight="1" x14ac:dyDescent="0.15">
      <c r="A673" s="66" t="s">
        <v>48</v>
      </c>
      <c r="B673" s="88">
        <f t="shared" si="54"/>
        <v>6763</v>
      </c>
      <c r="C673" s="89" t="s">
        <v>22</v>
      </c>
      <c r="D673" s="89" t="s">
        <v>22</v>
      </c>
      <c r="E673" s="89" t="s">
        <v>22</v>
      </c>
      <c r="F673" s="88">
        <v>1552</v>
      </c>
      <c r="G673" s="67">
        <v>2520</v>
      </c>
      <c r="H673" s="67">
        <v>1780</v>
      </c>
      <c r="I673" s="67">
        <v>0</v>
      </c>
      <c r="J673" s="67">
        <v>911</v>
      </c>
      <c r="K673" s="88"/>
      <c r="L673" s="88">
        <f>SUM(M673:T673)</f>
        <v>138510</v>
      </c>
      <c r="M673" s="89" t="s">
        <v>22</v>
      </c>
      <c r="N673" s="89" t="s">
        <v>22</v>
      </c>
      <c r="O673" s="89" t="s">
        <v>22</v>
      </c>
      <c r="P673" s="88">
        <v>26958</v>
      </c>
      <c r="Q673" s="67">
        <v>6864</v>
      </c>
      <c r="R673" s="67">
        <v>99162</v>
      </c>
      <c r="S673" s="67">
        <v>0</v>
      </c>
      <c r="T673" s="67">
        <v>5526</v>
      </c>
    </row>
    <row r="674" spans="1:21" s="68" customFormat="1" ht="9" customHeight="1" x14ac:dyDescent="0.15">
      <c r="A674" s="69" t="s">
        <v>49</v>
      </c>
      <c r="B674" s="102">
        <f t="shared" si="54"/>
        <v>7660</v>
      </c>
      <c r="C674" s="103" t="s">
        <v>22</v>
      </c>
      <c r="D674" s="103" t="s">
        <v>22</v>
      </c>
      <c r="E674" s="103" t="s">
        <v>22</v>
      </c>
      <c r="F674" s="90">
        <v>2340</v>
      </c>
      <c r="G674" s="70">
        <v>2791</v>
      </c>
      <c r="H674" s="70">
        <v>2027</v>
      </c>
      <c r="I674" s="70">
        <v>0</v>
      </c>
      <c r="J674" s="70">
        <v>502</v>
      </c>
      <c r="K674" s="90"/>
      <c r="L674" s="102">
        <f t="shared" si="55"/>
        <v>237455</v>
      </c>
      <c r="M674" s="103" t="s">
        <v>22</v>
      </c>
      <c r="N674" s="103" t="s">
        <v>22</v>
      </c>
      <c r="O674" s="103" t="s">
        <v>22</v>
      </c>
      <c r="P674" s="90">
        <v>36032</v>
      </c>
      <c r="Q674" s="70">
        <v>51491</v>
      </c>
      <c r="R674" s="70">
        <v>107420</v>
      </c>
      <c r="S674" s="70">
        <v>0</v>
      </c>
      <c r="T674" s="70">
        <v>42512</v>
      </c>
    </row>
    <row r="675" spans="1:21" s="72" customFormat="1" ht="9" customHeight="1" x14ac:dyDescent="0.15">
      <c r="A675" s="71" t="s">
        <v>50</v>
      </c>
      <c r="B675" s="88">
        <f t="shared" si="54"/>
        <v>10541</v>
      </c>
      <c r="C675" s="89" t="s">
        <v>22</v>
      </c>
      <c r="D675" s="89" t="s">
        <v>22</v>
      </c>
      <c r="E675" s="89" t="s">
        <v>22</v>
      </c>
      <c r="F675" s="92">
        <v>2956</v>
      </c>
      <c r="G675" s="67">
        <v>2081</v>
      </c>
      <c r="H675" s="67">
        <v>4579</v>
      </c>
      <c r="I675" s="67">
        <v>29</v>
      </c>
      <c r="J675" s="67">
        <v>896</v>
      </c>
      <c r="K675" s="92"/>
      <c r="L675" s="88">
        <f t="shared" si="55"/>
        <v>205163</v>
      </c>
      <c r="M675" s="89" t="s">
        <v>22</v>
      </c>
      <c r="N675" s="89" t="s">
        <v>22</v>
      </c>
      <c r="O675" s="89" t="s">
        <v>22</v>
      </c>
      <c r="P675" s="92">
        <v>56182</v>
      </c>
      <c r="Q675" s="67">
        <v>4758</v>
      </c>
      <c r="R675" s="67">
        <v>127462</v>
      </c>
      <c r="S675" s="67">
        <v>269</v>
      </c>
      <c r="T675" s="67">
        <v>16492</v>
      </c>
    </row>
    <row r="676" spans="1:21" s="68" customFormat="1" ht="9" customHeight="1" x14ac:dyDescent="0.15">
      <c r="A676" s="66" t="s">
        <v>51</v>
      </c>
      <c r="B676" s="88">
        <f t="shared" si="54"/>
        <v>10434</v>
      </c>
      <c r="C676" s="89" t="s">
        <v>22</v>
      </c>
      <c r="D676" s="89" t="s">
        <v>22</v>
      </c>
      <c r="E676" s="89" t="s">
        <v>22</v>
      </c>
      <c r="F676" s="88">
        <v>2500</v>
      </c>
      <c r="G676" s="67">
        <v>4836</v>
      </c>
      <c r="H676" s="67">
        <v>2429</v>
      </c>
      <c r="I676" s="67">
        <v>6</v>
      </c>
      <c r="J676" s="67">
        <v>663</v>
      </c>
      <c r="K676" s="88"/>
      <c r="L676" s="88">
        <f t="shared" si="55"/>
        <v>262352</v>
      </c>
      <c r="M676" s="89" t="s">
        <v>22</v>
      </c>
      <c r="N676" s="89" t="s">
        <v>22</v>
      </c>
      <c r="O676" s="89" t="s">
        <v>22</v>
      </c>
      <c r="P676" s="88">
        <v>58693</v>
      </c>
      <c r="Q676" s="67">
        <v>112948</v>
      </c>
      <c r="R676" s="67">
        <v>47913</v>
      </c>
      <c r="S676" s="67">
        <v>180</v>
      </c>
      <c r="T676" s="67">
        <v>42618</v>
      </c>
    </row>
    <row r="677" spans="1:21" s="68" customFormat="1" ht="9" customHeight="1" x14ac:dyDescent="0.15">
      <c r="A677" s="66" t="s">
        <v>52</v>
      </c>
      <c r="B677" s="88">
        <f t="shared" si="54"/>
        <v>4270</v>
      </c>
      <c r="C677" s="89" t="s">
        <v>22</v>
      </c>
      <c r="D677" s="89" t="s">
        <v>22</v>
      </c>
      <c r="E677" s="89" t="s">
        <v>22</v>
      </c>
      <c r="F677" s="88">
        <v>1097</v>
      </c>
      <c r="G677" s="67">
        <v>1340</v>
      </c>
      <c r="H677" s="67">
        <v>1531</v>
      </c>
      <c r="I677" s="67">
        <v>109</v>
      </c>
      <c r="J677" s="67">
        <v>193</v>
      </c>
      <c r="K677" s="88"/>
      <c r="L677" s="88">
        <f t="shared" si="55"/>
        <v>130206</v>
      </c>
      <c r="M677" s="89" t="s">
        <v>22</v>
      </c>
      <c r="N677" s="89" t="s">
        <v>22</v>
      </c>
      <c r="O677" s="89" t="s">
        <v>22</v>
      </c>
      <c r="P677" s="88">
        <v>19866</v>
      </c>
      <c r="Q677" s="67">
        <v>20487</v>
      </c>
      <c r="R677" s="67">
        <v>83760</v>
      </c>
      <c r="S677" s="67">
        <v>134</v>
      </c>
      <c r="T677" s="67">
        <v>5959</v>
      </c>
    </row>
    <row r="678" spans="1:21" s="68" customFormat="1" ht="9" customHeight="1" x14ac:dyDescent="0.15">
      <c r="A678" s="69" t="s">
        <v>53</v>
      </c>
      <c r="B678" s="102">
        <f t="shared" si="54"/>
        <v>12920</v>
      </c>
      <c r="C678" s="91" t="s">
        <v>22</v>
      </c>
      <c r="D678" s="91" t="s">
        <v>22</v>
      </c>
      <c r="E678" s="91" t="s">
        <v>22</v>
      </c>
      <c r="F678" s="90">
        <v>4791</v>
      </c>
      <c r="G678" s="70">
        <v>2358</v>
      </c>
      <c r="H678" s="70">
        <v>5147</v>
      </c>
      <c r="I678" s="70">
        <v>3</v>
      </c>
      <c r="J678" s="70">
        <v>621</v>
      </c>
      <c r="K678" s="90"/>
      <c r="L678" s="102">
        <f t="shared" si="55"/>
        <v>338767</v>
      </c>
      <c r="M678" s="103" t="s">
        <v>22</v>
      </c>
      <c r="N678" s="103" t="s">
        <v>22</v>
      </c>
      <c r="O678" s="103" t="s">
        <v>22</v>
      </c>
      <c r="P678" s="90">
        <v>88223</v>
      </c>
      <c r="Q678" s="70">
        <v>84874</v>
      </c>
      <c r="R678" s="70">
        <v>137186</v>
      </c>
      <c r="S678" s="70">
        <v>30</v>
      </c>
      <c r="T678" s="70">
        <v>28454</v>
      </c>
    </row>
    <row r="679" spans="1:21" s="65" customFormat="1" ht="9" customHeight="1" x14ac:dyDescent="0.15">
      <c r="A679" s="71"/>
      <c r="B679" s="92"/>
      <c r="C679" s="92"/>
      <c r="D679" s="92"/>
      <c r="E679" s="92"/>
      <c r="F679" s="92"/>
      <c r="G679" s="67"/>
      <c r="H679" s="67"/>
      <c r="I679" s="67"/>
      <c r="J679" s="67"/>
      <c r="K679" s="92"/>
      <c r="L679" s="92"/>
      <c r="M679" s="92"/>
      <c r="N679" s="92"/>
      <c r="O679" s="92"/>
      <c r="P679" s="92"/>
      <c r="Q679" s="67"/>
      <c r="R679" s="67"/>
      <c r="S679" s="67"/>
      <c r="T679" s="67"/>
    </row>
    <row r="680" spans="1:21" s="65" customFormat="1" ht="9" customHeight="1" x14ac:dyDescent="0.25">
      <c r="A680" s="96">
        <v>2018</v>
      </c>
      <c r="B680" s="97"/>
      <c r="C680" s="98"/>
      <c r="D680" s="97"/>
      <c r="E680" s="97"/>
      <c r="F680" s="97"/>
      <c r="G680" s="64"/>
      <c r="H680" s="64"/>
      <c r="I680" s="64"/>
      <c r="J680" s="64"/>
      <c r="K680" s="97"/>
      <c r="L680" s="97"/>
      <c r="M680" s="97"/>
      <c r="N680" s="97"/>
      <c r="O680" s="97"/>
      <c r="P680" s="97"/>
      <c r="Q680" s="64"/>
      <c r="R680" s="64"/>
      <c r="S680" s="64"/>
      <c r="T680" s="64"/>
    </row>
    <row r="681" spans="1:21" s="65" customFormat="1" ht="9" customHeight="1" x14ac:dyDescent="0.25">
      <c r="A681" s="99" t="s">
        <v>21</v>
      </c>
      <c r="B681" s="64">
        <f t="shared" ref="B681" si="56">SUM(B683:B714)</f>
        <v>432802</v>
      </c>
      <c r="C681" s="64" t="s">
        <v>22</v>
      </c>
      <c r="D681" s="64" t="s">
        <v>22</v>
      </c>
      <c r="E681" s="64" t="s">
        <v>22</v>
      </c>
      <c r="F681" s="64">
        <f t="shared" ref="F681:J681" si="57">SUM(F683:F714)</f>
        <v>226538</v>
      </c>
      <c r="G681" s="64">
        <f t="shared" si="57"/>
        <v>39710</v>
      </c>
      <c r="H681" s="64">
        <f t="shared" si="57"/>
        <v>132977</v>
      </c>
      <c r="I681" s="64">
        <f t="shared" si="57"/>
        <v>2768</v>
      </c>
      <c r="J681" s="64">
        <f t="shared" si="57"/>
        <v>30809</v>
      </c>
      <c r="K681" s="64"/>
      <c r="L681" s="64">
        <f>SUM(L683:L714)</f>
        <v>9455383</v>
      </c>
      <c r="M681" s="64" t="s">
        <v>22</v>
      </c>
      <c r="N681" s="64" t="s">
        <v>22</v>
      </c>
      <c r="O681" s="64" t="s">
        <v>22</v>
      </c>
      <c r="P681" s="64">
        <f t="shared" ref="P681:T681" si="58">SUM(P683:P714)</f>
        <v>3237820</v>
      </c>
      <c r="Q681" s="64">
        <f t="shared" si="58"/>
        <v>1003613</v>
      </c>
      <c r="R681" s="64">
        <f t="shared" si="58"/>
        <v>4453040</v>
      </c>
      <c r="S681" s="64">
        <f t="shared" si="58"/>
        <v>29452</v>
      </c>
      <c r="T681" s="64">
        <f t="shared" si="58"/>
        <v>731458</v>
      </c>
      <c r="U681" s="101"/>
    </row>
    <row r="682" spans="1:21" s="65" customFormat="1" ht="3" customHeight="1" x14ac:dyDescent="0.25">
      <c r="A682" s="99"/>
      <c r="B682" s="64"/>
      <c r="C682" s="64"/>
      <c r="D682" s="64"/>
      <c r="E682" s="64"/>
      <c r="F682" s="64"/>
      <c r="G682" s="64"/>
      <c r="H682" s="64"/>
      <c r="I682" s="64"/>
      <c r="J682" s="64"/>
      <c r="K682" s="64"/>
      <c r="L682" s="64"/>
      <c r="M682" s="64"/>
      <c r="N682" s="64"/>
      <c r="O682" s="64"/>
      <c r="P682" s="64"/>
      <c r="Q682" s="64"/>
      <c r="R682" s="64"/>
      <c r="S682" s="64"/>
      <c r="T682" s="64"/>
    </row>
    <row r="683" spans="1:21" s="68" customFormat="1" ht="9" customHeight="1" x14ac:dyDescent="0.25">
      <c r="A683" s="66" t="s">
        <v>23</v>
      </c>
      <c r="B683" s="88">
        <f>SUM(C683:J683)</f>
        <v>5015</v>
      </c>
      <c r="C683" s="116" t="s">
        <v>22</v>
      </c>
      <c r="D683" s="116" t="s">
        <v>22</v>
      </c>
      <c r="E683" s="116" t="s">
        <v>22</v>
      </c>
      <c r="F683" s="88">
        <v>2044</v>
      </c>
      <c r="G683" s="117">
        <v>491</v>
      </c>
      <c r="H683" s="117">
        <v>2385</v>
      </c>
      <c r="I683" s="117">
        <v>0</v>
      </c>
      <c r="J683" s="117">
        <v>95</v>
      </c>
      <c r="K683" s="88"/>
      <c r="L683" s="88">
        <f>SUM(M683:T683)</f>
        <v>128619</v>
      </c>
      <c r="M683" s="116" t="s">
        <v>22</v>
      </c>
      <c r="N683" s="116" t="s">
        <v>22</v>
      </c>
      <c r="O683" s="116" t="s">
        <v>22</v>
      </c>
      <c r="P683" s="88">
        <v>23349</v>
      </c>
      <c r="Q683" s="117">
        <v>19786</v>
      </c>
      <c r="R683" s="117">
        <v>82244</v>
      </c>
      <c r="S683" s="117">
        <v>0</v>
      </c>
      <c r="T683" s="117">
        <v>3240</v>
      </c>
    </row>
    <row r="684" spans="1:21" s="68" customFormat="1" ht="9" customHeight="1" x14ac:dyDescent="0.25">
      <c r="A684" s="66" t="s">
        <v>24</v>
      </c>
      <c r="B684" s="88">
        <f t="shared" ref="B684:B714" si="59">SUM(C684:J684)</f>
        <v>8010</v>
      </c>
      <c r="C684" s="116" t="s">
        <v>22</v>
      </c>
      <c r="D684" s="116" t="s">
        <v>22</v>
      </c>
      <c r="E684" s="116" t="s">
        <v>22</v>
      </c>
      <c r="F684" s="88">
        <v>2854</v>
      </c>
      <c r="G684" s="117">
        <v>310</v>
      </c>
      <c r="H684" s="117">
        <v>4536</v>
      </c>
      <c r="I684" s="117">
        <v>66</v>
      </c>
      <c r="J684" s="117">
        <v>244</v>
      </c>
      <c r="K684" s="88"/>
      <c r="L684" s="88">
        <f t="shared" ref="L684:L708" si="60">SUM(M684:T684)</f>
        <v>323799</v>
      </c>
      <c r="M684" s="116" t="s">
        <v>22</v>
      </c>
      <c r="N684" s="116" t="s">
        <v>22</v>
      </c>
      <c r="O684" s="116" t="s">
        <v>22</v>
      </c>
      <c r="P684" s="88">
        <v>71299</v>
      </c>
      <c r="Q684" s="117">
        <v>11988</v>
      </c>
      <c r="R684" s="117">
        <v>215189</v>
      </c>
      <c r="S684" s="117">
        <v>454</v>
      </c>
      <c r="T684" s="117">
        <v>24869</v>
      </c>
    </row>
    <row r="685" spans="1:21" s="68" customFormat="1" ht="9" customHeight="1" x14ac:dyDescent="0.25">
      <c r="A685" s="66" t="s">
        <v>25</v>
      </c>
      <c r="B685" s="88">
        <f t="shared" si="59"/>
        <v>4600</v>
      </c>
      <c r="C685" s="116" t="s">
        <v>22</v>
      </c>
      <c r="D685" s="116" t="s">
        <v>22</v>
      </c>
      <c r="E685" s="116" t="s">
        <v>22</v>
      </c>
      <c r="F685" s="88">
        <v>1749</v>
      </c>
      <c r="G685" s="117">
        <v>659</v>
      </c>
      <c r="H685" s="117">
        <v>1320</v>
      </c>
      <c r="I685" s="117">
        <v>61</v>
      </c>
      <c r="J685" s="117">
        <v>811</v>
      </c>
      <c r="K685" s="88"/>
      <c r="L685" s="88">
        <f t="shared" si="60"/>
        <v>175317</v>
      </c>
      <c r="M685" s="116" t="s">
        <v>22</v>
      </c>
      <c r="N685" s="116" t="s">
        <v>22</v>
      </c>
      <c r="O685" s="116" t="s">
        <v>22</v>
      </c>
      <c r="P685" s="88">
        <v>49862</v>
      </c>
      <c r="Q685" s="117">
        <v>32476</v>
      </c>
      <c r="R685" s="117">
        <v>44774</v>
      </c>
      <c r="S685" s="117">
        <v>607</v>
      </c>
      <c r="T685" s="117">
        <v>47598</v>
      </c>
    </row>
    <row r="686" spans="1:21" s="68" customFormat="1" ht="9" customHeight="1" x14ac:dyDescent="0.25">
      <c r="A686" s="69" t="s">
        <v>26</v>
      </c>
      <c r="B686" s="102">
        <f t="shared" si="59"/>
        <v>5082</v>
      </c>
      <c r="C686" s="118" t="s">
        <v>22</v>
      </c>
      <c r="D686" s="118" t="s">
        <v>22</v>
      </c>
      <c r="E686" s="118" t="s">
        <v>22</v>
      </c>
      <c r="F686" s="90">
        <v>2480</v>
      </c>
      <c r="G686" s="119">
        <v>781</v>
      </c>
      <c r="H686" s="119">
        <v>1807</v>
      </c>
      <c r="I686" s="119">
        <v>0</v>
      </c>
      <c r="J686" s="119">
        <v>14</v>
      </c>
      <c r="K686" s="90"/>
      <c r="L686" s="102">
        <f t="shared" si="60"/>
        <v>84811</v>
      </c>
      <c r="M686" s="118" t="s">
        <v>22</v>
      </c>
      <c r="N686" s="118" t="s">
        <v>22</v>
      </c>
      <c r="O686" s="118" t="s">
        <v>22</v>
      </c>
      <c r="P686" s="90">
        <v>12561</v>
      </c>
      <c r="Q686" s="119">
        <v>8118</v>
      </c>
      <c r="R686" s="119">
        <v>62884</v>
      </c>
      <c r="S686" s="119">
        <v>0</v>
      </c>
      <c r="T686" s="119">
        <v>1248</v>
      </c>
    </row>
    <row r="687" spans="1:21" s="68" customFormat="1" ht="9" customHeight="1" x14ac:dyDescent="0.25">
      <c r="A687" s="66" t="s">
        <v>27</v>
      </c>
      <c r="B687" s="88">
        <f t="shared" si="59"/>
        <v>9045</v>
      </c>
      <c r="C687" s="116" t="s">
        <v>22</v>
      </c>
      <c r="D687" s="116" t="s">
        <v>22</v>
      </c>
      <c r="E687" s="116" t="s">
        <v>22</v>
      </c>
      <c r="F687" s="88">
        <v>4624</v>
      </c>
      <c r="G687" s="117">
        <v>836</v>
      </c>
      <c r="H687" s="117">
        <v>3161</v>
      </c>
      <c r="I687" s="117">
        <v>0</v>
      </c>
      <c r="J687" s="117">
        <v>424</v>
      </c>
      <c r="K687" s="88"/>
      <c r="L687" s="88">
        <f t="shared" si="60"/>
        <v>300528</v>
      </c>
      <c r="M687" s="116" t="s">
        <v>22</v>
      </c>
      <c r="N687" s="116" t="s">
        <v>22</v>
      </c>
      <c r="O687" s="116" t="s">
        <v>22</v>
      </c>
      <c r="P687" s="88">
        <v>71977</v>
      </c>
      <c r="Q687" s="117">
        <v>15131</v>
      </c>
      <c r="R687" s="117">
        <v>168783</v>
      </c>
      <c r="S687" s="117">
        <v>0</v>
      </c>
      <c r="T687" s="117">
        <v>44637</v>
      </c>
    </row>
    <row r="688" spans="1:21" s="68" customFormat="1" ht="9" customHeight="1" x14ac:dyDescent="0.25">
      <c r="A688" s="66" t="s">
        <v>28</v>
      </c>
      <c r="B688" s="88">
        <f t="shared" si="59"/>
        <v>11238</v>
      </c>
      <c r="C688" s="116" t="s">
        <v>22</v>
      </c>
      <c r="D688" s="116" t="s">
        <v>22</v>
      </c>
      <c r="E688" s="116" t="s">
        <v>22</v>
      </c>
      <c r="F688" s="88">
        <v>7527</v>
      </c>
      <c r="G688" s="117">
        <v>1475</v>
      </c>
      <c r="H688" s="117">
        <v>1950</v>
      </c>
      <c r="I688" s="117">
        <v>56</v>
      </c>
      <c r="J688" s="117">
        <v>230</v>
      </c>
      <c r="K688" s="88"/>
      <c r="L688" s="88">
        <f t="shared" si="60"/>
        <v>135050</v>
      </c>
      <c r="M688" s="116" t="s">
        <v>22</v>
      </c>
      <c r="N688" s="116" t="s">
        <v>22</v>
      </c>
      <c r="O688" s="116" t="s">
        <v>22</v>
      </c>
      <c r="P688" s="88">
        <v>62021</v>
      </c>
      <c r="Q688" s="117">
        <v>14888</v>
      </c>
      <c r="R688" s="117">
        <v>47877</v>
      </c>
      <c r="S688" s="117">
        <v>339</v>
      </c>
      <c r="T688" s="117">
        <v>9925</v>
      </c>
    </row>
    <row r="689" spans="1:20" s="68" customFormat="1" ht="9" customHeight="1" x14ac:dyDescent="0.25">
      <c r="A689" s="66" t="s">
        <v>29</v>
      </c>
      <c r="B689" s="88">
        <f t="shared" si="59"/>
        <v>6002</v>
      </c>
      <c r="C689" s="116" t="s">
        <v>22</v>
      </c>
      <c r="D689" s="116" t="s">
        <v>22</v>
      </c>
      <c r="E689" s="116" t="s">
        <v>22</v>
      </c>
      <c r="F689" s="88">
        <v>3254</v>
      </c>
      <c r="G689" s="117">
        <v>284</v>
      </c>
      <c r="H689" s="117">
        <v>2132</v>
      </c>
      <c r="I689" s="117">
        <v>61</v>
      </c>
      <c r="J689" s="117">
        <v>271</v>
      </c>
      <c r="K689" s="88"/>
      <c r="L689" s="88">
        <f t="shared" si="60"/>
        <v>138126</v>
      </c>
      <c r="M689" s="116" t="s">
        <v>22</v>
      </c>
      <c r="N689" s="116" t="s">
        <v>22</v>
      </c>
      <c r="O689" s="116" t="s">
        <v>22</v>
      </c>
      <c r="P689" s="88">
        <v>52789</v>
      </c>
      <c r="Q689" s="117">
        <v>7477</v>
      </c>
      <c r="R689" s="117">
        <v>71125</v>
      </c>
      <c r="S689" s="117">
        <v>84</v>
      </c>
      <c r="T689" s="117">
        <v>6651</v>
      </c>
    </row>
    <row r="690" spans="1:20" s="68" customFormat="1" ht="9" customHeight="1" x14ac:dyDescent="0.25">
      <c r="A690" s="69" t="s">
        <v>30</v>
      </c>
      <c r="B690" s="102">
        <f t="shared" si="59"/>
        <v>5582</v>
      </c>
      <c r="C690" s="118" t="s">
        <v>22</v>
      </c>
      <c r="D690" s="118" t="s">
        <v>22</v>
      </c>
      <c r="E690" s="118" t="s">
        <v>22</v>
      </c>
      <c r="F690" s="90">
        <v>3108</v>
      </c>
      <c r="G690" s="119">
        <v>271</v>
      </c>
      <c r="H690" s="119">
        <v>1889</v>
      </c>
      <c r="I690" s="119">
        <v>130</v>
      </c>
      <c r="J690" s="119">
        <v>184</v>
      </c>
      <c r="K690" s="90"/>
      <c r="L690" s="102">
        <f t="shared" si="60"/>
        <v>199470</v>
      </c>
      <c r="M690" s="118" t="s">
        <v>22</v>
      </c>
      <c r="N690" s="118" t="s">
        <v>22</v>
      </c>
      <c r="O690" s="118" t="s">
        <v>22</v>
      </c>
      <c r="P690" s="90">
        <v>71626</v>
      </c>
      <c r="Q690" s="119">
        <v>31629</v>
      </c>
      <c r="R690" s="119">
        <v>91546</v>
      </c>
      <c r="S690" s="119">
        <v>491</v>
      </c>
      <c r="T690" s="119">
        <v>4178</v>
      </c>
    </row>
    <row r="691" spans="1:20" s="68" customFormat="1" ht="9" customHeight="1" x14ac:dyDescent="0.25">
      <c r="A691" s="66" t="s">
        <v>63</v>
      </c>
      <c r="B691" s="88">
        <f t="shared" si="59"/>
        <v>79728</v>
      </c>
      <c r="C691" s="116" t="s">
        <v>22</v>
      </c>
      <c r="D691" s="116" t="s">
        <v>22</v>
      </c>
      <c r="E691" s="116" t="s">
        <v>22</v>
      </c>
      <c r="F691" s="88">
        <v>45657</v>
      </c>
      <c r="G691" s="117">
        <v>3804</v>
      </c>
      <c r="H691" s="117">
        <v>25902</v>
      </c>
      <c r="I691" s="117">
        <v>859</v>
      </c>
      <c r="J691" s="117">
        <v>3506</v>
      </c>
      <c r="K691" s="88"/>
      <c r="L691" s="88">
        <f t="shared" si="60"/>
        <v>1642105</v>
      </c>
      <c r="M691" s="116" t="s">
        <v>22</v>
      </c>
      <c r="N691" s="116" t="s">
        <v>22</v>
      </c>
      <c r="O691" s="116" t="s">
        <v>22</v>
      </c>
      <c r="P691" s="88">
        <v>646119</v>
      </c>
      <c r="Q691" s="117">
        <v>92042</v>
      </c>
      <c r="R691" s="117">
        <v>729719</v>
      </c>
      <c r="S691" s="117">
        <v>14301</v>
      </c>
      <c r="T691" s="117">
        <v>159924</v>
      </c>
    </row>
    <row r="692" spans="1:20" s="68" customFormat="1" ht="9" customHeight="1" x14ac:dyDescent="0.25">
      <c r="A692" s="66" t="s">
        <v>31</v>
      </c>
      <c r="B692" s="88">
        <f t="shared" si="59"/>
        <v>5311</v>
      </c>
      <c r="C692" s="116" t="s">
        <v>22</v>
      </c>
      <c r="D692" s="116" t="s">
        <v>22</v>
      </c>
      <c r="E692" s="116" t="s">
        <v>22</v>
      </c>
      <c r="F692" s="88">
        <v>2160</v>
      </c>
      <c r="G692" s="117">
        <v>769</v>
      </c>
      <c r="H692" s="117">
        <v>1663</v>
      </c>
      <c r="I692" s="117">
        <v>0</v>
      </c>
      <c r="J692" s="117">
        <v>719</v>
      </c>
      <c r="K692" s="88"/>
      <c r="L692" s="88">
        <f t="shared" si="60"/>
        <v>179595</v>
      </c>
      <c r="M692" s="116" t="s">
        <v>22</v>
      </c>
      <c r="N692" s="116" t="s">
        <v>22</v>
      </c>
      <c r="O692" s="116" t="s">
        <v>22</v>
      </c>
      <c r="P692" s="88">
        <v>61235</v>
      </c>
      <c r="Q692" s="117">
        <v>30714</v>
      </c>
      <c r="R692" s="117">
        <v>67928</v>
      </c>
      <c r="S692" s="117">
        <v>0</v>
      </c>
      <c r="T692" s="117">
        <v>19718</v>
      </c>
    </row>
    <row r="693" spans="1:20" s="68" customFormat="1" ht="9" customHeight="1" x14ac:dyDescent="0.25">
      <c r="A693" s="66" t="s">
        <v>32</v>
      </c>
      <c r="B693" s="88">
        <f t="shared" si="59"/>
        <v>13531</v>
      </c>
      <c r="C693" s="116" t="s">
        <v>22</v>
      </c>
      <c r="D693" s="116" t="s">
        <v>22</v>
      </c>
      <c r="E693" s="116" t="s">
        <v>22</v>
      </c>
      <c r="F693" s="88">
        <v>6028</v>
      </c>
      <c r="G693" s="117">
        <v>2869</v>
      </c>
      <c r="H693" s="117">
        <v>2584</v>
      </c>
      <c r="I693" s="117">
        <v>102</v>
      </c>
      <c r="J693" s="117">
        <v>1948</v>
      </c>
      <c r="K693" s="88"/>
      <c r="L693" s="88">
        <f t="shared" si="60"/>
        <v>187260</v>
      </c>
      <c r="M693" s="116" t="s">
        <v>22</v>
      </c>
      <c r="N693" s="116" t="s">
        <v>22</v>
      </c>
      <c r="O693" s="116" t="s">
        <v>22</v>
      </c>
      <c r="P693" s="88">
        <v>46480</v>
      </c>
      <c r="Q693" s="117">
        <v>26507</v>
      </c>
      <c r="R693" s="117">
        <v>81145</v>
      </c>
      <c r="S693" s="117">
        <v>1484</v>
      </c>
      <c r="T693" s="117">
        <v>31644</v>
      </c>
    </row>
    <row r="694" spans="1:20" s="68" customFormat="1" ht="9" customHeight="1" x14ac:dyDescent="0.25">
      <c r="A694" s="69" t="s">
        <v>33</v>
      </c>
      <c r="B694" s="102">
        <f t="shared" si="59"/>
        <v>16339</v>
      </c>
      <c r="C694" s="118" t="s">
        <v>22</v>
      </c>
      <c r="D694" s="118" t="s">
        <v>22</v>
      </c>
      <c r="E694" s="118" t="s">
        <v>22</v>
      </c>
      <c r="F694" s="90">
        <v>10929</v>
      </c>
      <c r="G694" s="119">
        <v>807</v>
      </c>
      <c r="H694" s="119">
        <v>3199</v>
      </c>
      <c r="I694" s="119">
        <v>24</v>
      </c>
      <c r="J694" s="119">
        <v>1380</v>
      </c>
      <c r="K694" s="90"/>
      <c r="L694" s="102">
        <f t="shared" si="60"/>
        <v>226444</v>
      </c>
      <c r="M694" s="118" t="s">
        <v>22</v>
      </c>
      <c r="N694" s="118" t="s">
        <v>22</v>
      </c>
      <c r="O694" s="118" t="s">
        <v>22</v>
      </c>
      <c r="P694" s="90">
        <v>99892</v>
      </c>
      <c r="Q694" s="119">
        <v>16220</v>
      </c>
      <c r="R694" s="119">
        <v>92689</v>
      </c>
      <c r="S694" s="119">
        <v>39</v>
      </c>
      <c r="T694" s="119">
        <v>17604</v>
      </c>
    </row>
    <row r="695" spans="1:20" s="68" customFormat="1" ht="9" customHeight="1" x14ac:dyDescent="0.25">
      <c r="A695" s="66" t="s">
        <v>34</v>
      </c>
      <c r="B695" s="88">
        <f t="shared" si="59"/>
        <v>22152</v>
      </c>
      <c r="C695" s="116" t="s">
        <v>22</v>
      </c>
      <c r="D695" s="116" t="s">
        <v>22</v>
      </c>
      <c r="E695" s="116" t="s">
        <v>22</v>
      </c>
      <c r="F695" s="88">
        <v>11377</v>
      </c>
      <c r="G695" s="117">
        <v>3310</v>
      </c>
      <c r="H695" s="117">
        <v>5746</v>
      </c>
      <c r="I695" s="117">
        <v>136</v>
      </c>
      <c r="J695" s="117">
        <v>1583</v>
      </c>
      <c r="K695" s="88"/>
      <c r="L695" s="88">
        <f t="shared" si="60"/>
        <v>251081</v>
      </c>
      <c r="M695" s="116" t="s">
        <v>22</v>
      </c>
      <c r="N695" s="116" t="s">
        <v>22</v>
      </c>
      <c r="O695" s="116" t="s">
        <v>22</v>
      </c>
      <c r="P695" s="88">
        <v>127441</v>
      </c>
      <c r="Q695" s="117">
        <v>6937</v>
      </c>
      <c r="R695" s="117">
        <v>96712</v>
      </c>
      <c r="S695" s="117">
        <v>2551</v>
      </c>
      <c r="T695" s="117">
        <v>17440</v>
      </c>
    </row>
    <row r="696" spans="1:20" s="68" customFormat="1" ht="9" customHeight="1" x14ac:dyDescent="0.25">
      <c r="A696" s="66" t="s">
        <v>35</v>
      </c>
      <c r="B696" s="88">
        <f t="shared" si="59"/>
        <v>31058</v>
      </c>
      <c r="C696" s="116" t="s">
        <v>22</v>
      </c>
      <c r="D696" s="116" t="s">
        <v>22</v>
      </c>
      <c r="E696" s="116" t="s">
        <v>22</v>
      </c>
      <c r="F696" s="88">
        <v>15453</v>
      </c>
      <c r="G696" s="117">
        <v>2261</v>
      </c>
      <c r="H696" s="117">
        <v>9914</v>
      </c>
      <c r="I696" s="117">
        <v>50</v>
      </c>
      <c r="J696" s="117">
        <v>3380</v>
      </c>
      <c r="K696" s="88"/>
      <c r="L696" s="88">
        <f t="shared" si="60"/>
        <v>618640</v>
      </c>
      <c r="M696" s="116" t="s">
        <v>22</v>
      </c>
      <c r="N696" s="116" t="s">
        <v>22</v>
      </c>
      <c r="O696" s="116" t="s">
        <v>22</v>
      </c>
      <c r="P696" s="88">
        <v>191238</v>
      </c>
      <c r="Q696" s="117">
        <v>55083</v>
      </c>
      <c r="R696" s="117">
        <v>338546</v>
      </c>
      <c r="S696" s="117">
        <v>500</v>
      </c>
      <c r="T696" s="117">
        <v>33273</v>
      </c>
    </row>
    <row r="697" spans="1:20" s="68" customFormat="1" ht="9" customHeight="1" x14ac:dyDescent="0.25">
      <c r="A697" s="66" t="s">
        <v>36</v>
      </c>
      <c r="B697" s="88">
        <f t="shared" si="59"/>
        <v>41753</v>
      </c>
      <c r="C697" s="116" t="s">
        <v>22</v>
      </c>
      <c r="D697" s="116" t="s">
        <v>22</v>
      </c>
      <c r="E697" s="116" t="s">
        <v>22</v>
      </c>
      <c r="F697" s="88">
        <v>23454</v>
      </c>
      <c r="G697" s="117">
        <v>3483</v>
      </c>
      <c r="H697" s="117">
        <v>12025</v>
      </c>
      <c r="I697" s="117">
        <v>414</v>
      </c>
      <c r="J697" s="117">
        <v>2377</v>
      </c>
      <c r="K697" s="88"/>
      <c r="L697" s="88">
        <f t="shared" si="60"/>
        <v>963095</v>
      </c>
      <c r="M697" s="116" t="s">
        <v>22</v>
      </c>
      <c r="N697" s="116" t="s">
        <v>22</v>
      </c>
      <c r="O697" s="116" t="s">
        <v>22</v>
      </c>
      <c r="P697" s="88">
        <v>354832</v>
      </c>
      <c r="Q697" s="117">
        <v>74337</v>
      </c>
      <c r="R697" s="117">
        <v>479678</v>
      </c>
      <c r="S697" s="117">
        <v>875</v>
      </c>
      <c r="T697" s="117">
        <v>53373</v>
      </c>
    </row>
    <row r="698" spans="1:20" s="68" customFormat="1" ht="9" customHeight="1" x14ac:dyDescent="0.25">
      <c r="A698" s="69" t="s">
        <v>37</v>
      </c>
      <c r="B698" s="102">
        <f t="shared" si="59"/>
        <v>15002</v>
      </c>
      <c r="C698" s="118" t="s">
        <v>22</v>
      </c>
      <c r="D698" s="118" t="s">
        <v>22</v>
      </c>
      <c r="E698" s="118" t="s">
        <v>22</v>
      </c>
      <c r="F698" s="90">
        <v>7852</v>
      </c>
      <c r="G698" s="119">
        <v>1894</v>
      </c>
      <c r="H698" s="119">
        <v>3223</v>
      </c>
      <c r="I698" s="119">
        <v>30</v>
      </c>
      <c r="J698" s="119">
        <v>2003</v>
      </c>
      <c r="K698" s="90"/>
      <c r="L698" s="102">
        <f t="shared" si="60"/>
        <v>274379</v>
      </c>
      <c r="M698" s="118" t="s">
        <v>22</v>
      </c>
      <c r="N698" s="118" t="s">
        <v>22</v>
      </c>
      <c r="O698" s="118" t="s">
        <v>22</v>
      </c>
      <c r="P698" s="90">
        <v>126243</v>
      </c>
      <c r="Q698" s="119">
        <v>55418</v>
      </c>
      <c r="R698" s="119">
        <v>65215</v>
      </c>
      <c r="S698" s="119">
        <v>528</v>
      </c>
      <c r="T698" s="119">
        <v>26975</v>
      </c>
    </row>
    <row r="699" spans="1:20" s="68" customFormat="1" ht="9" customHeight="1" x14ac:dyDescent="0.25">
      <c r="A699" s="66" t="s">
        <v>38</v>
      </c>
      <c r="B699" s="88">
        <f t="shared" si="59"/>
        <v>7657</v>
      </c>
      <c r="C699" s="116" t="s">
        <v>22</v>
      </c>
      <c r="D699" s="116" t="s">
        <v>22</v>
      </c>
      <c r="E699" s="116" t="s">
        <v>22</v>
      </c>
      <c r="F699" s="88">
        <v>4928</v>
      </c>
      <c r="G699" s="117">
        <v>467</v>
      </c>
      <c r="H699" s="117">
        <v>1207</v>
      </c>
      <c r="I699" s="117">
        <v>2</v>
      </c>
      <c r="J699" s="117">
        <v>1053</v>
      </c>
      <c r="K699" s="88"/>
      <c r="L699" s="88">
        <f t="shared" si="60"/>
        <v>116666</v>
      </c>
      <c r="M699" s="116" t="s">
        <v>22</v>
      </c>
      <c r="N699" s="116" t="s">
        <v>22</v>
      </c>
      <c r="O699" s="116" t="s">
        <v>22</v>
      </c>
      <c r="P699" s="88">
        <v>56133</v>
      </c>
      <c r="Q699" s="117">
        <v>2154</v>
      </c>
      <c r="R699" s="117">
        <v>47696</v>
      </c>
      <c r="S699" s="117">
        <v>12</v>
      </c>
      <c r="T699" s="117">
        <v>10671</v>
      </c>
    </row>
    <row r="700" spans="1:20" s="68" customFormat="1" ht="9" customHeight="1" x14ac:dyDescent="0.25">
      <c r="A700" s="66" t="s">
        <v>39</v>
      </c>
      <c r="B700" s="88">
        <f t="shared" si="59"/>
        <v>8334</v>
      </c>
      <c r="C700" s="116" t="s">
        <v>22</v>
      </c>
      <c r="D700" s="116" t="s">
        <v>22</v>
      </c>
      <c r="E700" s="116" t="s">
        <v>22</v>
      </c>
      <c r="F700" s="88">
        <v>4910</v>
      </c>
      <c r="G700" s="117">
        <v>152</v>
      </c>
      <c r="H700" s="117">
        <v>3267</v>
      </c>
      <c r="I700" s="117">
        <v>1</v>
      </c>
      <c r="J700" s="117">
        <v>4</v>
      </c>
      <c r="K700" s="88"/>
      <c r="L700" s="88">
        <f t="shared" si="60"/>
        <v>102793</v>
      </c>
      <c r="M700" s="116" t="s">
        <v>22</v>
      </c>
      <c r="N700" s="116" t="s">
        <v>22</v>
      </c>
      <c r="O700" s="116" t="s">
        <v>22</v>
      </c>
      <c r="P700" s="88">
        <v>50781</v>
      </c>
      <c r="Q700" s="117">
        <v>535</v>
      </c>
      <c r="R700" s="117">
        <v>51432</v>
      </c>
      <c r="S700" s="117">
        <v>41</v>
      </c>
      <c r="T700" s="117">
        <v>4</v>
      </c>
    </row>
    <row r="701" spans="1:20" s="68" customFormat="1" ht="9" customHeight="1" x14ac:dyDescent="0.25">
      <c r="A701" s="66" t="s">
        <v>40</v>
      </c>
      <c r="B701" s="88">
        <f t="shared" si="59"/>
        <v>11923</v>
      </c>
      <c r="C701" s="116" t="s">
        <v>22</v>
      </c>
      <c r="D701" s="116" t="s">
        <v>22</v>
      </c>
      <c r="E701" s="116" t="s">
        <v>22</v>
      </c>
      <c r="F701" s="88">
        <v>5676</v>
      </c>
      <c r="G701" s="117">
        <v>1191</v>
      </c>
      <c r="H701" s="117">
        <v>3593</v>
      </c>
      <c r="I701" s="117">
        <v>141</v>
      </c>
      <c r="J701" s="117">
        <v>1322</v>
      </c>
      <c r="K701" s="88"/>
      <c r="L701" s="88">
        <f t="shared" si="60"/>
        <v>332790</v>
      </c>
      <c r="M701" s="116" t="s">
        <v>22</v>
      </c>
      <c r="N701" s="116" t="s">
        <v>22</v>
      </c>
      <c r="O701" s="116" t="s">
        <v>22</v>
      </c>
      <c r="P701" s="88">
        <v>108977</v>
      </c>
      <c r="Q701" s="117">
        <v>49707</v>
      </c>
      <c r="R701" s="117">
        <v>139159</v>
      </c>
      <c r="S701" s="117">
        <v>110</v>
      </c>
      <c r="T701" s="117">
        <v>34837</v>
      </c>
    </row>
    <row r="702" spans="1:20" s="68" customFormat="1" ht="9" customHeight="1" x14ac:dyDescent="0.25">
      <c r="A702" s="69" t="s">
        <v>41</v>
      </c>
      <c r="B702" s="102">
        <f t="shared" si="59"/>
        <v>9119</v>
      </c>
      <c r="C702" s="118" t="s">
        <v>22</v>
      </c>
      <c r="D702" s="118" t="s">
        <v>22</v>
      </c>
      <c r="E702" s="118" t="s">
        <v>22</v>
      </c>
      <c r="F702" s="90">
        <v>3955</v>
      </c>
      <c r="G702" s="119">
        <v>710</v>
      </c>
      <c r="H702" s="119">
        <v>4156</v>
      </c>
      <c r="I702" s="119">
        <v>45</v>
      </c>
      <c r="J702" s="119">
        <v>253</v>
      </c>
      <c r="K702" s="90"/>
      <c r="L702" s="102">
        <f t="shared" si="60"/>
        <v>219771</v>
      </c>
      <c r="M702" s="118" t="s">
        <v>22</v>
      </c>
      <c r="N702" s="118" t="s">
        <v>22</v>
      </c>
      <c r="O702" s="118" t="s">
        <v>22</v>
      </c>
      <c r="P702" s="90">
        <v>67820</v>
      </c>
      <c r="Q702" s="119">
        <v>1341</v>
      </c>
      <c r="R702" s="119">
        <v>144286</v>
      </c>
      <c r="S702" s="119">
        <v>1419</v>
      </c>
      <c r="T702" s="119">
        <v>4905</v>
      </c>
    </row>
    <row r="703" spans="1:20" s="68" customFormat="1" ht="9" customHeight="1" x14ac:dyDescent="0.25">
      <c r="A703" s="66" t="s">
        <v>42</v>
      </c>
      <c r="B703" s="88">
        <f t="shared" si="59"/>
        <v>5689</v>
      </c>
      <c r="C703" s="116" t="s">
        <v>22</v>
      </c>
      <c r="D703" s="116" t="s">
        <v>22</v>
      </c>
      <c r="E703" s="116" t="s">
        <v>22</v>
      </c>
      <c r="F703" s="88">
        <v>1887</v>
      </c>
      <c r="G703" s="117">
        <v>303</v>
      </c>
      <c r="H703" s="117">
        <v>2508</v>
      </c>
      <c r="I703" s="117">
        <v>125</v>
      </c>
      <c r="J703" s="117">
        <v>866</v>
      </c>
      <c r="K703" s="88"/>
      <c r="L703" s="88">
        <f t="shared" si="60"/>
        <v>140241</v>
      </c>
      <c r="M703" s="116" t="s">
        <v>22</v>
      </c>
      <c r="N703" s="116" t="s">
        <v>22</v>
      </c>
      <c r="O703" s="116" t="s">
        <v>22</v>
      </c>
      <c r="P703" s="88">
        <v>32894</v>
      </c>
      <c r="Q703" s="117">
        <v>5820</v>
      </c>
      <c r="R703" s="117">
        <v>93658</v>
      </c>
      <c r="S703" s="117">
        <v>235</v>
      </c>
      <c r="T703" s="117">
        <v>7634</v>
      </c>
    </row>
    <row r="704" spans="1:20" s="68" customFormat="1" ht="9" customHeight="1" x14ac:dyDescent="0.25">
      <c r="A704" s="66" t="s">
        <v>43</v>
      </c>
      <c r="B704" s="88">
        <f t="shared" si="59"/>
        <v>8028</v>
      </c>
      <c r="C704" s="116" t="s">
        <v>22</v>
      </c>
      <c r="D704" s="116" t="s">
        <v>22</v>
      </c>
      <c r="E704" s="116" t="s">
        <v>22</v>
      </c>
      <c r="F704" s="88">
        <v>4571</v>
      </c>
      <c r="G704" s="117">
        <v>298</v>
      </c>
      <c r="H704" s="117">
        <v>2091</v>
      </c>
      <c r="I704" s="117">
        <v>0</v>
      </c>
      <c r="J704" s="117">
        <v>1068</v>
      </c>
      <c r="K704" s="88"/>
      <c r="L704" s="88">
        <f t="shared" si="60"/>
        <v>135148</v>
      </c>
      <c r="M704" s="116" t="s">
        <v>22</v>
      </c>
      <c r="N704" s="116" t="s">
        <v>22</v>
      </c>
      <c r="O704" s="116" t="s">
        <v>22</v>
      </c>
      <c r="P704" s="88">
        <v>53328</v>
      </c>
      <c r="Q704" s="117">
        <v>1081</v>
      </c>
      <c r="R704" s="117">
        <v>62454</v>
      </c>
      <c r="S704" s="117">
        <v>0</v>
      </c>
      <c r="T704" s="117">
        <v>18285</v>
      </c>
    </row>
    <row r="705" spans="1:21" s="68" customFormat="1" ht="9" customHeight="1" x14ac:dyDescent="0.25">
      <c r="A705" s="66" t="s">
        <v>44</v>
      </c>
      <c r="B705" s="88">
        <f t="shared" si="59"/>
        <v>15993</v>
      </c>
      <c r="C705" s="116" t="s">
        <v>22</v>
      </c>
      <c r="D705" s="116" t="s">
        <v>22</v>
      </c>
      <c r="E705" s="116" t="s">
        <v>22</v>
      </c>
      <c r="F705" s="88">
        <v>8800</v>
      </c>
      <c r="G705" s="117">
        <v>984</v>
      </c>
      <c r="H705" s="117">
        <v>3861</v>
      </c>
      <c r="I705" s="117">
        <v>31</v>
      </c>
      <c r="J705" s="117">
        <v>2317</v>
      </c>
      <c r="K705" s="88"/>
      <c r="L705" s="88">
        <f t="shared" si="60"/>
        <v>332955</v>
      </c>
      <c r="M705" s="116" t="s">
        <v>22</v>
      </c>
      <c r="N705" s="116" t="s">
        <v>22</v>
      </c>
      <c r="O705" s="116" t="s">
        <v>22</v>
      </c>
      <c r="P705" s="88">
        <v>114569</v>
      </c>
      <c r="Q705" s="117">
        <v>28129</v>
      </c>
      <c r="R705" s="117">
        <v>157177</v>
      </c>
      <c r="S705" s="117">
        <v>476</v>
      </c>
      <c r="T705" s="117">
        <v>32604</v>
      </c>
    </row>
    <row r="706" spans="1:21" s="68" customFormat="1" ht="9" customHeight="1" x14ac:dyDescent="0.25">
      <c r="A706" s="69" t="s">
        <v>45</v>
      </c>
      <c r="B706" s="102">
        <f t="shared" si="59"/>
        <v>6901</v>
      </c>
      <c r="C706" s="118" t="s">
        <v>22</v>
      </c>
      <c r="D706" s="118" t="s">
        <v>22</v>
      </c>
      <c r="E706" s="118" t="s">
        <v>22</v>
      </c>
      <c r="F706" s="90">
        <v>3770</v>
      </c>
      <c r="G706" s="119">
        <v>414</v>
      </c>
      <c r="H706" s="119">
        <v>2115</v>
      </c>
      <c r="I706" s="119">
        <v>0</v>
      </c>
      <c r="J706" s="119">
        <v>602</v>
      </c>
      <c r="K706" s="90"/>
      <c r="L706" s="102">
        <f t="shared" si="60"/>
        <v>215568</v>
      </c>
      <c r="M706" s="118" t="s">
        <v>22</v>
      </c>
      <c r="N706" s="118" t="s">
        <v>22</v>
      </c>
      <c r="O706" s="118" t="s">
        <v>22</v>
      </c>
      <c r="P706" s="90">
        <v>64448</v>
      </c>
      <c r="Q706" s="119">
        <v>27253</v>
      </c>
      <c r="R706" s="119">
        <v>107439</v>
      </c>
      <c r="S706" s="119">
        <v>0</v>
      </c>
      <c r="T706" s="119">
        <v>16428</v>
      </c>
    </row>
    <row r="707" spans="1:21" s="68" customFormat="1" ht="9" customHeight="1" x14ac:dyDescent="0.25">
      <c r="A707" s="66" t="s">
        <v>46</v>
      </c>
      <c r="B707" s="88">
        <f t="shared" si="59"/>
        <v>27638</v>
      </c>
      <c r="C707" s="116" t="s">
        <v>22</v>
      </c>
      <c r="D707" s="116" t="s">
        <v>22</v>
      </c>
      <c r="E707" s="116" t="s">
        <v>22</v>
      </c>
      <c r="F707" s="88">
        <v>13124</v>
      </c>
      <c r="G707" s="117">
        <v>3604</v>
      </c>
      <c r="H707" s="117">
        <v>9966</v>
      </c>
      <c r="I707" s="117">
        <v>128</v>
      </c>
      <c r="J707" s="117">
        <v>816</v>
      </c>
      <c r="K707" s="88"/>
      <c r="L707" s="88">
        <f t="shared" si="60"/>
        <v>680080</v>
      </c>
      <c r="M707" s="116" t="s">
        <v>22</v>
      </c>
      <c r="N707" s="116" t="s">
        <v>22</v>
      </c>
      <c r="O707" s="116" t="s">
        <v>22</v>
      </c>
      <c r="P707" s="88">
        <v>220827</v>
      </c>
      <c r="Q707" s="117">
        <v>97434</v>
      </c>
      <c r="R707" s="117">
        <v>334154</v>
      </c>
      <c r="S707" s="117">
        <v>2341</v>
      </c>
      <c r="T707" s="117">
        <v>25324</v>
      </c>
    </row>
    <row r="708" spans="1:21" s="68" customFormat="1" ht="9" customHeight="1" x14ac:dyDescent="0.25">
      <c r="A708" s="66" t="s">
        <v>47</v>
      </c>
      <c r="B708" s="88">
        <f t="shared" si="59"/>
        <v>5923</v>
      </c>
      <c r="C708" s="116" t="s">
        <v>22</v>
      </c>
      <c r="D708" s="116" t="s">
        <v>22</v>
      </c>
      <c r="E708" s="116" t="s">
        <v>22</v>
      </c>
      <c r="F708" s="88">
        <v>3172</v>
      </c>
      <c r="G708" s="117">
        <v>766</v>
      </c>
      <c r="H708" s="117">
        <v>1514</v>
      </c>
      <c r="I708" s="117">
        <v>91</v>
      </c>
      <c r="J708" s="117">
        <v>380</v>
      </c>
      <c r="K708" s="88"/>
      <c r="L708" s="88">
        <f t="shared" si="60"/>
        <v>173875</v>
      </c>
      <c r="M708" s="116" t="s">
        <v>22</v>
      </c>
      <c r="N708" s="116" t="s">
        <v>22</v>
      </c>
      <c r="O708" s="116" t="s">
        <v>22</v>
      </c>
      <c r="P708" s="88">
        <v>34093</v>
      </c>
      <c r="Q708" s="117">
        <v>75054</v>
      </c>
      <c r="R708" s="117">
        <v>51619</v>
      </c>
      <c r="S708" s="117">
        <v>707</v>
      </c>
      <c r="T708" s="117">
        <v>12402</v>
      </c>
    </row>
    <row r="709" spans="1:21" s="68" customFormat="1" ht="9" customHeight="1" x14ac:dyDescent="0.25">
      <c r="A709" s="66" t="s">
        <v>48</v>
      </c>
      <c r="B709" s="88">
        <f t="shared" si="59"/>
        <v>3900</v>
      </c>
      <c r="C709" s="116" t="s">
        <v>22</v>
      </c>
      <c r="D709" s="116" t="s">
        <v>22</v>
      </c>
      <c r="E709" s="116" t="s">
        <v>22</v>
      </c>
      <c r="F709" s="88">
        <v>1573</v>
      </c>
      <c r="G709" s="117">
        <v>214</v>
      </c>
      <c r="H709" s="117">
        <v>1392</v>
      </c>
      <c r="I709" s="117">
        <v>0</v>
      </c>
      <c r="J709" s="117">
        <v>721</v>
      </c>
      <c r="K709" s="88"/>
      <c r="L709" s="88">
        <f>SUM(M709:T709)</f>
        <v>104339</v>
      </c>
      <c r="M709" s="116" t="s">
        <v>22</v>
      </c>
      <c r="N709" s="116" t="s">
        <v>22</v>
      </c>
      <c r="O709" s="116" t="s">
        <v>22</v>
      </c>
      <c r="P709" s="88">
        <v>27041</v>
      </c>
      <c r="Q709" s="117">
        <v>4607</v>
      </c>
      <c r="R709" s="117">
        <v>70061</v>
      </c>
      <c r="S709" s="117">
        <v>0</v>
      </c>
      <c r="T709" s="117">
        <v>2630</v>
      </c>
    </row>
    <row r="710" spans="1:21" s="68" customFormat="1" ht="9" customHeight="1" x14ac:dyDescent="0.25">
      <c r="A710" s="69" t="s">
        <v>49</v>
      </c>
      <c r="B710" s="102">
        <f t="shared" si="59"/>
        <v>7233</v>
      </c>
      <c r="C710" s="118" t="s">
        <v>22</v>
      </c>
      <c r="D710" s="118" t="s">
        <v>22</v>
      </c>
      <c r="E710" s="118" t="s">
        <v>22</v>
      </c>
      <c r="F710" s="90">
        <v>3829</v>
      </c>
      <c r="G710" s="119">
        <v>1440</v>
      </c>
      <c r="H710" s="119">
        <v>1594</v>
      </c>
      <c r="I710" s="119">
        <v>32</v>
      </c>
      <c r="J710" s="119">
        <v>338</v>
      </c>
      <c r="K710" s="90"/>
      <c r="L710" s="102">
        <f t="shared" ref="L710:L714" si="61">SUM(M710:T710)</f>
        <v>224482</v>
      </c>
      <c r="M710" s="118" t="s">
        <v>22</v>
      </c>
      <c r="N710" s="118" t="s">
        <v>22</v>
      </c>
      <c r="O710" s="118" t="s">
        <v>22</v>
      </c>
      <c r="P710" s="90">
        <v>51181</v>
      </c>
      <c r="Q710" s="119">
        <v>67574</v>
      </c>
      <c r="R710" s="119">
        <v>80451</v>
      </c>
      <c r="S710" s="119">
        <v>1349</v>
      </c>
      <c r="T710" s="119">
        <v>23927</v>
      </c>
    </row>
    <row r="711" spans="1:21" s="72" customFormat="1" ht="9" customHeight="1" x14ac:dyDescent="0.25">
      <c r="A711" s="71" t="s">
        <v>50</v>
      </c>
      <c r="B711" s="88">
        <f t="shared" si="59"/>
        <v>5778</v>
      </c>
      <c r="C711" s="116" t="s">
        <v>22</v>
      </c>
      <c r="D711" s="116" t="s">
        <v>22</v>
      </c>
      <c r="E711" s="116" t="s">
        <v>22</v>
      </c>
      <c r="F711" s="92">
        <v>2804</v>
      </c>
      <c r="G711" s="117">
        <v>51</v>
      </c>
      <c r="H711" s="117">
        <v>2404</v>
      </c>
      <c r="I711" s="117">
        <v>0</v>
      </c>
      <c r="J711" s="117">
        <v>519</v>
      </c>
      <c r="K711" s="92"/>
      <c r="L711" s="88">
        <f t="shared" si="61"/>
        <v>152989</v>
      </c>
      <c r="M711" s="116" t="s">
        <v>22</v>
      </c>
      <c r="N711" s="116" t="s">
        <v>22</v>
      </c>
      <c r="O711" s="116" t="s">
        <v>22</v>
      </c>
      <c r="P711" s="92">
        <v>71400</v>
      </c>
      <c r="Q711" s="117">
        <v>247</v>
      </c>
      <c r="R711" s="117">
        <v>68329</v>
      </c>
      <c r="S711" s="117">
        <v>0</v>
      </c>
      <c r="T711" s="117">
        <v>13013</v>
      </c>
    </row>
    <row r="712" spans="1:21" s="68" customFormat="1" ht="9" customHeight="1" x14ac:dyDescent="0.25">
      <c r="A712" s="66" t="s">
        <v>51</v>
      </c>
      <c r="B712" s="88">
        <f t="shared" si="59"/>
        <v>11283</v>
      </c>
      <c r="C712" s="116" t="s">
        <v>22</v>
      </c>
      <c r="D712" s="116" t="s">
        <v>22</v>
      </c>
      <c r="E712" s="116" t="s">
        <v>22</v>
      </c>
      <c r="F712" s="88">
        <v>4766</v>
      </c>
      <c r="G712" s="117">
        <v>3026</v>
      </c>
      <c r="H712" s="117">
        <v>2634</v>
      </c>
      <c r="I712" s="117">
        <v>2</v>
      </c>
      <c r="J712" s="117">
        <v>855</v>
      </c>
      <c r="K712" s="88"/>
      <c r="L712" s="88">
        <f t="shared" si="61"/>
        <v>216396</v>
      </c>
      <c r="M712" s="116" t="s">
        <v>22</v>
      </c>
      <c r="N712" s="116" t="s">
        <v>22</v>
      </c>
      <c r="O712" s="116" t="s">
        <v>22</v>
      </c>
      <c r="P712" s="88">
        <v>61576</v>
      </c>
      <c r="Q712" s="117">
        <v>76010</v>
      </c>
      <c r="R712" s="117">
        <v>66199</v>
      </c>
      <c r="S712" s="117">
        <v>82</v>
      </c>
      <c r="T712" s="117">
        <v>12529</v>
      </c>
    </row>
    <row r="713" spans="1:21" s="68" customFormat="1" ht="9" customHeight="1" x14ac:dyDescent="0.25">
      <c r="A713" s="66" t="s">
        <v>52</v>
      </c>
      <c r="B713" s="88">
        <f t="shared" si="59"/>
        <v>5792</v>
      </c>
      <c r="C713" s="116" t="s">
        <v>22</v>
      </c>
      <c r="D713" s="116" t="s">
        <v>22</v>
      </c>
      <c r="E713" s="116" t="s">
        <v>22</v>
      </c>
      <c r="F713" s="88">
        <v>2910</v>
      </c>
      <c r="G713" s="117">
        <v>500</v>
      </c>
      <c r="H713" s="117">
        <v>1941</v>
      </c>
      <c r="I713" s="117">
        <v>162</v>
      </c>
      <c r="J713" s="117">
        <v>279</v>
      </c>
      <c r="K713" s="88"/>
      <c r="L713" s="88">
        <f t="shared" si="61"/>
        <v>180610</v>
      </c>
      <c r="M713" s="116" t="s">
        <v>22</v>
      </c>
      <c r="N713" s="116" t="s">
        <v>22</v>
      </c>
      <c r="O713" s="116" t="s">
        <v>22</v>
      </c>
      <c r="P713" s="88">
        <v>38742</v>
      </c>
      <c r="Q713" s="117">
        <v>30798</v>
      </c>
      <c r="R713" s="117">
        <v>104133</v>
      </c>
      <c r="S713" s="117">
        <v>197</v>
      </c>
      <c r="T713" s="117">
        <v>6740</v>
      </c>
    </row>
    <row r="714" spans="1:21" s="68" customFormat="1" ht="9" customHeight="1" x14ac:dyDescent="0.25">
      <c r="A714" s="69" t="s">
        <v>53</v>
      </c>
      <c r="B714" s="102">
        <f t="shared" si="59"/>
        <v>12163</v>
      </c>
      <c r="C714" s="120" t="s">
        <v>22</v>
      </c>
      <c r="D714" s="120" t="s">
        <v>22</v>
      </c>
      <c r="E714" s="120" t="s">
        <v>22</v>
      </c>
      <c r="F714" s="90">
        <v>5313</v>
      </c>
      <c r="G714" s="119">
        <v>1286</v>
      </c>
      <c r="H714" s="119">
        <v>5298</v>
      </c>
      <c r="I714" s="119">
        <v>19</v>
      </c>
      <c r="J714" s="119">
        <v>247</v>
      </c>
      <c r="K714" s="90"/>
      <c r="L714" s="102">
        <f t="shared" si="61"/>
        <v>298361</v>
      </c>
      <c r="M714" s="118" t="s">
        <v>22</v>
      </c>
      <c r="N714" s="118" t="s">
        <v>22</v>
      </c>
      <c r="O714" s="118" t="s">
        <v>22</v>
      </c>
      <c r="P714" s="90">
        <v>115046</v>
      </c>
      <c r="Q714" s="119">
        <v>37118</v>
      </c>
      <c r="R714" s="119">
        <v>138739</v>
      </c>
      <c r="S714" s="119">
        <v>230</v>
      </c>
      <c r="T714" s="119">
        <v>7228</v>
      </c>
    </row>
    <row r="715" spans="1:21" s="68" customFormat="1" ht="3.6" customHeight="1" x14ac:dyDescent="0.15">
      <c r="A715" s="104"/>
      <c r="B715" s="105"/>
      <c r="C715" s="105"/>
      <c r="D715" s="105"/>
      <c r="E715" s="105"/>
      <c r="F715" s="105"/>
      <c r="G715" s="106"/>
      <c r="H715" s="106"/>
      <c r="I715" s="106"/>
      <c r="J715" s="106"/>
      <c r="K715" s="105"/>
      <c r="L715" s="105"/>
      <c r="M715" s="105"/>
      <c r="N715" s="105"/>
      <c r="O715" s="105"/>
      <c r="P715" s="105"/>
      <c r="Q715" s="106"/>
      <c r="R715" s="106"/>
      <c r="S715" s="106"/>
      <c r="T715" s="106"/>
    </row>
    <row r="716" spans="1:21" s="68" customFormat="1" ht="3.6" customHeight="1" x14ac:dyDescent="0.15">
      <c r="A716" s="66"/>
      <c r="B716" s="95"/>
      <c r="C716" s="95"/>
      <c r="D716" s="95"/>
      <c r="E716" s="95"/>
      <c r="F716" s="95"/>
      <c r="G716" s="67"/>
      <c r="H716" s="67"/>
      <c r="I716" s="67"/>
      <c r="J716" s="67"/>
      <c r="K716" s="95"/>
      <c r="L716" s="95"/>
      <c r="M716" s="95"/>
      <c r="N716" s="95"/>
      <c r="O716" s="95"/>
      <c r="P716" s="95"/>
      <c r="Q716" s="67"/>
      <c r="R716" s="107"/>
      <c r="S716" s="107"/>
      <c r="T716" s="107"/>
    </row>
    <row r="717" spans="1:21" ht="8.25" customHeight="1" x14ac:dyDescent="0.25">
      <c r="A717" s="73" t="s">
        <v>73</v>
      </c>
      <c r="G717" s="108"/>
      <c r="H717" s="108"/>
      <c r="I717" s="108"/>
      <c r="J717" s="108"/>
      <c r="Q717" s="108"/>
      <c r="R717" s="108"/>
      <c r="S717" s="108"/>
      <c r="T717" s="108"/>
    </row>
    <row r="718" spans="1:21" ht="11.25" hidden="1" customHeight="1" x14ac:dyDescent="0.25">
      <c r="U718" s="58" t="s">
        <v>74</v>
      </c>
    </row>
  </sheetData>
  <sheetProtection sheet="1" objects="1" scenarios="1"/>
  <mergeCells count="19">
    <mergeCell ref="S1:T1"/>
    <mergeCell ref="S7:S9"/>
    <mergeCell ref="T7:T9"/>
    <mergeCell ref="A6:A9"/>
    <mergeCell ref="B7:B9"/>
    <mergeCell ref="C7:C9"/>
    <mergeCell ref="D7:D9"/>
    <mergeCell ref="E7:E9"/>
    <mergeCell ref="F7:F9"/>
    <mergeCell ref="G7:G9"/>
    <mergeCell ref="H7:H9"/>
    <mergeCell ref="I7:I9"/>
    <mergeCell ref="R7:R9"/>
    <mergeCell ref="J7:J9"/>
    <mergeCell ref="M7:M9"/>
    <mergeCell ref="N7:N9"/>
    <mergeCell ref="O7:O9"/>
    <mergeCell ref="P7:P9"/>
    <mergeCell ref="Q7:Q9"/>
  </mergeCells>
  <hyperlinks>
    <hyperlink ref="S1" location="Índice!A1" display="Índice!A1"/>
    <hyperlink ref="S1:T1" location="Índice!A1" tooltip="Ir a Índice" display="Índice!A1"/>
  </hyperlinks>
  <printOptions horizontalCentered="1" verticalCentered="1" gridLinesSet="0"/>
  <pageMargins left="0.17" right="0.17" top="0.39370078740157483" bottom="0.39370078740157483" header="0.39370078740157483" footer="0.39370078740157483"/>
  <pageSetup orientation="landscape" r:id="rId1"/>
  <headerFooter>
    <oddHeader>&amp;L&amp;"Arial,Normal"&amp;10&amp;K000080INEGI. Anuario estadístico y geográfico por entidad federativa 2019.</oddHeader>
  </headerFooter>
  <rowBreaks count="19" manualBreakCount="19">
    <brk id="44" max="17" man="1"/>
    <brk id="77" max="17" man="1"/>
    <brk id="110" max="17" man="1"/>
    <brk id="144" max="17" man="1"/>
    <brk id="179" max="17" man="1"/>
    <brk id="214" max="17" man="1"/>
    <brk id="249" max="17" man="1"/>
    <brk id="284" max="17" man="1"/>
    <brk id="319" max="17" man="1"/>
    <brk id="355" max="17" man="1"/>
    <brk id="391" max="17" man="1"/>
    <brk id="427" max="17" man="1"/>
    <brk id="463" max="17" man="1"/>
    <brk id="499" max="17" man="1"/>
    <brk id="535" max="17" man="1"/>
    <brk id="571" max="19" man="1"/>
    <brk id="607" max="19" man="1"/>
    <brk id="643" max="19" man="1"/>
    <brk id="679" max="19" man="1"/>
  </rowBreak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697"/>
  <sheetViews>
    <sheetView showGridLines="0" showRowColHeaders="0" zoomScale="130" zoomScaleNormal="130" workbookViewId="0">
      <pane xSplit="1" ySplit="6" topLeftCell="B7" activePane="bottomRight" state="frozen"/>
      <selection activeCell="B5" sqref="B5"/>
      <selection pane="topRight" activeCell="B5" sqref="B5"/>
      <selection pane="bottomLeft" activeCell="B5" sqref="B5"/>
      <selection pane="bottomRight"/>
    </sheetView>
  </sheetViews>
  <sheetFormatPr baseColWidth="10" defaultColWidth="0" defaultRowHeight="12.75" zeroHeight="1" x14ac:dyDescent="0.25"/>
  <cols>
    <col min="1" max="1" width="18.85546875" style="58" customWidth="1"/>
    <col min="2" max="2" width="9.42578125" style="58" customWidth="1"/>
    <col min="3" max="3" width="19.140625" style="58" customWidth="1"/>
    <col min="4" max="4" width="19.28515625" style="58" customWidth="1"/>
    <col min="5" max="5" width="18.5703125" style="58" customWidth="1"/>
    <col min="6" max="6" width="0.85546875" style="58" customWidth="1"/>
    <col min="7" max="16384" width="11.42578125" style="58" hidden="1"/>
  </cols>
  <sheetData>
    <row r="1" spans="1:7" s="55" customFormat="1" x14ac:dyDescent="0.2">
      <c r="A1" s="50" t="s">
        <v>88</v>
      </c>
      <c r="B1" s="75"/>
      <c r="C1" s="75"/>
      <c r="E1" s="769" t="s">
        <v>89</v>
      </c>
    </row>
    <row r="2" spans="1:7" s="55" customFormat="1" x14ac:dyDescent="0.25">
      <c r="A2" s="56" t="s">
        <v>70</v>
      </c>
      <c r="B2" s="75"/>
      <c r="C2" s="75"/>
      <c r="E2" s="76"/>
    </row>
    <row r="3" spans="1:7" ht="3.6" customHeight="1" x14ac:dyDescent="0.25">
      <c r="A3" s="57"/>
      <c r="B3" s="57"/>
      <c r="C3" s="57"/>
      <c r="D3" s="57"/>
      <c r="E3" s="57"/>
    </row>
    <row r="4" spans="1:7" ht="3.6" customHeight="1" x14ac:dyDescent="0.25">
      <c r="A4" s="59"/>
      <c r="B4" s="59"/>
      <c r="C4" s="59"/>
    </row>
    <row r="5" spans="1:7" s="74" customFormat="1" ht="8.25" x14ac:dyDescent="0.15">
      <c r="A5" s="60" t="s">
        <v>71</v>
      </c>
      <c r="B5" s="771" t="s">
        <v>13</v>
      </c>
      <c r="C5" s="771" t="s">
        <v>90</v>
      </c>
      <c r="D5" s="771" t="s">
        <v>91</v>
      </c>
      <c r="E5" s="771" t="s">
        <v>54</v>
      </c>
      <c r="F5" s="61"/>
      <c r="G5" s="82"/>
    </row>
    <row r="6" spans="1:7" ht="3.6" customHeight="1" x14ac:dyDescent="0.2">
      <c r="A6" s="57"/>
      <c r="B6" s="83"/>
      <c r="C6" s="83"/>
      <c r="D6" s="57"/>
      <c r="E6" s="57"/>
    </row>
    <row r="7" spans="1:7" ht="3.6" customHeight="1" x14ac:dyDescent="0.25">
      <c r="A7" s="59"/>
      <c r="B7" s="59"/>
      <c r="C7" s="59"/>
    </row>
    <row r="8" spans="1:7" s="65" customFormat="1" ht="9" x14ac:dyDescent="0.25">
      <c r="A8" s="85">
        <v>1999</v>
      </c>
      <c r="B8" s="86"/>
      <c r="C8" s="86"/>
      <c r="D8" s="63"/>
      <c r="E8" s="63"/>
    </row>
    <row r="9" spans="1:7" s="65" customFormat="1" ht="9" x14ac:dyDescent="0.25">
      <c r="A9" s="62" t="s">
        <v>21</v>
      </c>
      <c r="B9" s="63">
        <f>SUM(B11:B37)</f>
        <v>14633</v>
      </c>
      <c r="C9" s="63">
        <f>SUM(C11:C37)</f>
        <v>12956</v>
      </c>
      <c r="D9" s="63">
        <f>SUM(D11:D37)</f>
        <v>1560</v>
      </c>
      <c r="E9" s="63">
        <f>SUM(E11:E37)</f>
        <v>117</v>
      </c>
    </row>
    <row r="10" spans="1:7" s="65" customFormat="1" ht="3.75" customHeight="1" x14ac:dyDescent="0.25">
      <c r="A10" s="62"/>
      <c r="B10" s="63"/>
      <c r="C10" s="63"/>
      <c r="D10" s="63"/>
      <c r="E10" s="63"/>
    </row>
    <row r="11" spans="1:7" s="68" customFormat="1" ht="9" x14ac:dyDescent="0.15">
      <c r="A11" s="66" t="s">
        <v>23</v>
      </c>
      <c r="B11" s="88">
        <f t="shared" ref="B11:B37" si="0">SUM(C11:E11)</f>
        <v>282</v>
      </c>
      <c r="C11" s="88">
        <v>250</v>
      </c>
      <c r="D11" s="67">
        <v>30</v>
      </c>
      <c r="E11" s="67">
        <v>2</v>
      </c>
    </row>
    <row r="12" spans="1:7" s="68" customFormat="1" ht="9" x14ac:dyDescent="0.15">
      <c r="A12" s="66" t="s">
        <v>24</v>
      </c>
      <c r="B12" s="88">
        <f t="shared" si="0"/>
        <v>645</v>
      </c>
      <c r="C12" s="88">
        <v>561</v>
      </c>
      <c r="D12" s="67">
        <v>84</v>
      </c>
      <c r="E12" s="67">
        <v>0</v>
      </c>
    </row>
    <row r="13" spans="1:7" s="68" customFormat="1" ht="9" x14ac:dyDescent="0.15">
      <c r="A13" s="66" t="s">
        <v>25</v>
      </c>
      <c r="B13" s="88">
        <f t="shared" si="0"/>
        <v>67</v>
      </c>
      <c r="C13" s="88">
        <v>60</v>
      </c>
      <c r="D13" s="67">
        <v>7</v>
      </c>
      <c r="E13" s="67">
        <v>0</v>
      </c>
    </row>
    <row r="14" spans="1:7" s="68" customFormat="1" ht="9" x14ac:dyDescent="0.15">
      <c r="A14" s="69" t="s">
        <v>27</v>
      </c>
      <c r="B14" s="90">
        <f t="shared" si="0"/>
        <v>544</v>
      </c>
      <c r="C14" s="90">
        <v>469</v>
      </c>
      <c r="D14" s="70">
        <v>74</v>
      </c>
      <c r="E14" s="70">
        <v>1</v>
      </c>
    </row>
    <row r="15" spans="1:7" s="68" customFormat="1" ht="9" x14ac:dyDescent="0.15">
      <c r="A15" s="71" t="s">
        <v>28</v>
      </c>
      <c r="B15" s="92">
        <f t="shared" si="0"/>
        <v>209</v>
      </c>
      <c r="C15" s="92">
        <v>180</v>
      </c>
      <c r="D15" s="67">
        <v>28</v>
      </c>
      <c r="E15" s="67">
        <v>1</v>
      </c>
    </row>
    <row r="16" spans="1:7" s="68" customFormat="1" ht="9" x14ac:dyDescent="0.15">
      <c r="A16" s="71" t="s">
        <v>29</v>
      </c>
      <c r="B16" s="92">
        <f t="shared" si="0"/>
        <v>98</v>
      </c>
      <c r="C16" s="92">
        <v>92</v>
      </c>
      <c r="D16" s="67">
        <v>6</v>
      </c>
      <c r="E16" s="67">
        <v>0</v>
      </c>
    </row>
    <row r="17" spans="1:5" s="68" customFormat="1" ht="9" x14ac:dyDescent="0.15">
      <c r="A17" s="71" t="s">
        <v>30</v>
      </c>
      <c r="B17" s="92">
        <f t="shared" si="0"/>
        <v>625</v>
      </c>
      <c r="C17" s="92">
        <v>548</v>
      </c>
      <c r="D17" s="67">
        <v>74</v>
      </c>
      <c r="E17" s="67">
        <v>3</v>
      </c>
    </row>
    <row r="18" spans="1:5" s="68" customFormat="1" ht="9" x14ac:dyDescent="0.15">
      <c r="A18" s="69" t="s">
        <v>63</v>
      </c>
      <c r="B18" s="90">
        <f t="shared" si="0"/>
        <v>4581</v>
      </c>
      <c r="C18" s="90">
        <v>4087</v>
      </c>
      <c r="D18" s="70">
        <v>457</v>
      </c>
      <c r="E18" s="70">
        <v>37</v>
      </c>
    </row>
    <row r="19" spans="1:5" s="68" customFormat="1" ht="9" x14ac:dyDescent="0.15">
      <c r="A19" s="71" t="s">
        <v>31</v>
      </c>
      <c r="B19" s="92">
        <f t="shared" si="0"/>
        <v>127</v>
      </c>
      <c r="C19" s="92">
        <v>105</v>
      </c>
      <c r="D19" s="67">
        <v>21</v>
      </c>
      <c r="E19" s="67">
        <v>1</v>
      </c>
    </row>
    <row r="20" spans="1:5" s="68" customFormat="1" ht="9" x14ac:dyDescent="0.15">
      <c r="A20" s="71" t="s">
        <v>32</v>
      </c>
      <c r="B20" s="92">
        <f t="shared" si="0"/>
        <v>482</v>
      </c>
      <c r="C20" s="92">
        <v>426</v>
      </c>
      <c r="D20" s="67">
        <v>55</v>
      </c>
      <c r="E20" s="67">
        <v>1</v>
      </c>
    </row>
    <row r="21" spans="1:5" s="68" customFormat="1" ht="9" x14ac:dyDescent="0.15">
      <c r="A21" s="71" t="s">
        <v>33</v>
      </c>
      <c r="B21" s="92">
        <f t="shared" si="0"/>
        <v>333</v>
      </c>
      <c r="C21" s="92">
        <v>289</v>
      </c>
      <c r="D21" s="67">
        <v>41</v>
      </c>
      <c r="E21" s="67">
        <v>3</v>
      </c>
    </row>
    <row r="22" spans="1:5" s="68" customFormat="1" ht="9" x14ac:dyDescent="0.15">
      <c r="A22" s="69" t="s">
        <v>34</v>
      </c>
      <c r="B22" s="90">
        <f t="shared" si="0"/>
        <v>142</v>
      </c>
      <c r="C22" s="90">
        <v>125</v>
      </c>
      <c r="D22" s="70">
        <v>15</v>
      </c>
      <c r="E22" s="70">
        <v>2</v>
      </c>
    </row>
    <row r="23" spans="1:5" s="68" customFormat="1" ht="9" x14ac:dyDescent="0.15">
      <c r="A23" s="71" t="s">
        <v>35</v>
      </c>
      <c r="B23" s="92">
        <f t="shared" si="0"/>
        <v>1449</v>
      </c>
      <c r="C23" s="92">
        <v>1330</v>
      </c>
      <c r="D23" s="67">
        <v>114</v>
      </c>
      <c r="E23" s="67">
        <v>5</v>
      </c>
    </row>
    <row r="24" spans="1:5" s="68" customFormat="1" ht="9" x14ac:dyDescent="0.15">
      <c r="A24" s="71" t="s">
        <v>36</v>
      </c>
      <c r="B24" s="92">
        <f t="shared" si="0"/>
        <v>2187</v>
      </c>
      <c r="C24" s="92">
        <v>1996</v>
      </c>
      <c r="D24" s="67">
        <v>181</v>
      </c>
      <c r="E24" s="67">
        <v>10</v>
      </c>
    </row>
    <row r="25" spans="1:5" s="68" customFormat="1" ht="9" x14ac:dyDescent="0.15">
      <c r="A25" s="71" t="s">
        <v>37</v>
      </c>
      <c r="B25" s="92">
        <f t="shared" si="0"/>
        <v>74</v>
      </c>
      <c r="C25" s="92">
        <v>64</v>
      </c>
      <c r="D25" s="67">
        <v>8</v>
      </c>
      <c r="E25" s="67">
        <v>2</v>
      </c>
    </row>
    <row r="26" spans="1:5" s="68" customFormat="1" ht="9" x14ac:dyDescent="0.15">
      <c r="A26" s="69" t="s">
        <v>38</v>
      </c>
      <c r="B26" s="90">
        <f t="shared" si="0"/>
        <v>107</v>
      </c>
      <c r="C26" s="90">
        <v>72</v>
      </c>
      <c r="D26" s="70">
        <v>8</v>
      </c>
      <c r="E26" s="70">
        <v>27</v>
      </c>
    </row>
    <row r="27" spans="1:5" s="68" customFormat="1" ht="9" x14ac:dyDescent="0.15">
      <c r="A27" s="71" t="s">
        <v>40</v>
      </c>
      <c r="B27" s="92">
        <f t="shared" si="0"/>
        <v>382</v>
      </c>
      <c r="C27" s="92">
        <v>324</v>
      </c>
      <c r="D27" s="67">
        <v>56</v>
      </c>
      <c r="E27" s="67">
        <v>2</v>
      </c>
    </row>
    <row r="28" spans="1:5" s="68" customFormat="1" ht="9" x14ac:dyDescent="0.15">
      <c r="A28" s="71" t="s">
        <v>42</v>
      </c>
      <c r="B28" s="92">
        <f t="shared" si="0"/>
        <v>318</v>
      </c>
      <c r="C28" s="92">
        <v>271</v>
      </c>
      <c r="D28" s="67">
        <v>42</v>
      </c>
      <c r="E28" s="67">
        <v>5</v>
      </c>
    </row>
    <row r="29" spans="1:5" s="68" customFormat="1" ht="9" x14ac:dyDescent="0.15">
      <c r="A29" s="71" t="s">
        <v>43</v>
      </c>
      <c r="B29" s="92">
        <f t="shared" si="0"/>
        <v>195</v>
      </c>
      <c r="C29" s="92">
        <v>166</v>
      </c>
      <c r="D29" s="67">
        <v>24</v>
      </c>
      <c r="E29" s="67">
        <v>5</v>
      </c>
    </row>
    <row r="30" spans="1:5" s="68" customFormat="1" ht="9" x14ac:dyDescent="0.15">
      <c r="A30" s="69" t="s">
        <v>44</v>
      </c>
      <c r="B30" s="90">
        <f t="shared" si="0"/>
        <v>71</v>
      </c>
      <c r="C30" s="90">
        <v>63</v>
      </c>
      <c r="D30" s="70">
        <v>6</v>
      </c>
      <c r="E30" s="70">
        <v>2</v>
      </c>
    </row>
    <row r="31" spans="1:5" s="68" customFormat="1" ht="9" x14ac:dyDescent="0.15">
      <c r="A31" s="71" t="s">
        <v>45</v>
      </c>
      <c r="B31" s="92">
        <f t="shared" si="0"/>
        <v>208</v>
      </c>
      <c r="C31" s="92">
        <v>175</v>
      </c>
      <c r="D31" s="67">
        <v>33</v>
      </c>
      <c r="E31" s="67">
        <v>0</v>
      </c>
    </row>
    <row r="32" spans="1:5" s="68" customFormat="1" ht="9" x14ac:dyDescent="0.15">
      <c r="A32" s="71" t="s">
        <v>46</v>
      </c>
      <c r="B32" s="92">
        <f t="shared" si="0"/>
        <v>604</v>
      </c>
      <c r="C32" s="92">
        <v>542</v>
      </c>
      <c r="D32" s="67">
        <v>60</v>
      </c>
      <c r="E32" s="67">
        <v>2</v>
      </c>
    </row>
    <row r="33" spans="1:5" s="68" customFormat="1" ht="9" x14ac:dyDescent="0.15">
      <c r="A33" s="71" t="s">
        <v>47</v>
      </c>
      <c r="B33" s="92">
        <f t="shared" si="0"/>
        <v>154</v>
      </c>
      <c r="C33" s="92">
        <v>123</v>
      </c>
      <c r="D33" s="67">
        <v>31</v>
      </c>
      <c r="E33" s="67">
        <v>0</v>
      </c>
    </row>
    <row r="34" spans="1:5" s="68" customFormat="1" ht="9" x14ac:dyDescent="0.15">
      <c r="A34" s="69" t="s">
        <v>49</v>
      </c>
      <c r="B34" s="90">
        <f t="shared" si="0"/>
        <v>121</v>
      </c>
      <c r="C34" s="90">
        <v>103</v>
      </c>
      <c r="D34" s="70">
        <v>18</v>
      </c>
      <c r="E34" s="70">
        <v>0</v>
      </c>
    </row>
    <row r="35" spans="1:5" s="68" customFormat="1" ht="9" x14ac:dyDescent="0.15">
      <c r="A35" s="71" t="s">
        <v>51</v>
      </c>
      <c r="B35" s="92">
        <f t="shared" si="0"/>
        <v>249</v>
      </c>
      <c r="C35" s="92">
        <v>216</v>
      </c>
      <c r="D35" s="67">
        <v>33</v>
      </c>
      <c r="E35" s="67">
        <v>0</v>
      </c>
    </row>
    <row r="36" spans="1:5" s="68" customFormat="1" ht="9" x14ac:dyDescent="0.15">
      <c r="A36" s="71" t="s">
        <v>52</v>
      </c>
      <c r="B36" s="92">
        <f t="shared" si="0"/>
        <v>243</v>
      </c>
      <c r="C36" s="92">
        <v>210</v>
      </c>
      <c r="D36" s="67">
        <v>30</v>
      </c>
      <c r="E36" s="67">
        <v>3</v>
      </c>
    </row>
    <row r="37" spans="1:5" s="68" customFormat="1" ht="9" x14ac:dyDescent="0.15">
      <c r="A37" s="71" t="s">
        <v>53</v>
      </c>
      <c r="B37" s="92">
        <f t="shared" si="0"/>
        <v>136</v>
      </c>
      <c r="C37" s="92">
        <v>109</v>
      </c>
      <c r="D37" s="67">
        <v>24</v>
      </c>
      <c r="E37" s="67">
        <v>3</v>
      </c>
    </row>
    <row r="38" spans="1:5" s="68" customFormat="1" ht="9" x14ac:dyDescent="0.15">
      <c r="A38" s="66"/>
      <c r="B38" s="93"/>
      <c r="C38" s="93"/>
      <c r="D38" s="67"/>
      <c r="E38" s="67"/>
    </row>
    <row r="39" spans="1:5" s="65" customFormat="1" ht="9" x14ac:dyDescent="0.25">
      <c r="A39" s="85">
        <v>2000</v>
      </c>
      <c r="B39" s="86"/>
      <c r="C39" s="86"/>
      <c r="D39" s="63"/>
      <c r="E39" s="63"/>
    </row>
    <row r="40" spans="1:5" s="65" customFormat="1" ht="9" x14ac:dyDescent="0.25">
      <c r="A40" s="62" t="s">
        <v>21</v>
      </c>
      <c r="B40" s="63">
        <f>SUM(B42:B68)</f>
        <v>14761</v>
      </c>
      <c r="C40" s="63">
        <f>SUM(C42:C68)</f>
        <v>10714</v>
      </c>
      <c r="D40" s="63">
        <f>SUM(D42:D68)</f>
        <v>1524</v>
      </c>
      <c r="E40" s="63">
        <f>SUM(E42:E68)</f>
        <v>2523</v>
      </c>
    </row>
    <row r="41" spans="1:5" s="65" customFormat="1" ht="3.95" customHeight="1" x14ac:dyDescent="0.25">
      <c r="A41" s="62"/>
      <c r="B41" s="63"/>
      <c r="C41" s="63"/>
      <c r="D41" s="63"/>
      <c r="E41" s="63"/>
    </row>
    <row r="42" spans="1:5" s="68" customFormat="1" ht="9" x14ac:dyDescent="0.15">
      <c r="A42" s="66" t="s">
        <v>23</v>
      </c>
      <c r="B42" s="88">
        <f t="shared" ref="B42:B68" si="1">SUM(C42:E42)</f>
        <v>229</v>
      </c>
      <c r="C42" s="88">
        <v>182</v>
      </c>
      <c r="D42" s="67">
        <v>29</v>
      </c>
      <c r="E42" s="67">
        <v>18</v>
      </c>
    </row>
    <row r="43" spans="1:5" s="68" customFormat="1" ht="9" x14ac:dyDescent="0.15">
      <c r="A43" s="66" t="s">
        <v>24</v>
      </c>
      <c r="B43" s="88">
        <f t="shared" si="1"/>
        <v>652</v>
      </c>
      <c r="C43" s="88">
        <v>495</v>
      </c>
      <c r="D43" s="67">
        <v>78</v>
      </c>
      <c r="E43" s="67">
        <v>79</v>
      </c>
    </row>
    <row r="44" spans="1:5" s="68" customFormat="1" ht="9" x14ac:dyDescent="0.15">
      <c r="A44" s="66" t="s">
        <v>25</v>
      </c>
      <c r="B44" s="88">
        <f t="shared" si="1"/>
        <v>120</v>
      </c>
      <c r="C44" s="88">
        <v>64</v>
      </c>
      <c r="D44" s="67">
        <v>22</v>
      </c>
      <c r="E44" s="67">
        <v>34</v>
      </c>
    </row>
    <row r="45" spans="1:5" s="68" customFormat="1" ht="9" x14ac:dyDescent="0.15">
      <c r="A45" s="69" t="s">
        <v>27</v>
      </c>
      <c r="B45" s="90">
        <f t="shared" si="1"/>
        <v>555</v>
      </c>
      <c r="C45" s="90">
        <v>395</v>
      </c>
      <c r="D45" s="70">
        <v>77</v>
      </c>
      <c r="E45" s="70">
        <v>83</v>
      </c>
    </row>
    <row r="46" spans="1:5" s="68" customFormat="1" ht="9" x14ac:dyDescent="0.15">
      <c r="A46" s="71" t="s">
        <v>28</v>
      </c>
      <c r="B46" s="92">
        <f t="shared" si="1"/>
        <v>242</v>
      </c>
      <c r="C46" s="92">
        <v>140</v>
      </c>
      <c r="D46" s="67">
        <v>29</v>
      </c>
      <c r="E46" s="67">
        <v>73</v>
      </c>
    </row>
    <row r="47" spans="1:5" s="68" customFormat="1" ht="9" x14ac:dyDescent="0.15">
      <c r="A47" s="71" t="s">
        <v>29</v>
      </c>
      <c r="B47" s="92">
        <f t="shared" si="1"/>
        <v>69</v>
      </c>
      <c r="C47" s="92">
        <v>62</v>
      </c>
      <c r="D47" s="67">
        <v>7</v>
      </c>
      <c r="E47" s="67">
        <v>0</v>
      </c>
    </row>
    <row r="48" spans="1:5" s="68" customFormat="1" ht="9" x14ac:dyDescent="0.15">
      <c r="A48" s="71" t="s">
        <v>30</v>
      </c>
      <c r="B48" s="92">
        <f t="shared" si="1"/>
        <v>768</v>
      </c>
      <c r="C48" s="92">
        <v>494</v>
      </c>
      <c r="D48" s="67">
        <v>59</v>
      </c>
      <c r="E48" s="67">
        <v>215</v>
      </c>
    </row>
    <row r="49" spans="1:5" s="68" customFormat="1" ht="9" x14ac:dyDescent="0.15">
      <c r="A49" s="69" t="s">
        <v>63</v>
      </c>
      <c r="B49" s="90">
        <f t="shared" si="1"/>
        <v>4155</v>
      </c>
      <c r="C49" s="90">
        <v>2936</v>
      </c>
      <c r="D49" s="70">
        <v>418</v>
      </c>
      <c r="E49" s="70">
        <v>801</v>
      </c>
    </row>
    <row r="50" spans="1:5" s="68" customFormat="1" ht="9" x14ac:dyDescent="0.15">
      <c r="A50" s="71" t="s">
        <v>31</v>
      </c>
      <c r="B50" s="92">
        <f t="shared" si="1"/>
        <v>141</v>
      </c>
      <c r="C50" s="92">
        <v>63</v>
      </c>
      <c r="D50" s="67">
        <v>16</v>
      </c>
      <c r="E50" s="67">
        <v>62</v>
      </c>
    </row>
    <row r="51" spans="1:5" s="68" customFormat="1" ht="9" x14ac:dyDescent="0.15">
      <c r="A51" s="71" t="s">
        <v>32</v>
      </c>
      <c r="B51" s="92">
        <f t="shared" si="1"/>
        <v>482</v>
      </c>
      <c r="C51" s="92">
        <v>343</v>
      </c>
      <c r="D51" s="67">
        <v>49</v>
      </c>
      <c r="E51" s="67">
        <v>90</v>
      </c>
    </row>
    <row r="52" spans="1:5" s="68" customFormat="1" ht="9" x14ac:dyDescent="0.15">
      <c r="A52" s="71" t="s">
        <v>33</v>
      </c>
      <c r="B52" s="92">
        <f t="shared" si="1"/>
        <v>403</v>
      </c>
      <c r="C52" s="92">
        <v>310</v>
      </c>
      <c r="D52" s="67">
        <v>45</v>
      </c>
      <c r="E52" s="67">
        <v>48</v>
      </c>
    </row>
    <row r="53" spans="1:5" s="68" customFormat="1" ht="9" x14ac:dyDescent="0.15">
      <c r="A53" s="69" t="s">
        <v>34</v>
      </c>
      <c r="B53" s="90">
        <f t="shared" si="1"/>
        <v>233</v>
      </c>
      <c r="C53" s="90">
        <v>160</v>
      </c>
      <c r="D53" s="70">
        <v>23</v>
      </c>
      <c r="E53" s="70">
        <v>50</v>
      </c>
    </row>
    <row r="54" spans="1:5" s="68" customFormat="1" ht="9" x14ac:dyDescent="0.15">
      <c r="A54" s="71" t="s">
        <v>35</v>
      </c>
      <c r="B54" s="92">
        <f t="shared" si="1"/>
        <v>1621</v>
      </c>
      <c r="C54" s="92">
        <v>1319</v>
      </c>
      <c r="D54" s="67">
        <v>142</v>
      </c>
      <c r="E54" s="67">
        <v>160</v>
      </c>
    </row>
    <row r="55" spans="1:5" s="68" customFormat="1" ht="9" x14ac:dyDescent="0.15">
      <c r="A55" s="71" t="s">
        <v>36</v>
      </c>
      <c r="B55" s="92">
        <f t="shared" si="1"/>
        <v>1910</v>
      </c>
      <c r="C55" s="92">
        <v>1394</v>
      </c>
      <c r="D55" s="67">
        <v>152</v>
      </c>
      <c r="E55" s="67">
        <v>364</v>
      </c>
    </row>
    <row r="56" spans="1:5" s="68" customFormat="1" ht="9" x14ac:dyDescent="0.15">
      <c r="A56" s="71" t="s">
        <v>37</v>
      </c>
      <c r="B56" s="92">
        <f t="shared" si="1"/>
        <v>55</v>
      </c>
      <c r="C56" s="92">
        <v>41</v>
      </c>
      <c r="D56" s="67">
        <v>12</v>
      </c>
      <c r="E56" s="67">
        <v>2</v>
      </c>
    </row>
    <row r="57" spans="1:5" s="68" customFormat="1" ht="9" x14ac:dyDescent="0.15">
      <c r="A57" s="69" t="s">
        <v>38</v>
      </c>
      <c r="B57" s="90">
        <f t="shared" si="1"/>
        <v>96</v>
      </c>
      <c r="C57" s="90">
        <v>36</v>
      </c>
      <c r="D57" s="70">
        <v>10</v>
      </c>
      <c r="E57" s="70">
        <v>50</v>
      </c>
    </row>
    <row r="58" spans="1:5" s="68" customFormat="1" ht="9" x14ac:dyDescent="0.15">
      <c r="A58" s="71" t="s">
        <v>40</v>
      </c>
      <c r="B58" s="92">
        <f t="shared" si="1"/>
        <v>480</v>
      </c>
      <c r="C58" s="92">
        <v>383</v>
      </c>
      <c r="D58" s="67">
        <v>68</v>
      </c>
      <c r="E58" s="67">
        <v>29</v>
      </c>
    </row>
    <row r="59" spans="1:5" s="68" customFormat="1" ht="9" x14ac:dyDescent="0.15">
      <c r="A59" s="71" t="s">
        <v>42</v>
      </c>
      <c r="B59" s="92">
        <f t="shared" si="1"/>
        <v>333</v>
      </c>
      <c r="C59" s="92">
        <v>295</v>
      </c>
      <c r="D59" s="67">
        <v>38</v>
      </c>
      <c r="E59" s="67">
        <v>0</v>
      </c>
    </row>
    <row r="60" spans="1:5" s="68" customFormat="1" ht="9" x14ac:dyDescent="0.15">
      <c r="A60" s="71" t="s">
        <v>43</v>
      </c>
      <c r="B60" s="92">
        <f t="shared" si="1"/>
        <v>145</v>
      </c>
      <c r="C60" s="92">
        <v>123</v>
      </c>
      <c r="D60" s="67">
        <v>22</v>
      </c>
      <c r="E60" s="67">
        <v>0</v>
      </c>
    </row>
    <row r="61" spans="1:5" s="68" customFormat="1" ht="9" x14ac:dyDescent="0.15">
      <c r="A61" s="69" t="s">
        <v>44</v>
      </c>
      <c r="B61" s="90">
        <f t="shared" si="1"/>
        <v>85</v>
      </c>
      <c r="C61" s="90">
        <v>46</v>
      </c>
      <c r="D61" s="70">
        <v>3</v>
      </c>
      <c r="E61" s="70">
        <v>36</v>
      </c>
    </row>
    <row r="62" spans="1:5" s="68" customFormat="1" ht="9" x14ac:dyDescent="0.15">
      <c r="A62" s="71" t="s">
        <v>45</v>
      </c>
      <c r="B62" s="92">
        <f t="shared" si="1"/>
        <v>227</v>
      </c>
      <c r="C62" s="92">
        <v>180</v>
      </c>
      <c r="D62" s="67">
        <v>15</v>
      </c>
      <c r="E62" s="67">
        <v>32</v>
      </c>
    </row>
    <row r="63" spans="1:5" s="68" customFormat="1" ht="9" x14ac:dyDescent="0.15">
      <c r="A63" s="71" t="s">
        <v>46</v>
      </c>
      <c r="B63" s="92">
        <f t="shared" si="1"/>
        <v>681</v>
      </c>
      <c r="C63" s="92">
        <v>510</v>
      </c>
      <c r="D63" s="67">
        <v>63</v>
      </c>
      <c r="E63" s="67">
        <v>108</v>
      </c>
    </row>
    <row r="64" spans="1:5" s="68" customFormat="1" ht="9" x14ac:dyDescent="0.15">
      <c r="A64" s="71" t="s">
        <v>47</v>
      </c>
      <c r="B64" s="92">
        <f t="shared" si="1"/>
        <v>230</v>
      </c>
      <c r="C64" s="92">
        <v>108</v>
      </c>
      <c r="D64" s="67">
        <v>26</v>
      </c>
      <c r="E64" s="67">
        <v>96</v>
      </c>
    </row>
    <row r="65" spans="1:5" s="68" customFormat="1" ht="9" x14ac:dyDescent="0.15">
      <c r="A65" s="69" t="s">
        <v>49</v>
      </c>
      <c r="B65" s="90">
        <f t="shared" si="1"/>
        <v>209</v>
      </c>
      <c r="C65" s="90">
        <v>133</v>
      </c>
      <c r="D65" s="70">
        <v>19</v>
      </c>
      <c r="E65" s="70">
        <v>57</v>
      </c>
    </row>
    <row r="66" spans="1:5" s="68" customFormat="1" ht="9" x14ac:dyDescent="0.15">
      <c r="A66" s="71" t="s">
        <v>51</v>
      </c>
      <c r="B66" s="92">
        <f t="shared" si="1"/>
        <v>219</v>
      </c>
      <c r="C66" s="92">
        <v>163</v>
      </c>
      <c r="D66" s="67">
        <v>38</v>
      </c>
      <c r="E66" s="67">
        <v>18</v>
      </c>
    </row>
    <row r="67" spans="1:5" s="68" customFormat="1" ht="9" x14ac:dyDescent="0.15">
      <c r="A67" s="71" t="s">
        <v>52</v>
      </c>
      <c r="B67" s="92">
        <f t="shared" si="1"/>
        <v>260</v>
      </c>
      <c r="C67" s="92">
        <v>214</v>
      </c>
      <c r="D67" s="67">
        <v>46</v>
      </c>
      <c r="E67" s="67">
        <v>0</v>
      </c>
    </row>
    <row r="68" spans="1:5" s="68" customFormat="1" ht="9" x14ac:dyDescent="0.15">
      <c r="A68" s="71" t="s">
        <v>53</v>
      </c>
      <c r="B68" s="92">
        <f t="shared" si="1"/>
        <v>161</v>
      </c>
      <c r="C68" s="92">
        <v>125</v>
      </c>
      <c r="D68" s="67">
        <v>18</v>
      </c>
      <c r="E68" s="67">
        <v>18</v>
      </c>
    </row>
    <row r="69" spans="1:5" s="74" customFormat="1" ht="8.25" x14ac:dyDescent="0.25"/>
    <row r="70" spans="1:5" s="65" customFormat="1" ht="9" x14ac:dyDescent="0.25">
      <c r="A70" s="85">
        <v>2001</v>
      </c>
      <c r="B70" s="86"/>
      <c r="C70" s="86"/>
      <c r="D70" s="63"/>
      <c r="E70" s="63"/>
    </row>
    <row r="71" spans="1:5" s="65" customFormat="1" ht="9" x14ac:dyDescent="0.25">
      <c r="A71" s="62" t="s">
        <v>21</v>
      </c>
      <c r="B71" s="63">
        <f>SUM(B73:B99)</f>
        <v>15114</v>
      </c>
      <c r="C71" s="63">
        <f>SUM(C73:C99)</f>
        <v>12091</v>
      </c>
      <c r="D71" s="63">
        <f>SUM(D73:D99)</f>
        <v>1876</v>
      </c>
      <c r="E71" s="63">
        <f>SUM(E73:E99)</f>
        <v>1147</v>
      </c>
    </row>
    <row r="72" spans="1:5" s="65" customFormat="1" ht="3.95" customHeight="1" x14ac:dyDescent="0.25">
      <c r="A72" s="62"/>
      <c r="B72" s="63"/>
      <c r="C72" s="63"/>
      <c r="D72" s="63"/>
      <c r="E72" s="63"/>
    </row>
    <row r="73" spans="1:5" s="68" customFormat="1" ht="9" x14ac:dyDescent="0.15">
      <c r="A73" s="66" t="s">
        <v>23</v>
      </c>
      <c r="B73" s="88">
        <f t="shared" ref="B73:B99" si="2">SUM(C73:E73)</f>
        <v>232</v>
      </c>
      <c r="C73" s="88">
        <v>200</v>
      </c>
      <c r="D73" s="67">
        <v>30</v>
      </c>
      <c r="E73" s="67">
        <v>2</v>
      </c>
    </row>
    <row r="74" spans="1:5" s="68" customFormat="1" ht="9" x14ac:dyDescent="0.15">
      <c r="A74" s="66" t="s">
        <v>24</v>
      </c>
      <c r="B74" s="88">
        <f t="shared" si="2"/>
        <v>625</v>
      </c>
      <c r="C74" s="88">
        <v>521</v>
      </c>
      <c r="D74" s="67">
        <v>70</v>
      </c>
      <c r="E74" s="67">
        <v>34</v>
      </c>
    </row>
    <row r="75" spans="1:5" s="68" customFormat="1" ht="9" x14ac:dyDescent="0.15">
      <c r="A75" s="66" t="s">
        <v>25</v>
      </c>
      <c r="B75" s="88">
        <f t="shared" si="2"/>
        <v>70</v>
      </c>
      <c r="C75" s="88">
        <v>57</v>
      </c>
      <c r="D75" s="67">
        <v>13</v>
      </c>
      <c r="E75" s="67">
        <v>0</v>
      </c>
    </row>
    <row r="76" spans="1:5" s="68" customFormat="1" ht="9" x14ac:dyDescent="0.15">
      <c r="A76" s="69" t="s">
        <v>27</v>
      </c>
      <c r="B76" s="90">
        <f t="shared" si="2"/>
        <v>553</v>
      </c>
      <c r="C76" s="90">
        <v>463</v>
      </c>
      <c r="D76" s="70">
        <v>82</v>
      </c>
      <c r="E76" s="70">
        <v>8</v>
      </c>
    </row>
    <row r="77" spans="1:5" s="68" customFormat="1" ht="9" x14ac:dyDescent="0.15">
      <c r="A77" s="71" t="s">
        <v>28</v>
      </c>
      <c r="B77" s="92">
        <f t="shared" si="2"/>
        <v>256</v>
      </c>
      <c r="C77" s="92">
        <v>203</v>
      </c>
      <c r="D77" s="67">
        <v>37</v>
      </c>
      <c r="E77" s="67">
        <v>16</v>
      </c>
    </row>
    <row r="78" spans="1:5" s="68" customFormat="1" ht="9" x14ac:dyDescent="0.15">
      <c r="A78" s="71" t="s">
        <v>29</v>
      </c>
      <c r="B78" s="92">
        <f t="shared" si="2"/>
        <v>77</v>
      </c>
      <c r="C78" s="92">
        <v>47</v>
      </c>
      <c r="D78" s="67">
        <v>14</v>
      </c>
      <c r="E78" s="67">
        <v>16</v>
      </c>
    </row>
    <row r="79" spans="1:5" s="68" customFormat="1" ht="9" x14ac:dyDescent="0.15">
      <c r="A79" s="71" t="s">
        <v>30</v>
      </c>
      <c r="B79" s="92">
        <f t="shared" si="2"/>
        <v>683</v>
      </c>
      <c r="C79" s="92">
        <v>454</v>
      </c>
      <c r="D79" s="67">
        <v>79</v>
      </c>
      <c r="E79" s="67">
        <v>150</v>
      </c>
    </row>
    <row r="80" spans="1:5" s="68" customFormat="1" ht="9" x14ac:dyDescent="0.15">
      <c r="A80" s="69" t="s">
        <v>63</v>
      </c>
      <c r="B80" s="90">
        <f t="shared" si="2"/>
        <v>4310</v>
      </c>
      <c r="C80" s="90">
        <v>3541</v>
      </c>
      <c r="D80" s="70">
        <v>535</v>
      </c>
      <c r="E80" s="70">
        <v>234</v>
      </c>
    </row>
    <row r="81" spans="1:5" s="68" customFormat="1" ht="9" x14ac:dyDescent="0.15">
      <c r="A81" s="71" t="s">
        <v>31</v>
      </c>
      <c r="B81" s="92">
        <f t="shared" si="2"/>
        <v>151</v>
      </c>
      <c r="C81" s="92">
        <v>124</v>
      </c>
      <c r="D81" s="67">
        <v>21</v>
      </c>
      <c r="E81" s="67">
        <v>6</v>
      </c>
    </row>
    <row r="82" spans="1:5" s="68" customFormat="1" ht="9" x14ac:dyDescent="0.15">
      <c r="A82" s="71" t="s">
        <v>32</v>
      </c>
      <c r="B82" s="92">
        <f t="shared" si="2"/>
        <v>509</v>
      </c>
      <c r="C82" s="92">
        <v>399</v>
      </c>
      <c r="D82" s="67">
        <v>54</v>
      </c>
      <c r="E82" s="67">
        <v>56</v>
      </c>
    </row>
    <row r="83" spans="1:5" s="68" customFormat="1" ht="9" x14ac:dyDescent="0.15">
      <c r="A83" s="71" t="s">
        <v>33</v>
      </c>
      <c r="B83" s="92">
        <f t="shared" si="2"/>
        <v>385</v>
      </c>
      <c r="C83" s="92">
        <v>311</v>
      </c>
      <c r="D83" s="67">
        <v>49</v>
      </c>
      <c r="E83" s="67">
        <v>25</v>
      </c>
    </row>
    <row r="84" spans="1:5" s="68" customFormat="1" ht="9" x14ac:dyDescent="0.15">
      <c r="A84" s="69" t="s">
        <v>34</v>
      </c>
      <c r="B84" s="90">
        <f t="shared" si="2"/>
        <v>150</v>
      </c>
      <c r="C84" s="90">
        <v>126</v>
      </c>
      <c r="D84" s="70">
        <v>24</v>
      </c>
      <c r="E84" s="70">
        <v>0</v>
      </c>
    </row>
    <row r="85" spans="1:5" s="68" customFormat="1" ht="9" x14ac:dyDescent="0.15">
      <c r="A85" s="71" t="s">
        <v>35</v>
      </c>
      <c r="B85" s="92">
        <f t="shared" si="2"/>
        <v>1560</v>
      </c>
      <c r="C85" s="92">
        <v>1323</v>
      </c>
      <c r="D85" s="67">
        <v>137</v>
      </c>
      <c r="E85" s="67">
        <v>100</v>
      </c>
    </row>
    <row r="86" spans="1:5" s="68" customFormat="1" ht="9" x14ac:dyDescent="0.15">
      <c r="A86" s="71" t="s">
        <v>36</v>
      </c>
      <c r="B86" s="92">
        <f t="shared" si="2"/>
        <v>2002</v>
      </c>
      <c r="C86" s="92">
        <v>1615</v>
      </c>
      <c r="D86" s="67">
        <v>202</v>
      </c>
      <c r="E86" s="67">
        <v>185</v>
      </c>
    </row>
    <row r="87" spans="1:5" s="68" customFormat="1" ht="9" x14ac:dyDescent="0.15">
      <c r="A87" s="71" t="s">
        <v>37</v>
      </c>
      <c r="B87" s="92">
        <f t="shared" si="2"/>
        <v>73</v>
      </c>
      <c r="C87" s="92">
        <v>47</v>
      </c>
      <c r="D87" s="67">
        <v>9</v>
      </c>
      <c r="E87" s="67">
        <v>17</v>
      </c>
    </row>
    <row r="88" spans="1:5" s="68" customFormat="1" ht="9" x14ac:dyDescent="0.15">
      <c r="A88" s="69" t="s">
        <v>38</v>
      </c>
      <c r="B88" s="90">
        <f t="shared" si="2"/>
        <v>88</v>
      </c>
      <c r="C88" s="90">
        <v>71</v>
      </c>
      <c r="D88" s="70">
        <v>15</v>
      </c>
      <c r="E88" s="70">
        <v>2</v>
      </c>
    </row>
    <row r="89" spans="1:5" s="68" customFormat="1" ht="9" x14ac:dyDescent="0.15">
      <c r="A89" s="71" t="s">
        <v>40</v>
      </c>
      <c r="B89" s="92">
        <f t="shared" si="2"/>
        <v>533</v>
      </c>
      <c r="C89" s="92">
        <v>429</v>
      </c>
      <c r="D89" s="67">
        <v>74</v>
      </c>
      <c r="E89" s="67">
        <v>30</v>
      </c>
    </row>
    <row r="90" spans="1:5" s="68" customFormat="1" ht="9" x14ac:dyDescent="0.15">
      <c r="A90" s="71" t="s">
        <v>42</v>
      </c>
      <c r="B90" s="92">
        <f t="shared" si="2"/>
        <v>428</v>
      </c>
      <c r="C90" s="92">
        <v>339</v>
      </c>
      <c r="D90" s="67">
        <v>72</v>
      </c>
      <c r="E90" s="67">
        <v>17</v>
      </c>
    </row>
    <row r="91" spans="1:5" s="68" customFormat="1" ht="9" x14ac:dyDescent="0.15">
      <c r="A91" s="71" t="s">
        <v>43</v>
      </c>
      <c r="B91" s="92">
        <f t="shared" si="2"/>
        <v>141</v>
      </c>
      <c r="C91" s="92">
        <v>124</v>
      </c>
      <c r="D91" s="67">
        <v>17</v>
      </c>
      <c r="E91" s="67">
        <v>0</v>
      </c>
    </row>
    <row r="92" spans="1:5" s="68" customFormat="1" ht="9" x14ac:dyDescent="0.15">
      <c r="A92" s="69" t="s">
        <v>44</v>
      </c>
      <c r="B92" s="90">
        <f t="shared" si="2"/>
        <v>99</v>
      </c>
      <c r="C92" s="90">
        <v>72</v>
      </c>
      <c r="D92" s="70">
        <v>17</v>
      </c>
      <c r="E92" s="70">
        <v>10</v>
      </c>
    </row>
    <row r="93" spans="1:5" s="68" customFormat="1" ht="9" x14ac:dyDescent="0.15">
      <c r="A93" s="71" t="s">
        <v>45</v>
      </c>
      <c r="B93" s="92">
        <f t="shared" si="2"/>
        <v>265</v>
      </c>
      <c r="C93" s="92">
        <v>198</v>
      </c>
      <c r="D93" s="67">
        <v>41</v>
      </c>
      <c r="E93" s="67">
        <v>26</v>
      </c>
    </row>
    <row r="94" spans="1:5" s="68" customFormat="1" ht="9" x14ac:dyDescent="0.15">
      <c r="A94" s="71" t="s">
        <v>46</v>
      </c>
      <c r="B94" s="92">
        <f t="shared" si="2"/>
        <v>812</v>
      </c>
      <c r="C94" s="92">
        <v>619</v>
      </c>
      <c r="D94" s="67">
        <v>67</v>
      </c>
      <c r="E94" s="67">
        <v>126</v>
      </c>
    </row>
    <row r="95" spans="1:5" s="68" customFormat="1" ht="9" x14ac:dyDescent="0.15">
      <c r="A95" s="71" t="s">
        <v>47</v>
      </c>
      <c r="B95" s="92">
        <f t="shared" si="2"/>
        <v>208</v>
      </c>
      <c r="C95" s="92">
        <v>147</v>
      </c>
      <c r="D95" s="67">
        <v>50</v>
      </c>
      <c r="E95" s="67">
        <v>11</v>
      </c>
    </row>
    <row r="96" spans="1:5" s="68" customFormat="1" ht="9" x14ac:dyDescent="0.15">
      <c r="A96" s="69" t="s">
        <v>49</v>
      </c>
      <c r="B96" s="90">
        <f t="shared" si="2"/>
        <v>199</v>
      </c>
      <c r="C96" s="90">
        <v>135</v>
      </c>
      <c r="D96" s="70">
        <v>27</v>
      </c>
      <c r="E96" s="70">
        <v>37</v>
      </c>
    </row>
    <row r="97" spans="1:5" s="68" customFormat="1" ht="9" x14ac:dyDescent="0.15">
      <c r="A97" s="71" t="s">
        <v>51</v>
      </c>
      <c r="B97" s="92">
        <f t="shared" si="2"/>
        <v>305</v>
      </c>
      <c r="C97" s="92">
        <v>221</v>
      </c>
      <c r="D97" s="67">
        <v>53</v>
      </c>
      <c r="E97" s="67">
        <v>31</v>
      </c>
    </row>
    <row r="98" spans="1:5" s="68" customFormat="1" ht="9" x14ac:dyDescent="0.15">
      <c r="A98" s="71" t="s">
        <v>52</v>
      </c>
      <c r="B98" s="92">
        <f t="shared" si="2"/>
        <v>275</v>
      </c>
      <c r="C98" s="92">
        <v>203</v>
      </c>
      <c r="D98" s="67">
        <v>72</v>
      </c>
      <c r="E98" s="67">
        <v>0</v>
      </c>
    </row>
    <row r="99" spans="1:5" s="68" customFormat="1" ht="9" x14ac:dyDescent="0.15">
      <c r="A99" s="71" t="s">
        <v>53</v>
      </c>
      <c r="B99" s="109">
        <f t="shared" si="2"/>
        <v>125</v>
      </c>
      <c r="C99" s="109">
        <v>102</v>
      </c>
      <c r="D99" s="67">
        <v>15</v>
      </c>
      <c r="E99" s="67">
        <v>8</v>
      </c>
    </row>
    <row r="100" spans="1:5" s="65" customFormat="1" ht="9" x14ac:dyDescent="0.25">
      <c r="B100" s="86"/>
      <c r="C100" s="86"/>
      <c r="D100" s="63"/>
      <c r="E100" s="63"/>
    </row>
    <row r="101" spans="1:5" s="65" customFormat="1" ht="9" x14ac:dyDescent="0.25">
      <c r="A101" s="85">
        <v>2002</v>
      </c>
      <c r="B101" s="86"/>
      <c r="C101" s="86"/>
      <c r="D101" s="63"/>
      <c r="E101" s="63"/>
    </row>
    <row r="102" spans="1:5" s="65" customFormat="1" ht="9" x14ac:dyDescent="0.25">
      <c r="A102" s="62" t="s">
        <v>21</v>
      </c>
      <c r="B102" s="63">
        <f>SUM(B104:B131)</f>
        <v>17014</v>
      </c>
      <c r="C102" s="63">
        <f>SUM(C104:C131)</f>
        <v>13765</v>
      </c>
      <c r="D102" s="63">
        <f>SUM(D104:D131)</f>
        <v>2379</v>
      </c>
      <c r="E102" s="63">
        <f>SUM(E104:E131)</f>
        <v>870</v>
      </c>
    </row>
    <row r="103" spans="1:5" s="65" customFormat="1" ht="3.95" customHeight="1" x14ac:dyDescent="0.25">
      <c r="A103" s="62"/>
      <c r="B103" s="63"/>
      <c r="C103" s="63"/>
      <c r="D103" s="63"/>
      <c r="E103" s="63"/>
    </row>
    <row r="104" spans="1:5" s="68" customFormat="1" ht="9" x14ac:dyDescent="0.15">
      <c r="A104" s="66" t="s">
        <v>23</v>
      </c>
      <c r="B104" s="88">
        <f t="shared" ref="B104:B131" si="3">SUM(C104:E104)</f>
        <v>350</v>
      </c>
      <c r="C104" s="88">
        <v>301</v>
      </c>
      <c r="D104" s="67">
        <v>49</v>
      </c>
      <c r="E104" s="67">
        <v>0</v>
      </c>
    </row>
    <row r="105" spans="1:5" s="68" customFormat="1" ht="9" x14ac:dyDescent="0.15">
      <c r="A105" s="66" t="s">
        <v>24</v>
      </c>
      <c r="B105" s="88">
        <f t="shared" si="3"/>
        <v>566</v>
      </c>
      <c r="C105" s="88">
        <v>370</v>
      </c>
      <c r="D105" s="67">
        <v>52</v>
      </c>
      <c r="E105" s="67">
        <v>144</v>
      </c>
    </row>
    <row r="106" spans="1:5" s="68" customFormat="1" ht="9" x14ac:dyDescent="0.15">
      <c r="A106" s="66" t="s">
        <v>25</v>
      </c>
      <c r="B106" s="88">
        <f t="shared" si="3"/>
        <v>102</v>
      </c>
      <c r="C106" s="88">
        <v>78</v>
      </c>
      <c r="D106" s="67">
        <v>24</v>
      </c>
      <c r="E106" s="67">
        <v>0</v>
      </c>
    </row>
    <row r="107" spans="1:5" s="68" customFormat="1" ht="9" x14ac:dyDescent="0.15">
      <c r="A107" s="69" t="s">
        <v>27</v>
      </c>
      <c r="B107" s="90">
        <f t="shared" si="3"/>
        <v>533</v>
      </c>
      <c r="C107" s="90">
        <v>437</v>
      </c>
      <c r="D107" s="70">
        <v>86</v>
      </c>
      <c r="E107" s="70">
        <v>10</v>
      </c>
    </row>
    <row r="108" spans="1:5" s="68" customFormat="1" ht="9" x14ac:dyDescent="0.15">
      <c r="A108" s="71" t="s">
        <v>28</v>
      </c>
      <c r="B108" s="92">
        <f t="shared" si="3"/>
        <v>200</v>
      </c>
      <c r="C108" s="92">
        <v>155</v>
      </c>
      <c r="D108" s="67">
        <v>34</v>
      </c>
      <c r="E108" s="67">
        <v>11</v>
      </c>
    </row>
    <row r="109" spans="1:5" s="68" customFormat="1" ht="9" x14ac:dyDescent="0.15">
      <c r="A109" s="71" t="s">
        <v>29</v>
      </c>
      <c r="B109" s="92">
        <f t="shared" si="3"/>
        <v>98</v>
      </c>
      <c r="C109" s="92">
        <v>86</v>
      </c>
      <c r="D109" s="67">
        <v>12</v>
      </c>
      <c r="E109" s="67">
        <v>0</v>
      </c>
    </row>
    <row r="110" spans="1:5" s="68" customFormat="1" ht="9" x14ac:dyDescent="0.15">
      <c r="A110" s="71" t="s">
        <v>30</v>
      </c>
      <c r="B110" s="92">
        <f t="shared" si="3"/>
        <v>808</v>
      </c>
      <c r="C110" s="92">
        <v>586</v>
      </c>
      <c r="D110" s="67">
        <v>123</v>
      </c>
      <c r="E110" s="67">
        <v>99</v>
      </c>
    </row>
    <row r="111" spans="1:5" s="68" customFormat="1" ht="9" x14ac:dyDescent="0.15">
      <c r="A111" s="69" t="s">
        <v>63</v>
      </c>
      <c r="B111" s="90">
        <f t="shared" si="3"/>
        <v>4559</v>
      </c>
      <c r="C111" s="90">
        <v>3679</v>
      </c>
      <c r="D111" s="70">
        <v>683</v>
      </c>
      <c r="E111" s="70">
        <v>197</v>
      </c>
    </row>
    <row r="112" spans="1:5" s="68" customFormat="1" ht="9" x14ac:dyDescent="0.15">
      <c r="A112" s="71" t="s">
        <v>31</v>
      </c>
      <c r="B112" s="92">
        <f t="shared" si="3"/>
        <v>136</v>
      </c>
      <c r="C112" s="92">
        <v>108</v>
      </c>
      <c r="D112" s="67">
        <v>27</v>
      </c>
      <c r="E112" s="67">
        <v>1</v>
      </c>
    </row>
    <row r="113" spans="1:5" s="68" customFormat="1" ht="9" x14ac:dyDescent="0.15">
      <c r="A113" s="71" t="s">
        <v>32</v>
      </c>
      <c r="B113" s="92">
        <f t="shared" si="3"/>
        <v>638</v>
      </c>
      <c r="C113" s="92">
        <v>545</v>
      </c>
      <c r="D113" s="67">
        <v>93</v>
      </c>
      <c r="E113" s="67">
        <v>0</v>
      </c>
    </row>
    <row r="114" spans="1:5" s="68" customFormat="1" ht="9" x14ac:dyDescent="0.15">
      <c r="A114" s="71" t="s">
        <v>33</v>
      </c>
      <c r="B114" s="92">
        <f t="shared" si="3"/>
        <v>391</v>
      </c>
      <c r="C114" s="92">
        <v>332</v>
      </c>
      <c r="D114" s="67">
        <v>59</v>
      </c>
      <c r="E114" s="67">
        <v>0</v>
      </c>
    </row>
    <row r="115" spans="1:5" s="68" customFormat="1" ht="9" x14ac:dyDescent="0.15">
      <c r="A115" s="69" t="s">
        <v>34</v>
      </c>
      <c r="B115" s="90">
        <f t="shared" si="3"/>
        <v>160</v>
      </c>
      <c r="C115" s="90">
        <v>107</v>
      </c>
      <c r="D115" s="70">
        <v>53</v>
      </c>
      <c r="E115" s="70">
        <v>0</v>
      </c>
    </row>
    <row r="116" spans="1:5" s="68" customFormat="1" ht="9" x14ac:dyDescent="0.15">
      <c r="A116" s="71" t="s">
        <v>35</v>
      </c>
      <c r="B116" s="92">
        <f t="shared" si="3"/>
        <v>1720</v>
      </c>
      <c r="C116" s="92">
        <v>1470</v>
      </c>
      <c r="D116" s="67">
        <v>188</v>
      </c>
      <c r="E116" s="67">
        <v>62</v>
      </c>
    </row>
    <row r="117" spans="1:5" s="68" customFormat="1" ht="9" x14ac:dyDescent="0.15">
      <c r="A117" s="71" t="s">
        <v>36</v>
      </c>
      <c r="B117" s="92">
        <f t="shared" si="3"/>
        <v>2417</v>
      </c>
      <c r="C117" s="92">
        <v>2078</v>
      </c>
      <c r="D117" s="67">
        <v>242</v>
      </c>
      <c r="E117" s="67">
        <v>97</v>
      </c>
    </row>
    <row r="118" spans="1:5" s="68" customFormat="1" ht="9" x14ac:dyDescent="0.15">
      <c r="A118" s="71" t="s">
        <v>37</v>
      </c>
      <c r="B118" s="92">
        <f t="shared" si="3"/>
        <v>113</v>
      </c>
      <c r="C118" s="92">
        <v>101</v>
      </c>
      <c r="D118" s="67">
        <v>12</v>
      </c>
      <c r="E118" s="67">
        <v>0</v>
      </c>
    </row>
    <row r="119" spans="1:5" s="68" customFormat="1" ht="9" x14ac:dyDescent="0.15">
      <c r="A119" s="69" t="s">
        <v>38</v>
      </c>
      <c r="B119" s="90">
        <f t="shared" si="3"/>
        <v>163</v>
      </c>
      <c r="C119" s="90">
        <v>106</v>
      </c>
      <c r="D119" s="70">
        <v>33</v>
      </c>
      <c r="E119" s="70">
        <v>24</v>
      </c>
    </row>
    <row r="120" spans="1:5" s="68" customFormat="1" ht="9" x14ac:dyDescent="0.15">
      <c r="A120" s="71" t="s">
        <v>39</v>
      </c>
      <c r="B120" s="92">
        <f t="shared" si="3"/>
        <v>4</v>
      </c>
      <c r="C120" s="92">
        <v>2</v>
      </c>
      <c r="D120" s="67">
        <v>0</v>
      </c>
      <c r="E120" s="67">
        <v>2</v>
      </c>
    </row>
    <row r="121" spans="1:5" s="68" customFormat="1" ht="9" x14ac:dyDescent="0.15">
      <c r="A121" s="71" t="s">
        <v>40</v>
      </c>
      <c r="B121" s="92">
        <f t="shared" si="3"/>
        <v>590</v>
      </c>
      <c r="C121" s="92">
        <v>512</v>
      </c>
      <c r="D121" s="67">
        <v>78</v>
      </c>
      <c r="E121" s="67">
        <v>0</v>
      </c>
    </row>
    <row r="122" spans="1:5" s="68" customFormat="1" ht="9" x14ac:dyDescent="0.15">
      <c r="A122" s="71" t="s">
        <v>42</v>
      </c>
      <c r="B122" s="92">
        <f t="shared" si="3"/>
        <v>463</v>
      </c>
      <c r="C122" s="92">
        <v>395</v>
      </c>
      <c r="D122" s="67">
        <v>68</v>
      </c>
      <c r="E122" s="67">
        <v>0</v>
      </c>
    </row>
    <row r="123" spans="1:5" s="68" customFormat="1" ht="9" x14ac:dyDescent="0.15">
      <c r="A123" s="69" t="s">
        <v>43</v>
      </c>
      <c r="B123" s="90">
        <f t="shared" si="3"/>
        <v>273</v>
      </c>
      <c r="C123" s="90">
        <v>242</v>
      </c>
      <c r="D123" s="70">
        <v>31</v>
      </c>
      <c r="E123" s="70">
        <v>0</v>
      </c>
    </row>
    <row r="124" spans="1:5" s="68" customFormat="1" ht="9" x14ac:dyDescent="0.15">
      <c r="A124" s="71" t="s">
        <v>44</v>
      </c>
      <c r="B124" s="92">
        <f t="shared" si="3"/>
        <v>213</v>
      </c>
      <c r="C124" s="92">
        <v>167</v>
      </c>
      <c r="D124" s="67">
        <v>46</v>
      </c>
      <c r="E124" s="67">
        <v>0</v>
      </c>
    </row>
    <row r="125" spans="1:5" s="68" customFormat="1" ht="9" x14ac:dyDescent="0.15">
      <c r="A125" s="71" t="s">
        <v>45</v>
      </c>
      <c r="B125" s="92">
        <f t="shared" si="3"/>
        <v>354</v>
      </c>
      <c r="C125" s="92">
        <v>285</v>
      </c>
      <c r="D125" s="67">
        <v>61</v>
      </c>
      <c r="E125" s="67">
        <v>8</v>
      </c>
    </row>
    <row r="126" spans="1:5" s="68" customFormat="1" ht="9" x14ac:dyDescent="0.15">
      <c r="A126" s="71" t="s">
        <v>46</v>
      </c>
      <c r="B126" s="92">
        <f t="shared" si="3"/>
        <v>876</v>
      </c>
      <c r="C126" s="92">
        <v>755</v>
      </c>
      <c r="D126" s="67">
        <v>84</v>
      </c>
      <c r="E126" s="67">
        <v>37</v>
      </c>
    </row>
    <row r="127" spans="1:5" s="68" customFormat="1" ht="9" x14ac:dyDescent="0.15">
      <c r="A127" s="69" t="s">
        <v>47</v>
      </c>
      <c r="B127" s="90">
        <f t="shared" si="3"/>
        <v>241</v>
      </c>
      <c r="C127" s="90">
        <v>120</v>
      </c>
      <c r="D127" s="70">
        <v>39</v>
      </c>
      <c r="E127" s="70">
        <v>82</v>
      </c>
    </row>
    <row r="128" spans="1:5" s="68" customFormat="1" ht="9" x14ac:dyDescent="0.15">
      <c r="A128" s="71" t="s">
        <v>49</v>
      </c>
      <c r="B128" s="92">
        <f t="shared" si="3"/>
        <v>282</v>
      </c>
      <c r="C128" s="92">
        <v>215</v>
      </c>
      <c r="D128" s="67">
        <v>56</v>
      </c>
      <c r="E128" s="67">
        <v>11</v>
      </c>
    </row>
    <row r="129" spans="1:5" s="68" customFormat="1" ht="9" x14ac:dyDescent="0.15">
      <c r="A129" s="71" t="s">
        <v>51</v>
      </c>
      <c r="B129" s="92">
        <f t="shared" si="3"/>
        <v>234</v>
      </c>
      <c r="C129" s="92">
        <v>158</v>
      </c>
      <c r="D129" s="67">
        <v>37</v>
      </c>
      <c r="E129" s="67">
        <v>39</v>
      </c>
    </row>
    <row r="130" spans="1:5" s="68" customFormat="1" ht="9" x14ac:dyDescent="0.15">
      <c r="A130" s="71" t="s">
        <v>52</v>
      </c>
      <c r="B130" s="92">
        <f t="shared" si="3"/>
        <v>367</v>
      </c>
      <c r="C130" s="92">
        <v>271</v>
      </c>
      <c r="D130" s="67">
        <v>58</v>
      </c>
      <c r="E130" s="67">
        <v>38</v>
      </c>
    </row>
    <row r="131" spans="1:5" s="68" customFormat="1" ht="9" x14ac:dyDescent="0.15">
      <c r="A131" s="69" t="s">
        <v>53</v>
      </c>
      <c r="B131" s="110">
        <f t="shared" si="3"/>
        <v>163</v>
      </c>
      <c r="C131" s="110">
        <v>104</v>
      </c>
      <c r="D131" s="70">
        <v>51</v>
      </c>
      <c r="E131" s="70">
        <v>8</v>
      </c>
    </row>
    <row r="132" spans="1:5" s="65" customFormat="1" ht="9" x14ac:dyDescent="0.25">
      <c r="B132" s="86"/>
      <c r="C132" s="86"/>
      <c r="D132" s="63"/>
      <c r="E132" s="63"/>
    </row>
    <row r="133" spans="1:5" s="65" customFormat="1" ht="9" x14ac:dyDescent="0.25">
      <c r="A133" s="85">
        <v>2003</v>
      </c>
      <c r="B133" s="86"/>
      <c r="C133" s="86"/>
      <c r="D133" s="63"/>
      <c r="E133" s="63"/>
    </row>
    <row r="134" spans="1:5" s="65" customFormat="1" ht="9" x14ac:dyDescent="0.25">
      <c r="A134" s="62" t="s">
        <v>21</v>
      </c>
      <c r="B134" s="63">
        <f>SUM(B136:B164)</f>
        <v>20891</v>
      </c>
      <c r="C134" s="63">
        <f>SUM(C136:C164)</f>
        <v>15304</v>
      </c>
      <c r="D134" s="63">
        <f>SUM(D136:D164)</f>
        <v>3228</v>
      </c>
      <c r="E134" s="63">
        <f>SUM(E136:E164)</f>
        <v>2359</v>
      </c>
    </row>
    <row r="135" spans="1:5" s="65" customFormat="1" ht="3.95" customHeight="1" x14ac:dyDescent="0.25">
      <c r="A135" s="62"/>
      <c r="B135" s="63"/>
      <c r="C135" s="63"/>
      <c r="D135" s="63"/>
      <c r="E135" s="63"/>
    </row>
    <row r="136" spans="1:5" s="68" customFormat="1" ht="9" x14ac:dyDescent="0.15">
      <c r="A136" s="66" t="s">
        <v>23</v>
      </c>
      <c r="B136" s="88">
        <f t="shared" ref="B136:B164" si="4">SUM(C136:E136)</f>
        <v>358</v>
      </c>
      <c r="C136" s="88">
        <v>272</v>
      </c>
      <c r="D136" s="67">
        <v>51</v>
      </c>
      <c r="E136" s="67">
        <v>35</v>
      </c>
    </row>
    <row r="137" spans="1:5" s="68" customFormat="1" ht="9" x14ac:dyDescent="0.15">
      <c r="A137" s="66" t="s">
        <v>24</v>
      </c>
      <c r="B137" s="88">
        <f t="shared" si="4"/>
        <v>835</v>
      </c>
      <c r="C137" s="88">
        <v>581</v>
      </c>
      <c r="D137" s="67">
        <v>134</v>
      </c>
      <c r="E137" s="67">
        <v>120</v>
      </c>
    </row>
    <row r="138" spans="1:5" s="68" customFormat="1" ht="9" x14ac:dyDescent="0.15">
      <c r="A138" s="66" t="s">
        <v>25</v>
      </c>
      <c r="B138" s="88">
        <f t="shared" si="4"/>
        <v>202</v>
      </c>
      <c r="C138" s="88">
        <v>115</v>
      </c>
      <c r="D138" s="67">
        <v>39</v>
      </c>
      <c r="E138" s="67">
        <v>48</v>
      </c>
    </row>
    <row r="139" spans="1:5" s="68" customFormat="1" ht="9" x14ac:dyDescent="0.15">
      <c r="A139" s="69" t="s">
        <v>27</v>
      </c>
      <c r="B139" s="90">
        <f t="shared" si="4"/>
        <v>676</v>
      </c>
      <c r="C139" s="90">
        <v>433</v>
      </c>
      <c r="D139" s="70">
        <v>68</v>
      </c>
      <c r="E139" s="70">
        <v>175</v>
      </c>
    </row>
    <row r="140" spans="1:5" s="68" customFormat="1" ht="9" x14ac:dyDescent="0.15">
      <c r="A140" s="71" t="s">
        <v>28</v>
      </c>
      <c r="B140" s="92">
        <f t="shared" si="4"/>
        <v>507</v>
      </c>
      <c r="C140" s="92">
        <v>311</v>
      </c>
      <c r="D140" s="67">
        <v>95</v>
      </c>
      <c r="E140" s="67">
        <v>101</v>
      </c>
    </row>
    <row r="141" spans="1:5" s="68" customFormat="1" ht="9" x14ac:dyDescent="0.15">
      <c r="A141" s="71" t="s">
        <v>29</v>
      </c>
      <c r="B141" s="92">
        <f t="shared" si="4"/>
        <v>188</v>
      </c>
      <c r="C141" s="92">
        <v>141</v>
      </c>
      <c r="D141" s="67">
        <v>21</v>
      </c>
      <c r="E141" s="67">
        <v>26</v>
      </c>
    </row>
    <row r="142" spans="1:5" s="68" customFormat="1" ht="9" x14ac:dyDescent="0.15">
      <c r="A142" s="71" t="s">
        <v>30</v>
      </c>
      <c r="B142" s="92">
        <f t="shared" si="4"/>
        <v>976</v>
      </c>
      <c r="C142" s="92">
        <v>727</v>
      </c>
      <c r="D142" s="67">
        <v>166</v>
      </c>
      <c r="E142" s="67">
        <v>83</v>
      </c>
    </row>
    <row r="143" spans="1:5" s="68" customFormat="1" ht="9" x14ac:dyDescent="0.15">
      <c r="A143" s="69" t="s">
        <v>63</v>
      </c>
      <c r="B143" s="90">
        <f t="shared" si="4"/>
        <v>5551</v>
      </c>
      <c r="C143" s="90">
        <v>4013</v>
      </c>
      <c r="D143" s="70">
        <v>1060</v>
      </c>
      <c r="E143" s="70">
        <v>478</v>
      </c>
    </row>
    <row r="144" spans="1:5" s="68" customFormat="1" ht="9" x14ac:dyDescent="0.15">
      <c r="A144" s="71" t="s">
        <v>31</v>
      </c>
      <c r="B144" s="92">
        <f t="shared" si="4"/>
        <v>168</v>
      </c>
      <c r="C144" s="92">
        <v>103</v>
      </c>
      <c r="D144" s="67">
        <v>22</v>
      </c>
      <c r="E144" s="67">
        <v>43</v>
      </c>
    </row>
    <row r="145" spans="1:5" s="68" customFormat="1" ht="9" x14ac:dyDescent="0.15">
      <c r="A145" s="71" t="s">
        <v>32</v>
      </c>
      <c r="B145" s="92">
        <f t="shared" si="4"/>
        <v>740</v>
      </c>
      <c r="C145" s="92">
        <v>549</v>
      </c>
      <c r="D145" s="67">
        <v>121</v>
      </c>
      <c r="E145" s="67">
        <v>70</v>
      </c>
    </row>
    <row r="146" spans="1:5" s="68" customFormat="1" ht="9" x14ac:dyDescent="0.15">
      <c r="A146" s="71" t="s">
        <v>33</v>
      </c>
      <c r="B146" s="92">
        <f t="shared" si="4"/>
        <v>580</v>
      </c>
      <c r="C146" s="92">
        <v>502</v>
      </c>
      <c r="D146" s="67">
        <v>66</v>
      </c>
      <c r="E146" s="67">
        <v>12</v>
      </c>
    </row>
    <row r="147" spans="1:5" s="68" customFormat="1" ht="9" x14ac:dyDescent="0.15">
      <c r="A147" s="69" t="s">
        <v>34</v>
      </c>
      <c r="B147" s="90">
        <f t="shared" si="4"/>
        <v>197</v>
      </c>
      <c r="C147" s="90">
        <v>132</v>
      </c>
      <c r="D147" s="70">
        <v>39</v>
      </c>
      <c r="E147" s="70">
        <v>26</v>
      </c>
    </row>
    <row r="148" spans="1:5" s="68" customFormat="1" ht="9" x14ac:dyDescent="0.15">
      <c r="A148" s="71" t="s">
        <v>35</v>
      </c>
      <c r="B148" s="92">
        <f t="shared" si="4"/>
        <v>1800</v>
      </c>
      <c r="C148" s="92">
        <v>1429</v>
      </c>
      <c r="D148" s="67">
        <v>241</v>
      </c>
      <c r="E148" s="67">
        <v>130</v>
      </c>
    </row>
    <row r="149" spans="1:5" s="68" customFormat="1" ht="9" x14ac:dyDescent="0.15">
      <c r="A149" s="71" t="s">
        <v>36</v>
      </c>
      <c r="B149" s="92">
        <f t="shared" si="4"/>
        <v>2851</v>
      </c>
      <c r="C149" s="92">
        <v>2118</v>
      </c>
      <c r="D149" s="67">
        <v>330</v>
      </c>
      <c r="E149" s="67">
        <v>403</v>
      </c>
    </row>
    <row r="150" spans="1:5" s="68" customFormat="1" ht="9" x14ac:dyDescent="0.15">
      <c r="A150" s="71" t="s">
        <v>37</v>
      </c>
      <c r="B150" s="92">
        <f t="shared" si="4"/>
        <v>171</v>
      </c>
      <c r="C150" s="92">
        <v>123</v>
      </c>
      <c r="D150" s="67">
        <v>25</v>
      </c>
      <c r="E150" s="67">
        <v>23</v>
      </c>
    </row>
    <row r="151" spans="1:5" s="68" customFormat="1" ht="9" x14ac:dyDescent="0.15">
      <c r="A151" s="69" t="s">
        <v>38</v>
      </c>
      <c r="B151" s="90">
        <f t="shared" si="4"/>
        <v>177</v>
      </c>
      <c r="C151" s="90">
        <v>106</v>
      </c>
      <c r="D151" s="70">
        <v>37</v>
      </c>
      <c r="E151" s="70">
        <v>34</v>
      </c>
    </row>
    <row r="152" spans="1:5" s="68" customFormat="1" ht="9" x14ac:dyDescent="0.15">
      <c r="A152" s="71" t="s">
        <v>39</v>
      </c>
      <c r="B152" s="92">
        <f t="shared" si="4"/>
        <v>12</v>
      </c>
      <c r="C152" s="92">
        <v>12</v>
      </c>
      <c r="D152" s="67">
        <v>0</v>
      </c>
      <c r="E152" s="67">
        <v>0</v>
      </c>
    </row>
    <row r="153" spans="1:5" s="68" customFormat="1" ht="9" x14ac:dyDescent="0.15">
      <c r="A153" s="71" t="s">
        <v>40</v>
      </c>
      <c r="B153" s="92">
        <f t="shared" si="4"/>
        <v>814</v>
      </c>
      <c r="C153" s="92">
        <v>641</v>
      </c>
      <c r="D153" s="67">
        <v>90</v>
      </c>
      <c r="E153" s="67">
        <v>83</v>
      </c>
    </row>
    <row r="154" spans="1:5" s="68" customFormat="1" ht="9" x14ac:dyDescent="0.15">
      <c r="A154" s="71" t="s">
        <v>41</v>
      </c>
      <c r="B154" s="92">
        <f t="shared" si="4"/>
        <v>7</v>
      </c>
      <c r="C154" s="92">
        <v>5</v>
      </c>
      <c r="D154" s="67">
        <v>2</v>
      </c>
      <c r="E154" s="67">
        <v>0</v>
      </c>
    </row>
    <row r="155" spans="1:5" s="68" customFormat="1" ht="9" x14ac:dyDescent="0.15">
      <c r="A155" s="69" t="s">
        <v>42</v>
      </c>
      <c r="B155" s="90">
        <f t="shared" si="4"/>
        <v>387</v>
      </c>
      <c r="C155" s="90">
        <v>312</v>
      </c>
      <c r="D155" s="70">
        <v>59</v>
      </c>
      <c r="E155" s="70">
        <v>16</v>
      </c>
    </row>
    <row r="156" spans="1:5" s="68" customFormat="1" ht="9" x14ac:dyDescent="0.15">
      <c r="A156" s="71" t="s">
        <v>43</v>
      </c>
      <c r="B156" s="92">
        <f t="shared" si="4"/>
        <v>307</v>
      </c>
      <c r="C156" s="92">
        <v>271</v>
      </c>
      <c r="D156" s="67">
        <v>29</v>
      </c>
      <c r="E156" s="67">
        <v>7</v>
      </c>
    </row>
    <row r="157" spans="1:5" s="68" customFormat="1" ht="9" x14ac:dyDescent="0.15">
      <c r="A157" s="71" t="s">
        <v>44</v>
      </c>
      <c r="B157" s="92">
        <f t="shared" si="4"/>
        <v>480</v>
      </c>
      <c r="C157" s="92">
        <v>365</v>
      </c>
      <c r="D157" s="67">
        <v>80</v>
      </c>
      <c r="E157" s="67">
        <v>35</v>
      </c>
    </row>
    <row r="158" spans="1:5" s="68" customFormat="1" ht="9" x14ac:dyDescent="0.15">
      <c r="A158" s="71" t="s">
        <v>45</v>
      </c>
      <c r="B158" s="92">
        <f t="shared" si="4"/>
        <v>251</v>
      </c>
      <c r="C158" s="92">
        <v>161</v>
      </c>
      <c r="D158" s="67">
        <v>34</v>
      </c>
      <c r="E158" s="67">
        <v>56</v>
      </c>
    </row>
    <row r="159" spans="1:5" s="68" customFormat="1" ht="9" x14ac:dyDescent="0.15">
      <c r="A159" s="69" t="s">
        <v>46</v>
      </c>
      <c r="B159" s="90">
        <f t="shared" si="4"/>
        <v>1152</v>
      </c>
      <c r="C159" s="90">
        <v>768</v>
      </c>
      <c r="D159" s="70">
        <v>135</v>
      </c>
      <c r="E159" s="70">
        <v>249</v>
      </c>
    </row>
    <row r="160" spans="1:5" s="68" customFormat="1" ht="9" x14ac:dyDescent="0.15">
      <c r="A160" s="71" t="s">
        <v>47</v>
      </c>
      <c r="B160" s="92">
        <f t="shared" si="4"/>
        <v>225</v>
      </c>
      <c r="C160" s="92">
        <v>163</v>
      </c>
      <c r="D160" s="67">
        <v>40</v>
      </c>
      <c r="E160" s="67">
        <v>22</v>
      </c>
    </row>
    <row r="161" spans="1:5" s="68" customFormat="1" ht="9" x14ac:dyDescent="0.15">
      <c r="A161" s="71" t="s">
        <v>49</v>
      </c>
      <c r="B161" s="92">
        <f t="shared" si="4"/>
        <v>343</v>
      </c>
      <c r="C161" s="92">
        <v>275</v>
      </c>
      <c r="D161" s="67">
        <v>49</v>
      </c>
      <c r="E161" s="67">
        <v>19</v>
      </c>
    </row>
    <row r="162" spans="1:5" s="68" customFormat="1" ht="9" x14ac:dyDescent="0.15">
      <c r="A162" s="71" t="s">
        <v>51</v>
      </c>
      <c r="B162" s="92">
        <f t="shared" si="4"/>
        <v>418</v>
      </c>
      <c r="C162" s="92">
        <v>294</v>
      </c>
      <c r="D162" s="67">
        <v>74</v>
      </c>
      <c r="E162" s="67">
        <v>50</v>
      </c>
    </row>
    <row r="163" spans="1:5" s="68" customFormat="1" ht="9" x14ac:dyDescent="0.15">
      <c r="A163" s="69" t="s">
        <v>52</v>
      </c>
      <c r="B163" s="90">
        <f t="shared" si="4"/>
        <v>335</v>
      </c>
      <c r="C163" s="90">
        <v>251</v>
      </c>
      <c r="D163" s="70">
        <v>77</v>
      </c>
      <c r="E163" s="70">
        <v>7</v>
      </c>
    </row>
    <row r="164" spans="1:5" s="68" customFormat="1" ht="9" x14ac:dyDescent="0.15">
      <c r="A164" s="71" t="s">
        <v>53</v>
      </c>
      <c r="B164" s="109">
        <f t="shared" si="4"/>
        <v>183</v>
      </c>
      <c r="C164" s="109">
        <v>131</v>
      </c>
      <c r="D164" s="67">
        <v>44</v>
      </c>
      <c r="E164" s="67">
        <v>8</v>
      </c>
    </row>
    <row r="165" spans="1:5" s="65" customFormat="1" ht="9" x14ac:dyDescent="0.25">
      <c r="B165" s="86"/>
      <c r="C165" s="86"/>
      <c r="D165" s="63"/>
      <c r="E165" s="63"/>
    </row>
    <row r="166" spans="1:5" s="65" customFormat="1" ht="9" x14ac:dyDescent="0.25">
      <c r="A166" s="85">
        <v>2004</v>
      </c>
      <c r="B166" s="86"/>
      <c r="C166" s="86"/>
      <c r="D166" s="63"/>
      <c r="E166" s="63"/>
    </row>
    <row r="167" spans="1:5" s="65" customFormat="1" ht="9" x14ac:dyDescent="0.25">
      <c r="A167" s="62" t="s">
        <v>21</v>
      </c>
      <c r="B167" s="63">
        <f>SUM(B169:B197)</f>
        <v>22223</v>
      </c>
      <c r="C167" s="63">
        <f>SUM(C169:C197)</f>
        <v>16475</v>
      </c>
      <c r="D167" s="63">
        <f>SUM(D169:D197)</f>
        <v>3713</v>
      </c>
      <c r="E167" s="63">
        <f>SUM(E169:E197)</f>
        <v>2035</v>
      </c>
    </row>
    <row r="168" spans="1:5" s="65" customFormat="1" ht="3.95" customHeight="1" x14ac:dyDescent="0.25">
      <c r="A168" s="62"/>
      <c r="B168" s="63"/>
      <c r="C168" s="63"/>
      <c r="D168" s="63"/>
      <c r="E168" s="63"/>
    </row>
    <row r="169" spans="1:5" s="68" customFormat="1" ht="9" x14ac:dyDescent="0.15">
      <c r="A169" s="66" t="s">
        <v>23</v>
      </c>
      <c r="B169" s="88">
        <f t="shared" ref="B169:B197" si="5">SUM(C169:E169)</f>
        <v>468</v>
      </c>
      <c r="C169" s="88">
        <v>393</v>
      </c>
      <c r="D169" s="67">
        <v>75</v>
      </c>
      <c r="E169" s="67">
        <v>0</v>
      </c>
    </row>
    <row r="170" spans="1:5" s="68" customFormat="1" ht="9" x14ac:dyDescent="0.15">
      <c r="A170" s="66" t="s">
        <v>24</v>
      </c>
      <c r="B170" s="88">
        <f t="shared" si="5"/>
        <v>782</v>
      </c>
      <c r="C170" s="88">
        <v>533</v>
      </c>
      <c r="D170" s="67">
        <v>123</v>
      </c>
      <c r="E170" s="67">
        <v>126</v>
      </c>
    </row>
    <row r="171" spans="1:5" s="68" customFormat="1" ht="9" x14ac:dyDescent="0.15">
      <c r="A171" s="66" t="s">
        <v>25</v>
      </c>
      <c r="B171" s="88">
        <f t="shared" si="5"/>
        <v>236</v>
      </c>
      <c r="C171" s="88">
        <v>119</v>
      </c>
      <c r="D171" s="67">
        <v>42</v>
      </c>
      <c r="E171" s="67">
        <v>75</v>
      </c>
    </row>
    <row r="172" spans="1:5" s="68" customFormat="1" ht="9" x14ac:dyDescent="0.15">
      <c r="A172" s="69" t="s">
        <v>27</v>
      </c>
      <c r="B172" s="90">
        <f t="shared" si="5"/>
        <v>743</v>
      </c>
      <c r="C172" s="90">
        <v>562</v>
      </c>
      <c r="D172" s="70">
        <v>105</v>
      </c>
      <c r="E172" s="70">
        <v>76</v>
      </c>
    </row>
    <row r="173" spans="1:5" s="68" customFormat="1" ht="9" x14ac:dyDescent="0.15">
      <c r="A173" s="71" t="s">
        <v>28</v>
      </c>
      <c r="B173" s="92">
        <f t="shared" si="5"/>
        <v>478</v>
      </c>
      <c r="C173" s="92">
        <v>357</v>
      </c>
      <c r="D173" s="67">
        <v>82</v>
      </c>
      <c r="E173" s="67">
        <v>39</v>
      </c>
    </row>
    <row r="174" spans="1:5" s="68" customFormat="1" ht="9" x14ac:dyDescent="0.15">
      <c r="A174" s="71" t="s">
        <v>29</v>
      </c>
      <c r="B174" s="92">
        <f t="shared" si="5"/>
        <v>213</v>
      </c>
      <c r="C174" s="92">
        <v>175</v>
      </c>
      <c r="D174" s="67">
        <v>37</v>
      </c>
      <c r="E174" s="67">
        <v>1</v>
      </c>
    </row>
    <row r="175" spans="1:5" s="68" customFormat="1" ht="9" x14ac:dyDescent="0.15">
      <c r="A175" s="71" t="s">
        <v>30</v>
      </c>
      <c r="B175" s="92">
        <f t="shared" si="5"/>
        <v>1058</v>
      </c>
      <c r="C175" s="92">
        <v>751</v>
      </c>
      <c r="D175" s="67">
        <v>136</v>
      </c>
      <c r="E175" s="67">
        <v>171</v>
      </c>
    </row>
    <row r="176" spans="1:5" s="68" customFormat="1" ht="9" x14ac:dyDescent="0.15">
      <c r="A176" s="69" t="s">
        <v>63</v>
      </c>
      <c r="B176" s="90">
        <f t="shared" si="5"/>
        <v>6014</v>
      </c>
      <c r="C176" s="90">
        <v>4377</v>
      </c>
      <c r="D176" s="70">
        <v>1191</v>
      </c>
      <c r="E176" s="70">
        <v>446</v>
      </c>
    </row>
    <row r="177" spans="1:5" s="68" customFormat="1" ht="9" x14ac:dyDescent="0.15">
      <c r="A177" s="71" t="s">
        <v>31</v>
      </c>
      <c r="B177" s="92">
        <f t="shared" si="5"/>
        <v>268</v>
      </c>
      <c r="C177" s="92">
        <v>146</v>
      </c>
      <c r="D177" s="67">
        <v>53</v>
      </c>
      <c r="E177" s="67">
        <v>69</v>
      </c>
    </row>
    <row r="178" spans="1:5" s="68" customFormat="1" ht="9" x14ac:dyDescent="0.15">
      <c r="A178" s="71" t="s">
        <v>32</v>
      </c>
      <c r="B178" s="92">
        <f t="shared" si="5"/>
        <v>915</v>
      </c>
      <c r="C178" s="92">
        <v>713</v>
      </c>
      <c r="D178" s="67">
        <v>149</v>
      </c>
      <c r="E178" s="67">
        <v>53</v>
      </c>
    </row>
    <row r="179" spans="1:5" s="68" customFormat="1" ht="9" x14ac:dyDescent="0.15">
      <c r="A179" s="71" t="s">
        <v>33</v>
      </c>
      <c r="B179" s="92">
        <f t="shared" si="5"/>
        <v>468</v>
      </c>
      <c r="C179" s="92">
        <v>364</v>
      </c>
      <c r="D179" s="67">
        <v>63</v>
      </c>
      <c r="E179" s="67">
        <v>41</v>
      </c>
    </row>
    <row r="180" spans="1:5" s="68" customFormat="1" ht="9" x14ac:dyDescent="0.15">
      <c r="A180" s="69" t="s">
        <v>34</v>
      </c>
      <c r="B180" s="90">
        <f t="shared" si="5"/>
        <v>255</v>
      </c>
      <c r="C180" s="90">
        <v>172</v>
      </c>
      <c r="D180" s="70">
        <v>27</v>
      </c>
      <c r="E180" s="70">
        <v>56</v>
      </c>
    </row>
    <row r="181" spans="1:5" s="68" customFormat="1" ht="9" x14ac:dyDescent="0.15">
      <c r="A181" s="71" t="s">
        <v>35</v>
      </c>
      <c r="B181" s="92">
        <f t="shared" si="5"/>
        <v>1792</v>
      </c>
      <c r="C181" s="92">
        <v>1342</v>
      </c>
      <c r="D181" s="67">
        <v>286</v>
      </c>
      <c r="E181" s="67">
        <v>164</v>
      </c>
    </row>
    <row r="182" spans="1:5" s="68" customFormat="1" ht="9" x14ac:dyDescent="0.15">
      <c r="A182" s="71" t="s">
        <v>36</v>
      </c>
      <c r="B182" s="92">
        <f t="shared" si="5"/>
        <v>2765</v>
      </c>
      <c r="C182" s="92">
        <v>2137</v>
      </c>
      <c r="D182" s="67">
        <v>432</v>
      </c>
      <c r="E182" s="67">
        <v>196</v>
      </c>
    </row>
    <row r="183" spans="1:5" s="68" customFormat="1" ht="9" x14ac:dyDescent="0.15">
      <c r="A183" s="71" t="s">
        <v>37</v>
      </c>
      <c r="B183" s="92">
        <f t="shared" si="5"/>
        <v>205</v>
      </c>
      <c r="C183" s="92">
        <v>156</v>
      </c>
      <c r="D183" s="67">
        <v>26</v>
      </c>
      <c r="E183" s="67">
        <v>23</v>
      </c>
    </row>
    <row r="184" spans="1:5" s="68" customFormat="1" ht="9" x14ac:dyDescent="0.15">
      <c r="A184" s="69" t="s">
        <v>38</v>
      </c>
      <c r="B184" s="90">
        <f t="shared" si="5"/>
        <v>214</v>
      </c>
      <c r="C184" s="90">
        <v>135</v>
      </c>
      <c r="D184" s="70">
        <v>33</v>
      </c>
      <c r="E184" s="70">
        <v>46</v>
      </c>
    </row>
    <row r="185" spans="1:5" s="68" customFormat="1" ht="9" x14ac:dyDescent="0.15">
      <c r="A185" s="71" t="s">
        <v>39</v>
      </c>
      <c r="B185" s="92">
        <f t="shared" si="5"/>
        <v>6</v>
      </c>
      <c r="C185" s="92">
        <v>4</v>
      </c>
      <c r="D185" s="67">
        <v>2</v>
      </c>
      <c r="E185" s="67">
        <v>0</v>
      </c>
    </row>
    <row r="186" spans="1:5" s="68" customFormat="1" ht="9" x14ac:dyDescent="0.15">
      <c r="A186" s="71" t="s">
        <v>40</v>
      </c>
      <c r="B186" s="92">
        <f t="shared" si="5"/>
        <v>819</v>
      </c>
      <c r="C186" s="92">
        <v>652</v>
      </c>
      <c r="D186" s="67">
        <v>103</v>
      </c>
      <c r="E186" s="67">
        <v>64</v>
      </c>
    </row>
    <row r="187" spans="1:5" s="68" customFormat="1" ht="9" x14ac:dyDescent="0.15">
      <c r="A187" s="71" t="s">
        <v>41</v>
      </c>
      <c r="B187" s="92">
        <f t="shared" si="5"/>
        <v>33</v>
      </c>
      <c r="C187" s="92">
        <v>29</v>
      </c>
      <c r="D187" s="67">
        <v>3</v>
      </c>
      <c r="E187" s="67">
        <v>1</v>
      </c>
    </row>
    <row r="188" spans="1:5" s="68" customFormat="1" ht="9" x14ac:dyDescent="0.15">
      <c r="A188" s="69" t="s">
        <v>42</v>
      </c>
      <c r="B188" s="90">
        <f t="shared" si="5"/>
        <v>454</v>
      </c>
      <c r="C188" s="90">
        <v>371</v>
      </c>
      <c r="D188" s="70">
        <v>72</v>
      </c>
      <c r="E188" s="70">
        <v>11</v>
      </c>
    </row>
    <row r="189" spans="1:5" s="68" customFormat="1" ht="9" x14ac:dyDescent="0.15">
      <c r="A189" s="71" t="s">
        <v>43</v>
      </c>
      <c r="B189" s="92">
        <f t="shared" si="5"/>
        <v>256</v>
      </c>
      <c r="C189" s="92">
        <v>200</v>
      </c>
      <c r="D189" s="67">
        <v>38</v>
      </c>
      <c r="E189" s="67">
        <v>18</v>
      </c>
    </row>
    <row r="190" spans="1:5" s="68" customFormat="1" ht="9" x14ac:dyDescent="0.15">
      <c r="A190" s="71" t="s">
        <v>44</v>
      </c>
      <c r="B190" s="92">
        <f t="shared" si="5"/>
        <v>469</v>
      </c>
      <c r="C190" s="92">
        <v>327</v>
      </c>
      <c r="D190" s="67">
        <v>111</v>
      </c>
      <c r="E190" s="67">
        <v>31</v>
      </c>
    </row>
    <row r="191" spans="1:5" s="68" customFormat="1" ht="9" x14ac:dyDescent="0.15">
      <c r="A191" s="71" t="s">
        <v>45</v>
      </c>
      <c r="B191" s="92">
        <f t="shared" si="5"/>
        <v>370</v>
      </c>
      <c r="C191" s="92">
        <v>259</v>
      </c>
      <c r="D191" s="67">
        <v>87</v>
      </c>
      <c r="E191" s="67">
        <v>24</v>
      </c>
    </row>
    <row r="192" spans="1:5" s="68" customFormat="1" ht="9" x14ac:dyDescent="0.15">
      <c r="A192" s="69" t="s">
        <v>46</v>
      </c>
      <c r="B192" s="90">
        <f t="shared" si="5"/>
        <v>1374</v>
      </c>
      <c r="C192" s="90">
        <v>1070</v>
      </c>
      <c r="D192" s="70">
        <v>165</v>
      </c>
      <c r="E192" s="70">
        <v>139</v>
      </c>
    </row>
    <row r="193" spans="1:5" s="68" customFormat="1" ht="9" x14ac:dyDescent="0.15">
      <c r="A193" s="71" t="s">
        <v>47</v>
      </c>
      <c r="B193" s="92">
        <f t="shared" si="5"/>
        <v>241</v>
      </c>
      <c r="C193" s="92">
        <v>167</v>
      </c>
      <c r="D193" s="67">
        <v>50</v>
      </c>
      <c r="E193" s="67">
        <v>24</v>
      </c>
    </row>
    <row r="194" spans="1:5" s="68" customFormat="1" ht="9" x14ac:dyDescent="0.15">
      <c r="A194" s="71" t="s">
        <v>49</v>
      </c>
      <c r="B194" s="92">
        <f t="shared" si="5"/>
        <v>374</v>
      </c>
      <c r="C194" s="92">
        <v>262</v>
      </c>
      <c r="D194" s="67">
        <v>55</v>
      </c>
      <c r="E194" s="67">
        <v>57</v>
      </c>
    </row>
    <row r="195" spans="1:5" s="68" customFormat="1" ht="9" x14ac:dyDescent="0.15">
      <c r="A195" s="71" t="s">
        <v>51</v>
      </c>
      <c r="B195" s="92">
        <f t="shared" si="5"/>
        <v>413</v>
      </c>
      <c r="C195" s="92">
        <v>301</v>
      </c>
      <c r="D195" s="67">
        <v>68</v>
      </c>
      <c r="E195" s="67">
        <v>44</v>
      </c>
    </row>
    <row r="196" spans="1:5" s="68" customFormat="1" ht="9" x14ac:dyDescent="0.15">
      <c r="A196" s="69" t="s">
        <v>52</v>
      </c>
      <c r="B196" s="90">
        <f t="shared" si="5"/>
        <v>316</v>
      </c>
      <c r="C196" s="90">
        <v>237</v>
      </c>
      <c r="D196" s="70">
        <v>60</v>
      </c>
      <c r="E196" s="70">
        <v>19</v>
      </c>
    </row>
    <row r="197" spans="1:5" s="68" customFormat="1" ht="9" x14ac:dyDescent="0.15">
      <c r="A197" s="71" t="s">
        <v>53</v>
      </c>
      <c r="B197" s="109">
        <f t="shared" si="5"/>
        <v>224</v>
      </c>
      <c r="C197" s="109">
        <v>164</v>
      </c>
      <c r="D197" s="67">
        <v>39</v>
      </c>
      <c r="E197" s="67">
        <v>21</v>
      </c>
    </row>
    <row r="198" spans="1:5" s="65" customFormat="1" ht="9" x14ac:dyDescent="0.25">
      <c r="B198" s="86"/>
      <c r="C198" s="86"/>
      <c r="D198" s="63"/>
      <c r="E198" s="63"/>
    </row>
    <row r="199" spans="1:5" s="65" customFormat="1" ht="9" x14ac:dyDescent="0.25">
      <c r="A199" s="85">
        <v>2005</v>
      </c>
      <c r="B199" s="86"/>
      <c r="C199" s="86"/>
      <c r="D199" s="63"/>
      <c r="E199" s="63"/>
    </row>
    <row r="200" spans="1:5" s="65" customFormat="1" ht="9" x14ac:dyDescent="0.25">
      <c r="A200" s="62" t="s">
        <v>21</v>
      </c>
      <c r="B200" s="63">
        <f>SUM(B202:B232)</f>
        <v>25059</v>
      </c>
      <c r="C200" s="63">
        <f>SUM(C202:C232)</f>
        <v>18715</v>
      </c>
      <c r="D200" s="63">
        <f>SUM(D202:D232)</f>
        <v>4862</v>
      </c>
      <c r="E200" s="63">
        <f>SUM(E202:E232)</f>
        <v>1482</v>
      </c>
    </row>
    <row r="201" spans="1:5" s="65" customFormat="1" ht="3.95" customHeight="1" x14ac:dyDescent="0.25">
      <c r="A201" s="62"/>
      <c r="B201" s="63"/>
      <c r="C201" s="63"/>
      <c r="D201" s="63"/>
      <c r="E201" s="63"/>
    </row>
    <row r="202" spans="1:5" s="68" customFormat="1" ht="9" x14ac:dyDescent="0.15">
      <c r="A202" s="66" t="s">
        <v>23</v>
      </c>
      <c r="B202" s="88">
        <f t="shared" ref="B202:B232" si="6">SUM(C202:E202)</f>
        <v>374</v>
      </c>
      <c r="C202" s="88">
        <v>319</v>
      </c>
      <c r="D202" s="67">
        <v>40</v>
      </c>
      <c r="E202" s="67">
        <v>15</v>
      </c>
    </row>
    <row r="203" spans="1:5" s="68" customFormat="1" ht="9" x14ac:dyDescent="0.15">
      <c r="A203" s="66" t="s">
        <v>24</v>
      </c>
      <c r="B203" s="88">
        <f t="shared" si="6"/>
        <v>957</v>
      </c>
      <c r="C203" s="88">
        <v>663</v>
      </c>
      <c r="D203" s="67">
        <v>222</v>
      </c>
      <c r="E203" s="67">
        <v>72</v>
      </c>
    </row>
    <row r="204" spans="1:5" s="68" customFormat="1" ht="9" x14ac:dyDescent="0.15">
      <c r="A204" s="66" t="s">
        <v>25</v>
      </c>
      <c r="B204" s="88">
        <f t="shared" si="6"/>
        <v>380</v>
      </c>
      <c r="C204" s="88">
        <v>243</v>
      </c>
      <c r="D204" s="67">
        <v>60</v>
      </c>
      <c r="E204" s="67">
        <v>77</v>
      </c>
    </row>
    <row r="205" spans="1:5" s="68" customFormat="1" ht="9" x14ac:dyDescent="0.15">
      <c r="A205" s="69" t="s">
        <v>26</v>
      </c>
      <c r="B205" s="90">
        <f t="shared" si="6"/>
        <v>132</v>
      </c>
      <c r="C205" s="90">
        <v>105</v>
      </c>
      <c r="D205" s="70">
        <v>30</v>
      </c>
      <c r="E205" s="70">
        <v>-3</v>
      </c>
    </row>
    <row r="206" spans="1:5" s="68" customFormat="1" ht="9" x14ac:dyDescent="0.15">
      <c r="A206" s="66" t="s">
        <v>27</v>
      </c>
      <c r="B206" s="88">
        <f t="shared" si="6"/>
        <v>718</v>
      </c>
      <c r="C206" s="88">
        <v>551</v>
      </c>
      <c r="D206" s="67">
        <v>136</v>
      </c>
      <c r="E206" s="67">
        <v>31</v>
      </c>
    </row>
    <row r="207" spans="1:5" s="68" customFormat="1" ht="9" x14ac:dyDescent="0.15">
      <c r="A207" s="66" t="s">
        <v>28</v>
      </c>
      <c r="B207" s="88">
        <f t="shared" si="6"/>
        <v>488</v>
      </c>
      <c r="C207" s="88">
        <v>353</v>
      </c>
      <c r="D207" s="67">
        <v>106</v>
      </c>
      <c r="E207" s="67">
        <v>29</v>
      </c>
    </row>
    <row r="208" spans="1:5" s="68" customFormat="1" ht="9" x14ac:dyDescent="0.15">
      <c r="A208" s="66" t="s">
        <v>29</v>
      </c>
      <c r="B208" s="88">
        <f t="shared" si="6"/>
        <v>276</v>
      </c>
      <c r="C208" s="88">
        <v>237</v>
      </c>
      <c r="D208" s="67">
        <v>45</v>
      </c>
      <c r="E208" s="67">
        <v>-6</v>
      </c>
    </row>
    <row r="209" spans="1:5" s="68" customFormat="1" ht="9" x14ac:dyDescent="0.15">
      <c r="A209" s="69" t="s">
        <v>30</v>
      </c>
      <c r="B209" s="90">
        <f t="shared" si="6"/>
        <v>1272</v>
      </c>
      <c r="C209" s="90">
        <v>975</v>
      </c>
      <c r="D209" s="70">
        <v>233</v>
      </c>
      <c r="E209" s="70">
        <v>64</v>
      </c>
    </row>
    <row r="210" spans="1:5" s="68" customFormat="1" ht="9" x14ac:dyDescent="0.15">
      <c r="A210" s="66" t="s">
        <v>63</v>
      </c>
      <c r="B210" s="88">
        <f t="shared" si="6"/>
        <v>6605</v>
      </c>
      <c r="C210" s="88">
        <v>4799</v>
      </c>
      <c r="D210" s="67">
        <v>1462</v>
      </c>
      <c r="E210" s="67">
        <v>344</v>
      </c>
    </row>
    <row r="211" spans="1:5" s="68" customFormat="1" ht="9" x14ac:dyDescent="0.15">
      <c r="A211" s="66" t="s">
        <v>31</v>
      </c>
      <c r="B211" s="88">
        <f t="shared" si="6"/>
        <v>335</v>
      </c>
      <c r="C211" s="88">
        <v>234</v>
      </c>
      <c r="D211" s="67">
        <v>78</v>
      </c>
      <c r="E211" s="67">
        <v>23</v>
      </c>
    </row>
    <row r="212" spans="1:5" s="68" customFormat="1" ht="9" x14ac:dyDescent="0.15">
      <c r="A212" s="66" t="s">
        <v>32</v>
      </c>
      <c r="B212" s="88">
        <f t="shared" si="6"/>
        <v>1053</v>
      </c>
      <c r="C212" s="88">
        <v>784</v>
      </c>
      <c r="D212" s="67">
        <v>196</v>
      </c>
      <c r="E212" s="67">
        <v>73</v>
      </c>
    </row>
    <row r="213" spans="1:5" s="68" customFormat="1" ht="9" x14ac:dyDescent="0.15">
      <c r="A213" s="69" t="s">
        <v>33</v>
      </c>
      <c r="B213" s="90">
        <f t="shared" si="6"/>
        <v>665</v>
      </c>
      <c r="C213" s="90">
        <v>443</v>
      </c>
      <c r="D213" s="70">
        <v>99</v>
      </c>
      <c r="E213" s="70">
        <v>123</v>
      </c>
    </row>
    <row r="214" spans="1:5" s="68" customFormat="1" ht="9" x14ac:dyDescent="0.15">
      <c r="A214" s="66" t="s">
        <v>34</v>
      </c>
      <c r="B214" s="88">
        <f t="shared" si="6"/>
        <v>276</v>
      </c>
      <c r="C214" s="88">
        <v>215</v>
      </c>
      <c r="D214" s="67">
        <v>47</v>
      </c>
      <c r="E214" s="67">
        <v>14</v>
      </c>
    </row>
    <row r="215" spans="1:5" s="68" customFormat="1" ht="9" x14ac:dyDescent="0.15">
      <c r="A215" s="66" t="s">
        <v>35</v>
      </c>
      <c r="B215" s="88">
        <f t="shared" si="6"/>
        <v>1955</v>
      </c>
      <c r="C215" s="88">
        <v>1509</v>
      </c>
      <c r="D215" s="67">
        <v>345</v>
      </c>
      <c r="E215" s="67">
        <v>101</v>
      </c>
    </row>
    <row r="216" spans="1:5" s="68" customFormat="1" ht="9" x14ac:dyDescent="0.15">
      <c r="A216" s="66" t="s">
        <v>36</v>
      </c>
      <c r="B216" s="88">
        <f t="shared" si="6"/>
        <v>2750</v>
      </c>
      <c r="C216" s="88">
        <v>2126</v>
      </c>
      <c r="D216" s="67">
        <v>487</v>
      </c>
      <c r="E216" s="67">
        <v>137</v>
      </c>
    </row>
    <row r="217" spans="1:5" s="68" customFormat="1" ht="9" x14ac:dyDescent="0.15">
      <c r="A217" s="69" t="s">
        <v>37</v>
      </c>
      <c r="B217" s="90">
        <f t="shared" si="6"/>
        <v>230</v>
      </c>
      <c r="C217" s="90">
        <v>171</v>
      </c>
      <c r="D217" s="70">
        <v>48</v>
      </c>
      <c r="E217" s="70">
        <v>11</v>
      </c>
    </row>
    <row r="218" spans="1:5" s="68" customFormat="1" ht="9" x14ac:dyDescent="0.15">
      <c r="A218" s="66" t="s">
        <v>38</v>
      </c>
      <c r="B218" s="88">
        <f t="shared" si="6"/>
        <v>210</v>
      </c>
      <c r="C218" s="88">
        <v>136</v>
      </c>
      <c r="D218" s="67">
        <v>52</v>
      </c>
      <c r="E218" s="67">
        <v>22</v>
      </c>
    </row>
    <row r="219" spans="1:5" s="68" customFormat="1" ht="9" x14ac:dyDescent="0.15">
      <c r="A219" s="66" t="s">
        <v>39</v>
      </c>
      <c r="B219" s="88">
        <f t="shared" si="6"/>
        <v>5</v>
      </c>
      <c r="C219" s="88">
        <v>3</v>
      </c>
      <c r="D219" s="67">
        <v>2</v>
      </c>
      <c r="E219" s="67">
        <v>0</v>
      </c>
    </row>
    <row r="220" spans="1:5" s="68" customFormat="1" ht="9" x14ac:dyDescent="0.15">
      <c r="A220" s="66" t="s">
        <v>40</v>
      </c>
      <c r="B220" s="88">
        <f t="shared" si="6"/>
        <v>1111</v>
      </c>
      <c r="C220" s="88">
        <v>898</v>
      </c>
      <c r="D220" s="67">
        <v>163</v>
      </c>
      <c r="E220" s="67">
        <v>50</v>
      </c>
    </row>
    <row r="221" spans="1:5" s="68" customFormat="1" ht="9" x14ac:dyDescent="0.15">
      <c r="A221" s="69" t="s">
        <v>41</v>
      </c>
      <c r="B221" s="90">
        <f t="shared" si="6"/>
        <v>55</v>
      </c>
      <c r="C221" s="90">
        <v>42</v>
      </c>
      <c r="D221" s="70">
        <v>8</v>
      </c>
      <c r="E221" s="70">
        <v>5</v>
      </c>
    </row>
    <row r="222" spans="1:5" s="68" customFormat="1" ht="9" x14ac:dyDescent="0.15">
      <c r="A222" s="66" t="s">
        <v>42</v>
      </c>
      <c r="B222" s="88">
        <f t="shared" si="6"/>
        <v>555</v>
      </c>
      <c r="C222" s="88">
        <v>423</v>
      </c>
      <c r="D222" s="67">
        <v>109</v>
      </c>
      <c r="E222" s="67">
        <v>23</v>
      </c>
    </row>
    <row r="223" spans="1:5" s="68" customFormat="1" ht="9" x14ac:dyDescent="0.15">
      <c r="A223" s="66" t="s">
        <v>43</v>
      </c>
      <c r="B223" s="88">
        <f t="shared" si="6"/>
        <v>327</v>
      </c>
      <c r="C223" s="88">
        <v>237</v>
      </c>
      <c r="D223" s="67">
        <v>75</v>
      </c>
      <c r="E223" s="67">
        <v>15</v>
      </c>
    </row>
    <row r="224" spans="1:5" s="68" customFormat="1" ht="9" x14ac:dyDescent="0.15">
      <c r="A224" s="66" t="s">
        <v>44</v>
      </c>
      <c r="B224" s="88">
        <f t="shared" si="6"/>
        <v>502</v>
      </c>
      <c r="C224" s="88">
        <v>404</v>
      </c>
      <c r="D224" s="67">
        <v>92</v>
      </c>
      <c r="E224" s="67">
        <v>6</v>
      </c>
    </row>
    <row r="225" spans="1:5" s="68" customFormat="1" ht="9" x14ac:dyDescent="0.15">
      <c r="A225" s="69" t="s">
        <v>45</v>
      </c>
      <c r="B225" s="90">
        <f t="shared" si="6"/>
        <v>392</v>
      </c>
      <c r="C225" s="90">
        <v>296</v>
      </c>
      <c r="D225" s="70">
        <v>82</v>
      </c>
      <c r="E225" s="70">
        <v>14</v>
      </c>
    </row>
    <row r="226" spans="1:5" s="68" customFormat="1" ht="9" x14ac:dyDescent="0.15">
      <c r="A226" s="66" t="s">
        <v>46</v>
      </c>
      <c r="B226" s="88">
        <f t="shared" si="6"/>
        <v>1480</v>
      </c>
      <c r="C226" s="88">
        <v>1123</v>
      </c>
      <c r="D226" s="67">
        <v>216</v>
      </c>
      <c r="E226" s="67">
        <v>141</v>
      </c>
    </row>
    <row r="227" spans="1:5" s="68" customFormat="1" ht="9" x14ac:dyDescent="0.15">
      <c r="A227" s="66" t="s">
        <v>47</v>
      </c>
      <c r="B227" s="88">
        <f t="shared" si="6"/>
        <v>372</v>
      </c>
      <c r="C227" s="88">
        <v>256</v>
      </c>
      <c r="D227" s="67">
        <v>79</v>
      </c>
      <c r="E227" s="67">
        <v>37</v>
      </c>
    </row>
    <row r="228" spans="1:5" s="68" customFormat="1" ht="9" x14ac:dyDescent="0.15">
      <c r="A228" s="66" t="s">
        <v>48</v>
      </c>
      <c r="B228" s="88">
        <f t="shared" si="6"/>
        <v>91</v>
      </c>
      <c r="C228" s="88">
        <v>67</v>
      </c>
      <c r="D228" s="67">
        <v>25</v>
      </c>
      <c r="E228" s="67">
        <v>-1</v>
      </c>
    </row>
    <row r="229" spans="1:5" s="68" customFormat="1" ht="9" x14ac:dyDescent="0.15">
      <c r="A229" s="69" t="s">
        <v>49</v>
      </c>
      <c r="B229" s="90">
        <f t="shared" si="6"/>
        <v>427</v>
      </c>
      <c r="C229" s="90">
        <v>324</v>
      </c>
      <c r="D229" s="70">
        <v>98</v>
      </c>
      <c r="E229" s="70">
        <v>5</v>
      </c>
    </row>
    <row r="230" spans="1:5" s="68" customFormat="1" ht="9" x14ac:dyDescent="0.15">
      <c r="A230" s="66" t="s">
        <v>51</v>
      </c>
      <c r="B230" s="88">
        <f t="shared" si="6"/>
        <v>474</v>
      </c>
      <c r="C230" s="88">
        <v>336</v>
      </c>
      <c r="D230" s="67">
        <v>96</v>
      </c>
      <c r="E230" s="67">
        <v>42</v>
      </c>
    </row>
    <row r="231" spans="1:5" s="68" customFormat="1" ht="9" x14ac:dyDescent="0.15">
      <c r="A231" s="66" t="s">
        <v>52</v>
      </c>
      <c r="B231" s="88">
        <f t="shared" si="6"/>
        <v>361</v>
      </c>
      <c r="C231" s="88">
        <v>286</v>
      </c>
      <c r="D231" s="67">
        <v>68</v>
      </c>
      <c r="E231" s="67">
        <v>7</v>
      </c>
    </row>
    <row r="232" spans="1:5" s="68" customFormat="1" ht="9" x14ac:dyDescent="0.15">
      <c r="A232" s="71" t="s">
        <v>53</v>
      </c>
      <c r="B232" s="109">
        <f t="shared" si="6"/>
        <v>231</v>
      </c>
      <c r="C232" s="109">
        <v>157</v>
      </c>
      <c r="D232" s="67">
        <v>63</v>
      </c>
      <c r="E232" s="67">
        <v>11</v>
      </c>
    </row>
    <row r="233" spans="1:5" s="65" customFormat="1" ht="9" x14ac:dyDescent="0.25">
      <c r="B233" s="86"/>
      <c r="C233" s="86"/>
      <c r="D233" s="63"/>
      <c r="E233" s="63"/>
    </row>
    <row r="234" spans="1:5" s="65" customFormat="1" ht="9" x14ac:dyDescent="0.25">
      <c r="A234" s="85">
        <v>2006</v>
      </c>
      <c r="B234" s="86"/>
      <c r="C234" s="86"/>
      <c r="D234" s="63"/>
      <c r="E234" s="63"/>
    </row>
    <row r="235" spans="1:5" s="65" customFormat="1" ht="9" x14ac:dyDescent="0.25">
      <c r="A235" s="62" t="s">
        <v>21</v>
      </c>
      <c r="B235" s="63">
        <f>SUM(B237:B267)</f>
        <v>25403</v>
      </c>
      <c r="C235" s="63">
        <f>SUM(C237:C267)</f>
        <v>18674</v>
      </c>
      <c r="D235" s="63">
        <f>SUM(D237:D267)</f>
        <v>5114</v>
      </c>
      <c r="E235" s="63">
        <f>SUM(E237:E267)</f>
        <v>1615</v>
      </c>
    </row>
    <row r="236" spans="1:5" s="65" customFormat="1" ht="3.95" customHeight="1" x14ac:dyDescent="0.25">
      <c r="A236" s="62"/>
      <c r="B236" s="63"/>
      <c r="C236" s="63"/>
      <c r="D236" s="63"/>
      <c r="E236" s="63"/>
    </row>
    <row r="237" spans="1:5" s="68" customFormat="1" ht="9" x14ac:dyDescent="0.15">
      <c r="A237" s="66" t="s">
        <v>23</v>
      </c>
      <c r="B237" s="88">
        <f t="shared" ref="B237:B267" si="7">SUM(C237:E237)</f>
        <v>421</v>
      </c>
      <c r="C237" s="88">
        <v>315</v>
      </c>
      <c r="D237" s="67">
        <v>91</v>
      </c>
      <c r="E237" s="67">
        <v>15</v>
      </c>
    </row>
    <row r="238" spans="1:5" s="68" customFormat="1" ht="9" x14ac:dyDescent="0.15">
      <c r="A238" s="66" t="s">
        <v>24</v>
      </c>
      <c r="B238" s="88">
        <f t="shared" si="7"/>
        <v>986</v>
      </c>
      <c r="C238" s="88">
        <v>674</v>
      </c>
      <c r="D238" s="67">
        <v>231</v>
      </c>
      <c r="E238" s="67">
        <v>81</v>
      </c>
    </row>
    <row r="239" spans="1:5" s="68" customFormat="1" ht="9" x14ac:dyDescent="0.15">
      <c r="A239" s="66" t="s">
        <v>25</v>
      </c>
      <c r="B239" s="88">
        <f t="shared" si="7"/>
        <v>273</v>
      </c>
      <c r="C239" s="88">
        <v>167</v>
      </c>
      <c r="D239" s="67">
        <v>54</v>
      </c>
      <c r="E239" s="67">
        <v>52</v>
      </c>
    </row>
    <row r="240" spans="1:5" s="68" customFormat="1" ht="9" x14ac:dyDescent="0.15">
      <c r="A240" s="69" t="s">
        <v>26</v>
      </c>
      <c r="B240" s="90">
        <f t="shared" si="7"/>
        <v>154</v>
      </c>
      <c r="C240" s="90">
        <v>100</v>
      </c>
      <c r="D240" s="70">
        <v>47</v>
      </c>
      <c r="E240" s="70">
        <v>7</v>
      </c>
    </row>
    <row r="241" spans="1:5" s="68" customFormat="1" ht="9" x14ac:dyDescent="0.15">
      <c r="A241" s="66" t="s">
        <v>27</v>
      </c>
      <c r="B241" s="88">
        <f t="shared" si="7"/>
        <v>870</v>
      </c>
      <c r="C241" s="88">
        <v>678</v>
      </c>
      <c r="D241" s="67">
        <v>176</v>
      </c>
      <c r="E241" s="67">
        <v>16</v>
      </c>
    </row>
    <row r="242" spans="1:5" s="68" customFormat="1" ht="9" x14ac:dyDescent="0.15">
      <c r="A242" s="66" t="s">
        <v>28</v>
      </c>
      <c r="B242" s="88">
        <f t="shared" si="7"/>
        <v>644</v>
      </c>
      <c r="C242" s="88">
        <v>428</v>
      </c>
      <c r="D242" s="67">
        <v>175</v>
      </c>
      <c r="E242" s="67">
        <v>41</v>
      </c>
    </row>
    <row r="243" spans="1:5" s="68" customFormat="1" ht="9" x14ac:dyDescent="0.15">
      <c r="A243" s="66" t="s">
        <v>29</v>
      </c>
      <c r="B243" s="88">
        <f t="shared" si="7"/>
        <v>310</v>
      </c>
      <c r="C243" s="88">
        <v>277</v>
      </c>
      <c r="D243" s="67">
        <v>30</v>
      </c>
      <c r="E243" s="67">
        <v>3</v>
      </c>
    </row>
    <row r="244" spans="1:5" s="68" customFormat="1" ht="9" x14ac:dyDescent="0.15">
      <c r="A244" s="69" t="s">
        <v>30</v>
      </c>
      <c r="B244" s="90">
        <f t="shared" si="7"/>
        <v>1157</v>
      </c>
      <c r="C244" s="90">
        <v>911</v>
      </c>
      <c r="D244" s="70">
        <v>205</v>
      </c>
      <c r="E244" s="70">
        <v>41</v>
      </c>
    </row>
    <row r="245" spans="1:5" s="68" customFormat="1" ht="9" x14ac:dyDescent="0.15">
      <c r="A245" s="66" t="s">
        <v>63</v>
      </c>
      <c r="B245" s="88">
        <f t="shared" si="7"/>
        <v>6548</v>
      </c>
      <c r="C245" s="88">
        <v>4502</v>
      </c>
      <c r="D245" s="67">
        <v>1587</v>
      </c>
      <c r="E245" s="67">
        <v>459</v>
      </c>
    </row>
    <row r="246" spans="1:5" s="68" customFormat="1" ht="9" x14ac:dyDescent="0.15">
      <c r="A246" s="66" t="s">
        <v>31</v>
      </c>
      <c r="B246" s="88">
        <f t="shared" si="7"/>
        <v>307</v>
      </c>
      <c r="C246" s="88">
        <v>226</v>
      </c>
      <c r="D246" s="67">
        <v>66</v>
      </c>
      <c r="E246" s="67">
        <v>15</v>
      </c>
    </row>
    <row r="247" spans="1:5" s="68" customFormat="1" ht="9" x14ac:dyDescent="0.15">
      <c r="A247" s="66" t="s">
        <v>32</v>
      </c>
      <c r="B247" s="88">
        <f t="shared" si="7"/>
        <v>1107</v>
      </c>
      <c r="C247" s="88">
        <v>812</v>
      </c>
      <c r="D247" s="67">
        <v>210</v>
      </c>
      <c r="E247" s="67">
        <v>85</v>
      </c>
    </row>
    <row r="248" spans="1:5" s="68" customFormat="1" ht="9" x14ac:dyDescent="0.15">
      <c r="A248" s="69" t="s">
        <v>33</v>
      </c>
      <c r="B248" s="90">
        <f t="shared" si="7"/>
        <v>479</v>
      </c>
      <c r="C248" s="90">
        <v>367</v>
      </c>
      <c r="D248" s="70">
        <v>86</v>
      </c>
      <c r="E248" s="70">
        <v>26</v>
      </c>
    </row>
    <row r="249" spans="1:5" s="68" customFormat="1" ht="9" x14ac:dyDescent="0.15">
      <c r="A249" s="66" t="s">
        <v>34</v>
      </c>
      <c r="B249" s="88">
        <f t="shared" si="7"/>
        <v>311</v>
      </c>
      <c r="C249" s="88">
        <v>242</v>
      </c>
      <c r="D249" s="67">
        <v>46</v>
      </c>
      <c r="E249" s="67">
        <v>23</v>
      </c>
    </row>
    <row r="250" spans="1:5" s="68" customFormat="1" ht="9" x14ac:dyDescent="0.15">
      <c r="A250" s="66" t="s">
        <v>35</v>
      </c>
      <c r="B250" s="88">
        <f t="shared" si="7"/>
        <v>2028</v>
      </c>
      <c r="C250" s="88">
        <v>1558</v>
      </c>
      <c r="D250" s="67">
        <v>382</v>
      </c>
      <c r="E250" s="67">
        <v>88</v>
      </c>
    </row>
    <row r="251" spans="1:5" s="68" customFormat="1" ht="9" x14ac:dyDescent="0.15">
      <c r="A251" s="66" t="s">
        <v>36</v>
      </c>
      <c r="B251" s="88">
        <f t="shared" si="7"/>
        <v>2836</v>
      </c>
      <c r="C251" s="88">
        <v>2126</v>
      </c>
      <c r="D251" s="67">
        <v>518</v>
      </c>
      <c r="E251" s="67">
        <v>192</v>
      </c>
    </row>
    <row r="252" spans="1:5" s="68" customFormat="1" ht="9" x14ac:dyDescent="0.15">
      <c r="A252" s="69" t="s">
        <v>37</v>
      </c>
      <c r="B252" s="90">
        <f t="shared" si="7"/>
        <v>246</v>
      </c>
      <c r="C252" s="90">
        <v>183</v>
      </c>
      <c r="D252" s="70">
        <v>42</v>
      </c>
      <c r="E252" s="70">
        <v>21</v>
      </c>
    </row>
    <row r="253" spans="1:5" s="68" customFormat="1" ht="9" x14ac:dyDescent="0.15">
      <c r="A253" s="66" t="s">
        <v>38</v>
      </c>
      <c r="B253" s="88">
        <f t="shared" si="7"/>
        <v>209</v>
      </c>
      <c r="C253" s="88">
        <v>128</v>
      </c>
      <c r="D253" s="67">
        <v>61</v>
      </c>
      <c r="E253" s="67">
        <v>20</v>
      </c>
    </row>
    <row r="254" spans="1:5" s="68" customFormat="1" ht="9" x14ac:dyDescent="0.15">
      <c r="A254" s="66" t="s">
        <v>39</v>
      </c>
      <c r="B254" s="88">
        <f t="shared" si="7"/>
        <v>17</v>
      </c>
      <c r="C254" s="88">
        <v>15</v>
      </c>
      <c r="D254" s="67">
        <v>2</v>
      </c>
      <c r="E254" s="67">
        <v>0</v>
      </c>
    </row>
    <row r="255" spans="1:5" s="68" customFormat="1" ht="9" x14ac:dyDescent="0.15">
      <c r="A255" s="66" t="s">
        <v>40</v>
      </c>
      <c r="B255" s="88">
        <f t="shared" si="7"/>
        <v>1275</v>
      </c>
      <c r="C255" s="88">
        <v>1078</v>
      </c>
      <c r="D255" s="67">
        <v>161</v>
      </c>
      <c r="E255" s="67">
        <v>36</v>
      </c>
    </row>
    <row r="256" spans="1:5" s="68" customFormat="1" ht="9" x14ac:dyDescent="0.15">
      <c r="A256" s="69" t="s">
        <v>41</v>
      </c>
      <c r="B256" s="90">
        <f t="shared" si="7"/>
        <v>72</v>
      </c>
      <c r="C256" s="90">
        <v>54</v>
      </c>
      <c r="D256" s="70">
        <v>7</v>
      </c>
      <c r="E256" s="70">
        <v>11</v>
      </c>
    </row>
    <row r="257" spans="1:5" s="68" customFormat="1" ht="9" x14ac:dyDescent="0.15">
      <c r="A257" s="66" t="s">
        <v>42</v>
      </c>
      <c r="B257" s="88">
        <f t="shared" si="7"/>
        <v>549</v>
      </c>
      <c r="C257" s="88">
        <v>443</v>
      </c>
      <c r="D257" s="67">
        <v>92</v>
      </c>
      <c r="E257" s="67">
        <v>14</v>
      </c>
    </row>
    <row r="258" spans="1:5" s="68" customFormat="1" ht="9" x14ac:dyDescent="0.15">
      <c r="A258" s="66" t="s">
        <v>43</v>
      </c>
      <c r="B258" s="88">
        <f t="shared" si="7"/>
        <v>362</v>
      </c>
      <c r="C258" s="88">
        <v>267</v>
      </c>
      <c r="D258" s="67">
        <v>71</v>
      </c>
      <c r="E258" s="67">
        <v>24</v>
      </c>
    </row>
    <row r="259" spans="1:5" s="68" customFormat="1" ht="9" x14ac:dyDescent="0.15">
      <c r="A259" s="66" t="s">
        <v>44</v>
      </c>
      <c r="B259" s="88">
        <f t="shared" si="7"/>
        <v>484</v>
      </c>
      <c r="C259" s="88">
        <v>349</v>
      </c>
      <c r="D259" s="67">
        <v>112</v>
      </c>
      <c r="E259" s="67">
        <v>23</v>
      </c>
    </row>
    <row r="260" spans="1:5" s="68" customFormat="1" ht="9" x14ac:dyDescent="0.15">
      <c r="A260" s="69" t="s">
        <v>45</v>
      </c>
      <c r="B260" s="90">
        <f t="shared" si="7"/>
        <v>389</v>
      </c>
      <c r="C260" s="90">
        <v>274</v>
      </c>
      <c r="D260" s="70">
        <v>92</v>
      </c>
      <c r="E260" s="70">
        <v>23</v>
      </c>
    </row>
    <row r="261" spans="1:5" s="68" customFormat="1" ht="9" x14ac:dyDescent="0.15">
      <c r="A261" s="66" t="s">
        <v>46</v>
      </c>
      <c r="B261" s="88">
        <f t="shared" si="7"/>
        <v>1335</v>
      </c>
      <c r="C261" s="88">
        <v>1018</v>
      </c>
      <c r="D261" s="67">
        <v>164</v>
      </c>
      <c r="E261" s="67">
        <v>153</v>
      </c>
    </row>
    <row r="262" spans="1:5" s="68" customFormat="1" ht="9" x14ac:dyDescent="0.15">
      <c r="A262" s="66" t="s">
        <v>47</v>
      </c>
      <c r="B262" s="88">
        <f t="shared" si="7"/>
        <v>438</v>
      </c>
      <c r="C262" s="88">
        <v>301</v>
      </c>
      <c r="D262" s="67">
        <v>87</v>
      </c>
      <c r="E262" s="67">
        <v>50</v>
      </c>
    </row>
    <row r="263" spans="1:5" s="68" customFormat="1" ht="9" x14ac:dyDescent="0.15">
      <c r="A263" s="66" t="s">
        <v>48</v>
      </c>
      <c r="B263" s="88">
        <f t="shared" si="7"/>
        <v>164</v>
      </c>
      <c r="C263" s="88">
        <v>130</v>
      </c>
      <c r="D263" s="67">
        <v>25</v>
      </c>
      <c r="E263" s="67">
        <v>9</v>
      </c>
    </row>
    <row r="264" spans="1:5" s="68" customFormat="1" ht="9" x14ac:dyDescent="0.15">
      <c r="A264" s="69" t="s">
        <v>49</v>
      </c>
      <c r="B264" s="90">
        <f t="shared" si="7"/>
        <v>365</v>
      </c>
      <c r="C264" s="90">
        <v>269</v>
      </c>
      <c r="D264" s="70">
        <v>80</v>
      </c>
      <c r="E264" s="70">
        <v>16</v>
      </c>
    </row>
    <row r="265" spans="1:5" s="68" customFormat="1" ht="9" x14ac:dyDescent="0.15">
      <c r="A265" s="66" t="s">
        <v>51</v>
      </c>
      <c r="B265" s="88">
        <f t="shared" si="7"/>
        <v>469</v>
      </c>
      <c r="C265" s="88">
        <v>331</v>
      </c>
      <c r="D265" s="67">
        <v>101</v>
      </c>
      <c r="E265" s="67">
        <v>37</v>
      </c>
    </row>
    <row r="266" spans="1:5" s="68" customFormat="1" ht="9" x14ac:dyDescent="0.15">
      <c r="A266" s="66" t="s">
        <v>52</v>
      </c>
      <c r="B266" s="88">
        <f t="shared" si="7"/>
        <v>354</v>
      </c>
      <c r="C266" s="88">
        <v>280</v>
      </c>
      <c r="D266" s="67">
        <v>69</v>
      </c>
      <c r="E266" s="67">
        <v>5</v>
      </c>
    </row>
    <row r="267" spans="1:5" s="68" customFormat="1" ht="9" x14ac:dyDescent="0.15">
      <c r="A267" s="71" t="s">
        <v>53</v>
      </c>
      <c r="B267" s="109">
        <f t="shared" si="7"/>
        <v>244</v>
      </c>
      <c r="C267" s="109">
        <v>171</v>
      </c>
      <c r="D267" s="67">
        <v>44</v>
      </c>
      <c r="E267" s="67">
        <v>29</v>
      </c>
    </row>
    <row r="268" spans="1:5" s="65" customFormat="1" ht="9" x14ac:dyDescent="0.25">
      <c r="B268" s="86"/>
      <c r="C268" s="86"/>
      <c r="D268" s="63"/>
      <c r="E268" s="63"/>
    </row>
    <row r="269" spans="1:5" s="65" customFormat="1" ht="9" x14ac:dyDescent="0.25">
      <c r="A269" s="85">
        <v>2007</v>
      </c>
      <c r="B269" s="86"/>
      <c r="C269" s="86"/>
      <c r="D269" s="63"/>
      <c r="E269" s="63"/>
    </row>
    <row r="270" spans="1:5" s="65" customFormat="1" ht="9" x14ac:dyDescent="0.25">
      <c r="A270" s="62" t="s">
        <v>21</v>
      </c>
      <c r="B270" s="63">
        <f>SUM(B272:B302)</f>
        <v>25764</v>
      </c>
      <c r="C270" s="63">
        <f>SUM(C272:C302)</f>
        <v>18768</v>
      </c>
      <c r="D270" s="63">
        <f>SUM(D272:D302)</f>
        <v>5496</v>
      </c>
      <c r="E270" s="63">
        <f>SUM(E272:E302)</f>
        <v>1500</v>
      </c>
    </row>
    <row r="271" spans="1:5" s="65" customFormat="1" ht="3.95" customHeight="1" x14ac:dyDescent="0.25">
      <c r="A271" s="62"/>
      <c r="B271" s="63"/>
      <c r="C271" s="63"/>
      <c r="D271" s="63"/>
      <c r="E271" s="63"/>
    </row>
    <row r="272" spans="1:5" s="68" customFormat="1" ht="9" x14ac:dyDescent="0.15">
      <c r="A272" s="66" t="s">
        <v>23</v>
      </c>
      <c r="B272" s="88">
        <f t="shared" ref="B272:B302" si="8">SUM(C272:E272)</f>
        <v>365</v>
      </c>
      <c r="C272" s="88">
        <v>272</v>
      </c>
      <c r="D272" s="67">
        <v>71</v>
      </c>
      <c r="E272" s="67">
        <v>22</v>
      </c>
    </row>
    <row r="273" spans="1:5" s="68" customFormat="1" ht="9" x14ac:dyDescent="0.15">
      <c r="A273" s="66" t="s">
        <v>24</v>
      </c>
      <c r="B273" s="88">
        <f t="shared" si="8"/>
        <v>1042</v>
      </c>
      <c r="C273" s="88">
        <v>756</v>
      </c>
      <c r="D273" s="67">
        <v>214</v>
      </c>
      <c r="E273" s="67">
        <v>72</v>
      </c>
    </row>
    <row r="274" spans="1:5" s="68" customFormat="1" ht="9" x14ac:dyDescent="0.15">
      <c r="A274" s="66" t="s">
        <v>25</v>
      </c>
      <c r="B274" s="88">
        <f t="shared" si="8"/>
        <v>246</v>
      </c>
      <c r="C274" s="88">
        <v>141</v>
      </c>
      <c r="D274" s="67">
        <v>54</v>
      </c>
      <c r="E274" s="67">
        <v>51</v>
      </c>
    </row>
    <row r="275" spans="1:5" s="68" customFormat="1" ht="9" x14ac:dyDescent="0.15">
      <c r="A275" s="69" t="s">
        <v>26</v>
      </c>
      <c r="B275" s="90">
        <f t="shared" si="8"/>
        <v>174</v>
      </c>
      <c r="C275" s="90">
        <v>110</v>
      </c>
      <c r="D275" s="70">
        <v>58</v>
      </c>
      <c r="E275" s="70">
        <v>6</v>
      </c>
    </row>
    <row r="276" spans="1:5" s="68" customFormat="1" ht="9" x14ac:dyDescent="0.15">
      <c r="A276" s="66" t="s">
        <v>27</v>
      </c>
      <c r="B276" s="88">
        <f t="shared" si="8"/>
        <v>669</v>
      </c>
      <c r="C276" s="88">
        <v>494</v>
      </c>
      <c r="D276" s="67">
        <v>137</v>
      </c>
      <c r="E276" s="67">
        <v>38</v>
      </c>
    </row>
    <row r="277" spans="1:5" s="68" customFormat="1" ht="9" x14ac:dyDescent="0.15">
      <c r="A277" s="66" t="s">
        <v>28</v>
      </c>
      <c r="B277" s="88">
        <f t="shared" si="8"/>
        <v>683</v>
      </c>
      <c r="C277" s="88">
        <v>479</v>
      </c>
      <c r="D277" s="67">
        <v>167</v>
      </c>
      <c r="E277" s="67">
        <v>37</v>
      </c>
    </row>
    <row r="278" spans="1:5" s="68" customFormat="1" ht="9" x14ac:dyDescent="0.15">
      <c r="A278" s="66" t="s">
        <v>29</v>
      </c>
      <c r="B278" s="88">
        <f t="shared" si="8"/>
        <v>335</v>
      </c>
      <c r="C278" s="88">
        <v>282</v>
      </c>
      <c r="D278" s="67">
        <v>42</v>
      </c>
      <c r="E278" s="67">
        <v>11</v>
      </c>
    </row>
    <row r="279" spans="1:5" s="68" customFormat="1" ht="9" x14ac:dyDescent="0.15">
      <c r="A279" s="69" t="s">
        <v>30</v>
      </c>
      <c r="B279" s="90">
        <f t="shared" si="8"/>
        <v>1350</v>
      </c>
      <c r="C279" s="90">
        <v>1059</v>
      </c>
      <c r="D279" s="70">
        <v>250</v>
      </c>
      <c r="E279" s="70">
        <v>41</v>
      </c>
    </row>
    <row r="280" spans="1:5" s="68" customFormat="1" ht="9" x14ac:dyDescent="0.15">
      <c r="A280" s="66" t="s">
        <v>63</v>
      </c>
      <c r="B280" s="88">
        <f t="shared" si="8"/>
        <v>6897</v>
      </c>
      <c r="C280" s="88">
        <v>4781</v>
      </c>
      <c r="D280" s="67">
        <v>1764</v>
      </c>
      <c r="E280" s="67">
        <v>352</v>
      </c>
    </row>
    <row r="281" spans="1:5" s="68" customFormat="1" ht="9" x14ac:dyDescent="0.15">
      <c r="A281" s="66" t="s">
        <v>31</v>
      </c>
      <c r="B281" s="88">
        <f t="shared" si="8"/>
        <v>473</v>
      </c>
      <c r="C281" s="88">
        <v>333</v>
      </c>
      <c r="D281" s="67">
        <v>101</v>
      </c>
      <c r="E281" s="67">
        <v>39</v>
      </c>
    </row>
    <row r="282" spans="1:5" s="68" customFormat="1" ht="9" x14ac:dyDescent="0.15">
      <c r="A282" s="66" t="s">
        <v>32</v>
      </c>
      <c r="B282" s="88">
        <f t="shared" si="8"/>
        <v>1102</v>
      </c>
      <c r="C282" s="88">
        <v>783</v>
      </c>
      <c r="D282" s="67">
        <v>246</v>
      </c>
      <c r="E282" s="67">
        <v>73</v>
      </c>
    </row>
    <row r="283" spans="1:5" s="68" customFormat="1" ht="9" x14ac:dyDescent="0.15">
      <c r="A283" s="69" t="s">
        <v>33</v>
      </c>
      <c r="B283" s="90">
        <f t="shared" si="8"/>
        <v>542</v>
      </c>
      <c r="C283" s="90">
        <v>416</v>
      </c>
      <c r="D283" s="70">
        <v>98</v>
      </c>
      <c r="E283" s="70">
        <v>28</v>
      </c>
    </row>
    <row r="284" spans="1:5" s="68" customFormat="1" ht="9" x14ac:dyDescent="0.15">
      <c r="A284" s="66" t="s">
        <v>34</v>
      </c>
      <c r="B284" s="88">
        <f t="shared" si="8"/>
        <v>291</v>
      </c>
      <c r="C284" s="88">
        <v>229</v>
      </c>
      <c r="D284" s="67">
        <v>50</v>
      </c>
      <c r="E284" s="67">
        <v>12</v>
      </c>
    </row>
    <row r="285" spans="1:5" s="68" customFormat="1" ht="9" x14ac:dyDescent="0.15">
      <c r="A285" s="66" t="s">
        <v>35</v>
      </c>
      <c r="B285" s="88">
        <f t="shared" si="8"/>
        <v>2009</v>
      </c>
      <c r="C285" s="88">
        <v>1540</v>
      </c>
      <c r="D285" s="67">
        <v>353</v>
      </c>
      <c r="E285" s="67">
        <v>116</v>
      </c>
    </row>
    <row r="286" spans="1:5" s="68" customFormat="1" ht="9" x14ac:dyDescent="0.15">
      <c r="A286" s="66" t="s">
        <v>36</v>
      </c>
      <c r="B286" s="88">
        <f t="shared" si="8"/>
        <v>2924</v>
      </c>
      <c r="C286" s="88">
        <v>2201</v>
      </c>
      <c r="D286" s="67">
        <v>578</v>
      </c>
      <c r="E286" s="67">
        <v>145</v>
      </c>
    </row>
    <row r="287" spans="1:5" s="68" customFormat="1" ht="9" x14ac:dyDescent="0.15">
      <c r="A287" s="69" t="s">
        <v>37</v>
      </c>
      <c r="B287" s="90">
        <f t="shared" si="8"/>
        <v>236</v>
      </c>
      <c r="C287" s="90">
        <v>170</v>
      </c>
      <c r="D287" s="70">
        <v>50</v>
      </c>
      <c r="E287" s="70">
        <v>16</v>
      </c>
    </row>
    <row r="288" spans="1:5" s="68" customFormat="1" ht="9" x14ac:dyDescent="0.15">
      <c r="A288" s="66" t="s">
        <v>38</v>
      </c>
      <c r="B288" s="88">
        <f t="shared" si="8"/>
        <v>236</v>
      </c>
      <c r="C288" s="88">
        <v>147</v>
      </c>
      <c r="D288" s="67">
        <v>52</v>
      </c>
      <c r="E288" s="67">
        <v>37</v>
      </c>
    </row>
    <row r="289" spans="1:5" s="68" customFormat="1" ht="9" x14ac:dyDescent="0.15">
      <c r="A289" s="66" t="s">
        <v>39</v>
      </c>
      <c r="B289" s="88">
        <f t="shared" si="8"/>
        <v>11</v>
      </c>
      <c r="C289" s="88">
        <v>8</v>
      </c>
      <c r="D289" s="67">
        <v>2</v>
      </c>
      <c r="E289" s="67">
        <v>1</v>
      </c>
    </row>
    <row r="290" spans="1:5" s="68" customFormat="1" ht="9" x14ac:dyDescent="0.15">
      <c r="A290" s="66" t="s">
        <v>40</v>
      </c>
      <c r="B290" s="88">
        <f t="shared" si="8"/>
        <v>1164</v>
      </c>
      <c r="C290" s="88">
        <v>965</v>
      </c>
      <c r="D290" s="67">
        <v>168</v>
      </c>
      <c r="E290" s="67">
        <v>31</v>
      </c>
    </row>
    <row r="291" spans="1:5" s="68" customFormat="1" ht="9" x14ac:dyDescent="0.15">
      <c r="A291" s="69" t="s">
        <v>41</v>
      </c>
      <c r="B291" s="90">
        <f t="shared" si="8"/>
        <v>172</v>
      </c>
      <c r="C291" s="90">
        <v>129</v>
      </c>
      <c r="D291" s="70">
        <v>26</v>
      </c>
      <c r="E291" s="70">
        <v>17</v>
      </c>
    </row>
    <row r="292" spans="1:5" s="68" customFormat="1" ht="9" x14ac:dyDescent="0.15">
      <c r="A292" s="66" t="s">
        <v>42</v>
      </c>
      <c r="B292" s="88">
        <f t="shared" si="8"/>
        <v>522</v>
      </c>
      <c r="C292" s="88">
        <v>398</v>
      </c>
      <c r="D292" s="67">
        <v>113</v>
      </c>
      <c r="E292" s="67">
        <v>11</v>
      </c>
    </row>
    <row r="293" spans="1:5" s="68" customFormat="1" ht="9" x14ac:dyDescent="0.15">
      <c r="A293" s="66" t="s">
        <v>43</v>
      </c>
      <c r="B293" s="88">
        <f t="shared" si="8"/>
        <v>322</v>
      </c>
      <c r="C293" s="88">
        <v>230</v>
      </c>
      <c r="D293" s="67">
        <v>74</v>
      </c>
      <c r="E293" s="67">
        <v>18</v>
      </c>
    </row>
    <row r="294" spans="1:5" s="68" customFormat="1" ht="9" x14ac:dyDescent="0.15">
      <c r="A294" s="66" t="s">
        <v>44</v>
      </c>
      <c r="B294" s="88">
        <f t="shared" si="8"/>
        <v>477</v>
      </c>
      <c r="C294" s="88">
        <v>366</v>
      </c>
      <c r="D294" s="67">
        <v>83</v>
      </c>
      <c r="E294" s="67">
        <v>28</v>
      </c>
    </row>
    <row r="295" spans="1:5" s="68" customFormat="1" ht="9" x14ac:dyDescent="0.15">
      <c r="A295" s="69" t="s">
        <v>45</v>
      </c>
      <c r="B295" s="90">
        <f t="shared" si="8"/>
        <v>359</v>
      </c>
      <c r="C295" s="90">
        <v>222</v>
      </c>
      <c r="D295" s="70">
        <v>95</v>
      </c>
      <c r="E295" s="70">
        <v>42</v>
      </c>
    </row>
    <row r="296" spans="1:5" s="68" customFormat="1" ht="9" x14ac:dyDescent="0.15">
      <c r="A296" s="66" t="s">
        <v>46</v>
      </c>
      <c r="B296" s="88">
        <f t="shared" si="8"/>
        <v>1154</v>
      </c>
      <c r="C296" s="88">
        <v>849</v>
      </c>
      <c r="D296" s="67">
        <v>178</v>
      </c>
      <c r="E296" s="67">
        <v>127</v>
      </c>
    </row>
    <row r="297" spans="1:5" s="68" customFormat="1" ht="9" x14ac:dyDescent="0.15">
      <c r="A297" s="66" t="s">
        <v>47</v>
      </c>
      <c r="B297" s="88">
        <f t="shared" si="8"/>
        <v>439</v>
      </c>
      <c r="C297" s="88">
        <v>296</v>
      </c>
      <c r="D297" s="67">
        <v>100</v>
      </c>
      <c r="E297" s="67">
        <v>43</v>
      </c>
    </row>
    <row r="298" spans="1:5" s="68" customFormat="1" ht="9" x14ac:dyDescent="0.15">
      <c r="A298" s="66" t="s">
        <v>48</v>
      </c>
      <c r="B298" s="88">
        <f t="shared" si="8"/>
        <v>116</v>
      </c>
      <c r="C298" s="88">
        <v>82</v>
      </c>
      <c r="D298" s="67">
        <v>34</v>
      </c>
      <c r="E298" s="67">
        <v>0</v>
      </c>
    </row>
    <row r="299" spans="1:5" s="68" customFormat="1" ht="9" x14ac:dyDescent="0.15">
      <c r="A299" s="69" t="s">
        <v>49</v>
      </c>
      <c r="B299" s="90">
        <f t="shared" si="8"/>
        <v>385</v>
      </c>
      <c r="C299" s="90">
        <v>275</v>
      </c>
      <c r="D299" s="70">
        <v>93</v>
      </c>
      <c r="E299" s="70">
        <v>17</v>
      </c>
    </row>
    <row r="300" spans="1:5" s="68" customFormat="1" ht="9" x14ac:dyDescent="0.15">
      <c r="A300" s="66" t="s">
        <v>51</v>
      </c>
      <c r="B300" s="88">
        <f t="shared" si="8"/>
        <v>452</v>
      </c>
      <c r="C300" s="88">
        <v>304</v>
      </c>
      <c r="D300" s="67">
        <v>112</v>
      </c>
      <c r="E300" s="67">
        <v>36</v>
      </c>
    </row>
    <row r="301" spans="1:5" s="68" customFormat="1" ht="9" x14ac:dyDescent="0.15">
      <c r="A301" s="66" t="s">
        <v>52</v>
      </c>
      <c r="B301" s="88">
        <f t="shared" si="8"/>
        <v>368</v>
      </c>
      <c r="C301" s="88">
        <v>280</v>
      </c>
      <c r="D301" s="67">
        <v>65</v>
      </c>
      <c r="E301" s="67">
        <v>23</v>
      </c>
    </row>
    <row r="302" spans="1:5" s="68" customFormat="1" ht="9" x14ac:dyDescent="0.15">
      <c r="A302" s="71" t="s">
        <v>53</v>
      </c>
      <c r="B302" s="109">
        <f t="shared" si="8"/>
        <v>249</v>
      </c>
      <c r="C302" s="109">
        <v>171</v>
      </c>
      <c r="D302" s="67">
        <v>68</v>
      </c>
      <c r="E302" s="67">
        <v>10</v>
      </c>
    </row>
    <row r="303" spans="1:5" s="65" customFormat="1" ht="9" x14ac:dyDescent="0.25">
      <c r="B303" s="86"/>
      <c r="C303" s="86"/>
      <c r="D303" s="63"/>
      <c r="E303" s="63"/>
    </row>
    <row r="304" spans="1:5" s="65" customFormat="1" ht="9" x14ac:dyDescent="0.25">
      <c r="A304" s="85">
        <v>2008</v>
      </c>
      <c r="B304" s="86"/>
      <c r="C304" s="86"/>
      <c r="D304" s="63"/>
      <c r="E304" s="63"/>
    </row>
    <row r="305" spans="1:5" s="65" customFormat="1" ht="9" x14ac:dyDescent="0.25">
      <c r="A305" s="62" t="s">
        <v>21</v>
      </c>
      <c r="B305" s="63">
        <f>SUM(B307:B337)</f>
        <v>25703</v>
      </c>
      <c r="C305" s="63">
        <f>SUM(C307:C337)</f>
        <v>19092</v>
      </c>
      <c r="D305" s="63">
        <f>SUM(D307:D337)</f>
        <v>5445</v>
      </c>
      <c r="E305" s="63">
        <f>SUM(E307:E337)</f>
        <v>1166</v>
      </c>
    </row>
    <row r="306" spans="1:5" s="65" customFormat="1" ht="3.95" customHeight="1" x14ac:dyDescent="0.25">
      <c r="A306" s="62"/>
      <c r="B306" s="63"/>
      <c r="C306" s="63"/>
      <c r="D306" s="63"/>
      <c r="E306" s="63"/>
    </row>
    <row r="307" spans="1:5" s="68" customFormat="1" ht="9" x14ac:dyDescent="0.15">
      <c r="A307" s="66" t="s">
        <v>23</v>
      </c>
      <c r="B307" s="88">
        <f t="shared" ref="B307:B337" si="9">SUM(C307:E307)</f>
        <v>270</v>
      </c>
      <c r="C307" s="88">
        <v>207</v>
      </c>
      <c r="D307" s="67">
        <v>46</v>
      </c>
      <c r="E307" s="67">
        <v>17</v>
      </c>
    </row>
    <row r="308" spans="1:5" s="68" customFormat="1" ht="9" x14ac:dyDescent="0.15">
      <c r="A308" s="66" t="s">
        <v>24</v>
      </c>
      <c r="B308" s="88">
        <f t="shared" si="9"/>
        <v>1096</v>
      </c>
      <c r="C308" s="88">
        <v>809</v>
      </c>
      <c r="D308" s="67">
        <v>235</v>
      </c>
      <c r="E308" s="67">
        <v>52</v>
      </c>
    </row>
    <row r="309" spans="1:5" s="68" customFormat="1" ht="9" x14ac:dyDescent="0.15">
      <c r="A309" s="66" t="s">
        <v>25</v>
      </c>
      <c r="B309" s="88">
        <f t="shared" si="9"/>
        <v>246</v>
      </c>
      <c r="C309" s="88">
        <v>158</v>
      </c>
      <c r="D309" s="67">
        <v>52</v>
      </c>
      <c r="E309" s="67">
        <v>36</v>
      </c>
    </row>
    <row r="310" spans="1:5" s="68" customFormat="1" ht="9" x14ac:dyDescent="0.15">
      <c r="A310" s="69" t="s">
        <v>26</v>
      </c>
      <c r="B310" s="90">
        <f t="shared" si="9"/>
        <v>111</v>
      </c>
      <c r="C310" s="90">
        <v>58</v>
      </c>
      <c r="D310" s="70">
        <v>53</v>
      </c>
      <c r="E310" s="70">
        <v>0</v>
      </c>
    </row>
    <row r="311" spans="1:5" s="68" customFormat="1" ht="9" x14ac:dyDescent="0.15">
      <c r="A311" s="66" t="s">
        <v>27</v>
      </c>
      <c r="B311" s="88">
        <f t="shared" si="9"/>
        <v>801</v>
      </c>
      <c r="C311" s="88">
        <v>624</v>
      </c>
      <c r="D311" s="67">
        <v>159</v>
      </c>
      <c r="E311" s="67">
        <v>18</v>
      </c>
    </row>
    <row r="312" spans="1:5" s="68" customFormat="1" ht="9" x14ac:dyDescent="0.15">
      <c r="A312" s="66" t="s">
        <v>28</v>
      </c>
      <c r="B312" s="88">
        <f t="shared" si="9"/>
        <v>672</v>
      </c>
      <c r="C312" s="88">
        <v>499</v>
      </c>
      <c r="D312" s="67">
        <v>154</v>
      </c>
      <c r="E312" s="67">
        <v>19</v>
      </c>
    </row>
    <row r="313" spans="1:5" s="68" customFormat="1" ht="9" x14ac:dyDescent="0.15">
      <c r="A313" s="66" t="s">
        <v>29</v>
      </c>
      <c r="B313" s="88">
        <f t="shared" si="9"/>
        <v>279</v>
      </c>
      <c r="C313" s="88">
        <v>242</v>
      </c>
      <c r="D313" s="67">
        <v>30</v>
      </c>
      <c r="E313" s="67">
        <v>7</v>
      </c>
    </row>
    <row r="314" spans="1:5" s="68" customFormat="1" ht="9" x14ac:dyDescent="0.15">
      <c r="A314" s="69" t="s">
        <v>30</v>
      </c>
      <c r="B314" s="90">
        <f t="shared" si="9"/>
        <v>1279</v>
      </c>
      <c r="C314" s="90">
        <v>986</v>
      </c>
      <c r="D314" s="70">
        <v>257</v>
      </c>
      <c r="E314" s="70">
        <v>36</v>
      </c>
    </row>
    <row r="315" spans="1:5" s="68" customFormat="1" ht="9" x14ac:dyDescent="0.15">
      <c r="A315" s="66" t="s">
        <v>63</v>
      </c>
      <c r="B315" s="88">
        <f t="shared" si="9"/>
        <v>6934</v>
      </c>
      <c r="C315" s="88">
        <v>4937</v>
      </c>
      <c r="D315" s="67">
        <v>1679</v>
      </c>
      <c r="E315" s="67">
        <v>318</v>
      </c>
    </row>
    <row r="316" spans="1:5" s="68" customFormat="1" ht="9" x14ac:dyDescent="0.15">
      <c r="A316" s="66" t="s">
        <v>31</v>
      </c>
      <c r="B316" s="88">
        <f t="shared" si="9"/>
        <v>467</v>
      </c>
      <c r="C316" s="88">
        <v>332</v>
      </c>
      <c r="D316" s="67">
        <v>92</v>
      </c>
      <c r="E316" s="67">
        <v>43</v>
      </c>
    </row>
    <row r="317" spans="1:5" s="68" customFormat="1" ht="9" x14ac:dyDescent="0.15">
      <c r="A317" s="66" t="s">
        <v>32</v>
      </c>
      <c r="B317" s="88">
        <f t="shared" si="9"/>
        <v>1145</v>
      </c>
      <c r="C317" s="88">
        <v>912</v>
      </c>
      <c r="D317" s="67">
        <v>229</v>
      </c>
      <c r="E317" s="67">
        <v>4</v>
      </c>
    </row>
    <row r="318" spans="1:5" s="68" customFormat="1" ht="9" x14ac:dyDescent="0.15">
      <c r="A318" s="69" t="s">
        <v>33</v>
      </c>
      <c r="B318" s="90">
        <f t="shared" si="9"/>
        <v>513</v>
      </c>
      <c r="C318" s="90">
        <v>411</v>
      </c>
      <c r="D318" s="70">
        <v>94</v>
      </c>
      <c r="E318" s="70">
        <v>8</v>
      </c>
    </row>
    <row r="319" spans="1:5" s="68" customFormat="1" ht="9" x14ac:dyDescent="0.15">
      <c r="A319" s="66" t="s">
        <v>34</v>
      </c>
      <c r="B319" s="88">
        <f t="shared" si="9"/>
        <v>276</v>
      </c>
      <c r="C319" s="88">
        <v>201</v>
      </c>
      <c r="D319" s="67">
        <v>57</v>
      </c>
      <c r="E319" s="67">
        <v>18</v>
      </c>
    </row>
    <row r="320" spans="1:5" s="68" customFormat="1" ht="9" x14ac:dyDescent="0.15">
      <c r="A320" s="66" t="s">
        <v>35</v>
      </c>
      <c r="B320" s="88">
        <f t="shared" si="9"/>
        <v>1921</v>
      </c>
      <c r="C320" s="88">
        <v>1485</v>
      </c>
      <c r="D320" s="67">
        <v>367</v>
      </c>
      <c r="E320" s="67">
        <v>69</v>
      </c>
    </row>
    <row r="321" spans="1:5" s="68" customFormat="1" ht="9" x14ac:dyDescent="0.15">
      <c r="A321" s="66" t="s">
        <v>36</v>
      </c>
      <c r="B321" s="88">
        <f t="shared" si="9"/>
        <v>2872</v>
      </c>
      <c r="C321" s="88">
        <v>2259</v>
      </c>
      <c r="D321" s="67">
        <v>449</v>
      </c>
      <c r="E321" s="67">
        <v>164</v>
      </c>
    </row>
    <row r="322" spans="1:5" s="68" customFormat="1" ht="9" x14ac:dyDescent="0.15">
      <c r="A322" s="69" t="s">
        <v>37</v>
      </c>
      <c r="B322" s="90">
        <f t="shared" si="9"/>
        <v>326</v>
      </c>
      <c r="C322" s="90">
        <v>232</v>
      </c>
      <c r="D322" s="70">
        <v>83</v>
      </c>
      <c r="E322" s="70">
        <v>11</v>
      </c>
    </row>
    <row r="323" spans="1:5" s="68" customFormat="1" ht="9" x14ac:dyDescent="0.15">
      <c r="A323" s="66" t="s">
        <v>38</v>
      </c>
      <c r="B323" s="88">
        <f t="shared" si="9"/>
        <v>233</v>
      </c>
      <c r="C323" s="88">
        <v>168</v>
      </c>
      <c r="D323" s="67">
        <v>54</v>
      </c>
      <c r="E323" s="67">
        <v>11</v>
      </c>
    </row>
    <row r="324" spans="1:5" s="68" customFormat="1" ht="9" x14ac:dyDescent="0.15">
      <c r="A324" s="66" t="s">
        <v>39</v>
      </c>
      <c r="B324" s="88">
        <f t="shared" si="9"/>
        <v>7</v>
      </c>
      <c r="C324" s="88">
        <v>6</v>
      </c>
      <c r="D324" s="67">
        <v>0</v>
      </c>
      <c r="E324" s="67">
        <v>1</v>
      </c>
    </row>
    <row r="325" spans="1:5" s="68" customFormat="1" ht="9" x14ac:dyDescent="0.15">
      <c r="A325" s="66" t="s">
        <v>40</v>
      </c>
      <c r="B325" s="88">
        <f t="shared" si="9"/>
        <v>821</v>
      </c>
      <c r="C325" s="88">
        <v>651</v>
      </c>
      <c r="D325" s="67">
        <v>152</v>
      </c>
      <c r="E325" s="67">
        <v>18</v>
      </c>
    </row>
    <row r="326" spans="1:5" s="68" customFormat="1" ht="9" x14ac:dyDescent="0.15">
      <c r="A326" s="69" t="s">
        <v>41</v>
      </c>
      <c r="B326" s="90">
        <f t="shared" si="9"/>
        <v>158</v>
      </c>
      <c r="C326" s="90">
        <v>126</v>
      </c>
      <c r="D326" s="70">
        <v>25</v>
      </c>
      <c r="E326" s="70">
        <v>7</v>
      </c>
    </row>
    <row r="327" spans="1:5" s="68" customFormat="1" ht="9" x14ac:dyDescent="0.15">
      <c r="A327" s="66" t="s">
        <v>42</v>
      </c>
      <c r="B327" s="88">
        <f t="shared" si="9"/>
        <v>563</v>
      </c>
      <c r="C327" s="88">
        <v>429</v>
      </c>
      <c r="D327" s="67">
        <v>122</v>
      </c>
      <c r="E327" s="67">
        <v>12</v>
      </c>
    </row>
    <row r="328" spans="1:5" s="68" customFormat="1" ht="9" x14ac:dyDescent="0.15">
      <c r="A328" s="66" t="s">
        <v>43</v>
      </c>
      <c r="B328" s="88">
        <f t="shared" si="9"/>
        <v>330</v>
      </c>
      <c r="C328" s="88">
        <v>238</v>
      </c>
      <c r="D328" s="67">
        <v>65</v>
      </c>
      <c r="E328" s="67">
        <v>27</v>
      </c>
    </row>
    <row r="329" spans="1:5" s="68" customFormat="1" ht="9" x14ac:dyDescent="0.15">
      <c r="A329" s="66" t="s">
        <v>44</v>
      </c>
      <c r="B329" s="88">
        <f t="shared" si="9"/>
        <v>446</v>
      </c>
      <c r="C329" s="88">
        <v>316</v>
      </c>
      <c r="D329" s="67">
        <v>99</v>
      </c>
      <c r="E329" s="67">
        <v>31</v>
      </c>
    </row>
    <row r="330" spans="1:5" s="68" customFormat="1" ht="9" x14ac:dyDescent="0.15">
      <c r="A330" s="69" t="s">
        <v>45</v>
      </c>
      <c r="B330" s="90">
        <f t="shared" si="9"/>
        <v>354</v>
      </c>
      <c r="C330" s="90">
        <v>246</v>
      </c>
      <c r="D330" s="70">
        <v>99</v>
      </c>
      <c r="E330" s="70">
        <v>9</v>
      </c>
    </row>
    <row r="331" spans="1:5" s="68" customFormat="1" ht="9" x14ac:dyDescent="0.15">
      <c r="A331" s="66" t="s">
        <v>46</v>
      </c>
      <c r="B331" s="88">
        <f t="shared" si="9"/>
        <v>1100</v>
      </c>
      <c r="C331" s="88">
        <v>851</v>
      </c>
      <c r="D331" s="67">
        <v>158</v>
      </c>
      <c r="E331" s="67">
        <v>91</v>
      </c>
    </row>
    <row r="332" spans="1:5" s="68" customFormat="1" ht="9" x14ac:dyDescent="0.15">
      <c r="A332" s="66" t="s">
        <v>47</v>
      </c>
      <c r="B332" s="88">
        <f t="shared" si="9"/>
        <v>625</v>
      </c>
      <c r="C332" s="88">
        <v>403</v>
      </c>
      <c r="D332" s="67">
        <v>166</v>
      </c>
      <c r="E332" s="67">
        <v>56</v>
      </c>
    </row>
    <row r="333" spans="1:5" s="68" customFormat="1" ht="9" x14ac:dyDescent="0.15">
      <c r="A333" s="66" t="s">
        <v>48</v>
      </c>
      <c r="B333" s="88">
        <f t="shared" si="9"/>
        <v>257</v>
      </c>
      <c r="C333" s="88">
        <v>182</v>
      </c>
      <c r="D333" s="67">
        <v>73</v>
      </c>
      <c r="E333" s="67">
        <v>2</v>
      </c>
    </row>
    <row r="334" spans="1:5" s="68" customFormat="1" ht="9" x14ac:dyDescent="0.15">
      <c r="A334" s="69" t="s">
        <v>49</v>
      </c>
      <c r="B334" s="90">
        <f t="shared" si="9"/>
        <v>413</v>
      </c>
      <c r="C334" s="90">
        <v>270</v>
      </c>
      <c r="D334" s="70">
        <v>124</v>
      </c>
      <c r="E334" s="70">
        <v>19</v>
      </c>
    </row>
    <row r="335" spans="1:5" s="68" customFormat="1" ht="9" x14ac:dyDescent="0.15">
      <c r="A335" s="66" t="s">
        <v>51</v>
      </c>
      <c r="B335" s="88">
        <f t="shared" si="9"/>
        <v>399</v>
      </c>
      <c r="C335" s="88">
        <v>285</v>
      </c>
      <c r="D335" s="67">
        <v>101</v>
      </c>
      <c r="E335" s="67">
        <v>13</v>
      </c>
    </row>
    <row r="336" spans="1:5" s="68" customFormat="1" ht="9" x14ac:dyDescent="0.15">
      <c r="A336" s="66" t="s">
        <v>52</v>
      </c>
      <c r="B336" s="88">
        <f t="shared" si="9"/>
        <v>344</v>
      </c>
      <c r="C336" s="88">
        <v>262</v>
      </c>
      <c r="D336" s="67">
        <v>66</v>
      </c>
      <c r="E336" s="67">
        <v>16</v>
      </c>
    </row>
    <row r="337" spans="1:7" s="68" customFormat="1" ht="9" x14ac:dyDescent="0.15">
      <c r="A337" s="71" t="s">
        <v>53</v>
      </c>
      <c r="B337" s="109">
        <f t="shared" si="9"/>
        <v>445</v>
      </c>
      <c r="C337" s="109">
        <v>307</v>
      </c>
      <c r="D337" s="67">
        <v>105</v>
      </c>
      <c r="E337" s="67">
        <v>33</v>
      </c>
    </row>
    <row r="338" spans="1:7" s="65" customFormat="1" ht="9" x14ac:dyDescent="0.25">
      <c r="B338" s="86"/>
      <c r="C338" s="86"/>
      <c r="D338" s="63"/>
      <c r="E338" s="63"/>
    </row>
    <row r="339" spans="1:7" s="65" customFormat="1" ht="9" x14ac:dyDescent="0.25">
      <c r="A339" s="85">
        <v>2009</v>
      </c>
      <c r="B339" s="86"/>
      <c r="C339" s="86"/>
      <c r="D339" s="63"/>
      <c r="E339" s="63"/>
    </row>
    <row r="340" spans="1:7" s="65" customFormat="1" ht="9" x14ac:dyDescent="0.25">
      <c r="A340" s="62" t="s">
        <v>21</v>
      </c>
      <c r="B340" s="63">
        <f>SUM(B342:B372)</f>
        <v>25937</v>
      </c>
      <c r="C340" s="63">
        <f>SUM(C342:C372)</f>
        <v>19110</v>
      </c>
      <c r="D340" s="63">
        <f>SUM(D342:D372)</f>
        <v>5657</v>
      </c>
      <c r="E340" s="63">
        <f>SUM(E342:E372)</f>
        <v>1170</v>
      </c>
      <c r="G340" s="101"/>
    </row>
    <row r="341" spans="1:7" s="65" customFormat="1" ht="3.95" customHeight="1" x14ac:dyDescent="0.25">
      <c r="A341" s="62"/>
      <c r="B341" s="63"/>
      <c r="C341" s="63"/>
      <c r="D341" s="63"/>
      <c r="E341" s="63"/>
    </row>
    <row r="342" spans="1:7" s="68" customFormat="1" ht="9" x14ac:dyDescent="0.15">
      <c r="A342" s="66" t="s">
        <v>23</v>
      </c>
      <c r="B342" s="88">
        <f t="shared" ref="B342:B372" si="10">SUM(C342:E342)</f>
        <v>260</v>
      </c>
      <c r="C342" s="88">
        <v>198</v>
      </c>
      <c r="D342" s="67">
        <v>55</v>
      </c>
      <c r="E342" s="67">
        <v>7</v>
      </c>
    </row>
    <row r="343" spans="1:7" s="68" customFormat="1" ht="9" x14ac:dyDescent="0.15">
      <c r="A343" s="66" t="s">
        <v>24</v>
      </c>
      <c r="B343" s="88">
        <f t="shared" si="10"/>
        <v>1110</v>
      </c>
      <c r="C343" s="88">
        <v>810</v>
      </c>
      <c r="D343" s="67">
        <v>256</v>
      </c>
      <c r="E343" s="67">
        <v>44</v>
      </c>
    </row>
    <row r="344" spans="1:7" s="68" customFormat="1" ht="9" x14ac:dyDescent="0.15">
      <c r="A344" s="66" t="s">
        <v>25</v>
      </c>
      <c r="B344" s="88">
        <f t="shared" si="10"/>
        <v>259</v>
      </c>
      <c r="C344" s="88">
        <v>150</v>
      </c>
      <c r="D344" s="67">
        <v>85</v>
      </c>
      <c r="E344" s="67">
        <v>24</v>
      </c>
    </row>
    <row r="345" spans="1:7" s="68" customFormat="1" ht="9" x14ac:dyDescent="0.15">
      <c r="A345" s="69" t="s">
        <v>26</v>
      </c>
      <c r="B345" s="90">
        <f t="shared" si="10"/>
        <v>196</v>
      </c>
      <c r="C345" s="90">
        <v>102</v>
      </c>
      <c r="D345" s="70">
        <v>90</v>
      </c>
      <c r="E345" s="70">
        <v>4</v>
      </c>
    </row>
    <row r="346" spans="1:7" s="68" customFormat="1" ht="9" x14ac:dyDescent="0.15">
      <c r="A346" s="66" t="s">
        <v>27</v>
      </c>
      <c r="B346" s="88">
        <f t="shared" si="10"/>
        <v>794</v>
      </c>
      <c r="C346" s="88">
        <v>598</v>
      </c>
      <c r="D346" s="67">
        <v>172</v>
      </c>
      <c r="E346" s="67">
        <v>24</v>
      </c>
    </row>
    <row r="347" spans="1:7" s="68" customFormat="1" ht="9" x14ac:dyDescent="0.15">
      <c r="A347" s="66" t="s">
        <v>28</v>
      </c>
      <c r="B347" s="88">
        <f t="shared" si="10"/>
        <v>682</v>
      </c>
      <c r="C347" s="88">
        <v>495</v>
      </c>
      <c r="D347" s="67">
        <v>158</v>
      </c>
      <c r="E347" s="67">
        <v>29</v>
      </c>
    </row>
    <row r="348" spans="1:7" s="68" customFormat="1" ht="9" x14ac:dyDescent="0.15">
      <c r="A348" s="66" t="s">
        <v>29</v>
      </c>
      <c r="B348" s="88">
        <f t="shared" si="10"/>
        <v>316</v>
      </c>
      <c r="C348" s="88">
        <v>240</v>
      </c>
      <c r="D348" s="67">
        <v>63</v>
      </c>
      <c r="E348" s="67">
        <v>13</v>
      </c>
    </row>
    <row r="349" spans="1:7" s="68" customFormat="1" ht="9" x14ac:dyDescent="0.15">
      <c r="A349" s="69" t="s">
        <v>30</v>
      </c>
      <c r="B349" s="90">
        <f t="shared" si="10"/>
        <v>1201</v>
      </c>
      <c r="C349" s="90">
        <v>853</v>
      </c>
      <c r="D349" s="70">
        <v>278</v>
      </c>
      <c r="E349" s="70">
        <v>70</v>
      </c>
    </row>
    <row r="350" spans="1:7" s="68" customFormat="1" ht="9" x14ac:dyDescent="0.15">
      <c r="A350" s="66" t="s">
        <v>63</v>
      </c>
      <c r="B350" s="88">
        <f t="shared" si="10"/>
        <v>7232</v>
      </c>
      <c r="C350" s="88">
        <v>5272</v>
      </c>
      <c r="D350" s="67">
        <v>1709</v>
      </c>
      <c r="E350" s="67">
        <v>251</v>
      </c>
    </row>
    <row r="351" spans="1:7" s="68" customFormat="1" ht="9" x14ac:dyDescent="0.15">
      <c r="A351" s="66" t="s">
        <v>31</v>
      </c>
      <c r="B351" s="88">
        <f t="shared" si="10"/>
        <v>642</v>
      </c>
      <c r="C351" s="88">
        <v>468</v>
      </c>
      <c r="D351" s="67">
        <v>122</v>
      </c>
      <c r="E351" s="67">
        <v>52</v>
      </c>
    </row>
    <row r="352" spans="1:7" s="68" customFormat="1" ht="9" x14ac:dyDescent="0.15">
      <c r="A352" s="66" t="s">
        <v>32</v>
      </c>
      <c r="B352" s="88">
        <f t="shared" si="10"/>
        <v>1059</v>
      </c>
      <c r="C352" s="88">
        <v>835</v>
      </c>
      <c r="D352" s="67">
        <v>205</v>
      </c>
      <c r="E352" s="67">
        <v>19</v>
      </c>
    </row>
    <row r="353" spans="1:5" s="68" customFormat="1" ht="9" x14ac:dyDescent="0.15">
      <c r="A353" s="69" t="s">
        <v>33</v>
      </c>
      <c r="B353" s="90">
        <f t="shared" si="10"/>
        <v>477</v>
      </c>
      <c r="C353" s="90">
        <v>347</v>
      </c>
      <c r="D353" s="70">
        <v>117</v>
      </c>
      <c r="E353" s="70">
        <v>13</v>
      </c>
    </row>
    <row r="354" spans="1:5" s="68" customFormat="1" ht="9" x14ac:dyDescent="0.15">
      <c r="A354" s="66" t="s">
        <v>34</v>
      </c>
      <c r="B354" s="88">
        <f t="shared" si="10"/>
        <v>230</v>
      </c>
      <c r="C354" s="88">
        <v>156</v>
      </c>
      <c r="D354" s="67">
        <v>60</v>
      </c>
      <c r="E354" s="67">
        <v>14</v>
      </c>
    </row>
    <row r="355" spans="1:5" s="68" customFormat="1" ht="9" x14ac:dyDescent="0.15">
      <c r="A355" s="66" t="s">
        <v>35</v>
      </c>
      <c r="B355" s="88">
        <f t="shared" si="10"/>
        <v>1836</v>
      </c>
      <c r="C355" s="88">
        <v>1384</v>
      </c>
      <c r="D355" s="67">
        <v>351</v>
      </c>
      <c r="E355" s="67">
        <v>101</v>
      </c>
    </row>
    <row r="356" spans="1:5" s="68" customFormat="1" ht="9" x14ac:dyDescent="0.15">
      <c r="A356" s="66" t="s">
        <v>36</v>
      </c>
      <c r="B356" s="88">
        <f t="shared" si="10"/>
        <v>2933</v>
      </c>
      <c r="C356" s="88">
        <v>2336</v>
      </c>
      <c r="D356" s="67">
        <v>498</v>
      </c>
      <c r="E356" s="67">
        <v>99</v>
      </c>
    </row>
    <row r="357" spans="1:5" s="68" customFormat="1" ht="9" x14ac:dyDescent="0.15">
      <c r="A357" s="69" t="s">
        <v>37</v>
      </c>
      <c r="B357" s="90">
        <f t="shared" si="10"/>
        <v>302</v>
      </c>
      <c r="C357" s="90">
        <v>216</v>
      </c>
      <c r="D357" s="70">
        <v>72</v>
      </c>
      <c r="E357" s="70">
        <v>14</v>
      </c>
    </row>
    <row r="358" spans="1:5" s="68" customFormat="1" ht="9" x14ac:dyDescent="0.15">
      <c r="A358" s="66" t="s">
        <v>38</v>
      </c>
      <c r="B358" s="88">
        <f t="shared" si="10"/>
        <v>232</v>
      </c>
      <c r="C358" s="88">
        <v>172</v>
      </c>
      <c r="D358" s="67">
        <v>35</v>
      </c>
      <c r="E358" s="67">
        <v>25</v>
      </c>
    </row>
    <row r="359" spans="1:5" s="68" customFormat="1" ht="9" x14ac:dyDescent="0.15">
      <c r="A359" s="66" t="s">
        <v>39</v>
      </c>
      <c r="B359" s="88">
        <f t="shared" si="10"/>
        <v>27</v>
      </c>
      <c r="C359" s="88">
        <v>22</v>
      </c>
      <c r="D359" s="67">
        <v>3</v>
      </c>
      <c r="E359" s="67">
        <v>2</v>
      </c>
    </row>
    <row r="360" spans="1:5" s="68" customFormat="1" ht="9" x14ac:dyDescent="0.15">
      <c r="A360" s="66" t="s">
        <v>40</v>
      </c>
      <c r="B360" s="88">
        <f t="shared" si="10"/>
        <v>870</v>
      </c>
      <c r="C360" s="88">
        <v>704</v>
      </c>
      <c r="D360" s="67">
        <v>144</v>
      </c>
      <c r="E360" s="67">
        <v>22</v>
      </c>
    </row>
    <row r="361" spans="1:5" s="68" customFormat="1" ht="9" x14ac:dyDescent="0.15">
      <c r="A361" s="69" t="s">
        <v>41</v>
      </c>
      <c r="B361" s="90">
        <f t="shared" si="10"/>
        <v>133</v>
      </c>
      <c r="C361" s="90">
        <v>104</v>
      </c>
      <c r="D361" s="70">
        <v>22</v>
      </c>
      <c r="E361" s="70">
        <v>7</v>
      </c>
    </row>
    <row r="362" spans="1:5" s="68" customFormat="1" ht="9" x14ac:dyDescent="0.15">
      <c r="A362" s="66" t="s">
        <v>42</v>
      </c>
      <c r="B362" s="88">
        <f t="shared" si="10"/>
        <v>597</v>
      </c>
      <c r="C362" s="88">
        <v>426</v>
      </c>
      <c r="D362" s="67">
        <v>150</v>
      </c>
      <c r="E362" s="67">
        <v>21</v>
      </c>
    </row>
    <row r="363" spans="1:5" s="68" customFormat="1" ht="9" x14ac:dyDescent="0.15">
      <c r="A363" s="66" t="s">
        <v>43</v>
      </c>
      <c r="B363" s="88">
        <f t="shared" si="10"/>
        <v>280</v>
      </c>
      <c r="C363" s="88">
        <v>198</v>
      </c>
      <c r="D363" s="67">
        <v>62</v>
      </c>
      <c r="E363" s="67">
        <v>20</v>
      </c>
    </row>
    <row r="364" spans="1:5" s="68" customFormat="1" ht="9" x14ac:dyDescent="0.15">
      <c r="A364" s="66" t="s">
        <v>44</v>
      </c>
      <c r="B364" s="88">
        <f t="shared" si="10"/>
        <v>475</v>
      </c>
      <c r="C364" s="88">
        <v>356</v>
      </c>
      <c r="D364" s="67">
        <v>105</v>
      </c>
      <c r="E364" s="67">
        <v>14</v>
      </c>
    </row>
    <row r="365" spans="1:5" s="68" customFormat="1" ht="9" x14ac:dyDescent="0.15">
      <c r="A365" s="69" t="s">
        <v>45</v>
      </c>
      <c r="B365" s="90">
        <f t="shared" si="10"/>
        <v>352</v>
      </c>
      <c r="C365" s="90">
        <v>251</v>
      </c>
      <c r="D365" s="70">
        <v>92</v>
      </c>
      <c r="E365" s="70">
        <v>9</v>
      </c>
    </row>
    <row r="366" spans="1:5" s="68" customFormat="1" ht="9" x14ac:dyDescent="0.15">
      <c r="A366" s="66" t="s">
        <v>46</v>
      </c>
      <c r="B366" s="88">
        <f t="shared" si="10"/>
        <v>1302</v>
      </c>
      <c r="C366" s="88">
        <v>938</v>
      </c>
      <c r="D366" s="67">
        <v>235</v>
      </c>
      <c r="E366" s="67">
        <v>129</v>
      </c>
    </row>
    <row r="367" spans="1:5" s="68" customFormat="1" ht="9" x14ac:dyDescent="0.15">
      <c r="A367" s="66" t="s">
        <v>47</v>
      </c>
      <c r="B367" s="88">
        <f t="shared" si="10"/>
        <v>538</v>
      </c>
      <c r="C367" s="88">
        <v>353</v>
      </c>
      <c r="D367" s="67">
        <v>128</v>
      </c>
      <c r="E367" s="67">
        <v>57</v>
      </c>
    </row>
    <row r="368" spans="1:5" s="68" customFormat="1" ht="9" x14ac:dyDescent="0.15">
      <c r="A368" s="66" t="s">
        <v>48</v>
      </c>
      <c r="B368" s="88">
        <f t="shared" si="10"/>
        <v>168</v>
      </c>
      <c r="C368" s="88">
        <v>116</v>
      </c>
      <c r="D368" s="67">
        <v>45</v>
      </c>
      <c r="E368" s="67">
        <v>7</v>
      </c>
    </row>
    <row r="369" spans="1:5" s="68" customFormat="1" ht="9" x14ac:dyDescent="0.15">
      <c r="A369" s="69" t="s">
        <v>49</v>
      </c>
      <c r="B369" s="90">
        <f t="shared" si="10"/>
        <v>344</v>
      </c>
      <c r="C369" s="90">
        <v>223</v>
      </c>
      <c r="D369" s="70">
        <v>94</v>
      </c>
      <c r="E369" s="70">
        <v>27</v>
      </c>
    </row>
    <row r="370" spans="1:5" s="68" customFormat="1" ht="9" x14ac:dyDescent="0.15">
      <c r="A370" s="66" t="s">
        <v>51</v>
      </c>
      <c r="B370" s="88">
        <f t="shared" si="10"/>
        <v>422</v>
      </c>
      <c r="C370" s="88">
        <v>267</v>
      </c>
      <c r="D370" s="67">
        <v>133</v>
      </c>
      <c r="E370" s="67">
        <v>22</v>
      </c>
    </row>
    <row r="371" spans="1:5" s="68" customFormat="1" ht="9" x14ac:dyDescent="0.15">
      <c r="A371" s="66" t="s">
        <v>52</v>
      </c>
      <c r="B371" s="88">
        <f t="shared" si="10"/>
        <v>256</v>
      </c>
      <c r="C371" s="88">
        <v>196</v>
      </c>
      <c r="D371" s="67">
        <v>49</v>
      </c>
      <c r="E371" s="67">
        <v>11</v>
      </c>
    </row>
    <row r="372" spans="1:5" s="68" customFormat="1" ht="9" x14ac:dyDescent="0.15">
      <c r="A372" s="71" t="s">
        <v>53</v>
      </c>
      <c r="B372" s="109">
        <f t="shared" si="10"/>
        <v>412</v>
      </c>
      <c r="C372" s="109">
        <v>324</v>
      </c>
      <c r="D372" s="67">
        <v>69</v>
      </c>
      <c r="E372" s="67">
        <v>19</v>
      </c>
    </row>
    <row r="373" spans="1:5" s="65" customFormat="1" ht="9" x14ac:dyDescent="0.25">
      <c r="B373" s="86"/>
      <c r="C373" s="86"/>
      <c r="D373" s="63"/>
      <c r="E373" s="63"/>
    </row>
    <row r="374" spans="1:5" s="65" customFormat="1" ht="9" x14ac:dyDescent="0.25">
      <c r="A374" s="85">
        <v>2010</v>
      </c>
      <c r="B374" s="86"/>
      <c r="C374" s="86"/>
      <c r="D374" s="63"/>
      <c r="E374" s="63"/>
    </row>
    <row r="375" spans="1:5" s="65" customFormat="1" ht="9" x14ac:dyDescent="0.25">
      <c r="A375" s="62" t="s">
        <v>21</v>
      </c>
      <c r="B375" s="63">
        <f>SUM(B377:B407)</f>
        <v>30889</v>
      </c>
      <c r="C375" s="63">
        <f>SUM(C377:C407)</f>
        <v>22190</v>
      </c>
      <c r="D375" s="63">
        <f>SUM(D377:D407)</f>
        <v>6650</v>
      </c>
      <c r="E375" s="63">
        <f>SUM(E377:E407)</f>
        <v>2049</v>
      </c>
    </row>
    <row r="376" spans="1:5" s="65" customFormat="1" ht="3.95" customHeight="1" x14ac:dyDescent="0.25">
      <c r="A376" s="62"/>
      <c r="B376" s="63"/>
      <c r="C376" s="63"/>
      <c r="D376" s="63"/>
      <c r="E376" s="63"/>
    </row>
    <row r="377" spans="1:5" s="68" customFormat="1" ht="9" x14ac:dyDescent="0.15">
      <c r="A377" s="66" t="s">
        <v>23</v>
      </c>
      <c r="B377" s="88">
        <f t="shared" ref="B377:B407" si="11">SUM(C377:E377)</f>
        <v>279</v>
      </c>
      <c r="C377" s="67">
        <v>194</v>
      </c>
      <c r="D377" s="88">
        <v>59</v>
      </c>
      <c r="E377" s="67">
        <v>26</v>
      </c>
    </row>
    <row r="378" spans="1:5" s="68" customFormat="1" ht="9" x14ac:dyDescent="0.15">
      <c r="A378" s="66" t="s">
        <v>24</v>
      </c>
      <c r="B378" s="88">
        <f t="shared" si="11"/>
        <v>1344</v>
      </c>
      <c r="C378" s="67">
        <v>930</v>
      </c>
      <c r="D378" s="88">
        <v>275</v>
      </c>
      <c r="E378" s="67">
        <v>139</v>
      </c>
    </row>
    <row r="379" spans="1:5" s="68" customFormat="1" ht="9" x14ac:dyDescent="0.15">
      <c r="A379" s="66" t="s">
        <v>25</v>
      </c>
      <c r="B379" s="88">
        <f t="shared" si="11"/>
        <v>382</v>
      </c>
      <c r="C379" s="67">
        <v>209</v>
      </c>
      <c r="D379" s="88">
        <v>117</v>
      </c>
      <c r="E379" s="67">
        <v>56</v>
      </c>
    </row>
    <row r="380" spans="1:5" s="68" customFormat="1" ht="9" x14ac:dyDescent="0.15">
      <c r="A380" s="69" t="s">
        <v>26</v>
      </c>
      <c r="B380" s="90">
        <f t="shared" si="11"/>
        <v>128</v>
      </c>
      <c r="C380" s="70">
        <v>85</v>
      </c>
      <c r="D380" s="90">
        <v>43</v>
      </c>
      <c r="E380" s="70">
        <v>0</v>
      </c>
    </row>
    <row r="381" spans="1:5" s="68" customFormat="1" ht="9" x14ac:dyDescent="0.15">
      <c r="A381" s="66" t="s">
        <v>27</v>
      </c>
      <c r="B381" s="88">
        <f t="shared" si="11"/>
        <v>729</v>
      </c>
      <c r="C381" s="67">
        <v>538</v>
      </c>
      <c r="D381" s="88">
        <v>162</v>
      </c>
      <c r="E381" s="67">
        <v>29</v>
      </c>
    </row>
    <row r="382" spans="1:5" s="68" customFormat="1" ht="9" x14ac:dyDescent="0.15">
      <c r="A382" s="66" t="s">
        <v>28</v>
      </c>
      <c r="B382" s="88">
        <f t="shared" si="11"/>
        <v>728</v>
      </c>
      <c r="C382" s="67">
        <v>568</v>
      </c>
      <c r="D382" s="88">
        <v>125</v>
      </c>
      <c r="E382" s="67">
        <v>35</v>
      </c>
    </row>
    <row r="383" spans="1:5" s="68" customFormat="1" ht="9" x14ac:dyDescent="0.15">
      <c r="A383" s="66" t="s">
        <v>29</v>
      </c>
      <c r="B383" s="88">
        <f t="shared" si="11"/>
        <v>362</v>
      </c>
      <c r="C383" s="67">
        <v>240</v>
      </c>
      <c r="D383" s="88">
        <v>95</v>
      </c>
      <c r="E383" s="67">
        <v>27</v>
      </c>
    </row>
    <row r="384" spans="1:5" s="68" customFormat="1" ht="9" x14ac:dyDescent="0.15">
      <c r="A384" s="69" t="s">
        <v>30</v>
      </c>
      <c r="B384" s="90">
        <f t="shared" si="11"/>
        <v>1204</v>
      </c>
      <c r="C384" s="70">
        <v>835</v>
      </c>
      <c r="D384" s="90">
        <v>313</v>
      </c>
      <c r="E384" s="70">
        <v>56</v>
      </c>
    </row>
    <row r="385" spans="1:5" s="68" customFormat="1" ht="9" x14ac:dyDescent="0.15">
      <c r="A385" s="66" t="s">
        <v>63</v>
      </c>
      <c r="B385" s="88">
        <f t="shared" si="11"/>
        <v>8992</v>
      </c>
      <c r="C385" s="67">
        <v>6602</v>
      </c>
      <c r="D385" s="88">
        <v>2103</v>
      </c>
      <c r="E385" s="67">
        <v>287</v>
      </c>
    </row>
    <row r="386" spans="1:5" s="68" customFormat="1" ht="9" x14ac:dyDescent="0.15">
      <c r="A386" s="66" t="s">
        <v>31</v>
      </c>
      <c r="B386" s="88">
        <f t="shared" si="11"/>
        <v>541</v>
      </c>
      <c r="C386" s="67">
        <v>375</v>
      </c>
      <c r="D386" s="88">
        <v>130</v>
      </c>
      <c r="E386" s="67">
        <v>36</v>
      </c>
    </row>
    <row r="387" spans="1:5" s="68" customFormat="1" ht="9" x14ac:dyDescent="0.15">
      <c r="A387" s="66" t="s">
        <v>32</v>
      </c>
      <c r="B387" s="88">
        <f t="shared" si="11"/>
        <v>1070</v>
      </c>
      <c r="C387" s="67">
        <v>760</v>
      </c>
      <c r="D387" s="88">
        <v>269</v>
      </c>
      <c r="E387" s="67">
        <v>41</v>
      </c>
    </row>
    <row r="388" spans="1:5" s="68" customFormat="1" ht="9" x14ac:dyDescent="0.15">
      <c r="A388" s="69" t="s">
        <v>33</v>
      </c>
      <c r="B388" s="90">
        <f t="shared" si="11"/>
        <v>656</v>
      </c>
      <c r="C388" s="70">
        <v>510</v>
      </c>
      <c r="D388" s="90">
        <v>140</v>
      </c>
      <c r="E388" s="70">
        <v>6</v>
      </c>
    </row>
    <row r="389" spans="1:5" s="68" customFormat="1" ht="9" x14ac:dyDescent="0.15">
      <c r="A389" s="66" t="s">
        <v>34</v>
      </c>
      <c r="B389" s="88">
        <f t="shared" si="11"/>
        <v>436</v>
      </c>
      <c r="C389" s="67">
        <v>302</v>
      </c>
      <c r="D389" s="88">
        <v>109</v>
      </c>
      <c r="E389" s="67">
        <v>25</v>
      </c>
    </row>
    <row r="390" spans="1:5" s="68" customFormat="1" ht="9" x14ac:dyDescent="0.15">
      <c r="A390" s="66" t="s">
        <v>35</v>
      </c>
      <c r="B390" s="88">
        <f t="shared" si="11"/>
        <v>2192</v>
      </c>
      <c r="C390" s="67">
        <v>1539</v>
      </c>
      <c r="D390" s="88">
        <v>443</v>
      </c>
      <c r="E390" s="67">
        <v>210</v>
      </c>
    </row>
    <row r="391" spans="1:5" s="68" customFormat="1" ht="9" x14ac:dyDescent="0.15">
      <c r="A391" s="66" t="s">
        <v>36</v>
      </c>
      <c r="B391" s="88">
        <f t="shared" si="11"/>
        <v>3913</v>
      </c>
      <c r="C391" s="67">
        <v>3022</v>
      </c>
      <c r="D391" s="88">
        <v>664</v>
      </c>
      <c r="E391" s="67">
        <v>227</v>
      </c>
    </row>
    <row r="392" spans="1:5" s="68" customFormat="1" ht="9" x14ac:dyDescent="0.15">
      <c r="A392" s="69" t="s">
        <v>37</v>
      </c>
      <c r="B392" s="90">
        <f t="shared" si="11"/>
        <v>423</v>
      </c>
      <c r="C392" s="70">
        <v>299</v>
      </c>
      <c r="D392" s="90">
        <v>100</v>
      </c>
      <c r="E392" s="70">
        <v>24</v>
      </c>
    </row>
    <row r="393" spans="1:5" s="68" customFormat="1" ht="9" x14ac:dyDescent="0.15">
      <c r="A393" s="66" t="s">
        <v>38</v>
      </c>
      <c r="B393" s="88">
        <f t="shared" si="11"/>
        <v>242</v>
      </c>
      <c r="C393" s="67">
        <v>159</v>
      </c>
      <c r="D393" s="88">
        <v>59</v>
      </c>
      <c r="E393" s="67">
        <v>24</v>
      </c>
    </row>
    <row r="394" spans="1:5" s="68" customFormat="1" ht="9" x14ac:dyDescent="0.15">
      <c r="A394" s="66" t="s">
        <v>39</v>
      </c>
      <c r="B394" s="88">
        <f t="shared" si="11"/>
        <v>151</v>
      </c>
      <c r="C394" s="67">
        <v>131</v>
      </c>
      <c r="D394" s="88">
        <v>16</v>
      </c>
      <c r="E394" s="67">
        <v>4</v>
      </c>
    </row>
    <row r="395" spans="1:5" s="68" customFormat="1" ht="9" x14ac:dyDescent="0.15">
      <c r="A395" s="66" t="s">
        <v>40</v>
      </c>
      <c r="B395" s="88">
        <f t="shared" si="11"/>
        <v>1188</v>
      </c>
      <c r="C395" s="67">
        <v>855</v>
      </c>
      <c r="D395" s="88">
        <v>199</v>
      </c>
      <c r="E395" s="67">
        <v>134</v>
      </c>
    </row>
    <row r="396" spans="1:5" s="68" customFormat="1" ht="9" x14ac:dyDescent="0.15">
      <c r="A396" s="69" t="s">
        <v>41</v>
      </c>
      <c r="B396" s="90">
        <f t="shared" si="11"/>
        <v>180</v>
      </c>
      <c r="C396" s="70">
        <v>146</v>
      </c>
      <c r="D396" s="90">
        <v>34</v>
      </c>
      <c r="E396" s="70">
        <v>0</v>
      </c>
    </row>
    <row r="397" spans="1:5" s="68" customFormat="1" ht="9" x14ac:dyDescent="0.15">
      <c r="A397" s="66" t="s">
        <v>42</v>
      </c>
      <c r="B397" s="88">
        <f t="shared" si="11"/>
        <v>500</v>
      </c>
      <c r="C397" s="67">
        <v>384</v>
      </c>
      <c r="D397" s="88">
        <v>93</v>
      </c>
      <c r="E397" s="67">
        <v>23</v>
      </c>
    </row>
    <row r="398" spans="1:5" s="68" customFormat="1" ht="9" x14ac:dyDescent="0.15">
      <c r="A398" s="66" t="s">
        <v>43</v>
      </c>
      <c r="B398" s="88">
        <f t="shared" si="11"/>
        <v>338</v>
      </c>
      <c r="C398" s="67">
        <v>256</v>
      </c>
      <c r="D398" s="88">
        <v>66</v>
      </c>
      <c r="E398" s="67">
        <v>16</v>
      </c>
    </row>
    <row r="399" spans="1:5" s="68" customFormat="1" ht="9" x14ac:dyDescent="0.15">
      <c r="A399" s="66" t="s">
        <v>44</v>
      </c>
      <c r="B399" s="88">
        <f t="shared" si="11"/>
        <v>651</v>
      </c>
      <c r="C399" s="67">
        <v>477</v>
      </c>
      <c r="D399" s="88">
        <v>139</v>
      </c>
      <c r="E399" s="67">
        <v>35</v>
      </c>
    </row>
    <row r="400" spans="1:5" s="68" customFormat="1" ht="9" x14ac:dyDescent="0.15">
      <c r="A400" s="69" t="s">
        <v>45</v>
      </c>
      <c r="B400" s="90">
        <f t="shared" si="11"/>
        <v>372</v>
      </c>
      <c r="C400" s="70">
        <v>261</v>
      </c>
      <c r="D400" s="90">
        <v>102</v>
      </c>
      <c r="E400" s="70">
        <v>9</v>
      </c>
    </row>
    <row r="401" spans="1:5" s="68" customFormat="1" ht="9" x14ac:dyDescent="0.15">
      <c r="A401" s="66" t="s">
        <v>46</v>
      </c>
      <c r="B401" s="88">
        <f t="shared" si="11"/>
        <v>1512</v>
      </c>
      <c r="C401" s="67">
        <v>973</v>
      </c>
      <c r="D401" s="88">
        <v>265</v>
      </c>
      <c r="E401" s="67">
        <v>274</v>
      </c>
    </row>
    <row r="402" spans="1:5" s="68" customFormat="1" ht="9" x14ac:dyDescent="0.15">
      <c r="A402" s="66" t="s">
        <v>47</v>
      </c>
      <c r="B402" s="88">
        <f t="shared" si="11"/>
        <v>667</v>
      </c>
      <c r="C402" s="67">
        <v>474</v>
      </c>
      <c r="D402" s="88">
        <v>140</v>
      </c>
      <c r="E402" s="67">
        <v>53</v>
      </c>
    </row>
    <row r="403" spans="1:5" s="68" customFormat="1" ht="9" x14ac:dyDescent="0.15">
      <c r="A403" s="66" t="s">
        <v>48</v>
      </c>
      <c r="B403" s="88">
        <f t="shared" si="11"/>
        <v>234</v>
      </c>
      <c r="C403" s="67">
        <v>164</v>
      </c>
      <c r="D403" s="88">
        <v>70</v>
      </c>
      <c r="E403" s="67">
        <v>0</v>
      </c>
    </row>
    <row r="404" spans="1:5" s="68" customFormat="1" ht="9" x14ac:dyDescent="0.15">
      <c r="A404" s="69" t="s">
        <v>49</v>
      </c>
      <c r="B404" s="90">
        <f t="shared" si="11"/>
        <v>283</v>
      </c>
      <c r="C404" s="70">
        <v>196</v>
      </c>
      <c r="D404" s="90">
        <v>62</v>
      </c>
      <c r="E404" s="70">
        <v>25</v>
      </c>
    </row>
    <row r="405" spans="1:5" s="68" customFormat="1" ht="9" x14ac:dyDescent="0.15">
      <c r="A405" s="66" t="s">
        <v>51</v>
      </c>
      <c r="B405" s="88">
        <f t="shared" si="11"/>
        <v>418</v>
      </c>
      <c r="C405" s="67">
        <v>273</v>
      </c>
      <c r="D405" s="88">
        <v>109</v>
      </c>
      <c r="E405" s="67">
        <v>36</v>
      </c>
    </row>
    <row r="406" spans="1:5" s="68" customFormat="1" ht="9" x14ac:dyDescent="0.15">
      <c r="A406" s="66" t="s">
        <v>52</v>
      </c>
      <c r="B406" s="88">
        <f t="shared" si="11"/>
        <v>282</v>
      </c>
      <c r="C406" s="67">
        <v>208</v>
      </c>
      <c r="D406" s="88">
        <v>74</v>
      </c>
      <c r="E406" s="67">
        <v>0</v>
      </c>
    </row>
    <row r="407" spans="1:5" s="68" customFormat="1" ht="9" x14ac:dyDescent="0.15">
      <c r="A407" s="71" t="s">
        <v>53</v>
      </c>
      <c r="B407" s="109">
        <f t="shared" si="11"/>
        <v>492</v>
      </c>
      <c r="C407" s="67">
        <v>225</v>
      </c>
      <c r="D407" s="109">
        <v>75</v>
      </c>
      <c r="E407" s="67">
        <v>192</v>
      </c>
    </row>
    <row r="408" spans="1:5" s="65" customFormat="1" ht="9" x14ac:dyDescent="0.25">
      <c r="B408" s="86"/>
      <c r="C408" s="86"/>
      <c r="D408" s="63"/>
      <c r="E408" s="63"/>
    </row>
    <row r="409" spans="1:5" s="65" customFormat="1" ht="9" x14ac:dyDescent="0.25">
      <c r="A409" s="85">
        <v>2011</v>
      </c>
      <c r="B409" s="86"/>
      <c r="C409" s="86"/>
      <c r="D409" s="63"/>
      <c r="E409" s="63"/>
    </row>
    <row r="410" spans="1:5" s="65" customFormat="1" ht="9" x14ac:dyDescent="0.25">
      <c r="A410" s="62" t="s">
        <v>21</v>
      </c>
      <c r="B410" s="63">
        <f>SUM(B412:B442)</f>
        <v>32279</v>
      </c>
      <c r="C410" s="63">
        <f>SUM(C412:C442)</f>
        <v>23374</v>
      </c>
      <c r="D410" s="63">
        <f>SUM(D412:D442)</f>
        <v>6900</v>
      </c>
      <c r="E410" s="63">
        <f>SUM(E412:E442)</f>
        <v>2005</v>
      </c>
    </row>
    <row r="411" spans="1:5" s="65" customFormat="1" ht="3.95" customHeight="1" x14ac:dyDescent="0.25">
      <c r="A411" s="62"/>
      <c r="B411" s="63"/>
      <c r="C411" s="63"/>
      <c r="D411" s="63"/>
      <c r="E411" s="63"/>
    </row>
    <row r="412" spans="1:5" s="68" customFormat="1" ht="9" x14ac:dyDescent="0.15">
      <c r="A412" s="66" t="s">
        <v>23</v>
      </c>
      <c r="B412" s="88">
        <f t="shared" ref="B412:B442" si="12">SUM(C412:E412)</f>
        <v>300</v>
      </c>
      <c r="C412" s="88">
        <v>205</v>
      </c>
      <c r="D412" s="67">
        <v>71</v>
      </c>
      <c r="E412" s="67">
        <v>24</v>
      </c>
    </row>
    <row r="413" spans="1:5" s="68" customFormat="1" ht="9" x14ac:dyDescent="0.15">
      <c r="A413" s="66" t="s">
        <v>24</v>
      </c>
      <c r="B413" s="88">
        <f t="shared" si="12"/>
        <v>1194</v>
      </c>
      <c r="C413" s="88">
        <v>906</v>
      </c>
      <c r="D413" s="67">
        <v>238</v>
      </c>
      <c r="E413" s="67">
        <v>50</v>
      </c>
    </row>
    <row r="414" spans="1:5" s="68" customFormat="1" ht="9" x14ac:dyDescent="0.15">
      <c r="A414" s="66" t="s">
        <v>25</v>
      </c>
      <c r="B414" s="88">
        <f t="shared" si="12"/>
        <v>474</v>
      </c>
      <c r="C414" s="88">
        <v>290</v>
      </c>
      <c r="D414" s="67">
        <v>144</v>
      </c>
      <c r="E414" s="67">
        <v>40</v>
      </c>
    </row>
    <row r="415" spans="1:5" s="68" customFormat="1" ht="9" x14ac:dyDescent="0.15">
      <c r="A415" s="69" t="s">
        <v>26</v>
      </c>
      <c r="B415" s="90">
        <f t="shared" si="12"/>
        <v>267</v>
      </c>
      <c r="C415" s="90">
        <v>184</v>
      </c>
      <c r="D415" s="70">
        <v>84</v>
      </c>
      <c r="E415" s="70">
        <v>-1</v>
      </c>
    </row>
    <row r="416" spans="1:5" s="68" customFormat="1" ht="9" x14ac:dyDescent="0.15">
      <c r="A416" s="66" t="s">
        <v>27</v>
      </c>
      <c r="B416" s="88">
        <f t="shared" si="12"/>
        <v>849</v>
      </c>
      <c r="C416" s="88">
        <v>583</v>
      </c>
      <c r="D416" s="67">
        <v>199</v>
      </c>
      <c r="E416" s="67">
        <v>67</v>
      </c>
    </row>
    <row r="417" spans="1:5" s="68" customFormat="1" ht="9" x14ac:dyDescent="0.15">
      <c r="A417" s="66" t="s">
        <v>28</v>
      </c>
      <c r="B417" s="88">
        <f t="shared" si="12"/>
        <v>747</v>
      </c>
      <c r="C417" s="88">
        <v>530</v>
      </c>
      <c r="D417" s="67">
        <v>136</v>
      </c>
      <c r="E417" s="67">
        <v>81</v>
      </c>
    </row>
    <row r="418" spans="1:5" s="68" customFormat="1" ht="9" x14ac:dyDescent="0.15">
      <c r="A418" s="66" t="s">
        <v>29</v>
      </c>
      <c r="B418" s="88">
        <f t="shared" si="12"/>
        <v>415</v>
      </c>
      <c r="C418" s="88">
        <v>319</v>
      </c>
      <c r="D418" s="67">
        <v>80</v>
      </c>
      <c r="E418" s="67">
        <v>16</v>
      </c>
    </row>
    <row r="419" spans="1:5" s="68" customFormat="1" ht="9" x14ac:dyDescent="0.15">
      <c r="A419" s="69" t="s">
        <v>30</v>
      </c>
      <c r="B419" s="90">
        <f t="shared" si="12"/>
        <v>1219</v>
      </c>
      <c r="C419" s="90">
        <v>846</v>
      </c>
      <c r="D419" s="70">
        <v>305</v>
      </c>
      <c r="E419" s="70">
        <v>68</v>
      </c>
    </row>
    <row r="420" spans="1:5" s="68" customFormat="1" ht="9" x14ac:dyDescent="0.15">
      <c r="A420" s="66" t="s">
        <v>63</v>
      </c>
      <c r="B420" s="88">
        <f t="shared" si="12"/>
        <v>9154</v>
      </c>
      <c r="C420" s="88">
        <v>6620</v>
      </c>
      <c r="D420" s="67">
        <v>2043</v>
      </c>
      <c r="E420" s="67">
        <v>491</v>
      </c>
    </row>
    <row r="421" spans="1:5" s="68" customFormat="1" ht="9" x14ac:dyDescent="0.15">
      <c r="A421" s="66" t="s">
        <v>31</v>
      </c>
      <c r="B421" s="88">
        <f t="shared" si="12"/>
        <v>583</v>
      </c>
      <c r="C421" s="88">
        <v>389</v>
      </c>
      <c r="D421" s="67">
        <v>138</v>
      </c>
      <c r="E421" s="67">
        <v>56</v>
      </c>
    </row>
    <row r="422" spans="1:5" s="68" customFormat="1" ht="9" x14ac:dyDescent="0.15">
      <c r="A422" s="66" t="s">
        <v>32</v>
      </c>
      <c r="B422" s="88">
        <f t="shared" si="12"/>
        <v>1238</v>
      </c>
      <c r="C422" s="88">
        <v>908</v>
      </c>
      <c r="D422" s="67">
        <v>279</v>
      </c>
      <c r="E422" s="67">
        <v>51</v>
      </c>
    </row>
    <row r="423" spans="1:5" s="68" customFormat="1" ht="9" x14ac:dyDescent="0.15">
      <c r="A423" s="69" t="s">
        <v>33</v>
      </c>
      <c r="B423" s="90">
        <f t="shared" si="12"/>
        <v>589</v>
      </c>
      <c r="C423" s="90">
        <v>374</v>
      </c>
      <c r="D423" s="70">
        <v>176</v>
      </c>
      <c r="E423" s="70">
        <v>39</v>
      </c>
    </row>
    <row r="424" spans="1:5" s="68" customFormat="1" ht="9" x14ac:dyDescent="0.15">
      <c r="A424" s="66" t="s">
        <v>34</v>
      </c>
      <c r="B424" s="88">
        <f t="shared" si="12"/>
        <v>539</v>
      </c>
      <c r="C424" s="88">
        <v>370</v>
      </c>
      <c r="D424" s="67">
        <v>156</v>
      </c>
      <c r="E424" s="67">
        <v>13</v>
      </c>
    </row>
    <row r="425" spans="1:5" s="68" customFormat="1" ht="9" x14ac:dyDescent="0.15">
      <c r="A425" s="66" t="s">
        <v>35</v>
      </c>
      <c r="B425" s="88">
        <f t="shared" si="12"/>
        <v>2230</v>
      </c>
      <c r="C425" s="88">
        <v>1624</v>
      </c>
      <c r="D425" s="67">
        <v>471</v>
      </c>
      <c r="E425" s="67">
        <v>135</v>
      </c>
    </row>
    <row r="426" spans="1:5" s="68" customFormat="1" ht="9" x14ac:dyDescent="0.15">
      <c r="A426" s="66" t="s">
        <v>36</v>
      </c>
      <c r="B426" s="88">
        <f t="shared" si="12"/>
        <v>4104</v>
      </c>
      <c r="C426" s="88">
        <v>3044</v>
      </c>
      <c r="D426" s="67">
        <v>741</v>
      </c>
      <c r="E426" s="67">
        <v>319</v>
      </c>
    </row>
    <row r="427" spans="1:5" s="68" customFormat="1" ht="9" x14ac:dyDescent="0.15">
      <c r="A427" s="69" t="s">
        <v>37</v>
      </c>
      <c r="B427" s="90">
        <f t="shared" si="12"/>
        <v>511</v>
      </c>
      <c r="C427" s="90">
        <v>382</v>
      </c>
      <c r="D427" s="70">
        <v>94</v>
      </c>
      <c r="E427" s="70">
        <v>35</v>
      </c>
    </row>
    <row r="428" spans="1:5" s="68" customFormat="1" ht="9" x14ac:dyDescent="0.15">
      <c r="A428" s="66" t="s">
        <v>38</v>
      </c>
      <c r="B428" s="88">
        <f t="shared" si="12"/>
        <v>347</v>
      </c>
      <c r="C428" s="88">
        <v>235</v>
      </c>
      <c r="D428" s="67">
        <v>72</v>
      </c>
      <c r="E428" s="67">
        <v>40</v>
      </c>
    </row>
    <row r="429" spans="1:5" s="68" customFormat="1" ht="9" x14ac:dyDescent="0.15">
      <c r="A429" s="66" t="s">
        <v>39</v>
      </c>
      <c r="B429" s="88">
        <f t="shared" si="12"/>
        <v>175</v>
      </c>
      <c r="C429" s="88">
        <v>146</v>
      </c>
      <c r="D429" s="67">
        <v>20</v>
      </c>
      <c r="E429" s="67">
        <v>9</v>
      </c>
    </row>
    <row r="430" spans="1:5" s="68" customFormat="1" ht="9" x14ac:dyDescent="0.15">
      <c r="A430" s="66" t="s">
        <v>40</v>
      </c>
      <c r="B430" s="88">
        <f t="shared" si="12"/>
        <v>806</v>
      </c>
      <c r="C430" s="88">
        <v>599</v>
      </c>
      <c r="D430" s="67">
        <v>145</v>
      </c>
      <c r="E430" s="67">
        <v>62</v>
      </c>
    </row>
    <row r="431" spans="1:5" s="68" customFormat="1" ht="9" x14ac:dyDescent="0.15">
      <c r="A431" s="69" t="s">
        <v>41</v>
      </c>
      <c r="B431" s="90">
        <f t="shared" si="12"/>
        <v>237</v>
      </c>
      <c r="C431" s="90">
        <v>187</v>
      </c>
      <c r="D431" s="70">
        <v>43</v>
      </c>
      <c r="E431" s="70">
        <v>7</v>
      </c>
    </row>
    <row r="432" spans="1:5" s="68" customFormat="1" ht="9" x14ac:dyDescent="0.15">
      <c r="A432" s="66" t="s">
        <v>42</v>
      </c>
      <c r="B432" s="88">
        <f t="shared" si="12"/>
        <v>714</v>
      </c>
      <c r="C432" s="88">
        <v>551</v>
      </c>
      <c r="D432" s="67">
        <v>141</v>
      </c>
      <c r="E432" s="67">
        <v>22</v>
      </c>
    </row>
    <row r="433" spans="1:5" s="68" customFormat="1" ht="9" x14ac:dyDescent="0.15">
      <c r="A433" s="66" t="s">
        <v>43</v>
      </c>
      <c r="B433" s="88">
        <f t="shared" si="12"/>
        <v>432</v>
      </c>
      <c r="C433" s="88">
        <v>312</v>
      </c>
      <c r="D433" s="67">
        <v>81</v>
      </c>
      <c r="E433" s="67">
        <v>39</v>
      </c>
    </row>
    <row r="434" spans="1:5" s="68" customFormat="1" ht="9" x14ac:dyDescent="0.15">
      <c r="A434" s="66" t="s">
        <v>44</v>
      </c>
      <c r="B434" s="88">
        <f t="shared" si="12"/>
        <v>883</v>
      </c>
      <c r="C434" s="88">
        <v>657</v>
      </c>
      <c r="D434" s="67">
        <v>204</v>
      </c>
      <c r="E434" s="67">
        <v>22</v>
      </c>
    </row>
    <row r="435" spans="1:5" s="68" customFormat="1" ht="9" x14ac:dyDescent="0.15">
      <c r="A435" s="69" t="s">
        <v>45</v>
      </c>
      <c r="B435" s="90">
        <f t="shared" si="12"/>
        <v>381</v>
      </c>
      <c r="C435" s="90">
        <v>278</v>
      </c>
      <c r="D435" s="70">
        <v>93</v>
      </c>
      <c r="E435" s="70">
        <v>10</v>
      </c>
    </row>
    <row r="436" spans="1:5" s="68" customFormat="1" ht="9" x14ac:dyDescent="0.15">
      <c r="A436" s="66" t="s">
        <v>46</v>
      </c>
      <c r="B436" s="88">
        <f t="shared" si="12"/>
        <v>1533</v>
      </c>
      <c r="C436" s="88">
        <v>1183</v>
      </c>
      <c r="D436" s="67">
        <v>203</v>
      </c>
      <c r="E436" s="67">
        <v>147</v>
      </c>
    </row>
    <row r="437" spans="1:5" s="68" customFormat="1" ht="9" x14ac:dyDescent="0.15">
      <c r="A437" s="66" t="s">
        <v>47</v>
      </c>
      <c r="B437" s="88">
        <f t="shared" si="12"/>
        <v>640</v>
      </c>
      <c r="C437" s="88">
        <v>451</v>
      </c>
      <c r="D437" s="67">
        <v>139</v>
      </c>
      <c r="E437" s="67">
        <v>50</v>
      </c>
    </row>
    <row r="438" spans="1:5" s="68" customFormat="1" ht="9" x14ac:dyDescent="0.15">
      <c r="A438" s="66" t="s">
        <v>48</v>
      </c>
      <c r="B438" s="88">
        <f t="shared" si="12"/>
        <v>187</v>
      </c>
      <c r="C438" s="88">
        <v>128</v>
      </c>
      <c r="D438" s="67">
        <v>43</v>
      </c>
      <c r="E438" s="67">
        <v>16</v>
      </c>
    </row>
    <row r="439" spans="1:5" s="68" customFormat="1" ht="9" x14ac:dyDescent="0.15">
      <c r="A439" s="69" t="s">
        <v>49</v>
      </c>
      <c r="B439" s="90">
        <f t="shared" si="12"/>
        <v>429</v>
      </c>
      <c r="C439" s="90">
        <v>307</v>
      </c>
      <c r="D439" s="70">
        <v>98</v>
      </c>
      <c r="E439" s="70">
        <v>24</v>
      </c>
    </row>
    <row r="440" spans="1:5" s="68" customFormat="1" ht="9" x14ac:dyDescent="0.15">
      <c r="A440" s="66" t="s">
        <v>51</v>
      </c>
      <c r="B440" s="88">
        <f t="shared" si="12"/>
        <v>471</v>
      </c>
      <c r="C440" s="88">
        <v>313</v>
      </c>
      <c r="D440" s="67">
        <v>119</v>
      </c>
      <c r="E440" s="67">
        <v>39</v>
      </c>
    </row>
    <row r="441" spans="1:5" s="68" customFormat="1" ht="9" x14ac:dyDescent="0.15">
      <c r="A441" s="66" t="s">
        <v>52</v>
      </c>
      <c r="B441" s="88">
        <f t="shared" si="12"/>
        <v>357</v>
      </c>
      <c r="C441" s="88">
        <v>258</v>
      </c>
      <c r="D441" s="67">
        <v>88</v>
      </c>
      <c r="E441" s="67">
        <v>11</v>
      </c>
    </row>
    <row r="442" spans="1:5" s="68" customFormat="1" ht="9" x14ac:dyDescent="0.15">
      <c r="A442" s="71" t="s">
        <v>53</v>
      </c>
      <c r="B442" s="109">
        <f t="shared" si="12"/>
        <v>274</v>
      </c>
      <c r="C442" s="109">
        <v>195</v>
      </c>
      <c r="D442" s="67">
        <v>56</v>
      </c>
      <c r="E442" s="67">
        <v>23</v>
      </c>
    </row>
    <row r="443" spans="1:5" s="65" customFormat="1" ht="9" x14ac:dyDescent="0.25">
      <c r="B443" s="86"/>
      <c r="C443" s="86"/>
      <c r="D443" s="63"/>
      <c r="E443" s="63"/>
    </row>
    <row r="444" spans="1:5" s="65" customFormat="1" ht="9" x14ac:dyDescent="0.25">
      <c r="A444" s="85">
        <v>2012</v>
      </c>
      <c r="B444" s="86"/>
      <c r="C444" s="86"/>
      <c r="D444" s="63"/>
      <c r="E444" s="63"/>
    </row>
    <row r="445" spans="1:5" s="65" customFormat="1" ht="9" x14ac:dyDescent="0.25">
      <c r="A445" s="62" t="s">
        <v>21</v>
      </c>
      <c r="B445" s="63">
        <f>SUM(B447:B477)</f>
        <v>48886</v>
      </c>
      <c r="C445" s="63">
        <f>SUM(C447:C477)</f>
        <v>34026</v>
      </c>
      <c r="D445" s="63">
        <f>SUM(D447:D477)</f>
        <v>10057</v>
      </c>
      <c r="E445" s="63">
        <f>SUM(E447:E477)</f>
        <v>4803</v>
      </c>
    </row>
    <row r="446" spans="1:5" s="65" customFormat="1" ht="3.95" customHeight="1" x14ac:dyDescent="0.25">
      <c r="A446" s="62"/>
      <c r="B446" s="63"/>
      <c r="C446" s="63"/>
      <c r="D446" s="63"/>
      <c r="E446" s="63"/>
    </row>
    <row r="447" spans="1:5" s="68" customFormat="1" ht="9" x14ac:dyDescent="0.15">
      <c r="A447" s="66" t="s">
        <v>23</v>
      </c>
      <c r="B447" s="88">
        <f t="shared" ref="B447:B477" si="13">SUM(C447:E447)</f>
        <v>466</v>
      </c>
      <c r="C447" s="88">
        <v>330</v>
      </c>
      <c r="D447" s="67">
        <v>97</v>
      </c>
      <c r="E447" s="67">
        <v>39</v>
      </c>
    </row>
    <row r="448" spans="1:5" s="68" customFormat="1" ht="9" x14ac:dyDescent="0.15">
      <c r="A448" s="66" t="s">
        <v>24</v>
      </c>
      <c r="B448" s="88">
        <f t="shared" si="13"/>
        <v>2145</v>
      </c>
      <c r="C448" s="88">
        <v>1511</v>
      </c>
      <c r="D448" s="67">
        <v>402</v>
      </c>
      <c r="E448" s="67">
        <v>232</v>
      </c>
    </row>
    <row r="449" spans="1:5" s="68" customFormat="1" ht="9" x14ac:dyDescent="0.15">
      <c r="A449" s="66" t="s">
        <v>25</v>
      </c>
      <c r="B449" s="88">
        <f t="shared" si="13"/>
        <v>622</v>
      </c>
      <c r="C449" s="88">
        <v>369</v>
      </c>
      <c r="D449" s="67">
        <v>176</v>
      </c>
      <c r="E449" s="67">
        <v>77</v>
      </c>
    </row>
    <row r="450" spans="1:5" s="68" customFormat="1" ht="9" x14ac:dyDescent="0.15">
      <c r="A450" s="69" t="s">
        <v>26</v>
      </c>
      <c r="B450" s="90">
        <f t="shared" si="13"/>
        <v>275</v>
      </c>
      <c r="C450" s="90">
        <v>166</v>
      </c>
      <c r="D450" s="70">
        <v>109</v>
      </c>
      <c r="E450" s="70">
        <v>0</v>
      </c>
    </row>
    <row r="451" spans="1:5" s="68" customFormat="1" ht="9" x14ac:dyDescent="0.15">
      <c r="A451" s="66" t="s">
        <v>27</v>
      </c>
      <c r="B451" s="88">
        <f t="shared" si="13"/>
        <v>1234</v>
      </c>
      <c r="C451" s="88">
        <v>893</v>
      </c>
      <c r="D451" s="67">
        <v>341</v>
      </c>
      <c r="E451" s="67">
        <v>0</v>
      </c>
    </row>
    <row r="452" spans="1:5" s="68" customFormat="1" ht="9" x14ac:dyDescent="0.15">
      <c r="A452" s="66" t="s">
        <v>28</v>
      </c>
      <c r="B452" s="88">
        <f t="shared" si="13"/>
        <v>1340</v>
      </c>
      <c r="C452" s="88">
        <v>959</v>
      </c>
      <c r="D452" s="67">
        <v>256</v>
      </c>
      <c r="E452" s="67">
        <v>125</v>
      </c>
    </row>
    <row r="453" spans="1:5" s="68" customFormat="1" ht="9" x14ac:dyDescent="0.15">
      <c r="A453" s="66" t="s">
        <v>29</v>
      </c>
      <c r="B453" s="88">
        <f t="shared" si="13"/>
        <v>658</v>
      </c>
      <c r="C453" s="88">
        <v>471</v>
      </c>
      <c r="D453" s="67">
        <v>151</v>
      </c>
      <c r="E453" s="67">
        <v>36</v>
      </c>
    </row>
    <row r="454" spans="1:5" s="68" customFormat="1" ht="9" x14ac:dyDescent="0.15">
      <c r="A454" s="69" t="s">
        <v>30</v>
      </c>
      <c r="B454" s="90">
        <f t="shared" si="13"/>
        <v>1989</v>
      </c>
      <c r="C454" s="90">
        <v>1266</v>
      </c>
      <c r="D454" s="70">
        <v>426</v>
      </c>
      <c r="E454" s="70">
        <v>297</v>
      </c>
    </row>
    <row r="455" spans="1:5" s="68" customFormat="1" ht="9" x14ac:dyDescent="0.15">
      <c r="A455" s="66" t="s">
        <v>63</v>
      </c>
      <c r="B455" s="88">
        <f t="shared" si="13"/>
        <v>13167</v>
      </c>
      <c r="C455" s="88">
        <v>8852</v>
      </c>
      <c r="D455" s="67">
        <v>2699</v>
      </c>
      <c r="E455" s="67">
        <v>1616</v>
      </c>
    </row>
    <row r="456" spans="1:5" s="68" customFormat="1" ht="9" x14ac:dyDescent="0.15">
      <c r="A456" s="66" t="s">
        <v>31</v>
      </c>
      <c r="B456" s="88">
        <f t="shared" si="13"/>
        <v>798</v>
      </c>
      <c r="C456" s="88">
        <v>543</v>
      </c>
      <c r="D456" s="67">
        <v>172</v>
      </c>
      <c r="E456" s="67">
        <v>83</v>
      </c>
    </row>
    <row r="457" spans="1:5" s="68" customFormat="1" ht="9" x14ac:dyDescent="0.15">
      <c r="A457" s="66" t="s">
        <v>32</v>
      </c>
      <c r="B457" s="88">
        <f t="shared" si="13"/>
        <v>1940</v>
      </c>
      <c r="C457" s="88">
        <v>1499</v>
      </c>
      <c r="D457" s="67">
        <v>421</v>
      </c>
      <c r="E457" s="67">
        <v>20</v>
      </c>
    </row>
    <row r="458" spans="1:5" s="68" customFormat="1" ht="9" x14ac:dyDescent="0.15">
      <c r="A458" s="69" t="s">
        <v>33</v>
      </c>
      <c r="B458" s="90">
        <f t="shared" si="13"/>
        <v>969</v>
      </c>
      <c r="C458" s="90">
        <v>642</v>
      </c>
      <c r="D458" s="70">
        <v>239</v>
      </c>
      <c r="E458" s="70">
        <v>88</v>
      </c>
    </row>
    <row r="459" spans="1:5" s="68" customFormat="1" ht="9" x14ac:dyDescent="0.15">
      <c r="A459" s="66" t="s">
        <v>34</v>
      </c>
      <c r="B459" s="88">
        <f t="shared" si="13"/>
        <v>793</v>
      </c>
      <c r="C459" s="88">
        <v>507</v>
      </c>
      <c r="D459" s="67">
        <v>222</v>
      </c>
      <c r="E459" s="67">
        <v>64</v>
      </c>
    </row>
    <row r="460" spans="1:5" s="68" customFormat="1" ht="9" x14ac:dyDescent="0.15">
      <c r="A460" s="66" t="s">
        <v>35</v>
      </c>
      <c r="B460" s="88">
        <f t="shared" si="13"/>
        <v>3559</v>
      </c>
      <c r="C460" s="88">
        <v>2666</v>
      </c>
      <c r="D460" s="67">
        <v>745</v>
      </c>
      <c r="E460" s="67">
        <v>148</v>
      </c>
    </row>
    <row r="461" spans="1:5" s="68" customFormat="1" ht="9" x14ac:dyDescent="0.15">
      <c r="A461" s="66" t="s">
        <v>36</v>
      </c>
      <c r="B461" s="88">
        <f t="shared" si="13"/>
        <v>6341</v>
      </c>
      <c r="C461" s="88">
        <v>4523</v>
      </c>
      <c r="D461" s="67">
        <v>1157</v>
      </c>
      <c r="E461" s="67">
        <v>661</v>
      </c>
    </row>
    <row r="462" spans="1:5" s="68" customFormat="1" ht="9" x14ac:dyDescent="0.15">
      <c r="A462" s="69" t="s">
        <v>37</v>
      </c>
      <c r="B462" s="90">
        <f t="shared" si="13"/>
        <v>863</v>
      </c>
      <c r="C462" s="90">
        <v>613</v>
      </c>
      <c r="D462" s="70">
        <v>187</v>
      </c>
      <c r="E462" s="70">
        <v>63</v>
      </c>
    </row>
    <row r="463" spans="1:5" s="68" customFormat="1" ht="9" x14ac:dyDescent="0.15">
      <c r="A463" s="66" t="s">
        <v>38</v>
      </c>
      <c r="B463" s="88">
        <f t="shared" si="13"/>
        <v>440</v>
      </c>
      <c r="C463" s="88">
        <v>292</v>
      </c>
      <c r="D463" s="67">
        <v>114</v>
      </c>
      <c r="E463" s="67">
        <v>34</v>
      </c>
    </row>
    <row r="464" spans="1:5" s="68" customFormat="1" ht="9" x14ac:dyDescent="0.15">
      <c r="A464" s="66" t="s">
        <v>39</v>
      </c>
      <c r="B464" s="88">
        <f t="shared" si="13"/>
        <v>191</v>
      </c>
      <c r="C464" s="88">
        <v>162</v>
      </c>
      <c r="D464" s="67">
        <v>24</v>
      </c>
      <c r="E464" s="67">
        <v>5</v>
      </c>
    </row>
    <row r="465" spans="1:5" s="68" customFormat="1" ht="9" x14ac:dyDescent="0.15">
      <c r="A465" s="66" t="s">
        <v>40</v>
      </c>
      <c r="B465" s="88">
        <f t="shared" si="13"/>
        <v>1254</v>
      </c>
      <c r="C465" s="88">
        <v>831</v>
      </c>
      <c r="D465" s="67">
        <v>194</v>
      </c>
      <c r="E465" s="67">
        <v>229</v>
      </c>
    </row>
    <row r="466" spans="1:5" s="68" customFormat="1" ht="9" x14ac:dyDescent="0.15">
      <c r="A466" s="69" t="s">
        <v>41</v>
      </c>
      <c r="B466" s="90">
        <f t="shared" si="13"/>
        <v>508</v>
      </c>
      <c r="C466" s="90">
        <v>368</v>
      </c>
      <c r="D466" s="70">
        <v>99</v>
      </c>
      <c r="E466" s="70">
        <v>41</v>
      </c>
    </row>
    <row r="467" spans="1:5" s="68" customFormat="1" ht="9" x14ac:dyDescent="0.15">
      <c r="A467" s="66" t="s">
        <v>42</v>
      </c>
      <c r="B467" s="88">
        <f t="shared" si="13"/>
        <v>878</v>
      </c>
      <c r="C467" s="88">
        <v>667</v>
      </c>
      <c r="D467" s="67">
        <v>163</v>
      </c>
      <c r="E467" s="67">
        <v>48</v>
      </c>
    </row>
    <row r="468" spans="1:5" s="68" customFormat="1" ht="9" x14ac:dyDescent="0.15">
      <c r="A468" s="66" t="s">
        <v>43</v>
      </c>
      <c r="B468" s="88">
        <f t="shared" si="13"/>
        <v>632</v>
      </c>
      <c r="C468" s="88">
        <v>469</v>
      </c>
      <c r="D468" s="67">
        <v>100</v>
      </c>
      <c r="E468" s="67">
        <v>63</v>
      </c>
    </row>
    <row r="469" spans="1:5" s="68" customFormat="1" ht="9" x14ac:dyDescent="0.15">
      <c r="A469" s="66" t="s">
        <v>44</v>
      </c>
      <c r="B469" s="88">
        <f t="shared" si="13"/>
        <v>1387</v>
      </c>
      <c r="C469" s="88">
        <v>991</v>
      </c>
      <c r="D469" s="67">
        <v>270</v>
      </c>
      <c r="E469" s="67">
        <v>126</v>
      </c>
    </row>
    <row r="470" spans="1:5" s="68" customFormat="1" ht="9" x14ac:dyDescent="0.15">
      <c r="A470" s="69" t="s">
        <v>45</v>
      </c>
      <c r="B470" s="90">
        <f t="shared" si="13"/>
        <v>601</v>
      </c>
      <c r="C470" s="90">
        <v>432</v>
      </c>
      <c r="D470" s="70">
        <v>160</v>
      </c>
      <c r="E470" s="70">
        <v>9</v>
      </c>
    </row>
    <row r="471" spans="1:5" s="68" customFormat="1" ht="9" x14ac:dyDescent="0.15">
      <c r="A471" s="66" t="s">
        <v>46</v>
      </c>
      <c r="B471" s="88">
        <f t="shared" si="13"/>
        <v>2158</v>
      </c>
      <c r="C471" s="88">
        <v>1640</v>
      </c>
      <c r="D471" s="67">
        <v>323</v>
      </c>
      <c r="E471" s="67">
        <v>195</v>
      </c>
    </row>
    <row r="472" spans="1:5" s="68" customFormat="1" ht="9" x14ac:dyDescent="0.15">
      <c r="A472" s="66" t="s">
        <v>47</v>
      </c>
      <c r="B472" s="88">
        <f t="shared" si="13"/>
        <v>1008</v>
      </c>
      <c r="C472" s="88">
        <v>628</v>
      </c>
      <c r="D472" s="67">
        <v>199</v>
      </c>
      <c r="E472" s="67">
        <v>181</v>
      </c>
    </row>
    <row r="473" spans="1:5" s="68" customFormat="1" ht="9" x14ac:dyDescent="0.15">
      <c r="A473" s="66" t="s">
        <v>48</v>
      </c>
      <c r="B473" s="88">
        <f t="shared" si="13"/>
        <v>253</v>
      </c>
      <c r="C473" s="88">
        <v>183</v>
      </c>
      <c r="D473" s="67">
        <v>68</v>
      </c>
      <c r="E473" s="67">
        <v>2</v>
      </c>
    </row>
    <row r="474" spans="1:5" s="68" customFormat="1" ht="9" x14ac:dyDescent="0.15">
      <c r="A474" s="69" t="s">
        <v>49</v>
      </c>
      <c r="B474" s="90">
        <f t="shared" si="13"/>
        <v>482</v>
      </c>
      <c r="C474" s="90">
        <v>347</v>
      </c>
      <c r="D474" s="70">
        <v>86</v>
      </c>
      <c r="E474" s="70">
        <v>49</v>
      </c>
    </row>
    <row r="475" spans="1:5" s="68" customFormat="1" ht="9" x14ac:dyDescent="0.15">
      <c r="A475" s="66" t="s">
        <v>51</v>
      </c>
      <c r="B475" s="88">
        <f>SUM(C475:E475)</f>
        <v>667</v>
      </c>
      <c r="C475" s="88">
        <v>435</v>
      </c>
      <c r="D475" s="67">
        <v>156</v>
      </c>
      <c r="E475" s="67">
        <v>76</v>
      </c>
    </row>
    <row r="476" spans="1:5" s="68" customFormat="1" ht="9" x14ac:dyDescent="0.15">
      <c r="A476" s="66" t="s">
        <v>52</v>
      </c>
      <c r="B476" s="88">
        <f t="shared" si="13"/>
        <v>675</v>
      </c>
      <c r="C476" s="88">
        <v>387</v>
      </c>
      <c r="D476" s="67">
        <v>165</v>
      </c>
      <c r="E476" s="67">
        <v>123</v>
      </c>
    </row>
    <row r="477" spans="1:5" s="68" customFormat="1" ht="9" x14ac:dyDescent="0.15">
      <c r="A477" s="71" t="s">
        <v>53</v>
      </c>
      <c r="B477" s="109">
        <f t="shared" si="13"/>
        <v>593</v>
      </c>
      <c r="C477" s="109">
        <v>384</v>
      </c>
      <c r="D477" s="67">
        <v>136</v>
      </c>
      <c r="E477" s="67">
        <v>73</v>
      </c>
    </row>
    <row r="478" spans="1:5" s="65" customFormat="1" ht="9" x14ac:dyDescent="0.25">
      <c r="B478" s="86"/>
      <c r="C478" s="86"/>
      <c r="D478" s="63"/>
      <c r="E478" s="63"/>
    </row>
    <row r="479" spans="1:5" s="65" customFormat="1" ht="9" x14ac:dyDescent="0.25">
      <c r="A479" s="85">
        <v>2013</v>
      </c>
      <c r="B479" s="86"/>
      <c r="C479" s="86"/>
      <c r="D479" s="63"/>
      <c r="E479" s="63"/>
    </row>
    <row r="480" spans="1:5" s="65" customFormat="1" ht="9" x14ac:dyDescent="0.25">
      <c r="A480" s="62" t="s">
        <v>21</v>
      </c>
      <c r="B480" s="63">
        <f>SUM(B482:B513)</f>
        <v>48781</v>
      </c>
      <c r="C480" s="63">
        <f>SUM(C482:C513)</f>
        <v>34124</v>
      </c>
      <c r="D480" s="63">
        <f>SUM(D482:D513)</f>
        <v>10029</v>
      </c>
      <c r="E480" s="63">
        <f>SUM(E482:E513)</f>
        <v>4628</v>
      </c>
    </row>
    <row r="481" spans="1:5" s="65" customFormat="1" ht="3.95" customHeight="1" x14ac:dyDescent="0.25">
      <c r="A481" s="62"/>
      <c r="B481" s="63"/>
      <c r="C481" s="63"/>
      <c r="D481" s="63"/>
      <c r="E481" s="63"/>
    </row>
    <row r="482" spans="1:5" s="68" customFormat="1" ht="9" x14ac:dyDescent="0.15">
      <c r="A482" s="66" t="s">
        <v>23</v>
      </c>
      <c r="B482" s="88">
        <f t="shared" ref="B482:B509" si="14">SUM(C482:E482)</f>
        <v>623</v>
      </c>
      <c r="C482" s="88">
        <v>432</v>
      </c>
      <c r="D482" s="67">
        <v>159</v>
      </c>
      <c r="E482" s="67">
        <v>32</v>
      </c>
    </row>
    <row r="483" spans="1:5" s="68" customFormat="1" ht="9" x14ac:dyDescent="0.15">
      <c r="A483" s="66" t="s">
        <v>24</v>
      </c>
      <c r="B483" s="88">
        <f t="shared" si="14"/>
        <v>2557</v>
      </c>
      <c r="C483" s="88">
        <v>1804</v>
      </c>
      <c r="D483" s="67">
        <v>496</v>
      </c>
      <c r="E483" s="67">
        <v>257</v>
      </c>
    </row>
    <row r="484" spans="1:5" s="68" customFormat="1" ht="9" x14ac:dyDescent="0.15">
      <c r="A484" s="66" t="s">
        <v>25</v>
      </c>
      <c r="B484" s="88">
        <f t="shared" si="14"/>
        <v>572</v>
      </c>
      <c r="C484" s="88">
        <v>376</v>
      </c>
      <c r="D484" s="67">
        <v>178</v>
      </c>
      <c r="E484" s="67">
        <v>18</v>
      </c>
    </row>
    <row r="485" spans="1:5" s="68" customFormat="1" ht="9" x14ac:dyDescent="0.15">
      <c r="A485" s="69" t="s">
        <v>26</v>
      </c>
      <c r="B485" s="90">
        <f t="shared" si="14"/>
        <v>271</v>
      </c>
      <c r="C485" s="90">
        <v>198</v>
      </c>
      <c r="D485" s="70">
        <v>69</v>
      </c>
      <c r="E485" s="70">
        <v>4</v>
      </c>
    </row>
    <row r="486" spans="1:5" s="68" customFormat="1" ht="9" x14ac:dyDescent="0.15">
      <c r="A486" s="66" t="s">
        <v>27</v>
      </c>
      <c r="B486" s="88">
        <f t="shared" si="14"/>
        <v>1263</v>
      </c>
      <c r="C486" s="88">
        <v>734</v>
      </c>
      <c r="D486" s="67">
        <v>277</v>
      </c>
      <c r="E486" s="67">
        <v>252</v>
      </c>
    </row>
    <row r="487" spans="1:5" s="68" customFormat="1" ht="9" x14ac:dyDescent="0.15">
      <c r="A487" s="66" t="s">
        <v>28</v>
      </c>
      <c r="B487" s="88">
        <f t="shared" si="14"/>
        <v>1311</v>
      </c>
      <c r="C487" s="88">
        <v>965</v>
      </c>
      <c r="D487" s="67">
        <v>216</v>
      </c>
      <c r="E487" s="67">
        <v>130</v>
      </c>
    </row>
    <row r="488" spans="1:5" s="68" customFormat="1" ht="9" x14ac:dyDescent="0.15">
      <c r="A488" s="66" t="s">
        <v>29</v>
      </c>
      <c r="B488" s="88">
        <f t="shared" si="14"/>
        <v>497</v>
      </c>
      <c r="C488" s="88">
        <v>368</v>
      </c>
      <c r="D488" s="67">
        <v>102</v>
      </c>
      <c r="E488" s="67">
        <v>27</v>
      </c>
    </row>
    <row r="489" spans="1:5" s="68" customFormat="1" ht="9" x14ac:dyDescent="0.15">
      <c r="A489" s="69" t="s">
        <v>30</v>
      </c>
      <c r="B489" s="90">
        <f t="shared" si="14"/>
        <v>1736</v>
      </c>
      <c r="C489" s="90">
        <v>1117</v>
      </c>
      <c r="D489" s="70">
        <v>380</v>
      </c>
      <c r="E489" s="70">
        <v>239</v>
      </c>
    </row>
    <row r="490" spans="1:5" s="68" customFormat="1" ht="9" x14ac:dyDescent="0.15">
      <c r="A490" s="66" t="s">
        <v>63</v>
      </c>
      <c r="B490" s="88">
        <f t="shared" si="14"/>
        <v>12352</v>
      </c>
      <c r="C490" s="88">
        <v>8446</v>
      </c>
      <c r="D490" s="67">
        <v>2599</v>
      </c>
      <c r="E490" s="67">
        <v>1307</v>
      </c>
    </row>
    <row r="491" spans="1:5" s="68" customFormat="1" ht="9" x14ac:dyDescent="0.15">
      <c r="A491" s="66" t="s">
        <v>31</v>
      </c>
      <c r="B491" s="88">
        <f t="shared" si="14"/>
        <v>695</v>
      </c>
      <c r="C491" s="88">
        <v>465</v>
      </c>
      <c r="D491" s="67">
        <v>177</v>
      </c>
      <c r="E491" s="67">
        <v>53</v>
      </c>
    </row>
    <row r="492" spans="1:5" s="68" customFormat="1" ht="9" x14ac:dyDescent="0.15">
      <c r="A492" s="66" t="s">
        <v>32</v>
      </c>
      <c r="B492" s="88">
        <f t="shared" si="14"/>
        <v>2102</v>
      </c>
      <c r="C492" s="88">
        <v>1622</v>
      </c>
      <c r="D492" s="67">
        <v>417</v>
      </c>
      <c r="E492" s="67">
        <v>63</v>
      </c>
    </row>
    <row r="493" spans="1:5" s="68" customFormat="1" ht="9" x14ac:dyDescent="0.15">
      <c r="A493" s="69" t="s">
        <v>33</v>
      </c>
      <c r="B493" s="90">
        <f t="shared" si="14"/>
        <v>1018</v>
      </c>
      <c r="C493" s="90">
        <v>725</v>
      </c>
      <c r="D493" s="70">
        <v>207</v>
      </c>
      <c r="E493" s="70">
        <v>86</v>
      </c>
    </row>
    <row r="494" spans="1:5" s="68" customFormat="1" ht="9" x14ac:dyDescent="0.15">
      <c r="A494" s="66" t="s">
        <v>34</v>
      </c>
      <c r="B494" s="88">
        <f t="shared" si="14"/>
        <v>690</v>
      </c>
      <c r="C494" s="88">
        <v>500</v>
      </c>
      <c r="D494" s="67">
        <v>178</v>
      </c>
      <c r="E494" s="67">
        <v>12</v>
      </c>
    </row>
    <row r="495" spans="1:5" s="68" customFormat="1" ht="9" x14ac:dyDescent="0.15">
      <c r="A495" s="66" t="s">
        <v>35</v>
      </c>
      <c r="B495" s="88">
        <f t="shared" si="14"/>
        <v>3612</v>
      </c>
      <c r="C495" s="88">
        <v>2629</v>
      </c>
      <c r="D495" s="67">
        <v>768</v>
      </c>
      <c r="E495" s="67">
        <v>215</v>
      </c>
    </row>
    <row r="496" spans="1:5" s="68" customFormat="1" ht="9" x14ac:dyDescent="0.15">
      <c r="A496" s="66" t="s">
        <v>36</v>
      </c>
      <c r="B496" s="88">
        <f t="shared" si="14"/>
        <v>6317</v>
      </c>
      <c r="C496" s="88">
        <v>4632</v>
      </c>
      <c r="D496" s="67">
        <v>1181</v>
      </c>
      <c r="E496" s="67">
        <v>504</v>
      </c>
    </row>
    <row r="497" spans="1:5" s="68" customFormat="1" ht="9" x14ac:dyDescent="0.15">
      <c r="A497" s="69" t="s">
        <v>37</v>
      </c>
      <c r="B497" s="90">
        <f t="shared" si="14"/>
        <v>1061</v>
      </c>
      <c r="C497" s="90">
        <v>672</v>
      </c>
      <c r="D497" s="70">
        <v>251</v>
      </c>
      <c r="E497" s="70">
        <v>138</v>
      </c>
    </row>
    <row r="498" spans="1:5" s="68" customFormat="1" ht="9" x14ac:dyDescent="0.15">
      <c r="A498" s="66" t="s">
        <v>38</v>
      </c>
      <c r="B498" s="88">
        <f t="shared" si="14"/>
        <v>501</v>
      </c>
      <c r="C498" s="88">
        <v>354</v>
      </c>
      <c r="D498" s="67">
        <v>129</v>
      </c>
      <c r="E498" s="67">
        <v>18</v>
      </c>
    </row>
    <row r="499" spans="1:5" s="68" customFormat="1" ht="9" x14ac:dyDescent="0.15">
      <c r="A499" s="66" t="s">
        <v>39</v>
      </c>
      <c r="B499" s="88">
        <f t="shared" si="14"/>
        <v>183</v>
      </c>
      <c r="C499" s="88">
        <v>124</v>
      </c>
      <c r="D499" s="67">
        <v>48</v>
      </c>
      <c r="E499" s="67">
        <v>11</v>
      </c>
    </row>
    <row r="500" spans="1:5" s="68" customFormat="1" ht="9" x14ac:dyDescent="0.15">
      <c r="A500" s="66" t="s">
        <v>40</v>
      </c>
      <c r="B500" s="88">
        <f t="shared" si="14"/>
        <v>1329</v>
      </c>
      <c r="C500" s="88">
        <v>821</v>
      </c>
      <c r="D500" s="67">
        <v>199</v>
      </c>
      <c r="E500" s="67">
        <v>309</v>
      </c>
    </row>
    <row r="501" spans="1:5" s="68" customFormat="1" ht="9" x14ac:dyDescent="0.15">
      <c r="A501" s="69" t="s">
        <v>41</v>
      </c>
      <c r="B501" s="90">
        <f t="shared" si="14"/>
        <v>539</v>
      </c>
      <c r="C501" s="90">
        <v>327</v>
      </c>
      <c r="D501" s="70">
        <v>104</v>
      </c>
      <c r="E501" s="70">
        <v>108</v>
      </c>
    </row>
    <row r="502" spans="1:5" s="68" customFormat="1" ht="9" x14ac:dyDescent="0.15">
      <c r="A502" s="66" t="s">
        <v>42</v>
      </c>
      <c r="B502" s="88">
        <f t="shared" si="14"/>
        <v>786</v>
      </c>
      <c r="C502" s="88">
        <v>616</v>
      </c>
      <c r="D502" s="67">
        <v>154</v>
      </c>
      <c r="E502" s="67">
        <v>16</v>
      </c>
    </row>
    <row r="503" spans="1:5" s="68" customFormat="1" ht="9" x14ac:dyDescent="0.15">
      <c r="A503" s="66" t="s">
        <v>43</v>
      </c>
      <c r="B503" s="88">
        <f t="shared" si="14"/>
        <v>563</v>
      </c>
      <c r="C503" s="88">
        <v>410</v>
      </c>
      <c r="D503" s="67">
        <v>121</v>
      </c>
      <c r="E503" s="67">
        <v>32</v>
      </c>
    </row>
    <row r="504" spans="1:5" s="68" customFormat="1" ht="9" x14ac:dyDescent="0.15">
      <c r="A504" s="66" t="s">
        <v>44</v>
      </c>
      <c r="B504" s="88">
        <f t="shared" si="14"/>
        <v>1489</v>
      </c>
      <c r="C504" s="88">
        <v>1067</v>
      </c>
      <c r="D504" s="67">
        <v>313</v>
      </c>
      <c r="E504" s="67">
        <v>109</v>
      </c>
    </row>
    <row r="505" spans="1:5" s="68" customFormat="1" ht="9" x14ac:dyDescent="0.15">
      <c r="A505" s="69" t="s">
        <v>45</v>
      </c>
      <c r="B505" s="90">
        <f t="shared" si="14"/>
        <v>646</v>
      </c>
      <c r="C505" s="90">
        <v>476</v>
      </c>
      <c r="D505" s="70">
        <v>161</v>
      </c>
      <c r="E505" s="70">
        <v>9</v>
      </c>
    </row>
    <row r="506" spans="1:5" s="68" customFormat="1" ht="9" x14ac:dyDescent="0.15">
      <c r="A506" s="66" t="s">
        <v>46</v>
      </c>
      <c r="B506" s="88">
        <f t="shared" si="14"/>
        <v>2262</v>
      </c>
      <c r="C506" s="88">
        <v>1634</v>
      </c>
      <c r="D506" s="67">
        <v>318</v>
      </c>
      <c r="E506" s="67">
        <v>310</v>
      </c>
    </row>
    <row r="507" spans="1:5" s="68" customFormat="1" ht="9" x14ac:dyDescent="0.15">
      <c r="A507" s="66" t="s">
        <v>47</v>
      </c>
      <c r="B507" s="88">
        <f t="shared" si="14"/>
        <v>1099</v>
      </c>
      <c r="C507" s="88">
        <v>795</v>
      </c>
      <c r="D507" s="67">
        <v>232</v>
      </c>
      <c r="E507" s="67">
        <v>72</v>
      </c>
    </row>
    <row r="508" spans="1:5" s="68" customFormat="1" ht="9" x14ac:dyDescent="0.15">
      <c r="A508" s="66" t="s">
        <v>48</v>
      </c>
      <c r="B508" s="88">
        <f t="shared" si="14"/>
        <v>242</v>
      </c>
      <c r="C508" s="88">
        <v>163</v>
      </c>
      <c r="D508" s="67">
        <v>51</v>
      </c>
      <c r="E508" s="67">
        <v>28</v>
      </c>
    </row>
    <row r="509" spans="1:5" s="68" customFormat="1" ht="9" x14ac:dyDescent="0.15">
      <c r="A509" s="69" t="s">
        <v>49</v>
      </c>
      <c r="B509" s="90">
        <f t="shared" si="14"/>
        <v>505</v>
      </c>
      <c r="C509" s="90">
        <v>345</v>
      </c>
      <c r="D509" s="70">
        <v>98</v>
      </c>
      <c r="E509" s="70">
        <v>62</v>
      </c>
    </row>
    <row r="510" spans="1:5" s="68" customFormat="1" ht="9" x14ac:dyDescent="0.15">
      <c r="A510" s="66" t="s">
        <v>50</v>
      </c>
      <c r="B510" s="88">
        <f>SUM(C510:E510)</f>
        <v>21</v>
      </c>
      <c r="C510" s="88">
        <v>15</v>
      </c>
      <c r="D510" s="67">
        <v>1</v>
      </c>
      <c r="E510" s="67">
        <v>5</v>
      </c>
    </row>
    <row r="511" spans="1:5" s="68" customFormat="1" ht="9" x14ac:dyDescent="0.15">
      <c r="A511" s="66" t="s">
        <v>51</v>
      </c>
      <c r="B511" s="88">
        <f>SUM(C511:E511)</f>
        <v>583</v>
      </c>
      <c r="C511" s="88">
        <v>370</v>
      </c>
      <c r="D511" s="67">
        <v>135</v>
      </c>
      <c r="E511" s="67">
        <v>78</v>
      </c>
    </row>
    <row r="512" spans="1:5" s="68" customFormat="1" ht="9" x14ac:dyDescent="0.15">
      <c r="A512" s="66" t="s">
        <v>52</v>
      </c>
      <c r="B512" s="88">
        <f t="shared" ref="B512:B513" si="15">SUM(C512:E512)</f>
        <v>807</v>
      </c>
      <c r="C512" s="88">
        <v>551</v>
      </c>
      <c r="D512" s="67">
        <v>177</v>
      </c>
      <c r="E512" s="67">
        <v>79</v>
      </c>
    </row>
    <row r="513" spans="1:5" s="68" customFormat="1" ht="9" x14ac:dyDescent="0.15">
      <c r="A513" s="69" t="s">
        <v>53</v>
      </c>
      <c r="B513" s="90">
        <f t="shared" si="15"/>
        <v>549</v>
      </c>
      <c r="C513" s="90">
        <v>371</v>
      </c>
      <c r="D513" s="70">
        <v>133</v>
      </c>
      <c r="E513" s="70">
        <v>45</v>
      </c>
    </row>
    <row r="514" spans="1:5" s="65" customFormat="1" ht="9" x14ac:dyDescent="0.25">
      <c r="B514" s="86"/>
      <c r="C514" s="86"/>
      <c r="D514" s="63"/>
      <c r="E514" s="63"/>
    </row>
    <row r="515" spans="1:5" s="65" customFormat="1" ht="9" x14ac:dyDescent="0.25">
      <c r="A515" s="85">
        <v>2014</v>
      </c>
      <c r="B515" s="86"/>
      <c r="C515" s="86"/>
      <c r="D515" s="63"/>
      <c r="E515" s="63"/>
    </row>
    <row r="516" spans="1:5" s="65" customFormat="1" ht="9" x14ac:dyDescent="0.25">
      <c r="A516" s="62" t="s">
        <v>21</v>
      </c>
      <c r="B516" s="63">
        <f>SUM(B518:B549)</f>
        <v>43858</v>
      </c>
      <c r="C516" s="63">
        <f>SUM(C518:C549)</f>
        <v>31564</v>
      </c>
      <c r="D516" s="63">
        <f>SUM(D518:D549)</f>
        <v>8973</v>
      </c>
      <c r="E516" s="63">
        <f>SUM(E518:E549)</f>
        <v>3321</v>
      </c>
    </row>
    <row r="517" spans="1:5" s="65" customFormat="1" ht="3.95" customHeight="1" x14ac:dyDescent="0.25">
      <c r="A517" s="62"/>
      <c r="B517" s="63"/>
      <c r="C517" s="63"/>
      <c r="D517" s="63"/>
      <c r="E517" s="63"/>
    </row>
    <row r="518" spans="1:5" s="68" customFormat="1" ht="9" x14ac:dyDescent="0.15">
      <c r="A518" s="66" t="s">
        <v>23</v>
      </c>
      <c r="B518" s="88">
        <f t="shared" ref="B518:B545" si="16">SUM(C518:E518)</f>
        <v>596</v>
      </c>
      <c r="C518" s="88">
        <v>435</v>
      </c>
      <c r="D518" s="67">
        <v>146</v>
      </c>
      <c r="E518" s="67">
        <v>15</v>
      </c>
    </row>
    <row r="519" spans="1:5" s="68" customFormat="1" ht="9" x14ac:dyDescent="0.15">
      <c r="A519" s="66" t="s">
        <v>24</v>
      </c>
      <c r="B519" s="88">
        <f t="shared" si="16"/>
        <v>2514</v>
      </c>
      <c r="C519" s="88">
        <v>1701</v>
      </c>
      <c r="D519" s="67">
        <v>477</v>
      </c>
      <c r="E519" s="67">
        <v>336</v>
      </c>
    </row>
    <row r="520" spans="1:5" s="68" customFormat="1" ht="9" x14ac:dyDescent="0.15">
      <c r="A520" s="66" t="s">
        <v>25</v>
      </c>
      <c r="B520" s="88">
        <f t="shared" si="16"/>
        <v>498</v>
      </c>
      <c r="C520" s="88">
        <v>346</v>
      </c>
      <c r="D520" s="67">
        <v>138</v>
      </c>
      <c r="E520" s="67">
        <v>14</v>
      </c>
    </row>
    <row r="521" spans="1:5" s="68" customFormat="1" ht="9" x14ac:dyDescent="0.15">
      <c r="A521" s="69" t="s">
        <v>26</v>
      </c>
      <c r="B521" s="90">
        <f t="shared" si="16"/>
        <v>240</v>
      </c>
      <c r="C521" s="90">
        <v>180</v>
      </c>
      <c r="D521" s="70">
        <v>58</v>
      </c>
      <c r="E521" s="70">
        <v>2</v>
      </c>
    </row>
    <row r="522" spans="1:5" s="68" customFormat="1" ht="9" x14ac:dyDescent="0.15">
      <c r="A522" s="66" t="s">
        <v>27</v>
      </c>
      <c r="B522" s="88">
        <f t="shared" si="16"/>
        <v>1367</v>
      </c>
      <c r="C522" s="88">
        <v>868</v>
      </c>
      <c r="D522" s="67">
        <v>321</v>
      </c>
      <c r="E522" s="67">
        <v>178</v>
      </c>
    </row>
    <row r="523" spans="1:5" s="68" customFormat="1" ht="9" x14ac:dyDescent="0.15">
      <c r="A523" s="66" t="s">
        <v>28</v>
      </c>
      <c r="B523" s="88">
        <f t="shared" si="16"/>
        <v>1163</v>
      </c>
      <c r="C523" s="88">
        <v>939</v>
      </c>
      <c r="D523" s="67">
        <v>191</v>
      </c>
      <c r="E523" s="67">
        <v>33</v>
      </c>
    </row>
    <row r="524" spans="1:5" s="68" customFormat="1" ht="9" x14ac:dyDescent="0.15">
      <c r="A524" s="66" t="s">
        <v>29</v>
      </c>
      <c r="B524" s="88">
        <f t="shared" si="16"/>
        <v>428</v>
      </c>
      <c r="C524" s="88">
        <v>318</v>
      </c>
      <c r="D524" s="67">
        <v>104</v>
      </c>
      <c r="E524" s="67">
        <v>6</v>
      </c>
    </row>
    <row r="525" spans="1:5" s="68" customFormat="1" ht="9" x14ac:dyDescent="0.15">
      <c r="A525" s="69" t="s">
        <v>30</v>
      </c>
      <c r="B525" s="90">
        <f t="shared" si="16"/>
        <v>1536</v>
      </c>
      <c r="C525" s="90">
        <v>1020</v>
      </c>
      <c r="D525" s="70">
        <v>304</v>
      </c>
      <c r="E525" s="70">
        <v>212</v>
      </c>
    </row>
    <row r="526" spans="1:5" s="68" customFormat="1" ht="9" x14ac:dyDescent="0.15">
      <c r="A526" s="66" t="s">
        <v>63</v>
      </c>
      <c r="B526" s="88">
        <f t="shared" si="16"/>
        <v>10693</v>
      </c>
      <c r="C526" s="88">
        <v>7642</v>
      </c>
      <c r="D526" s="67">
        <v>2279</v>
      </c>
      <c r="E526" s="67">
        <v>772</v>
      </c>
    </row>
    <row r="527" spans="1:5" s="68" customFormat="1" ht="9" x14ac:dyDescent="0.15">
      <c r="A527" s="66" t="s">
        <v>31</v>
      </c>
      <c r="B527" s="88">
        <f t="shared" si="16"/>
        <v>573</v>
      </c>
      <c r="C527" s="88">
        <v>378</v>
      </c>
      <c r="D527" s="67">
        <v>155</v>
      </c>
      <c r="E527" s="67">
        <v>40</v>
      </c>
    </row>
    <row r="528" spans="1:5" s="68" customFormat="1" ht="9" x14ac:dyDescent="0.15">
      <c r="A528" s="66" t="s">
        <v>32</v>
      </c>
      <c r="B528" s="88">
        <f t="shared" si="16"/>
        <v>1790</v>
      </c>
      <c r="C528" s="88">
        <v>1395</v>
      </c>
      <c r="D528" s="67">
        <v>368</v>
      </c>
      <c r="E528" s="67">
        <v>27</v>
      </c>
    </row>
    <row r="529" spans="1:5" s="68" customFormat="1" ht="9" x14ac:dyDescent="0.15">
      <c r="A529" s="69" t="s">
        <v>33</v>
      </c>
      <c r="B529" s="90">
        <f t="shared" si="16"/>
        <v>891</v>
      </c>
      <c r="C529" s="90">
        <v>662</v>
      </c>
      <c r="D529" s="70">
        <v>200</v>
      </c>
      <c r="E529" s="70">
        <v>29</v>
      </c>
    </row>
    <row r="530" spans="1:5" s="68" customFormat="1" ht="9" x14ac:dyDescent="0.15">
      <c r="A530" s="66" t="s">
        <v>34</v>
      </c>
      <c r="B530" s="88">
        <f t="shared" si="16"/>
        <v>575</v>
      </c>
      <c r="C530" s="88">
        <v>431</v>
      </c>
      <c r="D530" s="67">
        <v>140</v>
      </c>
      <c r="E530" s="67">
        <v>4</v>
      </c>
    </row>
    <row r="531" spans="1:5" s="68" customFormat="1" ht="9" x14ac:dyDescent="0.15">
      <c r="A531" s="66" t="s">
        <v>35</v>
      </c>
      <c r="B531" s="88">
        <f t="shared" si="16"/>
        <v>3509</v>
      </c>
      <c r="C531" s="88">
        <v>2551</v>
      </c>
      <c r="D531" s="67">
        <v>747</v>
      </c>
      <c r="E531" s="67">
        <v>211</v>
      </c>
    </row>
    <row r="532" spans="1:5" s="68" customFormat="1" ht="9" x14ac:dyDescent="0.15">
      <c r="A532" s="66" t="s">
        <v>36</v>
      </c>
      <c r="B532" s="88">
        <f t="shared" si="16"/>
        <v>5222</v>
      </c>
      <c r="C532" s="88">
        <v>4001</v>
      </c>
      <c r="D532" s="67">
        <v>955</v>
      </c>
      <c r="E532" s="67">
        <v>266</v>
      </c>
    </row>
    <row r="533" spans="1:5" s="68" customFormat="1" ht="9" x14ac:dyDescent="0.15">
      <c r="A533" s="69" t="s">
        <v>37</v>
      </c>
      <c r="B533" s="90">
        <f t="shared" si="16"/>
        <v>861</v>
      </c>
      <c r="C533" s="90">
        <v>570</v>
      </c>
      <c r="D533" s="70">
        <v>198</v>
      </c>
      <c r="E533" s="70">
        <v>93</v>
      </c>
    </row>
    <row r="534" spans="1:5" s="68" customFormat="1" ht="9" x14ac:dyDescent="0.15">
      <c r="A534" s="66" t="s">
        <v>38</v>
      </c>
      <c r="B534" s="88">
        <f t="shared" si="16"/>
        <v>432</v>
      </c>
      <c r="C534" s="88">
        <v>307</v>
      </c>
      <c r="D534" s="67">
        <v>115</v>
      </c>
      <c r="E534" s="67">
        <v>10</v>
      </c>
    </row>
    <row r="535" spans="1:5" s="68" customFormat="1" ht="9" x14ac:dyDescent="0.15">
      <c r="A535" s="66" t="s">
        <v>39</v>
      </c>
      <c r="B535" s="88">
        <f t="shared" si="16"/>
        <v>290</v>
      </c>
      <c r="C535" s="88">
        <v>210</v>
      </c>
      <c r="D535" s="67">
        <v>73</v>
      </c>
      <c r="E535" s="67">
        <v>7</v>
      </c>
    </row>
    <row r="536" spans="1:5" s="68" customFormat="1" ht="9" x14ac:dyDescent="0.15">
      <c r="A536" s="66" t="s">
        <v>40</v>
      </c>
      <c r="B536" s="88">
        <f t="shared" si="16"/>
        <v>1469</v>
      </c>
      <c r="C536" s="88">
        <v>943</v>
      </c>
      <c r="D536" s="67">
        <v>228</v>
      </c>
      <c r="E536" s="67">
        <v>298</v>
      </c>
    </row>
    <row r="537" spans="1:5" s="68" customFormat="1" ht="9" x14ac:dyDescent="0.15">
      <c r="A537" s="69" t="s">
        <v>41</v>
      </c>
      <c r="B537" s="90">
        <f t="shared" si="16"/>
        <v>473</v>
      </c>
      <c r="C537" s="90">
        <v>344</v>
      </c>
      <c r="D537" s="70">
        <v>104</v>
      </c>
      <c r="E537" s="70">
        <v>25</v>
      </c>
    </row>
    <row r="538" spans="1:5" s="68" customFormat="1" ht="9" x14ac:dyDescent="0.15">
      <c r="A538" s="66" t="s">
        <v>42</v>
      </c>
      <c r="B538" s="88">
        <f t="shared" si="16"/>
        <v>654</v>
      </c>
      <c r="C538" s="88">
        <v>531</v>
      </c>
      <c r="D538" s="67">
        <v>116</v>
      </c>
      <c r="E538" s="67">
        <v>7</v>
      </c>
    </row>
    <row r="539" spans="1:5" s="68" customFormat="1" ht="9" x14ac:dyDescent="0.15">
      <c r="A539" s="66" t="s">
        <v>43</v>
      </c>
      <c r="B539" s="88">
        <f t="shared" si="16"/>
        <v>479</v>
      </c>
      <c r="C539" s="88">
        <v>383</v>
      </c>
      <c r="D539" s="67">
        <v>85</v>
      </c>
      <c r="E539" s="67">
        <v>11</v>
      </c>
    </row>
    <row r="540" spans="1:5" s="68" customFormat="1" ht="9" x14ac:dyDescent="0.15">
      <c r="A540" s="66" t="s">
        <v>44</v>
      </c>
      <c r="B540" s="88">
        <f t="shared" si="16"/>
        <v>1195</v>
      </c>
      <c r="C540" s="88">
        <v>889</v>
      </c>
      <c r="D540" s="67">
        <v>265</v>
      </c>
      <c r="E540" s="67">
        <v>41</v>
      </c>
    </row>
    <row r="541" spans="1:5" s="68" customFormat="1" ht="9" x14ac:dyDescent="0.15">
      <c r="A541" s="69" t="s">
        <v>45</v>
      </c>
      <c r="B541" s="90">
        <f t="shared" si="16"/>
        <v>575</v>
      </c>
      <c r="C541" s="90">
        <v>461</v>
      </c>
      <c r="D541" s="70">
        <v>114</v>
      </c>
      <c r="E541" s="70">
        <v>0</v>
      </c>
    </row>
    <row r="542" spans="1:5" s="68" customFormat="1" ht="9" x14ac:dyDescent="0.15">
      <c r="A542" s="66" t="s">
        <v>46</v>
      </c>
      <c r="B542" s="88">
        <f t="shared" si="16"/>
        <v>1941</v>
      </c>
      <c r="C542" s="88">
        <v>1448</v>
      </c>
      <c r="D542" s="67">
        <v>311</v>
      </c>
      <c r="E542" s="67">
        <v>182</v>
      </c>
    </row>
    <row r="543" spans="1:5" s="68" customFormat="1" ht="9" x14ac:dyDescent="0.15">
      <c r="A543" s="66" t="s">
        <v>47</v>
      </c>
      <c r="B543" s="88">
        <f t="shared" si="16"/>
        <v>991</v>
      </c>
      <c r="C543" s="88">
        <v>742</v>
      </c>
      <c r="D543" s="67">
        <v>221</v>
      </c>
      <c r="E543" s="67">
        <v>28</v>
      </c>
    </row>
    <row r="544" spans="1:5" s="68" customFormat="1" ht="9" x14ac:dyDescent="0.15">
      <c r="A544" s="66" t="s">
        <v>48</v>
      </c>
      <c r="B544" s="88">
        <f t="shared" si="16"/>
        <v>313</v>
      </c>
      <c r="C544" s="88">
        <v>249</v>
      </c>
      <c r="D544" s="67">
        <v>54</v>
      </c>
      <c r="E544" s="67">
        <v>10</v>
      </c>
    </row>
    <row r="545" spans="1:5" s="68" customFormat="1" ht="9" x14ac:dyDescent="0.15">
      <c r="A545" s="69" t="s">
        <v>49</v>
      </c>
      <c r="B545" s="90">
        <f t="shared" si="16"/>
        <v>435</v>
      </c>
      <c r="C545" s="90">
        <v>307</v>
      </c>
      <c r="D545" s="70">
        <v>102</v>
      </c>
      <c r="E545" s="70">
        <v>26</v>
      </c>
    </row>
    <row r="546" spans="1:5" s="68" customFormat="1" ht="9" x14ac:dyDescent="0.15">
      <c r="A546" s="66" t="s">
        <v>50</v>
      </c>
      <c r="B546" s="88">
        <f>SUM(C546:E546)</f>
        <v>61</v>
      </c>
      <c r="C546" s="88">
        <v>49</v>
      </c>
      <c r="D546" s="67">
        <v>10</v>
      </c>
      <c r="E546" s="67">
        <v>2</v>
      </c>
    </row>
    <row r="547" spans="1:5" s="68" customFormat="1" ht="9" x14ac:dyDescent="0.15">
      <c r="A547" s="66" t="s">
        <v>51</v>
      </c>
      <c r="B547" s="88">
        <f>SUM(C547:E547)</f>
        <v>619</v>
      </c>
      <c r="C547" s="88">
        <v>405</v>
      </c>
      <c r="D547" s="67">
        <v>140</v>
      </c>
      <c r="E547" s="67">
        <v>74</v>
      </c>
    </row>
    <row r="548" spans="1:5" s="68" customFormat="1" ht="9" x14ac:dyDescent="0.15">
      <c r="A548" s="66" t="s">
        <v>52</v>
      </c>
      <c r="B548" s="88">
        <f t="shared" ref="B548:B549" si="17">SUM(C548:E548)</f>
        <v>853</v>
      </c>
      <c r="C548" s="88">
        <v>444</v>
      </c>
      <c r="D548" s="67">
        <v>140</v>
      </c>
      <c r="E548" s="67">
        <v>269</v>
      </c>
    </row>
    <row r="549" spans="1:5" s="68" customFormat="1" ht="9" x14ac:dyDescent="0.15">
      <c r="A549" s="69" t="s">
        <v>53</v>
      </c>
      <c r="B549" s="90">
        <f t="shared" si="17"/>
        <v>622</v>
      </c>
      <c r="C549" s="90">
        <v>415</v>
      </c>
      <c r="D549" s="70">
        <v>114</v>
      </c>
      <c r="E549" s="70">
        <v>93</v>
      </c>
    </row>
    <row r="550" spans="1:5" s="65" customFormat="1" ht="9" x14ac:dyDescent="0.25">
      <c r="B550" s="86"/>
      <c r="C550" s="86"/>
      <c r="D550" s="63"/>
      <c r="E550" s="63"/>
    </row>
    <row r="551" spans="1:5" s="65" customFormat="1" ht="9" x14ac:dyDescent="0.25">
      <c r="A551" s="85">
        <v>2015</v>
      </c>
      <c r="B551" s="86"/>
      <c r="C551" s="86"/>
      <c r="D551" s="63"/>
      <c r="E551" s="63"/>
    </row>
    <row r="552" spans="1:5" s="65" customFormat="1" ht="9" x14ac:dyDescent="0.25">
      <c r="A552" s="62" t="s">
        <v>21</v>
      </c>
      <c r="B552" s="63">
        <f>SUM(B554:B585)</f>
        <v>44585</v>
      </c>
      <c r="C552" s="63">
        <f>SUM(C554:C585)</f>
        <v>33392</v>
      </c>
      <c r="D552" s="63">
        <f>SUM(D554:D585)</f>
        <v>9304</v>
      </c>
      <c r="E552" s="63">
        <f>SUM(E554:E585)</f>
        <v>1889</v>
      </c>
    </row>
    <row r="553" spans="1:5" s="65" customFormat="1" ht="3.95" customHeight="1" x14ac:dyDescent="0.25">
      <c r="A553" s="62"/>
      <c r="B553" s="63"/>
      <c r="C553" s="63"/>
      <c r="D553" s="63"/>
      <c r="E553" s="63"/>
    </row>
    <row r="554" spans="1:5" s="68" customFormat="1" ht="9" x14ac:dyDescent="0.15">
      <c r="A554" s="66" t="s">
        <v>23</v>
      </c>
      <c r="B554" s="88">
        <f t="shared" ref="B554:B581" si="18">SUM(C554:E554)</f>
        <v>655</v>
      </c>
      <c r="C554" s="88">
        <v>476</v>
      </c>
      <c r="D554" s="67">
        <v>157</v>
      </c>
      <c r="E554" s="67">
        <v>22</v>
      </c>
    </row>
    <row r="555" spans="1:5" s="68" customFormat="1" ht="9" x14ac:dyDescent="0.15">
      <c r="A555" s="66" t="s">
        <v>24</v>
      </c>
      <c r="B555" s="88">
        <f t="shared" si="18"/>
        <v>2678</v>
      </c>
      <c r="C555" s="88">
        <v>2039</v>
      </c>
      <c r="D555" s="67">
        <v>574</v>
      </c>
      <c r="E555" s="67">
        <v>65</v>
      </c>
    </row>
    <row r="556" spans="1:5" s="68" customFormat="1" ht="9" x14ac:dyDescent="0.15">
      <c r="A556" s="66" t="s">
        <v>25</v>
      </c>
      <c r="B556" s="88">
        <f t="shared" si="18"/>
        <v>503</v>
      </c>
      <c r="C556" s="88">
        <v>353</v>
      </c>
      <c r="D556" s="67">
        <v>145</v>
      </c>
      <c r="E556" s="67">
        <v>5</v>
      </c>
    </row>
    <row r="557" spans="1:5" s="68" customFormat="1" ht="9" x14ac:dyDescent="0.15">
      <c r="A557" s="69" t="s">
        <v>26</v>
      </c>
      <c r="B557" s="90">
        <f t="shared" si="18"/>
        <v>208</v>
      </c>
      <c r="C557" s="90">
        <v>144</v>
      </c>
      <c r="D557" s="70">
        <v>63</v>
      </c>
      <c r="E557" s="70">
        <v>1</v>
      </c>
    </row>
    <row r="558" spans="1:5" s="68" customFormat="1" ht="9" x14ac:dyDescent="0.15">
      <c r="A558" s="66" t="s">
        <v>27</v>
      </c>
      <c r="B558" s="88">
        <f t="shared" si="18"/>
        <v>1713</v>
      </c>
      <c r="C558" s="88">
        <v>1151</v>
      </c>
      <c r="D558" s="67">
        <v>366</v>
      </c>
      <c r="E558" s="67">
        <v>196</v>
      </c>
    </row>
    <row r="559" spans="1:5" s="68" customFormat="1" ht="9" x14ac:dyDescent="0.15">
      <c r="A559" s="66" t="s">
        <v>28</v>
      </c>
      <c r="B559" s="88">
        <f t="shared" si="18"/>
        <v>1128</v>
      </c>
      <c r="C559" s="88">
        <v>887</v>
      </c>
      <c r="D559" s="67">
        <v>215</v>
      </c>
      <c r="E559" s="67">
        <v>26</v>
      </c>
    </row>
    <row r="560" spans="1:5" s="68" customFormat="1" ht="9" x14ac:dyDescent="0.15">
      <c r="A560" s="66" t="s">
        <v>29</v>
      </c>
      <c r="B560" s="88">
        <f t="shared" si="18"/>
        <v>408</v>
      </c>
      <c r="C560" s="88">
        <v>308</v>
      </c>
      <c r="D560" s="67">
        <v>87</v>
      </c>
      <c r="E560" s="67">
        <v>13</v>
      </c>
    </row>
    <row r="561" spans="1:5" s="68" customFormat="1" ht="9" x14ac:dyDescent="0.15">
      <c r="A561" s="69" t="s">
        <v>30</v>
      </c>
      <c r="B561" s="90">
        <f t="shared" si="18"/>
        <v>1733</v>
      </c>
      <c r="C561" s="90">
        <v>1265</v>
      </c>
      <c r="D561" s="70">
        <v>384</v>
      </c>
      <c r="E561" s="70">
        <v>84</v>
      </c>
    </row>
    <row r="562" spans="1:5" s="68" customFormat="1" ht="9" x14ac:dyDescent="0.15">
      <c r="A562" s="66" t="s">
        <v>63</v>
      </c>
      <c r="B562" s="88">
        <f t="shared" si="18"/>
        <v>10124</v>
      </c>
      <c r="C562" s="88">
        <v>7552</v>
      </c>
      <c r="D562" s="67">
        <v>2189</v>
      </c>
      <c r="E562" s="67">
        <v>383</v>
      </c>
    </row>
    <row r="563" spans="1:5" s="68" customFormat="1" ht="9" x14ac:dyDescent="0.15">
      <c r="A563" s="66" t="s">
        <v>31</v>
      </c>
      <c r="B563" s="88">
        <f t="shared" si="18"/>
        <v>596</v>
      </c>
      <c r="C563" s="88">
        <v>418</v>
      </c>
      <c r="D563" s="67">
        <v>136</v>
      </c>
      <c r="E563" s="67">
        <v>42</v>
      </c>
    </row>
    <row r="564" spans="1:5" s="68" customFormat="1" ht="9" x14ac:dyDescent="0.15">
      <c r="A564" s="66" t="s">
        <v>32</v>
      </c>
      <c r="B564" s="88">
        <f t="shared" si="18"/>
        <v>1929</v>
      </c>
      <c r="C564" s="88">
        <v>1533</v>
      </c>
      <c r="D564" s="67">
        <v>339</v>
      </c>
      <c r="E564" s="67">
        <v>57</v>
      </c>
    </row>
    <row r="565" spans="1:5" s="68" customFormat="1" ht="9" x14ac:dyDescent="0.15">
      <c r="A565" s="69" t="s">
        <v>33</v>
      </c>
      <c r="B565" s="90">
        <f t="shared" si="18"/>
        <v>863</v>
      </c>
      <c r="C565" s="90">
        <v>664</v>
      </c>
      <c r="D565" s="70">
        <v>179</v>
      </c>
      <c r="E565" s="70">
        <v>20</v>
      </c>
    </row>
    <row r="566" spans="1:5" s="68" customFormat="1" ht="9" x14ac:dyDescent="0.15">
      <c r="A566" s="66" t="s">
        <v>34</v>
      </c>
      <c r="B566" s="88">
        <f t="shared" si="18"/>
        <v>612</v>
      </c>
      <c r="C566" s="88">
        <v>443</v>
      </c>
      <c r="D566" s="67">
        <v>166</v>
      </c>
      <c r="E566" s="67">
        <v>3</v>
      </c>
    </row>
    <row r="567" spans="1:5" s="68" customFormat="1" ht="9" x14ac:dyDescent="0.15">
      <c r="A567" s="66" t="s">
        <v>35</v>
      </c>
      <c r="B567" s="88">
        <f t="shared" si="18"/>
        <v>3402</v>
      </c>
      <c r="C567" s="88">
        <v>2565</v>
      </c>
      <c r="D567" s="67">
        <v>751</v>
      </c>
      <c r="E567" s="67">
        <v>86</v>
      </c>
    </row>
    <row r="568" spans="1:5" s="68" customFormat="1" ht="9" x14ac:dyDescent="0.15">
      <c r="A568" s="66" t="s">
        <v>36</v>
      </c>
      <c r="B568" s="88">
        <f t="shared" si="18"/>
        <v>5282</v>
      </c>
      <c r="C568" s="88">
        <v>4167</v>
      </c>
      <c r="D568" s="67">
        <v>967</v>
      </c>
      <c r="E568" s="67">
        <v>148</v>
      </c>
    </row>
    <row r="569" spans="1:5" s="68" customFormat="1" ht="9" x14ac:dyDescent="0.15">
      <c r="A569" s="69" t="s">
        <v>37</v>
      </c>
      <c r="B569" s="90">
        <f t="shared" si="18"/>
        <v>857</v>
      </c>
      <c r="C569" s="90">
        <v>589</v>
      </c>
      <c r="D569" s="70">
        <v>198</v>
      </c>
      <c r="E569" s="70">
        <v>70</v>
      </c>
    </row>
    <row r="570" spans="1:5" s="68" customFormat="1" ht="9" x14ac:dyDescent="0.15">
      <c r="A570" s="66" t="s">
        <v>38</v>
      </c>
      <c r="B570" s="88">
        <f t="shared" si="18"/>
        <v>384</v>
      </c>
      <c r="C570" s="88">
        <v>290</v>
      </c>
      <c r="D570" s="67">
        <v>90</v>
      </c>
      <c r="E570" s="67">
        <v>4</v>
      </c>
    </row>
    <row r="571" spans="1:5" s="68" customFormat="1" ht="9" x14ac:dyDescent="0.15">
      <c r="A571" s="66" t="s">
        <v>39</v>
      </c>
      <c r="B571" s="88">
        <f t="shared" si="18"/>
        <v>146</v>
      </c>
      <c r="C571" s="88">
        <v>102</v>
      </c>
      <c r="D571" s="67">
        <v>41</v>
      </c>
      <c r="E571" s="67">
        <v>3</v>
      </c>
    </row>
    <row r="572" spans="1:5" s="68" customFormat="1" ht="9" x14ac:dyDescent="0.15">
      <c r="A572" s="66" t="s">
        <v>40</v>
      </c>
      <c r="B572" s="88">
        <f t="shared" si="18"/>
        <v>1705</v>
      </c>
      <c r="C572" s="88">
        <v>1202</v>
      </c>
      <c r="D572" s="67">
        <v>251</v>
      </c>
      <c r="E572" s="67">
        <v>252</v>
      </c>
    </row>
    <row r="573" spans="1:5" s="68" customFormat="1" ht="9" x14ac:dyDescent="0.15">
      <c r="A573" s="69" t="s">
        <v>41</v>
      </c>
      <c r="B573" s="90">
        <f t="shared" si="18"/>
        <v>501</v>
      </c>
      <c r="C573" s="90">
        <v>413</v>
      </c>
      <c r="D573" s="70">
        <v>81</v>
      </c>
      <c r="E573" s="70">
        <v>7</v>
      </c>
    </row>
    <row r="574" spans="1:5" s="68" customFormat="1" ht="9" x14ac:dyDescent="0.15">
      <c r="A574" s="66" t="s">
        <v>42</v>
      </c>
      <c r="B574" s="88">
        <f t="shared" si="18"/>
        <v>621</v>
      </c>
      <c r="C574" s="88">
        <v>513</v>
      </c>
      <c r="D574" s="67">
        <v>105</v>
      </c>
      <c r="E574" s="67">
        <v>3</v>
      </c>
    </row>
    <row r="575" spans="1:5" s="68" customFormat="1" ht="9" x14ac:dyDescent="0.15">
      <c r="A575" s="66" t="s">
        <v>43</v>
      </c>
      <c r="B575" s="88">
        <f t="shared" si="18"/>
        <v>465</v>
      </c>
      <c r="C575" s="88">
        <v>350</v>
      </c>
      <c r="D575" s="67">
        <v>103</v>
      </c>
      <c r="E575" s="67">
        <v>12</v>
      </c>
    </row>
    <row r="576" spans="1:5" s="68" customFormat="1" ht="9" x14ac:dyDescent="0.15">
      <c r="A576" s="66" t="s">
        <v>44</v>
      </c>
      <c r="B576" s="88">
        <f t="shared" si="18"/>
        <v>1247</v>
      </c>
      <c r="C576" s="88">
        <v>967</v>
      </c>
      <c r="D576" s="67">
        <v>260</v>
      </c>
      <c r="E576" s="67">
        <v>20</v>
      </c>
    </row>
    <row r="577" spans="1:5" s="68" customFormat="1" ht="9" x14ac:dyDescent="0.15">
      <c r="A577" s="69" t="s">
        <v>45</v>
      </c>
      <c r="B577" s="90">
        <f t="shared" si="18"/>
        <v>638</v>
      </c>
      <c r="C577" s="90">
        <v>463</v>
      </c>
      <c r="D577" s="70">
        <v>174</v>
      </c>
      <c r="E577" s="70">
        <v>1</v>
      </c>
    </row>
    <row r="578" spans="1:5" s="68" customFormat="1" ht="9" x14ac:dyDescent="0.15">
      <c r="A578" s="66" t="s">
        <v>46</v>
      </c>
      <c r="B578" s="88">
        <f t="shared" si="18"/>
        <v>2124</v>
      </c>
      <c r="C578" s="88">
        <v>1638</v>
      </c>
      <c r="D578" s="67">
        <v>362</v>
      </c>
      <c r="E578" s="67">
        <v>124</v>
      </c>
    </row>
    <row r="579" spans="1:5" s="68" customFormat="1" ht="9" x14ac:dyDescent="0.15">
      <c r="A579" s="66" t="s">
        <v>47</v>
      </c>
      <c r="B579" s="88">
        <f t="shared" si="18"/>
        <v>998</v>
      </c>
      <c r="C579" s="88">
        <v>769</v>
      </c>
      <c r="D579" s="67">
        <v>209</v>
      </c>
      <c r="E579" s="67">
        <v>20</v>
      </c>
    </row>
    <row r="580" spans="1:5" s="68" customFormat="1" ht="9" x14ac:dyDescent="0.15">
      <c r="A580" s="66" t="s">
        <v>48</v>
      </c>
      <c r="B580" s="88">
        <f t="shared" si="18"/>
        <v>323</v>
      </c>
      <c r="C580" s="88">
        <v>229</v>
      </c>
      <c r="D580" s="67">
        <v>81</v>
      </c>
      <c r="E580" s="67">
        <v>13</v>
      </c>
    </row>
    <row r="581" spans="1:5" s="68" customFormat="1" ht="9" x14ac:dyDescent="0.15">
      <c r="A581" s="69" t="s">
        <v>49</v>
      </c>
      <c r="B581" s="90">
        <f t="shared" si="18"/>
        <v>546</v>
      </c>
      <c r="C581" s="90">
        <v>422</v>
      </c>
      <c r="D581" s="70">
        <v>108</v>
      </c>
      <c r="E581" s="70">
        <v>16</v>
      </c>
    </row>
    <row r="582" spans="1:5" s="68" customFormat="1" ht="9" x14ac:dyDescent="0.15">
      <c r="A582" s="66" t="s">
        <v>50</v>
      </c>
      <c r="B582" s="88">
        <f>SUM(C582:E582)</f>
        <v>89</v>
      </c>
      <c r="C582" s="88">
        <v>66</v>
      </c>
      <c r="D582" s="67">
        <v>22</v>
      </c>
      <c r="E582" s="67">
        <v>1</v>
      </c>
    </row>
    <row r="583" spans="1:5" s="68" customFormat="1" ht="9" x14ac:dyDescent="0.15">
      <c r="A583" s="66" t="s">
        <v>51</v>
      </c>
      <c r="B583" s="88">
        <f>SUM(C583:E583)</f>
        <v>584</v>
      </c>
      <c r="C583" s="88">
        <v>403</v>
      </c>
      <c r="D583" s="67">
        <v>137</v>
      </c>
      <c r="E583" s="67">
        <v>44</v>
      </c>
    </row>
    <row r="584" spans="1:5" s="68" customFormat="1" ht="9" x14ac:dyDescent="0.15">
      <c r="A584" s="66" t="s">
        <v>52</v>
      </c>
      <c r="B584" s="88">
        <f t="shared" ref="B584:B585" si="19">SUM(C584:E584)</f>
        <v>841</v>
      </c>
      <c r="C584" s="88">
        <v>505</v>
      </c>
      <c r="D584" s="67">
        <v>203</v>
      </c>
      <c r="E584" s="67">
        <v>133</v>
      </c>
    </row>
    <row r="585" spans="1:5" s="68" customFormat="1" ht="9" x14ac:dyDescent="0.15">
      <c r="A585" s="69" t="s">
        <v>53</v>
      </c>
      <c r="B585" s="90">
        <f t="shared" si="19"/>
        <v>682</v>
      </c>
      <c r="C585" s="90">
        <v>506</v>
      </c>
      <c r="D585" s="70">
        <v>161</v>
      </c>
      <c r="E585" s="70">
        <v>15</v>
      </c>
    </row>
    <row r="586" spans="1:5" s="65" customFormat="1" ht="9" x14ac:dyDescent="0.25">
      <c r="B586" s="86"/>
      <c r="C586" s="86"/>
      <c r="D586" s="63"/>
      <c r="E586" s="63"/>
    </row>
    <row r="587" spans="1:5" s="65" customFormat="1" ht="9" x14ac:dyDescent="0.25">
      <c r="A587" s="85">
        <v>2016</v>
      </c>
      <c r="B587" s="86"/>
      <c r="C587" s="86"/>
      <c r="D587" s="63"/>
      <c r="E587" s="63"/>
    </row>
    <row r="588" spans="1:5" s="65" customFormat="1" ht="9" x14ac:dyDescent="0.25">
      <c r="A588" s="62" t="s">
        <v>21</v>
      </c>
      <c r="B588" s="63">
        <f>SUM(B590:B621)</f>
        <v>43778</v>
      </c>
      <c r="C588" s="63">
        <f>SUM(C590:C621)</f>
        <v>32740</v>
      </c>
      <c r="D588" s="63">
        <f>SUM(D590:D621)</f>
        <v>9073</v>
      </c>
      <c r="E588" s="63">
        <f>SUM(E590:E621)</f>
        <v>1965</v>
      </c>
    </row>
    <row r="589" spans="1:5" s="65" customFormat="1" ht="3.95" customHeight="1" x14ac:dyDescent="0.25">
      <c r="A589" s="62"/>
      <c r="B589" s="63"/>
      <c r="C589" s="63"/>
      <c r="D589" s="63"/>
      <c r="E589" s="63"/>
    </row>
    <row r="590" spans="1:5" s="68" customFormat="1" ht="9" x14ac:dyDescent="0.15">
      <c r="A590" s="66" t="s">
        <v>23</v>
      </c>
      <c r="B590" s="88">
        <f t="shared" ref="B590:B617" si="20">SUM(C590:E590)</f>
        <v>652</v>
      </c>
      <c r="C590" s="88">
        <v>468</v>
      </c>
      <c r="D590" s="67">
        <v>154</v>
      </c>
      <c r="E590" s="67">
        <v>30</v>
      </c>
    </row>
    <row r="591" spans="1:5" s="68" customFormat="1" ht="9" x14ac:dyDescent="0.15">
      <c r="A591" s="66" t="s">
        <v>24</v>
      </c>
      <c r="B591" s="88">
        <f t="shared" si="20"/>
        <v>2617</v>
      </c>
      <c r="C591" s="88">
        <v>2009</v>
      </c>
      <c r="D591" s="67">
        <v>552</v>
      </c>
      <c r="E591" s="67">
        <v>56</v>
      </c>
    </row>
    <row r="592" spans="1:5" s="68" customFormat="1" ht="9" x14ac:dyDescent="0.15">
      <c r="A592" s="66" t="s">
        <v>25</v>
      </c>
      <c r="B592" s="88">
        <f t="shared" si="20"/>
        <v>459</v>
      </c>
      <c r="C592" s="88">
        <v>334</v>
      </c>
      <c r="D592" s="67">
        <v>108</v>
      </c>
      <c r="E592" s="67">
        <v>17</v>
      </c>
    </row>
    <row r="593" spans="1:5" s="68" customFormat="1" ht="9" x14ac:dyDescent="0.15">
      <c r="A593" s="69" t="s">
        <v>26</v>
      </c>
      <c r="B593" s="90">
        <f t="shared" si="20"/>
        <v>204</v>
      </c>
      <c r="C593" s="90">
        <v>144</v>
      </c>
      <c r="D593" s="70">
        <v>58</v>
      </c>
      <c r="E593" s="70">
        <v>2</v>
      </c>
    </row>
    <row r="594" spans="1:5" s="68" customFormat="1" ht="9" x14ac:dyDescent="0.15">
      <c r="A594" s="66" t="s">
        <v>27</v>
      </c>
      <c r="B594" s="88">
        <f t="shared" si="20"/>
        <v>1637</v>
      </c>
      <c r="C594" s="88">
        <v>1188</v>
      </c>
      <c r="D594" s="67">
        <v>359</v>
      </c>
      <c r="E594" s="67">
        <v>90</v>
      </c>
    </row>
    <row r="595" spans="1:5" s="68" customFormat="1" ht="9" x14ac:dyDescent="0.15">
      <c r="A595" s="66" t="s">
        <v>28</v>
      </c>
      <c r="B595" s="88">
        <f t="shared" si="20"/>
        <v>1177</v>
      </c>
      <c r="C595" s="88">
        <v>967</v>
      </c>
      <c r="D595" s="67">
        <v>183</v>
      </c>
      <c r="E595" s="67">
        <v>27</v>
      </c>
    </row>
    <row r="596" spans="1:5" s="68" customFormat="1" ht="9" x14ac:dyDescent="0.15">
      <c r="A596" s="66" t="s">
        <v>29</v>
      </c>
      <c r="B596" s="88">
        <f t="shared" si="20"/>
        <v>423</v>
      </c>
      <c r="C596" s="88">
        <v>340</v>
      </c>
      <c r="D596" s="67">
        <v>71</v>
      </c>
      <c r="E596" s="67">
        <v>12</v>
      </c>
    </row>
    <row r="597" spans="1:5" s="68" customFormat="1" ht="9" x14ac:dyDescent="0.15">
      <c r="A597" s="69" t="s">
        <v>30</v>
      </c>
      <c r="B597" s="90">
        <f t="shared" si="20"/>
        <v>1917</v>
      </c>
      <c r="C597" s="90">
        <v>1413</v>
      </c>
      <c r="D597" s="70">
        <v>407</v>
      </c>
      <c r="E597" s="70">
        <v>97</v>
      </c>
    </row>
    <row r="598" spans="1:5" s="68" customFormat="1" ht="9" x14ac:dyDescent="0.15">
      <c r="A598" s="66" t="s">
        <v>63</v>
      </c>
      <c r="B598" s="88">
        <f t="shared" si="20"/>
        <v>9802</v>
      </c>
      <c r="C598" s="88">
        <v>7129</v>
      </c>
      <c r="D598" s="67">
        <v>2240</v>
      </c>
      <c r="E598" s="67">
        <v>433</v>
      </c>
    </row>
    <row r="599" spans="1:5" s="68" customFormat="1" ht="9" x14ac:dyDescent="0.15">
      <c r="A599" s="66" t="s">
        <v>31</v>
      </c>
      <c r="B599" s="88">
        <f t="shared" si="20"/>
        <v>631</v>
      </c>
      <c r="C599" s="88">
        <v>441</v>
      </c>
      <c r="D599" s="67">
        <v>150</v>
      </c>
      <c r="E599" s="67">
        <v>40</v>
      </c>
    </row>
    <row r="600" spans="1:5" s="68" customFormat="1" ht="9" x14ac:dyDescent="0.15">
      <c r="A600" s="66" t="s">
        <v>32</v>
      </c>
      <c r="B600" s="88">
        <f t="shared" si="20"/>
        <v>1857</v>
      </c>
      <c r="C600" s="88">
        <v>1439</v>
      </c>
      <c r="D600" s="67">
        <v>357</v>
      </c>
      <c r="E600" s="67">
        <v>61</v>
      </c>
    </row>
    <row r="601" spans="1:5" s="68" customFormat="1" ht="9" x14ac:dyDescent="0.15">
      <c r="A601" s="69" t="s">
        <v>33</v>
      </c>
      <c r="B601" s="90">
        <f t="shared" si="20"/>
        <v>872</v>
      </c>
      <c r="C601" s="90">
        <v>645</v>
      </c>
      <c r="D601" s="70">
        <v>181</v>
      </c>
      <c r="E601" s="70">
        <v>46</v>
      </c>
    </row>
    <row r="602" spans="1:5" s="68" customFormat="1" ht="9" x14ac:dyDescent="0.15">
      <c r="A602" s="66" t="s">
        <v>34</v>
      </c>
      <c r="B602" s="88">
        <f t="shared" si="20"/>
        <v>723</v>
      </c>
      <c r="C602" s="88">
        <v>534</v>
      </c>
      <c r="D602" s="67">
        <v>176</v>
      </c>
      <c r="E602" s="67">
        <v>13</v>
      </c>
    </row>
    <row r="603" spans="1:5" s="68" customFormat="1" ht="9" x14ac:dyDescent="0.15">
      <c r="A603" s="66" t="s">
        <v>35</v>
      </c>
      <c r="B603" s="88">
        <f t="shared" si="20"/>
        <v>3401</v>
      </c>
      <c r="C603" s="88">
        <v>2541</v>
      </c>
      <c r="D603" s="67">
        <v>734</v>
      </c>
      <c r="E603" s="67">
        <v>126</v>
      </c>
    </row>
    <row r="604" spans="1:5" s="68" customFormat="1" ht="9" x14ac:dyDescent="0.15">
      <c r="A604" s="66" t="s">
        <v>36</v>
      </c>
      <c r="B604" s="88">
        <f t="shared" si="20"/>
        <v>5035</v>
      </c>
      <c r="C604" s="88">
        <v>3894</v>
      </c>
      <c r="D604" s="67">
        <v>887</v>
      </c>
      <c r="E604" s="67">
        <v>254</v>
      </c>
    </row>
    <row r="605" spans="1:5" s="68" customFormat="1" ht="9" x14ac:dyDescent="0.15">
      <c r="A605" s="69" t="s">
        <v>37</v>
      </c>
      <c r="B605" s="90">
        <f t="shared" si="20"/>
        <v>763</v>
      </c>
      <c r="C605" s="90">
        <v>545</v>
      </c>
      <c r="D605" s="70">
        <v>160</v>
      </c>
      <c r="E605" s="70">
        <v>58</v>
      </c>
    </row>
    <row r="606" spans="1:5" s="68" customFormat="1" ht="9" x14ac:dyDescent="0.15">
      <c r="A606" s="66" t="s">
        <v>38</v>
      </c>
      <c r="B606" s="88">
        <f t="shared" si="20"/>
        <v>399</v>
      </c>
      <c r="C606" s="88">
        <v>288</v>
      </c>
      <c r="D606" s="67">
        <v>102</v>
      </c>
      <c r="E606" s="67">
        <v>9</v>
      </c>
    </row>
    <row r="607" spans="1:5" s="68" customFormat="1" ht="9" x14ac:dyDescent="0.15">
      <c r="A607" s="66" t="s">
        <v>39</v>
      </c>
      <c r="B607" s="88">
        <f t="shared" si="20"/>
        <v>151</v>
      </c>
      <c r="C607" s="88">
        <v>112</v>
      </c>
      <c r="D607" s="67">
        <v>39</v>
      </c>
      <c r="E607" s="67">
        <v>0</v>
      </c>
    </row>
    <row r="608" spans="1:5" s="68" customFormat="1" ht="9" x14ac:dyDescent="0.15">
      <c r="A608" s="66" t="s">
        <v>40</v>
      </c>
      <c r="B608" s="88">
        <f t="shared" si="20"/>
        <v>1621</v>
      </c>
      <c r="C608" s="88">
        <v>1173</v>
      </c>
      <c r="D608" s="67">
        <v>270</v>
      </c>
      <c r="E608" s="67">
        <v>178</v>
      </c>
    </row>
    <row r="609" spans="1:5" s="68" customFormat="1" ht="9" x14ac:dyDescent="0.15">
      <c r="A609" s="69" t="s">
        <v>41</v>
      </c>
      <c r="B609" s="90">
        <f t="shared" si="20"/>
        <v>548</v>
      </c>
      <c r="C609" s="90">
        <v>425</v>
      </c>
      <c r="D609" s="70">
        <v>98</v>
      </c>
      <c r="E609" s="70">
        <v>25</v>
      </c>
    </row>
    <row r="610" spans="1:5" s="68" customFormat="1" ht="9" x14ac:dyDescent="0.15">
      <c r="A610" s="66" t="s">
        <v>42</v>
      </c>
      <c r="B610" s="88">
        <f t="shared" si="20"/>
        <v>739</v>
      </c>
      <c r="C610" s="88">
        <v>592</v>
      </c>
      <c r="D610" s="67">
        <v>127</v>
      </c>
      <c r="E610" s="67">
        <v>20</v>
      </c>
    </row>
    <row r="611" spans="1:5" s="68" customFormat="1" ht="9" x14ac:dyDescent="0.15">
      <c r="A611" s="66" t="s">
        <v>43</v>
      </c>
      <c r="B611" s="88">
        <f t="shared" si="20"/>
        <v>423</v>
      </c>
      <c r="C611" s="88">
        <v>323</v>
      </c>
      <c r="D611" s="67">
        <v>85</v>
      </c>
      <c r="E611" s="67">
        <v>15</v>
      </c>
    </row>
    <row r="612" spans="1:5" s="68" customFormat="1" ht="9" x14ac:dyDescent="0.15">
      <c r="A612" s="66" t="s">
        <v>44</v>
      </c>
      <c r="B612" s="88">
        <f t="shared" si="20"/>
        <v>1187</v>
      </c>
      <c r="C612" s="88">
        <v>916</v>
      </c>
      <c r="D612" s="67">
        <v>254</v>
      </c>
      <c r="E612" s="67">
        <v>17</v>
      </c>
    </row>
    <row r="613" spans="1:5" s="68" customFormat="1" ht="9" x14ac:dyDescent="0.15">
      <c r="A613" s="69" t="s">
        <v>45</v>
      </c>
      <c r="B613" s="90">
        <f t="shared" si="20"/>
        <v>676</v>
      </c>
      <c r="C613" s="90">
        <v>469</v>
      </c>
      <c r="D613" s="70">
        <v>175</v>
      </c>
      <c r="E613" s="70">
        <v>32</v>
      </c>
    </row>
    <row r="614" spans="1:5" s="68" customFormat="1" ht="9" x14ac:dyDescent="0.15">
      <c r="A614" s="66" t="s">
        <v>46</v>
      </c>
      <c r="B614" s="88">
        <f t="shared" si="20"/>
        <v>2229</v>
      </c>
      <c r="C614" s="88">
        <v>1741</v>
      </c>
      <c r="D614" s="67">
        <v>357</v>
      </c>
      <c r="E614" s="67">
        <v>131</v>
      </c>
    </row>
    <row r="615" spans="1:5" s="68" customFormat="1" ht="9" x14ac:dyDescent="0.15">
      <c r="A615" s="66" t="s">
        <v>47</v>
      </c>
      <c r="B615" s="88">
        <f t="shared" si="20"/>
        <v>881</v>
      </c>
      <c r="C615" s="88">
        <v>660</v>
      </c>
      <c r="D615" s="67">
        <v>206</v>
      </c>
      <c r="E615" s="67">
        <v>15</v>
      </c>
    </row>
    <row r="616" spans="1:5" s="68" customFormat="1" ht="9" x14ac:dyDescent="0.15">
      <c r="A616" s="66" t="s">
        <v>48</v>
      </c>
      <c r="B616" s="88">
        <f t="shared" si="20"/>
        <v>291</v>
      </c>
      <c r="C616" s="88">
        <v>215</v>
      </c>
      <c r="D616" s="67">
        <v>65</v>
      </c>
      <c r="E616" s="67">
        <v>11</v>
      </c>
    </row>
    <row r="617" spans="1:5" s="68" customFormat="1" ht="9" x14ac:dyDescent="0.15">
      <c r="A617" s="69" t="s">
        <v>49</v>
      </c>
      <c r="B617" s="90">
        <f t="shared" si="20"/>
        <v>592</v>
      </c>
      <c r="C617" s="90">
        <v>455</v>
      </c>
      <c r="D617" s="70">
        <v>110</v>
      </c>
      <c r="E617" s="70">
        <v>27</v>
      </c>
    </row>
    <row r="618" spans="1:5" s="68" customFormat="1" ht="9" x14ac:dyDescent="0.15">
      <c r="A618" s="66" t="s">
        <v>50</v>
      </c>
      <c r="B618" s="88">
        <f>SUM(C618:E618)</f>
        <v>98</v>
      </c>
      <c r="C618" s="88">
        <v>75</v>
      </c>
      <c r="D618" s="67">
        <v>23</v>
      </c>
      <c r="E618" s="67">
        <v>0</v>
      </c>
    </row>
    <row r="619" spans="1:5" s="68" customFormat="1" ht="9" x14ac:dyDescent="0.15">
      <c r="A619" s="66" t="s">
        <v>51</v>
      </c>
      <c r="B619" s="88">
        <f>SUM(C619:E619)</f>
        <v>534</v>
      </c>
      <c r="C619" s="88">
        <v>394</v>
      </c>
      <c r="D619" s="67">
        <v>104</v>
      </c>
      <c r="E619" s="67">
        <v>36</v>
      </c>
    </row>
    <row r="620" spans="1:5" s="68" customFormat="1" ht="9" x14ac:dyDescent="0.15">
      <c r="A620" s="66" t="s">
        <v>52</v>
      </c>
      <c r="B620" s="88">
        <f t="shared" ref="B620:B621" si="21">SUM(C620:E620)</f>
        <v>712</v>
      </c>
      <c r="C620" s="88">
        <v>494</v>
      </c>
      <c r="D620" s="67">
        <v>152</v>
      </c>
      <c r="E620" s="67">
        <v>66</v>
      </c>
    </row>
    <row r="621" spans="1:5" s="68" customFormat="1" ht="9" x14ac:dyDescent="0.15">
      <c r="A621" s="69" t="s">
        <v>53</v>
      </c>
      <c r="B621" s="90">
        <f t="shared" si="21"/>
        <v>527</v>
      </c>
      <c r="C621" s="90">
        <v>377</v>
      </c>
      <c r="D621" s="70">
        <v>129</v>
      </c>
      <c r="E621" s="70">
        <v>21</v>
      </c>
    </row>
    <row r="622" spans="1:5" s="65" customFormat="1" ht="9" x14ac:dyDescent="0.25">
      <c r="B622" s="86"/>
      <c r="C622" s="86"/>
      <c r="D622" s="63"/>
      <c r="E622" s="63"/>
    </row>
    <row r="623" spans="1:5" s="65" customFormat="1" ht="9" x14ac:dyDescent="0.25">
      <c r="A623" s="85">
        <v>2017</v>
      </c>
      <c r="B623" s="86"/>
      <c r="C623" s="86"/>
      <c r="D623" s="63"/>
      <c r="E623" s="63"/>
    </row>
    <row r="624" spans="1:5" s="65" customFormat="1" ht="9" x14ac:dyDescent="0.25">
      <c r="A624" s="62" t="s">
        <v>21</v>
      </c>
      <c r="B624" s="63">
        <f>SUM(B626:B657)</f>
        <v>43113</v>
      </c>
      <c r="C624" s="63">
        <f>SUM(C626:C657)</f>
        <v>32750</v>
      </c>
      <c r="D624" s="63">
        <f>SUM(D626:D657)</f>
        <v>8725</v>
      </c>
      <c r="E624" s="63">
        <f>SUM(E626:E657)</f>
        <v>1638</v>
      </c>
    </row>
    <row r="625" spans="1:5" s="65" customFormat="1" ht="3.95" customHeight="1" x14ac:dyDescent="0.25">
      <c r="A625" s="62"/>
      <c r="B625" s="63"/>
      <c r="C625" s="63"/>
      <c r="D625" s="63"/>
      <c r="E625" s="63"/>
    </row>
    <row r="626" spans="1:5" s="68" customFormat="1" ht="9" x14ac:dyDescent="0.15">
      <c r="A626" s="66" t="s">
        <v>23</v>
      </c>
      <c r="B626" s="88">
        <f t="shared" ref="B626:B653" si="22">SUM(C626:E626)</f>
        <v>615</v>
      </c>
      <c r="C626" s="88">
        <v>464</v>
      </c>
      <c r="D626" s="67">
        <v>144</v>
      </c>
      <c r="E626" s="67">
        <v>7</v>
      </c>
    </row>
    <row r="627" spans="1:5" s="68" customFormat="1" ht="9" x14ac:dyDescent="0.15">
      <c r="A627" s="66" t="s">
        <v>24</v>
      </c>
      <c r="B627" s="88">
        <f t="shared" si="22"/>
        <v>2354</v>
      </c>
      <c r="C627" s="88">
        <v>1772</v>
      </c>
      <c r="D627" s="67">
        <v>484</v>
      </c>
      <c r="E627" s="67">
        <v>98</v>
      </c>
    </row>
    <row r="628" spans="1:5" s="68" customFormat="1" ht="9" x14ac:dyDescent="0.15">
      <c r="A628" s="66" t="s">
        <v>25</v>
      </c>
      <c r="B628" s="88">
        <f t="shared" si="22"/>
        <v>459</v>
      </c>
      <c r="C628" s="88">
        <v>330</v>
      </c>
      <c r="D628" s="67">
        <v>115</v>
      </c>
      <c r="E628" s="67">
        <v>14</v>
      </c>
    </row>
    <row r="629" spans="1:5" s="68" customFormat="1" ht="9" x14ac:dyDescent="0.15">
      <c r="A629" s="69" t="s">
        <v>26</v>
      </c>
      <c r="B629" s="90">
        <f t="shared" si="22"/>
        <v>169</v>
      </c>
      <c r="C629" s="90">
        <v>132</v>
      </c>
      <c r="D629" s="70">
        <v>35</v>
      </c>
      <c r="E629" s="70">
        <v>2</v>
      </c>
    </row>
    <row r="630" spans="1:5" s="68" customFormat="1" ht="9" x14ac:dyDescent="0.15">
      <c r="A630" s="66" t="s">
        <v>27</v>
      </c>
      <c r="B630" s="88">
        <f t="shared" si="22"/>
        <v>1643</v>
      </c>
      <c r="C630" s="88">
        <v>1189</v>
      </c>
      <c r="D630" s="67">
        <v>356</v>
      </c>
      <c r="E630" s="67">
        <v>98</v>
      </c>
    </row>
    <row r="631" spans="1:5" s="68" customFormat="1" ht="9" x14ac:dyDescent="0.15">
      <c r="A631" s="66" t="s">
        <v>28</v>
      </c>
      <c r="B631" s="88">
        <f t="shared" si="22"/>
        <v>1011</v>
      </c>
      <c r="C631" s="88">
        <v>809</v>
      </c>
      <c r="D631" s="67">
        <v>186</v>
      </c>
      <c r="E631" s="67">
        <v>16</v>
      </c>
    </row>
    <row r="632" spans="1:5" s="68" customFormat="1" ht="9" x14ac:dyDescent="0.15">
      <c r="A632" s="66" t="s">
        <v>29</v>
      </c>
      <c r="B632" s="88">
        <f t="shared" si="22"/>
        <v>447</v>
      </c>
      <c r="C632" s="88">
        <v>351</v>
      </c>
      <c r="D632" s="67">
        <v>76</v>
      </c>
      <c r="E632" s="67">
        <v>20</v>
      </c>
    </row>
    <row r="633" spans="1:5" s="68" customFormat="1" ht="9" x14ac:dyDescent="0.15">
      <c r="A633" s="69" t="s">
        <v>30</v>
      </c>
      <c r="B633" s="90">
        <f t="shared" si="22"/>
        <v>1755</v>
      </c>
      <c r="C633" s="90">
        <v>1301</v>
      </c>
      <c r="D633" s="70">
        <v>376</v>
      </c>
      <c r="E633" s="70">
        <v>78</v>
      </c>
    </row>
    <row r="634" spans="1:5" s="68" customFormat="1" ht="9" x14ac:dyDescent="0.15">
      <c r="A634" s="66" t="s">
        <v>63</v>
      </c>
      <c r="B634" s="88">
        <f t="shared" si="22"/>
        <v>9928</v>
      </c>
      <c r="C634" s="88">
        <v>7403</v>
      </c>
      <c r="D634" s="67">
        <v>2162</v>
      </c>
      <c r="E634" s="67">
        <v>363</v>
      </c>
    </row>
    <row r="635" spans="1:5" s="68" customFormat="1" ht="9" x14ac:dyDescent="0.15">
      <c r="A635" s="66" t="s">
        <v>31</v>
      </c>
      <c r="B635" s="88">
        <f t="shared" si="22"/>
        <v>670</v>
      </c>
      <c r="C635" s="88">
        <v>489</v>
      </c>
      <c r="D635" s="67">
        <v>145</v>
      </c>
      <c r="E635" s="67">
        <v>36</v>
      </c>
    </row>
    <row r="636" spans="1:5" s="68" customFormat="1" ht="9" x14ac:dyDescent="0.15">
      <c r="A636" s="66" t="s">
        <v>32</v>
      </c>
      <c r="B636" s="88">
        <f t="shared" si="22"/>
        <v>1642</v>
      </c>
      <c r="C636" s="88">
        <v>1299</v>
      </c>
      <c r="D636" s="67">
        <v>310</v>
      </c>
      <c r="E636" s="67">
        <v>33</v>
      </c>
    </row>
    <row r="637" spans="1:5" s="68" customFormat="1" ht="9" x14ac:dyDescent="0.15">
      <c r="A637" s="69" t="s">
        <v>33</v>
      </c>
      <c r="B637" s="90">
        <f t="shared" si="22"/>
        <v>968</v>
      </c>
      <c r="C637" s="90">
        <v>697</v>
      </c>
      <c r="D637" s="70">
        <v>219</v>
      </c>
      <c r="E637" s="70">
        <v>52</v>
      </c>
    </row>
    <row r="638" spans="1:5" s="68" customFormat="1" ht="9" x14ac:dyDescent="0.15">
      <c r="A638" s="66" t="s">
        <v>34</v>
      </c>
      <c r="B638" s="88">
        <f t="shared" si="22"/>
        <v>813</v>
      </c>
      <c r="C638" s="88">
        <v>623</v>
      </c>
      <c r="D638" s="67">
        <v>178</v>
      </c>
      <c r="E638" s="67">
        <v>12</v>
      </c>
    </row>
    <row r="639" spans="1:5" s="68" customFormat="1" ht="9" x14ac:dyDescent="0.15">
      <c r="A639" s="66" t="s">
        <v>35</v>
      </c>
      <c r="B639" s="88">
        <f t="shared" si="22"/>
        <v>3366</v>
      </c>
      <c r="C639" s="88">
        <v>2540</v>
      </c>
      <c r="D639" s="67">
        <v>734</v>
      </c>
      <c r="E639" s="67">
        <v>92</v>
      </c>
    </row>
    <row r="640" spans="1:5" s="68" customFormat="1" ht="9" x14ac:dyDescent="0.15">
      <c r="A640" s="66" t="s">
        <v>36</v>
      </c>
      <c r="B640" s="88">
        <f t="shared" si="22"/>
        <v>5295</v>
      </c>
      <c r="C640" s="88">
        <v>4233</v>
      </c>
      <c r="D640" s="67">
        <v>870</v>
      </c>
      <c r="E640" s="67">
        <v>192</v>
      </c>
    </row>
    <row r="641" spans="1:5" s="68" customFormat="1" ht="9" x14ac:dyDescent="0.15">
      <c r="A641" s="69" t="s">
        <v>37</v>
      </c>
      <c r="B641" s="90">
        <f t="shared" si="22"/>
        <v>827</v>
      </c>
      <c r="C641" s="90">
        <v>587</v>
      </c>
      <c r="D641" s="70">
        <v>188</v>
      </c>
      <c r="E641" s="70">
        <v>52</v>
      </c>
    </row>
    <row r="642" spans="1:5" s="68" customFormat="1" ht="9" x14ac:dyDescent="0.15">
      <c r="A642" s="66" t="s">
        <v>38</v>
      </c>
      <c r="B642" s="88">
        <f t="shared" si="22"/>
        <v>424</v>
      </c>
      <c r="C642" s="88">
        <v>332</v>
      </c>
      <c r="D642" s="67">
        <v>83</v>
      </c>
      <c r="E642" s="67">
        <v>9</v>
      </c>
    </row>
    <row r="643" spans="1:5" s="68" customFormat="1" ht="9" x14ac:dyDescent="0.15">
      <c r="A643" s="66" t="s">
        <v>39</v>
      </c>
      <c r="B643" s="88">
        <f t="shared" si="22"/>
        <v>190</v>
      </c>
      <c r="C643" s="88">
        <v>140</v>
      </c>
      <c r="D643" s="67">
        <v>43</v>
      </c>
      <c r="E643" s="67">
        <v>7</v>
      </c>
    </row>
    <row r="644" spans="1:5" s="68" customFormat="1" ht="9" x14ac:dyDescent="0.15">
      <c r="A644" s="66" t="s">
        <v>40</v>
      </c>
      <c r="B644" s="88">
        <f t="shared" si="22"/>
        <v>1489</v>
      </c>
      <c r="C644" s="88">
        <v>1059</v>
      </c>
      <c r="D644" s="67">
        <v>249</v>
      </c>
      <c r="E644" s="67">
        <v>181</v>
      </c>
    </row>
    <row r="645" spans="1:5" s="68" customFormat="1" ht="9" x14ac:dyDescent="0.15">
      <c r="A645" s="69" t="s">
        <v>41</v>
      </c>
      <c r="B645" s="90">
        <f t="shared" si="22"/>
        <v>519</v>
      </c>
      <c r="C645" s="90">
        <v>404</v>
      </c>
      <c r="D645" s="70">
        <v>93</v>
      </c>
      <c r="E645" s="70">
        <v>22</v>
      </c>
    </row>
    <row r="646" spans="1:5" s="68" customFormat="1" ht="9" x14ac:dyDescent="0.15">
      <c r="A646" s="66" t="s">
        <v>42</v>
      </c>
      <c r="B646" s="88">
        <f t="shared" si="22"/>
        <v>596</v>
      </c>
      <c r="C646" s="88">
        <v>486</v>
      </c>
      <c r="D646" s="67">
        <v>100</v>
      </c>
      <c r="E646" s="67">
        <v>10</v>
      </c>
    </row>
    <row r="647" spans="1:5" s="68" customFormat="1" ht="9" x14ac:dyDescent="0.15">
      <c r="A647" s="66" t="s">
        <v>43</v>
      </c>
      <c r="B647" s="88">
        <f t="shared" si="22"/>
        <v>449</v>
      </c>
      <c r="C647" s="88">
        <v>349</v>
      </c>
      <c r="D647" s="67">
        <v>78</v>
      </c>
      <c r="E647" s="67">
        <v>22</v>
      </c>
    </row>
    <row r="648" spans="1:5" s="68" customFormat="1" ht="9" x14ac:dyDescent="0.15">
      <c r="A648" s="66" t="s">
        <v>44</v>
      </c>
      <c r="B648" s="88">
        <f t="shared" si="22"/>
        <v>1072</v>
      </c>
      <c r="C648" s="88">
        <v>857</v>
      </c>
      <c r="D648" s="67">
        <v>202</v>
      </c>
      <c r="E648" s="67">
        <v>13</v>
      </c>
    </row>
    <row r="649" spans="1:5" s="68" customFormat="1" ht="9" x14ac:dyDescent="0.15">
      <c r="A649" s="69" t="s">
        <v>45</v>
      </c>
      <c r="B649" s="90">
        <f t="shared" si="22"/>
        <v>618</v>
      </c>
      <c r="C649" s="90">
        <v>439</v>
      </c>
      <c r="D649" s="70">
        <v>152</v>
      </c>
      <c r="E649" s="70">
        <v>27</v>
      </c>
    </row>
    <row r="650" spans="1:5" s="68" customFormat="1" ht="9" x14ac:dyDescent="0.15">
      <c r="A650" s="66" t="s">
        <v>46</v>
      </c>
      <c r="B650" s="88">
        <f t="shared" si="22"/>
        <v>2124</v>
      </c>
      <c r="C650" s="88">
        <v>1695</v>
      </c>
      <c r="D650" s="67">
        <v>371</v>
      </c>
      <c r="E650" s="67">
        <v>58</v>
      </c>
    </row>
    <row r="651" spans="1:5" s="68" customFormat="1" ht="9" x14ac:dyDescent="0.15">
      <c r="A651" s="66" t="s">
        <v>47</v>
      </c>
      <c r="B651" s="88">
        <f t="shared" si="22"/>
        <v>821</v>
      </c>
      <c r="C651" s="88">
        <v>644</v>
      </c>
      <c r="D651" s="67">
        <v>165</v>
      </c>
      <c r="E651" s="67">
        <v>12</v>
      </c>
    </row>
    <row r="652" spans="1:5" s="68" customFormat="1" ht="9" x14ac:dyDescent="0.15">
      <c r="A652" s="66" t="s">
        <v>48</v>
      </c>
      <c r="B652" s="88">
        <f t="shared" si="22"/>
        <v>341</v>
      </c>
      <c r="C652" s="88">
        <v>250</v>
      </c>
      <c r="D652" s="67">
        <v>86</v>
      </c>
      <c r="E652" s="67">
        <v>5</v>
      </c>
    </row>
    <row r="653" spans="1:5" s="68" customFormat="1" ht="9" x14ac:dyDescent="0.15">
      <c r="A653" s="69" t="s">
        <v>49</v>
      </c>
      <c r="B653" s="90">
        <f t="shared" si="22"/>
        <v>591</v>
      </c>
      <c r="C653" s="90">
        <v>461</v>
      </c>
      <c r="D653" s="70">
        <v>117</v>
      </c>
      <c r="E653" s="70">
        <v>13</v>
      </c>
    </row>
    <row r="654" spans="1:5" s="68" customFormat="1" ht="9" x14ac:dyDescent="0.15">
      <c r="A654" s="66" t="s">
        <v>50</v>
      </c>
      <c r="B654" s="88">
        <f>SUM(C654:E654)</f>
        <v>155</v>
      </c>
      <c r="C654" s="88">
        <v>118</v>
      </c>
      <c r="D654" s="67">
        <v>35</v>
      </c>
      <c r="E654" s="67">
        <v>2</v>
      </c>
    </row>
    <row r="655" spans="1:5" s="68" customFormat="1" ht="9" x14ac:dyDescent="0.15">
      <c r="A655" s="66" t="s">
        <v>51</v>
      </c>
      <c r="B655" s="88">
        <f>SUM(C655:E655)</f>
        <v>577</v>
      </c>
      <c r="C655" s="88">
        <v>415</v>
      </c>
      <c r="D655" s="67">
        <v>130</v>
      </c>
      <c r="E655" s="67">
        <v>32</v>
      </c>
    </row>
    <row r="656" spans="1:5" s="68" customFormat="1" ht="9" x14ac:dyDescent="0.15">
      <c r="A656" s="66" t="s">
        <v>52</v>
      </c>
      <c r="B656" s="88">
        <f t="shared" ref="B656:B657" si="23">SUM(C656:E656)</f>
        <v>715</v>
      </c>
      <c r="C656" s="88">
        <v>509</v>
      </c>
      <c r="D656" s="67">
        <v>153</v>
      </c>
      <c r="E656" s="67">
        <v>53</v>
      </c>
    </row>
    <row r="657" spans="1:5" s="68" customFormat="1" ht="9" x14ac:dyDescent="0.15">
      <c r="A657" s="69" t="s">
        <v>53</v>
      </c>
      <c r="B657" s="90">
        <f t="shared" si="23"/>
        <v>470</v>
      </c>
      <c r="C657" s="90">
        <v>373</v>
      </c>
      <c r="D657" s="70">
        <v>90</v>
      </c>
      <c r="E657" s="70">
        <v>7</v>
      </c>
    </row>
    <row r="658" spans="1:5" s="65" customFormat="1" ht="9" x14ac:dyDescent="0.25">
      <c r="B658" s="86"/>
      <c r="C658" s="86"/>
      <c r="D658" s="63"/>
      <c r="E658" s="63"/>
    </row>
    <row r="659" spans="1:5" s="65" customFormat="1" ht="9" x14ac:dyDescent="0.25">
      <c r="A659" s="85">
        <v>2018</v>
      </c>
      <c r="B659" s="86"/>
      <c r="C659" s="86"/>
      <c r="D659" s="63"/>
      <c r="E659" s="63"/>
    </row>
    <row r="660" spans="1:5" s="65" customFormat="1" ht="9" x14ac:dyDescent="0.25">
      <c r="A660" s="62" t="s">
        <v>21</v>
      </c>
      <c r="B660" s="63">
        <f>SUM(B662:B693)</f>
        <v>43631</v>
      </c>
      <c r="C660" s="63">
        <f>SUM(C662:C693)</f>
        <v>32927</v>
      </c>
      <c r="D660" s="63">
        <f>SUM(D662:D693)</f>
        <v>8953</v>
      </c>
      <c r="E660" s="63">
        <f>SUM(E662:E693)</f>
        <v>1751</v>
      </c>
    </row>
    <row r="661" spans="1:5" s="65" customFormat="1" ht="3.95" customHeight="1" x14ac:dyDescent="0.25">
      <c r="A661" s="62"/>
      <c r="B661" s="63"/>
      <c r="C661" s="63"/>
      <c r="D661" s="63"/>
      <c r="E661" s="63"/>
    </row>
    <row r="662" spans="1:5" s="68" customFormat="1" ht="9" x14ac:dyDescent="0.15">
      <c r="A662" s="66" t="s">
        <v>23</v>
      </c>
      <c r="B662" s="88">
        <f t="shared" ref="B662:B689" si="24">SUM(C662:E662)</f>
        <v>713</v>
      </c>
      <c r="C662" s="88">
        <v>548</v>
      </c>
      <c r="D662" s="67">
        <v>151</v>
      </c>
      <c r="E662" s="67">
        <v>14</v>
      </c>
    </row>
    <row r="663" spans="1:5" s="68" customFormat="1" ht="9" x14ac:dyDescent="0.15">
      <c r="A663" s="66" t="s">
        <v>24</v>
      </c>
      <c r="B663" s="88">
        <f t="shared" si="24"/>
        <v>2266</v>
      </c>
      <c r="C663" s="88">
        <v>1713</v>
      </c>
      <c r="D663" s="67">
        <v>480</v>
      </c>
      <c r="E663" s="67">
        <v>73</v>
      </c>
    </row>
    <row r="664" spans="1:5" s="68" customFormat="1" ht="9" x14ac:dyDescent="0.15">
      <c r="A664" s="66" t="s">
        <v>25</v>
      </c>
      <c r="B664" s="88">
        <f t="shared" si="24"/>
        <v>424</v>
      </c>
      <c r="C664" s="88">
        <v>314</v>
      </c>
      <c r="D664" s="67">
        <v>106</v>
      </c>
      <c r="E664" s="67">
        <v>4</v>
      </c>
    </row>
    <row r="665" spans="1:5" s="68" customFormat="1" ht="9" x14ac:dyDescent="0.15">
      <c r="A665" s="69" t="s">
        <v>26</v>
      </c>
      <c r="B665" s="90">
        <f t="shared" si="24"/>
        <v>157</v>
      </c>
      <c r="C665" s="90">
        <v>123</v>
      </c>
      <c r="D665" s="70">
        <v>34</v>
      </c>
      <c r="E665" s="70">
        <v>0</v>
      </c>
    </row>
    <row r="666" spans="1:5" s="68" customFormat="1" ht="9" x14ac:dyDescent="0.15">
      <c r="A666" s="66" t="s">
        <v>27</v>
      </c>
      <c r="B666" s="88">
        <f t="shared" si="24"/>
        <v>1691</v>
      </c>
      <c r="C666" s="88">
        <v>1277</v>
      </c>
      <c r="D666" s="67">
        <v>368</v>
      </c>
      <c r="E666" s="67">
        <v>46</v>
      </c>
    </row>
    <row r="667" spans="1:5" s="68" customFormat="1" ht="9" x14ac:dyDescent="0.15">
      <c r="A667" s="66" t="s">
        <v>28</v>
      </c>
      <c r="B667" s="88">
        <f t="shared" si="24"/>
        <v>947</v>
      </c>
      <c r="C667" s="88">
        <v>747</v>
      </c>
      <c r="D667" s="67">
        <v>172</v>
      </c>
      <c r="E667" s="67">
        <v>28</v>
      </c>
    </row>
    <row r="668" spans="1:5" s="68" customFormat="1" ht="9" x14ac:dyDescent="0.15">
      <c r="A668" s="66" t="s">
        <v>29</v>
      </c>
      <c r="B668" s="88">
        <f t="shared" si="24"/>
        <v>427</v>
      </c>
      <c r="C668" s="88">
        <v>319</v>
      </c>
      <c r="D668" s="67">
        <v>82</v>
      </c>
      <c r="E668" s="67">
        <v>26</v>
      </c>
    </row>
    <row r="669" spans="1:5" s="68" customFormat="1" ht="9" x14ac:dyDescent="0.15">
      <c r="A669" s="69" t="s">
        <v>30</v>
      </c>
      <c r="B669" s="90">
        <f t="shared" si="24"/>
        <v>1823</v>
      </c>
      <c r="C669" s="90">
        <v>1309</v>
      </c>
      <c r="D669" s="70">
        <v>399</v>
      </c>
      <c r="E669" s="70">
        <v>115</v>
      </c>
    </row>
    <row r="670" spans="1:5" s="68" customFormat="1" ht="9" x14ac:dyDescent="0.15">
      <c r="A670" s="66" t="s">
        <v>63</v>
      </c>
      <c r="B670" s="88">
        <f t="shared" si="24"/>
        <v>10341</v>
      </c>
      <c r="C670" s="88">
        <v>7644</v>
      </c>
      <c r="D670" s="67">
        <v>2193</v>
      </c>
      <c r="E670" s="67">
        <v>504</v>
      </c>
    </row>
    <row r="671" spans="1:5" s="68" customFormat="1" ht="9" x14ac:dyDescent="0.15">
      <c r="A671" s="66" t="s">
        <v>31</v>
      </c>
      <c r="B671" s="88">
        <f t="shared" si="24"/>
        <v>590</v>
      </c>
      <c r="C671" s="88">
        <v>434</v>
      </c>
      <c r="D671" s="67">
        <v>134</v>
      </c>
      <c r="E671" s="67">
        <v>22</v>
      </c>
    </row>
    <row r="672" spans="1:5" s="68" customFormat="1" ht="9" x14ac:dyDescent="0.15">
      <c r="A672" s="66" t="s">
        <v>32</v>
      </c>
      <c r="B672" s="88">
        <f t="shared" si="24"/>
        <v>1812</v>
      </c>
      <c r="C672" s="88">
        <v>1396</v>
      </c>
      <c r="D672" s="67">
        <v>342</v>
      </c>
      <c r="E672" s="67">
        <v>74</v>
      </c>
    </row>
    <row r="673" spans="1:5" s="68" customFormat="1" ht="9" x14ac:dyDescent="0.15">
      <c r="A673" s="69" t="s">
        <v>33</v>
      </c>
      <c r="B673" s="90">
        <f t="shared" si="24"/>
        <v>910</v>
      </c>
      <c r="C673" s="90">
        <v>675</v>
      </c>
      <c r="D673" s="70">
        <v>181</v>
      </c>
      <c r="E673" s="70">
        <v>54</v>
      </c>
    </row>
    <row r="674" spans="1:5" s="68" customFormat="1" ht="9" x14ac:dyDescent="0.15">
      <c r="A674" s="66" t="s">
        <v>34</v>
      </c>
      <c r="B674" s="88">
        <f t="shared" si="24"/>
        <v>697</v>
      </c>
      <c r="C674" s="88">
        <v>514</v>
      </c>
      <c r="D674" s="67">
        <v>181</v>
      </c>
      <c r="E674" s="67">
        <v>2</v>
      </c>
    </row>
    <row r="675" spans="1:5" s="68" customFormat="1" ht="9" x14ac:dyDescent="0.15">
      <c r="A675" s="66" t="s">
        <v>35</v>
      </c>
      <c r="B675" s="88">
        <f t="shared" si="24"/>
        <v>3385</v>
      </c>
      <c r="C675" s="88">
        <v>2509</v>
      </c>
      <c r="D675" s="67">
        <v>747</v>
      </c>
      <c r="E675" s="67">
        <v>129</v>
      </c>
    </row>
    <row r="676" spans="1:5" s="68" customFormat="1" ht="9" x14ac:dyDescent="0.15">
      <c r="A676" s="66" t="s">
        <v>36</v>
      </c>
      <c r="B676" s="88">
        <f t="shared" si="24"/>
        <v>5489</v>
      </c>
      <c r="C676" s="88">
        <v>4300</v>
      </c>
      <c r="D676" s="67">
        <v>993</v>
      </c>
      <c r="E676" s="67">
        <v>196</v>
      </c>
    </row>
    <row r="677" spans="1:5" s="68" customFormat="1" ht="9" x14ac:dyDescent="0.15">
      <c r="A677" s="69" t="s">
        <v>37</v>
      </c>
      <c r="B677" s="90">
        <f t="shared" si="24"/>
        <v>923</v>
      </c>
      <c r="C677" s="90">
        <v>623</v>
      </c>
      <c r="D677" s="70">
        <v>236</v>
      </c>
      <c r="E677" s="70">
        <v>64</v>
      </c>
    </row>
    <row r="678" spans="1:5" s="68" customFormat="1" ht="9" x14ac:dyDescent="0.15">
      <c r="A678" s="66" t="s">
        <v>38</v>
      </c>
      <c r="B678" s="88">
        <f t="shared" si="24"/>
        <v>495</v>
      </c>
      <c r="C678" s="88">
        <v>375</v>
      </c>
      <c r="D678" s="67">
        <v>114</v>
      </c>
      <c r="E678" s="67">
        <v>6</v>
      </c>
    </row>
    <row r="679" spans="1:5" s="68" customFormat="1" ht="9" x14ac:dyDescent="0.15">
      <c r="A679" s="66" t="s">
        <v>39</v>
      </c>
      <c r="B679" s="88">
        <f t="shared" si="24"/>
        <v>150</v>
      </c>
      <c r="C679" s="88">
        <v>118</v>
      </c>
      <c r="D679" s="67">
        <v>27</v>
      </c>
      <c r="E679" s="67">
        <v>5</v>
      </c>
    </row>
    <row r="680" spans="1:5" s="68" customFormat="1" ht="9" x14ac:dyDescent="0.15">
      <c r="A680" s="66" t="s">
        <v>40</v>
      </c>
      <c r="B680" s="88">
        <f t="shared" si="24"/>
        <v>1509</v>
      </c>
      <c r="C680" s="88">
        <v>1124</v>
      </c>
      <c r="D680" s="67">
        <v>258</v>
      </c>
      <c r="E680" s="67">
        <v>127</v>
      </c>
    </row>
    <row r="681" spans="1:5" s="68" customFormat="1" ht="9" x14ac:dyDescent="0.15">
      <c r="A681" s="69" t="s">
        <v>41</v>
      </c>
      <c r="B681" s="90">
        <f t="shared" si="24"/>
        <v>554</v>
      </c>
      <c r="C681" s="90">
        <v>437</v>
      </c>
      <c r="D681" s="70">
        <v>103</v>
      </c>
      <c r="E681" s="70">
        <v>14</v>
      </c>
    </row>
    <row r="682" spans="1:5" s="68" customFormat="1" ht="9" x14ac:dyDescent="0.15">
      <c r="A682" s="66" t="s">
        <v>42</v>
      </c>
      <c r="B682" s="88">
        <f t="shared" si="24"/>
        <v>600</v>
      </c>
      <c r="C682" s="88">
        <v>496</v>
      </c>
      <c r="D682" s="67">
        <v>101</v>
      </c>
      <c r="E682" s="67">
        <v>3</v>
      </c>
    </row>
    <row r="683" spans="1:5" s="68" customFormat="1" ht="9" x14ac:dyDescent="0.15">
      <c r="A683" s="66" t="s">
        <v>43</v>
      </c>
      <c r="B683" s="88">
        <f t="shared" si="24"/>
        <v>439</v>
      </c>
      <c r="C683" s="88">
        <v>327</v>
      </c>
      <c r="D683" s="67">
        <v>82</v>
      </c>
      <c r="E683" s="67">
        <v>30</v>
      </c>
    </row>
    <row r="684" spans="1:5" s="68" customFormat="1" ht="9" x14ac:dyDescent="0.15">
      <c r="A684" s="66" t="s">
        <v>44</v>
      </c>
      <c r="B684" s="88">
        <f t="shared" si="24"/>
        <v>1188</v>
      </c>
      <c r="C684" s="88">
        <v>934</v>
      </c>
      <c r="D684" s="67">
        <v>240</v>
      </c>
      <c r="E684" s="67">
        <v>14</v>
      </c>
    </row>
    <row r="685" spans="1:5" s="68" customFormat="1" ht="9" x14ac:dyDescent="0.15">
      <c r="A685" s="69" t="s">
        <v>45</v>
      </c>
      <c r="B685" s="90">
        <f t="shared" si="24"/>
        <v>653</v>
      </c>
      <c r="C685" s="90">
        <v>494</v>
      </c>
      <c r="D685" s="70">
        <v>142</v>
      </c>
      <c r="E685" s="70">
        <v>17</v>
      </c>
    </row>
    <row r="686" spans="1:5" s="68" customFormat="1" ht="9" x14ac:dyDescent="0.15">
      <c r="A686" s="66" t="s">
        <v>46</v>
      </c>
      <c r="B686" s="88">
        <f t="shared" si="24"/>
        <v>2191</v>
      </c>
      <c r="C686" s="88">
        <v>1728</v>
      </c>
      <c r="D686" s="67">
        <v>393</v>
      </c>
      <c r="E686" s="67">
        <v>70</v>
      </c>
    </row>
    <row r="687" spans="1:5" s="68" customFormat="1" ht="9" x14ac:dyDescent="0.15">
      <c r="A687" s="66" t="s">
        <v>47</v>
      </c>
      <c r="B687" s="88">
        <f t="shared" si="24"/>
        <v>668</v>
      </c>
      <c r="C687" s="88">
        <v>509</v>
      </c>
      <c r="D687" s="67">
        <v>140</v>
      </c>
      <c r="E687" s="67">
        <v>19</v>
      </c>
    </row>
    <row r="688" spans="1:5" s="68" customFormat="1" ht="9" x14ac:dyDescent="0.15">
      <c r="A688" s="66" t="s">
        <v>48</v>
      </c>
      <c r="B688" s="88">
        <f t="shared" si="24"/>
        <v>311</v>
      </c>
      <c r="C688" s="88">
        <v>221</v>
      </c>
      <c r="D688" s="67">
        <v>88</v>
      </c>
      <c r="E688" s="67">
        <v>2</v>
      </c>
    </row>
    <row r="689" spans="1:6" s="68" customFormat="1" ht="9" x14ac:dyDescent="0.15">
      <c r="A689" s="69" t="s">
        <v>49</v>
      </c>
      <c r="B689" s="90">
        <f t="shared" si="24"/>
        <v>413</v>
      </c>
      <c r="C689" s="90">
        <v>338</v>
      </c>
      <c r="D689" s="70">
        <v>66</v>
      </c>
      <c r="E689" s="70">
        <v>9</v>
      </c>
    </row>
    <row r="690" spans="1:6" s="68" customFormat="1" ht="9" x14ac:dyDescent="0.15">
      <c r="A690" s="66" t="s">
        <v>50</v>
      </c>
      <c r="B690" s="88">
        <f>SUM(C690:E690)</f>
        <v>209</v>
      </c>
      <c r="C690" s="88">
        <v>159</v>
      </c>
      <c r="D690" s="67">
        <v>45</v>
      </c>
      <c r="E690" s="67">
        <v>5</v>
      </c>
    </row>
    <row r="691" spans="1:6" s="68" customFormat="1" ht="9" x14ac:dyDescent="0.15">
      <c r="A691" s="66" t="s">
        <v>51</v>
      </c>
      <c r="B691" s="88">
        <f>SUM(C691:E691)</f>
        <v>504</v>
      </c>
      <c r="C691" s="88">
        <v>377</v>
      </c>
      <c r="D691" s="67">
        <v>116</v>
      </c>
      <c r="E691" s="67">
        <v>11</v>
      </c>
    </row>
    <row r="692" spans="1:6" s="68" customFormat="1" ht="9" x14ac:dyDescent="0.15">
      <c r="A692" s="66" t="s">
        <v>52</v>
      </c>
      <c r="B692" s="88">
        <f t="shared" ref="B692:B693" si="25">SUM(C692:E692)</f>
        <v>674</v>
      </c>
      <c r="C692" s="88">
        <v>474</v>
      </c>
      <c r="D692" s="67">
        <v>145</v>
      </c>
      <c r="E692" s="67">
        <v>55</v>
      </c>
    </row>
    <row r="693" spans="1:6" s="68" customFormat="1" ht="9" x14ac:dyDescent="0.15">
      <c r="A693" s="69" t="s">
        <v>53</v>
      </c>
      <c r="B693" s="90">
        <f t="shared" si="25"/>
        <v>478</v>
      </c>
      <c r="C693" s="90">
        <v>371</v>
      </c>
      <c r="D693" s="70">
        <v>94</v>
      </c>
      <c r="E693" s="70">
        <v>13</v>
      </c>
    </row>
    <row r="694" spans="1:6" s="68" customFormat="1" ht="3.6" customHeight="1" x14ac:dyDescent="0.15">
      <c r="A694" s="111"/>
      <c r="B694" s="112"/>
      <c r="C694" s="112"/>
      <c r="D694" s="106"/>
      <c r="E694" s="106"/>
    </row>
    <row r="695" spans="1:6" s="68" customFormat="1" ht="3.6" customHeight="1" x14ac:dyDescent="0.15">
      <c r="A695" s="71"/>
      <c r="B695" s="109"/>
      <c r="C695" s="109"/>
      <c r="D695" s="67"/>
      <c r="E695" s="67"/>
    </row>
    <row r="696" spans="1:6" x14ac:dyDescent="0.25">
      <c r="A696" s="73" t="s">
        <v>73</v>
      </c>
    </row>
    <row r="697" spans="1:6" hidden="1" x14ac:dyDescent="0.25">
      <c r="F697" s="58" t="s">
        <v>74</v>
      </c>
    </row>
  </sheetData>
  <sheetProtection sheet="1" objects="1" scenarios="1"/>
  <hyperlinks>
    <hyperlink ref="E1" location="Índice!A1" tooltip="Ir a Índice" display="Índice!A1"/>
  </hyperlinks>
  <printOptions horizontalCentered="1" verticalCentered="1" gridLinesSet="0"/>
  <pageMargins left="0.39370078740157483" right="0.39370078740157483" top="0.39370078740157483" bottom="0.39370078740157483" header="0.39370078740157483" footer="0.39370078740157483"/>
  <pageSetup orientation="portrait" r:id="rId1"/>
  <headerFooter>
    <oddHeader>&amp;L&amp;"Arial,Normal"&amp;10&amp;K000080INEGI. Anuario estadístico y geográfico por entidad federativa 2019.</oddHeader>
  </headerFooter>
  <rowBreaks count="9" manualBreakCount="9">
    <brk id="69" max="5" man="1"/>
    <brk id="132" max="5" man="1"/>
    <brk id="198" max="5" man="1"/>
    <brk id="268" max="5" man="1"/>
    <brk id="338" max="5" man="1"/>
    <brk id="408" max="5" man="1"/>
    <brk id="478" max="5" man="1"/>
    <brk id="550" max="5" man="1"/>
    <brk id="622" max="5" man="1"/>
  </rowBreak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9324"/>
  <sheetViews>
    <sheetView showGridLines="0" showRowColHeaders="0" zoomScale="130" zoomScaleNormal="130" workbookViewId="0">
      <pane xSplit="1" ySplit="7" topLeftCell="B8" activePane="bottomRight" state="frozen"/>
      <selection activeCell="B5" sqref="B5"/>
      <selection pane="topRight" activeCell="B5" sqref="B5"/>
      <selection pane="bottomLeft" activeCell="B5" sqref="B5"/>
      <selection pane="bottomRight"/>
    </sheetView>
  </sheetViews>
  <sheetFormatPr baseColWidth="10" defaultColWidth="0" defaultRowHeight="11.25" customHeight="1" zeroHeight="1" x14ac:dyDescent="0.25"/>
  <cols>
    <col min="1" max="1" width="17.7109375" style="58" customWidth="1"/>
    <col min="2" max="2" width="7.140625" style="58" customWidth="1"/>
    <col min="3" max="3" width="7.7109375" style="58" customWidth="1"/>
    <col min="4" max="4" width="7.28515625" style="58" customWidth="1"/>
    <col min="5" max="6" width="7" style="58" customWidth="1"/>
    <col min="7" max="8" width="7.7109375" style="58" customWidth="1"/>
    <col min="9" max="9" width="7.140625" style="58" customWidth="1"/>
    <col min="10" max="11" width="7.7109375" style="58" customWidth="1"/>
    <col min="12" max="12" width="0.85546875" style="58" customWidth="1"/>
    <col min="13" max="13" width="0" style="58" hidden="1" customWidth="1"/>
    <col min="14" max="16384" width="11.42578125" style="58" hidden="1"/>
  </cols>
  <sheetData>
    <row r="1" spans="1:13" s="55" customFormat="1" ht="12" customHeight="1" x14ac:dyDescent="0.2">
      <c r="A1" s="50" t="s">
        <v>92</v>
      </c>
      <c r="B1" s="75"/>
      <c r="C1" s="75"/>
      <c r="D1" s="75"/>
      <c r="E1" s="75"/>
      <c r="F1" s="75"/>
      <c r="G1" s="75"/>
      <c r="H1" s="75"/>
      <c r="I1" s="75"/>
      <c r="J1" s="850" t="s">
        <v>93</v>
      </c>
      <c r="K1" s="850"/>
    </row>
    <row r="2" spans="1:13" s="55" customFormat="1" ht="12" customHeight="1" x14ac:dyDescent="0.25">
      <c r="A2" s="56" t="s">
        <v>70</v>
      </c>
      <c r="B2" s="75"/>
      <c r="C2" s="75"/>
      <c r="D2" s="75"/>
      <c r="E2" s="75"/>
      <c r="F2" s="75"/>
      <c r="G2" s="75"/>
      <c r="H2" s="75"/>
      <c r="I2" s="75"/>
      <c r="J2" s="75"/>
    </row>
    <row r="3" spans="1:13" ht="3" customHeight="1" x14ac:dyDescent="0.25">
      <c r="A3" s="57"/>
      <c r="B3" s="57"/>
      <c r="C3" s="57"/>
      <c r="D3" s="57"/>
      <c r="E3" s="57"/>
      <c r="F3" s="57"/>
      <c r="G3" s="57"/>
      <c r="H3" s="57"/>
      <c r="I3" s="57"/>
      <c r="J3" s="57"/>
      <c r="K3" s="57"/>
    </row>
    <row r="4" spans="1:13" ht="3" customHeight="1" x14ac:dyDescent="0.25">
      <c r="A4" s="59"/>
      <c r="B4" s="59"/>
      <c r="C4" s="59"/>
      <c r="D4" s="59"/>
      <c r="E4" s="59"/>
      <c r="F4" s="59"/>
      <c r="G4" s="59"/>
      <c r="H4" s="59"/>
      <c r="I4" s="59"/>
      <c r="J4" s="59"/>
    </row>
    <row r="5" spans="1:13" s="74" customFormat="1" ht="8.65" customHeight="1" x14ac:dyDescent="0.15">
      <c r="A5" s="853" t="s">
        <v>4</v>
      </c>
      <c r="B5" s="771" t="s">
        <v>13</v>
      </c>
      <c r="C5" s="771" t="s">
        <v>94</v>
      </c>
      <c r="D5" s="857" t="s">
        <v>95</v>
      </c>
      <c r="E5" s="771" t="s">
        <v>96</v>
      </c>
      <c r="F5" s="770" t="s">
        <v>97</v>
      </c>
      <c r="G5" s="852" t="s">
        <v>98</v>
      </c>
      <c r="H5" s="857" t="s">
        <v>99</v>
      </c>
      <c r="I5" s="852" t="s">
        <v>100</v>
      </c>
      <c r="J5" s="859" t="s">
        <v>101</v>
      </c>
      <c r="K5" s="857" t="s">
        <v>102</v>
      </c>
      <c r="L5" s="61"/>
      <c r="M5" s="82"/>
    </row>
    <row r="6" spans="1:13" s="74" customFormat="1" ht="8.65" customHeight="1" x14ac:dyDescent="0.15">
      <c r="A6" s="853"/>
      <c r="B6" s="771"/>
      <c r="C6" s="771"/>
      <c r="D6" s="858"/>
      <c r="E6" s="771"/>
      <c r="F6" s="770"/>
      <c r="G6" s="856"/>
      <c r="H6" s="858"/>
      <c r="I6" s="856"/>
      <c r="J6" s="855"/>
      <c r="K6" s="858"/>
      <c r="L6" s="61"/>
      <c r="M6" s="82"/>
    </row>
    <row r="7" spans="1:13" ht="3" customHeight="1" x14ac:dyDescent="0.2">
      <c r="A7" s="57"/>
      <c r="B7" s="83"/>
      <c r="C7" s="83"/>
      <c r="D7" s="83"/>
      <c r="E7" s="83"/>
      <c r="F7" s="83"/>
      <c r="G7" s="83"/>
      <c r="H7" s="83"/>
      <c r="I7" s="83"/>
      <c r="J7" s="83"/>
      <c r="K7" s="57"/>
    </row>
    <row r="8" spans="1:13" ht="3" customHeight="1" x14ac:dyDescent="0.25">
      <c r="A8" s="59"/>
      <c r="B8" s="59"/>
      <c r="C8" s="59"/>
      <c r="D8" s="59"/>
      <c r="E8" s="59"/>
      <c r="F8" s="59"/>
      <c r="G8" s="59"/>
      <c r="H8" s="59"/>
      <c r="I8" s="59"/>
      <c r="J8" s="59"/>
    </row>
    <row r="9" spans="1:13" s="65" customFormat="1" ht="9" customHeight="1" x14ac:dyDescent="0.25">
      <c r="A9" s="85">
        <v>1999</v>
      </c>
      <c r="B9" s="86"/>
      <c r="C9" s="86"/>
      <c r="D9" s="86"/>
      <c r="E9" s="86"/>
      <c r="F9" s="86"/>
      <c r="G9" s="86"/>
      <c r="H9" s="86"/>
      <c r="I9" s="86"/>
      <c r="J9" s="86"/>
      <c r="K9" s="63"/>
    </row>
    <row r="10" spans="1:13" s="65" customFormat="1" ht="9" customHeight="1" x14ac:dyDescent="0.25">
      <c r="A10" s="62" t="s">
        <v>21</v>
      </c>
      <c r="B10" s="63">
        <f>SUM(B12:B38)</f>
        <v>38942</v>
      </c>
      <c r="C10" s="63">
        <f t="shared" ref="C10:K10" si="0">SUM(C12:C38)</f>
        <v>8117</v>
      </c>
      <c r="D10" s="63">
        <f t="shared" si="0"/>
        <v>1293</v>
      </c>
      <c r="E10" s="63">
        <f t="shared" si="0"/>
        <v>8712</v>
      </c>
      <c r="F10" s="63">
        <f t="shared" si="0"/>
        <v>9453</v>
      </c>
      <c r="G10" s="63">
        <f t="shared" si="0"/>
        <v>486</v>
      </c>
      <c r="H10" s="63">
        <f t="shared" si="0"/>
        <v>5134</v>
      </c>
      <c r="I10" s="63">
        <f t="shared" si="0"/>
        <v>693</v>
      </c>
      <c r="J10" s="63">
        <f t="shared" si="0"/>
        <v>3012</v>
      </c>
      <c r="K10" s="63">
        <f t="shared" si="0"/>
        <v>2042</v>
      </c>
    </row>
    <row r="11" spans="1:13" s="65" customFormat="1" ht="3.95" customHeight="1" x14ac:dyDescent="0.25">
      <c r="A11" s="62"/>
      <c r="B11" s="63"/>
      <c r="C11" s="63"/>
      <c r="D11" s="63"/>
      <c r="E11" s="63"/>
      <c r="F11" s="63"/>
      <c r="G11" s="63"/>
      <c r="H11" s="63"/>
      <c r="I11" s="63"/>
      <c r="J11" s="63"/>
      <c r="K11" s="63"/>
    </row>
    <row r="12" spans="1:13" s="68" customFormat="1" ht="9" customHeight="1" x14ac:dyDescent="0.15">
      <c r="A12" s="66" t="s">
        <v>23</v>
      </c>
      <c r="B12" s="88">
        <f t="shared" ref="B12:B38" si="1">SUM(C12:K12)</f>
        <v>727</v>
      </c>
      <c r="C12" s="88">
        <v>158</v>
      </c>
      <c r="D12" s="88">
        <v>19</v>
      </c>
      <c r="E12" s="88">
        <v>212</v>
      </c>
      <c r="F12" s="88">
        <v>125</v>
      </c>
      <c r="G12" s="88">
        <v>3</v>
      </c>
      <c r="H12" s="88">
        <v>104</v>
      </c>
      <c r="I12" s="88">
        <v>5</v>
      </c>
      <c r="J12" s="88">
        <v>66</v>
      </c>
      <c r="K12" s="67">
        <v>35</v>
      </c>
    </row>
    <row r="13" spans="1:13" s="68" customFormat="1" ht="9" customHeight="1" x14ac:dyDescent="0.15">
      <c r="A13" s="66" t="s">
        <v>24</v>
      </c>
      <c r="B13" s="88">
        <f t="shared" si="1"/>
        <v>2571</v>
      </c>
      <c r="C13" s="88">
        <v>472</v>
      </c>
      <c r="D13" s="88">
        <v>466</v>
      </c>
      <c r="E13" s="88">
        <v>475</v>
      </c>
      <c r="F13" s="88">
        <v>337</v>
      </c>
      <c r="G13" s="88">
        <v>12</v>
      </c>
      <c r="H13" s="88">
        <v>66</v>
      </c>
      <c r="I13" s="88">
        <v>195</v>
      </c>
      <c r="J13" s="88">
        <v>227</v>
      </c>
      <c r="K13" s="67">
        <v>321</v>
      </c>
    </row>
    <row r="14" spans="1:13" s="68" customFormat="1" ht="9" customHeight="1" x14ac:dyDescent="0.15">
      <c r="A14" s="66" t="s">
        <v>25</v>
      </c>
      <c r="B14" s="88">
        <f t="shared" si="1"/>
        <v>184</v>
      </c>
      <c r="C14" s="88">
        <v>38</v>
      </c>
      <c r="D14" s="88">
        <v>3</v>
      </c>
      <c r="E14" s="88">
        <v>53</v>
      </c>
      <c r="F14" s="88">
        <v>45</v>
      </c>
      <c r="G14" s="88">
        <v>1</v>
      </c>
      <c r="H14" s="88">
        <v>15</v>
      </c>
      <c r="I14" s="88">
        <v>0</v>
      </c>
      <c r="J14" s="88">
        <v>15</v>
      </c>
      <c r="K14" s="67">
        <v>14</v>
      </c>
    </row>
    <row r="15" spans="1:13" s="68" customFormat="1" ht="9" customHeight="1" x14ac:dyDescent="0.15">
      <c r="A15" s="69" t="s">
        <v>27</v>
      </c>
      <c r="B15" s="90">
        <f t="shared" si="1"/>
        <v>1462</v>
      </c>
      <c r="C15" s="90">
        <v>336</v>
      </c>
      <c r="D15" s="90">
        <v>20</v>
      </c>
      <c r="E15" s="90">
        <v>372</v>
      </c>
      <c r="F15" s="90">
        <v>275</v>
      </c>
      <c r="G15" s="90">
        <v>3</v>
      </c>
      <c r="H15" s="90">
        <v>238</v>
      </c>
      <c r="I15" s="90">
        <v>32</v>
      </c>
      <c r="J15" s="90">
        <v>114</v>
      </c>
      <c r="K15" s="70">
        <v>72</v>
      </c>
    </row>
    <row r="16" spans="1:13" s="68" customFormat="1" ht="9" customHeight="1" x14ac:dyDescent="0.15">
      <c r="A16" s="71" t="s">
        <v>28</v>
      </c>
      <c r="B16" s="92">
        <f t="shared" si="1"/>
        <v>551</v>
      </c>
      <c r="C16" s="92">
        <v>92</v>
      </c>
      <c r="D16" s="92">
        <v>13</v>
      </c>
      <c r="E16" s="92">
        <v>162</v>
      </c>
      <c r="F16" s="92">
        <v>123</v>
      </c>
      <c r="G16" s="92">
        <v>11</v>
      </c>
      <c r="H16" s="92">
        <v>53</v>
      </c>
      <c r="I16" s="92">
        <v>8</v>
      </c>
      <c r="J16" s="92">
        <v>62</v>
      </c>
      <c r="K16" s="67">
        <v>27</v>
      </c>
    </row>
    <row r="17" spans="1:11" s="68" customFormat="1" ht="9" customHeight="1" x14ac:dyDescent="0.15">
      <c r="A17" s="71" t="s">
        <v>29</v>
      </c>
      <c r="B17" s="92">
        <f t="shared" si="1"/>
        <v>246</v>
      </c>
      <c r="C17" s="92">
        <v>61</v>
      </c>
      <c r="D17" s="92">
        <v>8</v>
      </c>
      <c r="E17" s="92">
        <v>79</v>
      </c>
      <c r="F17" s="92">
        <v>39</v>
      </c>
      <c r="G17" s="92">
        <v>5</v>
      </c>
      <c r="H17" s="92">
        <v>30</v>
      </c>
      <c r="I17" s="92">
        <v>0</v>
      </c>
      <c r="J17" s="92">
        <v>15</v>
      </c>
      <c r="K17" s="67">
        <v>9</v>
      </c>
    </row>
    <row r="18" spans="1:11" s="68" customFormat="1" ht="9" customHeight="1" x14ac:dyDescent="0.15">
      <c r="A18" s="71" t="s">
        <v>30</v>
      </c>
      <c r="B18" s="92">
        <f t="shared" si="1"/>
        <v>2049</v>
      </c>
      <c r="C18" s="92">
        <v>448</v>
      </c>
      <c r="D18" s="92">
        <v>36</v>
      </c>
      <c r="E18" s="92">
        <v>437</v>
      </c>
      <c r="F18" s="92">
        <v>485</v>
      </c>
      <c r="G18" s="92">
        <v>13</v>
      </c>
      <c r="H18" s="92">
        <v>226</v>
      </c>
      <c r="I18" s="92">
        <v>173</v>
      </c>
      <c r="J18" s="92">
        <v>202</v>
      </c>
      <c r="K18" s="67">
        <v>29</v>
      </c>
    </row>
    <row r="19" spans="1:11" s="68" customFormat="1" ht="9" customHeight="1" x14ac:dyDescent="0.15">
      <c r="A19" s="69" t="s">
        <v>63</v>
      </c>
      <c r="B19" s="90">
        <f t="shared" si="1"/>
        <v>11250</v>
      </c>
      <c r="C19" s="90">
        <v>2351</v>
      </c>
      <c r="D19" s="90">
        <v>195</v>
      </c>
      <c r="E19" s="90">
        <v>2290</v>
      </c>
      <c r="F19" s="90">
        <v>3463</v>
      </c>
      <c r="G19" s="90">
        <v>201</v>
      </c>
      <c r="H19" s="90">
        <v>1476</v>
      </c>
      <c r="I19" s="90">
        <v>81</v>
      </c>
      <c r="J19" s="90">
        <v>700</v>
      </c>
      <c r="K19" s="70">
        <v>493</v>
      </c>
    </row>
    <row r="20" spans="1:11" s="68" customFormat="1" ht="9" customHeight="1" x14ac:dyDescent="0.15">
      <c r="A20" s="71" t="s">
        <v>31</v>
      </c>
      <c r="B20" s="92">
        <f t="shared" si="1"/>
        <v>449</v>
      </c>
      <c r="C20" s="92">
        <v>107</v>
      </c>
      <c r="D20" s="92">
        <v>29</v>
      </c>
      <c r="E20" s="92">
        <v>101</v>
      </c>
      <c r="F20" s="92">
        <v>73</v>
      </c>
      <c r="G20" s="92">
        <v>3</v>
      </c>
      <c r="H20" s="92">
        <v>47</v>
      </c>
      <c r="I20" s="92">
        <v>10</v>
      </c>
      <c r="J20" s="92">
        <v>37</v>
      </c>
      <c r="K20" s="67">
        <v>42</v>
      </c>
    </row>
    <row r="21" spans="1:11" s="68" customFormat="1" ht="9" customHeight="1" x14ac:dyDescent="0.15">
      <c r="A21" s="71" t="s">
        <v>32</v>
      </c>
      <c r="B21" s="92">
        <f t="shared" si="1"/>
        <v>1488</v>
      </c>
      <c r="C21" s="92">
        <v>298</v>
      </c>
      <c r="D21" s="92">
        <v>46</v>
      </c>
      <c r="E21" s="92">
        <v>313</v>
      </c>
      <c r="F21" s="92">
        <v>290</v>
      </c>
      <c r="G21" s="92">
        <v>12</v>
      </c>
      <c r="H21" s="92">
        <v>242</v>
      </c>
      <c r="I21" s="92">
        <v>10</v>
      </c>
      <c r="J21" s="92">
        <v>151</v>
      </c>
      <c r="K21" s="67">
        <v>126</v>
      </c>
    </row>
    <row r="22" spans="1:11" s="68" customFormat="1" ht="9" customHeight="1" x14ac:dyDescent="0.15">
      <c r="A22" s="71" t="s">
        <v>33</v>
      </c>
      <c r="B22" s="92">
        <f t="shared" si="1"/>
        <v>955</v>
      </c>
      <c r="C22" s="92">
        <v>224</v>
      </c>
      <c r="D22" s="92">
        <v>16</v>
      </c>
      <c r="E22" s="92">
        <v>206</v>
      </c>
      <c r="F22" s="92">
        <v>225</v>
      </c>
      <c r="G22" s="92">
        <v>5</v>
      </c>
      <c r="H22" s="92">
        <v>66</v>
      </c>
      <c r="I22" s="92">
        <v>6</v>
      </c>
      <c r="J22" s="92">
        <v>67</v>
      </c>
      <c r="K22" s="67">
        <v>140</v>
      </c>
    </row>
    <row r="23" spans="1:11" s="68" customFormat="1" ht="9" customHeight="1" x14ac:dyDescent="0.15">
      <c r="A23" s="69" t="s">
        <v>34</v>
      </c>
      <c r="B23" s="90">
        <f t="shared" si="1"/>
        <v>379</v>
      </c>
      <c r="C23" s="90">
        <v>86</v>
      </c>
      <c r="D23" s="90">
        <v>11</v>
      </c>
      <c r="E23" s="90">
        <v>74</v>
      </c>
      <c r="F23" s="90">
        <v>53</v>
      </c>
      <c r="G23" s="90">
        <v>7</v>
      </c>
      <c r="H23" s="90">
        <v>88</v>
      </c>
      <c r="I23" s="90">
        <v>2</v>
      </c>
      <c r="J23" s="90">
        <v>24</v>
      </c>
      <c r="K23" s="70">
        <v>34</v>
      </c>
    </row>
    <row r="24" spans="1:11" s="68" customFormat="1" ht="9" customHeight="1" x14ac:dyDescent="0.15">
      <c r="A24" s="71" t="s">
        <v>35</v>
      </c>
      <c r="B24" s="92">
        <f t="shared" si="1"/>
        <v>3590</v>
      </c>
      <c r="C24" s="92">
        <v>753</v>
      </c>
      <c r="D24" s="92">
        <v>62</v>
      </c>
      <c r="E24" s="92">
        <v>802</v>
      </c>
      <c r="F24" s="92">
        <v>1108</v>
      </c>
      <c r="G24" s="92">
        <v>46</v>
      </c>
      <c r="H24" s="92">
        <v>338</v>
      </c>
      <c r="I24" s="92">
        <v>27</v>
      </c>
      <c r="J24" s="92">
        <v>268</v>
      </c>
      <c r="K24" s="67">
        <v>186</v>
      </c>
    </row>
    <row r="25" spans="1:11" s="68" customFormat="1" ht="9" customHeight="1" x14ac:dyDescent="0.15">
      <c r="A25" s="71" t="s">
        <v>36</v>
      </c>
      <c r="B25" s="92">
        <f t="shared" si="1"/>
        <v>5437</v>
      </c>
      <c r="C25" s="92">
        <v>1087</v>
      </c>
      <c r="D25" s="92">
        <v>150</v>
      </c>
      <c r="E25" s="92">
        <v>1265</v>
      </c>
      <c r="F25" s="92">
        <v>1320</v>
      </c>
      <c r="G25" s="92">
        <v>55</v>
      </c>
      <c r="H25" s="92">
        <v>1041</v>
      </c>
      <c r="I25" s="92">
        <v>26</v>
      </c>
      <c r="J25" s="92">
        <v>298</v>
      </c>
      <c r="K25" s="67">
        <v>195</v>
      </c>
    </row>
    <row r="26" spans="1:11" s="68" customFormat="1" ht="9" customHeight="1" x14ac:dyDescent="0.15">
      <c r="A26" s="71" t="s">
        <v>37</v>
      </c>
      <c r="B26" s="92">
        <f t="shared" si="1"/>
        <v>182</v>
      </c>
      <c r="C26" s="92">
        <v>40</v>
      </c>
      <c r="D26" s="92">
        <v>12</v>
      </c>
      <c r="E26" s="92">
        <v>40</v>
      </c>
      <c r="F26" s="92">
        <v>41</v>
      </c>
      <c r="G26" s="92">
        <v>2</v>
      </c>
      <c r="H26" s="92">
        <v>15</v>
      </c>
      <c r="I26" s="92">
        <v>6</v>
      </c>
      <c r="J26" s="92">
        <v>24</v>
      </c>
      <c r="K26" s="67">
        <v>2</v>
      </c>
    </row>
    <row r="27" spans="1:11" s="68" customFormat="1" ht="9" customHeight="1" x14ac:dyDescent="0.15">
      <c r="A27" s="69" t="s">
        <v>38</v>
      </c>
      <c r="B27" s="90">
        <f t="shared" si="1"/>
        <v>189</v>
      </c>
      <c r="C27" s="90">
        <v>41</v>
      </c>
      <c r="D27" s="90">
        <v>6</v>
      </c>
      <c r="E27" s="90">
        <v>56</v>
      </c>
      <c r="F27" s="90">
        <v>47</v>
      </c>
      <c r="G27" s="90">
        <v>1</v>
      </c>
      <c r="H27" s="90">
        <v>27</v>
      </c>
      <c r="I27" s="90">
        <v>0</v>
      </c>
      <c r="J27" s="90">
        <v>4</v>
      </c>
      <c r="K27" s="70">
        <v>7</v>
      </c>
    </row>
    <row r="28" spans="1:11" s="68" customFormat="1" ht="9" customHeight="1" x14ac:dyDescent="0.15">
      <c r="A28" s="71" t="s">
        <v>40</v>
      </c>
      <c r="B28" s="92">
        <f t="shared" si="1"/>
        <v>1081</v>
      </c>
      <c r="C28" s="92">
        <v>205</v>
      </c>
      <c r="D28" s="92">
        <v>36</v>
      </c>
      <c r="E28" s="92">
        <v>279</v>
      </c>
      <c r="F28" s="92">
        <v>181</v>
      </c>
      <c r="G28" s="92">
        <v>18</v>
      </c>
      <c r="H28" s="92">
        <v>200</v>
      </c>
      <c r="I28" s="92">
        <v>12</v>
      </c>
      <c r="J28" s="92">
        <v>109</v>
      </c>
      <c r="K28" s="67">
        <v>41</v>
      </c>
    </row>
    <row r="29" spans="1:11" s="68" customFormat="1" ht="9" customHeight="1" x14ac:dyDescent="0.15">
      <c r="A29" s="71" t="s">
        <v>42</v>
      </c>
      <c r="B29" s="92">
        <f t="shared" si="1"/>
        <v>909</v>
      </c>
      <c r="C29" s="92">
        <v>199</v>
      </c>
      <c r="D29" s="92">
        <v>19</v>
      </c>
      <c r="E29" s="92">
        <v>218</v>
      </c>
      <c r="F29" s="92">
        <v>151</v>
      </c>
      <c r="G29" s="92">
        <v>19</v>
      </c>
      <c r="H29" s="92">
        <v>176</v>
      </c>
      <c r="I29" s="92">
        <v>14</v>
      </c>
      <c r="J29" s="92">
        <v>97</v>
      </c>
      <c r="K29" s="67">
        <v>16</v>
      </c>
    </row>
    <row r="30" spans="1:11" s="68" customFormat="1" ht="9" customHeight="1" x14ac:dyDescent="0.15">
      <c r="A30" s="71" t="s">
        <v>43</v>
      </c>
      <c r="B30" s="92">
        <f t="shared" si="1"/>
        <v>539</v>
      </c>
      <c r="C30" s="92">
        <v>98</v>
      </c>
      <c r="D30" s="92">
        <v>16</v>
      </c>
      <c r="E30" s="92">
        <v>140</v>
      </c>
      <c r="F30" s="92">
        <v>96</v>
      </c>
      <c r="G30" s="92">
        <v>11</v>
      </c>
      <c r="H30" s="92">
        <v>109</v>
      </c>
      <c r="I30" s="92">
        <v>6</v>
      </c>
      <c r="J30" s="92">
        <v>39</v>
      </c>
      <c r="K30" s="67">
        <v>24</v>
      </c>
    </row>
    <row r="31" spans="1:11" s="68" customFormat="1" ht="9" customHeight="1" x14ac:dyDescent="0.15">
      <c r="A31" s="69" t="s">
        <v>44</v>
      </c>
      <c r="B31" s="90">
        <f t="shared" si="1"/>
        <v>204</v>
      </c>
      <c r="C31" s="90">
        <v>44</v>
      </c>
      <c r="D31" s="90">
        <v>5</v>
      </c>
      <c r="E31" s="90">
        <v>53</v>
      </c>
      <c r="F31" s="90">
        <v>49</v>
      </c>
      <c r="G31" s="90">
        <v>8</v>
      </c>
      <c r="H31" s="90">
        <v>17</v>
      </c>
      <c r="I31" s="90">
        <v>0</v>
      </c>
      <c r="J31" s="90">
        <v>17</v>
      </c>
      <c r="K31" s="70">
        <v>11</v>
      </c>
    </row>
    <row r="32" spans="1:11" s="68" customFormat="1" ht="9" customHeight="1" x14ac:dyDescent="0.15">
      <c r="A32" s="71" t="s">
        <v>45</v>
      </c>
      <c r="B32" s="92">
        <f t="shared" si="1"/>
        <v>622</v>
      </c>
      <c r="C32" s="92">
        <v>102</v>
      </c>
      <c r="D32" s="92">
        <v>14</v>
      </c>
      <c r="E32" s="92">
        <v>123</v>
      </c>
      <c r="F32" s="92">
        <v>94</v>
      </c>
      <c r="G32" s="92">
        <v>14</v>
      </c>
      <c r="H32" s="92">
        <v>121</v>
      </c>
      <c r="I32" s="92">
        <v>2</v>
      </c>
      <c r="J32" s="92">
        <v>66</v>
      </c>
      <c r="K32" s="67">
        <v>86</v>
      </c>
    </row>
    <row r="33" spans="1:11" s="68" customFormat="1" ht="9" customHeight="1" x14ac:dyDescent="0.15">
      <c r="A33" s="71" t="s">
        <v>46</v>
      </c>
      <c r="B33" s="92">
        <f t="shared" si="1"/>
        <v>1717</v>
      </c>
      <c r="C33" s="92">
        <v>395</v>
      </c>
      <c r="D33" s="92">
        <v>55</v>
      </c>
      <c r="E33" s="92">
        <v>383</v>
      </c>
      <c r="F33" s="92">
        <v>440</v>
      </c>
      <c r="G33" s="92">
        <v>17</v>
      </c>
      <c r="H33" s="92">
        <v>132</v>
      </c>
      <c r="I33" s="92">
        <v>46</v>
      </c>
      <c r="J33" s="92">
        <v>174</v>
      </c>
      <c r="K33" s="67">
        <v>75</v>
      </c>
    </row>
    <row r="34" spans="1:11" s="68" customFormat="1" ht="9" customHeight="1" x14ac:dyDescent="0.15">
      <c r="A34" s="71" t="s">
        <v>47</v>
      </c>
      <c r="B34" s="92">
        <f t="shared" si="1"/>
        <v>371</v>
      </c>
      <c r="C34" s="92">
        <v>98</v>
      </c>
      <c r="D34" s="92">
        <v>13</v>
      </c>
      <c r="E34" s="92">
        <v>82</v>
      </c>
      <c r="F34" s="92">
        <v>83</v>
      </c>
      <c r="G34" s="92">
        <v>1</v>
      </c>
      <c r="H34" s="92">
        <v>33</v>
      </c>
      <c r="I34" s="92">
        <v>14</v>
      </c>
      <c r="J34" s="92">
        <v>41</v>
      </c>
      <c r="K34" s="67">
        <v>6</v>
      </c>
    </row>
    <row r="35" spans="1:11" s="68" customFormat="1" ht="9" customHeight="1" x14ac:dyDescent="0.15">
      <c r="A35" s="69" t="s">
        <v>49</v>
      </c>
      <c r="B35" s="90">
        <f t="shared" si="1"/>
        <v>348</v>
      </c>
      <c r="C35" s="90">
        <v>60</v>
      </c>
      <c r="D35" s="90">
        <v>18</v>
      </c>
      <c r="E35" s="90">
        <v>89</v>
      </c>
      <c r="F35" s="90">
        <v>67</v>
      </c>
      <c r="G35" s="90">
        <v>3</v>
      </c>
      <c r="H35" s="90">
        <v>52</v>
      </c>
      <c r="I35" s="90">
        <v>2</v>
      </c>
      <c r="J35" s="90">
        <v>47</v>
      </c>
      <c r="K35" s="70">
        <v>10</v>
      </c>
    </row>
    <row r="36" spans="1:11" s="68" customFormat="1" ht="9" customHeight="1" x14ac:dyDescent="0.15">
      <c r="A36" s="71" t="s">
        <v>51</v>
      </c>
      <c r="B36" s="92">
        <f t="shared" si="1"/>
        <v>576</v>
      </c>
      <c r="C36" s="92">
        <v>131</v>
      </c>
      <c r="D36" s="92">
        <v>14</v>
      </c>
      <c r="E36" s="92">
        <v>166</v>
      </c>
      <c r="F36" s="92">
        <v>86</v>
      </c>
      <c r="G36" s="92">
        <v>7</v>
      </c>
      <c r="H36" s="92">
        <v>101</v>
      </c>
      <c r="I36" s="92">
        <v>10</v>
      </c>
      <c r="J36" s="92">
        <v>41</v>
      </c>
      <c r="K36" s="67">
        <v>20</v>
      </c>
    </row>
    <row r="37" spans="1:11" s="68" customFormat="1" ht="9" customHeight="1" x14ac:dyDescent="0.15">
      <c r="A37" s="71" t="s">
        <v>52</v>
      </c>
      <c r="B37" s="92">
        <f t="shared" si="1"/>
        <v>539</v>
      </c>
      <c r="C37" s="92">
        <v>132</v>
      </c>
      <c r="D37" s="92">
        <v>2</v>
      </c>
      <c r="E37" s="92">
        <v>156</v>
      </c>
      <c r="F37" s="92">
        <v>98</v>
      </c>
      <c r="G37" s="92">
        <v>4</v>
      </c>
      <c r="H37" s="92">
        <v>72</v>
      </c>
      <c r="I37" s="92">
        <v>2</v>
      </c>
      <c r="J37" s="92">
        <v>60</v>
      </c>
      <c r="K37" s="67">
        <v>13</v>
      </c>
    </row>
    <row r="38" spans="1:11" s="68" customFormat="1" ht="9" customHeight="1" x14ac:dyDescent="0.15">
      <c r="A38" s="71" t="s">
        <v>53</v>
      </c>
      <c r="B38" s="92">
        <f t="shared" si="1"/>
        <v>327</v>
      </c>
      <c r="C38" s="92">
        <v>61</v>
      </c>
      <c r="D38" s="92">
        <v>9</v>
      </c>
      <c r="E38" s="92">
        <v>86</v>
      </c>
      <c r="F38" s="92">
        <v>59</v>
      </c>
      <c r="G38" s="92">
        <v>4</v>
      </c>
      <c r="H38" s="92">
        <v>49</v>
      </c>
      <c r="I38" s="92">
        <v>4</v>
      </c>
      <c r="J38" s="92">
        <v>47</v>
      </c>
      <c r="K38" s="67">
        <v>8</v>
      </c>
    </row>
    <row r="39" spans="1:11" s="68" customFormat="1" ht="9" customHeight="1" x14ac:dyDescent="0.15">
      <c r="A39" s="71"/>
      <c r="B39" s="113"/>
      <c r="C39" s="113"/>
      <c r="D39" s="113"/>
      <c r="E39" s="113"/>
      <c r="F39" s="113"/>
      <c r="G39" s="113"/>
      <c r="H39" s="113"/>
      <c r="I39" s="113"/>
      <c r="J39" s="113"/>
      <c r="K39" s="67"/>
    </row>
    <row r="40" spans="1:11" s="65" customFormat="1" ht="9" customHeight="1" x14ac:dyDescent="0.25">
      <c r="A40" s="96">
        <v>2000</v>
      </c>
      <c r="B40" s="97"/>
      <c r="C40" s="97"/>
      <c r="D40" s="97"/>
      <c r="E40" s="97"/>
      <c r="F40" s="97"/>
      <c r="G40" s="97"/>
      <c r="H40" s="97"/>
      <c r="I40" s="97"/>
      <c r="J40" s="97"/>
      <c r="K40" s="64"/>
    </row>
    <row r="41" spans="1:11" s="65" customFormat="1" ht="9" customHeight="1" x14ac:dyDescent="0.25">
      <c r="A41" s="99" t="s">
        <v>21</v>
      </c>
      <c r="B41" s="64">
        <f t="shared" ref="B41:J41" si="2">SUM(B43:B70)</f>
        <v>33480</v>
      </c>
      <c r="C41" s="64">
        <f t="shared" si="2"/>
        <v>7477</v>
      </c>
      <c r="D41" s="64">
        <f t="shared" si="2"/>
        <v>1137</v>
      </c>
      <c r="E41" s="64">
        <f t="shared" si="2"/>
        <v>7129</v>
      </c>
      <c r="F41" s="64">
        <f t="shared" si="2"/>
        <v>8421</v>
      </c>
      <c r="G41" s="64">
        <f t="shared" si="2"/>
        <v>389</v>
      </c>
      <c r="H41" s="64">
        <f t="shared" si="2"/>
        <v>3844</v>
      </c>
      <c r="I41" s="64">
        <f t="shared" si="2"/>
        <v>530</v>
      </c>
      <c r="J41" s="64">
        <f t="shared" si="2"/>
        <v>2473</v>
      </c>
      <c r="K41" s="64">
        <f>SUM(K43:K70)</f>
        <v>2080</v>
      </c>
    </row>
    <row r="42" spans="1:11" s="65" customFormat="1" ht="3.95" customHeight="1" x14ac:dyDescent="0.25">
      <c r="A42" s="99"/>
      <c r="B42" s="64"/>
      <c r="C42" s="64"/>
      <c r="D42" s="64"/>
      <c r="E42" s="64"/>
      <c r="F42" s="64"/>
      <c r="G42" s="64"/>
      <c r="H42" s="64"/>
      <c r="I42" s="64"/>
      <c r="J42" s="64"/>
      <c r="K42" s="64"/>
    </row>
    <row r="43" spans="1:11" s="68" customFormat="1" ht="9" customHeight="1" x14ac:dyDescent="0.15">
      <c r="A43" s="71" t="s">
        <v>23</v>
      </c>
      <c r="B43" s="92">
        <f t="shared" ref="B43:B70" si="3">SUM(C43:K43)</f>
        <v>556</v>
      </c>
      <c r="C43" s="92">
        <v>125</v>
      </c>
      <c r="D43" s="92">
        <v>13</v>
      </c>
      <c r="E43" s="92">
        <v>125</v>
      </c>
      <c r="F43" s="92">
        <v>136</v>
      </c>
      <c r="G43" s="92">
        <v>3</v>
      </c>
      <c r="H43" s="92">
        <v>73</v>
      </c>
      <c r="I43" s="92">
        <v>2</v>
      </c>
      <c r="J43" s="92">
        <v>39</v>
      </c>
      <c r="K43" s="67">
        <v>40</v>
      </c>
    </row>
    <row r="44" spans="1:11" s="68" customFormat="1" ht="9" customHeight="1" x14ac:dyDescent="0.15">
      <c r="A44" s="71" t="s">
        <v>24</v>
      </c>
      <c r="B44" s="92">
        <f t="shared" si="3"/>
        <v>2276</v>
      </c>
      <c r="C44" s="92">
        <v>424</v>
      </c>
      <c r="D44" s="92">
        <v>432</v>
      </c>
      <c r="E44" s="92">
        <v>445</v>
      </c>
      <c r="F44" s="92">
        <v>269</v>
      </c>
      <c r="G44" s="92">
        <v>10</v>
      </c>
      <c r="H44" s="92">
        <v>70</v>
      </c>
      <c r="I44" s="92">
        <v>130</v>
      </c>
      <c r="J44" s="92">
        <v>209</v>
      </c>
      <c r="K44" s="67">
        <v>287</v>
      </c>
    </row>
    <row r="45" spans="1:11" s="68" customFormat="1" ht="9" customHeight="1" x14ac:dyDescent="0.15">
      <c r="A45" s="71" t="s">
        <v>25</v>
      </c>
      <c r="B45" s="92">
        <f t="shared" si="3"/>
        <v>232</v>
      </c>
      <c r="C45" s="92">
        <v>48</v>
      </c>
      <c r="D45" s="92">
        <v>3</v>
      </c>
      <c r="E45" s="92">
        <v>69</v>
      </c>
      <c r="F45" s="92">
        <v>50</v>
      </c>
      <c r="G45" s="92">
        <v>0</v>
      </c>
      <c r="H45" s="92">
        <v>14</v>
      </c>
      <c r="I45" s="92">
        <v>2</v>
      </c>
      <c r="J45" s="92">
        <v>16</v>
      </c>
      <c r="K45" s="67">
        <v>30</v>
      </c>
    </row>
    <row r="46" spans="1:11" s="68" customFormat="1" ht="9" customHeight="1" x14ac:dyDescent="0.15">
      <c r="A46" s="69" t="s">
        <v>27</v>
      </c>
      <c r="B46" s="90">
        <f t="shared" si="3"/>
        <v>1099</v>
      </c>
      <c r="C46" s="90">
        <v>239</v>
      </c>
      <c r="D46" s="90">
        <v>16</v>
      </c>
      <c r="E46" s="90">
        <v>253</v>
      </c>
      <c r="F46" s="90">
        <v>220</v>
      </c>
      <c r="G46" s="90">
        <v>8</v>
      </c>
      <c r="H46" s="90">
        <v>158</v>
      </c>
      <c r="I46" s="90">
        <v>13</v>
      </c>
      <c r="J46" s="90">
        <v>89</v>
      </c>
      <c r="K46" s="70">
        <v>103</v>
      </c>
    </row>
    <row r="47" spans="1:11" s="68" customFormat="1" ht="9" customHeight="1" x14ac:dyDescent="0.15">
      <c r="A47" s="71" t="s">
        <v>28</v>
      </c>
      <c r="B47" s="92">
        <f t="shared" si="3"/>
        <v>492</v>
      </c>
      <c r="C47" s="92">
        <v>107</v>
      </c>
      <c r="D47" s="92">
        <v>17</v>
      </c>
      <c r="E47" s="92">
        <v>119</v>
      </c>
      <c r="F47" s="92">
        <v>108</v>
      </c>
      <c r="G47" s="92">
        <v>17</v>
      </c>
      <c r="H47" s="92">
        <v>43</v>
      </c>
      <c r="I47" s="92">
        <v>7</v>
      </c>
      <c r="J47" s="92">
        <v>38</v>
      </c>
      <c r="K47" s="67">
        <v>36</v>
      </c>
    </row>
    <row r="48" spans="1:11" s="68" customFormat="1" ht="9" customHeight="1" x14ac:dyDescent="0.15">
      <c r="A48" s="71" t="s">
        <v>29</v>
      </c>
      <c r="B48" s="92">
        <f t="shared" si="3"/>
        <v>200</v>
      </c>
      <c r="C48" s="92">
        <v>49</v>
      </c>
      <c r="D48" s="92">
        <v>8</v>
      </c>
      <c r="E48" s="92">
        <v>49</v>
      </c>
      <c r="F48" s="92">
        <v>39</v>
      </c>
      <c r="G48" s="92">
        <v>0</v>
      </c>
      <c r="H48" s="92">
        <v>28</v>
      </c>
      <c r="I48" s="92">
        <v>4</v>
      </c>
      <c r="J48" s="92">
        <v>18</v>
      </c>
      <c r="K48" s="67">
        <v>5</v>
      </c>
    </row>
    <row r="49" spans="1:11" s="68" customFormat="1" ht="9" customHeight="1" x14ac:dyDescent="0.15">
      <c r="A49" s="71" t="s">
        <v>30</v>
      </c>
      <c r="B49" s="92">
        <f t="shared" si="3"/>
        <v>1684</v>
      </c>
      <c r="C49" s="92">
        <v>373</v>
      </c>
      <c r="D49" s="92">
        <v>21</v>
      </c>
      <c r="E49" s="92">
        <v>359</v>
      </c>
      <c r="F49" s="92">
        <v>430</v>
      </c>
      <c r="G49" s="92">
        <v>16</v>
      </c>
      <c r="H49" s="92">
        <v>150</v>
      </c>
      <c r="I49" s="92">
        <v>125</v>
      </c>
      <c r="J49" s="92">
        <v>150</v>
      </c>
      <c r="K49" s="67">
        <v>60</v>
      </c>
    </row>
    <row r="50" spans="1:11" s="68" customFormat="1" ht="9" customHeight="1" x14ac:dyDescent="0.15">
      <c r="A50" s="69" t="s">
        <v>63</v>
      </c>
      <c r="B50" s="90">
        <f t="shared" si="3"/>
        <v>8223</v>
      </c>
      <c r="C50" s="90">
        <v>1827</v>
      </c>
      <c r="D50" s="90">
        <v>157</v>
      </c>
      <c r="E50" s="90">
        <v>1546</v>
      </c>
      <c r="F50" s="90">
        <v>2627</v>
      </c>
      <c r="G50" s="90">
        <v>148</v>
      </c>
      <c r="H50" s="90">
        <v>965</v>
      </c>
      <c r="I50" s="90">
        <v>48</v>
      </c>
      <c r="J50" s="90">
        <v>491</v>
      </c>
      <c r="K50" s="70">
        <v>414</v>
      </c>
    </row>
    <row r="51" spans="1:11" s="68" customFormat="1" ht="9" customHeight="1" x14ac:dyDescent="0.15">
      <c r="A51" s="71" t="s">
        <v>31</v>
      </c>
      <c r="B51" s="92">
        <f t="shared" si="3"/>
        <v>283</v>
      </c>
      <c r="C51" s="92">
        <v>64</v>
      </c>
      <c r="D51" s="92">
        <v>17</v>
      </c>
      <c r="E51" s="92">
        <v>54</v>
      </c>
      <c r="F51" s="92">
        <v>49</v>
      </c>
      <c r="G51" s="92">
        <v>5</v>
      </c>
      <c r="H51" s="92">
        <v>39</v>
      </c>
      <c r="I51" s="92">
        <v>3</v>
      </c>
      <c r="J51" s="92">
        <v>28</v>
      </c>
      <c r="K51" s="67">
        <v>24</v>
      </c>
    </row>
    <row r="52" spans="1:11" s="68" customFormat="1" ht="9" customHeight="1" x14ac:dyDescent="0.15">
      <c r="A52" s="71" t="s">
        <v>32</v>
      </c>
      <c r="B52" s="92">
        <f t="shared" si="3"/>
        <v>1125</v>
      </c>
      <c r="C52" s="92">
        <v>265</v>
      </c>
      <c r="D52" s="92">
        <v>26</v>
      </c>
      <c r="E52" s="92">
        <v>228</v>
      </c>
      <c r="F52" s="92">
        <v>255</v>
      </c>
      <c r="G52" s="92">
        <v>5</v>
      </c>
      <c r="H52" s="92">
        <v>132</v>
      </c>
      <c r="I52" s="92">
        <v>12</v>
      </c>
      <c r="J52" s="92">
        <v>100</v>
      </c>
      <c r="K52" s="67">
        <v>102</v>
      </c>
    </row>
    <row r="53" spans="1:11" s="68" customFormat="1" ht="9" customHeight="1" x14ac:dyDescent="0.15">
      <c r="A53" s="71" t="s">
        <v>33</v>
      </c>
      <c r="B53" s="92">
        <f t="shared" si="3"/>
        <v>1095</v>
      </c>
      <c r="C53" s="92">
        <v>271</v>
      </c>
      <c r="D53" s="92">
        <v>14</v>
      </c>
      <c r="E53" s="92">
        <v>214</v>
      </c>
      <c r="F53" s="92">
        <v>283</v>
      </c>
      <c r="G53" s="92">
        <v>5</v>
      </c>
      <c r="H53" s="92">
        <v>60</v>
      </c>
      <c r="I53" s="92">
        <v>2</v>
      </c>
      <c r="J53" s="92">
        <v>52</v>
      </c>
      <c r="K53" s="67">
        <v>194</v>
      </c>
    </row>
    <row r="54" spans="1:11" s="68" customFormat="1" ht="9" customHeight="1" x14ac:dyDescent="0.15">
      <c r="A54" s="69" t="s">
        <v>34</v>
      </c>
      <c r="B54" s="90">
        <f t="shared" si="3"/>
        <v>482</v>
      </c>
      <c r="C54" s="90">
        <v>115</v>
      </c>
      <c r="D54" s="90">
        <v>8</v>
      </c>
      <c r="E54" s="90">
        <v>111</v>
      </c>
      <c r="F54" s="90">
        <v>76</v>
      </c>
      <c r="G54" s="90">
        <v>3</v>
      </c>
      <c r="H54" s="90">
        <v>97</v>
      </c>
      <c r="I54" s="90">
        <v>3</v>
      </c>
      <c r="J54" s="90">
        <v>32</v>
      </c>
      <c r="K54" s="70">
        <v>37</v>
      </c>
    </row>
    <row r="55" spans="1:11" s="68" customFormat="1" ht="9" customHeight="1" x14ac:dyDescent="0.15">
      <c r="A55" s="71" t="s">
        <v>35</v>
      </c>
      <c r="B55" s="92">
        <f t="shared" si="3"/>
        <v>3731</v>
      </c>
      <c r="C55" s="92">
        <v>881</v>
      </c>
      <c r="D55" s="92">
        <v>80</v>
      </c>
      <c r="E55" s="92">
        <v>791</v>
      </c>
      <c r="F55" s="92">
        <v>1179</v>
      </c>
      <c r="G55" s="92">
        <v>32</v>
      </c>
      <c r="H55" s="92">
        <v>327</v>
      </c>
      <c r="I55" s="92">
        <v>33</v>
      </c>
      <c r="J55" s="92">
        <v>238</v>
      </c>
      <c r="K55" s="67">
        <v>170</v>
      </c>
    </row>
    <row r="56" spans="1:11" s="68" customFormat="1" ht="9" customHeight="1" x14ac:dyDescent="0.15">
      <c r="A56" s="71" t="s">
        <v>36</v>
      </c>
      <c r="B56" s="92">
        <f t="shared" si="3"/>
        <v>4172</v>
      </c>
      <c r="C56" s="92">
        <v>947</v>
      </c>
      <c r="D56" s="92">
        <v>94</v>
      </c>
      <c r="E56" s="92">
        <v>851</v>
      </c>
      <c r="F56" s="92">
        <v>1075</v>
      </c>
      <c r="G56" s="92">
        <v>38</v>
      </c>
      <c r="H56" s="92">
        <v>662</v>
      </c>
      <c r="I56" s="92">
        <v>24</v>
      </c>
      <c r="J56" s="92">
        <v>237</v>
      </c>
      <c r="K56" s="67">
        <v>244</v>
      </c>
    </row>
    <row r="57" spans="1:11" s="68" customFormat="1" ht="9" customHeight="1" x14ac:dyDescent="0.15">
      <c r="A57" s="71" t="s">
        <v>37</v>
      </c>
      <c r="B57" s="92">
        <f t="shared" si="3"/>
        <v>136</v>
      </c>
      <c r="C57" s="92">
        <v>36</v>
      </c>
      <c r="D57" s="92">
        <v>6</v>
      </c>
      <c r="E57" s="92">
        <v>24</v>
      </c>
      <c r="F57" s="92">
        <v>42</v>
      </c>
      <c r="G57" s="92">
        <v>0</v>
      </c>
      <c r="H57" s="92">
        <v>4</v>
      </c>
      <c r="I57" s="92">
        <v>4</v>
      </c>
      <c r="J57" s="92">
        <v>18</v>
      </c>
      <c r="K57" s="67">
        <v>2</v>
      </c>
    </row>
    <row r="58" spans="1:11" s="68" customFormat="1" ht="9" customHeight="1" x14ac:dyDescent="0.15">
      <c r="A58" s="69" t="s">
        <v>38</v>
      </c>
      <c r="B58" s="90">
        <f t="shared" si="3"/>
        <v>111</v>
      </c>
      <c r="C58" s="90">
        <v>23</v>
      </c>
      <c r="D58" s="90">
        <v>4</v>
      </c>
      <c r="E58" s="90">
        <v>26</v>
      </c>
      <c r="F58" s="90">
        <v>32</v>
      </c>
      <c r="G58" s="90">
        <v>1</v>
      </c>
      <c r="H58" s="90">
        <v>11</v>
      </c>
      <c r="I58" s="90">
        <v>1</v>
      </c>
      <c r="J58" s="90">
        <v>4</v>
      </c>
      <c r="K58" s="70">
        <v>9</v>
      </c>
    </row>
    <row r="59" spans="1:11" s="68" customFormat="1" ht="9" customHeight="1" x14ac:dyDescent="0.15">
      <c r="A59" s="71" t="s">
        <v>40</v>
      </c>
      <c r="B59" s="92">
        <f t="shared" si="3"/>
        <v>1340</v>
      </c>
      <c r="C59" s="92">
        <v>271</v>
      </c>
      <c r="D59" s="92">
        <v>23</v>
      </c>
      <c r="E59" s="92">
        <v>332</v>
      </c>
      <c r="F59" s="92">
        <v>272</v>
      </c>
      <c r="G59" s="92">
        <v>15</v>
      </c>
      <c r="H59" s="92">
        <v>225</v>
      </c>
      <c r="I59" s="92">
        <v>18</v>
      </c>
      <c r="J59" s="92">
        <v>130</v>
      </c>
      <c r="K59" s="67">
        <v>54</v>
      </c>
    </row>
    <row r="60" spans="1:11" s="68" customFormat="1" ht="9" customHeight="1" x14ac:dyDescent="0.15">
      <c r="A60" s="71" t="s">
        <v>42</v>
      </c>
      <c r="B60" s="92">
        <f t="shared" si="3"/>
        <v>1036</v>
      </c>
      <c r="C60" s="92">
        <v>226</v>
      </c>
      <c r="D60" s="92">
        <v>26</v>
      </c>
      <c r="E60" s="92">
        <v>264</v>
      </c>
      <c r="F60" s="92">
        <v>180</v>
      </c>
      <c r="G60" s="92">
        <v>17</v>
      </c>
      <c r="H60" s="92">
        <v>172</v>
      </c>
      <c r="I60" s="92">
        <v>25</v>
      </c>
      <c r="J60" s="92">
        <v>97</v>
      </c>
      <c r="K60" s="67">
        <v>29</v>
      </c>
    </row>
    <row r="61" spans="1:11" s="68" customFormat="1" ht="9" customHeight="1" x14ac:dyDescent="0.15">
      <c r="A61" s="71" t="s">
        <v>43</v>
      </c>
      <c r="B61" s="92">
        <f t="shared" si="3"/>
        <v>448</v>
      </c>
      <c r="C61" s="92">
        <v>97</v>
      </c>
      <c r="D61" s="92">
        <v>14</v>
      </c>
      <c r="E61" s="92">
        <v>96</v>
      </c>
      <c r="F61" s="92">
        <v>86</v>
      </c>
      <c r="G61" s="92">
        <v>11</v>
      </c>
      <c r="H61" s="92">
        <v>65</v>
      </c>
      <c r="I61" s="92">
        <v>2</v>
      </c>
      <c r="J61" s="92">
        <v>34</v>
      </c>
      <c r="K61" s="67">
        <v>43</v>
      </c>
    </row>
    <row r="62" spans="1:11" s="68" customFormat="1" ht="9" customHeight="1" x14ac:dyDescent="0.15">
      <c r="A62" s="69" t="s">
        <v>44</v>
      </c>
      <c r="B62" s="90">
        <f t="shared" si="3"/>
        <v>141</v>
      </c>
      <c r="C62" s="90">
        <v>39</v>
      </c>
      <c r="D62" s="90">
        <v>8</v>
      </c>
      <c r="E62" s="90">
        <v>35</v>
      </c>
      <c r="F62" s="90">
        <v>31</v>
      </c>
      <c r="G62" s="90">
        <v>4</v>
      </c>
      <c r="H62" s="90">
        <v>12</v>
      </c>
      <c r="I62" s="90">
        <v>1</v>
      </c>
      <c r="J62" s="90">
        <v>8</v>
      </c>
      <c r="K62" s="70">
        <v>3</v>
      </c>
    </row>
    <row r="63" spans="1:11" s="68" customFormat="1" ht="9" customHeight="1" x14ac:dyDescent="0.15">
      <c r="A63" s="71" t="s">
        <v>45</v>
      </c>
      <c r="B63" s="92">
        <f t="shared" si="3"/>
        <v>558</v>
      </c>
      <c r="C63" s="92">
        <v>101</v>
      </c>
      <c r="D63" s="92">
        <v>9</v>
      </c>
      <c r="E63" s="92">
        <v>126</v>
      </c>
      <c r="F63" s="92">
        <v>94</v>
      </c>
      <c r="G63" s="92">
        <v>10</v>
      </c>
      <c r="H63" s="92">
        <v>109</v>
      </c>
      <c r="I63" s="92">
        <v>6</v>
      </c>
      <c r="J63" s="92">
        <v>48</v>
      </c>
      <c r="K63" s="67">
        <v>55</v>
      </c>
    </row>
    <row r="64" spans="1:11" s="68" customFormat="1" ht="9" customHeight="1" x14ac:dyDescent="0.15">
      <c r="A64" s="71" t="s">
        <v>46</v>
      </c>
      <c r="B64" s="92">
        <f t="shared" si="3"/>
        <v>1628</v>
      </c>
      <c r="C64" s="92">
        <v>356</v>
      </c>
      <c r="D64" s="92">
        <v>64</v>
      </c>
      <c r="E64" s="92">
        <v>391</v>
      </c>
      <c r="F64" s="92">
        <v>427</v>
      </c>
      <c r="G64" s="92">
        <v>24</v>
      </c>
      <c r="H64" s="92">
        <v>118</v>
      </c>
      <c r="I64" s="92">
        <v>35</v>
      </c>
      <c r="J64" s="92">
        <v>143</v>
      </c>
      <c r="K64" s="67">
        <v>70</v>
      </c>
    </row>
    <row r="65" spans="1:11" s="68" customFormat="1" ht="9" customHeight="1" x14ac:dyDescent="0.15">
      <c r="A65" s="71" t="s">
        <v>47</v>
      </c>
      <c r="B65" s="92">
        <f t="shared" si="3"/>
        <v>397</v>
      </c>
      <c r="C65" s="92">
        <v>108</v>
      </c>
      <c r="D65" s="92">
        <v>23</v>
      </c>
      <c r="E65" s="92">
        <v>87</v>
      </c>
      <c r="F65" s="92">
        <v>79</v>
      </c>
      <c r="G65" s="92">
        <v>2</v>
      </c>
      <c r="H65" s="92">
        <v>38</v>
      </c>
      <c r="I65" s="92">
        <v>11</v>
      </c>
      <c r="J65" s="92">
        <v>39</v>
      </c>
      <c r="K65" s="67">
        <v>10</v>
      </c>
    </row>
    <row r="66" spans="1:11" s="68" customFormat="1" ht="9" customHeight="1" x14ac:dyDescent="0.15">
      <c r="A66" s="69" t="s">
        <v>49</v>
      </c>
      <c r="B66" s="90">
        <f t="shared" si="3"/>
        <v>498</v>
      </c>
      <c r="C66" s="90">
        <v>96</v>
      </c>
      <c r="D66" s="90">
        <v>24</v>
      </c>
      <c r="E66" s="90">
        <v>136</v>
      </c>
      <c r="F66" s="90">
        <v>100</v>
      </c>
      <c r="G66" s="90">
        <v>8</v>
      </c>
      <c r="H66" s="90">
        <v>57</v>
      </c>
      <c r="I66" s="90">
        <v>4</v>
      </c>
      <c r="J66" s="90">
        <v>64</v>
      </c>
      <c r="K66" s="70">
        <v>9</v>
      </c>
    </row>
    <row r="67" spans="1:11" s="68" customFormat="1" ht="9" customHeight="1" x14ac:dyDescent="0.15">
      <c r="A67" s="71" t="s">
        <v>51</v>
      </c>
      <c r="B67" s="92">
        <f t="shared" si="3"/>
        <v>496</v>
      </c>
      <c r="C67" s="92">
        <v>124</v>
      </c>
      <c r="D67" s="92">
        <v>21</v>
      </c>
      <c r="E67" s="92">
        <v>127</v>
      </c>
      <c r="F67" s="92">
        <v>82</v>
      </c>
      <c r="G67" s="92">
        <v>4</v>
      </c>
      <c r="H67" s="92">
        <v>68</v>
      </c>
      <c r="I67" s="92">
        <v>7</v>
      </c>
      <c r="J67" s="92">
        <v>34</v>
      </c>
      <c r="K67" s="67">
        <v>29</v>
      </c>
    </row>
    <row r="68" spans="1:11" s="68" customFormat="1" ht="9" customHeight="1" x14ac:dyDescent="0.15">
      <c r="A68" s="71" t="s">
        <v>52</v>
      </c>
      <c r="B68" s="92">
        <f t="shared" si="3"/>
        <v>627</v>
      </c>
      <c r="C68" s="92">
        <v>158</v>
      </c>
      <c r="D68" s="92">
        <v>1</v>
      </c>
      <c r="E68" s="92">
        <v>177</v>
      </c>
      <c r="F68" s="92">
        <v>118</v>
      </c>
      <c r="G68" s="92">
        <v>0</v>
      </c>
      <c r="H68" s="92">
        <v>93</v>
      </c>
      <c r="I68" s="92">
        <v>0</v>
      </c>
      <c r="J68" s="92">
        <v>66</v>
      </c>
      <c r="K68" s="67">
        <v>14</v>
      </c>
    </row>
    <row r="69" spans="1:11" s="68" customFormat="1" ht="9" customHeight="1" x14ac:dyDescent="0.15">
      <c r="A69" s="71" t="s">
        <v>53</v>
      </c>
      <c r="B69" s="92">
        <f t="shared" si="3"/>
        <v>373</v>
      </c>
      <c r="C69" s="92">
        <v>95</v>
      </c>
      <c r="D69" s="92">
        <v>3</v>
      </c>
      <c r="E69" s="92">
        <v>92</v>
      </c>
      <c r="F69" s="92">
        <v>75</v>
      </c>
      <c r="G69" s="92">
        <v>3</v>
      </c>
      <c r="H69" s="92">
        <v>47</v>
      </c>
      <c r="I69" s="92">
        <v>6</v>
      </c>
      <c r="J69" s="92">
        <v>47</v>
      </c>
      <c r="K69" s="67">
        <v>5</v>
      </c>
    </row>
    <row r="70" spans="1:11" s="68" customFormat="1" ht="9" customHeight="1" x14ac:dyDescent="0.15">
      <c r="A70" s="69" t="s">
        <v>54</v>
      </c>
      <c r="B70" s="90">
        <f t="shared" si="3"/>
        <v>41</v>
      </c>
      <c r="C70" s="90">
        <v>12</v>
      </c>
      <c r="D70" s="90">
        <v>5</v>
      </c>
      <c r="E70" s="90">
        <v>2</v>
      </c>
      <c r="F70" s="90">
        <v>7</v>
      </c>
      <c r="G70" s="90">
        <v>0</v>
      </c>
      <c r="H70" s="90">
        <v>7</v>
      </c>
      <c r="I70" s="90">
        <v>2</v>
      </c>
      <c r="J70" s="90">
        <v>4</v>
      </c>
      <c r="K70" s="70">
        <v>2</v>
      </c>
    </row>
    <row r="71" spans="1:11" s="74" customFormat="1" ht="9" customHeight="1" x14ac:dyDescent="0.25">
      <c r="A71" s="114"/>
      <c r="B71" s="114"/>
      <c r="C71" s="114"/>
      <c r="D71" s="114"/>
      <c r="E71" s="114"/>
      <c r="F71" s="114"/>
      <c r="G71" s="114"/>
      <c r="H71" s="114"/>
      <c r="I71" s="114"/>
      <c r="J71" s="114"/>
      <c r="K71" s="114"/>
    </row>
    <row r="72" spans="1:11" s="65" customFormat="1" ht="9" customHeight="1" x14ac:dyDescent="0.25">
      <c r="A72" s="96">
        <v>2001</v>
      </c>
      <c r="B72" s="97"/>
      <c r="C72" s="97"/>
      <c r="D72" s="97"/>
      <c r="E72" s="97"/>
      <c r="F72" s="97"/>
      <c r="G72" s="97"/>
      <c r="H72" s="97"/>
      <c r="I72" s="97"/>
      <c r="J72" s="97"/>
      <c r="K72" s="64"/>
    </row>
    <row r="73" spans="1:11" s="65" customFormat="1" ht="9" customHeight="1" x14ac:dyDescent="0.25">
      <c r="A73" s="99" t="s">
        <v>21</v>
      </c>
      <c r="B73" s="64">
        <f>SUM(B75:B102)</f>
        <v>36617</v>
      </c>
      <c r="C73" s="64">
        <f t="shared" ref="C73:K73" si="4">SUM(C75:C102)</f>
        <v>8876</v>
      </c>
      <c r="D73" s="64">
        <f t="shared" si="4"/>
        <v>1299</v>
      </c>
      <c r="E73" s="64">
        <f t="shared" si="4"/>
        <v>7440</v>
      </c>
      <c r="F73" s="64">
        <f t="shared" si="4"/>
        <v>9047</v>
      </c>
      <c r="G73" s="64">
        <f t="shared" si="4"/>
        <v>426</v>
      </c>
      <c r="H73" s="64">
        <f t="shared" si="4"/>
        <v>3759</v>
      </c>
      <c r="I73" s="64">
        <f t="shared" si="4"/>
        <v>502</v>
      </c>
      <c r="J73" s="64">
        <f t="shared" si="4"/>
        <v>2152</v>
      </c>
      <c r="K73" s="64">
        <f t="shared" si="4"/>
        <v>3116</v>
      </c>
    </row>
    <row r="74" spans="1:11" s="65" customFormat="1" ht="3.95" customHeight="1" x14ac:dyDescent="0.25">
      <c r="A74" s="99"/>
      <c r="B74" s="64"/>
      <c r="C74" s="64"/>
      <c r="D74" s="64"/>
      <c r="E74" s="64"/>
      <c r="F74" s="64"/>
      <c r="G74" s="64"/>
      <c r="H74" s="64"/>
      <c r="I74" s="64"/>
      <c r="J74" s="64"/>
      <c r="K74" s="64"/>
    </row>
    <row r="75" spans="1:11" s="68" customFormat="1" ht="9" customHeight="1" x14ac:dyDescent="0.15">
      <c r="A75" s="71" t="s">
        <v>23</v>
      </c>
      <c r="B75" s="92">
        <f t="shared" ref="B75:B102" si="5">SUM(C75:K75)</f>
        <v>595</v>
      </c>
      <c r="C75" s="92">
        <v>151</v>
      </c>
      <c r="D75" s="92">
        <v>15</v>
      </c>
      <c r="E75" s="92">
        <v>126</v>
      </c>
      <c r="F75" s="92">
        <v>153</v>
      </c>
      <c r="G75" s="92">
        <v>4</v>
      </c>
      <c r="H75" s="92">
        <v>56</v>
      </c>
      <c r="I75" s="92">
        <v>5</v>
      </c>
      <c r="J75" s="92">
        <v>36</v>
      </c>
      <c r="K75" s="67">
        <v>49</v>
      </c>
    </row>
    <row r="76" spans="1:11" s="68" customFormat="1" ht="9" customHeight="1" x14ac:dyDescent="0.15">
      <c r="A76" s="71" t="s">
        <v>24</v>
      </c>
      <c r="B76" s="92">
        <f t="shared" si="5"/>
        <v>2132</v>
      </c>
      <c r="C76" s="92">
        <v>408</v>
      </c>
      <c r="D76" s="92">
        <v>436</v>
      </c>
      <c r="E76" s="92">
        <v>387</v>
      </c>
      <c r="F76" s="92">
        <v>242</v>
      </c>
      <c r="G76" s="92">
        <v>17</v>
      </c>
      <c r="H76" s="92">
        <v>59</v>
      </c>
      <c r="I76" s="92">
        <v>80</v>
      </c>
      <c r="J76" s="92">
        <v>149</v>
      </c>
      <c r="K76" s="67">
        <v>354</v>
      </c>
    </row>
    <row r="77" spans="1:11" s="68" customFormat="1" ht="9" customHeight="1" x14ac:dyDescent="0.15">
      <c r="A77" s="71" t="s">
        <v>25</v>
      </c>
      <c r="B77" s="92">
        <f t="shared" si="5"/>
        <v>198</v>
      </c>
      <c r="C77" s="92">
        <v>59</v>
      </c>
      <c r="D77" s="92">
        <v>7</v>
      </c>
      <c r="E77" s="92">
        <v>48</v>
      </c>
      <c r="F77" s="92">
        <v>56</v>
      </c>
      <c r="G77" s="92">
        <v>0</v>
      </c>
      <c r="H77" s="92">
        <v>7</v>
      </c>
      <c r="I77" s="92">
        <v>0</v>
      </c>
      <c r="J77" s="92">
        <v>5</v>
      </c>
      <c r="K77" s="67">
        <v>16</v>
      </c>
    </row>
    <row r="78" spans="1:11" s="68" customFormat="1" ht="9" customHeight="1" x14ac:dyDescent="0.15">
      <c r="A78" s="69" t="s">
        <v>27</v>
      </c>
      <c r="B78" s="90">
        <f t="shared" si="5"/>
        <v>1414</v>
      </c>
      <c r="C78" s="90">
        <v>324</v>
      </c>
      <c r="D78" s="90">
        <v>23</v>
      </c>
      <c r="E78" s="90">
        <v>285</v>
      </c>
      <c r="F78" s="90">
        <v>266</v>
      </c>
      <c r="G78" s="90">
        <v>7</v>
      </c>
      <c r="H78" s="90">
        <v>207</v>
      </c>
      <c r="I78" s="90">
        <v>25</v>
      </c>
      <c r="J78" s="90">
        <v>116</v>
      </c>
      <c r="K78" s="70">
        <v>161</v>
      </c>
    </row>
    <row r="79" spans="1:11" s="68" customFormat="1" ht="9" customHeight="1" x14ac:dyDescent="0.15">
      <c r="A79" s="71" t="s">
        <v>28</v>
      </c>
      <c r="B79" s="92">
        <f t="shared" si="5"/>
        <v>644</v>
      </c>
      <c r="C79" s="92">
        <v>152</v>
      </c>
      <c r="D79" s="92">
        <v>60</v>
      </c>
      <c r="E79" s="92">
        <v>125</v>
      </c>
      <c r="F79" s="92">
        <v>118</v>
      </c>
      <c r="G79" s="92">
        <v>11</v>
      </c>
      <c r="H79" s="92">
        <v>37</v>
      </c>
      <c r="I79" s="92">
        <v>8</v>
      </c>
      <c r="J79" s="92">
        <v>29</v>
      </c>
      <c r="K79" s="67">
        <v>104</v>
      </c>
    </row>
    <row r="80" spans="1:11" s="68" customFormat="1" ht="9" customHeight="1" x14ac:dyDescent="0.15">
      <c r="A80" s="71" t="s">
        <v>29</v>
      </c>
      <c r="B80" s="92">
        <f t="shared" si="5"/>
        <v>174</v>
      </c>
      <c r="C80" s="92">
        <v>47</v>
      </c>
      <c r="D80" s="92">
        <v>7</v>
      </c>
      <c r="E80" s="92">
        <v>45</v>
      </c>
      <c r="F80" s="92">
        <v>38</v>
      </c>
      <c r="G80" s="92">
        <v>0</v>
      </c>
      <c r="H80" s="92">
        <v>19</v>
      </c>
      <c r="I80" s="92">
        <v>0</v>
      </c>
      <c r="J80" s="92">
        <v>12</v>
      </c>
      <c r="K80" s="67">
        <v>6</v>
      </c>
    </row>
    <row r="81" spans="1:11" s="68" customFormat="1" ht="9" customHeight="1" x14ac:dyDescent="0.15">
      <c r="A81" s="71" t="s">
        <v>30</v>
      </c>
      <c r="B81" s="92">
        <f t="shared" si="5"/>
        <v>1644</v>
      </c>
      <c r="C81" s="92">
        <v>387</v>
      </c>
      <c r="D81" s="92">
        <v>26</v>
      </c>
      <c r="E81" s="92">
        <v>331</v>
      </c>
      <c r="F81" s="92">
        <v>407</v>
      </c>
      <c r="G81" s="92">
        <v>12</v>
      </c>
      <c r="H81" s="92">
        <v>140</v>
      </c>
      <c r="I81" s="92">
        <v>132</v>
      </c>
      <c r="J81" s="92">
        <v>117</v>
      </c>
      <c r="K81" s="67">
        <v>92</v>
      </c>
    </row>
    <row r="82" spans="1:11" s="68" customFormat="1" ht="9" customHeight="1" x14ac:dyDescent="0.15">
      <c r="A82" s="69" t="s">
        <v>63</v>
      </c>
      <c r="B82" s="90">
        <f t="shared" si="5"/>
        <v>9052</v>
      </c>
      <c r="C82" s="90">
        <v>2183</v>
      </c>
      <c r="D82" s="90">
        <v>155</v>
      </c>
      <c r="E82" s="90">
        <v>1680</v>
      </c>
      <c r="F82" s="90">
        <v>2782</v>
      </c>
      <c r="G82" s="90">
        <v>131</v>
      </c>
      <c r="H82" s="90">
        <v>933</v>
      </c>
      <c r="I82" s="90">
        <v>57</v>
      </c>
      <c r="J82" s="90">
        <v>438</v>
      </c>
      <c r="K82" s="70">
        <v>693</v>
      </c>
    </row>
    <row r="83" spans="1:11" s="68" customFormat="1" ht="9" customHeight="1" x14ac:dyDescent="0.15">
      <c r="A83" s="71" t="s">
        <v>31</v>
      </c>
      <c r="B83" s="92">
        <f t="shared" si="5"/>
        <v>551</v>
      </c>
      <c r="C83" s="92">
        <v>117</v>
      </c>
      <c r="D83" s="92">
        <v>70</v>
      </c>
      <c r="E83" s="92">
        <v>110</v>
      </c>
      <c r="F83" s="92">
        <v>91</v>
      </c>
      <c r="G83" s="92">
        <v>14</v>
      </c>
      <c r="H83" s="92">
        <v>62</v>
      </c>
      <c r="I83" s="92">
        <v>17</v>
      </c>
      <c r="J83" s="92">
        <v>34</v>
      </c>
      <c r="K83" s="67">
        <v>36</v>
      </c>
    </row>
    <row r="84" spans="1:11" s="68" customFormat="1" ht="9" customHeight="1" x14ac:dyDescent="0.15">
      <c r="A84" s="71" t="s">
        <v>32</v>
      </c>
      <c r="B84" s="92">
        <f t="shared" si="5"/>
        <v>1383</v>
      </c>
      <c r="C84" s="92">
        <v>348</v>
      </c>
      <c r="D84" s="92">
        <v>32</v>
      </c>
      <c r="E84" s="92">
        <v>279</v>
      </c>
      <c r="F84" s="92">
        <v>283</v>
      </c>
      <c r="G84" s="92">
        <v>11</v>
      </c>
      <c r="H84" s="92">
        <v>142</v>
      </c>
      <c r="I84" s="92">
        <v>8</v>
      </c>
      <c r="J84" s="92">
        <v>82</v>
      </c>
      <c r="K84" s="67">
        <v>198</v>
      </c>
    </row>
    <row r="85" spans="1:11" s="68" customFormat="1" ht="9" customHeight="1" x14ac:dyDescent="0.15">
      <c r="A85" s="71" t="s">
        <v>33</v>
      </c>
      <c r="B85" s="92">
        <f t="shared" si="5"/>
        <v>1099</v>
      </c>
      <c r="C85" s="92">
        <v>274</v>
      </c>
      <c r="D85" s="92">
        <v>20</v>
      </c>
      <c r="E85" s="92">
        <v>187</v>
      </c>
      <c r="F85" s="92">
        <v>289</v>
      </c>
      <c r="G85" s="92">
        <v>7</v>
      </c>
      <c r="H85" s="92">
        <v>61</v>
      </c>
      <c r="I85" s="92">
        <v>9</v>
      </c>
      <c r="J85" s="92">
        <v>36</v>
      </c>
      <c r="K85" s="67">
        <v>216</v>
      </c>
    </row>
    <row r="86" spans="1:11" s="68" customFormat="1" ht="9" customHeight="1" x14ac:dyDescent="0.15">
      <c r="A86" s="69" t="s">
        <v>34</v>
      </c>
      <c r="B86" s="90">
        <f t="shared" si="5"/>
        <v>378</v>
      </c>
      <c r="C86" s="90">
        <v>89</v>
      </c>
      <c r="D86" s="90">
        <v>7</v>
      </c>
      <c r="E86" s="90">
        <v>89</v>
      </c>
      <c r="F86" s="90">
        <v>63</v>
      </c>
      <c r="G86" s="90">
        <v>2</v>
      </c>
      <c r="H86" s="90">
        <v>78</v>
      </c>
      <c r="I86" s="90">
        <v>2</v>
      </c>
      <c r="J86" s="90">
        <v>21</v>
      </c>
      <c r="K86" s="70">
        <v>27</v>
      </c>
    </row>
    <row r="87" spans="1:11" s="68" customFormat="1" ht="9" customHeight="1" x14ac:dyDescent="0.15">
      <c r="A87" s="71" t="s">
        <v>35</v>
      </c>
      <c r="B87" s="92">
        <f t="shared" si="5"/>
        <v>3705</v>
      </c>
      <c r="C87" s="92">
        <v>919</v>
      </c>
      <c r="D87" s="92">
        <v>73</v>
      </c>
      <c r="E87" s="92">
        <v>781</v>
      </c>
      <c r="F87" s="92">
        <v>1147</v>
      </c>
      <c r="G87" s="92">
        <v>38</v>
      </c>
      <c r="H87" s="92">
        <v>286</v>
      </c>
      <c r="I87" s="92">
        <v>27</v>
      </c>
      <c r="J87" s="92">
        <v>212</v>
      </c>
      <c r="K87" s="67">
        <v>222</v>
      </c>
    </row>
    <row r="88" spans="1:11" s="68" customFormat="1" ht="9" customHeight="1" x14ac:dyDescent="0.15">
      <c r="A88" s="71" t="s">
        <v>36</v>
      </c>
      <c r="B88" s="92">
        <f t="shared" si="5"/>
        <v>4814</v>
      </c>
      <c r="C88" s="92">
        <v>1246</v>
      </c>
      <c r="D88" s="92">
        <v>77</v>
      </c>
      <c r="E88" s="92">
        <v>932</v>
      </c>
      <c r="F88" s="92">
        <v>1261</v>
      </c>
      <c r="G88" s="92">
        <v>50</v>
      </c>
      <c r="H88" s="92">
        <v>614</v>
      </c>
      <c r="I88" s="92">
        <v>20</v>
      </c>
      <c r="J88" s="92">
        <v>239</v>
      </c>
      <c r="K88" s="67">
        <v>375</v>
      </c>
    </row>
    <row r="89" spans="1:11" s="68" customFormat="1" ht="9" customHeight="1" x14ac:dyDescent="0.15">
      <c r="A89" s="71" t="s">
        <v>37</v>
      </c>
      <c r="B89" s="92">
        <f t="shared" si="5"/>
        <v>128</v>
      </c>
      <c r="C89" s="92">
        <v>32</v>
      </c>
      <c r="D89" s="92">
        <v>8</v>
      </c>
      <c r="E89" s="92">
        <v>21</v>
      </c>
      <c r="F89" s="92">
        <v>44</v>
      </c>
      <c r="G89" s="92">
        <v>2</v>
      </c>
      <c r="H89" s="92">
        <v>6</v>
      </c>
      <c r="I89" s="92">
        <v>5</v>
      </c>
      <c r="J89" s="92">
        <v>8</v>
      </c>
      <c r="K89" s="67">
        <v>2</v>
      </c>
    </row>
    <row r="90" spans="1:11" s="68" customFormat="1" ht="9" customHeight="1" x14ac:dyDescent="0.15">
      <c r="A90" s="69" t="s">
        <v>38</v>
      </c>
      <c r="B90" s="90">
        <f t="shared" si="5"/>
        <v>213</v>
      </c>
      <c r="C90" s="90">
        <v>56</v>
      </c>
      <c r="D90" s="90">
        <v>8</v>
      </c>
      <c r="E90" s="90">
        <v>40</v>
      </c>
      <c r="F90" s="90">
        <v>55</v>
      </c>
      <c r="G90" s="90">
        <v>1</v>
      </c>
      <c r="H90" s="90">
        <v>29</v>
      </c>
      <c r="I90" s="90">
        <v>2</v>
      </c>
      <c r="J90" s="90">
        <v>8</v>
      </c>
      <c r="K90" s="70">
        <v>14</v>
      </c>
    </row>
    <row r="91" spans="1:11" s="68" customFormat="1" ht="9" customHeight="1" x14ac:dyDescent="0.15">
      <c r="A91" s="71" t="s">
        <v>40</v>
      </c>
      <c r="B91" s="92">
        <f t="shared" si="5"/>
        <v>1381</v>
      </c>
      <c r="C91" s="92">
        <v>306</v>
      </c>
      <c r="D91" s="92">
        <v>20</v>
      </c>
      <c r="E91" s="92">
        <v>336</v>
      </c>
      <c r="F91" s="92">
        <v>309</v>
      </c>
      <c r="G91" s="92">
        <v>8</v>
      </c>
      <c r="H91" s="92">
        <v>232</v>
      </c>
      <c r="I91" s="92">
        <v>15</v>
      </c>
      <c r="J91" s="92">
        <v>101</v>
      </c>
      <c r="K91" s="67">
        <v>54</v>
      </c>
    </row>
    <row r="92" spans="1:11" s="68" customFormat="1" ht="9" customHeight="1" x14ac:dyDescent="0.15">
      <c r="A92" s="71" t="s">
        <v>42</v>
      </c>
      <c r="B92" s="92">
        <f t="shared" si="5"/>
        <v>1166</v>
      </c>
      <c r="C92" s="92">
        <v>306</v>
      </c>
      <c r="D92" s="92">
        <v>39</v>
      </c>
      <c r="E92" s="92">
        <v>249</v>
      </c>
      <c r="F92" s="92">
        <v>213</v>
      </c>
      <c r="G92" s="92">
        <v>24</v>
      </c>
      <c r="H92" s="92">
        <v>155</v>
      </c>
      <c r="I92" s="92">
        <v>26</v>
      </c>
      <c r="J92" s="92">
        <v>106</v>
      </c>
      <c r="K92" s="67">
        <v>48</v>
      </c>
    </row>
    <row r="93" spans="1:11" s="68" customFormat="1" ht="9" customHeight="1" x14ac:dyDescent="0.15">
      <c r="A93" s="71" t="s">
        <v>43</v>
      </c>
      <c r="B93" s="92">
        <f t="shared" si="5"/>
        <v>499</v>
      </c>
      <c r="C93" s="92">
        <v>116</v>
      </c>
      <c r="D93" s="92">
        <v>15</v>
      </c>
      <c r="E93" s="92">
        <v>103</v>
      </c>
      <c r="F93" s="92">
        <v>101</v>
      </c>
      <c r="G93" s="92">
        <v>5</v>
      </c>
      <c r="H93" s="92">
        <v>53</v>
      </c>
      <c r="I93" s="92">
        <v>1</v>
      </c>
      <c r="J93" s="92">
        <v>37</v>
      </c>
      <c r="K93" s="67">
        <v>68</v>
      </c>
    </row>
    <row r="94" spans="1:11" s="68" customFormat="1" ht="9" customHeight="1" x14ac:dyDescent="0.15">
      <c r="A94" s="69" t="s">
        <v>44</v>
      </c>
      <c r="B94" s="90">
        <f t="shared" si="5"/>
        <v>239</v>
      </c>
      <c r="C94" s="90">
        <v>64</v>
      </c>
      <c r="D94" s="90">
        <v>8</v>
      </c>
      <c r="E94" s="90">
        <v>61</v>
      </c>
      <c r="F94" s="90">
        <v>58</v>
      </c>
      <c r="G94" s="90">
        <v>2</v>
      </c>
      <c r="H94" s="90">
        <v>34</v>
      </c>
      <c r="I94" s="90">
        <v>2</v>
      </c>
      <c r="J94" s="90">
        <v>5</v>
      </c>
      <c r="K94" s="70">
        <v>5</v>
      </c>
    </row>
    <row r="95" spans="1:11" s="68" customFormat="1" ht="9" customHeight="1" x14ac:dyDescent="0.15">
      <c r="A95" s="71" t="s">
        <v>45</v>
      </c>
      <c r="B95" s="92">
        <f t="shared" si="5"/>
        <v>720</v>
      </c>
      <c r="C95" s="92">
        <v>164</v>
      </c>
      <c r="D95" s="92">
        <v>10</v>
      </c>
      <c r="E95" s="92">
        <v>128</v>
      </c>
      <c r="F95" s="92">
        <v>112</v>
      </c>
      <c r="G95" s="92">
        <v>10</v>
      </c>
      <c r="H95" s="92">
        <v>117</v>
      </c>
      <c r="I95" s="92">
        <v>4</v>
      </c>
      <c r="J95" s="92">
        <v>47</v>
      </c>
      <c r="K95" s="67">
        <v>128</v>
      </c>
    </row>
    <row r="96" spans="1:11" s="68" customFormat="1" ht="9" customHeight="1" x14ac:dyDescent="0.15">
      <c r="A96" s="71" t="s">
        <v>46</v>
      </c>
      <c r="B96" s="92">
        <f t="shared" si="5"/>
        <v>1912</v>
      </c>
      <c r="C96" s="92">
        <v>422</v>
      </c>
      <c r="D96" s="92">
        <v>117</v>
      </c>
      <c r="E96" s="92">
        <v>444</v>
      </c>
      <c r="F96" s="92">
        <v>463</v>
      </c>
      <c r="G96" s="92">
        <v>37</v>
      </c>
      <c r="H96" s="92">
        <v>152</v>
      </c>
      <c r="I96" s="92">
        <v>36</v>
      </c>
      <c r="J96" s="92">
        <v>117</v>
      </c>
      <c r="K96" s="67">
        <v>124</v>
      </c>
    </row>
    <row r="97" spans="1:12" s="68" customFormat="1" ht="9" customHeight="1" x14ac:dyDescent="0.15">
      <c r="A97" s="71" t="s">
        <v>47</v>
      </c>
      <c r="B97" s="92">
        <f t="shared" si="5"/>
        <v>411</v>
      </c>
      <c r="C97" s="92">
        <v>147</v>
      </c>
      <c r="D97" s="92">
        <v>10</v>
      </c>
      <c r="E97" s="92">
        <v>88</v>
      </c>
      <c r="F97" s="92">
        <v>57</v>
      </c>
      <c r="G97" s="92">
        <v>3</v>
      </c>
      <c r="H97" s="92">
        <v>30</v>
      </c>
      <c r="I97" s="92">
        <v>7</v>
      </c>
      <c r="J97" s="92">
        <v>28</v>
      </c>
      <c r="K97" s="67">
        <v>41</v>
      </c>
    </row>
    <row r="98" spans="1:12" s="68" customFormat="1" ht="9" customHeight="1" x14ac:dyDescent="0.15">
      <c r="A98" s="69" t="s">
        <v>49</v>
      </c>
      <c r="B98" s="90">
        <f t="shared" si="5"/>
        <v>500</v>
      </c>
      <c r="C98" s="90">
        <v>96</v>
      </c>
      <c r="D98" s="90">
        <v>16</v>
      </c>
      <c r="E98" s="90">
        <v>132</v>
      </c>
      <c r="F98" s="90">
        <v>116</v>
      </c>
      <c r="G98" s="90">
        <v>12</v>
      </c>
      <c r="H98" s="90">
        <v>54</v>
      </c>
      <c r="I98" s="90">
        <v>6</v>
      </c>
      <c r="J98" s="90">
        <v>54</v>
      </c>
      <c r="K98" s="70">
        <v>14</v>
      </c>
    </row>
    <row r="99" spans="1:12" s="68" customFormat="1" ht="9" customHeight="1" x14ac:dyDescent="0.15">
      <c r="A99" s="71" t="s">
        <v>51</v>
      </c>
      <c r="B99" s="92">
        <f t="shared" si="5"/>
        <v>680</v>
      </c>
      <c r="C99" s="92">
        <v>181</v>
      </c>
      <c r="D99" s="92">
        <v>25</v>
      </c>
      <c r="E99" s="92">
        <v>178</v>
      </c>
      <c r="F99" s="92">
        <v>123</v>
      </c>
      <c r="G99" s="92">
        <v>8</v>
      </c>
      <c r="H99" s="92">
        <v>92</v>
      </c>
      <c r="I99" s="92">
        <v>6</v>
      </c>
      <c r="J99" s="92">
        <v>35</v>
      </c>
      <c r="K99" s="67">
        <v>32</v>
      </c>
    </row>
    <row r="100" spans="1:12" s="68" customFormat="1" ht="9" customHeight="1" x14ac:dyDescent="0.15">
      <c r="A100" s="71" t="s">
        <v>52</v>
      </c>
      <c r="B100" s="92">
        <f t="shared" si="5"/>
        <v>653</v>
      </c>
      <c r="C100" s="92">
        <v>200</v>
      </c>
      <c r="D100" s="92">
        <v>4</v>
      </c>
      <c r="E100" s="92">
        <v>164</v>
      </c>
      <c r="F100" s="92">
        <v>126</v>
      </c>
      <c r="G100" s="92">
        <v>1</v>
      </c>
      <c r="H100" s="92">
        <v>72</v>
      </c>
      <c r="I100" s="92">
        <v>0</v>
      </c>
      <c r="J100" s="92">
        <v>57</v>
      </c>
      <c r="K100" s="67">
        <v>29</v>
      </c>
    </row>
    <row r="101" spans="1:12" s="68" customFormat="1" ht="9" customHeight="1" x14ac:dyDescent="0.15">
      <c r="A101" s="71" t="s">
        <v>53</v>
      </c>
      <c r="B101" s="92">
        <f t="shared" si="5"/>
        <v>278</v>
      </c>
      <c r="C101" s="92">
        <v>68</v>
      </c>
      <c r="D101" s="92">
        <v>7</v>
      </c>
      <c r="E101" s="92">
        <v>80</v>
      </c>
      <c r="F101" s="92">
        <v>63</v>
      </c>
      <c r="G101" s="92">
        <v>9</v>
      </c>
      <c r="H101" s="92">
        <v>25</v>
      </c>
      <c r="I101" s="92">
        <v>1</v>
      </c>
      <c r="J101" s="92">
        <v>22</v>
      </c>
      <c r="K101" s="67">
        <v>3</v>
      </c>
    </row>
    <row r="102" spans="1:12" s="68" customFormat="1" ht="9" customHeight="1" x14ac:dyDescent="0.25">
      <c r="A102" s="69" t="s">
        <v>54</v>
      </c>
      <c r="B102" s="110">
        <f t="shared" si="5"/>
        <v>54</v>
      </c>
      <c r="C102" s="110">
        <v>14</v>
      </c>
      <c r="D102" s="110">
        <v>4</v>
      </c>
      <c r="E102" s="110">
        <v>11</v>
      </c>
      <c r="F102" s="110">
        <v>11</v>
      </c>
      <c r="G102" s="110">
        <v>0</v>
      </c>
      <c r="H102" s="110">
        <v>7</v>
      </c>
      <c r="I102" s="110">
        <v>1</v>
      </c>
      <c r="J102" s="110">
        <v>1</v>
      </c>
      <c r="K102" s="110">
        <v>5</v>
      </c>
    </row>
    <row r="103" spans="1:12" s="65" customFormat="1" ht="9" customHeight="1" x14ac:dyDescent="0.25">
      <c r="A103" s="100"/>
      <c r="B103" s="97"/>
      <c r="C103" s="97"/>
      <c r="D103" s="97"/>
      <c r="E103" s="97"/>
      <c r="F103" s="97"/>
      <c r="G103" s="97"/>
      <c r="H103" s="97"/>
      <c r="I103" s="97"/>
      <c r="J103" s="97"/>
      <c r="K103" s="64"/>
    </row>
    <row r="104" spans="1:12" s="65" customFormat="1" ht="9" customHeight="1" x14ac:dyDescent="0.25">
      <c r="A104" s="96">
        <v>2002</v>
      </c>
      <c r="B104" s="97"/>
      <c r="C104" s="97"/>
      <c r="D104" s="97"/>
      <c r="E104" s="97"/>
      <c r="F104" s="97"/>
      <c r="G104" s="97"/>
      <c r="H104" s="97"/>
      <c r="I104" s="97"/>
      <c r="J104" s="97"/>
      <c r="K104" s="64"/>
    </row>
    <row r="105" spans="1:12" s="65" customFormat="1" ht="9" customHeight="1" x14ac:dyDescent="0.25">
      <c r="A105" s="99" t="s">
        <v>21</v>
      </c>
      <c r="B105" s="64">
        <f t="shared" ref="B105:J105" si="6">SUM(B107:B134)</f>
        <v>49384</v>
      </c>
      <c r="C105" s="64">
        <f t="shared" si="6"/>
        <v>11734</v>
      </c>
      <c r="D105" s="64">
        <f t="shared" si="6"/>
        <v>1403</v>
      </c>
      <c r="E105" s="64">
        <f t="shared" si="6"/>
        <v>8366</v>
      </c>
      <c r="F105" s="64">
        <f t="shared" si="6"/>
        <v>9943</v>
      </c>
      <c r="G105" s="64">
        <f t="shared" si="6"/>
        <v>477</v>
      </c>
      <c r="H105" s="64">
        <f t="shared" si="6"/>
        <v>4409</v>
      </c>
      <c r="I105" s="64">
        <f t="shared" si="6"/>
        <v>277</v>
      </c>
      <c r="J105" s="64">
        <f t="shared" si="6"/>
        <v>2398</v>
      </c>
      <c r="K105" s="64">
        <f>SUM(K107:K134)</f>
        <v>10377</v>
      </c>
      <c r="L105" s="101"/>
    </row>
    <row r="106" spans="1:12" s="65" customFormat="1" ht="3.95" customHeight="1" x14ac:dyDescent="0.25">
      <c r="A106" s="99"/>
      <c r="B106" s="64"/>
      <c r="C106" s="64"/>
      <c r="D106" s="64"/>
      <c r="E106" s="64"/>
      <c r="F106" s="64"/>
      <c r="G106" s="64"/>
      <c r="H106" s="64"/>
      <c r="I106" s="64"/>
      <c r="J106" s="64"/>
      <c r="K106" s="64"/>
    </row>
    <row r="107" spans="1:12" s="68" customFormat="1" ht="9" customHeight="1" x14ac:dyDescent="0.15">
      <c r="A107" s="71" t="s">
        <v>23</v>
      </c>
      <c r="B107" s="92">
        <f t="shared" ref="B107:B134" si="7">SUM(C107:K107)</f>
        <v>948</v>
      </c>
      <c r="C107" s="92">
        <v>243</v>
      </c>
      <c r="D107" s="92">
        <v>20</v>
      </c>
      <c r="E107" s="92">
        <v>154</v>
      </c>
      <c r="F107" s="92">
        <v>178</v>
      </c>
      <c r="G107" s="92">
        <v>3</v>
      </c>
      <c r="H107" s="92">
        <v>98</v>
      </c>
      <c r="I107" s="92">
        <v>1</v>
      </c>
      <c r="J107" s="92">
        <v>44</v>
      </c>
      <c r="K107" s="67">
        <v>207</v>
      </c>
    </row>
    <row r="108" spans="1:12" s="68" customFormat="1" ht="9" customHeight="1" x14ac:dyDescent="0.15">
      <c r="A108" s="71" t="s">
        <v>24</v>
      </c>
      <c r="B108" s="92">
        <f t="shared" si="7"/>
        <v>1656</v>
      </c>
      <c r="C108" s="92">
        <v>339</v>
      </c>
      <c r="D108" s="92">
        <v>313</v>
      </c>
      <c r="E108" s="92">
        <v>261</v>
      </c>
      <c r="F108" s="92">
        <v>185</v>
      </c>
      <c r="G108" s="92">
        <v>17</v>
      </c>
      <c r="H108" s="92">
        <v>38</v>
      </c>
      <c r="I108" s="92">
        <v>15</v>
      </c>
      <c r="J108" s="92">
        <v>109</v>
      </c>
      <c r="K108" s="67">
        <v>379</v>
      </c>
    </row>
    <row r="109" spans="1:12" s="68" customFormat="1" ht="9" customHeight="1" x14ac:dyDescent="0.15">
      <c r="A109" s="71" t="s">
        <v>25</v>
      </c>
      <c r="B109" s="92">
        <f t="shared" si="7"/>
        <v>340</v>
      </c>
      <c r="C109" s="92">
        <v>76</v>
      </c>
      <c r="D109" s="92">
        <v>15</v>
      </c>
      <c r="E109" s="92">
        <v>76</v>
      </c>
      <c r="F109" s="92">
        <v>62</v>
      </c>
      <c r="G109" s="92">
        <v>0</v>
      </c>
      <c r="H109" s="92">
        <v>19</v>
      </c>
      <c r="I109" s="92">
        <v>1</v>
      </c>
      <c r="J109" s="92">
        <v>26</v>
      </c>
      <c r="K109" s="67">
        <v>65</v>
      </c>
    </row>
    <row r="110" spans="1:12" s="68" customFormat="1" ht="9" customHeight="1" x14ac:dyDescent="0.15">
      <c r="A110" s="69" t="s">
        <v>27</v>
      </c>
      <c r="B110" s="90">
        <f t="shared" si="7"/>
        <v>1552</v>
      </c>
      <c r="C110" s="90">
        <v>378</v>
      </c>
      <c r="D110" s="90">
        <v>16</v>
      </c>
      <c r="E110" s="90">
        <v>275</v>
      </c>
      <c r="F110" s="90">
        <v>256</v>
      </c>
      <c r="G110" s="90">
        <v>4</v>
      </c>
      <c r="H110" s="90">
        <v>183</v>
      </c>
      <c r="I110" s="90">
        <v>2</v>
      </c>
      <c r="J110" s="90">
        <v>82</v>
      </c>
      <c r="K110" s="70">
        <v>356</v>
      </c>
    </row>
    <row r="111" spans="1:12" s="68" customFormat="1" ht="9" customHeight="1" x14ac:dyDescent="0.15">
      <c r="A111" s="71" t="s">
        <v>28</v>
      </c>
      <c r="B111" s="92">
        <f t="shared" si="7"/>
        <v>676</v>
      </c>
      <c r="C111" s="92">
        <v>168</v>
      </c>
      <c r="D111" s="92">
        <v>82</v>
      </c>
      <c r="E111" s="92">
        <v>99</v>
      </c>
      <c r="F111" s="92">
        <v>104</v>
      </c>
      <c r="G111" s="92">
        <v>5</v>
      </c>
      <c r="H111" s="92">
        <v>21</v>
      </c>
      <c r="I111" s="92">
        <v>4</v>
      </c>
      <c r="J111" s="92">
        <v>16</v>
      </c>
      <c r="K111" s="67">
        <v>177</v>
      </c>
    </row>
    <row r="112" spans="1:12" s="68" customFormat="1" ht="9" customHeight="1" x14ac:dyDescent="0.15">
      <c r="A112" s="71" t="s">
        <v>29</v>
      </c>
      <c r="B112" s="92">
        <f t="shared" si="7"/>
        <v>277</v>
      </c>
      <c r="C112" s="92">
        <v>74</v>
      </c>
      <c r="D112" s="92">
        <v>3</v>
      </c>
      <c r="E112" s="92">
        <v>55</v>
      </c>
      <c r="F112" s="92">
        <v>50</v>
      </c>
      <c r="G112" s="92">
        <v>1</v>
      </c>
      <c r="H112" s="92">
        <v>23</v>
      </c>
      <c r="I112" s="92">
        <v>3</v>
      </c>
      <c r="J112" s="92">
        <v>10</v>
      </c>
      <c r="K112" s="67">
        <v>58</v>
      </c>
    </row>
    <row r="113" spans="1:11" s="68" customFormat="1" ht="9" customHeight="1" x14ac:dyDescent="0.15">
      <c r="A113" s="71" t="s">
        <v>30</v>
      </c>
      <c r="B113" s="92">
        <f t="shared" si="7"/>
        <v>2423</v>
      </c>
      <c r="C113" s="92">
        <v>492</v>
      </c>
      <c r="D113" s="92">
        <v>26</v>
      </c>
      <c r="E113" s="92">
        <v>393</v>
      </c>
      <c r="F113" s="92">
        <v>473</v>
      </c>
      <c r="G113" s="92">
        <v>23</v>
      </c>
      <c r="H113" s="92">
        <v>183</v>
      </c>
      <c r="I113" s="92">
        <v>31</v>
      </c>
      <c r="J113" s="92">
        <v>171</v>
      </c>
      <c r="K113" s="67">
        <v>631</v>
      </c>
    </row>
    <row r="114" spans="1:11" s="68" customFormat="1" ht="9" customHeight="1" x14ac:dyDescent="0.15">
      <c r="A114" s="69" t="s">
        <v>63</v>
      </c>
      <c r="B114" s="90">
        <f t="shared" si="7"/>
        <v>12599</v>
      </c>
      <c r="C114" s="90">
        <v>2995</v>
      </c>
      <c r="D114" s="90">
        <v>216</v>
      </c>
      <c r="E114" s="90">
        <v>1933</v>
      </c>
      <c r="F114" s="90">
        <v>2892</v>
      </c>
      <c r="G114" s="90">
        <v>163</v>
      </c>
      <c r="H114" s="90">
        <v>1173</v>
      </c>
      <c r="I114" s="90">
        <v>54</v>
      </c>
      <c r="J114" s="90">
        <v>499</v>
      </c>
      <c r="K114" s="70">
        <v>2674</v>
      </c>
    </row>
    <row r="115" spans="1:11" s="68" customFormat="1" ht="9" customHeight="1" x14ac:dyDescent="0.15">
      <c r="A115" s="71" t="s">
        <v>31</v>
      </c>
      <c r="B115" s="92">
        <f t="shared" si="7"/>
        <v>527</v>
      </c>
      <c r="C115" s="92">
        <v>114</v>
      </c>
      <c r="D115" s="92">
        <v>71</v>
      </c>
      <c r="E115" s="92">
        <v>83</v>
      </c>
      <c r="F115" s="92">
        <v>75</v>
      </c>
      <c r="G115" s="92">
        <v>2</v>
      </c>
      <c r="H115" s="92">
        <v>48</v>
      </c>
      <c r="I115" s="92">
        <v>0</v>
      </c>
      <c r="J115" s="92">
        <v>21</v>
      </c>
      <c r="K115" s="67">
        <v>113</v>
      </c>
    </row>
    <row r="116" spans="1:11" s="68" customFormat="1" ht="9" customHeight="1" x14ac:dyDescent="0.15">
      <c r="A116" s="71" t="s">
        <v>32</v>
      </c>
      <c r="B116" s="92">
        <f t="shared" si="7"/>
        <v>2243</v>
      </c>
      <c r="C116" s="92">
        <v>535</v>
      </c>
      <c r="D116" s="92">
        <v>65</v>
      </c>
      <c r="E116" s="92">
        <v>360</v>
      </c>
      <c r="F116" s="92">
        <v>416</v>
      </c>
      <c r="G116" s="92">
        <v>16</v>
      </c>
      <c r="H116" s="92">
        <v>231</v>
      </c>
      <c r="I116" s="92">
        <v>17</v>
      </c>
      <c r="J116" s="92">
        <v>105</v>
      </c>
      <c r="K116" s="67">
        <v>498</v>
      </c>
    </row>
    <row r="117" spans="1:11" s="68" customFormat="1" ht="9" customHeight="1" x14ac:dyDescent="0.15">
      <c r="A117" s="71" t="s">
        <v>33</v>
      </c>
      <c r="B117" s="92">
        <f t="shared" si="7"/>
        <v>1181</v>
      </c>
      <c r="C117" s="92">
        <v>322</v>
      </c>
      <c r="D117" s="92">
        <v>22</v>
      </c>
      <c r="E117" s="92">
        <v>183</v>
      </c>
      <c r="F117" s="92">
        <v>267</v>
      </c>
      <c r="G117" s="92">
        <v>1</v>
      </c>
      <c r="H117" s="92">
        <v>67</v>
      </c>
      <c r="I117" s="92">
        <v>3</v>
      </c>
      <c r="J117" s="92">
        <v>42</v>
      </c>
      <c r="K117" s="67">
        <v>274</v>
      </c>
    </row>
    <row r="118" spans="1:11" s="68" customFormat="1" ht="9" customHeight="1" x14ac:dyDescent="0.15">
      <c r="A118" s="69" t="s">
        <v>34</v>
      </c>
      <c r="B118" s="90">
        <f t="shared" si="7"/>
        <v>558</v>
      </c>
      <c r="C118" s="90">
        <v>143</v>
      </c>
      <c r="D118" s="90">
        <v>9</v>
      </c>
      <c r="E118" s="90">
        <v>111</v>
      </c>
      <c r="F118" s="90">
        <v>77</v>
      </c>
      <c r="G118" s="90">
        <v>8</v>
      </c>
      <c r="H118" s="90">
        <v>65</v>
      </c>
      <c r="I118" s="90">
        <v>0</v>
      </c>
      <c r="J118" s="90">
        <v>16</v>
      </c>
      <c r="K118" s="70">
        <v>129</v>
      </c>
    </row>
    <row r="119" spans="1:11" s="68" customFormat="1" ht="9" customHeight="1" x14ac:dyDescent="0.15">
      <c r="A119" s="71" t="s">
        <v>35</v>
      </c>
      <c r="B119" s="92">
        <f t="shared" si="7"/>
        <v>4811</v>
      </c>
      <c r="C119" s="92">
        <v>1099</v>
      </c>
      <c r="D119" s="92">
        <v>103</v>
      </c>
      <c r="E119" s="92">
        <v>855</v>
      </c>
      <c r="F119" s="92">
        <v>1184</v>
      </c>
      <c r="G119" s="92">
        <v>40</v>
      </c>
      <c r="H119" s="92">
        <v>341</v>
      </c>
      <c r="I119" s="92">
        <v>33</v>
      </c>
      <c r="J119" s="92">
        <v>257</v>
      </c>
      <c r="K119" s="67">
        <v>899</v>
      </c>
    </row>
    <row r="120" spans="1:11" s="68" customFormat="1" ht="9" customHeight="1" x14ac:dyDescent="0.15">
      <c r="A120" s="71" t="s">
        <v>36</v>
      </c>
      <c r="B120" s="92">
        <f t="shared" si="7"/>
        <v>7173</v>
      </c>
      <c r="C120" s="92">
        <v>1744</v>
      </c>
      <c r="D120" s="92">
        <v>131</v>
      </c>
      <c r="E120" s="92">
        <v>1159</v>
      </c>
      <c r="F120" s="92">
        <v>1464</v>
      </c>
      <c r="G120" s="92">
        <v>61</v>
      </c>
      <c r="H120" s="92">
        <v>735</v>
      </c>
      <c r="I120" s="92">
        <v>28</v>
      </c>
      <c r="J120" s="92">
        <v>306</v>
      </c>
      <c r="K120" s="67">
        <v>1545</v>
      </c>
    </row>
    <row r="121" spans="1:11" s="68" customFormat="1" ht="9" customHeight="1" x14ac:dyDescent="0.15">
      <c r="A121" s="71" t="s">
        <v>37</v>
      </c>
      <c r="B121" s="92">
        <f t="shared" si="7"/>
        <v>313</v>
      </c>
      <c r="C121" s="92">
        <v>75</v>
      </c>
      <c r="D121" s="92">
        <v>24</v>
      </c>
      <c r="E121" s="92">
        <v>59</v>
      </c>
      <c r="F121" s="92">
        <v>78</v>
      </c>
      <c r="G121" s="92">
        <v>2</v>
      </c>
      <c r="H121" s="92">
        <v>18</v>
      </c>
      <c r="I121" s="92">
        <v>3</v>
      </c>
      <c r="J121" s="92">
        <v>21</v>
      </c>
      <c r="K121" s="67">
        <v>33</v>
      </c>
    </row>
    <row r="122" spans="1:11" s="68" customFormat="1" ht="9" customHeight="1" x14ac:dyDescent="0.15">
      <c r="A122" s="69" t="s">
        <v>38</v>
      </c>
      <c r="B122" s="90">
        <f t="shared" si="7"/>
        <v>416</v>
      </c>
      <c r="C122" s="90">
        <v>99</v>
      </c>
      <c r="D122" s="90">
        <v>11</v>
      </c>
      <c r="E122" s="90">
        <v>73</v>
      </c>
      <c r="F122" s="90">
        <v>75</v>
      </c>
      <c r="G122" s="90">
        <v>2</v>
      </c>
      <c r="H122" s="90">
        <v>50</v>
      </c>
      <c r="I122" s="90">
        <v>0</v>
      </c>
      <c r="J122" s="90">
        <v>15</v>
      </c>
      <c r="K122" s="70">
        <v>91</v>
      </c>
    </row>
    <row r="123" spans="1:11" s="68" customFormat="1" ht="9" customHeight="1" x14ac:dyDescent="0.25">
      <c r="A123" s="71" t="s">
        <v>39</v>
      </c>
      <c r="B123" s="92">
        <f t="shared" si="7"/>
        <v>9</v>
      </c>
      <c r="C123" s="92">
        <v>2</v>
      </c>
      <c r="D123" s="92">
        <v>0</v>
      </c>
      <c r="E123" s="92">
        <v>2</v>
      </c>
      <c r="F123" s="92">
        <v>2</v>
      </c>
      <c r="G123" s="92">
        <v>0</v>
      </c>
      <c r="H123" s="92">
        <v>0</v>
      </c>
      <c r="I123" s="92">
        <v>0</v>
      </c>
      <c r="J123" s="92">
        <v>1</v>
      </c>
      <c r="K123" s="92">
        <v>2</v>
      </c>
    </row>
    <row r="124" spans="1:11" s="68" customFormat="1" ht="9" customHeight="1" x14ac:dyDescent="0.15">
      <c r="A124" s="71" t="s">
        <v>40</v>
      </c>
      <c r="B124" s="92">
        <f t="shared" si="7"/>
        <v>1857</v>
      </c>
      <c r="C124" s="92">
        <v>406</v>
      </c>
      <c r="D124" s="92">
        <v>27</v>
      </c>
      <c r="E124" s="92">
        <v>372</v>
      </c>
      <c r="F124" s="92">
        <v>332</v>
      </c>
      <c r="G124" s="92">
        <v>11</v>
      </c>
      <c r="H124" s="92">
        <v>300</v>
      </c>
      <c r="I124" s="92">
        <v>6</v>
      </c>
      <c r="J124" s="92">
        <v>124</v>
      </c>
      <c r="K124" s="67">
        <v>279</v>
      </c>
    </row>
    <row r="125" spans="1:11" s="68" customFormat="1" ht="9" customHeight="1" x14ac:dyDescent="0.15">
      <c r="A125" s="71" t="s">
        <v>42</v>
      </c>
      <c r="B125" s="92">
        <f t="shared" si="7"/>
        <v>1441</v>
      </c>
      <c r="C125" s="92">
        <v>370</v>
      </c>
      <c r="D125" s="92">
        <v>26</v>
      </c>
      <c r="E125" s="92">
        <v>267</v>
      </c>
      <c r="F125" s="92">
        <v>228</v>
      </c>
      <c r="G125" s="92">
        <v>19</v>
      </c>
      <c r="H125" s="92">
        <v>160</v>
      </c>
      <c r="I125" s="92">
        <v>14</v>
      </c>
      <c r="J125" s="92">
        <v>85</v>
      </c>
      <c r="K125" s="67">
        <v>272</v>
      </c>
    </row>
    <row r="126" spans="1:11" s="68" customFormat="1" ht="9" customHeight="1" x14ac:dyDescent="0.15">
      <c r="A126" s="69" t="s">
        <v>43</v>
      </c>
      <c r="B126" s="90">
        <f t="shared" si="7"/>
        <v>963</v>
      </c>
      <c r="C126" s="90">
        <v>230</v>
      </c>
      <c r="D126" s="90">
        <v>31</v>
      </c>
      <c r="E126" s="90">
        <v>180</v>
      </c>
      <c r="F126" s="90">
        <v>174</v>
      </c>
      <c r="G126" s="90">
        <v>7</v>
      </c>
      <c r="H126" s="90">
        <v>94</v>
      </c>
      <c r="I126" s="90">
        <v>0</v>
      </c>
      <c r="J126" s="90">
        <v>69</v>
      </c>
      <c r="K126" s="70">
        <v>178</v>
      </c>
    </row>
    <row r="127" spans="1:11" s="68" customFormat="1" ht="9" customHeight="1" x14ac:dyDescent="0.15">
      <c r="A127" s="71" t="s">
        <v>44</v>
      </c>
      <c r="B127" s="92">
        <f t="shared" si="7"/>
        <v>767</v>
      </c>
      <c r="C127" s="92">
        <v>178</v>
      </c>
      <c r="D127" s="92">
        <v>20</v>
      </c>
      <c r="E127" s="92">
        <v>162</v>
      </c>
      <c r="F127" s="92">
        <v>163</v>
      </c>
      <c r="G127" s="92">
        <v>7</v>
      </c>
      <c r="H127" s="92">
        <v>63</v>
      </c>
      <c r="I127" s="92">
        <v>2</v>
      </c>
      <c r="J127" s="92">
        <v>23</v>
      </c>
      <c r="K127" s="67">
        <v>149</v>
      </c>
    </row>
    <row r="128" spans="1:11" s="68" customFormat="1" ht="9" customHeight="1" x14ac:dyDescent="0.15">
      <c r="A128" s="71" t="s">
        <v>45</v>
      </c>
      <c r="B128" s="92">
        <f t="shared" si="7"/>
        <v>1011</v>
      </c>
      <c r="C128" s="92">
        <v>279</v>
      </c>
      <c r="D128" s="92">
        <v>8</v>
      </c>
      <c r="E128" s="92">
        <v>142</v>
      </c>
      <c r="F128" s="92">
        <v>113</v>
      </c>
      <c r="G128" s="92">
        <v>17</v>
      </c>
      <c r="H128" s="92">
        <v>109</v>
      </c>
      <c r="I128" s="92">
        <v>1</v>
      </c>
      <c r="J128" s="92">
        <v>53</v>
      </c>
      <c r="K128" s="67">
        <v>289</v>
      </c>
    </row>
    <row r="129" spans="1:12" s="68" customFormat="1" ht="9" customHeight="1" x14ac:dyDescent="0.15">
      <c r="A129" s="71" t="s">
        <v>46</v>
      </c>
      <c r="B129" s="92">
        <f t="shared" si="7"/>
        <v>2496</v>
      </c>
      <c r="C129" s="92">
        <v>578</v>
      </c>
      <c r="D129" s="92">
        <v>121</v>
      </c>
      <c r="E129" s="92">
        <v>502</v>
      </c>
      <c r="F129" s="92">
        <v>549</v>
      </c>
      <c r="G129" s="92">
        <v>10</v>
      </c>
      <c r="H129" s="92">
        <v>102</v>
      </c>
      <c r="I129" s="92">
        <v>48</v>
      </c>
      <c r="J129" s="92">
        <v>113</v>
      </c>
      <c r="K129" s="67">
        <v>473</v>
      </c>
    </row>
    <row r="130" spans="1:12" s="68" customFormat="1" ht="9" customHeight="1" x14ac:dyDescent="0.15">
      <c r="A130" s="69" t="s">
        <v>47</v>
      </c>
      <c r="B130" s="90">
        <f t="shared" si="7"/>
        <v>471</v>
      </c>
      <c r="C130" s="90">
        <v>138</v>
      </c>
      <c r="D130" s="90">
        <v>13</v>
      </c>
      <c r="E130" s="90">
        <v>65</v>
      </c>
      <c r="F130" s="90">
        <v>62</v>
      </c>
      <c r="G130" s="90">
        <v>2</v>
      </c>
      <c r="H130" s="90">
        <v>27</v>
      </c>
      <c r="I130" s="90">
        <v>1</v>
      </c>
      <c r="J130" s="90">
        <v>25</v>
      </c>
      <c r="K130" s="70">
        <v>138</v>
      </c>
    </row>
    <row r="131" spans="1:12" s="68" customFormat="1" ht="9" customHeight="1" x14ac:dyDescent="0.15">
      <c r="A131" s="71" t="s">
        <v>49</v>
      </c>
      <c r="B131" s="92">
        <f t="shared" si="7"/>
        <v>952</v>
      </c>
      <c r="C131" s="92">
        <v>201</v>
      </c>
      <c r="D131" s="92">
        <v>12</v>
      </c>
      <c r="E131" s="92">
        <v>186</v>
      </c>
      <c r="F131" s="92">
        <v>185</v>
      </c>
      <c r="G131" s="92">
        <v>8</v>
      </c>
      <c r="H131" s="92">
        <v>99</v>
      </c>
      <c r="I131" s="92">
        <v>4</v>
      </c>
      <c r="J131" s="92">
        <v>83</v>
      </c>
      <c r="K131" s="67">
        <v>174</v>
      </c>
    </row>
    <row r="132" spans="1:12" s="68" customFormat="1" ht="9" customHeight="1" x14ac:dyDescent="0.15">
      <c r="A132" s="71" t="s">
        <v>51</v>
      </c>
      <c r="B132" s="92">
        <f t="shared" si="7"/>
        <v>496</v>
      </c>
      <c r="C132" s="92">
        <v>121</v>
      </c>
      <c r="D132" s="92">
        <v>9</v>
      </c>
      <c r="E132" s="92">
        <v>113</v>
      </c>
      <c r="F132" s="92">
        <v>87</v>
      </c>
      <c r="G132" s="92">
        <v>1</v>
      </c>
      <c r="H132" s="92">
        <v>40</v>
      </c>
      <c r="I132" s="92">
        <v>3</v>
      </c>
      <c r="J132" s="92">
        <v>15</v>
      </c>
      <c r="K132" s="67">
        <v>107</v>
      </c>
    </row>
    <row r="133" spans="1:12" s="68" customFormat="1" ht="9" customHeight="1" x14ac:dyDescent="0.15">
      <c r="A133" s="71" t="s">
        <v>52</v>
      </c>
      <c r="B133" s="92">
        <f t="shared" si="7"/>
        <v>832</v>
      </c>
      <c r="C133" s="92">
        <v>226</v>
      </c>
      <c r="D133" s="92">
        <v>5</v>
      </c>
      <c r="E133" s="92">
        <v>191</v>
      </c>
      <c r="F133" s="92">
        <v>159</v>
      </c>
      <c r="G133" s="92">
        <v>2</v>
      </c>
      <c r="H133" s="92">
        <v>73</v>
      </c>
      <c r="I133" s="92">
        <v>1</v>
      </c>
      <c r="J133" s="92">
        <v>52</v>
      </c>
      <c r="K133" s="67">
        <v>123</v>
      </c>
    </row>
    <row r="134" spans="1:12" s="68" customFormat="1" ht="9" customHeight="1" x14ac:dyDescent="0.15">
      <c r="A134" s="69" t="s">
        <v>53</v>
      </c>
      <c r="B134" s="90">
        <f t="shared" si="7"/>
        <v>396</v>
      </c>
      <c r="C134" s="90">
        <v>109</v>
      </c>
      <c r="D134" s="90">
        <v>4</v>
      </c>
      <c r="E134" s="90">
        <v>55</v>
      </c>
      <c r="F134" s="90">
        <v>53</v>
      </c>
      <c r="G134" s="90">
        <v>45</v>
      </c>
      <c r="H134" s="90">
        <v>49</v>
      </c>
      <c r="I134" s="90">
        <v>2</v>
      </c>
      <c r="J134" s="90">
        <v>15</v>
      </c>
      <c r="K134" s="70">
        <v>64</v>
      </c>
    </row>
    <row r="135" spans="1:12" s="65" customFormat="1" ht="9" customHeight="1" x14ac:dyDescent="0.25">
      <c r="A135" s="100"/>
      <c r="B135" s="97"/>
      <c r="C135" s="97"/>
      <c r="D135" s="97"/>
      <c r="E135" s="97"/>
      <c r="F135" s="97"/>
      <c r="G135" s="97"/>
      <c r="H135" s="97"/>
      <c r="I135" s="97"/>
      <c r="J135" s="97"/>
      <c r="K135" s="64"/>
    </row>
    <row r="136" spans="1:12" s="65" customFormat="1" ht="9" customHeight="1" x14ac:dyDescent="0.25">
      <c r="A136" s="96">
        <v>2003</v>
      </c>
      <c r="B136" s="97"/>
      <c r="C136" s="97"/>
      <c r="D136" s="97"/>
      <c r="E136" s="97"/>
      <c r="F136" s="97"/>
      <c r="G136" s="97"/>
      <c r="H136" s="97"/>
      <c r="I136" s="97"/>
      <c r="J136" s="97"/>
      <c r="K136" s="64"/>
    </row>
    <row r="137" spans="1:12" s="65" customFormat="1" ht="9" customHeight="1" x14ac:dyDescent="0.25">
      <c r="A137" s="99" t="s">
        <v>21</v>
      </c>
      <c r="B137" s="64">
        <f t="shared" ref="B137:J137" si="8">SUM(B139:B167)</f>
        <v>58786</v>
      </c>
      <c r="C137" s="64">
        <f t="shared" si="8"/>
        <v>14003</v>
      </c>
      <c r="D137" s="64">
        <f t="shared" si="8"/>
        <v>759</v>
      </c>
      <c r="E137" s="64">
        <f t="shared" si="8"/>
        <v>9225</v>
      </c>
      <c r="F137" s="64">
        <f t="shared" si="8"/>
        <v>8693</v>
      </c>
      <c r="G137" s="64">
        <f t="shared" si="8"/>
        <v>555</v>
      </c>
      <c r="H137" s="64">
        <f t="shared" si="8"/>
        <v>4539</v>
      </c>
      <c r="I137" s="64">
        <f t="shared" si="8"/>
        <v>208</v>
      </c>
      <c r="J137" s="64">
        <f t="shared" si="8"/>
        <v>910</v>
      </c>
      <c r="K137" s="64">
        <f>SUM(K139:K167)</f>
        <v>19894</v>
      </c>
      <c r="L137" s="101"/>
    </row>
    <row r="138" spans="1:12" s="65" customFormat="1" ht="3.95" customHeight="1" x14ac:dyDescent="0.25">
      <c r="A138" s="99"/>
      <c r="B138" s="64"/>
      <c r="C138" s="64"/>
      <c r="D138" s="64"/>
      <c r="E138" s="64"/>
      <c r="F138" s="64"/>
      <c r="G138" s="64"/>
      <c r="H138" s="64"/>
      <c r="I138" s="64"/>
      <c r="J138" s="64"/>
      <c r="K138" s="64"/>
    </row>
    <row r="139" spans="1:12" s="68" customFormat="1" ht="9" customHeight="1" x14ac:dyDescent="0.15">
      <c r="A139" s="71" t="s">
        <v>23</v>
      </c>
      <c r="B139" s="92">
        <f t="shared" ref="B139:B167" si="9">SUM(C139:K139)</f>
        <v>957</v>
      </c>
      <c r="C139" s="92">
        <v>258</v>
      </c>
      <c r="D139" s="92">
        <v>8</v>
      </c>
      <c r="E139" s="92">
        <v>155</v>
      </c>
      <c r="F139" s="92">
        <v>189</v>
      </c>
      <c r="G139" s="92">
        <v>8</v>
      </c>
      <c r="H139" s="92">
        <v>60</v>
      </c>
      <c r="I139" s="92">
        <v>0</v>
      </c>
      <c r="J139" s="92">
        <v>7</v>
      </c>
      <c r="K139" s="67">
        <v>272</v>
      </c>
    </row>
    <row r="140" spans="1:12" s="68" customFormat="1" ht="9" customHeight="1" x14ac:dyDescent="0.15">
      <c r="A140" s="71" t="s">
        <v>24</v>
      </c>
      <c r="B140" s="92">
        <f t="shared" si="9"/>
        <v>2870</v>
      </c>
      <c r="C140" s="92">
        <v>552</v>
      </c>
      <c r="D140" s="92">
        <v>37</v>
      </c>
      <c r="E140" s="92">
        <v>458</v>
      </c>
      <c r="F140" s="92">
        <v>310</v>
      </c>
      <c r="G140" s="92">
        <v>25</v>
      </c>
      <c r="H140" s="92">
        <v>84</v>
      </c>
      <c r="I140" s="92">
        <v>27</v>
      </c>
      <c r="J140" s="92">
        <v>74</v>
      </c>
      <c r="K140" s="67">
        <v>1303</v>
      </c>
    </row>
    <row r="141" spans="1:12" s="68" customFormat="1" ht="9" customHeight="1" x14ac:dyDescent="0.15">
      <c r="A141" s="71" t="s">
        <v>25</v>
      </c>
      <c r="B141" s="92">
        <f t="shared" si="9"/>
        <v>461</v>
      </c>
      <c r="C141" s="92">
        <v>103</v>
      </c>
      <c r="D141" s="92">
        <v>18</v>
      </c>
      <c r="E141" s="92">
        <v>87</v>
      </c>
      <c r="F141" s="92">
        <v>80</v>
      </c>
      <c r="G141" s="92">
        <v>0</v>
      </c>
      <c r="H141" s="92">
        <v>15</v>
      </c>
      <c r="I141" s="92">
        <v>1</v>
      </c>
      <c r="J141" s="92">
        <v>7</v>
      </c>
      <c r="K141" s="67">
        <v>150</v>
      </c>
    </row>
    <row r="142" spans="1:12" s="68" customFormat="1" ht="9" customHeight="1" x14ac:dyDescent="0.15">
      <c r="A142" s="69" t="s">
        <v>27</v>
      </c>
      <c r="B142" s="90">
        <f t="shared" si="9"/>
        <v>1607</v>
      </c>
      <c r="C142" s="90">
        <v>405</v>
      </c>
      <c r="D142" s="90">
        <v>10</v>
      </c>
      <c r="E142" s="90">
        <v>268</v>
      </c>
      <c r="F142" s="90">
        <v>268</v>
      </c>
      <c r="G142" s="90">
        <v>4</v>
      </c>
      <c r="H142" s="90">
        <v>191</v>
      </c>
      <c r="I142" s="90">
        <v>2</v>
      </c>
      <c r="J142" s="90">
        <v>9</v>
      </c>
      <c r="K142" s="70">
        <v>450</v>
      </c>
    </row>
    <row r="143" spans="1:12" s="68" customFormat="1" ht="9" customHeight="1" x14ac:dyDescent="0.15">
      <c r="A143" s="71" t="s">
        <v>28</v>
      </c>
      <c r="B143" s="92">
        <f t="shared" si="9"/>
        <v>1328</v>
      </c>
      <c r="C143" s="92">
        <v>314</v>
      </c>
      <c r="D143" s="92">
        <v>13</v>
      </c>
      <c r="E143" s="92">
        <v>202</v>
      </c>
      <c r="F143" s="92">
        <v>169</v>
      </c>
      <c r="G143" s="92">
        <v>15</v>
      </c>
      <c r="H143" s="92">
        <v>37</v>
      </c>
      <c r="I143" s="92">
        <v>5</v>
      </c>
      <c r="J143" s="92">
        <v>11</v>
      </c>
      <c r="K143" s="67">
        <v>562</v>
      </c>
    </row>
    <row r="144" spans="1:12" s="68" customFormat="1" ht="9" customHeight="1" x14ac:dyDescent="0.15">
      <c r="A144" s="71" t="s">
        <v>29</v>
      </c>
      <c r="B144" s="92">
        <f t="shared" si="9"/>
        <v>460</v>
      </c>
      <c r="C144" s="92">
        <v>115</v>
      </c>
      <c r="D144" s="92">
        <v>8</v>
      </c>
      <c r="E144" s="92">
        <v>91</v>
      </c>
      <c r="F144" s="92">
        <v>78</v>
      </c>
      <c r="G144" s="92">
        <v>1</v>
      </c>
      <c r="H144" s="92">
        <v>33</v>
      </c>
      <c r="I144" s="92">
        <v>1</v>
      </c>
      <c r="J144" s="92">
        <v>3</v>
      </c>
      <c r="K144" s="67">
        <v>130</v>
      </c>
    </row>
    <row r="145" spans="1:11" s="68" customFormat="1" ht="9" customHeight="1" x14ac:dyDescent="0.15">
      <c r="A145" s="71" t="s">
        <v>30</v>
      </c>
      <c r="B145" s="92">
        <f t="shared" si="9"/>
        <v>3124</v>
      </c>
      <c r="C145" s="92">
        <v>643</v>
      </c>
      <c r="D145" s="92">
        <v>23</v>
      </c>
      <c r="E145" s="92">
        <v>499</v>
      </c>
      <c r="F145" s="92">
        <v>542</v>
      </c>
      <c r="G145" s="92">
        <v>36</v>
      </c>
      <c r="H145" s="92">
        <v>214</v>
      </c>
      <c r="I145" s="92">
        <v>34</v>
      </c>
      <c r="J145" s="92">
        <v>103</v>
      </c>
      <c r="K145" s="67">
        <v>1030</v>
      </c>
    </row>
    <row r="146" spans="1:11" s="68" customFormat="1" ht="9" customHeight="1" x14ac:dyDescent="0.15">
      <c r="A146" s="69" t="s">
        <v>63</v>
      </c>
      <c r="B146" s="90">
        <f t="shared" si="9"/>
        <v>15353</v>
      </c>
      <c r="C146" s="90">
        <v>3838</v>
      </c>
      <c r="D146" s="90">
        <v>126</v>
      </c>
      <c r="E146" s="90">
        <v>2133</v>
      </c>
      <c r="F146" s="90">
        <v>1898</v>
      </c>
      <c r="G146" s="90">
        <v>187</v>
      </c>
      <c r="H146" s="90">
        <v>1247</v>
      </c>
      <c r="I146" s="90">
        <v>47</v>
      </c>
      <c r="J146" s="90">
        <v>166</v>
      </c>
      <c r="K146" s="70">
        <v>5711</v>
      </c>
    </row>
    <row r="147" spans="1:11" s="68" customFormat="1" ht="9" customHeight="1" x14ac:dyDescent="0.15">
      <c r="A147" s="71" t="s">
        <v>31</v>
      </c>
      <c r="B147" s="92">
        <f t="shared" si="9"/>
        <v>510</v>
      </c>
      <c r="C147" s="92">
        <v>103</v>
      </c>
      <c r="D147" s="92">
        <v>13</v>
      </c>
      <c r="E147" s="92">
        <v>79</v>
      </c>
      <c r="F147" s="92">
        <v>65</v>
      </c>
      <c r="G147" s="92">
        <v>5</v>
      </c>
      <c r="H147" s="92">
        <v>51</v>
      </c>
      <c r="I147" s="92">
        <v>1</v>
      </c>
      <c r="J147" s="92">
        <v>18</v>
      </c>
      <c r="K147" s="67">
        <v>175</v>
      </c>
    </row>
    <row r="148" spans="1:11" s="68" customFormat="1" ht="9" customHeight="1" x14ac:dyDescent="0.15">
      <c r="A148" s="71" t="s">
        <v>32</v>
      </c>
      <c r="B148" s="92">
        <f t="shared" si="9"/>
        <v>2320</v>
      </c>
      <c r="C148" s="92">
        <v>578</v>
      </c>
      <c r="D148" s="92">
        <v>36</v>
      </c>
      <c r="E148" s="92">
        <v>342</v>
      </c>
      <c r="F148" s="92">
        <v>360</v>
      </c>
      <c r="G148" s="92">
        <v>22</v>
      </c>
      <c r="H148" s="92">
        <v>236</v>
      </c>
      <c r="I148" s="92">
        <v>6</v>
      </c>
      <c r="J148" s="92">
        <v>9</v>
      </c>
      <c r="K148" s="67">
        <v>731</v>
      </c>
    </row>
    <row r="149" spans="1:11" s="68" customFormat="1" ht="9" customHeight="1" x14ac:dyDescent="0.15">
      <c r="A149" s="71" t="s">
        <v>33</v>
      </c>
      <c r="B149" s="92">
        <f t="shared" si="9"/>
        <v>1890</v>
      </c>
      <c r="C149" s="92">
        <v>477</v>
      </c>
      <c r="D149" s="92">
        <v>14</v>
      </c>
      <c r="E149" s="92">
        <v>346</v>
      </c>
      <c r="F149" s="92">
        <v>368</v>
      </c>
      <c r="G149" s="92">
        <v>1</v>
      </c>
      <c r="H149" s="92">
        <v>59</v>
      </c>
      <c r="I149" s="92">
        <v>4</v>
      </c>
      <c r="J149" s="92">
        <v>1</v>
      </c>
      <c r="K149" s="67">
        <v>620</v>
      </c>
    </row>
    <row r="150" spans="1:11" s="68" customFormat="1" ht="9" customHeight="1" x14ac:dyDescent="0.15">
      <c r="A150" s="69" t="s">
        <v>34</v>
      </c>
      <c r="B150" s="90">
        <f t="shared" si="9"/>
        <v>499</v>
      </c>
      <c r="C150" s="90">
        <v>129</v>
      </c>
      <c r="D150" s="90">
        <v>3</v>
      </c>
      <c r="E150" s="90">
        <v>80</v>
      </c>
      <c r="F150" s="90">
        <v>58</v>
      </c>
      <c r="G150" s="90">
        <v>2</v>
      </c>
      <c r="H150" s="90">
        <v>52</v>
      </c>
      <c r="I150" s="90">
        <v>0</v>
      </c>
      <c r="J150" s="90">
        <v>7</v>
      </c>
      <c r="K150" s="70">
        <v>168</v>
      </c>
    </row>
    <row r="151" spans="1:11" s="68" customFormat="1" ht="9" customHeight="1" x14ac:dyDescent="0.15">
      <c r="A151" s="71" t="s">
        <v>35</v>
      </c>
      <c r="B151" s="92">
        <f t="shared" si="9"/>
        <v>5297</v>
      </c>
      <c r="C151" s="92">
        <v>1186</v>
      </c>
      <c r="D151" s="92">
        <v>68</v>
      </c>
      <c r="E151" s="92">
        <v>814</v>
      </c>
      <c r="F151" s="92">
        <v>1118</v>
      </c>
      <c r="G151" s="92">
        <v>55</v>
      </c>
      <c r="H151" s="92">
        <v>301</v>
      </c>
      <c r="I151" s="92">
        <v>12</v>
      </c>
      <c r="J151" s="92">
        <v>116</v>
      </c>
      <c r="K151" s="67">
        <v>1627</v>
      </c>
    </row>
    <row r="152" spans="1:11" s="68" customFormat="1" ht="9" customHeight="1" x14ac:dyDescent="0.15">
      <c r="A152" s="71" t="s">
        <v>36</v>
      </c>
      <c r="B152" s="92">
        <f t="shared" si="9"/>
        <v>7947</v>
      </c>
      <c r="C152" s="92">
        <v>1885</v>
      </c>
      <c r="D152" s="92">
        <v>99</v>
      </c>
      <c r="E152" s="92">
        <v>1244</v>
      </c>
      <c r="F152" s="92">
        <v>952</v>
      </c>
      <c r="G152" s="92">
        <v>84</v>
      </c>
      <c r="H152" s="92">
        <v>763</v>
      </c>
      <c r="I152" s="92">
        <v>16</v>
      </c>
      <c r="J152" s="92">
        <v>117</v>
      </c>
      <c r="K152" s="67">
        <v>2787</v>
      </c>
    </row>
    <row r="153" spans="1:11" s="68" customFormat="1" ht="9" customHeight="1" x14ac:dyDescent="0.15">
      <c r="A153" s="71" t="s">
        <v>37</v>
      </c>
      <c r="B153" s="92">
        <f t="shared" si="9"/>
        <v>420</v>
      </c>
      <c r="C153" s="92">
        <v>100</v>
      </c>
      <c r="D153" s="92">
        <v>18</v>
      </c>
      <c r="E153" s="92">
        <v>56</v>
      </c>
      <c r="F153" s="92">
        <v>79</v>
      </c>
      <c r="G153" s="92">
        <v>2</v>
      </c>
      <c r="H153" s="92">
        <v>15</v>
      </c>
      <c r="I153" s="92">
        <v>2</v>
      </c>
      <c r="J153" s="92">
        <v>4</v>
      </c>
      <c r="K153" s="67">
        <v>144</v>
      </c>
    </row>
    <row r="154" spans="1:11" s="68" customFormat="1" ht="9" customHeight="1" x14ac:dyDescent="0.15">
      <c r="A154" s="69" t="s">
        <v>38</v>
      </c>
      <c r="B154" s="90">
        <f t="shared" si="9"/>
        <v>396</v>
      </c>
      <c r="C154" s="90">
        <v>106</v>
      </c>
      <c r="D154" s="90">
        <v>9</v>
      </c>
      <c r="E154" s="90">
        <v>58</v>
      </c>
      <c r="F154" s="90">
        <v>58</v>
      </c>
      <c r="G154" s="90">
        <v>2</v>
      </c>
      <c r="H154" s="90">
        <v>39</v>
      </c>
      <c r="I154" s="90">
        <v>0</v>
      </c>
      <c r="J154" s="90">
        <v>3</v>
      </c>
      <c r="K154" s="70">
        <v>121</v>
      </c>
    </row>
    <row r="155" spans="1:11" s="68" customFormat="1" ht="9" customHeight="1" x14ac:dyDescent="0.25">
      <c r="A155" s="71" t="s">
        <v>39</v>
      </c>
      <c r="B155" s="92">
        <f t="shared" si="9"/>
        <v>40</v>
      </c>
      <c r="C155" s="92">
        <v>11</v>
      </c>
      <c r="D155" s="92">
        <v>2</v>
      </c>
      <c r="E155" s="92">
        <v>7</v>
      </c>
      <c r="F155" s="92">
        <v>6</v>
      </c>
      <c r="G155" s="92">
        <v>0</v>
      </c>
      <c r="H155" s="92">
        <v>1</v>
      </c>
      <c r="I155" s="92">
        <v>0</v>
      </c>
      <c r="J155" s="92">
        <v>1</v>
      </c>
      <c r="K155" s="92">
        <v>12</v>
      </c>
    </row>
    <row r="156" spans="1:11" s="68" customFormat="1" ht="9" customHeight="1" x14ac:dyDescent="0.15">
      <c r="A156" s="71" t="s">
        <v>40</v>
      </c>
      <c r="B156" s="92">
        <f t="shared" si="9"/>
        <v>2428</v>
      </c>
      <c r="C156" s="92">
        <v>522</v>
      </c>
      <c r="D156" s="92">
        <v>41</v>
      </c>
      <c r="E156" s="92">
        <v>471</v>
      </c>
      <c r="F156" s="92">
        <v>376</v>
      </c>
      <c r="G156" s="92">
        <v>25</v>
      </c>
      <c r="H156" s="92">
        <v>353</v>
      </c>
      <c r="I156" s="92">
        <v>9</v>
      </c>
      <c r="J156" s="92">
        <v>36</v>
      </c>
      <c r="K156" s="67">
        <v>595</v>
      </c>
    </row>
    <row r="157" spans="1:11" s="68" customFormat="1" ht="9" customHeight="1" x14ac:dyDescent="0.25">
      <c r="A157" s="71" t="s">
        <v>41</v>
      </c>
      <c r="B157" s="92">
        <f t="shared" si="9"/>
        <v>24</v>
      </c>
      <c r="C157" s="92">
        <v>5</v>
      </c>
      <c r="D157" s="92">
        <v>0</v>
      </c>
      <c r="E157" s="92">
        <v>6</v>
      </c>
      <c r="F157" s="92">
        <v>5</v>
      </c>
      <c r="G157" s="92">
        <v>0</v>
      </c>
      <c r="H157" s="92">
        <v>2</v>
      </c>
      <c r="I157" s="92">
        <v>1</v>
      </c>
      <c r="J157" s="92">
        <v>0</v>
      </c>
      <c r="K157" s="92">
        <v>5</v>
      </c>
    </row>
    <row r="158" spans="1:11" s="68" customFormat="1" ht="9" customHeight="1" x14ac:dyDescent="0.15">
      <c r="A158" s="69" t="s">
        <v>42</v>
      </c>
      <c r="B158" s="90">
        <f t="shared" si="9"/>
        <v>1183</v>
      </c>
      <c r="C158" s="90">
        <v>297</v>
      </c>
      <c r="D158" s="90">
        <v>27</v>
      </c>
      <c r="E158" s="90">
        <v>202</v>
      </c>
      <c r="F158" s="90">
        <v>166</v>
      </c>
      <c r="G158" s="90">
        <v>18</v>
      </c>
      <c r="H158" s="90">
        <v>133</v>
      </c>
      <c r="I158" s="90">
        <v>5</v>
      </c>
      <c r="J158" s="90">
        <v>23</v>
      </c>
      <c r="K158" s="70">
        <v>312</v>
      </c>
    </row>
    <row r="159" spans="1:11" s="68" customFormat="1" ht="9" customHeight="1" x14ac:dyDescent="0.15">
      <c r="A159" s="71" t="s">
        <v>43</v>
      </c>
      <c r="B159" s="92">
        <f t="shared" si="9"/>
        <v>1080</v>
      </c>
      <c r="C159" s="92">
        <v>269</v>
      </c>
      <c r="D159" s="92">
        <v>15</v>
      </c>
      <c r="E159" s="92">
        <v>143</v>
      </c>
      <c r="F159" s="92">
        <v>170</v>
      </c>
      <c r="G159" s="92">
        <v>13</v>
      </c>
      <c r="H159" s="92">
        <v>68</v>
      </c>
      <c r="I159" s="92">
        <v>3</v>
      </c>
      <c r="J159" s="92">
        <v>13</v>
      </c>
      <c r="K159" s="67">
        <v>386</v>
      </c>
    </row>
    <row r="160" spans="1:11" s="68" customFormat="1" ht="9" customHeight="1" x14ac:dyDescent="0.15">
      <c r="A160" s="71" t="s">
        <v>44</v>
      </c>
      <c r="B160" s="92">
        <f t="shared" si="9"/>
        <v>1541</v>
      </c>
      <c r="C160" s="92">
        <v>373</v>
      </c>
      <c r="D160" s="92">
        <v>26</v>
      </c>
      <c r="E160" s="92">
        <v>261</v>
      </c>
      <c r="F160" s="92">
        <v>245</v>
      </c>
      <c r="G160" s="92">
        <v>14</v>
      </c>
      <c r="H160" s="92">
        <v>99</v>
      </c>
      <c r="I160" s="92">
        <v>8</v>
      </c>
      <c r="J160" s="92">
        <v>21</v>
      </c>
      <c r="K160" s="67">
        <v>494</v>
      </c>
    </row>
    <row r="161" spans="1:12" s="68" customFormat="1" ht="9" customHeight="1" x14ac:dyDescent="0.15">
      <c r="A161" s="71" t="s">
        <v>45</v>
      </c>
      <c r="B161" s="92">
        <f t="shared" si="9"/>
        <v>662</v>
      </c>
      <c r="C161" s="92">
        <v>178</v>
      </c>
      <c r="D161" s="92">
        <v>5</v>
      </c>
      <c r="E161" s="92">
        <v>99</v>
      </c>
      <c r="F161" s="92">
        <v>67</v>
      </c>
      <c r="G161" s="92">
        <v>12</v>
      </c>
      <c r="H161" s="92">
        <v>77</v>
      </c>
      <c r="I161" s="92">
        <v>2</v>
      </c>
      <c r="J161" s="92">
        <v>5</v>
      </c>
      <c r="K161" s="67">
        <v>217</v>
      </c>
    </row>
    <row r="162" spans="1:12" s="68" customFormat="1" ht="9" customHeight="1" x14ac:dyDescent="0.15">
      <c r="A162" s="69" t="s">
        <v>46</v>
      </c>
      <c r="B162" s="90">
        <f t="shared" si="9"/>
        <v>2248</v>
      </c>
      <c r="C162" s="90">
        <v>497</v>
      </c>
      <c r="D162" s="90">
        <v>100</v>
      </c>
      <c r="E162" s="90">
        <v>397</v>
      </c>
      <c r="F162" s="90">
        <v>436</v>
      </c>
      <c r="G162" s="90">
        <v>7</v>
      </c>
      <c r="H162" s="90">
        <v>89</v>
      </c>
      <c r="I162" s="90">
        <v>17</v>
      </c>
      <c r="J162" s="90">
        <v>60</v>
      </c>
      <c r="K162" s="70">
        <v>645</v>
      </c>
    </row>
    <row r="163" spans="1:12" s="68" customFormat="1" ht="9" customHeight="1" x14ac:dyDescent="0.15">
      <c r="A163" s="71" t="s">
        <v>47</v>
      </c>
      <c r="B163" s="92">
        <f t="shared" si="9"/>
        <v>741</v>
      </c>
      <c r="C163" s="92">
        <v>177</v>
      </c>
      <c r="D163" s="92">
        <v>12</v>
      </c>
      <c r="E163" s="92">
        <v>127</v>
      </c>
      <c r="F163" s="92">
        <v>95</v>
      </c>
      <c r="G163" s="92">
        <v>4</v>
      </c>
      <c r="H163" s="92">
        <v>44</v>
      </c>
      <c r="I163" s="92">
        <v>0</v>
      </c>
      <c r="J163" s="92">
        <v>24</v>
      </c>
      <c r="K163" s="67">
        <v>258</v>
      </c>
    </row>
    <row r="164" spans="1:12" s="68" customFormat="1" ht="9" customHeight="1" x14ac:dyDescent="0.15">
      <c r="A164" s="71" t="s">
        <v>49</v>
      </c>
      <c r="B164" s="92">
        <f t="shared" si="9"/>
        <v>1152</v>
      </c>
      <c r="C164" s="92">
        <v>254</v>
      </c>
      <c r="D164" s="92">
        <v>9</v>
      </c>
      <c r="E164" s="92">
        <v>205</v>
      </c>
      <c r="F164" s="92">
        <v>209</v>
      </c>
      <c r="G164" s="92">
        <v>6</v>
      </c>
      <c r="H164" s="92">
        <v>116</v>
      </c>
      <c r="I164" s="92">
        <v>2</v>
      </c>
      <c r="J164" s="92">
        <v>17</v>
      </c>
      <c r="K164" s="67">
        <v>334</v>
      </c>
    </row>
    <row r="165" spans="1:12" s="68" customFormat="1" ht="9" customHeight="1" x14ac:dyDescent="0.15">
      <c r="A165" s="71" t="s">
        <v>51</v>
      </c>
      <c r="B165" s="92">
        <f t="shared" si="9"/>
        <v>901</v>
      </c>
      <c r="C165" s="92">
        <v>279</v>
      </c>
      <c r="D165" s="92">
        <v>10</v>
      </c>
      <c r="E165" s="92">
        <v>152</v>
      </c>
      <c r="F165" s="92">
        <v>141</v>
      </c>
      <c r="G165" s="92">
        <v>2</v>
      </c>
      <c r="H165" s="92">
        <v>66</v>
      </c>
      <c r="I165" s="92">
        <v>2</v>
      </c>
      <c r="J165" s="92">
        <v>4</v>
      </c>
      <c r="K165" s="67">
        <v>245</v>
      </c>
    </row>
    <row r="166" spans="1:12" s="68" customFormat="1" ht="9" customHeight="1" x14ac:dyDescent="0.15">
      <c r="A166" s="69" t="s">
        <v>52</v>
      </c>
      <c r="B166" s="90">
        <f t="shared" si="9"/>
        <v>861</v>
      </c>
      <c r="C166" s="90">
        <v>229</v>
      </c>
      <c r="D166" s="90">
        <v>1</v>
      </c>
      <c r="E166" s="90">
        <v>154</v>
      </c>
      <c r="F166" s="90">
        <v>111</v>
      </c>
      <c r="G166" s="90">
        <v>2</v>
      </c>
      <c r="H166" s="90">
        <v>53</v>
      </c>
      <c r="I166" s="90">
        <v>0</v>
      </c>
      <c r="J166" s="90">
        <v>33</v>
      </c>
      <c r="K166" s="70">
        <v>278</v>
      </c>
    </row>
    <row r="167" spans="1:12" s="68" customFormat="1" ht="9" customHeight="1" x14ac:dyDescent="0.15">
      <c r="A167" s="71" t="s">
        <v>53</v>
      </c>
      <c r="B167" s="92">
        <f t="shared" si="9"/>
        <v>486</v>
      </c>
      <c r="C167" s="92">
        <v>120</v>
      </c>
      <c r="D167" s="92">
        <v>8</v>
      </c>
      <c r="E167" s="92">
        <v>89</v>
      </c>
      <c r="F167" s="92">
        <v>74</v>
      </c>
      <c r="G167" s="92">
        <v>3</v>
      </c>
      <c r="H167" s="92">
        <v>41</v>
      </c>
      <c r="I167" s="92">
        <v>1</v>
      </c>
      <c r="J167" s="92">
        <v>18</v>
      </c>
      <c r="K167" s="67">
        <v>132</v>
      </c>
    </row>
    <row r="168" spans="1:12" s="65" customFormat="1" ht="9" customHeight="1" x14ac:dyDescent="0.25">
      <c r="A168" s="100"/>
      <c r="B168" s="97"/>
      <c r="C168" s="97"/>
      <c r="D168" s="97"/>
      <c r="E168" s="97"/>
      <c r="F168" s="97"/>
      <c r="G168" s="97"/>
      <c r="H168" s="97"/>
      <c r="I168" s="97"/>
      <c r="J168" s="97"/>
      <c r="K168" s="64"/>
    </row>
    <row r="169" spans="1:12" s="65" customFormat="1" ht="9" customHeight="1" x14ac:dyDescent="0.25">
      <c r="A169" s="96">
        <v>2004</v>
      </c>
      <c r="B169" s="97"/>
      <c r="C169" s="97"/>
      <c r="D169" s="97"/>
      <c r="E169" s="97"/>
      <c r="F169" s="97"/>
      <c r="G169" s="97"/>
      <c r="H169" s="97"/>
      <c r="I169" s="97"/>
      <c r="J169" s="97"/>
      <c r="K169" s="64"/>
    </row>
    <row r="170" spans="1:12" s="65" customFormat="1" ht="9" customHeight="1" x14ac:dyDescent="0.25">
      <c r="A170" s="99" t="s">
        <v>21</v>
      </c>
      <c r="B170" s="64">
        <f>SUM(B172:B200)</f>
        <v>64295</v>
      </c>
      <c r="C170" s="64">
        <f t="shared" ref="C170:K170" si="10">SUM(C172:C200)</f>
        <v>15495</v>
      </c>
      <c r="D170" s="64">
        <f t="shared" si="10"/>
        <v>1178</v>
      </c>
      <c r="E170" s="64">
        <f t="shared" si="10"/>
        <v>9930</v>
      </c>
      <c r="F170" s="64">
        <f t="shared" si="10"/>
        <v>8059</v>
      </c>
      <c r="G170" s="64">
        <f t="shared" si="10"/>
        <v>658</v>
      </c>
      <c r="H170" s="64">
        <f t="shared" si="10"/>
        <v>4743</v>
      </c>
      <c r="I170" s="64">
        <f t="shared" si="10"/>
        <v>215</v>
      </c>
      <c r="J170" s="64">
        <f t="shared" si="10"/>
        <v>1013</v>
      </c>
      <c r="K170" s="64">
        <f t="shared" si="10"/>
        <v>23004</v>
      </c>
      <c r="L170" s="101"/>
    </row>
    <row r="171" spans="1:12" s="65" customFormat="1" ht="3.95" customHeight="1" x14ac:dyDescent="0.25">
      <c r="A171" s="99"/>
      <c r="B171" s="64"/>
      <c r="C171" s="64"/>
      <c r="D171" s="64"/>
      <c r="E171" s="64"/>
      <c r="F171" s="64"/>
      <c r="G171" s="64"/>
      <c r="H171" s="64"/>
      <c r="I171" s="64"/>
      <c r="J171" s="64"/>
      <c r="K171" s="64"/>
    </row>
    <row r="172" spans="1:12" s="68" customFormat="1" ht="9" customHeight="1" x14ac:dyDescent="0.15">
      <c r="A172" s="71" t="s">
        <v>23</v>
      </c>
      <c r="B172" s="92">
        <f t="shared" ref="B172:B200" si="11">SUM(C172:K172)</f>
        <v>1478</v>
      </c>
      <c r="C172" s="92">
        <v>387</v>
      </c>
      <c r="D172" s="92">
        <v>85</v>
      </c>
      <c r="E172" s="92">
        <v>224</v>
      </c>
      <c r="F172" s="92">
        <v>233</v>
      </c>
      <c r="G172" s="92">
        <v>11</v>
      </c>
      <c r="H172" s="92">
        <v>92</v>
      </c>
      <c r="I172" s="92">
        <v>5</v>
      </c>
      <c r="J172" s="92">
        <v>17</v>
      </c>
      <c r="K172" s="67">
        <v>424</v>
      </c>
    </row>
    <row r="173" spans="1:12" s="68" customFormat="1" ht="9" customHeight="1" x14ac:dyDescent="0.15">
      <c r="A173" s="71" t="s">
        <v>24</v>
      </c>
      <c r="B173" s="92">
        <f t="shared" si="11"/>
        <v>2641</v>
      </c>
      <c r="C173" s="92">
        <v>561</v>
      </c>
      <c r="D173" s="92">
        <v>21</v>
      </c>
      <c r="E173" s="92">
        <v>454</v>
      </c>
      <c r="F173" s="92">
        <v>265</v>
      </c>
      <c r="G173" s="92">
        <v>17</v>
      </c>
      <c r="H173" s="92">
        <v>49</v>
      </c>
      <c r="I173" s="92">
        <v>13</v>
      </c>
      <c r="J173" s="92">
        <v>89</v>
      </c>
      <c r="K173" s="67">
        <v>1172</v>
      </c>
    </row>
    <row r="174" spans="1:12" s="68" customFormat="1" ht="9" customHeight="1" x14ac:dyDescent="0.15">
      <c r="A174" s="71" t="s">
        <v>25</v>
      </c>
      <c r="B174" s="92">
        <f t="shared" si="11"/>
        <v>487</v>
      </c>
      <c r="C174" s="92">
        <v>118</v>
      </c>
      <c r="D174" s="92">
        <v>33</v>
      </c>
      <c r="E174" s="92">
        <v>87</v>
      </c>
      <c r="F174" s="92">
        <v>60</v>
      </c>
      <c r="G174" s="92">
        <v>2</v>
      </c>
      <c r="H174" s="92">
        <v>15</v>
      </c>
      <c r="I174" s="92">
        <v>3</v>
      </c>
      <c r="J174" s="92">
        <v>8</v>
      </c>
      <c r="K174" s="67">
        <v>161</v>
      </c>
    </row>
    <row r="175" spans="1:12" s="68" customFormat="1" ht="9" customHeight="1" x14ac:dyDescent="0.15">
      <c r="A175" s="69" t="s">
        <v>27</v>
      </c>
      <c r="B175" s="90">
        <f t="shared" si="11"/>
        <v>2213</v>
      </c>
      <c r="C175" s="90">
        <v>528</v>
      </c>
      <c r="D175" s="90">
        <v>71</v>
      </c>
      <c r="E175" s="90">
        <v>349</v>
      </c>
      <c r="F175" s="90">
        <v>322</v>
      </c>
      <c r="G175" s="90">
        <v>17</v>
      </c>
      <c r="H175" s="90">
        <v>253</v>
      </c>
      <c r="I175" s="90">
        <v>12</v>
      </c>
      <c r="J175" s="90">
        <v>17</v>
      </c>
      <c r="K175" s="70">
        <v>644</v>
      </c>
    </row>
    <row r="176" spans="1:12" s="68" customFormat="1" ht="9" customHeight="1" x14ac:dyDescent="0.15">
      <c r="A176" s="71" t="s">
        <v>28</v>
      </c>
      <c r="B176" s="92">
        <f t="shared" si="11"/>
        <v>1510</v>
      </c>
      <c r="C176" s="92">
        <v>361</v>
      </c>
      <c r="D176" s="92">
        <v>18</v>
      </c>
      <c r="E176" s="92">
        <v>250</v>
      </c>
      <c r="F176" s="92">
        <v>208</v>
      </c>
      <c r="G176" s="92">
        <v>15</v>
      </c>
      <c r="H176" s="92">
        <v>33</v>
      </c>
      <c r="I176" s="92">
        <v>3</v>
      </c>
      <c r="J176" s="92">
        <v>10</v>
      </c>
      <c r="K176" s="67">
        <v>612</v>
      </c>
    </row>
    <row r="177" spans="1:11" s="68" customFormat="1" ht="9" customHeight="1" x14ac:dyDescent="0.15">
      <c r="A177" s="71" t="s">
        <v>29</v>
      </c>
      <c r="B177" s="92">
        <f t="shared" si="11"/>
        <v>734</v>
      </c>
      <c r="C177" s="92">
        <v>176</v>
      </c>
      <c r="D177" s="92">
        <v>12</v>
      </c>
      <c r="E177" s="92">
        <v>135</v>
      </c>
      <c r="F177" s="92">
        <v>89</v>
      </c>
      <c r="G177" s="92">
        <v>10</v>
      </c>
      <c r="H177" s="92">
        <v>46</v>
      </c>
      <c r="I177" s="92">
        <v>4</v>
      </c>
      <c r="J177" s="92">
        <v>5</v>
      </c>
      <c r="K177" s="67">
        <v>257</v>
      </c>
    </row>
    <row r="178" spans="1:11" s="68" customFormat="1" ht="9" customHeight="1" x14ac:dyDescent="0.15">
      <c r="A178" s="71" t="s">
        <v>30</v>
      </c>
      <c r="B178" s="92">
        <f t="shared" si="11"/>
        <v>3167</v>
      </c>
      <c r="C178" s="92">
        <v>673</v>
      </c>
      <c r="D178" s="92">
        <v>11</v>
      </c>
      <c r="E178" s="92">
        <v>500</v>
      </c>
      <c r="F178" s="92">
        <v>555</v>
      </c>
      <c r="G178" s="92">
        <v>35</v>
      </c>
      <c r="H178" s="92">
        <v>207</v>
      </c>
      <c r="I178" s="92">
        <v>31</v>
      </c>
      <c r="J178" s="92">
        <v>152</v>
      </c>
      <c r="K178" s="67">
        <v>1003</v>
      </c>
    </row>
    <row r="179" spans="1:11" s="68" customFormat="1" ht="9" customHeight="1" x14ac:dyDescent="0.15">
      <c r="A179" s="69" t="s">
        <v>63</v>
      </c>
      <c r="B179" s="90">
        <f t="shared" si="11"/>
        <v>16286</v>
      </c>
      <c r="C179" s="90">
        <f>4099+9</f>
        <v>4108</v>
      </c>
      <c r="D179" s="90">
        <v>170</v>
      </c>
      <c r="E179" s="90">
        <v>2308</v>
      </c>
      <c r="F179" s="90">
        <v>1553</v>
      </c>
      <c r="G179" s="90">
        <v>203</v>
      </c>
      <c r="H179" s="90">
        <v>1302</v>
      </c>
      <c r="I179" s="90">
        <v>31</v>
      </c>
      <c r="J179" s="90">
        <v>189</v>
      </c>
      <c r="K179" s="70">
        <f>6332+90</f>
        <v>6422</v>
      </c>
    </row>
    <row r="180" spans="1:11" s="68" customFormat="1" ht="9" customHeight="1" x14ac:dyDescent="0.15">
      <c r="A180" s="71" t="s">
        <v>31</v>
      </c>
      <c r="B180" s="92">
        <f t="shared" si="11"/>
        <v>780</v>
      </c>
      <c r="C180" s="92">
        <v>176</v>
      </c>
      <c r="D180" s="92">
        <v>18</v>
      </c>
      <c r="E180" s="92">
        <v>112</v>
      </c>
      <c r="F180" s="92">
        <v>100</v>
      </c>
      <c r="G180" s="92">
        <v>10</v>
      </c>
      <c r="H180" s="92">
        <v>42</v>
      </c>
      <c r="I180" s="92">
        <v>2</v>
      </c>
      <c r="J180" s="92">
        <v>28</v>
      </c>
      <c r="K180" s="67">
        <v>292</v>
      </c>
    </row>
    <row r="181" spans="1:11" s="68" customFormat="1" ht="9" customHeight="1" x14ac:dyDescent="0.15">
      <c r="A181" s="71" t="s">
        <v>32</v>
      </c>
      <c r="B181" s="92">
        <f t="shared" si="11"/>
        <v>2910</v>
      </c>
      <c r="C181" s="92">
        <v>718</v>
      </c>
      <c r="D181" s="92">
        <v>42</v>
      </c>
      <c r="E181" s="92">
        <v>429</v>
      </c>
      <c r="F181" s="92">
        <v>380</v>
      </c>
      <c r="G181" s="92">
        <v>20</v>
      </c>
      <c r="H181" s="92">
        <v>302</v>
      </c>
      <c r="I181" s="92">
        <v>6</v>
      </c>
      <c r="J181" s="92">
        <v>27</v>
      </c>
      <c r="K181" s="67">
        <v>986</v>
      </c>
    </row>
    <row r="182" spans="1:11" s="68" customFormat="1" ht="9" customHeight="1" x14ac:dyDescent="0.15">
      <c r="A182" s="71" t="s">
        <v>33</v>
      </c>
      <c r="B182" s="92">
        <f t="shared" si="11"/>
        <v>1472</v>
      </c>
      <c r="C182" s="92">
        <v>369</v>
      </c>
      <c r="D182" s="92">
        <v>21</v>
      </c>
      <c r="E182" s="92">
        <v>269</v>
      </c>
      <c r="F182" s="92">
        <v>243</v>
      </c>
      <c r="G182" s="92">
        <v>9</v>
      </c>
      <c r="H182" s="92">
        <v>48</v>
      </c>
      <c r="I182" s="92">
        <v>5</v>
      </c>
      <c r="J182" s="92">
        <v>5</v>
      </c>
      <c r="K182" s="67">
        <v>503</v>
      </c>
    </row>
    <row r="183" spans="1:11" s="68" customFormat="1" ht="9" customHeight="1" x14ac:dyDescent="0.15">
      <c r="A183" s="69" t="s">
        <v>34</v>
      </c>
      <c r="B183" s="90">
        <f t="shared" si="11"/>
        <v>614</v>
      </c>
      <c r="C183" s="90">
        <v>138</v>
      </c>
      <c r="D183" s="90">
        <v>18</v>
      </c>
      <c r="E183" s="90">
        <v>106</v>
      </c>
      <c r="F183" s="90">
        <v>70</v>
      </c>
      <c r="G183" s="90">
        <v>11</v>
      </c>
      <c r="H183" s="90">
        <v>57</v>
      </c>
      <c r="I183" s="90">
        <v>3</v>
      </c>
      <c r="J183" s="90">
        <v>5</v>
      </c>
      <c r="K183" s="70">
        <v>206</v>
      </c>
    </row>
    <row r="184" spans="1:11" s="68" customFormat="1" ht="9" customHeight="1" x14ac:dyDescent="0.15">
      <c r="A184" s="71" t="s">
        <v>35</v>
      </c>
      <c r="B184" s="92">
        <f t="shared" si="11"/>
        <v>5267</v>
      </c>
      <c r="C184" s="92">
        <v>1197</v>
      </c>
      <c r="D184" s="92">
        <v>93</v>
      </c>
      <c r="E184" s="92">
        <v>820</v>
      </c>
      <c r="F184" s="92">
        <v>884</v>
      </c>
      <c r="G184" s="92">
        <v>75</v>
      </c>
      <c r="H184" s="92">
        <v>336</v>
      </c>
      <c r="I184" s="92">
        <v>20</v>
      </c>
      <c r="J184" s="92">
        <v>87</v>
      </c>
      <c r="K184" s="67">
        <v>1755</v>
      </c>
    </row>
    <row r="185" spans="1:11" s="68" customFormat="1" ht="9" customHeight="1" x14ac:dyDescent="0.15">
      <c r="A185" s="71" t="s">
        <v>36</v>
      </c>
      <c r="B185" s="92">
        <f t="shared" si="11"/>
        <v>7973</v>
      </c>
      <c r="C185" s="92">
        <v>1954</v>
      </c>
      <c r="D185" s="92">
        <v>151</v>
      </c>
      <c r="E185" s="92">
        <v>1157</v>
      </c>
      <c r="F185" s="92">
        <v>732</v>
      </c>
      <c r="G185" s="92">
        <v>86</v>
      </c>
      <c r="H185" s="92">
        <v>773</v>
      </c>
      <c r="I185" s="92">
        <v>30</v>
      </c>
      <c r="J185" s="92">
        <v>85</v>
      </c>
      <c r="K185" s="67">
        <v>3005</v>
      </c>
    </row>
    <row r="186" spans="1:11" s="68" customFormat="1" ht="9" customHeight="1" x14ac:dyDescent="0.15">
      <c r="A186" s="71" t="s">
        <v>37</v>
      </c>
      <c r="B186" s="92">
        <f t="shared" si="11"/>
        <v>545</v>
      </c>
      <c r="C186" s="92">
        <v>121</v>
      </c>
      <c r="D186" s="92">
        <v>21</v>
      </c>
      <c r="E186" s="92">
        <v>80</v>
      </c>
      <c r="F186" s="92">
        <v>94</v>
      </c>
      <c r="G186" s="92">
        <v>6</v>
      </c>
      <c r="H186" s="92">
        <v>17</v>
      </c>
      <c r="I186" s="92">
        <v>1</v>
      </c>
      <c r="J186" s="92">
        <v>3</v>
      </c>
      <c r="K186" s="67">
        <v>202</v>
      </c>
    </row>
    <row r="187" spans="1:11" s="68" customFormat="1" ht="9" customHeight="1" x14ac:dyDescent="0.15">
      <c r="A187" s="69" t="s">
        <v>38</v>
      </c>
      <c r="B187" s="90">
        <f t="shared" si="11"/>
        <v>434</v>
      </c>
      <c r="C187" s="90">
        <v>117</v>
      </c>
      <c r="D187" s="90">
        <v>15</v>
      </c>
      <c r="E187" s="90">
        <v>70</v>
      </c>
      <c r="F187" s="90">
        <v>50</v>
      </c>
      <c r="G187" s="90">
        <v>2</v>
      </c>
      <c r="H187" s="90">
        <v>31</v>
      </c>
      <c r="I187" s="90">
        <v>1</v>
      </c>
      <c r="J187" s="90">
        <v>1</v>
      </c>
      <c r="K187" s="70">
        <v>147</v>
      </c>
    </row>
    <row r="188" spans="1:11" s="68" customFormat="1" ht="9" customHeight="1" x14ac:dyDescent="0.25">
      <c r="A188" s="71" t="s">
        <v>39</v>
      </c>
      <c r="B188" s="92">
        <f t="shared" si="11"/>
        <v>27</v>
      </c>
      <c r="C188" s="92">
        <v>4</v>
      </c>
      <c r="D188" s="92">
        <v>1</v>
      </c>
      <c r="E188" s="92">
        <v>4</v>
      </c>
      <c r="F188" s="92">
        <v>4</v>
      </c>
      <c r="G188" s="92">
        <v>2</v>
      </c>
      <c r="H188" s="92">
        <v>2</v>
      </c>
      <c r="I188" s="92">
        <v>0</v>
      </c>
      <c r="J188" s="92">
        <v>1</v>
      </c>
      <c r="K188" s="92">
        <v>9</v>
      </c>
    </row>
    <row r="189" spans="1:11" s="68" customFormat="1" ht="9" customHeight="1" x14ac:dyDescent="0.15">
      <c r="A189" s="71" t="s">
        <v>40</v>
      </c>
      <c r="B189" s="92">
        <f t="shared" si="11"/>
        <v>2663</v>
      </c>
      <c r="C189" s="92">
        <v>589</v>
      </c>
      <c r="D189" s="92">
        <v>26</v>
      </c>
      <c r="E189" s="92">
        <v>455</v>
      </c>
      <c r="F189" s="92">
        <v>395</v>
      </c>
      <c r="G189" s="92">
        <v>24</v>
      </c>
      <c r="H189" s="92">
        <v>289</v>
      </c>
      <c r="I189" s="92">
        <v>7</v>
      </c>
      <c r="J189" s="92">
        <v>37</v>
      </c>
      <c r="K189" s="67">
        <v>841</v>
      </c>
    </row>
    <row r="190" spans="1:11" s="68" customFormat="1" ht="9" customHeight="1" x14ac:dyDescent="0.25">
      <c r="A190" s="71" t="s">
        <v>41</v>
      </c>
      <c r="B190" s="92">
        <f t="shared" si="11"/>
        <v>102</v>
      </c>
      <c r="C190" s="92">
        <v>29</v>
      </c>
      <c r="D190" s="92">
        <v>0</v>
      </c>
      <c r="E190" s="92">
        <v>16</v>
      </c>
      <c r="F190" s="92">
        <v>14</v>
      </c>
      <c r="G190" s="92">
        <v>1</v>
      </c>
      <c r="H190" s="92">
        <v>4</v>
      </c>
      <c r="I190" s="92">
        <v>0</v>
      </c>
      <c r="J190" s="92">
        <v>1</v>
      </c>
      <c r="K190" s="92">
        <v>37</v>
      </c>
    </row>
    <row r="191" spans="1:11" s="68" customFormat="1" ht="9" customHeight="1" x14ac:dyDescent="0.15">
      <c r="A191" s="69" t="s">
        <v>42</v>
      </c>
      <c r="B191" s="90">
        <f t="shared" si="11"/>
        <v>1327</v>
      </c>
      <c r="C191" s="90">
        <v>366</v>
      </c>
      <c r="D191" s="90">
        <v>20</v>
      </c>
      <c r="E191" s="90">
        <v>188</v>
      </c>
      <c r="F191" s="90">
        <v>157</v>
      </c>
      <c r="G191" s="90">
        <v>17</v>
      </c>
      <c r="H191" s="90">
        <v>165</v>
      </c>
      <c r="I191" s="90">
        <v>4</v>
      </c>
      <c r="J191" s="90">
        <v>20</v>
      </c>
      <c r="K191" s="70">
        <v>390</v>
      </c>
    </row>
    <row r="192" spans="1:11" s="68" customFormat="1" ht="9" customHeight="1" x14ac:dyDescent="0.15">
      <c r="A192" s="71" t="s">
        <v>43</v>
      </c>
      <c r="B192" s="92">
        <f t="shared" si="11"/>
        <v>849</v>
      </c>
      <c r="C192" s="92">
        <v>209</v>
      </c>
      <c r="D192" s="92">
        <v>9</v>
      </c>
      <c r="E192" s="92">
        <v>124</v>
      </c>
      <c r="F192" s="92">
        <v>102</v>
      </c>
      <c r="G192" s="92">
        <v>16</v>
      </c>
      <c r="H192" s="92">
        <v>78</v>
      </c>
      <c r="I192" s="92">
        <v>1</v>
      </c>
      <c r="J192" s="92">
        <v>21</v>
      </c>
      <c r="K192" s="67">
        <v>289</v>
      </c>
    </row>
    <row r="193" spans="1:12" s="68" customFormat="1" ht="9" customHeight="1" x14ac:dyDescent="0.15">
      <c r="A193" s="71" t="s">
        <v>44</v>
      </c>
      <c r="B193" s="92">
        <f t="shared" si="11"/>
        <v>1501</v>
      </c>
      <c r="C193" s="92">
        <v>375</v>
      </c>
      <c r="D193" s="92">
        <v>15</v>
      </c>
      <c r="E193" s="92">
        <v>256</v>
      </c>
      <c r="F193" s="92">
        <v>199</v>
      </c>
      <c r="G193" s="92">
        <v>10</v>
      </c>
      <c r="H193" s="92">
        <v>82</v>
      </c>
      <c r="I193" s="92">
        <v>2</v>
      </c>
      <c r="J193" s="92">
        <v>21</v>
      </c>
      <c r="K193" s="67">
        <v>541</v>
      </c>
    </row>
    <row r="194" spans="1:12" s="68" customFormat="1" ht="9" customHeight="1" x14ac:dyDescent="0.15">
      <c r="A194" s="71" t="s">
        <v>45</v>
      </c>
      <c r="B194" s="92">
        <f t="shared" si="11"/>
        <v>1043</v>
      </c>
      <c r="C194" s="92">
        <v>277</v>
      </c>
      <c r="D194" s="92">
        <v>10</v>
      </c>
      <c r="E194" s="92">
        <v>174</v>
      </c>
      <c r="F194" s="92">
        <v>94</v>
      </c>
      <c r="G194" s="92">
        <v>24</v>
      </c>
      <c r="H194" s="92">
        <v>119</v>
      </c>
      <c r="I194" s="92">
        <v>3</v>
      </c>
      <c r="J194" s="92">
        <v>2</v>
      </c>
      <c r="K194" s="67">
        <v>340</v>
      </c>
    </row>
    <row r="195" spans="1:12" s="68" customFormat="1" ht="9" customHeight="1" x14ac:dyDescent="0.15">
      <c r="A195" s="69" t="s">
        <v>46</v>
      </c>
      <c r="B195" s="90">
        <f t="shared" si="11"/>
        <v>3998</v>
      </c>
      <c r="C195" s="90">
        <v>857</v>
      </c>
      <c r="D195" s="90">
        <v>229</v>
      </c>
      <c r="E195" s="90">
        <v>636</v>
      </c>
      <c r="F195" s="90">
        <v>678</v>
      </c>
      <c r="G195" s="90">
        <v>14</v>
      </c>
      <c r="H195" s="90">
        <v>115</v>
      </c>
      <c r="I195" s="90">
        <v>16</v>
      </c>
      <c r="J195" s="90">
        <v>64</v>
      </c>
      <c r="K195" s="70">
        <v>1389</v>
      </c>
    </row>
    <row r="196" spans="1:12" s="68" customFormat="1" ht="9" customHeight="1" x14ac:dyDescent="0.15">
      <c r="A196" s="71" t="s">
        <v>47</v>
      </c>
      <c r="B196" s="92">
        <f t="shared" si="11"/>
        <v>809</v>
      </c>
      <c r="C196" s="92">
        <v>185</v>
      </c>
      <c r="D196" s="92">
        <v>15</v>
      </c>
      <c r="E196" s="92">
        <v>135</v>
      </c>
      <c r="F196" s="92">
        <v>99</v>
      </c>
      <c r="G196" s="92">
        <v>4</v>
      </c>
      <c r="H196" s="92">
        <v>37</v>
      </c>
      <c r="I196" s="92">
        <v>1</v>
      </c>
      <c r="J196" s="92">
        <v>30</v>
      </c>
      <c r="K196" s="67">
        <v>303</v>
      </c>
    </row>
    <row r="197" spans="1:12" s="68" customFormat="1" ht="9" customHeight="1" x14ac:dyDescent="0.15">
      <c r="A197" s="71" t="s">
        <v>49</v>
      </c>
      <c r="B197" s="92">
        <f t="shared" si="11"/>
        <v>1100</v>
      </c>
      <c r="C197" s="92">
        <v>254</v>
      </c>
      <c r="D197" s="92">
        <v>4</v>
      </c>
      <c r="E197" s="92">
        <v>188</v>
      </c>
      <c r="F197" s="92">
        <v>177</v>
      </c>
      <c r="G197" s="92">
        <v>6</v>
      </c>
      <c r="H197" s="92">
        <v>98</v>
      </c>
      <c r="I197" s="92">
        <v>2</v>
      </c>
      <c r="J197" s="92">
        <v>26</v>
      </c>
      <c r="K197" s="67">
        <v>345</v>
      </c>
    </row>
    <row r="198" spans="1:12" s="68" customFormat="1" ht="9" customHeight="1" x14ac:dyDescent="0.15">
      <c r="A198" s="71" t="s">
        <v>51</v>
      </c>
      <c r="B198" s="92">
        <f t="shared" si="11"/>
        <v>960</v>
      </c>
      <c r="C198" s="92">
        <v>278</v>
      </c>
      <c r="D198" s="92">
        <v>12</v>
      </c>
      <c r="E198" s="92">
        <v>163</v>
      </c>
      <c r="F198" s="92">
        <v>143</v>
      </c>
      <c r="G198" s="92">
        <v>3</v>
      </c>
      <c r="H198" s="92">
        <v>72</v>
      </c>
      <c r="I198" s="92">
        <v>3</v>
      </c>
      <c r="J198" s="92">
        <v>13</v>
      </c>
      <c r="K198" s="67">
        <v>273</v>
      </c>
    </row>
    <row r="199" spans="1:12" s="68" customFormat="1" ht="9" customHeight="1" x14ac:dyDescent="0.15">
      <c r="A199" s="69" t="s">
        <v>52</v>
      </c>
      <c r="B199" s="90">
        <f t="shared" si="11"/>
        <v>732</v>
      </c>
      <c r="C199" s="90">
        <v>207</v>
      </c>
      <c r="D199" s="90">
        <v>6</v>
      </c>
      <c r="E199" s="90">
        <v>124</v>
      </c>
      <c r="F199" s="90">
        <v>66</v>
      </c>
      <c r="G199" s="90">
        <v>3</v>
      </c>
      <c r="H199" s="90">
        <v>31</v>
      </c>
      <c r="I199" s="90">
        <v>4</v>
      </c>
      <c r="J199" s="90">
        <v>23</v>
      </c>
      <c r="K199" s="70">
        <v>268</v>
      </c>
    </row>
    <row r="200" spans="1:12" s="68" customFormat="1" ht="9" customHeight="1" x14ac:dyDescent="0.15">
      <c r="A200" s="71" t="s">
        <v>53</v>
      </c>
      <c r="B200" s="92">
        <f t="shared" si="11"/>
        <v>673</v>
      </c>
      <c r="C200" s="92">
        <v>163</v>
      </c>
      <c r="D200" s="92">
        <v>31</v>
      </c>
      <c r="E200" s="92">
        <v>117</v>
      </c>
      <c r="F200" s="92">
        <v>93</v>
      </c>
      <c r="G200" s="92">
        <v>5</v>
      </c>
      <c r="H200" s="92">
        <v>48</v>
      </c>
      <c r="I200" s="92">
        <v>2</v>
      </c>
      <c r="J200" s="92">
        <v>26</v>
      </c>
      <c r="K200" s="67">
        <v>188</v>
      </c>
    </row>
    <row r="201" spans="1:12" s="65" customFormat="1" ht="9" customHeight="1" x14ac:dyDescent="0.25">
      <c r="A201" s="100"/>
      <c r="B201" s="97"/>
      <c r="C201" s="97"/>
      <c r="D201" s="97"/>
      <c r="E201" s="97"/>
      <c r="F201" s="97"/>
      <c r="G201" s="97"/>
      <c r="H201" s="97"/>
      <c r="I201" s="97"/>
      <c r="J201" s="97"/>
      <c r="K201" s="64"/>
    </row>
    <row r="202" spans="1:12" s="65" customFormat="1" ht="9" customHeight="1" x14ac:dyDescent="0.25">
      <c r="A202" s="96">
        <v>2005</v>
      </c>
      <c r="B202" s="97"/>
      <c r="C202" s="97"/>
      <c r="D202" s="97"/>
      <c r="E202" s="97"/>
      <c r="F202" s="97"/>
      <c r="G202" s="97"/>
      <c r="H202" s="97"/>
      <c r="I202" s="97"/>
      <c r="J202" s="97"/>
      <c r="K202" s="64"/>
    </row>
    <row r="203" spans="1:12" s="65" customFormat="1" ht="9" customHeight="1" x14ac:dyDescent="0.25">
      <c r="A203" s="99" t="s">
        <v>21</v>
      </c>
      <c r="B203" s="64">
        <f t="shared" ref="B203:J203" si="12">SUM(B205:B235)</f>
        <v>76187</v>
      </c>
      <c r="C203" s="64">
        <f t="shared" si="12"/>
        <v>18610</v>
      </c>
      <c r="D203" s="64">
        <f t="shared" si="12"/>
        <v>1044</v>
      </c>
      <c r="E203" s="64">
        <f t="shared" si="12"/>
        <v>11311</v>
      </c>
      <c r="F203" s="64">
        <f t="shared" si="12"/>
        <v>8827</v>
      </c>
      <c r="G203" s="64">
        <f t="shared" si="12"/>
        <v>706</v>
      </c>
      <c r="H203" s="64">
        <f t="shared" si="12"/>
        <v>5378</v>
      </c>
      <c r="I203" s="64">
        <f t="shared" si="12"/>
        <v>171</v>
      </c>
      <c r="J203" s="64">
        <f t="shared" si="12"/>
        <v>1068</v>
      </c>
      <c r="K203" s="64">
        <f>SUM(K205:K235)</f>
        <v>29072</v>
      </c>
      <c r="L203" s="101"/>
    </row>
    <row r="204" spans="1:12" s="65" customFormat="1" ht="3.95" customHeight="1" x14ac:dyDescent="0.25">
      <c r="A204" s="99"/>
      <c r="B204" s="64"/>
      <c r="C204" s="64"/>
      <c r="D204" s="64"/>
      <c r="E204" s="64"/>
      <c r="F204" s="64"/>
      <c r="G204" s="64"/>
      <c r="H204" s="64"/>
      <c r="I204" s="64"/>
      <c r="J204" s="64"/>
      <c r="K204" s="64"/>
    </row>
    <row r="205" spans="1:12" s="68" customFormat="1" ht="9" customHeight="1" x14ac:dyDescent="0.15">
      <c r="A205" s="71" t="s">
        <v>23</v>
      </c>
      <c r="B205" s="92">
        <f t="shared" ref="B205:B235" si="13">SUM(C205:K205)</f>
        <v>1136</v>
      </c>
      <c r="C205" s="92">
        <v>287</v>
      </c>
      <c r="D205" s="92">
        <v>49</v>
      </c>
      <c r="E205" s="92">
        <v>174</v>
      </c>
      <c r="F205" s="92">
        <v>174</v>
      </c>
      <c r="G205" s="92">
        <v>13</v>
      </c>
      <c r="H205" s="92">
        <v>83</v>
      </c>
      <c r="I205" s="92">
        <v>5</v>
      </c>
      <c r="J205" s="92">
        <v>12</v>
      </c>
      <c r="K205" s="67">
        <v>339</v>
      </c>
    </row>
    <row r="206" spans="1:12" s="68" customFormat="1" ht="9" customHeight="1" x14ac:dyDescent="0.15">
      <c r="A206" s="71" t="s">
        <v>24</v>
      </c>
      <c r="B206" s="92">
        <f t="shared" si="13"/>
        <v>3507</v>
      </c>
      <c r="C206" s="92">
        <v>767</v>
      </c>
      <c r="D206" s="92">
        <v>21</v>
      </c>
      <c r="E206" s="92">
        <v>559</v>
      </c>
      <c r="F206" s="92">
        <v>375</v>
      </c>
      <c r="G206" s="92">
        <v>20</v>
      </c>
      <c r="H206" s="92">
        <v>81</v>
      </c>
      <c r="I206" s="92">
        <v>6</v>
      </c>
      <c r="J206" s="92">
        <v>85</v>
      </c>
      <c r="K206" s="67">
        <v>1593</v>
      </c>
    </row>
    <row r="207" spans="1:12" s="68" customFormat="1" ht="9" customHeight="1" x14ac:dyDescent="0.15">
      <c r="A207" s="71" t="s">
        <v>25</v>
      </c>
      <c r="B207" s="92">
        <f t="shared" si="13"/>
        <v>1087</v>
      </c>
      <c r="C207" s="92">
        <v>245</v>
      </c>
      <c r="D207" s="92">
        <v>62</v>
      </c>
      <c r="E207" s="92">
        <v>175</v>
      </c>
      <c r="F207" s="92">
        <v>144</v>
      </c>
      <c r="G207" s="92">
        <v>7</v>
      </c>
      <c r="H207" s="92">
        <v>39</v>
      </c>
      <c r="I207" s="92">
        <v>2</v>
      </c>
      <c r="J207" s="92">
        <v>35</v>
      </c>
      <c r="K207" s="67">
        <v>378</v>
      </c>
    </row>
    <row r="208" spans="1:12" s="68" customFormat="1" ht="9" customHeight="1" x14ac:dyDescent="0.25">
      <c r="A208" s="69" t="s">
        <v>26</v>
      </c>
      <c r="B208" s="90">
        <f t="shared" si="13"/>
        <v>488</v>
      </c>
      <c r="C208" s="90">
        <v>115</v>
      </c>
      <c r="D208" s="90">
        <v>1</v>
      </c>
      <c r="E208" s="90">
        <v>73</v>
      </c>
      <c r="F208" s="90">
        <v>65</v>
      </c>
      <c r="G208" s="90">
        <v>2</v>
      </c>
      <c r="H208" s="90">
        <v>25</v>
      </c>
      <c r="I208" s="90">
        <v>0</v>
      </c>
      <c r="J208" s="90">
        <v>4</v>
      </c>
      <c r="K208" s="90">
        <v>203</v>
      </c>
    </row>
    <row r="209" spans="1:11" s="68" customFormat="1" ht="9" customHeight="1" x14ac:dyDescent="0.15">
      <c r="A209" s="71" t="s">
        <v>27</v>
      </c>
      <c r="B209" s="92">
        <f t="shared" si="13"/>
        <v>2328</v>
      </c>
      <c r="C209" s="92">
        <v>542</v>
      </c>
      <c r="D209" s="92">
        <v>36</v>
      </c>
      <c r="E209" s="92">
        <v>367</v>
      </c>
      <c r="F209" s="92">
        <v>324</v>
      </c>
      <c r="G209" s="92">
        <v>21</v>
      </c>
      <c r="H209" s="92">
        <v>252</v>
      </c>
      <c r="I209" s="92">
        <v>2</v>
      </c>
      <c r="J209" s="92">
        <v>12</v>
      </c>
      <c r="K209" s="67">
        <v>772</v>
      </c>
    </row>
    <row r="210" spans="1:11" s="68" customFormat="1" ht="9" customHeight="1" x14ac:dyDescent="0.15">
      <c r="A210" s="71" t="s">
        <v>28</v>
      </c>
      <c r="B210" s="92">
        <f t="shared" si="13"/>
        <v>1550</v>
      </c>
      <c r="C210" s="92">
        <v>402</v>
      </c>
      <c r="D210" s="92">
        <v>17</v>
      </c>
      <c r="E210" s="92">
        <v>238</v>
      </c>
      <c r="F210" s="92">
        <v>189</v>
      </c>
      <c r="G210" s="92">
        <v>15</v>
      </c>
      <c r="H210" s="92">
        <v>34</v>
      </c>
      <c r="I210" s="92">
        <v>1</v>
      </c>
      <c r="J210" s="92">
        <v>11</v>
      </c>
      <c r="K210" s="67">
        <v>643</v>
      </c>
    </row>
    <row r="211" spans="1:11" s="68" customFormat="1" ht="9" customHeight="1" x14ac:dyDescent="0.15">
      <c r="A211" s="71" t="s">
        <v>29</v>
      </c>
      <c r="B211" s="92">
        <f t="shared" si="13"/>
        <v>911</v>
      </c>
      <c r="C211" s="92">
        <v>225</v>
      </c>
      <c r="D211" s="92">
        <v>11</v>
      </c>
      <c r="E211" s="92">
        <v>149</v>
      </c>
      <c r="F211" s="92">
        <v>127</v>
      </c>
      <c r="G211" s="92">
        <v>8</v>
      </c>
      <c r="H211" s="92">
        <v>56</v>
      </c>
      <c r="I211" s="92">
        <v>3</v>
      </c>
      <c r="J211" s="92">
        <v>6</v>
      </c>
      <c r="K211" s="67">
        <v>326</v>
      </c>
    </row>
    <row r="212" spans="1:11" s="68" customFormat="1" ht="9" customHeight="1" x14ac:dyDescent="0.15">
      <c r="A212" s="69" t="s">
        <v>30</v>
      </c>
      <c r="B212" s="90">
        <f t="shared" si="13"/>
        <v>4530</v>
      </c>
      <c r="C212" s="90">
        <v>931</v>
      </c>
      <c r="D212" s="90">
        <v>16</v>
      </c>
      <c r="E212" s="90">
        <v>698</v>
      </c>
      <c r="F212" s="90">
        <v>735</v>
      </c>
      <c r="G212" s="90">
        <v>28</v>
      </c>
      <c r="H212" s="90">
        <v>348</v>
      </c>
      <c r="I212" s="90">
        <v>24</v>
      </c>
      <c r="J212" s="90">
        <v>193</v>
      </c>
      <c r="K212" s="70">
        <v>1557</v>
      </c>
    </row>
    <row r="213" spans="1:11" s="68" customFormat="1" ht="9" customHeight="1" x14ac:dyDescent="0.15">
      <c r="A213" s="66" t="s">
        <v>63</v>
      </c>
      <c r="B213" s="92">
        <f t="shared" si="13"/>
        <v>17749</v>
      </c>
      <c r="C213" s="92">
        <v>4564</v>
      </c>
      <c r="D213" s="92">
        <v>187</v>
      </c>
      <c r="E213" s="92">
        <v>2420</v>
      </c>
      <c r="F213" s="92">
        <v>1379</v>
      </c>
      <c r="G213" s="92">
        <v>207</v>
      </c>
      <c r="H213" s="92">
        <v>1498</v>
      </c>
      <c r="I213" s="92">
        <v>35</v>
      </c>
      <c r="J213" s="92">
        <v>202</v>
      </c>
      <c r="K213" s="67">
        <v>7257</v>
      </c>
    </row>
    <row r="214" spans="1:11" s="68" customFormat="1" ht="9" customHeight="1" x14ac:dyDescent="0.15">
      <c r="A214" s="71" t="s">
        <v>31</v>
      </c>
      <c r="B214" s="92">
        <f t="shared" si="13"/>
        <v>1219</v>
      </c>
      <c r="C214" s="92">
        <v>275</v>
      </c>
      <c r="D214" s="92">
        <v>18</v>
      </c>
      <c r="E214" s="92">
        <v>189</v>
      </c>
      <c r="F214" s="92">
        <v>136</v>
      </c>
      <c r="G214" s="92">
        <v>8</v>
      </c>
      <c r="H214" s="92">
        <v>77</v>
      </c>
      <c r="I214" s="92">
        <v>4</v>
      </c>
      <c r="J214" s="92">
        <v>22</v>
      </c>
      <c r="K214" s="67">
        <v>490</v>
      </c>
    </row>
    <row r="215" spans="1:11" s="68" customFormat="1" ht="9" customHeight="1" x14ac:dyDescent="0.15">
      <c r="A215" s="71" t="s">
        <v>32</v>
      </c>
      <c r="B215" s="92">
        <f t="shared" si="13"/>
        <v>3122</v>
      </c>
      <c r="C215" s="92">
        <v>839</v>
      </c>
      <c r="D215" s="92">
        <v>41</v>
      </c>
      <c r="E215" s="92">
        <v>438</v>
      </c>
      <c r="F215" s="92">
        <v>364</v>
      </c>
      <c r="G215" s="92">
        <v>20</v>
      </c>
      <c r="H215" s="92">
        <v>281</v>
      </c>
      <c r="I215" s="92">
        <v>6</v>
      </c>
      <c r="J215" s="92">
        <v>27</v>
      </c>
      <c r="K215" s="67">
        <v>1106</v>
      </c>
    </row>
    <row r="216" spans="1:11" s="68" customFormat="1" ht="9" customHeight="1" x14ac:dyDescent="0.15">
      <c r="A216" s="69" t="s">
        <v>33</v>
      </c>
      <c r="B216" s="90">
        <f t="shared" si="13"/>
        <v>1945</v>
      </c>
      <c r="C216" s="90">
        <v>487</v>
      </c>
      <c r="D216" s="90">
        <v>17</v>
      </c>
      <c r="E216" s="90">
        <v>302</v>
      </c>
      <c r="F216" s="90">
        <v>315</v>
      </c>
      <c r="G216" s="90">
        <v>12</v>
      </c>
      <c r="H216" s="90">
        <v>76</v>
      </c>
      <c r="I216" s="90">
        <v>3</v>
      </c>
      <c r="J216" s="90">
        <v>11</v>
      </c>
      <c r="K216" s="70">
        <v>722</v>
      </c>
    </row>
    <row r="217" spans="1:11" s="68" customFormat="1" ht="9" customHeight="1" x14ac:dyDescent="0.15">
      <c r="A217" s="71" t="s">
        <v>34</v>
      </c>
      <c r="B217" s="92">
        <f t="shared" si="13"/>
        <v>956</v>
      </c>
      <c r="C217" s="92">
        <v>239</v>
      </c>
      <c r="D217" s="92">
        <v>24</v>
      </c>
      <c r="E217" s="92">
        <v>145</v>
      </c>
      <c r="F217" s="92">
        <v>99</v>
      </c>
      <c r="G217" s="92">
        <v>12</v>
      </c>
      <c r="H217" s="92">
        <v>77</v>
      </c>
      <c r="I217" s="92">
        <v>4</v>
      </c>
      <c r="J217" s="92">
        <v>20</v>
      </c>
      <c r="K217" s="67">
        <v>336</v>
      </c>
    </row>
    <row r="218" spans="1:11" s="68" customFormat="1" ht="9" customHeight="1" x14ac:dyDescent="0.15">
      <c r="A218" s="71" t="s">
        <v>35</v>
      </c>
      <c r="B218" s="92">
        <f t="shared" si="13"/>
        <v>6416</v>
      </c>
      <c r="C218" s="92">
        <v>1430</v>
      </c>
      <c r="D218" s="92">
        <v>116</v>
      </c>
      <c r="E218" s="92">
        <v>973</v>
      </c>
      <c r="F218" s="92">
        <v>1007</v>
      </c>
      <c r="G218" s="92">
        <v>105</v>
      </c>
      <c r="H218" s="92">
        <v>334</v>
      </c>
      <c r="I218" s="92">
        <v>26</v>
      </c>
      <c r="J218" s="92">
        <v>65</v>
      </c>
      <c r="K218" s="67">
        <v>2360</v>
      </c>
    </row>
    <row r="219" spans="1:11" s="68" customFormat="1" ht="9" customHeight="1" x14ac:dyDescent="0.15">
      <c r="A219" s="71" t="s">
        <v>36</v>
      </c>
      <c r="B219" s="92">
        <f t="shared" si="13"/>
        <v>8243</v>
      </c>
      <c r="C219" s="92">
        <v>2090</v>
      </c>
      <c r="D219" s="92">
        <v>110</v>
      </c>
      <c r="E219" s="92">
        <v>1236</v>
      </c>
      <c r="F219" s="92">
        <v>665</v>
      </c>
      <c r="G219" s="92">
        <v>86</v>
      </c>
      <c r="H219" s="92">
        <v>705</v>
      </c>
      <c r="I219" s="92">
        <v>21</v>
      </c>
      <c r="J219" s="92">
        <v>88</v>
      </c>
      <c r="K219" s="67">
        <v>3242</v>
      </c>
    </row>
    <row r="220" spans="1:11" s="68" customFormat="1" ht="9" customHeight="1" x14ac:dyDescent="0.15">
      <c r="A220" s="69" t="s">
        <v>37</v>
      </c>
      <c r="B220" s="90">
        <f t="shared" si="13"/>
        <v>738</v>
      </c>
      <c r="C220" s="90">
        <v>164</v>
      </c>
      <c r="D220" s="90">
        <v>18</v>
      </c>
      <c r="E220" s="90">
        <v>86</v>
      </c>
      <c r="F220" s="90">
        <v>114</v>
      </c>
      <c r="G220" s="90">
        <v>7</v>
      </c>
      <c r="H220" s="90">
        <v>19</v>
      </c>
      <c r="I220" s="90">
        <v>0</v>
      </c>
      <c r="J220" s="90">
        <v>3</v>
      </c>
      <c r="K220" s="70">
        <v>327</v>
      </c>
    </row>
    <row r="221" spans="1:11" s="68" customFormat="1" ht="9" customHeight="1" x14ac:dyDescent="0.15">
      <c r="A221" s="71" t="s">
        <v>38</v>
      </c>
      <c r="B221" s="92">
        <f t="shared" si="13"/>
        <v>486</v>
      </c>
      <c r="C221" s="92">
        <v>140</v>
      </c>
      <c r="D221" s="92">
        <v>6</v>
      </c>
      <c r="E221" s="92">
        <v>71</v>
      </c>
      <c r="F221" s="92">
        <v>48</v>
      </c>
      <c r="G221" s="92">
        <v>5</v>
      </c>
      <c r="H221" s="92">
        <v>23</v>
      </c>
      <c r="I221" s="92">
        <v>2</v>
      </c>
      <c r="J221" s="92">
        <v>6</v>
      </c>
      <c r="K221" s="67">
        <v>185</v>
      </c>
    </row>
    <row r="222" spans="1:11" s="68" customFormat="1" ht="9" customHeight="1" x14ac:dyDescent="0.25">
      <c r="A222" s="71" t="s">
        <v>39</v>
      </c>
      <c r="B222" s="92">
        <f t="shared" si="13"/>
        <v>21</v>
      </c>
      <c r="C222" s="92">
        <v>5</v>
      </c>
      <c r="D222" s="92">
        <v>0</v>
      </c>
      <c r="E222" s="92">
        <v>5</v>
      </c>
      <c r="F222" s="92">
        <v>2</v>
      </c>
      <c r="G222" s="92">
        <v>0</v>
      </c>
      <c r="H222" s="92">
        <v>3</v>
      </c>
      <c r="I222" s="92">
        <v>0</v>
      </c>
      <c r="J222" s="92">
        <v>0</v>
      </c>
      <c r="K222" s="92">
        <v>6</v>
      </c>
    </row>
    <row r="223" spans="1:11" s="68" customFormat="1" ht="9" customHeight="1" x14ac:dyDescent="0.15">
      <c r="A223" s="71" t="s">
        <v>40</v>
      </c>
      <c r="B223" s="92">
        <f t="shared" si="13"/>
        <v>4079</v>
      </c>
      <c r="C223" s="92">
        <v>857</v>
      </c>
      <c r="D223" s="92">
        <v>30</v>
      </c>
      <c r="E223" s="92">
        <v>658</v>
      </c>
      <c r="F223" s="92">
        <v>554</v>
      </c>
      <c r="G223" s="92">
        <v>32</v>
      </c>
      <c r="H223" s="92">
        <v>397</v>
      </c>
      <c r="I223" s="92">
        <v>4</v>
      </c>
      <c r="J223" s="92">
        <v>50</v>
      </c>
      <c r="K223" s="67">
        <v>1497</v>
      </c>
    </row>
    <row r="224" spans="1:11" s="68" customFormat="1" ht="9" customHeight="1" x14ac:dyDescent="0.25">
      <c r="A224" s="69" t="s">
        <v>41</v>
      </c>
      <c r="B224" s="90">
        <f t="shared" si="13"/>
        <v>154</v>
      </c>
      <c r="C224" s="90">
        <v>44</v>
      </c>
      <c r="D224" s="90">
        <v>0</v>
      </c>
      <c r="E224" s="90">
        <v>23</v>
      </c>
      <c r="F224" s="90">
        <v>17</v>
      </c>
      <c r="G224" s="90">
        <v>1</v>
      </c>
      <c r="H224" s="90">
        <v>10</v>
      </c>
      <c r="I224" s="90">
        <v>0</v>
      </c>
      <c r="J224" s="90">
        <v>2</v>
      </c>
      <c r="K224" s="90">
        <v>57</v>
      </c>
    </row>
    <row r="225" spans="1:12" s="68" customFormat="1" ht="9" customHeight="1" x14ac:dyDescent="0.15">
      <c r="A225" s="71" t="s">
        <v>42</v>
      </c>
      <c r="B225" s="92">
        <f t="shared" si="13"/>
        <v>1554</v>
      </c>
      <c r="C225" s="92">
        <v>411</v>
      </c>
      <c r="D225" s="92">
        <v>21</v>
      </c>
      <c r="E225" s="92">
        <v>226</v>
      </c>
      <c r="F225" s="92">
        <v>171</v>
      </c>
      <c r="G225" s="92">
        <v>17</v>
      </c>
      <c r="H225" s="92">
        <v>205</v>
      </c>
      <c r="I225" s="92">
        <v>5</v>
      </c>
      <c r="J225" s="92">
        <v>27</v>
      </c>
      <c r="K225" s="67">
        <v>471</v>
      </c>
    </row>
    <row r="226" spans="1:12" s="68" customFormat="1" ht="9" customHeight="1" x14ac:dyDescent="0.15">
      <c r="A226" s="71" t="s">
        <v>43</v>
      </c>
      <c r="B226" s="92">
        <f t="shared" si="13"/>
        <v>1253</v>
      </c>
      <c r="C226" s="92">
        <v>278</v>
      </c>
      <c r="D226" s="92">
        <v>10</v>
      </c>
      <c r="E226" s="92">
        <v>200</v>
      </c>
      <c r="F226" s="92">
        <v>118</v>
      </c>
      <c r="G226" s="92">
        <v>24</v>
      </c>
      <c r="H226" s="92">
        <v>122</v>
      </c>
      <c r="I226" s="92">
        <v>2</v>
      </c>
      <c r="J226" s="92">
        <v>22</v>
      </c>
      <c r="K226" s="67">
        <v>477</v>
      </c>
    </row>
    <row r="227" spans="1:12" s="68" customFormat="1" ht="9" customHeight="1" x14ac:dyDescent="0.15">
      <c r="A227" s="71" t="s">
        <v>44</v>
      </c>
      <c r="B227" s="92">
        <f t="shared" si="13"/>
        <v>1574</v>
      </c>
      <c r="C227" s="92">
        <v>458</v>
      </c>
      <c r="D227" s="92">
        <v>10</v>
      </c>
      <c r="E227" s="92">
        <v>213</v>
      </c>
      <c r="F227" s="92">
        <v>170</v>
      </c>
      <c r="G227" s="92">
        <v>9</v>
      </c>
      <c r="H227" s="92">
        <v>94</v>
      </c>
      <c r="I227" s="92">
        <v>2</v>
      </c>
      <c r="J227" s="92">
        <v>14</v>
      </c>
      <c r="K227" s="67">
        <v>604</v>
      </c>
    </row>
    <row r="228" spans="1:12" s="68" customFormat="1" ht="9" customHeight="1" x14ac:dyDescent="0.15">
      <c r="A228" s="69" t="s">
        <v>45</v>
      </c>
      <c r="B228" s="90">
        <f t="shared" si="13"/>
        <v>1169</v>
      </c>
      <c r="C228" s="90">
        <v>330</v>
      </c>
      <c r="D228" s="90">
        <v>8</v>
      </c>
      <c r="E228" s="90">
        <v>190</v>
      </c>
      <c r="F228" s="90">
        <v>103</v>
      </c>
      <c r="G228" s="90">
        <v>7</v>
      </c>
      <c r="H228" s="90">
        <v>156</v>
      </c>
      <c r="I228" s="90">
        <v>0</v>
      </c>
      <c r="J228" s="90">
        <v>11</v>
      </c>
      <c r="K228" s="70">
        <v>364</v>
      </c>
    </row>
    <row r="229" spans="1:12" s="68" customFormat="1" ht="9" customHeight="1" x14ac:dyDescent="0.15">
      <c r="A229" s="71" t="s">
        <v>46</v>
      </c>
      <c r="B229" s="92">
        <f t="shared" si="13"/>
        <v>4431</v>
      </c>
      <c r="C229" s="92">
        <v>983</v>
      </c>
      <c r="D229" s="92">
        <v>125</v>
      </c>
      <c r="E229" s="92">
        <v>651</v>
      </c>
      <c r="F229" s="92">
        <v>719</v>
      </c>
      <c r="G229" s="92">
        <v>7</v>
      </c>
      <c r="H229" s="92">
        <v>88</v>
      </c>
      <c r="I229" s="92">
        <v>7</v>
      </c>
      <c r="J229" s="92">
        <v>56</v>
      </c>
      <c r="K229" s="67">
        <v>1795</v>
      </c>
    </row>
    <row r="230" spans="1:12" s="68" customFormat="1" ht="9" customHeight="1" x14ac:dyDescent="0.15">
      <c r="A230" s="71" t="s">
        <v>47</v>
      </c>
      <c r="B230" s="92">
        <f t="shared" si="13"/>
        <v>1251</v>
      </c>
      <c r="C230" s="92">
        <v>307</v>
      </c>
      <c r="D230" s="92">
        <v>24</v>
      </c>
      <c r="E230" s="92">
        <v>204</v>
      </c>
      <c r="F230" s="92">
        <v>151</v>
      </c>
      <c r="G230" s="92">
        <v>5</v>
      </c>
      <c r="H230" s="92">
        <v>47</v>
      </c>
      <c r="I230" s="92">
        <v>1</v>
      </c>
      <c r="J230" s="92">
        <v>27</v>
      </c>
      <c r="K230" s="67">
        <v>485</v>
      </c>
    </row>
    <row r="231" spans="1:12" s="68" customFormat="1" ht="9" customHeight="1" x14ac:dyDescent="0.25">
      <c r="A231" s="71" t="s">
        <v>48</v>
      </c>
      <c r="B231" s="92">
        <f t="shared" si="13"/>
        <v>148</v>
      </c>
      <c r="C231" s="92">
        <v>31</v>
      </c>
      <c r="D231" s="92">
        <v>0</v>
      </c>
      <c r="E231" s="92">
        <v>13</v>
      </c>
      <c r="F231" s="92">
        <v>13</v>
      </c>
      <c r="G231" s="92">
        <v>1</v>
      </c>
      <c r="H231" s="92">
        <v>2</v>
      </c>
      <c r="I231" s="92">
        <v>0</v>
      </c>
      <c r="J231" s="92">
        <v>1</v>
      </c>
      <c r="K231" s="92">
        <v>87</v>
      </c>
    </row>
    <row r="232" spans="1:12" s="68" customFormat="1" ht="9" customHeight="1" x14ac:dyDescent="0.15">
      <c r="A232" s="69" t="s">
        <v>49</v>
      </c>
      <c r="B232" s="90">
        <f t="shared" si="13"/>
        <v>1410</v>
      </c>
      <c r="C232" s="90">
        <v>355</v>
      </c>
      <c r="D232" s="90">
        <v>16</v>
      </c>
      <c r="E232" s="90">
        <v>220</v>
      </c>
      <c r="F232" s="90">
        <v>210</v>
      </c>
      <c r="G232" s="90">
        <v>11</v>
      </c>
      <c r="H232" s="90">
        <v>105</v>
      </c>
      <c r="I232" s="90">
        <v>3</v>
      </c>
      <c r="J232" s="90">
        <v>17</v>
      </c>
      <c r="K232" s="70">
        <v>473</v>
      </c>
    </row>
    <row r="233" spans="1:12" s="68" customFormat="1" ht="9" customHeight="1" x14ac:dyDescent="0.15">
      <c r="A233" s="71" t="s">
        <v>51</v>
      </c>
      <c r="B233" s="92">
        <f t="shared" si="13"/>
        <v>1184</v>
      </c>
      <c r="C233" s="92">
        <v>348</v>
      </c>
      <c r="D233" s="92">
        <v>16</v>
      </c>
      <c r="E233" s="92">
        <v>199</v>
      </c>
      <c r="F233" s="92">
        <v>174</v>
      </c>
      <c r="G233" s="92">
        <v>5</v>
      </c>
      <c r="H233" s="92">
        <v>76</v>
      </c>
      <c r="I233" s="92">
        <v>2</v>
      </c>
      <c r="J233" s="92">
        <v>6</v>
      </c>
      <c r="K233" s="67">
        <v>358</v>
      </c>
    </row>
    <row r="234" spans="1:12" s="68" customFormat="1" ht="9" customHeight="1" x14ac:dyDescent="0.15">
      <c r="A234" s="71" t="s">
        <v>52</v>
      </c>
      <c r="B234" s="92">
        <f t="shared" si="13"/>
        <v>855</v>
      </c>
      <c r="C234" s="92">
        <v>259</v>
      </c>
      <c r="D234" s="92">
        <v>9</v>
      </c>
      <c r="E234" s="92">
        <v>112</v>
      </c>
      <c r="F234" s="92">
        <v>71</v>
      </c>
      <c r="G234" s="92">
        <v>3</v>
      </c>
      <c r="H234" s="92">
        <v>33</v>
      </c>
      <c r="I234" s="92">
        <v>1</v>
      </c>
      <c r="J234" s="92">
        <v>22</v>
      </c>
      <c r="K234" s="67">
        <v>345</v>
      </c>
    </row>
    <row r="235" spans="1:12" s="68" customFormat="1" ht="9" customHeight="1" x14ac:dyDescent="0.15">
      <c r="A235" s="71" t="s">
        <v>53</v>
      </c>
      <c r="B235" s="92">
        <f t="shared" si="13"/>
        <v>693</v>
      </c>
      <c r="C235" s="92">
        <v>202</v>
      </c>
      <c r="D235" s="92">
        <v>25</v>
      </c>
      <c r="E235" s="92">
        <v>104</v>
      </c>
      <c r="F235" s="92">
        <v>94</v>
      </c>
      <c r="G235" s="92">
        <v>8</v>
      </c>
      <c r="H235" s="92">
        <v>32</v>
      </c>
      <c r="I235" s="92">
        <v>0</v>
      </c>
      <c r="J235" s="92">
        <v>11</v>
      </c>
      <c r="K235" s="67">
        <v>217</v>
      </c>
    </row>
    <row r="236" spans="1:12" s="65" customFormat="1" ht="9" customHeight="1" x14ac:dyDescent="0.25">
      <c r="A236" s="100"/>
      <c r="B236" s="97"/>
      <c r="C236" s="97"/>
      <c r="D236" s="97"/>
      <c r="E236" s="97"/>
      <c r="F236" s="97"/>
      <c r="G236" s="97"/>
      <c r="H236" s="97"/>
      <c r="I236" s="97"/>
      <c r="J236" s="97"/>
      <c r="K236" s="64"/>
    </row>
    <row r="237" spans="1:12" s="65" customFormat="1" ht="9" customHeight="1" x14ac:dyDescent="0.25">
      <c r="A237" s="96">
        <v>2006</v>
      </c>
      <c r="B237" s="97"/>
      <c r="C237" s="97"/>
      <c r="D237" s="97"/>
      <c r="E237" s="97"/>
      <c r="F237" s="97"/>
      <c r="G237" s="97"/>
      <c r="H237" s="97"/>
      <c r="I237" s="97"/>
      <c r="J237" s="97"/>
      <c r="K237" s="64"/>
    </row>
    <row r="238" spans="1:12" s="65" customFormat="1" ht="9" customHeight="1" x14ac:dyDescent="0.25">
      <c r="A238" s="99" t="s">
        <v>21</v>
      </c>
      <c r="B238" s="64">
        <f t="shared" ref="B238:J238" si="14">SUM(B240:B270)</f>
        <v>76990</v>
      </c>
      <c r="C238" s="64">
        <f t="shared" si="14"/>
        <v>19014</v>
      </c>
      <c r="D238" s="64">
        <f t="shared" si="14"/>
        <v>815</v>
      </c>
      <c r="E238" s="64">
        <f t="shared" si="14"/>
        <v>11010</v>
      </c>
      <c r="F238" s="64">
        <f t="shared" si="14"/>
        <v>8721</v>
      </c>
      <c r="G238" s="64">
        <f t="shared" si="14"/>
        <v>783</v>
      </c>
      <c r="H238" s="64">
        <f t="shared" si="14"/>
        <v>5542</v>
      </c>
      <c r="I238" s="64">
        <f t="shared" si="14"/>
        <v>123</v>
      </c>
      <c r="J238" s="64">
        <f t="shared" si="14"/>
        <v>1012</v>
      </c>
      <c r="K238" s="64">
        <f>SUM(K240:K270)</f>
        <v>29970</v>
      </c>
      <c r="L238" s="101"/>
    </row>
    <row r="239" spans="1:12" s="65" customFormat="1" ht="3.95" customHeight="1" x14ac:dyDescent="0.25">
      <c r="A239" s="99"/>
      <c r="B239" s="64"/>
      <c r="C239" s="64"/>
      <c r="D239" s="64"/>
      <c r="E239" s="64"/>
      <c r="F239" s="64"/>
      <c r="G239" s="64"/>
      <c r="H239" s="64"/>
      <c r="I239" s="64"/>
      <c r="J239" s="64"/>
      <c r="K239" s="64"/>
    </row>
    <row r="240" spans="1:12" s="68" customFormat="1" ht="9" customHeight="1" x14ac:dyDescent="0.15">
      <c r="A240" s="71" t="s">
        <v>23</v>
      </c>
      <c r="B240" s="92">
        <f t="shared" ref="B240:B270" si="15">SUM(C240:K240)</f>
        <v>1114</v>
      </c>
      <c r="C240" s="92">
        <v>298</v>
      </c>
      <c r="D240" s="92">
        <v>26</v>
      </c>
      <c r="E240" s="92">
        <v>146</v>
      </c>
      <c r="F240" s="92">
        <v>174</v>
      </c>
      <c r="G240" s="92">
        <v>7</v>
      </c>
      <c r="H240" s="92">
        <v>44</v>
      </c>
      <c r="I240" s="92">
        <v>1</v>
      </c>
      <c r="J240" s="92">
        <v>3</v>
      </c>
      <c r="K240" s="67">
        <v>415</v>
      </c>
    </row>
    <row r="241" spans="1:11" s="68" customFormat="1" ht="9" customHeight="1" x14ac:dyDescent="0.15">
      <c r="A241" s="71" t="s">
        <v>24</v>
      </c>
      <c r="B241" s="92">
        <f t="shared" si="15"/>
        <v>3444</v>
      </c>
      <c r="C241" s="92">
        <v>770</v>
      </c>
      <c r="D241" s="92">
        <v>21</v>
      </c>
      <c r="E241" s="92">
        <v>526</v>
      </c>
      <c r="F241" s="92">
        <v>367</v>
      </c>
      <c r="G241" s="92">
        <v>29</v>
      </c>
      <c r="H241" s="92">
        <v>104</v>
      </c>
      <c r="I241" s="92">
        <v>9</v>
      </c>
      <c r="J241" s="92">
        <v>98</v>
      </c>
      <c r="K241" s="67">
        <v>1520</v>
      </c>
    </row>
    <row r="242" spans="1:11" s="68" customFormat="1" ht="9" customHeight="1" x14ac:dyDescent="0.15">
      <c r="A242" s="71" t="s">
        <v>25</v>
      </c>
      <c r="B242" s="92">
        <f t="shared" si="15"/>
        <v>809</v>
      </c>
      <c r="C242" s="92">
        <v>190</v>
      </c>
      <c r="D242" s="92">
        <v>18</v>
      </c>
      <c r="E242" s="92">
        <v>119</v>
      </c>
      <c r="F242" s="92">
        <v>118</v>
      </c>
      <c r="G242" s="92">
        <v>9</v>
      </c>
      <c r="H242" s="92">
        <v>19</v>
      </c>
      <c r="I242" s="92">
        <v>0</v>
      </c>
      <c r="J242" s="92">
        <v>18</v>
      </c>
      <c r="K242" s="67">
        <v>318</v>
      </c>
    </row>
    <row r="243" spans="1:11" s="68" customFormat="1" ht="9" customHeight="1" x14ac:dyDescent="0.25">
      <c r="A243" s="69" t="s">
        <v>26</v>
      </c>
      <c r="B243" s="90">
        <f t="shared" si="15"/>
        <v>538</v>
      </c>
      <c r="C243" s="90">
        <v>139</v>
      </c>
      <c r="D243" s="90">
        <v>3</v>
      </c>
      <c r="E243" s="90">
        <v>68</v>
      </c>
      <c r="F243" s="90">
        <v>68</v>
      </c>
      <c r="G243" s="90">
        <v>5</v>
      </c>
      <c r="H243" s="90">
        <v>21</v>
      </c>
      <c r="I243" s="90">
        <v>0</v>
      </c>
      <c r="J243" s="90">
        <v>7</v>
      </c>
      <c r="K243" s="90">
        <v>227</v>
      </c>
    </row>
    <row r="244" spans="1:11" s="68" customFormat="1" ht="9" customHeight="1" x14ac:dyDescent="0.15">
      <c r="A244" s="71" t="s">
        <v>27</v>
      </c>
      <c r="B244" s="92">
        <f t="shared" si="15"/>
        <v>2954</v>
      </c>
      <c r="C244" s="92">
        <v>728</v>
      </c>
      <c r="D244" s="92">
        <v>31</v>
      </c>
      <c r="E244" s="92">
        <v>429</v>
      </c>
      <c r="F244" s="92">
        <v>469</v>
      </c>
      <c r="G244" s="92">
        <v>15</v>
      </c>
      <c r="H244" s="92">
        <v>287</v>
      </c>
      <c r="I244" s="92">
        <v>3</v>
      </c>
      <c r="J244" s="92">
        <v>10</v>
      </c>
      <c r="K244" s="67">
        <v>982</v>
      </c>
    </row>
    <row r="245" spans="1:11" s="68" customFormat="1" ht="9" customHeight="1" x14ac:dyDescent="0.15">
      <c r="A245" s="71" t="s">
        <v>28</v>
      </c>
      <c r="B245" s="92">
        <f t="shared" si="15"/>
        <v>1813</v>
      </c>
      <c r="C245" s="92">
        <v>511</v>
      </c>
      <c r="D245" s="92">
        <v>27</v>
      </c>
      <c r="E245" s="92">
        <v>226</v>
      </c>
      <c r="F245" s="92">
        <v>180</v>
      </c>
      <c r="G245" s="92">
        <v>11</v>
      </c>
      <c r="H245" s="92">
        <v>50</v>
      </c>
      <c r="I245" s="92">
        <v>0</v>
      </c>
      <c r="J245" s="92">
        <v>14</v>
      </c>
      <c r="K245" s="67">
        <v>794</v>
      </c>
    </row>
    <row r="246" spans="1:11" s="68" customFormat="1" ht="9" customHeight="1" x14ac:dyDescent="0.15">
      <c r="A246" s="71" t="s">
        <v>29</v>
      </c>
      <c r="B246" s="92">
        <f t="shared" si="15"/>
        <v>1063</v>
      </c>
      <c r="C246" s="92">
        <v>263</v>
      </c>
      <c r="D246" s="92">
        <v>6</v>
      </c>
      <c r="E246" s="92">
        <v>189</v>
      </c>
      <c r="F246" s="92">
        <v>132</v>
      </c>
      <c r="G246" s="92">
        <v>14</v>
      </c>
      <c r="H246" s="92">
        <v>57</v>
      </c>
      <c r="I246" s="92">
        <v>4</v>
      </c>
      <c r="J246" s="92">
        <v>11</v>
      </c>
      <c r="K246" s="67">
        <v>387</v>
      </c>
    </row>
    <row r="247" spans="1:11" s="68" customFormat="1" ht="9" customHeight="1" x14ac:dyDescent="0.15">
      <c r="A247" s="69" t="s">
        <v>30</v>
      </c>
      <c r="B247" s="90">
        <f t="shared" si="15"/>
        <v>3824</v>
      </c>
      <c r="C247" s="90">
        <v>855</v>
      </c>
      <c r="D247" s="90">
        <v>14</v>
      </c>
      <c r="E247" s="90">
        <v>563</v>
      </c>
      <c r="F247" s="90">
        <v>672</v>
      </c>
      <c r="G247" s="90">
        <v>22</v>
      </c>
      <c r="H247" s="90">
        <v>259</v>
      </c>
      <c r="I247" s="90">
        <v>5</v>
      </c>
      <c r="J247" s="90">
        <v>111</v>
      </c>
      <c r="K247" s="70">
        <v>1323</v>
      </c>
    </row>
    <row r="248" spans="1:11" s="68" customFormat="1" ht="9" customHeight="1" x14ac:dyDescent="0.15">
      <c r="A248" s="66" t="s">
        <v>63</v>
      </c>
      <c r="B248" s="92">
        <f t="shared" si="15"/>
        <v>17083</v>
      </c>
      <c r="C248" s="92">
        <v>4412</v>
      </c>
      <c r="D248" s="92">
        <v>146</v>
      </c>
      <c r="E248" s="92">
        <v>2216</v>
      </c>
      <c r="F248" s="92">
        <v>1198</v>
      </c>
      <c r="G248" s="92">
        <v>210</v>
      </c>
      <c r="H248" s="92">
        <v>1571</v>
      </c>
      <c r="I248" s="92">
        <v>31</v>
      </c>
      <c r="J248" s="92">
        <v>172</v>
      </c>
      <c r="K248" s="67">
        <v>7127</v>
      </c>
    </row>
    <row r="249" spans="1:11" s="68" customFormat="1" ht="9" customHeight="1" x14ac:dyDescent="0.15">
      <c r="A249" s="71" t="s">
        <v>31</v>
      </c>
      <c r="B249" s="92">
        <f t="shared" si="15"/>
        <v>1064</v>
      </c>
      <c r="C249" s="92">
        <v>258</v>
      </c>
      <c r="D249" s="92">
        <v>15</v>
      </c>
      <c r="E249" s="92">
        <v>153</v>
      </c>
      <c r="F249" s="92">
        <v>116</v>
      </c>
      <c r="G249" s="92">
        <v>6</v>
      </c>
      <c r="H249" s="92">
        <v>59</v>
      </c>
      <c r="I249" s="92">
        <v>2</v>
      </c>
      <c r="J249" s="92">
        <v>35</v>
      </c>
      <c r="K249" s="67">
        <v>420</v>
      </c>
    </row>
    <row r="250" spans="1:11" s="68" customFormat="1" ht="9" customHeight="1" x14ac:dyDescent="0.15">
      <c r="A250" s="71" t="s">
        <v>32</v>
      </c>
      <c r="B250" s="92">
        <f t="shared" si="15"/>
        <v>3392</v>
      </c>
      <c r="C250" s="92">
        <v>873</v>
      </c>
      <c r="D250" s="92">
        <v>41</v>
      </c>
      <c r="E250" s="92">
        <v>471</v>
      </c>
      <c r="F250" s="92">
        <v>385</v>
      </c>
      <c r="G250" s="92">
        <v>16</v>
      </c>
      <c r="H250" s="92">
        <v>316</v>
      </c>
      <c r="I250" s="92">
        <v>6</v>
      </c>
      <c r="J250" s="92">
        <v>38</v>
      </c>
      <c r="K250" s="67">
        <v>1246</v>
      </c>
    </row>
    <row r="251" spans="1:11" s="68" customFormat="1" ht="9" customHeight="1" x14ac:dyDescent="0.15">
      <c r="A251" s="69" t="s">
        <v>33</v>
      </c>
      <c r="B251" s="90">
        <f t="shared" si="15"/>
        <v>1683</v>
      </c>
      <c r="C251" s="90">
        <v>403</v>
      </c>
      <c r="D251" s="90">
        <v>19</v>
      </c>
      <c r="E251" s="90">
        <v>254</v>
      </c>
      <c r="F251" s="90">
        <v>271</v>
      </c>
      <c r="G251" s="90">
        <v>12</v>
      </c>
      <c r="H251" s="90">
        <v>84</v>
      </c>
      <c r="I251" s="90">
        <v>2</v>
      </c>
      <c r="J251" s="90">
        <v>24</v>
      </c>
      <c r="K251" s="70">
        <v>614</v>
      </c>
    </row>
    <row r="252" spans="1:11" s="68" customFormat="1" ht="9" customHeight="1" x14ac:dyDescent="0.15">
      <c r="A252" s="71" t="s">
        <v>34</v>
      </c>
      <c r="B252" s="92">
        <f t="shared" si="15"/>
        <v>892</v>
      </c>
      <c r="C252" s="92">
        <v>227</v>
      </c>
      <c r="D252" s="92">
        <v>22</v>
      </c>
      <c r="E252" s="92">
        <v>124</v>
      </c>
      <c r="F252" s="92">
        <v>63</v>
      </c>
      <c r="G252" s="92">
        <v>15</v>
      </c>
      <c r="H252" s="92">
        <v>79</v>
      </c>
      <c r="I252" s="92">
        <v>0</v>
      </c>
      <c r="J252" s="92">
        <v>12</v>
      </c>
      <c r="K252" s="67">
        <v>350</v>
      </c>
    </row>
    <row r="253" spans="1:11" s="68" customFormat="1" ht="9" customHeight="1" x14ac:dyDescent="0.15">
      <c r="A253" s="71" t="s">
        <v>35</v>
      </c>
      <c r="B253" s="92">
        <f t="shared" si="15"/>
        <v>6801</v>
      </c>
      <c r="C253" s="92">
        <v>1567</v>
      </c>
      <c r="D253" s="92">
        <v>97</v>
      </c>
      <c r="E253" s="92">
        <v>1011</v>
      </c>
      <c r="F253" s="92">
        <v>1022</v>
      </c>
      <c r="G253" s="92">
        <v>115</v>
      </c>
      <c r="H253" s="92">
        <v>358</v>
      </c>
      <c r="I253" s="92">
        <v>18</v>
      </c>
      <c r="J253" s="92">
        <v>79</v>
      </c>
      <c r="K253" s="67">
        <v>2534</v>
      </c>
    </row>
    <row r="254" spans="1:11" s="68" customFormat="1" ht="9" customHeight="1" x14ac:dyDescent="0.15">
      <c r="A254" s="71" t="s">
        <v>36</v>
      </c>
      <c r="B254" s="92">
        <f t="shared" si="15"/>
        <v>8299</v>
      </c>
      <c r="C254" s="92">
        <v>2152</v>
      </c>
      <c r="D254" s="92">
        <v>105</v>
      </c>
      <c r="E254" s="92">
        <v>1166</v>
      </c>
      <c r="F254" s="92">
        <v>642</v>
      </c>
      <c r="G254" s="92">
        <v>85</v>
      </c>
      <c r="H254" s="92">
        <v>706</v>
      </c>
      <c r="I254" s="92">
        <v>17</v>
      </c>
      <c r="J254" s="92">
        <v>72</v>
      </c>
      <c r="K254" s="67">
        <v>3354</v>
      </c>
    </row>
    <row r="255" spans="1:11" s="68" customFormat="1" ht="9" customHeight="1" x14ac:dyDescent="0.15">
      <c r="A255" s="69" t="s">
        <v>37</v>
      </c>
      <c r="B255" s="90">
        <f t="shared" si="15"/>
        <v>820</v>
      </c>
      <c r="C255" s="90">
        <v>184</v>
      </c>
      <c r="D255" s="90">
        <v>14</v>
      </c>
      <c r="E255" s="90">
        <v>111</v>
      </c>
      <c r="F255" s="90">
        <v>116</v>
      </c>
      <c r="G255" s="90">
        <v>9</v>
      </c>
      <c r="H255" s="90">
        <v>22</v>
      </c>
      <c r="I255" s="90">
        <v>0</v>
      </c>
      <c r="J255" s="90">
        <v>15</v>
      </c>
      <c r="K255" s="70">
        <v>349</v>
      </c>
    </row>
    <row r="256" spans="1:11" s="68" customFormat="1" ht="9" customHeight="1" x14ac:dyDescent="0.15">
      <c r="A256" s="71" t="s">
        <v>38</v>
      </c>
      <c r="B256" s="92">
        <f t="shared" si="15"/>
        <v>491</v>
      </c>
      <c r="C256" s="92">
        <v>151</v>
      </c>
      <c r="D256" s="92">
        <v>5</v>
      </c>
      <c r="E256" s="92">
        <v>56</v>
      </c>
      <c r="F256" s="92">
        <v>49</v>
      </c>
      <c r="G256" s="92">
        <v>2</v>
      </c>
      <c r="H256" s="92">
        <v>26</v>
      </c>
      <c r="I256" s="92">
        <v>0</v>
      </c>
      <c r="J256" s="92">
        <v>4</v>
      </c>
      <c r="K256" s="67">
        <v>198</v>
      </c>
    </row>
    <row r="257" spans="1:11" s="68" customFormat="1" ht="9" customHeight="1" x14ac:dyDescent="0.25">
      <c r="A257" s="71" t="s">
        <v>39</v>
      </c>
      <c r="B257" s="92">
        <f t="shared" si="15"/>
        <v>44</v>
      </c>
      <c r="C257" s="92">
        <v>12</v>
      </c>
      <c r="D257" s="92">
        <v>0</v>
      </c>
      <c r="E257" s="92">
        <v>8</v>
      </c>
      <c r="F257" s="92">
        <v>7</v>
      </c>
      <c r="G257" s="92">
        <v>0</v>
      </c>
      <c r="H257" s="92">
        <v>2</v>
      </c>
      <c r="I257" s="92">
        <v>0</v>
      </c>
      <c r="J257" s="92">
        <v>1</v>
      </c>
      <c r="K257" s="92">
        <v>14</v>
      </c>
    </row>
    <row r="258" spans="1:11" s="68" customFormat="1" ht="9" customHeight="1" x14ac:dyDescent="0.15">
      <c r="A258" s="71" t="s">
        <v>40</v>
      </c>
      <c r="B258" s="92">
        <f t="shared" si="15"/>
        <v>5083</v>
      </c>
      <c r="C258" s="92">
        <v>1078</v>
      </c>
      <c r="D258" s="92">
        <v>30</v>
      </c>
      <c r="E258" s="92">
        <v>734</v>
      </c>
      <c r="F258" s="92">
        <v>678</v>
      </c>
      <c r="G258" s="92">
        <v>46</v>
      </c>
      <c r="H258" s="92">
        <v>440</v>
      </c>
      <c r="I258" s="92">
        <v>8</v>
      </c>
      <c r="J258" s="92">
        <v>46</v>
      </c>
      <c r="K258" s="67">
        <v>2023</v>
      </c>
    </row>
    <row r="259" spans="1:11" s="68" customFormat="1" ht="9" customHeight="1" x14ac:dyDescent="0.25">
      <c r="A259" s="69" t="s">
        <v>41</v>
      </c>
      <c r="B259" s="90">
        <f t="shared" si="15"/>
        <v>234</v>
      </c>
      <c r="C259" s="90">
        <v>58</v>
      </c>
      <c r="D259" s="90">
        <v>3</v>
      </c>
      <c r="E259" s="90">
        <v>34</v>
      </c>
      <c r="F259" s="90">
        <v>30</v>
      </c>
      <c r="G259" s="90">
        <v>3</v>
      </c>
      <c r="H259" s="90">
        <v>10</v>
      </c>
      <c r="I259" s="90">
        <v>0</v>
      </c>
      <c r="J259" s="90">
        <v>3</v>
      </c>
      <c r="K259" s="90">
        <v>93</v>
      </c>
    </row>
    <row r="260" spans="1:11" s="68" customFormat="1" ht="9" customHeight="1" x14ac:dyDescent="0.15">
      <c r="A260" s="71" t="s">
        <v>42</v>
      </c>
      <c r="B260" s="92">
        <f t="shared" si="15"/>
        <v>1424</v>
      </c>
      <c r="C260" s="92">
        <v>369</v>
      </c>
      <c r="D260" s="92">
        <v>12</v>
      </c>
      <c r="E260" s="92">
        <v>226</v>
      </c>
      <c r="F260" s="92">
        <v>147</v>
      </c>
      <c r="G260" s="92">
        <v>14</v>
      </c>
      <c r="H260" s="92">
        <v>179</v>
      </c>
      <c r="I260" s="92">
        <v>3</v>
      </c>
      <c r="J260" s="92">
        <v>24</v>
      </c>
      <c r="K260" s="67">
        <v>450</v>
      </c>
    </row>
    <row r="261" spans="1:11" s="68" customFormat="1" ht="9" customHeight="1" x14ac:dyDescent="0.15">
      <c r="A261" s="71" t="s">
        <v>43</v>
      </c>
      <c r="B261" s="92">
        <f t="shared" si="15"/>
        <v>1294</v>
      </c>
      <c r="C261" s="92">
        <v>305</v>
      </c>
      <c r="D261" s="92">
        <v>11</v>
      </c>
      <c r="E261" s="92">
        <v>193</v>
      </c>
      <c r="F261" s="92">
        <v>115</v>
      </c>
      <c r="G261" s="92">
        <v>32</v>
      </c>
      <c r="H261" s="92">
        <v>131</v>
      </c>
      <c r="I261" s="92">
        <v>1</v>
      </c>
      <c r="J261" s="92">
        <v>12</v>
      </c>
      <c r="K261" s="67">
        <v>494</v>
      </c>
    </row>
    <row r="262" spans="1:11" s="68" customFormat="1" ht="9" customHeight="1" x14ac:dyDescent="0.15">
      <c r="A262" s="71" t="s">
        <v>44</v>
      </c>
      <c r="B262" s="92">
        <f t="shared" si="15"/>
        <v>1773</v>
      </c>
      <c r="C262" s="92">
        <v>416</v>
      </c>
      <c r="D262" s="92">
        <v>29</v>
      </c>
      <c r="E262" s="92">
        <v>281</v>
      </c>
      <c r="F262" s="92">
        <v>214</v>
      </c>
      <c r="G262" s="92">
        <v>28</v>
      </c>
      <c r="H262" s="92">
        <v>108</v>
      </c>
      <c r="I262" s="92">
        <v>6</v>
      </c>
      <c r="J262" s="92">
        <v>40</v>
      </c>
      <c r="K262" s="67">
        <v>651</v>
      </c>
    </row>
    <row r="263" spans="1:11" s="68" customFormat="1" ht="9" customHeight="1" x14ac:dyDescent="0.15">
      <c r="A263" s="69" t="s">
        <v>45</v>
      </c>
      <c r="B263" s="90">
        <f t="shared" si="15"/>
        <v>1109</v>
      </c>
      <c r="C263" s="90">
        <v>297</v>
      </c>
      <c r="D263" s="90">
        <v>9</v>
      </c>
      <c r="E263" s="90">
        <v>166</v>
      </c>
      <c r="F263" s="90">
        <v>99</v>
      </c>
      <c r="G263" s="90">
        <v>21</v>
      </c>
      <c r="H263" s="90">
        <v>150</v>
      </c>
      <c r="I263" s="90">
        <v>2</v>
      </c>
      <c r="J263" s="90">
        <v>6</v>
      </c>
      <c r="K263" s="70">
        <v>359</v>
      </c>
    </row>
    <row r="264" spans="1:11" s="68" customFormat="1" ht="9" customHeight="1" x14ac:dyDescent="0.15">
      <c r="A264" s="71" t="s">
        <v>46</v>
      </c>
      <c r="B264" s="92">
        <f t="shared" si="15"/>
        <v>3974</v>
      </c>
      <c r="C264" s="92">
        <v>927</v>
      </c>
      <c r="D264" s="92">
        <v>44</v>
      </c>
      <c r="E264" s="92">
        <v>614</v>
      </c>
      <c r="F264" s="92">
        <v>640</v>
      </c>
      <c r="G264" s="92">
        <v>11</v>
      </c>
      <c r="H264" s="92">
        <v>92</v>
      </c>
      <c r="I264" s="92">
        <v>1</v>
      </c>
      <c r="J264" s="92">
        <v>62</v>
      </c>
      <c r="K264" s="67">
        <v>1583</v>
      </c>
    </row>
    <row r="265" spans="1:11" s="68" customFormat="1" ht="9" customHeight="1" x14ac:dyDescent="0.15">
      <c r="A265" s="71" t="s">
        <v>47</v>
      </c>
      <c r="B265" s="92">
        <f t="shared" si="15"/>
        <v>1536</v>
      </c>
      <c r="C265" s="92">
        <v>353</v>
      </c>
      <c r="D265" s="92">
        <v>25</v>
      </c>
      <c r="E265" s="92">
        <v>253</v>
      </c>
      <c r="F265" s="92">
        <v>187</v>
      </c>
      <c r="G265" s="92">
        <v>8</v>
      </c>
      <c r="H265" s="92">
        <v>74</v>
      </c>
      <c r="I265" s="92">
        <v>1</v>
      </c>
      <c r="J265" s="92">
        <v>42</v>
      </c>
      <c r="K265" s="67">
        <v>593</v>
      </c>
    </row>
    <row r="266" spans="1:11" s="68" customFormat="1" ht="9" customHeight="1" x14ac:dyDescent="0.25">
      <c r="A266" s="71" t="s">
        <v>48</v>
      </c>
      <c r="B266" s="92">
        <f t="shared" si="15"/>
        <v>484</v>
      </c>
      <c r="C266" s="92">
        <v>113</v>
      </c>
      <c r="D266" s="92">
        <v>2</v>
      </c>
      <c r="E266" s="92">
        <v>69</v>
      </c>
      <c r="F266" s="92">
        <v>45</v>
      </c>
      <c r="G266" s="92">
        <v>6</v>
      </c>
      <c r="H266" s="92">
        <v>46</v>
      </c>
      <c r="I266" s="92">
        <v>0</v>
      </c>
      <c r="J266" s="92">
        <v>0</v>
      </c>
      <c r="K266" s="92">
        <v>203</v>
      </c>
    </row>
    <row r="267" spans="1:11" s="68" customFormat="1" ht="9" customHeight="1" x14ac:dyDescent="0.15">
      <c r="A267" s="69" t="s">
        <v>49</v>
      </c>
      <c r="B267" s="90">
        <f t="shared" si="15"/>
        <v>1246</v>
      </c>
      <c r="C267" s="90">
        <v>301</v>
      </c>
      <c r="D267" s="90">
        <v>7</v>
      </c>
      <c r="E267" s="90">
        <v>213</v>
      </c>
      <c r="F267" s="90">
        <v>193</v>
      </c>
      <c r="G267" s="90">
        <v>3</v>
      </c>
      <c r="H267" s="90">
        <v>110</v>
      </c>
      <c r="I267" s="90">
        <v>1</v>
      </c>
      <c r="J267" s="90">
        <v>27</v>
      </c>
      <c r="K267" s="70">
        <v>391</v>
      </c>
    </row>
    <row r="268" spans="1:11" s="68" customFormat="1" ht="9" customHeight="1" x14ac:dyDescent="0.15">
      <c r="A268" s="71" t="s">
        <v>51</v>
      </c>
      <c r="B268" s="92">
        <f t="shared" si="15"/>
        <v>1184</v>
      </c>
      <c r="C268" s="92">
        <v>361</v>
      </c>
      <c r="D268" s="92">
        <v>9</v>
      </c>
      <c r="E268" s="92">
        <v>168</v>
      </c>
      <c r="F268" s="92">
        <v>166</v>
      </c>
      <c r="G268" s="92">
        <v>10</v>
      </c>
      <c r="H268" s="92">
        <v>77</v>
      </c>
      <c r="I268" s="92">
        <v>1</v>
      </c>
      <c r="J268" s="92">
        <v>3</v>
      </c>
      <c r="K268" s="67">
        <v>389</v>
      </c>
    </row>
    <row r="269" spans="1:11" s="68" customFormat="1" ht="9" customHeight="1" x14ac:dyDescent="0.15">
      <c r="A269" s="71" t="s">
        <v>52</v>
      </c>
      <c r="B269" s="92">
        <f t="shared" si="15"/>
        <v>804</v>
      </c>
      <c r="C269" s="92">
        <v>249</v>
      </c>
      <c r="D269" s="92">
        <v>5</v>
      </c>
      <c r="E269" s="92">
        <v>118</v>
      </c>
      <c r="F269" s="92">
        <v>58</v>
      </c>
      <c r="G269" s="92">
        <v>2</v>
      </c>
      <c r="H269" s="92">
        <v>22</v>
      </c>
      <c r="I269" s="92">
        <v>1</v>
      </c>
      <c r="J269" s="92">
        <v>11</v>
      </c>
      <c r="K269" s="67">
        <v>338</v>
      </c>
    </row>
    <row r="270" spans="1:11" s="68" customFormat="1" ht="9" customHeight="1" x14ac:dyDescent="0.15">
      <c r="A270" s="71" t="s">
        <v>53</v>
      </c>
      <c r="B270" s="92">
        <f t="shared" si="15"/>
        <v>717</v>
      </c>
      <c r="C270" s="92">
        <v>194</v>
      </c>
      <c r="D270" s="92">
        <v>19</v>
      </c>
      <c r="E270" s="92">
        <v>105</v>
      </c>
      <c r="F270" s="92">
        <v>100</v>
      </c>
      <c r="G270" s="92">
        <v>17</v>
      </c>
      <c r="H270" s="92">
        <v>39</v>
      </c>
      <c r="I270" s="92">
        <v>0</v>
      </c>
      <c r="J270" s="92">
        <v>12</v>
      </c>
      <c r="K270" s="67">
        <v>231</v>
      </c>
    </row>
    <row r="271" spans="1:11" s="65" customFormat="1" ht="9" customHeight="1" x14ac:dyDescent="0.25">
      <c r="A271" s="100"/>
      <c r="B271" s="97"/>
      <c r="C271" s="97"/>
      <c r="D271" s="97"/>
      <c r="E271" s="97"/>
      <c r="F271" s="97"/>
      <c r="G271" s="97"/>
      <c r="H271" s="97"/>
      <c r="I271" s="97"/>
      <c r="J271" s="97"/>
      <c r="K271" s="64"/>
    </row>
    <row r="272" spans="1:11" s="65" customFormat="1" ht="9" customHeight="1" x14ac:dyDescent="0.25">
      <c r="A272" s="96">
        <v>2007</v>
      </c>
      <c r="B272" s="97"/>
      <c r="C272" s="97"/>
      <c r="D272" s="97"/>
      <c r="E272" s="97"/>
      <c r="F272" s="97"/>
      <c r="G272" s="97"/>
      <c r="H272" s="97"/>
      <c r="I272" s="97"/>
      <c r="J272" s="97"/>
      <c r="K272" s="64"/>
    </row>
    <row r="273" spans="1:12" s="65" customFormat="1" ht="9" customHeight="1" x14ac:dyDescent="0.25">
      <c r="A273" s="99" t="s">
        <v>21</v>
      </c>
      <c r="B273" s="64">
        <f t="shared" ref="B273:J273" si="16">SUM(B275:B305)</f>
        <v>83449</v>
      </c>
      <c r="C273" s="64">
        <f t="shared" si="16"/>
        <v>20669</v>
      </c>
      <c r="D273" s="64">
        <f t="shared" si="16"/>
        <v>760</v>
      </c>
      <c r="E273" s="64">
        <f t="shared" si="16"/>
        <v>12211</v>
      </c>
      <c r="F273" s="64">
        <f t="shared" si="16"/>
        <v>9260</v>
      </c>
      <c r="G273" s="64">
        <f t="shared" si="16"/>
        <v>1036</v>
      </c>
      <c r="H273" s="64">
        <f t="shared" si="16"/>
        <v>6532</v>
      </c>
      <c r="I273" s="64">
        <f t="shared" si="16"/>
        <v>135</v>
      </c>
      <c r="J273" s="64">
        <f t="shared" si="16"/>
        <v>1224</v>
      </c>
      <c r="K273" s="64">
        <f>SUM(K275:K305)</f>
        <v>31622</v>
      </c>
      <c r="L273" s="101"/>
    </row>
    <row r="274" spans="1:12" s="65" customFormat="1" ht="3.95" customHeight="1" x14ac:dyDescent="0.25">
      <c r="A274" s="99"/>
      <c r="B274" s="64"/>
      <c r="C274" s="64"/>
      <c r="D274" s="64"/>
      <c r="E274" s="64"/>
      <c r="F274" s="64"/>
      <c r="G274" s="64"/>
      <c r="H274" s="64"/>
      <c r="I274" s="64"/>
      <c r="J274" s="64"/>
      <c r="K274" s="64"/>
    </row>
    <row r="275" spans="1:12" s="68" customFormat="1" ht="9" customHeight="1" x14ac:dyDescent="0.15">
      <c r="A275" s="71" t="s">
        <v>23</v>
      </c>
      <c r="B275" s="92">
        <f t="shared" ref="B275:B305" si="17">SUM(C275:K275)</f>
        <v>1036</v>
      </c>
      <c r="C275" s="92">
        <v>270</v>
      </c>
      <c r="D275" s="92">
        <v>19</v>
      </c>
      <c r="E275" s="92">
        <v>134</v>
      </c>
      <c r="F275" s="92">
        <v>151</v>
      </c>
      <c r="G275" s="92">
        <v>10</v>
      </c>
      <c r="H275" s="92">
        <v>49</v>
      </c>
      <c r="I275" s="92">
        <v>2</v>
      </c>
      <c r="J275" s="92">
        <v>5</v>
      </c>
      <c r="K275" s="67">
        <v>396</v>
      </c>
    </row>
    <row r="276" spans="1:12" s="68" customFormat="1" ht="9" customHeight="1" x14ac:dyDescent="0.15">
      <c r="A276" s="71" t="s">
        <v>24</v>
      </c>
      <c r="B276" s="92">
        <f t="shared" si="17"/>
        <v>4102</v>
      </c>
      <c r="C276" s="92">
        <v>897</v>
      </c>
      <c r="D276" s="92">
        <v>19</v>
      </c>
      <c r="E276" s="92">
        <v>653</v>
      </c>
      <c r="F276" s="92">
        <v>435</v>
      </c>
      <c r="G276" s="92">
        <v>49</v>
      </c>
      <c r="H276" s="92">
        <v>184</v>
      </c>
      <c r="I276" s="92">
        <v>8</v>
      </c>
      <c r="J276" s="92">
        <v>127</v>
      </c>
      <c r="K276" s="67">
        <v>1730</v>
      </c>
    </row>
    <row r="277" spans="1:12" s="68" customFormat="1" ht="9" customHeight="1" x14ac:dyDescent="0.15">
      <c r="A277" s="71" t="s">
        <v>25</v>
      </c>
      <c r="B277" s="92">
        <f t="shared" si="17"/>
        <v>728</v>
      </c>
      <c r="C277" s="92">
        <v>184</v>
      </c>
      <c r="D277" s="92">
        <v>6</v>
      </c>
      <c r="E277" s="92">
        <v>109</v>
      </c>
      <c r="F277" s="92">
        <v>97</v>
      </c>
      <c r="G277" s="92">
        <v>3</v>
      </c>
      <c r="H277" s="92">
        <v>24</v>
      </c>
      <c r="I277" s="92">
        <v>0</v>
      </c>
      <c r="J277" s="92">
        <v>13</v>
      </c>
      <c r="K277" s="67">
        <v>292</v>
      </c>
    </row>
    <row r="278" spans="1:12" s="68" customFormat="1" ht="9" customHeight="1" x14ac:dyDescent="0.25">
      <c r="A278" s="69" t="s">
        <v>26</v>
      </c>
      <c r="B278" s="90">
        <f t="shared" si="17"/>
        <v>522</v>
      </c>
      <c r="C278" s="90">
        <v>162</v>
      </c>
      <c r="D278" s="90">
        <v>5</v>
      </c>
      <c r="E278" s="90">
        <v>59</v>
      </c>
      <c r="F278" s="90">
        <v>60</v>
      </c>
      <c r="G278" s="90">
        <v>7</v>
      </c>
      <c r="H278" s="90">
        <v>23</v>
      </c>
      <c r="I278" s="90">
        <v>0</v>
      </c>
      <c r="J278" s="90">
        <v>2</v>
      </c>
      <c r="K278" s="90">
        <v>204</v>
      </c>
    </row>
    <row r="279" spans="1:12" s="68" customFormat="1" ht="9" customHeight="1" x14ac:dyDescent="0.15">
      <c r="A279" s="71" t="s">
        <v>27</v>
      </c>
      <c r="B279" s="92">
        <f t="shared" si="17"/>
        <v>2263</v>
      </c>
      <c r="C279" s="92">
        <v>565</v>
      </c>
      <c r="D279" s="92">
        <v>24</v>
      </c>
      <c r="E279" s="92">
        <v>334</v>
      </c>
      <c r="F279" s="92">
        <v>270</v>
      </c>
      <c r="G279" s="92">
        <v>14</v>
      </c>
      <c r="H279" s="92">
        <v>229</v>
      </c>
      <c r="I279" s="92">
        <v>4</v>
      </c>
      <c r="J279" s="92">
        <v>4</v>
      </c>
      <c r="K279" s="67">
        <v>819</v>
      </c>
    </row>
    <row r="280" spans="1:12" s="68" customFormat="1" ht="9" customHeight="1" x14ac:dyDescent="0.15">
      <c r="A280" s="71" t="s">
        <v>28</v>
      </c>
      <c r="B280" s="92">
        <f t="shared" si="17"/>
        <v>2239</v>
      </c>
      <c r="C280" s="92">
        <v>583</v>
      </c>
      <c r="D280" s="92">
        <v>14</v>
      </c>
      <c r="E280" s="92">
        <v>339</v>
      </c>
      <c r="F280" s="92">
        <v>255</v>
      </c>
      <c r="G280" s="92">
        <v>17</v>
      </c>
      <c r="H280" s="92">
        <v>71</v>
      </c>
      <c r="I280" s="92">
        <v>1</v>
      </c>
      <c r="J280" s="92">
        <v>24</v>
      </c>
      <c r="K280" s="67">
        <v>935</v>
      </c>
    </row>
    <row r="281" spans="1:12" s="68" customFormat="1" ht="9" customHeight="1" x14ac:dyDescent="0.15">
      <c r="A281" s="71" t="s">
        <v>29</v>
      </c>
      <c r="B281" s="92">
        <f t="shared" si="17"/>
        <v>1061</v>
      </c>
      <c r="C281" s="92">
        <v>292</v>
      </c>
      <c r="D281" s="92">
        <v>8</v>
      </c>
      <c r="E281" s="92">
        <v>188</v>
      </c>
      <c r="F281" s="92">
        <v>125</v>
      </c>
      <c r="G281" s="92">
        <v>8</v>
      </c>
      <c r="H281" s="92">
        <v>63</v>
      </c>
      <c r="I281" s="92">
        <v>1</v>
      </c>
      <c r="J281" s="92">
        <v>10</v>
      </c>
      <c r="K281" s="67">
        <v>366</v>
      </c>
    </row>
    <row r="282" spans="1:12" s="68" customFormat="1" ht="9" customHeight="1" x14ac:dyDescent="0.15">
      <c r="A282" s="69" t="s">
        <v>30</v>
      </c>
      <c r="B282" s="90">
        <f t="shared" si="17"/>
        <v>4787</v>
      </c>
      <c r="C282" s="90">
        <v>1045</v>
      </c>
      <c r="D282" s="90">
        <v>25</v>
      </c>
      <c r="E282" s="90">
        <v>699</v>
      </c>
      <c r="F282" s="90">
        <v>751</v>
      </c>
      <c r="G282" s="90">
        <v>36</v>
      </c>
      <c r="H282" s="90">
        <v>350</v>
      </c>
      <c r="I282" s="90">
        <v>11</v>
      </c>
      <c r="J282" s="90">
        <v>202</v>
      </c>
      <c r="K282" s="70">
        <v>1668</v>
      </c>
    </row>
    <row r="283" spans="1:12" s="68" customFormat="1" ht="9" customHeight="1" x14ac:dyDescent="0.15">
      <c r="A283" s="66" t="s">
        <v>63</v>
      </c>
      <c r="B283" s="92">
        <f t="shared" si="17"/>
        <v>19724</v>
      </c>
      <c r="C283" s="92">
        <v>5127</v>
      </c>
      <c r="D283" s="92">
        <v>150</v>
      </c>
      <c r="E283" s="92">
        <v>2713</v>
      </c>
      <c r="F283" s="92">
        <v>1419</v>
      </c>
      <c r="G283" s="92">
        <v>278</v>
      </c>
      <c r="H283" s="92">
        <v>2046</v>
      </c>
      <c r="I283" s="92">
        <v>32</v>
      </c>
      <c r="J283" s="92">
        <v>214</v>
      </c>
      <c r="K283" s="67">
        <v>7745</v>
      </c>
    </row>
    <row r="284" spans="1:12" s="68" customFormat="1" ht="9" customHeight="1" x14ac:dyDescent="0.15">
      <c r="A284" s="71" t="s">
        <v>31</v>
      </c>
      <c r="B284" s="92">
        <f t="shared" si="17"/>
        <v>1568</v>
      </c>
      <c r="C284" s="92">
        <v>397</v>
      </c>
      <c r="D284" s="92">
        <v>7</v>
      </c>
      <c r="E284" s="92">
        <v>244</v>
      </c>
      <c r="F284" s="92">
        <v>238</v>
      </c>
      <c r="G284" s="92">
        <v>6</v>
      </c>
      <c r="H284" s="92">
        <v>88</v>
      </c>
      <c r="I284" s="92">
        <v>3</v>
      </c>
      <c r="J284" s="92">
        <v>29</v>
      </c>
      <c r="K284" s="67">
        <v>556</v>
      </c>
    </row>
    <row r="285" spans="1:12" s="68" customFormat="1" ht="9" customHeight="1" x14ac:dyDescent="0.15">
      <c r="A285" s="71" t="s">
        <v>32</v>
      </c>
      <c r="B285" s="92">
        <f t="shared" si="17"/>
        <v>3659</v>
      </c>
      <c r="C285" s="92">
        <v>911</v>
      </c>
      <c r="D285" s="92">
        <v>46</v>
      </c>
      <c r="E285" s="92">
        <v>525</v>
      </c>
      <c r="F285" s="92">
        <v>412</v>
      </c>
      <c r="G285" s="92">
        <v>27</v>
      </c>
      <c r="H285" s="92">
        <v>404</v>
      </c>
      <c r="I285" s="92">
        <v>11</v>
      </c>
      <c r="J285" s="92">
        <v>47</v>
      </c>
      <c r="K285" s="67">
        <v>1276</v>
      </c>
    </row>
    <row r="286" spans="1:12" s="68" customFormat="1" ht="9" customHeight="1" x14ac:dyDescent="0.15">
      <c r="A286" s="69" t="s">
        <v>33</v>
      </c>
      <c r="B286" s="90">
        <f t="shared" si="17"/>
        <v>2094</v>
      </c>
      <c r="C286" s="90">
        <v>478</v>
      </c>
      <c r="D286" s="90">
        <v>17</v>
      </c>
      <c r="E286" s="90">
        <v>332</v>
      </c>
      <c r="F286" s="90">
        <v>332</v>
      </c>
      <c r="G286" s="90">
        <v>25</v>
      </c>
      <c r="H286" s="90">
        <v>116</v>
      </c>
      <c r="I286" s="90">
        <v>8</v>
      </c>
      <c r="J286" s="90">
        <v>13</v>
      </c>
      <c r="K286" s="70">
        <v>773</v>
      </c>
    </row>
    <row r="287" spans="1:12" s="68" customFormat="1" ht="9" customHeight="1" x14ac:dyDescent="0.15">
      <c r="A287" s="71" t="s">
        <v>34</v>
      </c>
      <c r="B287" s="92">
        <f t="shared" si="17"/>
        <v>1060</v>
      </c>
      <c r="C287" s="92">
        <v>265</v>
      </c>
      <c r="D287" s="92">
        <v>16</v>
      </c>
      <c r="E287" s="92">
        <v>164</v>
      </c>
      <c r="F287" s="92">
        <v>89</v>
      </c>
      <c r="G287" s="92">
        <v>31</v>
      </c>
      <c r="H287" s="92">
        <v>104</v>
      </c>
      <c r="I287" s="92">
        <v>2</v>
      </c>
      <c r="J287" s="92">
        <v>15</v>
      </c>
      <c r="K287" s="67">
        <v>374</v>
      </c>
    </row>
    <row r="288" spans="1:12" s="68" customFormat="1" ht="9" customHeight="1" x14ac:dyDescent="0.15">
      <c r="A288" s="71" t="s">
        <v>35</v>
      </c>
      <c r="B288" s="92">
        <f t="shared" si="17"/>
        <v>7188</v>
      </c>
      <c r="C288" s="92">
        <v>1629</v>
      </c>
      <c r="D288" s="92">
        <v>99</v>
      </c>
      <c r="E288" s="92">
        <v>1085</v>
      </c>
      <c r="F288" s="92">
        <v>1065</v>
      </c>
      <c r="G288" s="92">
        <v>146</v>
      </c>
      <c r="H288" s="92">
        <v>438</v>
      </c>
      <c r="I288" s="92">
        <v>10</v>
      </c>
      <c r="J288" s="92">
        <v>90</v>
      </c>
      <c r="K288" s="67">
        <v>2626</v>
      </c>
    </row>
    <row r="289" spans="1:11" s="68" customFormat="1" ht="9" customHeight="1" x14ac:dyDescent="0.15">
      <c r="A289" s="71" t="s">
        <v>36</v>
      </c>
      <c r="B289" s="92">
        <f t="shared" si="17"/>
        <v>9657</v>
      </c>
      <c r="C289" s="92">
        <v>2423</v>
      </c>
      <c r="D289" s="92">
        <v>101</v>
      </c>
      <c r="E289" s="92">
        <v>1402</v>
      </c>
      <c r="F289" s="92">
        <v>806</v>
      </c>
      <c r="G289" s="92">
        <v>135</v>
      </c>
      <c r="H289" s="92">
        <v>898</v>
      </c>
      <c r="I289" s="92">
        <v>14</v>
      </c>
      <c r="J289" s="92">
        <v>138</v>
      </c>
      <c r="K289" s="67">
        <v>3740</v>
      </c>
    </row>
    <row r="290" spans="1:11" s="68" customFormat="1" ht="9" customHeight="1" x14ac:dyDescent="0.15">
      <c r="A290" s="69" t="s">
        <v>37</v>
      </c>
      <c r="B290" s="90">
        <f t="shared" si="17"/>
        <v>722</v>
      </c>
      <c r="C290" s="90">
        <v>191</v>
      </c>
      <c r="D290" s="90">
        <v>9</v>
      </c>
      <c r="E290" s="90">
        <v>93</v>
      </c>
      <c r="F290" s="90">
        <v>72</v>
      </c>
      <c r="G290" s="90">
        <v>9</v>
      </c>
      <c r="H290" s="90">
        <v>23</v>
      </c>
      <c r="I290" s="90">
        <v>0</v>
      </c>
      <c r="J290" s="90">
        <v>6</v>
      </c>
      <c r="K290" s="70">
        <v>319</v>
      </c>
    </row>
    <row r="291" spans="1:11" s="68" customFormat="1" ht="9" customHeight="1" x14ac:dyDescent="0.15">
      <c r="A291" s="71" t="s">
        <v>38</v>
      </c>
      <c r="B291" s="92">
        <f t="shared" si="17"/>
        <v>667</v>
      </c>
      <c r="C291" s="92">
        <v>169</v>
      </c>
      <c r="D291" s="92">
        <v>13</v>
      </c>
      <c r="E291" s="92">
        <v>93</v>
      </c>
      <c r="F291" s="92">
        <v>92</v>
      </c>
      <c r="G291" s="92">
        <v>9</v>
      </c>
      <c r="H291" s="92">
        <v>36</v>
      </c>
      <c r="I291" s="92">
        <v>1</v>
      </c>
      <c r="J291" s="92">
        <v>8</v>
      </c>
      <c r="K291" s="67">
        <v>246</v>
      </c>
    </row>
    <row r="292" spans="1:11" s="68" customFormat="1" ht="9" customHeight="1" x14ac:dyDescent="0.25">
      <c r="A292" s="71" t="s">
        <v>39</v>
      </c>
      <c r="B292" s="92">
        <f t="shared" si="17"/>
        <v>28</v>
      </c>
      <c r="C292" s="92">
        <v>7</v>
      </c>
      <c r="D292" s="92">
        <v>1</v>
      </c>
      <c r="E292" s="92">
        <v>4</v>
      </c>
      <c r="F292" s="92">
        <v>4</v>
      </c>
      <c r="G292" s="92">
        <v>2</v>
      </c>
      <c r="H292" s="92">
        <v>1</v>
      </c>
      <c r="I292" s="92">
        <v>0</v>
      </c>
      <c r="J292" s="92">
        <v>1</v>
      </c>
      <c r="K292" s="92">
        <v>8</v>
      </c>
    </row>
    <row r="293" spans="1:11" s="68" customFormat="1" ht="9" customHeight="1" x14ac:dyDescent="0.15">
      <c r="A293" s="71" t="s">
        <v>40</v>
      </c>
      <c r="B293" s="92">
        <f t="shared" si="17"/>
        <v>4446</v>
      </c>
      <c r="C293" s="92">
        <v>993</v>
      </c>
      <c r="D293" s="92">
        <v>24</v>
      </c>
      <c r="E293" s="92">
        <v>674</v>
      </c>
      <c r="F293" s="92">
        <v>542</v>
      </c>
      <c r="G293" s="92">
        <v>31</v>
      </c>
      <c r="H293" s="92">
        <v>379</v>
      </c>
      <c r="I293" s="92">
        <v>8</v>
      </c>
      <c r="J293" s="92">
        <v>39</v>
      </c>
      <c r="K293" s="67">
        <v>1756</v>
      </c>
    </row>
    <row r="294" spans="1:11" s="68" customFormat="1" ht="9" customHeight="1" x14ac:dyDescent="0.25">
      <c r="A294" s="69" t="s">
        <v>41</v>
      </c>
      <c r="B294" s="90">
        <f t="shared" si="17"/>
        <v>618</v>
      </c>
      <c r="C294" s="90">
        <v>152</v>
      </c>
      <c r="D294" s="90">
        <v>1</v>
      </c>
      <c r="E294" s="90">
        <v>86</v>
      </c>
      <c r="F294" s="90">
        <v>83</v>
      </c>
      <c r="G294" s="90">
        <v>15</v>
      </c>
      <c r="H294" s="90">
        <v>36</v>
      </c>
      <c r="I294" s="90">
        <v>1</v>
      </c>
      <c r="J294" s="90">
        <v>4</v>
      </c>
      <c r="K294" s="90">
        <v>240</v>
      </c>
    </row>
    <row r="295" spans="1:11" s="68" customFormat="1" ht="9" customHeight="1" x14ac:dyDescent="0.15">
      <c r="A295" s="71" t="s">
        <v>42</v>
      </c>
      <c r="B295" s="92">
        <f t="shared" si="17"/>
        <v>1454</v>
      </c>
      <c r="C295" s="92">
        <v>427</v>
      </c>
      <c r="D295" s="92">
        <v>20</v>
      </c>
      <c r="E295" s="92">
        <v>216</v>
      </c>
      <c r="F295" s="92">
        <v>144</v>
      </c>
      <c r="G295" s="92">
        <v>16</v>
      </c>
      <c r="H295" s="92">
        <v>160</v>
      </c>
      <c r="I295" s="92">
        <v>4</v>
      </c>
      <c r="J295" s="92">
        <v>21</v>
      </c>
      <c r="K295" s="67">
        <v>446</v>
      </c>
    </row>
    <row r="296" spans="1:11" s="68" customFormat="1" ht="9" customHeight="1" x14ac:dyDescent="0.15">
      <c r="A296" s="71" t="s">
        <v>43</v>
      </c>
      <c r="B296" s="92">
        <f t="shared" si="17"/>
        <v>1103</v>
      </c>
      <c r="C296" s="92">
        <v>284</v>
      </c>
      <c r="D296" s="92">
        <v>10</v>
      </c>
      <c r="E296" s="92">
        <v>152</v>
      </c>
      <c r="F296" s="92">
        <v>101</v>
      </c>
      <c r="G296" s="92">
        <v>20</v>
      </c>
      <c r="H296" s="92">
        <v>104</v>
      </c>
      <c r="I296" s="92">
        <v>1</v>
      </c>
      <c r="J296" s="92">
        <v>2</v>
      </c>
      <c r="K296" s="67">
        <v>429</v>
      </c>
    </row>
    <row r="297" spans="1:11" s="68" customFormat="1" ht="9" customHeight="1" x14ac:dyDescent="0.15">
      <c r="A297" s="71" t="s">
        <v>44</v>
      </c>
      <c r="B297" s="92">
        <f t="shared" si="17"/>
        <v>1772</v>
      </c>
      <c r="C297" s="92">
        <v>417</v>
      </c>
      <c r="D297" s="92">
        <v>20</v>
      </c>
      <c r="E297" s="92">
        <v>289</v>
      </c>
      <c r="F297" s="92">
        <v>226</v>
      </c>
      <c r="G297" s="92">
        <v>29</v>
      </c>
      <c r="H297" s="92">
        <v>95</v>
      </c>
      <c r="I297" s="92">
        <v>0</v>
      </c>
      <c r="J297" s="92">
        <v>23</v>
      </c>
      <c r="K297" s="67">
        <v>673</v>
      </c>
    </row>
    <row r="298" spans="1:11" s="68" customFormat="1" ht="9" customHeight="1" x14ac:dyDescent="0.15">
      <c r="A298" s="69" t="s">
        <v>45</v>
      </c>
      <c r="B298" s="90">
        <f t="shared" si="17"/>
        <v>988</v>
      </c>
      <c r="C298" s="90">
        <v>282</v>
      </c>
      <c r="D298" s="90">
        <v>2</v>
      </c>
      <c r="E298" s="90">
        <v>145</v>
      </c>
      <c r="F298" s="90">
        <v>102</v>
      </c>
      <c r="G298" s="90">
        <v>21</v>
      </c>
      <c r="H298" s="90">
        <v>107</v>
      </c>
      <c r="I298" s="90">
        <v>4</v>
      </c>
      <c r="J298" s="90">
        <v>13</v>
      </c>
      <c r="K298" s="70">
        <v>312</v>
      </c>
    </row>
    <row r="299" spans="1:11" s="68" customFormat="1" ht="9" customHeight="1" x14ac:dyDescent="0.15">
      <c r="A299" s="71" t="s">
        <v>46</v>
      </c>
      <c r="B299" s="92">
        <f t="shared" si="17"/>
        <v>3602</v>
      </c>
      <c r="C299" s="92">
        <v>883</v>
      </c>
      <c r="D299" s="92">
        <v>31</v>
      </c>
      <c r="E299" s="92">
        <v>536</v>
      </c>
      <c r="F299" s="92">
        <v>612</v>
      </c>
      <c r="G299" s="92">
        <v>17</v>
      </c>
      <c r="H299" s="92">
        <v>103</v>
      </c>
      <c r="I299" s="92">
        <v>3</v>
      </c>
      <c r="J299" s="92">
        <v>70</v>
      </c>
      <c r="K299" s="67">
        <v>1347</v>
      </c>
    </row>
    <row r="300" spans="1:11" s="68" customFormat="1" ht="9" customHeight="1" x14ac:dyDescent="0.15">
      <c r="A300" s="71" t="s">
        <v>47</v>
      </c>
      <c r="B300" s="92">
        <f t="shared" si="17"/>
        <v>1723</v>
      </c>
      <c r="C300" s="92">
        <v>371</v>
      </c>
      <c r="D300" s="92">
        <v>25</v>
      </c>
      <c r="E300" s="92">
        <v>272</v>
      </c>
      <c r="F300" s="92">
        <v>211</v>
      </c>
      <c r="G300" s="92">
        <v>28</v>
      </c>
      <c r="H300" s="92">
        <v>88</v>
      </c>
      <c r="I300" s="92">
        <v>1</v>
      </c>
      <c r="J300" s="92">
        <v>58</v>
      </c>
      <c r="K300" s="67">
        <v>669</v>
      </c>
    </row>
    <row r="301" spans="1:11" s="68" customFormat="1" ht="9" customHeight="1" x14ac:dyDescent="0.25">
      <c r="A301" s="71" t="s">
        <v>48</v>
      </c>
      <c r="B301" s="92">
        <f t="shared" si="17"/>
        <v>362</v>
      </c>
      <c r="C301" s="92">
        <v>88</v>
      </c>
      <c r="D301" s="92">
        <v>2</v>
      </c>
      <c r="E301" s="92">
        <v>52</v>
      </c>
      <c r="F301" s="92">
        <v>36</v>
      </c>
      <c r="G301" s="92">
        <v>5</v>
      </c>
      <c r="H301" s="92">
        <v>21</v>
      </c>
      <c r="I301" s="92">
        <v>2</v>
      </c>
      <c r="J301" s="92">
        <v>1</v>
      </c>
      <c r="K301" s="92">
        <v>155</v>
      </c>
    </row>
    <row r="302" spans="1:11" s="68" customFormat="1" ht="9" customHeight="1" x14ac:dyDescent="0.15">
      <c r="A302" s="69" t="s">
        <v>49</v>
      </c>
      <c r="B302" s="90">
        <f t="shared" si="17"/>
        <v>1203</v>
      </c>
      <c r="C302" s="90">
        <v>317</v>
      </c>
      <c r="D302" s="90">
        <v>7</v>
      </c>
      <c r="E302" s="90">
        <v>183</v>
      </c>
      <c r="F302" s="90">
        <v>166</v>
      </c>
      <c r="G302" s="90">
        <v>8</v>
      </c>
      <c r="H302" s="90">
        <v>107</v>
      </c>
      <c r="I302" s="90">
        <v>1</v>
      </c>
      <c r="J302" s="90">
        <v>14</v>
      </c>
      <c r="K302" s="70">
        <v>400</v>
      </c>
    </row>
    <row r="303" spans="1:11" s="68" customFormat="1" ht="9" customHeight="1" x14ac:dyDescent="0.15">
      <c r="A303" s="71" t="s">
        <v>51</v>
      </c>
      <c r="B303" s="92">
        <f t="shared" si="17"/>
        <v>1281</v>
      </c>
      <c r="C303" s="92">
        <v>364</v>
      </c>
      <c r="D303" s="92">
        <v>5</v>
      </c>
      <c r="E303" s="92">
        <v>203</v>
      </c>
      <c r="F303" s="92">
        <v>176</v>
      </c>
      <c r="G303" s="92">
        <v>17</v>
      </c>
      <c r="H303" s="92">
        <v>107</v>
      </c>
      <c r="I303" s="92">
        <v>1</v>
      </c>
      <c r="J303" s="92">
        <v>9</v>
      </c>
      <c r="K303" s="67">
        <v>399</v>
      </c>
    </row>
    <row r="304" spans="1:11" s="68" customFormat="1" ht="9" customHeight="1" x14ac:dyDescent="0.15">
      <c r="A304" s="71" t="s">
        <v>52</v>
      </c>
      <c r="B304" s="92">
        <f t="shared" si="17"/>
        <v>902</v>
      </c>
      <c r="C304" s="92">
        <v>273</v>
      </c>
      <c r="D304" s="92">
        <v>5</v>
      </c>
      <c r="E304" s="92">
        <v>114</v>
      </c>
      <c r="F304" s="92">
        <v>77</v>
      </c>
      <c r="G304" s="92">
        <v>4</v>
      </c>
      <c r="H304" s="92">
        <v>23</v>
      </c>
      <c r="I304" s="92">
        <v>0</v>
      </c>
      <c r="J304" s="92">
        <v>14</v>
      </c>
      <c r="K304" s="67">
        <v>392</v>
      </c>
    </row>
    <row r="305" spans="1:12" s="68" customFormat="1" ht="9" customHeight="1" x14ac:dyDescent="0.15">
      <c r="A305" s="71" t="s">
        <v>53</v>
      </c>
      <c r="B305" s="92">
        <f t="shared" si="17"/>
        <v>890</v>
      </c>
      <c r="C305" s="92">
        <v>223</v>
      </c>
      <c r="D305" s="92">
        <v>29</v>
      </c>
      <c r="E305" s="92">
        <v>119</v>
      </c>
      <c r="F305" s="92">
        <v>111</v>
      </c>
      <c r="G305" s="92">
        <v>13</v>
      </c>
      <c r="H305" s="92">
        <v>55</v>
      </c>
      <c r="I305" s="92">
        <v>1</v>
      </c>
      <c r="J305" s="92">
        <v>8</v>
      </c>
      <c r="K305" s="67">
        <v>331</v>
      </c>
    </row>
    <row r="306" spans="1:12" s="65" customFormat="1" ht="9" x14ac:dyDescent="0.25">
      <c r="A306" s="100"/>
      <c r="B306" s="97"/>
      <c r="C306" s="97"/>
      <c r="D306" s="97"/>
      <c r="E306" s="97"/>
      <c r="F306" s="97"/>
      <c r="G306" s="97"/>
      <c r="H306" s="97"/>
      <c r="I306" s="97"/>
      <c r="J306" s="97"/>
      <c r="K306" s="64"/>
    </row>
    <row r="307" spans="1:12" s="65" customFormat="1" ht="9" customHeight="1" x14ac:dyDescent="0.25">
      <c r="A307" s="96">
        <v>2008</v>
      </c>
      <c r="B307" s="97"/>
      <c r="C307" s="97"/>
      <c r="D307" s="97"/>
      <c r="E307" s="97"/>
      <c r="F307" s="97"/>
      <c r="G307" s="97"/>
      <c r="H307" s="97"/>
      <c r="I307" s="97"/>
      <c r="J307" s="97"/>
      <c r="K307" s="64"/>
    </row>
    <row r="308" spans="1:12" s="65" customFormat="1" ht="9" customHeight="1" x14ac:dyDescent="0.25">
      <c r="A308" s="99" t="s">
        <v>21</v>
      </c>
      <c r="B308" s="64">
        <f t="shared" ref="B308:J308" si="18">SUM(B310:B340)</f>
        <v>84796</v>
      </c>
      <c r="C308" s="64">
        <f t="shared" si="18"/>
        <v>21249</v>
      </c>
      <c r="D308" s="64">
        <f t="shared" si="18"/>
        <v>810</v>
      </c>
      <c r="E308" s="64">
        <f t="shared" si="18"/>
        <v>12897</v>
      </c>
      <c r="F308" s="64">
        <f t="shared" si="18"/>
        <v>8761</v>
      </c>
      <c r="G308" s="64">
        <f t="shared" si="18"/>
        <v>1134</v>
      </c>
      <c r="H308" s="64">
        <f t="shared" si="18"/>
        <v>7679</v>
      </c>
      <c r="I308" s="64">
        <f t="shared" si="18"/>
        <v>176</v>
      </c>
      <c r="J308" s="64">
        <f t="shared" si="18"/>
        <v>1300</v>
      </c>
      <c r="K308" s="64">
        <f>SUM(K310:K340)</f>
        <v>30790</v>
      </c>
      <c r="L308" s="101"/>
    </row>
    <row r="309" spans="1:12" s="65" customFormat="1" ht="3.95" customHeight="1" x14ac:dyDescent="0.25">
      <c r="A309" s="99"/>
      <c r="B309" s="64"/>
      <c r="C309" s="64"/>
      <c r="D309" s="64"/>
      <c r="E309" s="64"/>
      <c r="F309" s="64"/>
      <c r="G309" s="64"/>
      <c r="H309" s="64"/>
      <c r="I309" s="64"/>
      <c r="J309" s="64"/>
      <c r="K309" s="64"/>
    </row>
    <row r="310" spans="1:12" s="68" customFormat="1" ht="9" customHeight="1" x14ac:dyDescent="0.15">
      <c r="A310" s="71" t="s">
        <v>23</v>
      </c>
      <c r="B310" s="92">
        <f t="shared" ref="B310:B340" si="19">SUM(C310:K310)</f>
        <v>803</v>
      </c>
      <c r="C310" s="92">
        <v>210</v>
      </c>
      <c r="D310" s="92">
        <v>26</v>
      </c>
      <c r="E310" s="92">
        <v>121</v>
      </c>
      <c r="F310" s="92">
        <v>99</v>
      </c>
      <c r="G310" s="92">
        <v>5</v>
      </c>
      <c r="H310" s="92">
        <v>41</v>
      </c>
      <c r="I310" s="92">
        <v>0</v>
      </c>
      <c r="J310" s="92">
        <v>3</v>
      </c>
      <c r="K310" s="67">
        <v>298</v>
      </c>
    </row>
    <row r="311" spans="1:12" s="68" customFormat="1" ht="9" customHeight="1" x14ac:dyDescent="0.15">
      <c r="A311" s="71" t="s">
        <v>24</v>
      </c>
      <c r="B311" s="92">
        <f t="shared" si="19"/>
        <v>4209</v>
      </c>
      <c r="C311" s="92">
        <v>960</v>
      </c>
      <c r="D311" s="92">
        <v>17</v>
      </c>
      <c r="E311" s="92">
        <v>745</v>
      </c>
      <c r="F311" s="92">
        <v>445</v>
      </c>
      <c r="G311" s="92">
        <v>57</v>
      </c>
      <c r="H311" s="92">
        <v>183</v>
      </c>
      <c r="I311" s="92">
        <v>9</v>
      </c>
      <c r="J311" s="92">
        <v>118</v>
      </c>
      <c r="K311" s="67">
        <v>1675</v>
      </c>
    </row>
    <row r="312" spans="1:12" s="68" customFormat="1" ht="9" customHeight="1" x14ac:dyDescent="0.15">
      <c r="A312" s="71" t="s">
        <v>25</v>
      </c>
      <c r="B312" s="92">
        <f t="shared" si="19"/>
        <v>788</v>
      </c>
      <c r="C312" s="92">
        <v>196</v>
      </c>
      <c r="D312" s="92">
        <v>9</v>
      </c>
      <c r="E312" s="92">
        <v>125</v>
      </c>
      <c r="F312" s="92">
        <v>99</v>
      </c>
      <c r="G312" s="92">
        <v>5</v>
      </c>
      <c r="H312" s="92">
        <v>29</v>
      </c>
      <c r="I312" s="92">
        <v>1</v>
      </c>
      <c r="J312" s="92">
        <v>10</v>
      </c>
      <c r="K312" s="67">
        <v>314</v>
      </c>
    </row>
    <row r="313" spans="1:12" s="68" customFormat="1" ht="9" customHeight="1" x14ac:dyDescent="0.25">
      <c r="A313" s="69" t="s">
        <v>26</v>
      </c>
      <c r="B313" s="90">
        <f t="shared" si="19"/>
        <v>298</v>
      </c>
      <c r="C313" s="90">
        <v>105</v>
      </c>
      <c r="D313" s="90">
        <v>0</v>
      </c>
      <c r="E313" s="90">
        <v>33</v>
      </c>
      <c r="F313" s="90">
        <v>17</v>
      </c>
      <c r="G313" s="90">
        <v>6</v>
      </c>
      <c r="H313" s="90">
        <v>14</v>
      </c>
      <c r="I313" s="90">
        <v>0</v>
      </c>
      <c r="J313" s="90">
        <v>6</v>
      </c>
      <c r="K313" s="90">
        <v>117</v>
      </c>
    </row>
    <row r="314" spans="1:12" s="68" customFormat="1" ht="9" customHeight="1" x14ac:dyDescent="0.15">
      <c r="A314" s="71" t="s">
        <v>27</v>
      </c>
      <c r="B314" s="92">
        <f t="shared" si="19"/>
        <v>2593</v>
      </c>
      <c r="C314" s="92">
        <v>698</v>
      </c>
      <c r="D314" s="92">
        <v>25</v>
      </c>
      <c r="E314" s="92">
        <v>377</v>
      </c>
      <c r="F314" s="92">
        <v>269</v>
      </c>
      <c r="G314" s="92">
        <v>9</v>
      </c>
      <c r="H314" s="92">
        <v>291</v>
      </c>
      <c r="I314" s="92">
        <v>0</v>
      </c>
      <c r="J314" s="92">
        <v>4</v>
      </c>
      <c r="K314" s="67">
        <v>920</v>
      </c>
    </row>
    <row r="315" spans="1:12" s="68" customFormat="1" ht="9" customHeight="1" x14ac:dyDescent="0.15">
      <c r="A315" s="71" t="s">
        <v>28</v>
      </c>
      <c r="B315" s="92">
        <f t="shared" si="19"/>
        <v>2260</v>
      </c>
      <c r="C315" s="92">
        <v>607</v>
      </c>
      <c r="D315" s="92">
        <v>22</v>
      </c>
      <c r="E315" s="92">
        <v>326</v>
      </c>
      <c r="F315" s="92">
        <v>279</v>
      </c>
      <c r="G315" s="92">
        <v>21</v>
      </c>
      <c r="H315" s="92">
        <v>77</v>
      </c>
      <c r="I315" s="92">
        <v>3</v>
      </c>
      <c r="J315" s="92">
        <v>26</v>
      </c>
      <c r="K315" s="67">
        <v>899</v>
      </c>
    </row>
    <row r="316" spans="1:12" s="68" customFormat="1" ht="9" customHeight="1" x14ac:dyDescent="0.15">
      <c r="A316" s="71" t="s">
        <v>29</v>
      </c>
      <c r="B316" s="92">
        <f t="shared" si="19"/>
        <v>894</v>
      </c>
      <c r="C316" s="92">
        <v>252</v>
      </c>
      <c r="D316" s="92">
        <v>3</v>
      </c>
      <c r="E316" s="92">
        <v>160</v>
      </c>
      <c r="F316" s="92">
        <v>112</v>
      </c>
      <c r="G316" s="92">
        <v>8</v>
      </c>
      <c r="H316" s="92">
        <v>48</v>
      </c>
      <c r="I316" s="92">
        <v>2</v>
      </c>
      <c r="J316" s="92">
        <v>5</v>
      </c>
      <c r="K316" s="67">
        <v>304</v>
      </c>
    </row>
    <row r="317" spans="1:12" s="68" customFormat="1" ht="9" customHeight="1" x14ac:dyDescent="0.15">
      <c r="A317" s="69" t="s">
        <v>30</v>
      </c>
      <c r="B317" s="90">
        <f t="shared" si="19"/>
        <v>5067</v>
      </c>
      <c r="C317" s="90">
        <v>1041</v>
      </c>
      <c r="D317" s="90">
        <v>15</v>
      </c>
      <c r="E317" s="90">
        <v>768</v>
      </c>
      <c r="F317" s="90">
        <v>710</v>
      </c>
      <c r="G317" s="90">
        <v>38</v>
      </c>
      <c r="H317" s="90">
        <v>407</v>
      </c>
      <c r="I317" s="90">
        <v>43</v>
      </c>
      <c r="J317" s="90">
        <v>282</v>
      </c>
      <c r="K317" s="70">
        <v>1763</v>
      </c>
    </row>
    <row r="318" spans="1:12" s="68" customFormat="1" ht="9" customHeight="1" x14ac:dyDescent="0.15">
      <c r="A318" s="66" t="s">
        <v>63</v>
      </c>
      <c r="B318" s="92">
        <f t="shared" si="19"/>
        <v>20863</v>
      </c>
      <c r="C318" s="92">
        <v>5350</v>
      </c>
      <c r="D318" s="92">
        <v>161</v>
      </c>
      <c r="E318" s="92">
        <v>3040</v>
      </c>
      <c r="F318" s="92">
        <v>1502</v>
      </c>
      <c r="G318" s="92">
        <v>329</v>
      </c>
      <c r="H318" s="92">
        <v>2687</v>
      </c>
      <c r="I318" s="92">
        <v>40</v>
      </c>
      <c r="J318" s="92">
        <v>213</v>
      </c>
      <c r="K318" s="67">
        <v>7541</v>
      </c>
    </row>
    <row r="319" spans="1:12" s="68" customFormat="1" ht="9" customHeight="1" x14ac:dyDescent="0.15">
      <c r="A319" s="71" t="s">
        <v>31</v>
      </c>
      <c r="B319" s="92">
        <f t="shared" si="19"/>
        <v>1585</v>
      </c>
      <c r="C319" s="92">
        <v>401</v>
      </c>
      <c r="D319" s="92">
        <v>19</v>
      </c>
      <c r="E319" s="92">
        <v>260</v>
      </c>
      <c r="F319" s="92">
        <v>183</v>
      </c>
      <c r="G319" s="92">
        <v>12</v>
      </c>
      <c r="H319" s="92">
        <v>130</v>
      </c>
      <c r="I319" s="92">
        <v>3</v>
      </c>
      <c r="J319" s="92">
        <v>40</v>
      </c>
      <c r="K319" s="67">
        <v>537</v>
      </c>
    </row>
    <row r="320" spans="1:12" s="68" customFormat="1" ht="9" customHeight="1" x14ac:dyDescent="0.15">
      <c r="A320" s="71" t="s">
        <v>32</v>
      </c>
      <c r="B320" s="92">
        <f t="shared" si="19"/>
        <v>4078</v>
      </c>
      <c r="C320" s="92">
        <v>1016</v>
      </c>
      <c r="D320" s="92">
        <v>42</v>
      </c>
      <c r="E320" s="92">
        <v>582</v>
      </c>
      <c r="F320" s="92">
        <v>438</v>
      </c>
      <c r="G320" s="92">
        <v>34</v>
      </c>
      <c r="H320" s="92">
        <v>495</v>
      </c>
      <c r="I320" s="92">
        <v>6</v>
      </c>
      <c r="J320" s="92">
        <v>44</v>
      </c>
      <c r="K320" s="67">
        <v>1421</v>
      </c>
    </row>
    <row r="321" spans="1:11" s="68" customFormat="1" ht="9" customHeight="1" x14ac:dyDescent="0.15">
      <c r="A321" s="69" t="s">
        <v>33</v>
      </c>
      <c r="B321" s="90">
        <f t="shared" si="19"/>
        <v>1849</v>
      </c>
      <c r="C321" s="90">
        <v>469</v>
      </c>
      <c r="D321" s="90">
        <v>12</v>
      </c>
      <c r="E321" s="90">
        <v>306</v>
      </c>
      <c r="F321" s="90">
        <v>287</v>
      </c>
      <c r="G321" s="90">
        <v>13</v>
      </c>
      <c r="H321" s="90">
        <v>87</v>
      </c>
      <c r="I321" s="90">
        <v>5</v>
      </c>
      <c r="J321" s="90">
        <v>11</v>
      </c>
      <c r="K321" s="70">
        <v>659</v>
      </c>
    </row>
    <row r="322" spans="1:11" s="68" customFormat="1" ht="9" customHeight="1" x14ac:dyDescent="0.15">
      <c r="A322" s="71" t="s">
        <v>34</v>
      </c>
      <c r="B322" s="92">
        <f t="shared" si="19"/>
        <v>1064</v>
      </c>
      <c r="C322" s="92">
        <v>249</v>
      </c>
      <c r="D322" s="92">
        <v>14</v>
      </c>
      <c r="E322" s="92">
        <v>151</v>
      </c>
      <c r="F322" s="92">
        <v>96</v>
      </c>
      <c r="G322" s="92">
        <v>39</v>
      </c>
      <c r="H322" s="92">
        <v>113</v>
      </c>
      <c r="I322" s="92">
        <v>2</v>
      </c>
      <c r="J322" s="92">
        <v>14</v>
      </c>
      <c r="K322" s="67">
        <v>386</v>
      </c>
    </row>
    <row r="323" spans="1:11" s="68" customFormat="1" ht="9" customHeight="1" x14ac:dyDescent="0.15">
      <c r="A323" s="71" t="s">
        <v>35</v>
      </c>
      <c r="B323" s="92">
        <f t="shared" si="19"/>
        <v>6926</v>
      </c>
      <c r="C323" s="92">
        <v>1609</v>
      </c>
      <c r="D323" s="92">
        <v>117</v>
      </c>
      <c r="E323" s="92">
        <v>1075</v>
      </c>
      <c r="F323" s="92">
        <v>945</v>
      </c>
      <c r="G323" s="92">
        <v>137</v>
      </c>
      <c r="H323" s="92">
        <v>462</v>
      </c>
      <c r="I323" s="92">
        <v>18</v>
      </c>
      <c r="J323" s="92">
        <v>110</v>
      </c>
      <c r="K323" s="67">
        <v>2453</v>
      </c>
    </row>
    <row r="324" spans="1:11" s="68" customFormat="1" ht="9" customHeight="1" x14ac:dyDescent="0.15">
      <c r="A324" s="71" t="s">
        <v>36</v>
      </c>
      <c r="B324" s="92">
        <f t="shared" si="19"/>
        <v>9525</v>
      </c>
      <c r="C324" s="92">
        <v>2371</v>
      </c>
      <c r="D324" s="92">
        <v>148</v>
      </c>
      <c r="E324" s="92">
        <v>1450</v>
      </c>
      <c r="F324" s="92">
        <v>742</v>
      </c>
      <c r="G324" s="92">
        <v>149</v>
      </c>
      <c r="H324" s="92">
        <v>1028</v>
      </c>
      <c r="I324" s="92">
        <v>14</v>
      </c>
      <c r="J324" s="92">
        <v>92</v>
      </c>
      <c r="K324" s="67">
        <v>3531</v>
      </c>
    </row>
    <row r="325" spans="1:11" s="68" customFormat="1" ht="9" customHeight="1" x14ac:dyDescent="0.15">
      <c r="A325" s="69" t="s">
        <v>37</v>
      </c>
      <c r="B325" s="90">
        <f t="shared" si="19"/>
        <v>1017</v>
      </c>
      <c r="C325" s="90">
        <v>272</v>
      </c>
      <c r="D325" s="90">
        <v>10</v>
      </c>
      <c r="E325" s="90">
        <v>149</v>
      </c>
      <c r="F325" s="90">
        <v>129</v>
      </c>
      <c r="G325" s="90">
        <v>19</v>
      </c>
      <c r="H325" s="90">
        <v>33</v>
      </c>
      <c r="I325" s="90">
        <v>2</v>
      </c>
      <c r="J325" s="90">
        <v>14</v>
      </c>
      <c r="K325" s="70">
        <v>389</v>
      </c>
    </row>
    <row r="326" spans="1:11" s="68" customFormat="1" ht="9" customHeight="1" x14ac:dyDescent="0.15">
      <c r="A326" s="71" t="s">
        <v>38</v>
      </c>
      <c r="B326" s="92">
        <f t="shared" si="19"/>
        <v>799</v>
      </c>
      <c r="C326" s="92">
        <v>199</v>
      </c>
      <c r="D326" s="92">
        <v>6</v>
      </c>
      <c r="E326" s="92">
        <v>118</v>
      </c>
      <c r="F326" s="92">
        <v>107</v>
      </c>
      <c r="G326" s="92">
        <v>9</v>
      </c>
      <c r="H326" s="92">
        <v>51</v>
      </c>
      <c r="I326" s="92">
        <v>1</v>
      </c>
      <c r="J326" s="92">
        <v>8</v>
      </c>
      <c r="K326" s="67">
        <v>300</v>
      </c>
    </row>
    <row r="327" spans="1:11" s="68" customFormat="1" ht="9" customHeight="1" x14ac:dyDescent="0.25">
      <c r="A327" s="71" t="s">
        <v>39</v>
      </c>
      <c r="B327" s="92">
        <f t="shared" si="19"/>
        <v>25</v>
      </c>
      <c r="C327" s="92">
        <v>5</v>
      </c>
      <c r="D327" s="92">
        <v>0</v>
      </c>
      <c r="E327" s="92">
        <v>3</v>
      </c>
      <c r="F327" s="92">
        <v>4</v>
      </c>
      <c r="G327" s="92">
        <v>1</v>
      </c>
      <c r="H327" s="92">
        <v>1</v>
      </c>
      <c r="I327" s="92">
        <v>0</v>
      </c>
      <c r="J327" s="92">
        <v>1</v>
      </c>
      <c r="K327" s="92">
        <v>10</v>
      </c>
    </row>
    <row r="328" spans="1:11" s="68" customFormat="1" ht="9" customHeight="1" x14ac:dyDescent="0.15">
      <c r="A328" s="71" t="s">
        <v>40</v>
      </c>
      <c r="B328" s="92">
        <f t="shared" si="19"/>
        <v>3159</v>
      </c>
      <c r="C328" s="92">
        <v>712</v>
      </c>
      <c r="D328" s="92">
        <v>20</v>
      </c>
      <c r="E328" s="92">
        <v>482</v>
      </c>
      <c r="F328" s="92">
        <v>388</v>
      </c>
      <c r="G328" s="92">
        <v>35</v>
      </c>
      <c r="H328" s="92">
        <v>268</v>
      </c>
      <c r="I328" s="92">
        <v>4</v>
      </c>
      <c r="J328" s="92">
        <v>42</v>
      </c>
      <c r="K328" s="67">
        <v>1208</v>
      </c>
    </row>
    <row r="329" spans="1:11" s="68" customFormat="1" ht="9" customHeight="1" x14ac:dyDescent="0.25">
      <c r="A329" s="69" t="s">
        <v>41</v>
      </c>
      <c r="B329" s="90">
        <f t="shared" si="19"/>
        <v>532</v>
      </c>
      <c r="C329" s="90">
        <v>149</v>
      </c>
      <c r="D329" s="90">
        <v>1</v>
      </c>
      <c r="E329" s="90">
        <v>89</v>
      </c>
      <c r="F329" s="90">
        <v>71</v>
      </c>
      <c r="G329" s="90">
        <v>5</v>
      </c>
      <c r="H329" s="90">
        <v>37</v>
      </c>
      <c r="I329" s="90">
        <v>0</v>
      </c>
      <c r="J329" s="90">
        <v>1</v>
      </c>
      <c r="K329" s="90">
        <v>179</v>
      </c>
    </row>
    <row r="330" spans="1:11" s="68" customFormat="1" ht="9" customHeight="1" x14ac:dyDescent="0.15">
      <c r="A330" s="71" t="s">
        <v>42</v>
      </c>
      <c r="B330" s="92">
        <f t="shared" si="19"/>
        <v>1671</v>
      </c>
      <c r="C330" s="92">
        <v>461</v>
      </c>
      <c r="D330" s="92">
        <v>18</v>
      </c>
      <c r="E330" s="92">
        <v>241</v>
      </c>
      <c r="F330" s="92">
        <v>151</v>
      </c>
      <c r="G330" s="92">
        <v>16</v>
      </c>
      <c r="H330" s="92">
        <v>220</v>
      </c>
      <c r="I330" s="92">
        <v>1</v>
      </c>
      <c r="J330" s="92">
        <v>19</v>
      </c>
      <c r="K330" s="67">
        <v>544</v>
      </c>
    </row>
    <row r="331" spans="1:11" s="68" customFormat="1" ht="9" customHeight="1" x14ac:dyDescent="0.15">
      <c r="A331" s="71" t="s">
        <v>43</v>
      </c>
      <c r="B331" s="92">
        <f t="shared" si="19"/>
        <v>1130</v>
      </c>
      <c r="C331" s="92">
        <v>295</v>
      </c>
      <c r="D331" s="92">
        <v>6</v>
      </c>
      <c r="E331" s="92">
        <v>173</v>
      </c>
      <c r="F331" s="92">
        <v>88</v>
      </c>
      <c r="G331" s="92">
        <v>24</v>
      </c>
      <c r="H331" s="92">
        <v>121</v>
      </c>
      <c r="I331" s="92">
        <v>1</v>
      </c>
      <c r="J331" s="92">
        <v>2</v>
      </c>
      <c r="K331" s="67">
        <v>420</v>
      </c>
    </row>
    <row r="332" spans="1:11" s="68" customFormat="1" ht="9" customHeight="1" x14ac:dyDescent="0.15">
      <c r="A332" s="71" t="s">
        <v>44</v>
      </c>
      <c r="B332" s="92">
        <f t="shared" si="19"/>
        <v>1499</v>
      </c>
      <c r="C332" s="92">
        <v>397</v>
      </c>
      <c r="D332" s="92">
        <v>11</v>
      </c>
      <c r="E332" s="92">
        <v>247</v>
      </c>
      <c r="F332" s="92">
        <v>166</v>
      </c>
      <c r="G332" s="92">
        <v>23</v>
      </c>
      <c r="H332" s="92">
        <v>82</v>
      </c>
      <c r="I332" s="92">
        <v>1</v>
      </c>
      <c r="J332" s="92">
        <v>18</v>
      </c>
      <c r="K332" s="67">
        <v>554</v>
      </c>
    </row>
    <row r="333" spans="1:11" s="68" customFormat="1" ht="9" customHeight="1" x14ac:dyDescent="0.15">
      <c r="A333" s="69" t="s">
        <v>45</v>
      </c>
      <c r="B333" s="90">
        <f t="shared" si="19"/>
        <v>1079</v>
      </c>
      <c r="C333" s="90">
        <v>313</v>
      </c>
      <c r="D333" s="90">
        <v>5</v>
      </c>
      <c r="E333" s="90">
        <v>152</v>
      </c>
      <c r="F333" s="90">
        <v>82</v>
      </c>
      <c r="G333" s="90">
        <v>24</v>
      </c>
      <c r="H333" s="90">
        <v>154</v>
      </c>
      <c r="I333" s="90">
        <v>1</v>
      </c>
      <c r="J333" s="90">
        <v>12</v>
      </c>
      <c r="K333" s="70">
        <v>336</v>
      </c>
    </row>
    <row r="334" spans="1:11" s="68" customFormat="1" ht="9" customHeight="1" x14ac:dyDescent="0.15">
      <c r="A334" s="71" t="s">
        <v>46</v>
      </c>
      <c r="B334" s="92">
        <f t="shared" si="19"/>
        <v>3333</v>
      </c>
      <c r="C334" s="92">
        <v>856</v>
      </c>
      <c r="D334" s="92">
        <v>25</v>
      </c>
      <c r="E334" s="92">
        <v>516</v>
      </c>
      <c r="F334" s="92">
        <v>513</v>
      </c>
      <c r="G334" s="92">
        <v>20</v>
      </c>
      <c r="H334" s="92">
        <v>121</v>
      </c>
      <c r="I334" s="92">
        <v>3</v>
      </c>
      <c r="J334" s="92">
        <v>74</v>
      </c>
      <c r="K334" s="67">
        <v>1205</v>
      </c>
    </row>
    <row r="335" spans="1:11" s="68" customFormat="1" ht="9" customHeight="1" x14ac:dyDescent="0.15">
      <c r="A335" s="71" t="s">
        <v>47</v>
      </c>
      <c r="B335" s="92">
        <f t="shared" si="19"/>
        <v>2284</v>
      </c>
      <c r="C335" s="92">
        <v>511</v>
      </c>
      <c r="D335" s="92">
        <v>26</v>
      </c>
      <c r="E335" s="92">
        <v>399</v>
      </c>
      <c r="F335" s="92">
        <v>260</v>
      </c>
      <c r="G335" s="92">
        <v>39</v>
      </c>
      <c r="H335" s="92">
        <v>126</v>
      </c>
      <c r="I335" s="92">
        <v>5</v>
      </c>
      <c r="J335" s="92">
        <v>63</v>
      </c>
      <c r="K335" s="67">
        <v>855</v>
      </c>
    </row>
    <row r="336" spans="1:11" s="68" customFormat="1" ht="9" customHeight="1" x14ac:dyDescent="0.25">
      <c r="A336" s="71" t="s">
        <v>48</v>
      </c>
      <c r="B336" s="92">
        <f t="shared" si="19"/>
        <v>745</v>
      </c>
      <c r="C336" s="92">
        <v>242</v>
      </c>
      <c r="D336" s="92">
        <v>7</v>
      </c>
      <c r="E336" s="92">
        <v>101</v>
      </c>
      <c r="F336" s="92">
        <v>65</v>
      </c>
      <c r="G336" s="92">
        <v>3</v>
      </c>
      <c r="H336" s="92">
        <v>28</v>
      </c>
      <c r="I336" s="92">
        <v>3</v>
      </c>
      <c r="J336" s="92">
        <v>1</v>
      </c>
      <c r="K336" s="92">
        <v>295</v>
      </c>
    </row>
    <row r="337" spans="1:13" s="68" customFormat="1" ht="9" customHeight="1" x14ac:dyDescent="0.15">
      <c r="A337" s="69" t="s">
        <v>49</v>
      </c>
      <c r="B337" s="90">
        <f t="shared" si="19"/>
        <v>1321</v>
      </c>
      <c r="C337" s="90">
        <v>339</v>
      </c>
      <c r="D337" s="90">
        <v>9</v>
      </c>
      <c r="E337" s="90">
        <v>211</v>
      </c>
      <c r="F337" s="90">
        <v>174</v>
      </c>
      <c r="G337" s="90">
        <v>15</v>
      </c>
      <c r="H337" s="90">
        <v>127</v>
      </c>
      <c r="I337" s="90">
        <v>4</v>
      </c>
      <c r="J337" s="90">
        <v>16</v>
      </c>
      <c r="K337" s="70">
        <v>426</v>
      </c>
    </row>
    <row r="338" spans="1:13" s="68" customFormat="1" ht="9" customHeight="1" x14ac:dyDescent="0.15">
      <c r="A338" s="71" t="s">
        <v>51</v>
      </c>
      <c r="B338" s="92">
        <f t="shared" si="19"/>
        <v>1101</v>
      </c>
      <c r="C338" s="92">
        <v>334</v>
      </c>
      <c r="D338" s="92">
        <v>5</v>
      </c>
      <c r="E338" s="92">
        <v>154</v>
      </c>
      <c r="F338" s="92">
        <v>105</v>
      </c>
      <c r="G338" s="92">
        <v>19</v>
      </c>
      <c r="H338" s="92">
        <v>107</v>
      </c>
      <c r="I338" s="92">
        <v>3</v>
      </c>
      <c r="J338" s="92">
        <v>4</v>
      </c>
      <c r="K338" s="67">
        <v>370</v>
      </c>
    </row>
    <row r="339" spans="1:13" s="68" customFormat="1" ht="9" customHeight="1" x14ac:dyDescent="0.15">
      <c r="A339" s="71" t="s">
        <v>52</v>
      </c>
      <c r="B339" s="92">
        <f t="shared" si="19"/>
        <v>879</v>
      </c>
      <c r="C339" s="92">
        <v>251</v>
      </c>
      <c r="D339" s="92">
        <v>6</v>
      </c>
      <c r="E339" s="92">
        <v>142</v>
      </c>
      <c r="F339" s="92">
        <v>66</v>
      </c>
      <c r="G339" s="92">
        <v>8</v>
      </c>
      <c r="H339" s="92">
        <v>41</v>
      </c>
      <c r="I339" s="92">
        <v>0</v>
      </c>
      <c r="J339" s="92">
        <v>18</v>
      </c>
      <c r="K339" s="67">
        <v>347</v>
      </c>
    </row>
    <row r="340" spans="1:13" s="68" customFormat="1" ht="9" customHeight="1" x14ac:dyDescent="0.15">
      <c r="A340" s="71" t="s">
        <v>53</v>
      </c>
      <c r="B340" s="92">
        <f t="shared" si="19"/>
        <v>1420</v>
      </c>
      <c r="C340" s="92">
        <v>379</v>
      </c>
      <c r="D340" s="92">
        <v>25</v>
      </c>
      <c r="E340" s="92">
        <v>201</v>
      </c>
      <c r="F340" s="92">
        <v>169</v>
      </c>
      <c r="G340" s="92">
        <v>12</v>
      </c>
      <c r="H340" s="92">
        <v>70</v>
      </c>
      <c r="I340" s="92">
        <v>1</v>
      </c>
      <c r="J340" s="92">
        <v>29</v>
      </c>
      <c r="K340" s="67">
        <v>534</v>
      </c>
    </row>
    <row r="341" spans="1:13" s="65" customFormat="1" ht="9" x14ac:dyDescent="0.25">
      <c r="A341" s="100"/>
      <c r="B341" s="97"/>
      <c r="C341" s="97"/>
      <c r="D341" s="97"/>
      <c r="E341" s="97"/>
      <c r="F341" s="97"/>
      <c r="G341" s="97"/>
      <c r="H341" s="97"/>
      <c r="I341" s="97"/>
      <c r="J341" s="97"/>
      <c r="K341" s="64"/>
    </row>
    <row r="342" spans="1:13" s="65" customFormat="1" ht="9" customHeight="1" x14ac:dyDescent="0.25">
      <c r="A342" s="96">
        <v>2009</v>
      </c>
      <c r="B342" s="97"/>
      <c r="C342" s="97"/>
      <c r="D342" s="97"/>
      <c r="E342" s="97"/>
      <c r="F342" s="97"/>
      <c r="G342" s="97"/>
      <c r="H342" s="97"/>
      <c r="I342" s="97"/>
      <c r="J342" s="97"/>
      <c r="K342" s="64"/>
    </row>
    <row r="343" spans="1:13" s="65" customFormat="1" ht="9" customHeight="1" x14ac:dyDescent="0.25">
      <c r="A343" s="99" t="s">
        <v>21</v>
      </c>
      <c r="B343" s="64">
        <f t="shared" ref="B343:J343" si="20">SUM(B345:B375)</f>
        <v>84380</v>
      </c>
      <c r="C343" s="64">
        <f t="shared" si="20"/>
        <v>21344</v>
      </c>
      <c r="D343" s="64">
        <f t="shared" si="20"/>
        <v>3010</v>
      </c>
      <c r="E343" s="64">
        <f t="shared" si="20"/>
        <v>13676</v>
      </c>
      <c r="F343" s="64">
        <f>SUM(F345:F375)</f>
        <v>12131</v>
      </c>
      <c r="G343" s="64">
        <f>SUM(G345:G375)</f>
        <v>1254</v>
      </c>
      <c r="H343" s="64">
        <f t="shared" si="20"/>
        <v>8250</v>
      </c>
      <c r="I343" s="64">
        <f t="shared" si="20"/>
        <v>173</v>
      </c>
      <c r="J343" s="64">
        <f t="shared" si="20"/>
        <v>1264</v>
      </c>
      <c r="K343" s="64">
        <f>SUM(K345:K375)</f>
        <v>23278</v>
      </c>
      <c r="L343" s="101"/>
      <c r="M343" s="101"/>
    </row>
    <row r="344" spans="1:13" s="65" customFormat="1" ht="3.95" customHeight="1" x14ac:dyDescent="0.25">
      <c r="A344" s="99"/>
      <c r="B344" s="64"/>
      <c r="C344" s="64"/>
      <c r="D344" s="64"/>
      <c r="E344" s="64"/>
      <c r="F344" s="64"/>
      <c r="G344" s="64"/>
      <c r="H344" s="64"/>
      <c r="I344" s="64"/>
      <c r="J344" s="64"/>
      <c r="K344" s="64"/>
    </row>
    <row r="345" spans="1:13" s="68" customFormat="1" ht="9" customHeight="1" x14ac:dyDescent="0.15">
      <c r="A345" s="71" t="s">
        <v>23</v>
      </c>
      <c r="B345" s="92">
        <f t="shared" ref="B345:B375" si="21">SUM(C345:K345)</f>
        <v>755</v>
      </c>
      <c r="C345" s="71">
        <v>217</v>
      </c>
      <c r="D345" s="71">
        <v>49</v>
      </c>
      <c r="E345" s="92">
        <v>119</v>
      </c>
      <c r="F345" s="92">
        <v>100</v>
      </c>
      <c r="G345" s="92">
        <v>15</v>
      </c>
      <c r="H345" s="92">
        <v>52</v>
      </c>
      <c r="I345" s="92">
        <v>0</v>
      </c>
      <c r="J345" s="92">
        <v>2</v>
      </c>
      <c r="K345" s="67">
        <v>201</v>
      </c>
    </row>
    <row r="346" spans="1:13" s="68" customFormat="1" ht="9" customHeight="1" x14ac:dyDescent="0.15">
      <c r="A346" s="71" t="s">
        <v>24</v>
      </c>
      <c r="B346" s="92">
        <f t="shared" si="21"/>
        <v>4619</v>
      </c>
      <c r="C346" s="71">
        <v>960</v>
      </c>
      <c r="D346" s="71">
        <v>548</v>
      </c>
      <c r="E346" s="92">
        <v>818</v>
      </c>
      <c r="F346" s="92">
        <v>521</v>
      </c>
      <c r="G346" s="92">
        <v>74</v>
      </c>
      <c r="H346" s="92">
        <v>209</v>
      </c>
      <c r="I346" s="92">
        <v>11</v>
      </c>
      <c r="J346" s="92">
        <v>153</v>
      </c>
      <c r="K346" s="67">
        <v>1325</v>
      </c>
    </row>
    <row r="347" spans="1:13" s="68" customFormat="1" ht="9" customHeight="1" x14ac:dyDescent="0.15">
      <c r="A347" s="71" t="s">
        <v>25</v>
      </c>
      <c r="B347" s="92">
        <f t="shared" si="21"/>
        <v>779</v>
      </c>
      <c r="C347" s="71">
        <v>215</v>
      </c>
      <c r="D347" s="71">
        <v>51</v>
      </c>
      <c r="E347" s="92">
        <v>114</v>
      </c>
      <c r="F347" s="92">
        <v>105</v>
      </c>
      <c r="G347" s="92">
        <v>10</v>
      </c>
      <c r="H347" s="92">
        <v>34</v>
      </c>
      <c r="I347" s="92">
        <v>2</v>
      </c>
      <c r="J347" s="92">
        <v>14</v>
      </c>
      <c r="K347" s="67">
        <v>234</v>
      </c>
    </row>
    <row r="348" spans="1:13" s="68" customFormat="1" ht="9" customHeight="1" x14ac:dyDescent="0.25">
      <c r="A348" s="69" t="s">
        <v>26</v>
      </c>
      <c r="B348" s="90">
        <f t="shared" si="21"/>
        <v>520</v>
      </c>
      <c r="C348" s="69">
        <v>184</v>
      </c>
      <c r="D348" s="69">
        <v>12</v>
      </c>
      <c r="E348" s="90">
        <v>63</v>
      </c>
      <c r="F348" s="90">
        <v>68</v>
      </c>
      <c r="G348" s="90">
        <v>4</v>
      </c>
      <c r="H348" s="90">
        <v>18</v>
      </c>
      <c r="I348" s="90">
        <v>0</v>
      </c>
      <c r="J348" s="90">
        <v>7</v>
      </c>
      <c r="K348" s="90">
        <v>164</v>
      </c>
    </row>
    <row r="349" spans="1:13" s="68" customFormat="1" ht="9" customHeight="1" x14ac:dyDescent="0.15">
      <c r="A349" s="71" t="s">
        <v>27</v>
      </c>
      <c r="B349" s="92">
        <f t="shared" si="21"/>
        <v>2509</v>
      </c>
      <c r="C349" s="71">
        <v>674</v>
      </c>
      <c r="D349" s="71">
        <v>49</v>
      </c>
      <c r="E349" s="92">
        <v>400</v>
      </c>
      <c r="F349" s="92">
        <v>369</v>
      </c>
      <c r="G349" s="92">
        <v>17</v>
      </c>
      <c r="H349" s="92">
        <v>301</v>
      </c>
      <c r="I349" s="92">
        <v>2</v>
      </c>
      <c r="J349" s="92">
        <v>6</v>
      </c>
      <c r="K349" s="67">
        <v>691</v>
      </c>
    </row>
    <row r="350" spans="1:13" s="68" customFormat="1" ht="9" customHeight="1" x14ac:dyDescent="0.15">
      <c r="A350" s="71" t="s">
        <v>28</v>
      </c>
      <c r="B350" s="92">
        <f t="shared" si="21"/>
        <v>2264</v>
      </c>
      <c r="C350" s="71">
        <v>613</v>
      </c>
      <c r="D350" s="71">
        <v>137</v>
      </c>
      <c r="E350" s="92">
        <v>359</v>
      </c>
      <c r="F350" s="92">
        <v>269</v>
      </c>
      <c r="G350" s="92">
        <v>36</v>
      </c>
      <c r="H350" s="92">
        <v>91</v>
      </c>
      <c r="I350" s="92">
        <v>4</v>
      </c>
      <c r="J350" s="92">
        <v>19</v>
      </c>
      <c r="K350" s="67">
        <v>736</v>
      </c>
    </row>
    <row r="351" spans="1:13" s="68" customFormat="1" ht="9" customHeight="1" x14ac:dyDescent="0.15">
      <c r="A351" s="71" t="s">
        <v>29</v>
      </c>
      <c r="B351" s="92">
        <f t="shared" si="21"/>
        <v>945</v>
      </c>
      <c r="C351" s="71">
        <v>267</v>
      </c>
      <c r="D351" s="71">
        <v>9</v>
      </c>
      <c r="E351" s="92">
        <v>166</v>
      </c>
      <c r="F351" s="92">
        <v>152</v>
      </c>
      <c r="G351" s="92">
        <v>11</v>
      </c>
      <c r="H351" s="92">
        <v>71</v>
      </c>
      <c r="I351" s="92">
        <v>1</v>
      </c>
      <c r="J351" s="92">
        <v>5</v>
      </c>
      <c r="K351" s="67">
        <v>263</v>
      </c>
    </row>
    <row r="352" spans="1:13" s="68" customFormat="1" ht="9" customHeight="1" x14ac:dyDescent="0.15">
      <c r="A352" s="69" t="s">
        <v>30</v>
      </c>
      <c r="B352" s="90">
        <f t="shared" si="21"/>
        <v>4352</v>
      </c>
      <c r="C352" s="69">
        <v>907</v>
      </c>
      <c r="D352" s="69">
        <v>56</v>
      </c>
      <c r="E352" s="90">
        <v>657</v>
      </c>
      <c r="F352" s="90">
        <v>662</v>
      </c>
      <c r="G352" s="90">
        <v>46</v>
      </c>
      <c r="H352" s="90">
        <v>350</v>
      </c>
      <c r="I352" s="90">
        <v>48</v>
      </c>
      <c r="J352" s="90">
        <v>252</v>
      </c>
      <c r="K352" s="70">
        <v>1374</v>
      </c>
    </row>
    <row r="353" spans="1:11" s="68" customFormat="1" ht="9" customHeight="1" x14ac:dyDescent="0.15">
      <c r="A353" s="66" t="s">
        <v>63</v>
      </c>
      <c r="B353" s="92">
        <f t="shared" si="21"/>
        <v>21696</v>
      </c>
      <c r="C353" s="71">
        <v>5612</v>
      </c>
      <c r="D353" s="71">
        <v>423</v>
      </c>
      <c r="E353" s="92">
        <v>3527</v>
      </c>
      <c r="F353" s="92">
        <v>2931</v>
      </c>
      <c r="G353" s="92">
        <v>347</v>
      </c>
      <c r="H353" s="92">
        <v>2992</v>
      </c>
      <c r="I353" s="92">
        <v>36</v>
      </c>
      <c r="J353" s="92">
        <v>173</v>
      </c>
      <c r="K353" s="67">
        <v>5655</v>
      </c>
    </row>
    <row r="354" spans="1:11" s="68" customFormat="1" ht="9" customHeight="1" x14ac:dyDescent="0.15">
      <c r="A354" s="71" t="s">
        <v>31</v>
      </c>
      <c r="B354" s="92">
        <f t="shared" si="21"/>
        <v>2309</v>
      </c>
      <c r="C354" s="71">
        <v>552</v>
      </c>
      <c r="D354" s="71">
        <v>192</v>
      </c>
      <c r="E354" s="92">
        <v>378</v>
      </c>
      <c r="F354" s="92">
        <v>248</v>
      </c>
      <c r="G354" s="92">
        <v>25</v>
      </c>
      <c r="H354" s="92">
        <v>201</v>
      </c>
      <c r="I354" s="92">
        <v>5</v>
      </c>
      <c r="J354" s="92">
        <v>93</v>
      </c>
      <c r="K354" s="67">
        <v>615</v>
      </c>
    </row>
    <row r="355" spans="1:11" s="68" customFormat="1" ht="9" customHeight="1" x14ac:dyDescent="0.15">
      <c r="A355" s="71" t="s">
        <v>32</v>
      </c>
      <c r="B355" s="92">
        <f t="shared" si="21"/>
        <v>3665</v>
      </c>
      <c r="C355" s="71">
        <v>919</v>
      </c>
      <c r="D355" s="71">
        <v>89</v>
      </c>
      <c r="E355" s="92">
        <v>586</v>
      </c>
      <c r="F355" s="92">
        <v>480</v>
      </c>
      <c r="G355" s="92">
        <v>41</v>
      </c>
      <c r="H355" s="92">
        <v>460</v>
      </c>
      <c r="I355" s="92">
        <v>7</v>
      </c>
      <c r="J355" s="92">
        <v>47</v>
      </c>
      <c r="K355" s="67">
        <v>1036</v>
      </c>
    </row>
    <row r="356" spans="1:11" s="68" customFormat="1" ht="9" customHeight="1" x14ac:dyDescent="0.15">
      <c r="A356" s="69" t="s">
        <v>33</v>
      </c>
      <c r="B356" s="90">
        <f t="shared" si="21"/>
        <v>1489</v>
      </c>
      <c r="C356" s="69">
        <v>413</v>
      </c>
      <c r="D356" s="69">
        <v>18</v>
      </c>
      <c r="E356" s="90">
        <v>246</v>
      </c>
      <c r="F356" s="90">
        <v>292</v>
      </c>
      <c r="G356" s="90">
        <v>6</v>
      </c>
      <c r="H356" s="90">
        <v>80</v>
      </c>
      <c r="I356" s="90">
        <v>2</v>
      </c>
      <c r="J356" s="90">
        <v>5</v>
      </c>
      <c r="K356" s="70">
        <v>427</v>
      </c>
    </row>
    <row r="357" spans="1:11" s="68" customFormat="1" ht="9" customHeight="1" x14ac:dyDescent="0.15">
      <c r="A357" s="71" t="s">
        <v>34</v>
      </c>
      <c r="B357" s="92">
        <f t="shared" si="21"/>
        <v>742</v>
      </c>
      <c r="C357" s="71">
        <v>212</v>
      </c>
      <c r="D357" s="71">
        <v>16</v>
      </c>
      <c r="E357" s="92">
        <v>112</v>
      </c>
      <c r="F357" s="92">
        <v>74</v>
      </c>
      <c r="G357" s="92">
        <v>15</v>
      </c>
      <c r="H357" s="92">
        <v>79</v>
      </c>
      <c r="I357" s="92">
        <v>0</v>
      </c>
      <c r="J357" s="92">
        <v>4</v>
      </c>
      <c r="K357" s="67">
        <v>230</v>
      </c>
    </row>
    <row r="358" spans="1:11" s="68" customFormat="1" ht="9" customHeight="1" x14ac:dyDescent="0.15">
      <c r="A358" s="71" t="s">
        <v>35</v>
      </c>
      <c r="B358" s="92">
        <f t="shared" si="21"/>
        <v>6585</v>
      </c>
      <c r="C358" s="71">
        <v>1515</v>
      </c>
      <c r="D358" s="71">
        <v>273</v>
      </c>
      <c r="E358" s="92">
        <v>1087</v>
      </c>
      <c r="F358" s="92">
        <v>1112</v>
      </c>
      <c r="G358" s="92">
        <v>155</v>
      </c>
      <c r="H358" s="92">
        <v>525</v>
      </c>
      <c r="I358" s="92">
        <v>10</v>
      </c>
      <c r="J358" s="92">
        <v>111</v>
      </c>
      <c r="K358" s="67">
        <v>1797</v>
      </c>
    </row>
    <row r="359" spans="1:11" s="68" customFormat="1" ht="9" customHeight="1" x14ac:dyDescent="0.15">
      <c r="A359" s="71" t="s">
        <v>36</v>
      </c>
      <c r="B359" s="92">
        <f t="shared" si="21"/>
        <v>9435</v>
      </c>
      <c r="C359" s="71">
        <v>2449</v>
      </c>
      <c r="D359" s="71">
        <v>176</v>
      </c>
      <c r="E359" s="92">
        <v>1535</v>
      </c>
      <c r="F359" s="92">
        <v>1359</v>
      </c>
      <c r="G359" s="92">
        <v>147</v>
      </c>
      <c r="H359" s="92">
        <v>1145</v>
      </c>
      <c r="I359" s="92">
        <v>10</v>
      </c>
      <c r="J359" s="92">
        <v>44</v>
      </c>
      <c r="K359" s="67">
        <v>2570</v>
      </c>
    </row>
    <row r="360" spans="1:11" s="68" customFormat="1" ht="9" customHeight="1" x14ac:dyDescent="0.15">
      <c r="A360" s="69" t="s">
        <v>37</v>
      </c>
      <c r="B360" s="90">
        <f t="shared" si="21"/>
        <v>1008</v>
      </c>
      <c r="C360" s="69">
        <v>258</v>
      </c>
      <c r="D360" s="69">
        <v>62</v>
      </c>
      <c r="E360" s="90">
        <v>148</v>
      </c>
      <c r="F360" s="90">
        <v>166</v>
      </c>
      <c r="G360" s="90">
        <v>16</v>
      </c>
      <c r="H360" s="90">
        <v>47</v>
      </c>
      <c r="I360" s="90">
        <v>0</v>
      </c>
      <c r="J360" s="90">
        <v>22</v>
      </c>
      <c r="K360" s="70">
        <v>289</v>
      </c>
    </row>
    <row r="361" spans="1:11" s="68" customFormat="1" ht="9" customHeight="1" x14ac:dyDescent="0.15">
      <c r="A361" s="71" t="s">
        <v>38</v>
      </c>
      <c r="B361" s="92">
        <f t="shared" si="21"/>
        <v>778</v>
      </c>
      <c r="C361" s="71">
        <v>199</v>
      </c>
      <c r="D361" s="71">
        <v>19</v>
      </c>
      <c r="E361" s="92">
        <v>131</v>
      </c>
      <c r="F361" s="92">
        <v>144</v>
      </c>
      <c r="G361" s="92">
        <v>8</v>
      </c>
      <c r="H361" s="92">
        <v>58</v>
      </c>
      <c r="I361" s="92">
        <v>1</v>
      </c>
      <c r="J361" s="92">
        <v>6</v>
      </c>
      <c r="K361" s="67">
        <v>212</v>
      </c>
    </row>
    <row r="362" spans="1:11" s="68" customFormat="1" ht="9" customHeight="1" x14ac:dyDescent="0.25">
      <c r="A362" s="71" t="s">
        <v>39</v>
      </c>
      <c r="B362" s="92">
        <f t="shared" si="21"/>
        <v>98</v>
      </c>
      <c r="C362" s="71">
        <v>21</v>
      </c>
      <c r="D362" s="71">
        <v>4</v>
      </c>
      <c r="E362" s="92">
        <v>18</v>
      </c>
      <c r="F362" s="92">
        <v>17</v>
      </c>
      <c r="G362" s="92">
        <v>4</v>
      </c>
      <c r="H362" s="92">
        <v>5</v>
      </c>
      <c r="I362" s="92">
        <v>1</v>
      </c>
      <c r="J362" s="92">
        <v>2</v>
      </c>
      <c r="K362" s="92">
        <v>26</v>
      </c>
    </row>
    <row r="363" spans="1:11" s="68" customFormat="1" ht="9" customHeight="1" x14ac:dyDescent="0.15">
      <c r="A363" s="71" t="s">
        <v>40</v>
      </c>
      <c r="B363" s="92">
        <f t="shared" si="21"/>
        <v>3154</v>
      </c>
      <c r="C363" s="71">
        <v>725</v>
      </c>
      <c r="D363" s="71">
        <v>72</v>
      </c>
      <c r="E363" s="92">
        <v>523</v>
      </c>
      <c r="F363" s="92">
        <v>599</v>
      </c>
      <c r="G363" s="92">
        <v>37</v>
      </c>
      <c r="H363" s="92">
        <v>361</v>
      </c>
      <c r="I363" s="92">
        <v>2</v>
      </c>
      <c r="J363" s="92">
        <v>52</v>
      </c>
      <c r="K363" s="67">
        <v>783</v>
      </c>
    </row>
    <row r="364" spans="1:11" s="68" customFormat="1" ht="9" customHeight="1" x14ac:dyDescent="0.25">
      <c r="A364" s="69" t="s">
        <v>41</v>
      </c>
      <c r="B364" s="90">
        <f t="shared" si="21"/>
        <v>429</v>
      </c>
      <c r="C364" s="69">
        <v>123</v>
      </c>
      <c r="D364" s="69">
        <v>5</v>
      </c>
      <c r="E364" s="90">
        <v>80</v>
      </c>
      <c r="F364" s="90">
        <v>60</v>
      </c>
      <c r="G364" s="90">
        <v>8</v>
      </c>
      <c r="H364" s="90">
        <v>23</v>
      </c>
      <c r="I364" s="90">
        <v>2</v>
      </c>
      <c r="J364" s="90">
        <v>3</v>
      </c>
      <c r="K364" s="90">
        <v>125</v>
      </c>
    </row>
    <row r="365" spans="1:11" s="68" customFormat="1" ht="9" customHeight="1" x14ac:dyDescent="0.15">
      <c r="A365" s="71" t="s">
        <v>42</v>
      </c>
      <c r="B365" s="92">
        <f t="shared" si="21"/>
        <v>1878</v>
      </c>
      <c r="C365" s="71">
        <v>527</v>
      </c>
      <c r="D365" s="71">
        <v>50</v>
      </c>
      <c r="E365" s="92">
        <v>269</v>
      </c>
      <c r="F365" s="92">
        <v>213</v>
      </c>
      <c r="G365" s="92">
        <v>23</v>
      </c>
      <c r="H365" s="92">
        <v>233</v>
      </c>
      <c r="I365" s="92">
        <v>4</v>
      </c>
      <c r="J365" s="92">
        <v>23</v>
      </c>
      <c r="K365" s="67">
        <v>536</v>
      </c>
    </row>
    <row r="366" spans="1:11" s="68" customFormat="1" ht="9" customHeight="1" x14ac:dyDescent="0.15">
      <c r="A366" s="71" t="s">
        <v>43</v>
      </c>
      <c r="B366" s="92">
        <f t="shared" si="21"/>
        <v>1041</v>
      </c>
      <c r="C366" s="71">
        <v>249</v>
      </c>
      <c r="D366" s="71">
        <v>24</v>
      </c>
      <c r="E366" s="92">
        <v>172</v>
      </c>
      <c r="F366" s="92">
        <v>136</v>
      </c>
      <c r="G366" s="92">
        <v>29</v>
      </c>
      <c r="H366" s="92">
        <v>120</v>
      </c>
      <c r="I366" s="92">
        <v>4</v>
      </c>
      <c r="J366" s="92">
        <v>1</v>
      </c>
      <c r="K366" s="67">
        <v>306</v>
      </c>
    </row>
    <row r="367" spans="1:11" s="68" customFormat="1" ht="9" customHeight="1" x14ac:dyDescent="0.15">
      <c r="A367" s="71" t="s">
        <v>44</v>
      </c>
      <c r="B367" s="92">
        <f t="shared" si="21"/>
        <v>1780</v>
      </c>
      <c r="C367" s="71">
        <v>440</v>
      </c>
      <c r="D367" s="71">
        <v>39</v>
      </c>
      <c r="E367" s="92">
        <v>318</v>
      </c>
      <c r="F367" s="92">
        <v>353</v>
      </c>
      <c r="G367" s="92">
        <v>35</v>
      </c>
      <c r="H367" s="92">
        <v>100</v>
      </c>
      <c r="I367" s="92">
        <v>4</v>
      </c>
      <c r="J367" s="92">
        <v>23</v>
      </c>
      <c r="K367" s="67">
        <v>468</v>
      </c>
    </row>
    <row r="368" spans="1:11" s="68" customFormat="1" ht="9" customHeight="1" x14ac:dyDescent="0.15">
      <c r="A368" s="69" t="s">
        <v>45</v>
      </c>
      <c r="B368" s="90">
        <f t="shared" si="21"/>
        <v>1179</v>
      </c>
      <c r="C368" s="69">
        <v>322</v>
      </c>
      <c r="D368" s="69">
        <v>11</v>
      </c>
      <c r="E368" s="90">
        <v>190</v>
      </c>
      <c r="F368" s="90">
        <v>125</v>
      </c>
      <c r="G368" s="90">
        <v>31</v>
      </c>
      <c r="H368" s="90">
        <v>157</v>
      </c>
      <c r="I368" s="90">
        <v>1</v>
      </c>
      <c r="J368" s="90">
        <v>15</v>
      </c>
      <c r="K368" s="70">
        <v>327</v>
      </c>
    </row>
    <row r="369" spans="1:12" s="68" customFormat="1" ht="9" customHeight="1" x14ac:dyDescent="0.15">
      <c r="A369" s="71" t="s">
        <v>46</v>
      </c>
      <c r="B369" s="92">
        <f t="shared" si="21"/>
        <v>3709</v>
      </c>
      <c r="C369" s="71">
        <v>1023</v>
      </c>
      <c r="D369" s="71">
        <v>339</v>
      </c>
      <c r="E369" s="92">
        <v>560</v>
      </c>
      <c r="F369" s="92">
        <v>534</v>
      </c>
      <c r="G369" s="92">
        <v>20</v>
      </c>
      <c r="H369" s="92">
        <v>129</v>
      </c>
      <c r="I369" s="92">
        <v>2</v>
      </c>
      <c r="J369" s="92">
        <v>72</v>
      </c>
      <c r="K369" s="67">
        <v>1030</v>
      </c>
    </row>
    <row r="370" spans="1:12" s="68" customFormat="1" ht="9" customHeight="1" x14ac:dyDescent="0.15">
      <c r="A370" s="71" t="s">
        <v>47</v>
      </c>
      <c r="B370" s="92">
        <f t="shared" si="21"/>
        <v>1834</v>
      </c>
      <c r="C370" s="71">
        <v>421</v>
      </c>
      <c r="D370" s="71">
        <v>151</v>
      </c>
      <c r="E370" s="92">
        <v>333</v>
      </c>
      <c r="F370" s="92">
        <v>194</v>
      </c>
      <c r="G370" s="92">
        <v>18</v>
      </c>
      <c r="H370" s="92">
        <v>103</v>
      </c>
      <c r="I370" s="92">
        <v>2</v>
      </c>
      <c r="J370" s="92">
        <v>50</v>
      </c>
      <c r="K370" s="67">
        <v>562</v>
      </c>
    </row>
    <row r="371" spans="1:12" s="68" customFormat="1" ht="9" customHeight="1" x14ac:dyDescent="0.25">
      <c r="A371" s="71" t="s">
        <v>48</v>
      </c>
      <c r="B371" s="92">
        <f t="shared" si="21"/>
        <v>539</v>
      </c>
      <c r="C371" s="71">
        <v>156</v>
      </c>
      <c r="D371" s="71">
        <v>10</v>
      </c>
      <c r="E371" s="92">
        <v>78</v>
      </c>
      <c r="F371" s="92">
        <v>113</v>
      </c>
      <c r="G371" s="92">
        <v>3</v>
      </c>
      <c r="H371" s="92">
        <v>20</v>
      </c>
      <c r="I371" s="92">
        <v>3</v>
      </c>
      <c r="J371" s="92">
        <v>3</v>
      </c>
      <c r="K371" s="92">
        <v>153</v>
      </c>
    </row>
    <row r="372" spans="1:12" s="68" customFormat="1" ht="9" customHeight="1" x14ac:dyDescent="0.15">
      <c r="A372" s="69" t="s">
        <v>49</v>
      </c>
      <c r="B372" s="90">
        <f t="shared" si="21"/>
        <v>1029</v>
      </c>
      <c r="C372" s="69">
        <v>264</v>
      </c>
      <c r="D372" s="69">
        <v>19</v>
      </c>
      <c r="E372" s="90">
        <v>172</v>
      </c>
      <c r="F372" s="90">
        <v>177</v>
      </c>
      <c r="G372" s="90">
        <v>13</v>
      </c>
      <c r="H372" s="90">
        <v>83</v>
      </c>
      <c r="I372" s="90">
        <v>4</v>
      </c>
      <c r="J372" s="90">
        <v>16</v>
      </c>
      <c r="K372" s="70">
        <v>281</v>
      </c>
    </row>
    <row r="373" spans="1:12" s="68" customFormat="1" ht="9" customHeight="1" x14ac:dyDescent="0.15">
      <c r="A373" s="71" t="s">
        <v>51</v>
      </c>
      <c r="B373" s="92">
        <f t="shared" si="21"/>
        <v>1132</v>
      </c>
      <c r="C373" s="71">
        <v>341</v>
      </c>
      <c r="D373" s="71">
        <v>35</v>
      </c>
      <c r="E373" s="92">
        <v>162</v>
      </c>
      <c r="F373" s="92">
        <v>148</v>
      </c>
      <c r="G373" s="92">
        <v>21</v>
      </c>
      <c r="H373" s="92">
        <v>89</v>
      </c>
      <c r="I373" s="92">
        <v>0</v>
      </c>
      <c r="J373" s="92">
        <v>12</v>
      </c>
      <c r="K373" s="67">
        <v>324</v>
      </c>
    </row>
    <row r="374" spans="1:12" s="68" customFormat="1" ht="9" customHeight="1" x14ac:dyDescent="0.15">
      <c r="A374" s="71" t="s">
        <v>52</v>
      </c>
      <c r="B374" s="92">
        <f t="shared" si="21"/>
        <v>602</v>
      </c>
      <c r="C374" s="71">
        <v>191</v>
      </c>
      <c r="D374" s="71">
        <v>13</v>
      </c>
      <c r="E374" s="92">
        <v>125</v>
      </c>
      <c r="F374" s="92">
        <v>107</v>
      </c>
      <c r="G374" s="92">
        <v>6</v>
      </c>
      <c r="H374" s="92">
        <v>21</v>
      </c>
      <c r="I374" s="92">
        <v>1</v>
      </c>
      <c r="J374" s="92">
        <v>12</v>
      </c>
      <c r="K374" s="67">
        <v>126</v>
      </c>
    </row>
    <row r="375" spans="1:12" s="68" customFormat="1" ht="9" customHeight="1" x14ac:dyDescent="0.15">
      <c r="A375" s="71" t="s">
        <v>53</v>
      </c>
      <c r="B375" s="92">
        <f t="shared" si="21"/>
        <v>1526</v>
      </c>
      <c r="C375" s="71">
        <v>375</v>
      </c>
      <c r="D375" s="71">
        <v>59</v>
      </c>
      <c r="E375" s="92">
        <v>230</v>
      </c>
      <c r="F375" s="92">
        <v>303</v>
      </c>
      <c r="G375" s="92">
        <v>33</v>
      </c>
      <c r="H375" s="92">
        <v>93</v>
      </c>
      <c r="I375" s="92">
        <v>4</v>
      </c>
      <c r="J375" s="92">
        <v>17</v>
      </c>
      <c r="K375" s="67">
        <v>412</v>
      </c>
    </row>
    <row r="376" spans="1:12" s="62" customFormat="1" ht="9" customHeight="1" x14ac:dyDescent="0.25">
      <c r="A376" s="65"/>
      <c r="B376" s="86"/>
      <c r="C376" s="86"/>
      <c r="D376" s="86"/>
      <c r="E376" s="86"/>
      <c r="F376" s="86"/>
      <c r="G376" s="86"/>
      <c r="H376" s="86"/>
      <c r="I376" s="86"/>
      <c r="J376" s="86"/>
      <c r="K376" s="63"/>
    </row>
    <row r="377" spans="1:12" s="62" customFormat="1" ht="9" customHeight="1" x14ac:dyDescent="0.25">
      <c r="A377" s="85">
        <v>2010</v>
      </c>
      <c r="B377" s="86"/>
      <c r="C377" s="86"/>
      <c r="D377" s="86"/>
      <c r="E377" s="86"/>
      <c r="F377" s="86"/>
      <c r="G377" s="86"/>
      <c r="H377" s="86"/>
      <c r="I377" s="86"/>
      <c r="J377" s="86"/>
      <c r="K377" s="63"/>
    </row>
    <row r="378" spans="1:12" s="62" customFormat="1" ht="9" customHeight="1" x14ac:dyDescent="0.25">
      <c r="A378" s="62" t="s">
        <v>21</v>
      </c>
      <c r="B378" s="63">
        <f t="shared" ref="B378:J378" si="22">SUM(B380:B410)</f>
        <v>95060</v>
      </c>
      <c r="C378" s="63">
        <f t="shared" si="22"/>
        <v>24610</v>
      </c>
      <c r="D378" s="63">
        <f t="shared" si="22"/>
        <v>800</v>
      </c>
      <c r="E378" s="63">
        <f t="shared" si="22"/>
        <v>15918</v>
      </c>
      <c r="F378" s="63">
        <f t="shared" si="22"/>
        <v>7876</v>
      </c>
      <c r="G378" s="63">
        <f t="shared" si="22"/>
        <v>1478</v>
      </c>
      <c r="H378" s="63">
        <f t="shared" si="22"/>
        <v>9379</v>
      </c>
      <c r="I378" s="63">
        <f t="shared" si="22"/>
        <v>191</v>
      </c>
      <c r="J378" s="63">
        <f t="shared" si="22"/>
        <v>1404</v>
      </c>
      <c r="K378" s="63">
        <f>SUM(K380:K410)</f>
        <v>33404</v>
      </c>
      <c r="L378" s="115"/>
    </row>
    <row r="379" spans="1:12" s="62" customFormat="1" ht="3.95" customHeight="1" x14ac:dyDescent="0.25">
      <c r="B379" s="63"/>
      <c r="C379" s="63"/>
      <c r="D379" s="63"/>
      <c r="E379" s="63"/>
      <c r="F379" s="63"/>
      <c r="G379" s="63"/>
      <c r="H379" s="63"/>
      <c r="I379" s="63"/>
      <c r="J379" s="63"/>
      <c r="K379" s="63"/>
    </row>
    <row r="380" spans="1:12" s="66" customFormat="1" ht="9" customHeight="1" x14ac:dyDescent="0.15">
      <c r="A380" s="66" t="s">
        <v>23</v>
      </c>
      <c r="B380" s="88">
        <f t="shared" ref="B380:B410" si="23">SUM(C380:K380)</f>
        <v>815</v>
      </c>
      <c r="C380" s="88">
        <v>217</v>
      </c>
      <c r="D380" s="88">
        <v>19</v>
      </c>
      <c r="E380" s="88">
        <v>129</v>
      </c>
      <c r="F380" s="88">
        <v>66</v>
      </c>
      <c r="G380" s="88">
        <v>10</v>
      </c>
      <c r="H380" s="88">
        <v>62</v>
      </c>
      <c r="I380" s="88">
        <v>1</v>
      </c>
      <c r="J380" s="88">
        <v>7</v>
      </c>
      <c r="K380" s="67">
        <v>304</v>
      </c>
    </row>
    <row r="381" spans="1:12" s="66" customFormat="1" ht="9" customHeight="1" x14ac:dyDescent="0.15">
      <c r="A381" s="66" t="s">
        <v>24</v>
      </c>
      <c r="B381" s="88">
        <f t="shared" si="23"/>
        <v>5031</v>
      </c>
      <c r="C381" s="88">
        <v>1114</v>
      </c>
      <c r="D381" s="88">
        <v>18</v>
      </c>
      <c r="E381" s="88">
        <v>940</v>
      </c>
      <c r="F381" s="88">
        <v>453</v>
      </c>
      <c r="G381" s="88">
        <v>80</v>
      </c>
      <c r="H381" s="88">
        <v>214</v>
      </c>
      <c r="I381" s="88">
        <v>14</v>
      </c>
      <c r="J381" s="88">
        <v>128</v>
      </c>
      <c r="K381" s="67">
        <v>2070</v>
      </c>
    </row>
    <row r="382" spans="1:12" s="66" customFormat="1" ht="9" customHeight="1" x14ac:dyDescent="0.15">
      <c r="A382" s="66" t="s">
        <v>25</v>
      </c>
      <c r="B382" s="88">
        <f t="shared" si="23"/>
        <v>1077</v>
      </c>
      <c r="C382" s="88">
        <v>309</v>
      </c>
      <c r="D382" s="88">
        <v>4</v>
      </c>
      <c r="E382" s="88">
        <v>173</v>
      </c>
      <c r="F382" s="88">
        <v>108</v>
      </c>
      <c r="G382" s="88">
        <v>10</v>
      </c>
      <c r="H382" s="88">
        <v>37</v>
      </c>
      <c r="I382" s="88">
        <v>0</v>
      </c>
      <c r="J382" s="88">
        <v>20</v>
      </c>
      <c r="K382" s="67">
        <v>416</v>
      </c>
    </row>
    <row r="383" spans="1:12" s="66" customFormat="1" ht="9" customHeight="1" x14ac:dyDescent="0.25">
      <c r="A383" s="69" t="s">
        <v>26</v>
      </c>
      <c r="B383" s="90">
        <f t="shared" si="23"/>
        <v>376</v>
      </c>
      <c r="C383" s="90">
        <v>124</v>
      </c>
      <c r="D383" s="90">
        <v>4</v>
      </c>
      <c r="E383" s="90">
        <v>60</v>
      </c>
      <c r="F383" s="90">
        <v>25</v>
      </c>
      <c r="G383" s="90">
        <v>8</v>
      </c>
      <c r="H383" s="90">
        <v>13</v>
      </c>
      <c r="I383" s="90">
        <v>1</v>
      </c>
      <c r="J383" s="90">
        <v>7</v>
      </c>
      <c r="K383" s="90">
        <v>134</v>
      </c>
    </row>
    <row r="384" spans="1:12" s="66" customFormat="1" ht="9" customHeight="1" x14ac:dyDescent="0.15">
      <c r="A384" s="66" t="s">
        <v>27</v>
      </c>
      <c r="B384" s="88">
        <f t="shared" si="23"/>
        <v>2209</v>
      </c>
      <c r="C384" s="88">
        <v>597</v>
      </c>
      <c r="D384" s="88">
        <v>26</v>
      </c>
      <c r="E384" s="88">
        <v>351</v>
      </c>
      <c r="F384" s="88">
        <v>161</v>
      </c>
      <c r="G384" s="88">
        <v>21</v>
      </c>
      <c r="H384" s="88">
        <v>314</v>
      </c>
      <c r="I384" s="88">
        <v>1</v>
      </c>
      <c r="J384" s="88">
        <v>15</v>
      </c>
      <c r="K384" s="67">
        <v>723</v>
      </c>
    </row>
    <row r="385" spans="1:11" s="66" customFormat="1" ht="9" customHeight="1" x14ac:dyDescent="0.15">
      <c r="A385" s="66" t="s">
        <v>28</v>
      </c>
      <c r="B385" s="88">
        <f t="shared" si="23"/>
        <v>2211</v>
      </c>
      <c r="C385" s="88">
        <v>606</v>
      </c>
      <c r="D385" s="88">
        <v>20</v>
      </c>
      <c r="E385" s="88">
        <v>411</v>
      </c>
      <c r="F385" s="88">
        <v>201</v>
      </c>
      <c r="G385" s="88">
        <v>26</v>
      </c>
      <c r="H385" s="88">
        <v>65</v>
      </c>
      <c r="I385" s="88">
        <v>1</v>
      </c>
      <c r="J385" s="88">
        <v>7</v>
      </c>
      <c r="K385" s="67">
        <v>874</v>
      </c>
    </row>
    <row r="386" spans="1:11" s="66" customFormat="1" ht="9" customHeight="1" x14ac:dyDescent="0.15">
      <c r="A386" s="66" t="s">
        <v>29</v>
      </c>
      <c r="B386" s="88">
        <f t="shared" si="23"/>
        <v>1065</v>
      </c>
      <c r="C386" s="88">
        <v>296</v>
      </c>
      <c r="D386" s="88">
        <v>11</v>
      </c>
      <c r="E386" s="88">
        <v>174</v>
      </c>
      <c r="F386" s="88">
        <v>97</v>
      </c>
      <c r="G386" s="88">
        <v>11</v>
      </c>
      <c r="H386" s="88">
        <v>88</v>
      </c>
      <c r="I386" s="88">
        <v>1</v>
      </c>
      <c r="J386" s="88">
        <v>6</v>
      </c>
      <c r="K386" s="67">
        <v>381</v>
      </c>
    </row>
    <row r="387" spans="1:11" s="66" customFormat="1" ht="9" customHeight="1" x14ac:dyDescent="0.15">
      <c r="A387" s="69" t="s">
        <v>30</v>
      </c>
      <c r="B387" s="90">
        <f t="shared" si="23"/>
        <v>4200</v>
      </c>
      <c r="C387" s="90">
        <v>953</v>
      </c>
      <c r="D387" s="90">
        <v>14</v>
      </c>
      <c r="E387" s="90">
        <v>625</v>
      </c>
      <c r="F387" s="90">
        <v>477</v>
      </c>
      <c r="G387" s="90">
        <v>51</v>
      </c>
      <c r="H387" s="90">
        <v>291</v>
      </c>
      <c r="I387" s="90">
        <v>33</v>
      </c>
      <c r="J387" s="90">
        <v>201</v>
      </c>
      <c r="K387" s="70">
        <v>1555</v>
      </c>
    </row>
    <row r="388" spans="1:11" s="66" customFormat="1" ht="9" customHeight="1" x14ac:dyDescent="0.15">
      <c r="A388" s="66" t="s">
        <v>63</v>
      </c>
      <c r="B388" s="88">
        <f t="shared" si="23"/>
        <v>26573</v>
      </c>
      <c r="C388" s="88">
        <v>6966</v>
      </c>
      <c r="D388" s="88">
        <v>203</v>
      </c>
      <c r="E388" s="88">
        <v>4488</v>
      </c>
      <c r="F388" s="88">
        <v>1605</v>
      </c>
      <c r="G388" s="88">
        <v>486</v>
      </c>
      <c r="H388" s="88">
        <v>3689</v>
      </c>
      <c r="I388" s="88">
        <v>41</v>
      </c>
      <c r="J388" s="88">
        <v>250</v>
      </c>
      <c r="K388" s="67">
        <v>8845</v>
      </c>
    </row>
    <row r="389" spans="1:11" s="66" customFormat="1" ht="9" customHeight="1" x14ac:dyDescent="0.15">
      <c r="A389" s="66" t="s">
        <v>31</v>
      </c>
      <c r="B389" s="88">
        <f t="shared" si="23"/>
        <v>1854</v>
      </c>
      <c r="C389" s="88">
        <v>481</v>
      </c>
      <c r="D389" s="88">
        <v>16</v>
      </c>
      <c r="E389" s="88">
        <v>299</v>
      </c>
      <c r="F389" s="88">
        <v>178</v>
      </c>
      <c r="G389" s="88">
        <v>15</v>
      </c>
      <c r="H389" s="88">
        <v>158</v>
      </c>
      <c r="I389" s="88">
        <v>2</v>
      </c>
      <c r="J389" s="88">
        <v>61</v>
      </c>
      <c r="K389" s="67">
        <v>644</v>
      </c>
    </row>
    <row r="390" spans="1:11" s="66" customFormat="1" ht="9" customHeight="1" x14ac:dyDescent="0.15">
      <c r="A390" s="66" t="s">
        <v>32</v>
      </c>
      <c r="B390" s="88">
        <f t="shared" si="23"/>
        <v>3374</v>
      </c>
      <c r="C390" s="88">
        <v>877</v>
      </c>
      <c r="D390" s="88">
        <v>18</v>
      </c>
      <c r="E390" s="88">
        <v>539</v>
      </c>
      <c r="F390" s="88">
        <v>269</v>
      </c>
      <c r="G390" s="88">
        <v>32</v>
      </c>
      <c r="H390" s="88">
        <v>402</v>
      </c>
      <c r="I390" s="88">
        <v>5</v>
      </c>
      <c r="J390" s="88">
        <v>40</v>
      </c>
      <c r="K390" s="67">
        <v>1192</v>
      </c>
    </row>
    <row r="391" spans="1:11" s="66" customFormat="1" ht="9" customHeight="1" x14ac:dyDescent="0.15">
      <c r="A391" s="69" t="s">
        <v>33</v>
      </c>
      <c r="B391" s="90">
        <f t="shared" si="23"/>
        <v>2119</v>
      </c>
      <c r="C391" s="90">
        <v>574</v>
      </c>
      <c r="D391" s="90">
        <v>8</v>
      </c>
      <c r="E391" s="90">
        <v>365</v>
      </c>
      <c r="F391" s="90">
        <v>262</v>
      </c>
      <c r="G391" s="90">
        <v>15</v>
      </c>
      <c r="H391" s="90">
        <v>109</v>
      </c>
      <c r="I391" s="90">
        <v>5</v>
      </c>
      <c r="J391" s="90">
        <v>12</v>
      </c>
      <c r="K391" s="70">
        <v>769</v>
      </c>
    </row>
    <row r="392" spans="1:11" s="66" customFormat="1" ht="9" customHeight="1" x14ac:dyDescent="0.15">
      <c r="A392" s="66" t="s">
        <v>34</v>
      </c>
      <c r="B392" s="88">
        <f t="shared" si="23"/>
        <v>1313</v>
      </c>
      <c r="C392" s="88">
        <v>389</v>
      </c>
      <c r="D392" s="88">
        <v>25</v>
      </c>
      <c r="E392" s="88">
        <v>186</v>
      </c>
      <c r="F392" s="88">
        <v>98</v>
      </c>
      <c r="G392" s="88">
        <v>17</v>
      </c>
      <c r="H392" s="88">
        <v>96</v>
      </c>
      <c r="I392" s="88">
        <v>1</v>
      </c>
      <c r="J392" s="88">
        <v>14</v>
      </c>
      <c r="K392" s="67">
        <v>487</v>
      </c>
    </row>
    <row r="393" spans="1:11" s="66" customFormat="1" ht="9" customHeight="1" x14ac:dyDescent="0.15">
      <c r="A393" s="66" t="s">
        <v>35</v>
      </c>
      <c r="B393" s="88">
        <f t="shared" si="23"/>
        <v>7439</v>
      </c>
      <c r="C393" s="88">
        <v>1743</v>
      </c>
      <c r="D393" s="88">
        <v>115</v>
      </c>
      <c r="E393" s="88">
        <v>1203</v>
      </c>
      <c r="F393" s="88">
        <v>853</v>
      </c>
      <c r="G393" s="88">
        <v>155</v>
      </c>
      <c r="H393" s="88">
        <v>617</v>
      </c>
      <c r="I393" s="88">
        <v>16</v>
      </c>
      <c r="J393" s="88">
        <v>157</v>
      </c>
      <c r="K393" s="67">
        <v>2580</v>
      </c>
    </row>
    <row r="394" spans="1:11" s="66" customFormat="1" ht="9" customHeight="1" x14ac:dyDescent="0.15">
      <c r="A394" s="66" t="s">
        <v>36</v>
      </c>
      <c r="B394" s="88">
        <f t="shared" si="23"/>
        <v>12010</v>
      </c>
      <c r="C394" s="88">
        <v>3182</v>
      </c>
      <c r="D394" s="88">
        <v>105</v>
      </c>
      <c r="E394" s="88">
        <v>2017</v>
      </c>
      <c r="F394" s="88">
        <v>755</v>
      </c>
      <c r="G394" s="88">
        <v>205</v>
      </c>
      <c r="H394" s="88">
        <v>1443</v>
      </c>
      <c r="I394" s="88">
        <v>16</v>
      </c>
      <c r="J394" s="88">
        <v>104</v>
      </c>
      <c r="K394" s="67">
        <v>4183</v>
      </c>
    </row>
    <row r="395" spans="1:11" s="66" customFormat="1" ht="9" customHeight="1" x14ac:dyDescent="0.15">
      <c r="A395" s="69" t="s">
        <v>37</v>
      </c>
      <c r="B395" s="90">
        <f t="shared" si="23"/>
        <v>1411</v>
      </c>
      <c r="C395" s="90">
        <v>357</v>
      </c>
      <c r="D395" s="90">
        <v>19</v>
      </c>
      <c r="E395" s="90">
        <v>229</v>
      </c>
      <c r="F395" s="90">
        <v>143</v>
      </c>
      <c r="G395" s="90">
        <v>28</v>
      </c>
      <c r="H395" s="90">
        <v>57</v>
      </c>
      <c r="I395" s="90">
        <v>1</v>
      </c>
      <c r="J395" s="90">
        <v>17</v>
      </c>
      <c r="K395" s="70">
        <v>560</v>
      </c>
    </row>
    <row r="396" spans="1:11" s="66" customFormat="1" ht="9" customHeight="1" x14ac:dyDescent="0.15">
      <c r="A396" s="66" t="s">
        <v>38</v>
      </c>
      <c r="B396" s="88">
        <f t="shared" si="23"/>
        <v>716</v>
      </c>
      <c r="C396" s="88">
        <v>207</v>
      </c>
      <c r="D396" s="88">
        <v>12</v>
      </c>
      <c r="E396" s="88">
        <v>122</v>
      </c>
      <c r="F396" s="88">
        <v>71</v>
      </c>
      <c r="G396" s="88">
        <v>9</v>
      </c>
      <c r="H396" s="88">
        <v>37</v>
      </c>
      <c r="I396" s="88">
        <v>2</v>
      </c>
      <c r="J396" s="88">
        <v>10</v>
      </c>
      <c r="K396" s="67">
        <v>246</v>
      </c>
    </row>
    <row r="397" spans="1:11" s="66" customFormat="1" ht="9" customHeight="1" x14ac:dyDescent="0.25">
      <c r="A397" s="66" t="s">
        <v>39</v>
      </c>
      <c r="B397" s="88">
        <f t="shared" si="23"/>
        <v>435</v>
      </c>
      <c r="C397" s="88">
        <v>115</v>
      </c>
      <c r="D397" s="88">
        <v>4</v>
      </c>
      <c r="E397" s="88">
        <v>77</v>
      </c>
      <c r="F397" s="88">
        <v>42</v>
      </c>
      <c r="G397" s="88">
        <v>8</v>
      </c>
      <c r="H397" s="88">
        <v>23</v>
      </c>
      <c r="I397" s="88">
        <v>1</v>
      </c>
      <c r="J397" s="88">
        <v>10</v>
      </c>
      <c r="K397" s="88">
        <v>155</v>
      </c>
    </row>
    <row r="398" spans="1:11" s="66" customFormat="1" ht="9" customHeight="1" x14ac:dyDescent="0.15">
      <c r="A398" s="66" t="s">
        <v>40</v>
      </c>
      <c r="B398" s="88">
        <f t="shared" si="23"/>
        <v>3863</v>
      </c>
      <c r="C398" s="88">
        <v>878</v>
      </c>
      <c r="D398" s="88">
        <v>19</v>
      </c>
      <c r="E398" s="88">
        <v>658</v>
      </c>
      <c r="F398" s="88">
        <v>393</v>
      </c>
      <c r="G398" s="88">
        <v>46</v>
      </c>
      <c r="H398" s="88">
        <v>447</v>
      </c>
      <c r="I398" s="88">
        <v>9</v>
      </c>
      <c r="J398" s="88">
        <v>43</v>
      </c>
      <c r="K398" s="67">
        <v>1370</v>
      </c>
    </row>
    <row r="399" spans="1:11" s="66" customFormat="1" ht="9" customHeight="1" x14ac:dyDescent="0.25">
      <c r="A399" s="69" t="s">
        <v>41</v>
      </c>
      <c r="B399" s="90">
        <f t="shared" si="23"/>
        <v>709</v>
      </c>
      <c r="C399" s="90">
        <v>178</v>
      </c>
      <c r="D399" s="90">
        <v>4</v>
      </c>
      <c r="E399" s="90">
        <v>119</v>
      </c>
      <c r="F399" s="90">
        <v>72</v>
      </c>
      <c r="G399" s="90">
        <v>20</v>
      </c>
      <c r="H399" s="90">
        <v>54</v>
      </c>
      <c r="I399" s="90">
        <v>4</v>
      </c>
      <c r="J399" s="90">
        <v>5</v>
      </c>
      <c r="K399" s="90">
        <v>253</v>
      </c>
    </row>
    <row r="400" spans="1:11" s="66" customFormat="1" ht="9" customHeight="1" x14ac:dyDescent="0.15">
      <c r="A400" s="66" t="s">
        <v>42</v>
      </c>
      <c r="B400" s="88">
        <f t="shared" si="23"/>
        <v>1591</v>
      </c>
      <c r="C400" s="88">
        <v>436</v>
      </c>
      <c r="D400" s="88">
        <v>15</v>
      </c>
      <c r="E400" s="88">
        <v>249</v>
      </c>
      <c r="F400" s="88">
        <v>123</v>
      </c>
      <c r="G400" s="88">
        <v>23</v>
      </c>
      <c r="H400" s="88">
        <v>195</v>
      </c>
      <c r="I400" s="88">
        <v>5</v>
      </c>
      <c r="J400" s="88">
        <v>20</v>
      </c>
      <c r="K400" s="67">
        <v>525</v>
      </c>
    </row>
    <row r="401" spans="1:12" s="66" customFormat="1" ht="9" customHeight="1" x14ac:dyDescent="0.15">
      <c r="A401" s="66" t="s">
        <v>43</v>
      </c>
      <c r="B401" s="88">
        <f t="shared" si="23"/>
        <v>1239</v>
      </c>
      <c r="C401" s="88">
        <v>304</v>
      </c>
      <c r="D401" s="88">
        <v>7</v>
      </c>
      <c r="E401" s="88">
        <v>205</v>
      </c>
      <c r="F401" s="88">
        <v>91</v>
      </c>
      <c r="G401" s="88">
        <v>29</v>
      </c>
      <c r="H401" s="88">
        <v>157</v>
      </c>
      <c r="I401" s="88">
        <v>1</v>
      </c>
      <c r="J401" s="88">
        <v>9</v>
      </c>
      <c r="K401" s="67">
        <v>436</v>
      </c>
    </row>
    <row r="402" spans="1:12" s="66" customFormat="1" ht="9" customHeight="1" x14ac:dyDescent="0.15">
      <c r="A402" s="66" t="s">
        <v>44</v>
      </c>
      <c r="B402" s="88">
        <f t="shared" si="23"/>
        <v>2153</v>
      </c>
      <c r="C402" s="88">
        <v>565</v>
      </c>
      <c r="D402" s="88">
        <v>10</v>
      </c>
      <c r="E402" s="88">
        <v>427</v>
      </c>
      <c r="F402" s="88">
        <v>219</v>
      </c>
      <c r="G402" s="88">
        <v>37</v>
      </c>
      <c r="H402" s="88">
        <v>117</v>
      </c>
      <c r="I402" s="88">
        <v>2</v>
      </c>
      <c r="J402" s="88">
        <v>16</v>
      </c>
      <c r="K402" s="67">
        <v>760</v>
      </c>
    </row>
    <row r="403" spans="1:12" s="66" customFormat="1" ht="9" customHeight="1" x14ac:dyDescent="0.15">
      <c r="A403" s="69" t="s">
        <v>45</v>
      </c>
      <c r="B403" s="90">
        <f t="shared" si="23"/>
        <v>1173</v>
      </c>
      <c r="C403" s="90">
        <v>334</v>
      </c>
      <c r="D403" s="90">
        <v>5</v>
      </c>
      <c r="E403" s="90">
        <v>181</v>
      </c>
      <c r="F403" s="90">
        <v>96</v>
      </c>
      <c r="G403" s="90">
        <v>31</v>
      </c>
      <c r="H403" s="90">
        <v>155</v>
      </c>
      <c r="I403" s="90">
        <v>2</v>
      </c>
      <c r="J403" s="90">
        <v>12</v>
      </c>
      <c r="K403" s="70">
        <v>357</v>
      </c>
    </row>
    <row r="404" spans="1:12" s="66" customFormat="1" ht="9" customHeight="1" x14ac:dyDescent="0.15">
      <c r="A404" s="66" t="s">
        <v>46</v>
      </c>
      <c r="B404" s="88">
        <f t="shared" si="23"/>
        <v>3604</v>
      </c>
      <c r="C404" s="88">
        <v>1036</v>
      </c>
      <c r="D404" s="88">
        <v>25</v>
      </c>
      <c r="E404" s="88">
        <v>602</v>
      </c>
      <c r="F404" s="88">
        <v>413</v>
      </c>
      <c r="G404" s="88">
        <v>20</v>
      </c>
      <c r="H404" s="88">
        <v>118</v>
      </c>
      <c r="I404" s="88">
        <v>7</v>
      </c>
      <c r="J404" s="88">
        <v>71</v>
      </c>
      <c r="K404" s="67">
        <v>1312</v>
      </c>
    </row>
    <row r="405" spans="1:12" s="66" customFormat="1" ht="9" customHeight="1" x14ac:dyDescent="0.15">
      <c r="A405" s="66" t="s">
        <v>47</v>
      </c>
      <c r="B405" s="88">
        <f t="shared" si="23"/>
        <v>2209</v>
      </c>
      <c r="C405" s="88">
        <v>528</v>
      </c>
      <c r="D405" s="88">
        <v>28</v>
      </c>
      <c r="E405" s="88">
        <v>419</v>
      </c>
      <c r="F405" s="88">
        <v>186</v>
      </c>
      <c r="G405" s="88">
        <v>16</v>
      </c>
      <c r="H405" s="88">
        <v>137</v>
      </c>
      <c r="I405" s="88">
        <v>5</v>
      </c>
      <c r="J405" s="88">
        <v>88</v>
      </c>
      <c r="K405" s="67">
        <v>802</v>
      </c>
    </row>
    <row r="406" spans="1:12" s="66" customFormat="1" ht="9" customHeight="1" x14ac:dyDescent="0.25">
      <c r="A406" s="66" t="s">
        <v>48</v>
      </c>
      <c r="B406" s="88">
        <f t="shared" si="23"/>
        <v>658</v>
      </c>
      <c r="C406" s="88">
        <v>226</v>
      </c>
      <c r="D406" s="88">
        <v>6</v>
      </c>
      <c r="E406" s="88">
        <v>84</v>
      </c>
      <c r="F406" s="88">
        <v>58</v>
      </c>
      <c r="G406" s="88">
        <v>8</v>
      </c>
      <c r="H406" s="88">
        <v>25</v>
      </c>
      <c r="I406" s="88">
        <v>2</v>
      </c>
      <c r="J406" s="88">
        <v>5</v>
      </c>
      <c r="K406" s="88">
        <v>244</v>
      </c>
    </row>
    <row r="407" spans="1:12" s="66" customFormat="1" ht="9" customHeight="1" x14ac:dyDescent="0.15">
      <c r="A407" s="69" t="s">
        <v>49</v>
      </c>
      <c r="B407" s="90">
        <f t="shared" si="23"/>
        <v>837</v>
      </c>
      <c r="C407" s="90">
        <v>212</v>
      </c>
      <c r="D407" s="90">
        <v>3</v>
      </c>
      <c r="E407" s="90">
        <v>130</v>
      </c>
      <c r="F407" s="90">
        <v>102</v>
      </c>
      <c r="G407" s="90">
        <v>12</v>
      </c>
      <c r="H407" s="90">
        <v>77</v>
      </c>
      <c r="I407" s="90">
        <v>4</v>
      </c>
      <c r="J407" s="90">
        <v>17</v>
      </c>
      <c r="K407" s="70">
        <v>280</v>
      </c>
    </row>
    <row r="408" spans="1:12" s="66" customFormat="1" ht="9" customHeight="1" x14ac:dyDescent="0.15">
      <c r="A408" s="66" t="s">
        <v>51</v>
      </c>
      <c r="B408" s="88">
        <f t="shared" si="23"/>
        <v>1064</v>
      </c>
      <c r="C408" s="88">
        <v>318</v>
      </c>
      <c r="D408" s="88">
        <v>11</v>
      </c>
      <c r="E408" s="88">
        <v>165</v>
      </c>
      <c r="F408" s="88">
        <v>88</v>
      </c>
      <c r="G408" s="88">
        <v>18</v>
      </c>
      <c r="H408" s="88">
        <v>99</v>
      </c>
      <c r="I408" s="88">
        <v>4</v>
      </c>
      <c r="J408" s="88">
        <v>5</v>
      </c>
      <c r="K408" s="67">
        <v>356</v>
      </c>
    </row>
    <row r="409" spans="1:12" s="66" customFormat="1" ht="9" customHeight="1" x14ac:dyDescent="0.15">
      <c r="A409" s="66" t="s">
        <v>52</v>
      </c>
      <c r="B409" s="88">
        <f t="shared" si="23"/>
        <v>669</v>
      </c>
      <c r="C409" s="88">
        <v>211</v>
      </c>
      <c r="D409" s="88">
        <v>3</v>
      </c>
      <c r="E409" s="88">
        <v>128</v>
      </c>
      <c r="F409" s="88">
        <v>51</v>
      </c>
      <c r="G409" s="88">
        <v>11</v>
      </c>
      <c r="H409" s="88">
        <v>28</v>
      </c>
      <c r="I409" s="88">
        <v>3</v>
      </c>
      <c r="J409" s="88">
        <v>24</v>
      </c>
      <c r="K409" s="67">
        <v>210</v>
      </c>
    </row>
    <row r="410" spans="1:12" s="71" customFormat="1" ht="9" customHeight="1" x14ac:dyDescent="0.15">
      <c r="A410" s="71" t="s">
        <v>53</v>
      </c>
      <c r="B410" s="92">
        <f t="shared" si="23"/>
        <v>1063</v>
      </c>
      <c r="C410" s="92">
        <v>277</v>
      </c>
      <c r="D410" s="92">
        <v>23</v>
      </c>
      <c r="E410" s="92">
        <v>163</v>
      </c>
      <c r="F410" s="92">
        <v>120</v>
      </c>
      <c r="G410" s="92">
        <v>20</v>
      </c>
      <c r="H410" s="92">
        <v>55</v>
      </c>
      <c r="I410" s="92">
        <v>1</v>
      </c>
      <c r="J410" s="92">
        <v>23</v>
      </c>
      <c r="K410" s="67">
        <v>381</v>
      </c>
    </row>
    <row r="411" spans="1:12" s="62" customFormat="1" ht="9" customHeight="1" x14ac:dyDescent="0.25">
      <c r="A411" s="65"/>
      <c r="B411" s="86"/>
      <c r="C411" s="86"/>
      <c r="D411" s="86"/>
      <c r="E411" s="86"/>
      <c r="F411" s="86"/>
      <c r="G411" s="86"/>
      <c r="H411" s="86"/>
      <c r="I411" s="86"/>
      <c r="J411" s="86"/>
      <c r="K411" s="63"/>
    </row>
    <row r="412" spans="1:12" s="62" customFormat="1" ht="9" customHeight="1" x14ac:dyDescent="0.25">
      <c r="A412" s="85">
        <v>2011</v>
      </c>
      <c r="B412" s="86"/>
      <c r="C412" s="86"/>
      <c r="D412" s="86"/>
      <c r="E412" s="86"/>
      <c r="F412" s="86"/>
      <c r="G412" s="86"/>
      <c r="H412" s="86"/>
      <c r="I412" s="86"/>
      <c r="J412" s="86"/>
      <c r="K412" s="63"/>
    </row>
    <row r="413" spans="1:12" s="62" customFormat="1" ht="9" customHeight="1" x14ac:dyDescent="0.25">
      <c r="A413" s="62" t="s">
        <v>21</v>
      </c>
      <c r="B413" s="63">
        <f t="shared" ref="B413:J413" si="24">SUM(B415:B445)</f>
        <v>103819</v>
      </c>
      <c r="C413" s="63">
        <f t="shared" si="24"/>
        <v>26458</v>
      </c>
      <c r="D413" s="63">
        <f t="shared" si="24"/>
        <v>850</v>
      </c>
      <c r="E413" s="63">
        <f t="shared" si="24"/>
        <v>17831</v>
      </c>
      <c r="F413" s="63">
        <f t="shared" si="24"/>
        <v>8385</v>
      </c>
      <c r="G413" s="63">
        <f t="shared" si="24"/>
        <v>1753</v>
      </c>
      <c r="H413" s="63">
        <f t="shared" si="24"/>
        <v>9825</v>
      </c>
      <c r="I413" s="63">
        <f t="shared" si="24"/>
        <v>167</v>
      </c>
      <c r="J413" s="63">
        <f t="shared" si="24"/>
        <v>1511</v>
      </c>
      <c r="K413" s="63">
        <f>SUM(K415:K445)</f>
        <v>37039</v>
      </c>
      <c r="L413" s="115"/>
    </row>
    <row r="414" spans="1:12" s="62" customFormat="1" ht="3.95" customHeight="1" x14ac:dyDescent="0.25">
      <c r="B414" s="63"/>
      <c r="C414" s="63"/>
      <c r="D414" s="63"/>
      <c r="E414" s="63"/>
      <c r="F414" s="63"/>
      <c r="G414" s="63"/>
      <c r="H414" s="63"/>
      <c r="I414" s="63"/>
      <c r="J414" s="63"/>
      <c r="K414" s="63"/>
    </row>
    <row r="415" spans="1:12" s="66" customFormat="1" ht="9" customHeight="1" x14ac:dyDescent="0.15">
      <c r="A415" s="66" t="s">
        <v>23</v>
      </c>
      <c r="B415" s="88">
        <f t="shared" ref="B415:B445" si="25">SUM(C415:K415)</f>
        <v>858</v>
      </c>
      <c r="C415" s="88">
        <v>227</v>
      </c>
      <c r="D415" s="88">
        <v>33</v>
      </c>
      <c r="E415" s="88">
        <v>124</v>
      </c>
      <c r="F415" s="88">
        <v>62</v>
      </c>
      <c r="G415" s="88">
        <v>6</v>
      </c>
      <c r="H415" s="88">
        <v>57</v>
      </c>
      <c r="I415" s="88">
        <v>0</v>
      </c>
      <c r="J415" s="88">
        <v>10</v>
      </c>
      <c r="K415" s="67">
        <v>339</v>
      </c>
    </row>
    <row r="416" spans="1:12" s="66" customFormat="1" ht="9" customHeight="1" x14ac:dyDescent="0.15">
      <c r="A416" s="66" t="s">
        <v>24</v>
      </c>
      <c r="B416" s="88">
        <f t="shared" si="25"/>
        <v>4654</v>
      </c>
      <c r="C416" s="88">
        <v>1071</v>
      </c>
      <c r="D416" s="88">
        <v>22</v>
      </c>
      <c r="E416" s="88">
        <v>889</v>
      </c>
      <c r="F416" s="88">
        <v>386</v>
      </c>
      <c r="G416" s="88">
        <v>74</v>
      </c>
      <c r="H416" s="88">
        <v>204</v>
      </c>
      <c r="I416" s="88">
        <v>6</v>
      </c>
      <c r="J416" s="88">
        <v>120</v>
      </c>
      <c r="K416" s="67">
        <v>1882</v>
      </c>
    </row>
    <row r="417" spans="1:11" s="66" customFormat="1" ht="9" customHeight="1" x14ac:dyDescent="0.15">
      <c r="A417" s="66" t="s">
        <v>25</v>
      </c>
      <c r="B417" s="88">
        <f t="shared" si="25"/>
        <v>1492</v>
      </c>
      <c r="C417" s="88">
        <v>415</v>
      </c>
      <c r="D417" s="88">
        <v>12</v>
      </c>
      <c r="E417" s="88">
        <v>234</v>
      </c>
      <c r="F417" s="88">
        <v>135</v>
      </c>
      <c r="G417" s="88">
        <v>14</v>
      </c>
      <c r="H417" s="88">
        <v>59</v>
      </c>
      <c r="I417" s="88">
        <v>1</v>
      </c>
      <c r="J417" s="88">
        <v>32</v>
      </c>
      <c r="K417" s="67">
        <v>590</v>
      </c>
    </row>
    <row r="418" spans="1:11" s="66" customFormat="1" ht="9" customHeight="1" x14ac:dyDescent="0.25">
      <c r="A418" s="69" t="s">
        <v>26</v>
      </c>
      <c r="B418" s="90">
        <f t="shared" si="25"/>
        <v>688</v>
      </c>
      <c r="C418" s="90">
        <v>257</v>
      </c>
      <c r="D418" s="90">
        <v>6</v>
      </c>
      <c r="E418" s="90">
        <v>90</v>
      </c>
      <c r="F418" s="90">
        <v>44</v>
      </c>
      <c r="G418" s="90">
        <v>8</v>
      </c>
      <c r="H418" s="90">
        <v>24</v>
      </c>
      <c r="I418" s="90">
        <v>0</v>
      </c>
      <c r="J418" s="90">
        <v>2</v>
      </c>
      <c r="K418" s="90">
        <v>257</v>
      </c>
    </row>
    <row r="419" spans="1:11" s="66" customFormat="1" ht="9" customHeight="1" x14ac:dyDescent="0.15">
      <c r="A419" s="66" t="s">
        <v>27</v>
      </c>
      <c r="B419" s="88">
        <f t="shared" si="25"/>
        <v>2667</v>
      </c>
      <c r="C419" s="88">
        <v>710</v>
      </c>
      <c r="D419" s="88">
        <v>14</v>
      </c>
      <c r="E419" s="88">
        <v>421</v>
      </c>
      <c r="F419" s="88">
        <v>215</v>
      </c>
      <c r="G419" s="88">
        <v>43</v>
      </c>
      <c r="H419" s="88">
        <v>325</v>
      </c>
      <c r="I419" s="88">
        <v>0</v>
      </c>
      <c r="J419" s="88">
        <v>27</v>
      </c>
      <c r="K419" s="67">
        <v>912</v>
      </c>
    </row>
    <row r="420" spans="1:11" s="66" customFormat="1" ht="9" customHeight="1" x14ac:dyDescent="0.15">
      <c r="A420" s="66" t="s">
        <v>28</v>
      </c>
      <c r="B420" s="88">
        <f t="shared" si="25"/>
        <v>2296</v>
      </c>
      <c r="C420" s="88">
        <v>607</v>
      </c>
      <c r="D420" s="88">
        <v>19</v>
      </c>
      <c r="E420" s="88">
        <v>437</v>
      </c>
      <c r="F420" s="88">
        <v>217</v>
      </c>
      <c r="G420" s="88">
        <v>18</v>
      </c>
      <c r="H420" s="88">
        <v>86</v>
      </c>
      <c r="I420" s="88">
        <v>4</v>
      </c>
      <c r="J420" s="88">
        <v>16</v>
      </c>
      <c r="K420" s="67">
        <v>892</v>
      </c>
    </row>
    <row r="421" spans="1:11" s="66" customFormat="1" ht="9" customHeight="1" x14ac:dyDescent="0.15">
      <c r="A421" s="66" t="s">
        <v>29</v>
      </c>
      <c r="B421" s="88">
        <f t="shared" si="25"/>
        <v>1125</v>
      </c>
      <c r="C421" s="88">
        <v>346</v>
      </c>
      <c r="D421" s="88">
        <v>1</v>
      </c>
      <c r="E421" s="88">
        <v>199</v>
      </c>
      <c r="F421" s="88">
        <v>71</v>
      </c>
      <c r="G421" s="88">
        <v>13</v>
      </c>
      <c r="H421" s="88">
        <v>92</v>
      </c>
      <c r="I421" s="88">
        <v>1</v>
      </c>
      <c r="J421" s="88">
        <v>4</v>
      </c>
      <c r="K421" s="67">
        <v>398</v>
      </c>
    </row>
    <row r="422" spans="1:11" s="66" customFormat="1" ht="9" customHeight="1" x14ac:dyDescent="0.15">
      <c r="A422" s="69" t="s">
        <v>30</v>
      </c>
      <c r="B422" s="90">
        <f t="shared" si="25"/>
        <v>4269</v>
      </c>
      <c r="C422" s="90">
        <v>984</v>
      </c>
      <c r="D422" s="90">
        <v>12</v>
      </c>
      <c r="E422" s="90">
        <v>683</v>
      </c>
      <c r="F422" s="90">
        <v>452</v>
      </c>
      <c r="G422" s="90">
        <v>36</v>
      </c>
      <c r="H422" s="90">
        <v>263</v>
      </c>
      <c r="I422" s="90">
        <v>34</v>
      </c>
      <c r="J422" s="90">
        <v>174</v>
      </c>
      <c r="K422" s="70">
        <v>1631</v>
      </c>
    </row>
    <row r="423" spans="1:11" s="66" customFormat="1" ht="9" customHeight="1" x14ac:dyDescent="0.15">
      <c r="A423" s="66" t="s">
        <v>63</v>
      </c>
      <c r="B423" s="88">
        <f t="shared" si="25"/>
        <v>28566</v>
      </c>
      <c r="C423" s="88">
        <v>7285</v>
      </c>
      <c r="D423" s="88">
        <v>261</v>
      </c>
      <c r="E423" s="88">
        <v>4790</v>
      </c>
      <c r="F423" s="88">
        <v>1772</v>
      </c>
      <c r="G423" s="88">
        <v>598</v>
      </c>
      <c r="H423" s="88">
        <v>3525</v>
      </c>
      <c r="I423" s="88">
        <v>49</v>
      </c>
      <c r="J423" s="88">
        <v>295</v>
      </c>
      <c r="K423" s="67">
        <v>9991</v>
      </c>
    </row>
    <row r="424" spans="1:11" s="66" customFormat="1" ht="9" customHeight="1" x14ac:dyDescent="0.15">
      <c r="A424" s="66" t="s">
        <v>31</v>
      </c>
      <c r="B424" s="88">
        <f t="shared" si="25"/>
        <v>1963</v>
      </c>
      <c r="C424" s="88">
        <v>483</v>
      </c>
      <c r="D424" s="88">
        <v>26</v>
      </c>
      <c r="E424" s="88">
        <v>328</v>
      </c>
      <c r="F424" s="88">
        <v>171</v>
      </c>
      <c r="G424" s="88">
        <v>19</v>
      </c>
      <c r="H424" s="88">
        <v>179</v>
      </c>
      <c r="I424" s="88">
        <v>2</v>
      </c>
      <c r="J424" s="88">
        <v>66</v>
      </c>
      <c r="K424" s="67">
        <v>689</v>
      </c>
    </row>
    <row r="425" spans="1:11" s="66" customFormat="1" ht="9" customHeight="1" x14ac:dyDescent="0.15">
      <c r="A425" s="66" t="s">
        <v>32</v>
      </c>
      <c r="B425" s="88">
        <f t="shared" si="25"/>
        <v>4375</v>
      </c>
      <c r="C425" s="88">
        <v>1094</v>
      </c>
      <c r="D425" s="88">
        <v>45</v>
      </c>
      <c r="E425" s="88">
        <v>761</v>
      </c>
      <c r="F425" s="88">
        <v>346</v>
      </c>
      <c r="G425" s="88">
        <v>60</v>
      </c>
      <c r="H425" s="88">
        <v>538</v>
      </c>
      <c r="I425" s="88">
        <v>2</v>
      </c>
      <c r="J425" s="88">
        <v>81</v>
      </c>
      <c r="K425" s="67">
        <v>1448</v>
      </c>
    </row>
    <row r="426" spans="1:11" s="66" customFormat="1" ht="9" customHeight="1" x14ac:dyDescent="0.15">
      <c r="A426" s="69" t="s">
        <v>33</v>
      </c>
      <c r="B426" s="90">
        <f t="shared" si="25"/>
        <v>1724</v>
      </c>
      <c r="C426" s="90">
        <v>480</v>
      </c>
      <c r="D426" s="90">
        <v>20</v>
      </c>
      <c r="E426" s="90">
        <v>313</v>
      </c>
      <c r="F426" s="90">
        <v>180</v>
      </c>
      <c r="G426" s="90">
        <v>13</v>
      </c>
      <c r="H426" s="90">
        <v>107</v>
      </c>
      <c r="I426" s="90">
        <v>5</v>
      </c>
      <c r="J426" s="90">
        <v>16</v>
      </c>
      <c r="K426" s="70">
        <v>590</v>
      </c>
    </row>
    <row r="427" spans="1:11" s="66" customFormat="1" ht="9" customHeight="1" x14ac:dyDescent="0.15">
      <c r="A427" s="66" t="s">
        <v>34</v>
      </c>
      <c r="B427" s="88">
        <f t="shared" si="25"/>
        <v>1725</v>
      </c>
      <c r="C427" s="88">
        <v>498</v>
      </c>
      <c r="D427" s="88">
        <v>39</v>
      </c>
      <c r="E427" s="88">
        <v>218</v>
      </c>
      <c r="F427" s="88">
        <v>115</v>
      </c>
      <c r="G427" s="88">
        <v>37</v>
      </c>
      <c r="H427" s="88">
        <v>130</v>
      </c>
      <c r="I427" s="88">
        <v>3</v>
      </c>
      <c r="J427" s="88">
        <v>3</v>
      </c>
      <c r="K427" s="67">
        <v>682</v>
      </c>
    </row>
    <row r="428" spans="1:11" s="66" customFormat="1" ht="9" customHeight="1" x14ac:dyDescent="0.15">
      <c r="A428" s="66" t="s">
        <v>35</v>
      </c>
      <c r="B428" s="88">
        <f t="shared" si="25"/>
        <v>8054</v>
      </c>
      <c r="C428" s="88">
        <v>1843</v>
      </c>
      <c r="D428" s="88">
        <v>74</v>
      </c>
      <c r="E428" s="88">
        <v>1354</v>
      </c>
      <c r="F428" s="88">
        <v>862</v>
      </c>
      <c r="G428" s="88">
        <v>205</v>
      </c>
      <c r="H428" s="88">
        <v>684</v>
      </c>
      <c r="I428" s="88">
        <v>13</v>
      </c>
      <c r="J428" s="88">
        <v>160</v>
      </c>
      <c r="K428" s="67">
        <v>2859</v>
      </c>
    </row>
    <row r="429" spans="1:11" s="66" customFormat="1" ht="9" customHeight="1" x14ac:dyDescent="0.15">
      <c r="A429" s="66" t="s">
        <v>36</v>
      </c>
      <c r="B429" s="88">
        <f t="shared" si="25"/>
        <v>13019</v>
      </c>
      <c r="C429" s="88">
        <v>3308</v>
      </c>
      <c r="D429" s="88">
        <v>99</v>
      </c>
      <c r="E429" s="88">
        <v>2266</v>
      </c>
      <c r="F429" s="88">
        <v>906</v>
      </c>
      <c r="G429" s="88">
        <v>229</v>
      </c>
      <c r="H429" s="88">
        <v>1602</v>
      </c>
      <c r="I429" s="88">
        <v>13</v>
      </c>
      <c r="J429" s="88">
        <v>104</v>
      </c>
      <c r="K429" s="67">
        <v>4492</v>
      </c>
    </row>
    <row r="430" spans="1:11" s="66" customFormat="1" ht="9" customHeight="1" x14ac:dyDescent="0.15">
      <c r="A430" s="69" t="s">
        <v>37</v>
      </c>
      <c r="B430" s="90">
        <f t="shared" si="25"/>
        <v>1615</v>
      </c>
      <c r="C430" s="90">
        <v>420</v>
      </c>
      <c r="D430" s="90">
        <v>17</v>
      </c>
      <c r="E430" s="90">
        <v>277</v>
      </c>
      <c r="F430" s="90">
        <v>161</v>
      </c>
      <c r="G430" s="90">
        <v>32</v>
      </c>
      <c r="H430" s="90">
        <v>87</v>
      </c>
      <c r="I430" s="90">
        <v>3</v>
      </c>
      <c r="J430" s="90">
        <v>20</v>
      </c>
      <c r="K430" s="70">
        <v>598</v>
      </c>
    </row>
    <row r="431" spans="1:11" s="66" customFormat="1" ht="9" customHeight="1" x14ac:dyDescent="0.15">
      <c r="A431" s="66" t="s">
        <v>38</v>
      </c>
      <c r="B431" s="88">
        <f t="shared" si="25"/>
        <v>956</v>
      </c>
      <c r="C431" s="88">
        <v>281</v>
      </c>
      <c r="D431" s="88">
        <v>6</v>
      </c>
      <c r="E431" s="88">
        <v>164</v>
      </c>
      <c r="F431" s="88">
        <v>80</v>
      </c>
      <c r="G431" s="88">
        <v>19</v>
      </c>
      <c r="H431" s="88">
        <v>66</v>
      </c>
      <c r="I431" s="88">
        <v>1</v>
      </c>
      <c r="J431" s="88">
        <v>7</v>
      </c>
      <c r="K431" s="67">
        <v>332</v>
      </c>
    </row>
    <row r="432" spans="1:11" s="66" customFormat="1" ht="9" customHeight="1" x14ac:dyDescent="0.25">
      <c r="A432" s="66" t="s">
        <v>39</v>
      </c>
      <c r="B432" s="88">
        <f t="shared" si="25"/>
        <v>456</v>
      </c>
      <c r="C432" s="88">
        <v>129</v>
      </c>
      <c r="D432" s="88">
        <v>0</v>
      </c>
      <c r="E432" s="88">
        <v>80</v>
      </c>
      <c r="F432" s="88">
        <v>34</v>
      </c>
      <c r="G432" s="88">
        <v>4</v>
      </c>
      <c r="H432" s="88">
        <v>31</v>
      </c>
      <c r="I432" s="88">
        <v>0</v>
      </c>
      <c r="J432" s="88">
        <v>11</v>
      </c>
      <c r="K432" s="88">
        <v>167</v>
      </c>
    </row>
    <row r="433" spans="1:12" s="66" customFormat="1" ht="9" customHeight="1" x14ac:dyDescent="0.15">
      <c r="A433" s="66" t="s">
        <v>40</v>
      </c>
      <c r="B433" s="88">
        <f t="shared" si="25"/>
        <v>2643</v>
      </c>
      <c r="C433" s="88">
        <v>636</v>
      </c>
      <c r="D433" s="88">
        <v>11</v>
      </c>
      <c r="E433" s="88">
        <v>478</v>
      </c>
      <c r="F433" s="88">
        <v>241</v>
      </c>
      <c r="G433" s="88">
        <v>29</v>
      </c>
      <c r="H433" s="88">
        <v>291</v>
      </c>
      <c r="I433" s="88">
        <v>3</v>
      </c>
      <c r="J433" s="88">
        <v>19</v>
      </c>
      <c r="K433" s="67">
        <v>935</v>
      </c>
    </row>
    <row r="434" spans="1:12" s="66" customFormat="1" ht="9" customHeight="1" x14ac:dyDescent="0.25">
      <c r="A434" s="69" t="s">
        <v>41</v>
      </c>
      <c r="B434" s="90">
        <f t="shared" si="25"/>
        <v>792</v>
      </c>
      <c r="C434" s="90">
        <v>217</v>
      </c>
      <c r="D434" s="90">
        <v>5</v>
      </c>
      <c r="E434" s="90">
        <v>156</v>
      </c>
      <c r="F434" s="90">
        <v>64</v>
      </c>
      <c r="G434" s="90">
        <v>12</v>
      </c>
      <c r="H434" s="90">
        <v>68</v>
      </c>
      <c r="I434" s="90">
        <v>0</v>
      </c>
      <c r="J434" s="90">
        <v>0</v>
      </c>
      <c r="K434" s="90">
        <v>270</v>
      </c>
    </row>
    <row r="435" spans="1:12" s="66" customFormat="1" ht="9" customHeight="1" x14ac:dyDescent="0.15">
      <c r="A435" s="66" t="s">
        <v>42</v>
      </c>
      <c r="B435" s="88">
        <f t="shared" si="25"/>
        <v>1975</v>
      </c>
      <c r="C435" s="88">
        <v>571</v>
      </c>
      <c r="D435" s="88">
        <v>11</v>
      </c>
      <c r="E435" s="88">
        <v>342</v>
      </c>
      <c r="F435" s="88">
        <v>118</v>
      </c>
      <c r="G435" s="88">
        <v>19</v>
      </c>
      <c r="H435" s="88">
        <v>221</v>
      </c>
      <c r="I435" s="88">
        <v>0</v>
      </c>
      <c r="J435" s="88">
        <v>7</v>
      </c>
      <c r="K435" s="67">
        <v>686</v>
      </c>
    </row>
    <row r="436" spans="1:12" s="66" customFormat="1" ht="9" customHeight="1" x14ac:dyDescent="0.15">
      <c r="A436" s="66" t="s">
        <v>43</v>
      </c>
      <c r="B436" s="88">
        <f t="shared" si="25"/>
        <v>1644</v>
      </c>
      <c r="C436" s="88">
        <v>372</v>
      </c>
      <c r="D436" s="88">
        <v>7</v>
      </c>
      <c r="E436" s="88">
        <v>282</v>
      </c>
      <c r="F436" s="88">
        <v>120</v>
      </c>
      <c r="G436" s="88">
        <v>43</v>
      </c>
      <c r="H436" s="88">
        <v>212</v>
      </c>
      <c r="I436" s="88">
        <v>3</v>
      </c>
      <c r="J436" s="88">
        <v>14</v>
      </c>
      <c r="K436" s="67">
        <v>591</v>
      </c>
    </row>
    <row r="437" spans="1:12" s="66" customFormat="1" ht="9" customHeight="1" x14ac:dyDescent="0.15">
      <c r="A437" s="66" t="s">
        <v>44</v>
      </c>
      <c r="B437" s="88">
        <f t="shared" si="25"/>
        <v>3366</v>
      </c>
      <c r="C437" s="88">
        <v>812</v>
      </c>
      <c r="D437" s="88">
        <v>15</v>
      </c>
      <c r="E437" s="88">
        <v>651</v>
      </c>
      <c r="F437" s="88">
        <v>354</v>
      </c>
      <c r="G437" s="88">
        <v>63</v>
      </c>
      <c r="H437" s="88">
        <v>176</v>
      </c>
      <c r="I437" s="88">
        <v>7</v>
      </c>
      <c r="J437" s="88">
        <v>20</v>
      </c>
      <c r="K437" s="67">
        <v>1268</v>
      </c>
    </row>
    <row r="438" spans="1:12" s="66" customFormat="1" ht="9" customHeight="1" x14ac:dyDescent="0.15">
      <c r="A438" s="69" t="s">
        <v>45</v>
      </c>
      <c r="B438" s="90">
        <f t="shared" si="25"/>
        <v>1217</v>
      </c>
      <c r="C438" s="90">
        <v>340</v>
      </c>
      <c r="D438" s="90">
        <v>3</v>
      </c>
      <c r="E438" s="90">
        <v>204</v>
      </c>
      <c r="F438" s="90">
        <v>84</v>
      </c>
      <c r="G438" s="90">
        <v>33</v>
      </c>
      <c r="H438" s="90">
        <v>147</v>
      </c>
      <c r="I438" s="90">
        <v>1</v>
      </c>
      <c r="J438" s="90">
        <v>19</v>
      </c>
      <c r="K438" s="70">
        <v>386</v>
      </c>
    </row>
    <row r="439" spans="1:12" s="66" customFormat="1" ht="9" customHeight="1" x14ac:dyDescent="0.15">
      <c r="A439" s="66" t="s">
        <v>46</v>
      </c>
      <c r="B439" s="88">
        <f t="shared" si="25"/>
        <v>4571</v>
      </c>
      <c r="C439" s="88">
        <v>1209</v>
      </c>
      <c r="D439" s="88">
        <v>15</v>
      </c>
      <c r="E439" s="88">
        <v>806</v>
      </c>
      <c r="F439" s="88">
        <v>537</v>
      </c>
      <c r="G439" s="88">
        <v>33</v>
      </c>
      <c r="H439" s="88">
        <v>175</v>
      </c>
      <c r="I439" s="88">
        <v>7</v>
      </c>
      <c r="J439" s="88">
        <v>92</v>
      </c>
      <c r="K439" s="67">
        <v>1697</v>
      </c>
    </row>
    <row r="440" spans="1:12" s="66" customFormat="1" ht="9" customHeight="1" x14ac:dyDescent="0.15">
      <c r="A440" s="66" t="s">
        <v>47</v>
      </c>
      <c r="B440" s="88">
        <f t="shared" si="25"/>
        <v>2209</v>
      </c>
      <c r="C440" s="88">
        <v>522</v>
      </c>
      <c r="D440" s="88">
        <v>25</v>
      </c>
      <c r="E440" s="88">
        <v>417</v>
      </c>
      <c r="F440" s="88">
        <v>174</v>
      </c>
      <c r="G440" s="88">
        <v>22</v>
      </c>
      <c r="H440" s="88">
        <v>143</v>
      </c>
      <c r="I440" s="88">
        <v>3</v>
      </c>
      <c r="J440" s="88">
        <v>97</v>
      </c>
      <c r="K440" s="67">
        <v>806</v>
      </c>
    </row>
    <row r="441" spans="1:12" s="66" customFormat="1" ht="9" customHeight="1" x14ac:dyDescent="0.25">
      <c r="A441" s="66" t="s">
        <v>48</v>
      </c>
      <c r="B441" s="88">
        <f t="shared" si="25"/>
        <v>586</v>
      </c>
      <c r="C441" s="88">
        <v>164</v>
      </c>
      <c r="D441" s="88">
        <v>8</v>
      </c>
      <c r="E441" s="88">
        <v>102</v>
      </c>
      <c r="F441" s="88">
        <v>58</v>
      </c>
      <c r="G441" s="88">
        <v>8</v>
      </c>
      <c r="H441" s="88">
        <v>18</v>
      </c>
      <c r="I441" s="88">
        <v>1</v>
      </c>
      <c r="J441" s="88">
        <v>4</v>
      </c>
      <c r="K441" s="88">
        <v>223</v>
      </c>
    </row>
    <row r="442" spans="1:12" s="66" customFormat="1" ht="9" customHeight="1" x14ac:dyDescent="0.15">
      <c r="A442" s="69" t="s">
        <v>49</v>
      </c>
      <c r="B442" s="90">
        <f t="shared" si="25"/>
        <v>1194</v>
      </c>
      <c r="C442" s="90">
        <v>325</v>
      </c>
      <c r="D442" s="90">
        <v>5</v>
      </c>
      <c r="E442" s="90">
        <v>189</v>
      </c>
      <c r="F442" s="90">
        <v>127</v>
      </c>
      <c r="G442" s="90">
        <v>10</v>
      </c>
      <c r="H442" s="90">
        <v>95</v>
      </c>
      <c r="I442" s="90">
        <v>2</v>
      </c>
      <c r="J442" s="90">
        <v>22</v>
      </c>
      <c r="K442" s="70">
        <v>419</v>
      </c>
    </row>
    <row r="443" spans="1:12" s="66" customFormat="1" ht="9" customHeight="1" x14ac:dyDescent="0.15">
      <c r="A443" s="66" t="s">
        <v>51</v>
      </c>
      <c r="B443" s="88">
        <f t="shared" si="25"/>
        <v>1329</v>
      </c>
      <c r="C443" s="88">
        <v>370</v>
      </c>
      <c r="D443" s="88">
        <v>7</v>
      </c>
      <c r="E443" s="88">
        <v>239</v>
      </c>
      <c r="F443" s="88">
        <v>146</v>
      </c>
      <c r="G443" s="88">
        <v>21</v>
      </c>
      <c r="H443" s="88">
        <v>108</v>
      </c>
      <c r="I443" s="88">
        <v>2</v>
      </c>
      <c r="J443" s="88">
        <v>4</v>
      </c>
      <c r="K443" s="67">
        <v>432</v>
      </c>
    </row>
    <row r="444" spans="1:12" s="66" customFormat="1" ht="9" customHeight="1" x14ac:dyDescent="0.15">
      <c r="A444" s="66" t="s">
        <v>52</v>
      </c>
      <c r="B444" s="88">
        <f t="shared" si="25"/>
        <v>863</v>
      </c>
      <c r="C444" s="88">
        <v>245</v>
      </c>
      <c r="D444" s="88">
        <v>2</v>
      </c>
      <c r="E444" s="88">
        <v>183</v>
      </c>
      <c r="F444" s="88">
        <v>45</v>
      </c>
      <c r="G444" s="88">
        <v>16</v>
      </c>
      <c r="H444" s="88">
        <v>59</v>
      </c>
      <c r="I444" s="88">
        <v>0</v>
      </c>
      <c r="J444" s="88">
        <v>54</v>
      </c>
      <c r="K444" s="67">
        <v>259</v>
      </c>
    </row>
    <row r="445" spans="1:12" s="71" customFormat="1" ht="9" customHeight="1" x14ac:dyDescent="0.15">
      <c r="A445" s="71" t="s">
        <v>53</v>
      </c>
      <c r="B445" s="92">
        <f t="shared" si="25"/>
        <v>928</v>
      </c>
      <c r="C445" s="92">
        <v>237</v>
      </c>
      <c r="D445" s="92">
        <v>30</v>
      </c>
      <c r="E445" s="92">
        <v>154</v>
      </c>
      <c r="F445" s="92">
        <v>108</v>
      </c>
      <c r="G445" s="92">
        <v>16</v>
      </c>
      <c r="H445" s="92">
        <v>53</v>
      </c>
      <c r="I445" s="92">
        <v>1</v>
      </c>
      <c r="J445" s="92">
        <v>11</v>
      </c>
      <c r="K445" s="67">
        <v>318</v>
      </c>
    </row>
    <row r="446" spans="1:12" s="62" customFormat="1" ht="9" customHeight="1" x14ac:dyDescent="0.25">
      <c r="A446" s="65"/>
      <c r="B446" s="86"/>
      <c r="C446" s="86"/>
      <c r="D446" s="86"/>
      <c r="E446" s="86"/>
      <c r="F446" s="86"/>
      <c r="G446" s="86"/>
      <c r="H446" s="86"/>
      <c r="I446" s="86"/>
      <c r="J446" s="86"/>
      <c r="K446" s="63"/>
    </row>
    <row r="447" spans="1:12" s="62" customFormat="1" ht="9" customHeight="1" x14ac:dyDescent="0.25">
      <c r="A447" s="85">
        <v>2012</v>
      </c>
      <c r="B447" s="86"/>
      <c r="C447" s="86"/>
      <c r="D447" s="86"/>
      <c r="E447" s="86"/>
      <c r="F447" s="86"/>
      <c r="G447" s="86"/>
      <c r="H447" s="86"/>
      <c r="I447" s="86"/>
      <c r="J447" s="86"/>
      <c r="K447" s="63"/>
    </row>
    <row r="448" spans="1:12" s="62" customFormat="1" ht="9" customHeight="1" x14ac:dyDescent="0.25">
      <c r="A448" s="62" t="s">
        <v>21</v>
      </c>
      <c r="B448" s="63">
        <f t="shared" ref="B448:J448" si="26">SUM(B450:B480)</f>
        <v>150782</v>
      </c>
      <c r="C448" s="63">
        <f t="shared" si="26"/>
        <v>38512</v>
      </c>
      <c r="D448" s="63">
        <f t="shared" si="26"/>
        <v>1080</v>
      </c>
      <c r="E448" s="63">
        <f t="shared" si="26"/>
        <v>27297</v>
      </c>
      <c r="F448" s="63">
        <f t="shared" si="26"/>
        <v>15535</v>
      </c>
      <c r="G448" s="63">
        <f t="shared" si="26"/>
        <v>3695</v>
      </c>
      <c r="H448" s="63">
        <f t="shared" si="26"/>
        <v>13786</v>
      </c>
      <c r="I448" s="63">
        <f t="shared" si="26"/>
        <v>1275</v>
      </c>
      <c r="J448" s="63">
        <f t="shared" si="26"/>
        <v>567</v>
      </c>
      <c r="K448" s="63">
        <f>SUM(K450:K480)</f>
        <v>49035</v>
      </c>
      <c r="L448" s="115"/>
    </row>
    <row r="449" spans="1:11" s="62" customFormat="1" ht="3.95" customHeight="1" x14ac:dyDescent="0.25">
      <c r="B449" s="63"/>
      <c r="C449" s="63"/>
      <c r="D449" s="63"/>
      <c r="E449" s="63"/>
      <c r="F449" s="63"/>
      <c r="G449" s="63"/>
      <c r="H449" s="63"/>
      <c r="I449" s="63"/>
      <c r="J449" s="63"/>
      <c r="K449" s="63"/>
    </row>
    <row r="450" spans="1:11" s="66" customFormat="1" ht="9" customHeight="1" x14ac:dyDescent="0.15">
      <c r="A450" s="66" t="s">
        <v>23</v>
      </c>
      <c r="B450" s="88">
        <f t="shared" ref="B450:B480" si="27">SUM(C450:K450)</f>
        <v>1277</v>
      </c>
      <c r="C450" s="88">
        <v>354</v>
      </c>
      <c r="D450" s="88">
        <v>33</v>
      </c>
      <c r="E450" s="88">
        <v>226</v>
      </c>
      <c r="F450" s="88">
        <v>114</v>
      </c>
      <c r="G450" s="88">
        <v>27</v>
      </c>
      <c r="H450" s="88">
        <v>103</v>
      </c>
      <c r="I450" s="88">
        <v>3</v>
      </c>
      <c r="J450" s="88">
        <v>4</v>
      </c>
      <c r="K450" s="67">
        <v>413</v>
      </c>
    </row>
    <row r="451" spans="1:11" s="66" customFormat="1" ht="9" customHeight="1" x14ac:dyDescent="0.15">
      <c r="A451" s="66" t="s">
        <v>24</v>
      </c>
      <c r="B451" s="88">
        <f t="shared" si="27"/>
        <v>8046</v>
      </c>
      <c r="C451" s="88">
        <v>1763</v>
      </c>
      <c r="D451" s="88">
        <v>24</v>
      </c>
      <c r="E451" s="88">
        <v>1562</v>
      </c>
      <c r="F451" s="88">
        <v>760</v>
      </c>
      <c r="G451" s="88">
        <v>151</v>
      </c>
      <c r="H451" s="88">
        <v>351</v>
      </c>
      <c r="I451" s="88">
        <v>230</v>
      </c>
      <c r="J451" s="88">
        <v>47</v>
      </c>
      <c r="K451" s="67">
        <v>3158</v>
      </c>
    </row>
    <row r="452" spans="1:11" s="66" customFormat="1" ht="9" customHeight="1" x14ac:dyDescent="0.15">
      <c r="A452" s="66" t="s">
        <v>25</v>
      </c>
      <c r="B452" s="88">
        <f t="shared" si="27"/>
        <v>1775</v>
      </c>
      <c r="C452" s="88">
        <v>511</v>
      </c>
      <c r="D452" s="88">
        <v>11</v>
      </c>
      <c r="E452" s="88">
        <v>314</v>
      </c>
      <c r="F452" s="88">
        <v>151</v>
      </c>
      <c r="G452" s="88">
        <v>21</v>
      </c>
      <c r="H452" s="88">
        <v>67</v>
      </c>
      <c r="I452" s="88">
        <v>4</v>
      </c>
      <c r="J452" s="88">
        <v>11</v>
      </c>
      <c r="K452" s="67">
        <v>685</v>
      </c>
    </row>
    <row r="453" spans="1:11" s="66" customFormat="1" ht="9" customHeight="1" x14ac:dyDescent="0.25">
      <c r="A453" s="69" t="s">
        <v>26</v>
      </c>
      <c r="B453" s="90">
        <f t="shared" si="27"/>
        <v>792</v>
      </c>
      <c r="C453" s="90">
        <v>276</v>
      </c>
      <c r="D453" s="90">
        <v>14</v>
      </c>
      <c r="E453" s="90">
        <v>134</v>
      </c>
      <c r="F453" s="90">
        <v>70</v>
      </c>
      <c r="G453" s="90">
        <v>16</v>
      </c>
      <c r="H453" s="90">
        <v>23</v>
      </c>
      <c r="I453" s="90">
        <v>1</v>
      </c>
      <c r="J453" s="90">
        <v>1</v>
      </c>
      <c r="K453" s="90">
        <v>257</v>
      </c>
    </row>
    <row r="454" spans="1:11" s="66" customFormat="1" ht="9" customHeight="1" x14ac:dyDescent="0.15">
      <c r="A454" s="66" t="s">
        <v>27</v>
      </c>
      <c r="B454" s="88">
        <f t="shared" si="27"/>
        <v>4813</v>
      </c>
      <c r="C454" s="88">
        <v>1262</v>
      </c>
      <c r="D454" s="88">
        <v>15</v>
      </c>
      <c r="E454" s="88">
        <v>784</v>
      </c>
      <c r="F454" s="88">
        <v>459</v>
      </c>
      <c r="G454" s="88">
        <v>96</v>
      </c>
      <c r="H454" s="88">
        <v>680</v>
      </c>
      <c r="I454" s="88">
        <v>6</v>
      </c>
      <c r="J454" s="88">
        <v>6</v>
      </c>
      <c r="K454" s="67">
        <v>1505</v>
      </c>
    </row>
    <row r="455" spans="1:11" s="66" customFormat="1" ht="9" customHeight="1" x14ac:dyDescent="0.15">
      <c r="A455" s="66" t="s">
        <v>28</v>
      </c>
      <c r="B455" s="88">
        <f t="shared" si="27"/>
        <v>4205</v>
      </c>
      <c r="C455" s="88">
        <v>978</v>
      </c>
      <c r="D455" s="88">
        <v>24</v>
      </c>
      <c r="E455" s="88">
        <v>792</v>
      </c>
      <c r="F455" s="88">
        <v>380</v>
      </c>
      <c r="G455" s="88">
        <v>81</v>
      </c>
      <c r="H455" s="88">
        <v>152</v>
      </c>
      <c r="I455" s="88">
        <v>142</v>
      </c>
      <c r="J455" s="88">
        <v>0</v>
      </c>
      <c r="K455" s="67">
        <v>1656</v>
      </c>
    </row>
    <row r="456" spans="1:11" s="66" customFormat="1" ht="9" customHeight="1" x14ac:dyDescent="0.15">
      <c r="A456" s="66" t="s">
        <v>29</v>
      </c>
      <c r="B456" s="88">
        <f t="shared" si="27"/>
        <v>1755</v>
      </c>
      <c r="C456" s="88">
        <v>538</v>
      </c>
      <c r="D456" s="88">
        <v>5</v>
      </c>
      <c r="E456" s="88">
        <v>310</v>
      </c>
      <c r="F456" s="88">
        <v>169</v>
      </c>
      <c r="G456" s="88">
        <v>22</v>
      </c>
      <c r="H456" s="88">
        <v>169</v>
      </c>
      <c r="I456" s="88">
        <v>3</v>
      </c>
      <c r="J456" s="88">
        <v>3</v>
      </c>
      <c r="K456" s="67">
        <v>536</v>
      </c>
    </row>
    <row r="457" spans="1:11" s="66" customFormat="1" ht="9" customHeight="1" x14ac:dyDescent="0.15">
      <c r="A457" s="69" t="s">
        <v>30</v>
      </c>
      <c r="B457" s="90">
        <f t="shared" si="27"/>
        <v>6116</v>
      </c>
      <c r="C457" s="90">
        <v>1332</v>
      </c>
      <c r="D457" s="90">
        <v>17</v>
      </c>
      <c r="E457" s="90">
        <v>1016</v>
      </c>
      <c r="F457" s="90">
        <v>676</v>
      </c>
      <c r="G457" s="90">
        <v>68</v>
      </c>
      <c r="H457" s="90">
        <v>349</v>
      </c>
      <c r="I457" s="90">
        <v>507</v>
      </c>
      <c r="J457" s="90">
        <v>94</v>
      </c>
      <c r="K457" s="70">
        <v>2057</v>
      </c>
    </row>
    <row r="458" spans="1:11" s="66" customFormat="1" ht="9" customHeight="1" x14ac:dyDescent="0.15">
      <c r="A458" s="66" t="s">
        <v>63</v>
      </c>
      <c r="B458" s="88">
        <f t="shared" si="27"/>
        <v>37886</v>
      </c>
      <c r="C458" s="88">
        <v>9877</v>
      </c>
      <c r="D458" s="88">
        <v>338</v>
      </c>
      <c r="E458" s="88">
        <v>6790</v>
      </c>
      <c r="F458" s="88">
        <v>3746</v>
      </c>
      <c r="G458" s="88">
        <v>1193</v>
      </c>
      <c r="H458" s="88">
        <v>4396</v>
      </c>
      <c r="I458" s="88">
        <v>65</v>
      </c>
      <c r="J458" s="88">
        <v>103</v>
      </c>
      <c r="K458" s="67">
        <v>11378</v>
      </c>
    </row>
    <row r="459" spans="1:11" s="66" customFormat="1" ht="9" customHeight="1" x14ac:dyDescent="0.15">
      <c r="A459" s="66" t="s">
        <v>31</v>
      </c>
      <c r="B459" s="88">
        <f t="shared" si="27"/>
        <v>2652</v>
      </c>
      <c r="C459" s="88">
        <v>668</v>
      </c>
      <c r="D459" s="88">
        <v>9</v>
      </c>
      <c r="E459" s="88">
        <v>453</v>
      </c>
      <c r="F459" s="88">
        <v>252</v>
      </c>
      <c r="G459" s="88">
        <v>22</v>
      </c>
      <c r="H459" s="88">
        <v>260</v>
      </c>
      <c r="I459" s="88">
        <v>2</v>
      </c>
      <c r="J459" s="88">
        <v>16</v>
      </c>
      <c r="K459" s="67">
        <v>970</v>
      </c>
    </row>
    <row r="460" spans="1:11" s="66" customFormat="1" ht="9" customHeight="1" x14ac:dyDescent="0.15">
      <c r="A460" s="66" t="s">
        <v>32</v>
      </c>
      <c r="B460" s="88">
        <f t="shared" si="27"/>
        <v>7254</v>
      </c>
      <c r="C460" s="88">
        <v>1785</v>
      </c>
      <c r="D460" s="88">
        <v>67</v>
      </c>
      <c r="E460" s="88">
        <v>1289</v>
      </c>
      <c r="F460" s="88">
        <v>695</v>
      </c>
      <c r="G460" s="88">
        <v>139</v>
      </c>
      <c r="H460" s="88">
        <v>820</v>
      </c>
      <c r="I460" s="88">
        <v>23</v>
      </c>
      <c r="J460" s="88">
        <v>33</v>
      </c>
      <c r="K460" s="67">
        <v>2403</v>
      </c>
    </row>
    <row r="461" spans="1:11" s="66" customFormat="1" ht="9" customHeight="1" x14ac:dyDescent="0.15">
      <c r="A461" s="69" t="s">
        <v>33</v>
      </c>
      <c r="B461" s="90">
        <f t="shared" si="27"/>
        <v>2652</v>
      </c>
      <c r="C461" s="90">
        <v>736</v>
      </c>
      <c r="D461" s="90">
        <v>26</v>
      </c>
      <c r="E461" s="90">
        <v>543</v>
      </c>
      <c r="F461" s="90">
        <v>298</v>
      </c>
      <c r="G461" s="90">
        <v>38</v>
      </c>
      <c r="H461" s="90">
        <v>156</v>
      </c>
      <c r="I461" s="90">
        <v>19</v>
      </c>
      <c r="J461" s="90">
        <v>7</v>
      </c>
      <c r="K461" s="70">
        <v>829</v>
      </c>
    </row>
    <row r="462" spans="1:11" s="66" customFormat="1" ht="9" customHeight="1" x14ac:dyDescent="0.15">
      <c r="A462" s="66" t="s">
        <v>34</v>
      </c>
      <c r="B462" s="88">
        <f t="shared" si="27"/>
        <v>2372</v>
      </c>
      <c r="C462" s="88">
        <v>693</v>
      </c>
      <c r="D462" s="88">
        <v>21</v>
      </c>
      <c r="E462" s="88">
        <v>337</v>
      </c>
      <c r="F462" s="88">
        <v>193</v>
      </c>
      <c r="G462" s="88">
        <v>109</v>
      </c>
      <c r="H462" s="88">
        <v>202</v>
      </c>
      <c r="I462" s="88">
        <v>4</v>
      </c>
      <c r="J462" s="88">
        <v>1</v>
      </c>
      <c r="K462" s="67">
        <v>812</v>
      </c>
    </row>
    <row r="463" spans="1:11" s="66" customFormat="1" ht="9" customHeight="1" x14ac:dyDescent="0.15">
      <c r="A463" s="66" t="s">
        <v>35</v>
      </c>
      <c r="B463" s="88">
        <f t="shared" si="27"/>
        <v>13065</v>
      </c>
      <c r="C463" s="88">
        <v>2987</v>
      </c>
      <c r="D463" s="88">
        <v>110</v>
      </c>
      <c r="E463" s="88">
        <v>2276</v>
      </c>
      <c r="F463" s="88">
        <v>1595</v>
      </c>
      <c r="G463" s="88">
        <v>410</v>
      </c>
      <c r="H463" s="88">
        <v>1147</v>
      </c>
      <c r="I463" s="88">
        <v>41</v>
      </c>
      <c r="J463" s="88">
        <v>51</v>
      </c>
      <c r="K463" s="67">
        <v>4448</v>
      </c>
    </row>
    <row r="464" spans="1:11" s="66" customFormat="1" ht="9" customHeight="1" x14ac:dyDescent="0.15">
      <c r="A464" s="66" t="s">
        <v>36</v>
      </c>
      <c r="B464" s="88">
        <f t="shared" si="27"/>
        <v>19066</v>
      </c>
      <c r="C464" s="88">
        <v>4944</v>
      </c>
      <c r="D464" s="88">
        <v>165</v>
      </c>
      <c r="E464" s="88">
        <v>3541</v>
      </c>
      <c r="F464" s="88">
        <v>2037</v>
      </c>
      <c r="G464" s="88">
        <v>504</v>
      </c>
      <c r="H464" s="88">
        <v>2302</v>
      </c>
      <c r="I464" s="88">
        <v>16</v>
      </c>
      <c r="J464" s="88">
        <v>53</v>
      </c>
      <c r="K464" s="67">
        <v>5504</v>
      </c>
    </row>
    <row r="465" spans="1:11" s="66" customFormat="1" ht="9" customHeight="1" x14ac:dyDescent="0.15">
      <c r="A465" s="69" t="s">
        <v>37</v>
      </c>
      <c r="B465" s="90">
        <f t="shared" si="27"/>
        <v>2527</v>
      </c>
      <c r="C465" s="90">
        <v>669</v>
      </c>
      <c r="D465" s="90">
        <v>15</v>
      </c>
      <c r="E465" s="90">
        <v>439</v>
      </c>
      <c r="F465" s="90">
        <v>268</v>
      </c>
      <c r="G465" s="90">
        <v>77</v>
      </c>
      <c r="H465" s="90">
        <v>124</v>
      </c>
      <c r="I465" s="90">
        <v>25</v>
      </c>
      <c r="J465" s="90">
        <v>11</v>
      </c>
      <c r="K465" s="70">
        <v>899</v>
      </c>
    </row>
    <row r="466" spans="1:11" s="66" customFormat="1" ht="9" customHeight="1" x14ac:dyDescent="0.15">
      <c r="A466" s="66" t="s">
        <v>38</v>
      </c>
      <c r="B466" s="88">
        <f t="shared" si="27"/>
        <v>1231</v>
      </c>
      <c r="C466" s="88">
        <v>376</v>
      </c>
      <c r="D466" s="88">
        <v>9</v>
      </c>
      <c r="E466" s="88">
        <v>217</v>
      </c>
      <c r="F466" s="88">
        <v>118</v>
      </c>
      <c r="G466" s="88">
        <v>36</v>
      </c>
      <c r="H466" s="88">
        <v>68</v>
      </c>
      <c r="I466" s="88">
        <v>11</v>
      </c>
      <c r="J466" s="88">
        <v>3</v>
      </c>
      <c r="K466" s="67">
        <v>393</v>
      </c>
    </row>
    <row r="467" spans="1:11" s="66" customFormat="1" ht="9" customHeight="1" x14ac:dyDescent="0.25">
      <c r="A467" s="66" t="s">
        <v>39</v>
      </c>
      <c r="B467" s="88">
        <f t="shared" si="27"/>
        <v>511</v>
      </c>
      <c r="C467" s="88">
        <v>138</v>
      </c>
      <c r="D467" s="88">
        <v>0</v>
      </c>
      <c r="E467" s="88">
        <v>109</v>
      </c>
      <c r="F467" s="88">
        <v>42</v>
      </c>
      <c r="G467" s="88">
        <v>3</v>
      </c>
      <c r="H467" s="88">
        <v>32</v>
      </c>
      <c r="I467" s="88">
        <v>2</v>
      </c>
      <c r="J467" s="88">
        <v>2</v>
      </c>
      <c r="K467" s="88">
        <v>183</v>
      </c>
    </row>
    <row r="468" spans="1:11" s="66" customFormat="1" ht="9" customHeight="1" x14ac:dyDescent="0.15">
      <c r="A468" s="66" t="s">
        <v>40</v>
      </c>
      <c r="B468" s="88">
        <f t="shared" si="27"/>
        <v>3311</v>
      </c>
      <c r="C468" s="88">
        <v>881</v>
      </c>
      <c r="D468" s="88">
        <v>13</v>
      </c>
      <c r="E468" s="88">
        <v>596</v>
      </c>
      <c r="F468" s="88">
        <v>340</v>
      </c>
      <c r="G468" s="88">
        <v>54</v>
      </c>
      <c r="H468" s="88">
        <v>350</v>
      </c>
      <c r="I468" s="88">
        <v>7</v>
      </c>
      <c r="J468" s="88">
        <v>3</v>
      </c>
      <c r="K468" s="67">
        <v>1067</v>
      </c>
    </row>
    <row r="469" spans="1:11" s="66" customFormat="1" ht="9" customHeight="1" x14ac:dyDescent="0.25">
      <c r="A469" s="69" t="s">
        <v>41</v>
      </c>
      <c r="B469" s="90">
        <f t="shared" si="27"/>
        <v>1643</v>
      </c>
      <c r="C469" s="90">
        <v>440</v>
      </c>
      <c r="D469" s="90">
        <v>12</v>
      </c>
      <c r="E469" s="90">
        <v>348</v>
      </c>
      <c r="F469" s="90">
        <v>172</v>
      </c>
      <c r="G469" s="90">
        <v>45</v>
      </c>
      <c r="H469" s="90">
        <v>150</v>
      </c>
      <c r="I469" s="90">
        <v>14</v>
      </c>
      <c r="J469" s="90">
        <v>0</v>
      </c>
      <c r="K469" s="90">
        <v>462</v>
      </c>
    </row>
    <row r="470" spans="1:11" s="66" customFormat="1" ht="9" customHeight="1" x14ac:dyDescent="0.15">
      <c r="A470" s="66" t="s">
        <v>42</v>
      </c>
      <c r="B470" s="88">
        <f t="shared" si="27"/>
        <v>2343</v>
      </c>
      <c r="C470" s="88">
        <v>652</v>
      </c>
      <c r="D470" s="88">
        <v>7</v>
      </c>
      <c r="E470" s="88">
        <v>451</v>
      </c>
      <c r="F470" s="88">
        <v>189</v>
      </c>
      <c r="G470" s="88">
        <v>49</v>
      </c>
      <c r="H470" s="88">
        <v>222</v>
      </c>
      <c r="I470" s="88">
        <v>47</v>
      </c>
      <c r="J470" s="88">
        <v>2</v>
      </c>
      <c r="K470" s="67">
        <v>724</v>
      </c>
    </row>
    <row r="471" spans="1:11" s="66" customFormat="1" ht="9" customHeight="1" x14ac:dyDescent="0.15">
      <c r="A471" s="66" t="s">
        <v>43</v>
      </c>
      <c r="B471" s="88">
        <f t="shared" si="27"/>
        <v>2238</v>
      </c>
      <c r="C471" s="88">
        <v>532</v>
      </c>
      <c r="D471" s="88">
        <v>10</v>
      </c>
      <c r="E471" s="88">
        <v>426</v>
      </c>
      <c r="F471" s="88">
        <v>196</v>
      </c>
      <c r="G471" s="88">
        <v>82</v>
      </c>
      <c r="H471" s="88">
        <v>268</v>
      </c>
      <c r="I471" s="88">
        <v>5</v>
      </c>
      <c r="J471" s="88">
        <v>11</v>
      </c>
      <c r="K471" s="67">
        <v>708</v>
      </c>
    </row>
    <row r="472" spans="1:11" s="66" customFormat="1" ht="9" customHeight="1" x14ac:dyDescent="0.15">
      <c r="A472" s="66" t="s">
        <v>44</v>
      </c>
      <c r="B472" s="88">
        <f t="shared" si="27"/>
        <v>4536</v>
      </c>
      <c r="C472" s="88">
        <v>1191</v>
      </c>
      <c r="D472" s="88">
        <v>21</v>
      </c>
      <c r="E472" s="88">
        <v>982</v>
      </c>
      <c r="F472" s="88">
        <v>551</v>
      </c>
      <c r="G472" s="88">
        <v>112</v>
      </c>
      <c r="H472" s="88">
        <v>254</v>
      </c>
      <c r="I472" s="88">
        <v>8</v>
      </c>
      <c r="J472" s="88">
        <v>13</v>
      </c>
      <c r="K472" s="67">
        <v>1404</v>
      </c>
    </row>
    <row r="473" spans="1:11" s="66" customFormat="1" ht="9" customHeight="1" x14ac:dyDescent="0.15">
      <c r="A473" s="69" t="s">
        <v>45</v>
      </c>
      <c r="B473" s="90">
        <f t="shared" si="27"/>
        <v>1942</v>
      </c>
      <c r="C473" s="90">
        <v>543</v>
      </c>
      <c r="D473" s="90">
        <v>11</v>
      </c>
      <c r="E473" s="90">
        <v>324</v>
      </c>
      <c r="F473" s="90">
        <v>157</v>
      </c>
      <c r="G473" s="90">
        <v>56</v>
      </c>
      <c r="H473" s="90">
        <v>239</v>
      </c>
      <c r="I473" s="90">
        <v>3</v>
      </c>
      <c r="J473" s="90">
        <v>8</v>
      </c>
      <c r="K473" s="70">
        <v>601</v>
      </c>
    </row>
    <row r="474" spans="1:11" s="66" customFormat="1" ht="9" customHeight="1" x14ac:dyDescent="0.15">
      <c r="A474" s="66" t="s">
        <v>46</v>
      </c>
      <c r="B474" s="88">
        <f t="shared" si="27"/>
        <v>6591</v>
      </c>
      <c r="C474" s="88">
        <v>1689</v>
      </c>
      <c r="D474" s="88">
        <v>34</v>
      </c>
      <c r="E474" s="88">
        <v>1173</v>
      </c>
      <c r="F474" s="88">
        <v>838</v>
      </c>
      <c r="G474" s="88">
        <v>54</v>
      </c>
      <c r="H474" s="88">
        <v>239</v>
      </c>
      <c r="I474" s="88">
        <v>57</v>
      </c>
      <c r="J474" s="88">
        <v>20</v>
      </c>
      <c r="K474" s="67">
        <v>2487</v>
      </c>
    </row>
    <row r="475" spans="1:11" s="66" customFormat="1" ht="9" customHeight="1" x14ac:dyDescent="0.15">
      <c r="A475" s="66" t="s">
        <v>47</v>
      </c>
      <c r="B475" s="88">
        <f t="shared" si="27"/>
        <v>3163</v>
      </c>
      <c r="C475" s="88">
        <v>745</v>
      </c>
      <c r="D475" s="88">
        <v>26</v>
      </c>
      <c r="E475" s="88">
        <v>613</v>
      </c>
      <c r="F475" s="88">
        <v>271</v>
      </c>
      <c r="G475" s="88">
        <v>47</v>
      </c>
      <c r="H475" s="88">
        <v>175</v>
      </c>
      <c r="I475" s="88">
        <v>23</v>
      </c>
      <c r="J475" s="88">
        <v>29</v>
      </c>
      <c r="K475" s="67">
        <v>1234</v>
      </c>
    </row>
    <row r="476" spans="1:11" s="66" customFormat="1" ht="9" customHeight="1" x14ac:dyDescent="0.25">
      <c r="A476" s="66" t="s">
        <v>48</v>
      </c>
      <c r="B476" s="88">
        <f t="shared" si="27"/>
        <v>812</v>
      </c>
      <c r="C476" s="88">
        <v>232</v>
      </c>
      <c r="D476" s="88">
        <v>1</v>
      </c>
      <c r="E476" s="88">
        <v>141</v>
      </c>
      <c r="F476" s="88">
        <v>117</v>
      </c>
      <c r="G476" s="88">
        <v>37</v>
      </c>
      <c r="H476" s="88">
        <v>27</v>
      </c>
      <c r="I476" s="88">
        <v>1</v>
      </c>
      <c r="J476" s="88">
        <v>3</v>
      </c>
      <c r="K476" s="88">
        <v>253</v>
      </c>
    </row>
    <row r="477" spans="1:11" s="66" customFormat="1" ht="9" customHeight="1" x14ac:dyDescent="0.15">
      <c r="A477" s="69" t="s">
        <v>49</v>
      </c>
      <c r="B477" s="90">
        <f t="shared" si="27"/>
        <v>1342</v>
      </c>
      <c r="C477" s="90">
        <v>362</v>
      </c>
      <c r="D477" s="90">
        <v>6</v>
      </c>
      <c r="E477" s="90">
        <v>236</v>
      </c>
      <c r="F477" s="90">
        <v>173</v>
      </c>
      <c r="G477" s="90">
        <v>20</v>
      </c>
      <c r="H477" s="90">
        <v>104</v>
      </c>
      <c r="I477" s="90">
        <v>1</v>
      </c>
      <c r="J477" s="90">
        <v>10</v>
      </c>
      <c r="K477" s="70">
        <v>430</v>
      </c>
    </row>
    <row r="478" spans="1:11" s="66" customFormat="1" ht="9" customHeight="1" x14ac:dyDescent="0.15">
      <c r="A478" s="66" t="s">
        <v>51</v>
      </c>
      <c r="B478" s="88">
        <f t="shared" si="27"/>
        <v>1492</v>
      </c>
      <c r="C478" s="88">
        <v>459</v>
      </c>
      <c r="D478" s="88">
        <v>4</v>
      </c>
      <c r="E478" s="88">
        <v>263</v>
      </c>
      <c r="F478" s="88">
        <v>155</v>
      </c>
      <c r="G478" s="88">
        <v>34</v>
      </c>
      <c r="H478" s="88">
        <v>95</v>
      </c>
      <c r="I478" s="88">
        <v>2</v>
      </c>
      <c r="J478" s="88">
        <v>1</v>
      </c>
      <c r="K478" s="67">
        <v>479</v>
      </c>
    </row>
    <row r="479" spans="1:11" s="66" customFormat="1" ht="9" customHeight="1" x14ac:dyDescent="0.15">
      <c r="A479" s="66" t="s">
        <v>52</v>
      </c>
      <c r="B479" s="88">
        <f t="shared" si="27"/>
        <v>1510</v>
      </c>
      <c r="C479" s="88">
        <v>406</v>
      </c>
      <c r="D479" s="88">
        <v>5</v>
      </c>
      <c r="E479" s="88">
        <v>298</v>
      </c>
      <c r="F479" s="88">
        <v>119</v>
      </c>
      <c r="G479" s="88">
        <v>35</v>
      </c>
      <c r="H479" s="88">
        <v>147</v>
      </c>
      <c r="I479" s="88">
        <v>0</v>
      </c>
      <c r="J479" s="88">
        <v>16</v>
      </c>
      <c r="K479" s="67">
        <v>484</v>
      </c>
    </row>
    <row r="480" spans="1:11" s="71" customFormat="1" ht="9" customHeight="1" x14ac:dyDescent="0.15">
      <c r="A480" s="71" t="s">
        <v>53</v>
      </c>
      <c r="B480" s="92">
        <f t="shared" si="27"/>
        <v>1864</v>
      </c>
      <c r="C480" s="92">
        <v>493</v>
      </c>
      <c r="D480" s="92">
        <v>27</v>
      </c>
      <c r="E480" s="92">
        <v>314</v>
      </c>
      <c r="F480" s="92">
        <v>234</v>
      </c>
      <c r="G480" s="92">
        <v>57</v>
      </c>
      <c r="H480" s="92">
        <v>115</v>
      </c>
      <c r="I480" s="92">
        <v>3</v>
      </c>
      <c r="J480" s="92">
        <v>5</v>
      </c>
      <c r="K480" s="67">
        <v>616</v>
      </c>
    </row>
    <row r="481" spans="1:12" s="62" customFormat="1" ht="9.9499999999999993" customHeight="1" x14ac:dyDescent="0.25">
      <c r="A481" s="65"/>
      <c r="B481" s="86"/>
      <c r="C481" s="86"/>
      <c r="D481" s="86"/>
      <c r="E481" s="86"/>
      <c r="F481" s="86"/>
      <c r="G481" s="86"/>
      <c r="H481" s="86"/>
      <c r="I481" s="86"/>
      <c r="J481" s="86"/>
      <c r="K481" s="63"/>
    </row>
    <row r="482" spans="1:12" s="62" customFormat="1" ht="9.9499999999999993" customHeight="1" x14ac:dyDescent="0.25">
      <c r="A482" s="85">
        <v>2013</v>
      </c>
      <c r="B482" s="86"/>
      <c r="C482" s="86"/>
      <c r="D482" s="86"/>
      <c r="E482" s="86"/>
      <c r="F482" s="86"/>
      <c r="G482" s="86"/>
      <c r="H482" s="86"/>
      <c r="I482" s="86"/>
      <c r="J482" s="86"/>
      <c r="K482" s="63"/>
    </row>
    <row r="483" spans="1:12" s="62" customFormat="1" ht="9.9499999999999993" customHeight="1" x14ac:dyDescent="0.25">
      <c r="A483" s="62" t="s">
        <v>21</v>
      </c>
      <c r="B483" s="63">
        <f t="shared" ref="B483:J483" si="28">SUM(B485:B516)</f>
        <v>154498</v>
      </c>
      <c r="C483" s="63">
        <f t="shared" si="28"/>
        <v>38527</v>
      </c>
      <c r="D483" s="63">
        <f t="shared" si="28"/>
        <v>1480</v>
      </c>
      <c r="E483" s="63">
        <f t="shared" si="28"/>
        <v>29304</v>
      </c>
      <c r="F483" s="63">
        <f t="shared" si="28"/>
        <v>15461</v>
      </c>
      <c r="G483" s="63">
        <f t="shared" si="28"/>
        <v>4344</v>
      </c>
      <c r="H483" s="63">
        <f t="shared" si="28"/>
        <v>12700</v>
      </c>
      <c r="I483" s="63">
        <f t="shared" si="28"/>
        <v>6459</v>
      </c>
      <c r="J483" s="63">
        <f t="shared" si="28"/>
        <v>609</v>
      </c>
      <c r="K483" s="63">
        <f>SUM(K485:K516)</f>
        <v>45614</v>
      </c>
      <c r="L483" s="115"/>
    </row>
    <row r="484" spans="1:12" s="62" customFormat="1" ht="3.95" customHeight="1" x14ac:dyDescent="0.25">
      <c r="B484" s="63"/>
      <c r="C484" s="63"/>
      <c r="D484" s="63"/>
      <c r="E484" s="63"/>
      <c r="F484" s="63"/>
      <c r="G484" s="63"/>
      <c r="H484" s="63"/>
      <c r="I484" s="63"/>
      <c r="J484" s="63"/>
      <c r="K484" s="63"/>
    </row>
    <row r="485" spans="1:12" s="66" customFormat="1" ht="9.9499999999999993" customHeight="1" x14ac:dyDescent="0.15">
      <c r="A485" s="66" t="s">
        <v>23</v>
      </c>
      <c r="B485" s="88">
        <f t="shared" ref="B485:B516" si="29">SUM(C485:K485)</f>
        <v>1556</v>
      </c>
      <c r="C485" s="88">
        <v>420</v>
      </c>
      <c r="D485" s="88">
        <v>26</v>
      </c>
      <c r="E485" s="88">
        <v>287</v>
      </c>
      <c r="F485" s="88">
        <v>111</v>
      </c>
      <c r="G485" s="88">
        <v>15</v>
      </c>
      <c r="H485" s="88">
        <v>141</v>
      </c>
      <c r="I485" s="88">
        <v>41</v>
      </c>
      <c r="J485" s="88">
        <v>0</v>
      </c>
      <c r="K485" s="67">
        <v>515</v>
      </c>
    </row>
    <row r="486" spans="1:12" s="66" customFormat="1" ht="9.9499999999999993" customHeight="1" x14ac:dyDescent="0.15">
      <c r="A486" s="66" t="s">
        <v>24</v>
      </c>
      <c r="B486" s="88">
        <f t="shared" si="29"/>
        <v>10565</v>
      </c>
      <c r="C486" s="88">
        <v>2172</v>
      </c>
      <c r="D486" s="88">
        <v>207</v>
      </c>
      <c r="E486" s="88">
        <v>2025</v>
      </c>
      <c r="F486" s="88">
        <v>994</v>
      </c>
      <c r="G486" s="88">
        <v>273</v>
      </c>
      <c r="H486" s="88">
        <v>403</v>
      </c>
      <c r="I486" s="88">
        <v>1408</v>
      </c>
      <c r="J486" s="88">
        <v>88</v>
      </c>
      <c r="K486" s="67">
        <v>2995</v>
      </c>
    </row>
    <row r="487" spans="1:12" s="66" customFormat="1" ht="9.9499999999999993" customHeight="1" x14ac:dyDescent="0.15">
      <c r="A487" s="66" t="s">
        <v>25</v>
      </c>
      <c r="B487" s="88">
        <f t="shared" si="29"/>
        <v>1771</v>
      </c>
      <c r="C487" s="88">
        <v>491</v>
      </c>
      <c r="D487" s="88">
        <v>11</v>
      </c>
      <c r="E487" s="88">
        <v>332</v>
      </c>
      <c r="F487" s="88">
        <v>172</v>
      </c>
      <c r="G487" s="88">
        <v>19</v>
      </c>
      <c r="H487" s="88">
        <v>62</v>
      </c>
      <c r="I487" s="88">
        <v>142</v>
      </c>
      <c r="J487" s="88">
        <v>1</v>
      </c>
      <c r="K487" s="67">
        <v>541</v>
      </c>
    </row>
    <row r="488" spans="1:12" s="66" customFormat="1" ht="9.9499999999999993" customHeight="1" x14ac:dyDescent="0.25">
      <c r="A488" s="69" t="s">
        <v>26</v>
      </c>
      <c r="B488" s="90">
        <f t="shared" si="29"/>
        <v>770</v>
      </c>
      <c r="C488" s="90">
        <v>233</v>
      </c>
      <c r="D488" s="90">
        <v>8</v>
      </c>
      <c r="E488" s="90">
        <v>154</v>
      </c>
      <c r="F488" s="90">
        <v>86</v>
      </c>
      <c r="G488" s="90">
        <v>20</v>
      </c>
      <c r="H488" s="90">
        <v>28</v>
      </c>
      <c r="I488" s="90">
        <v>6</v>
      </c>
      <c r="J488" s="90">
        <v>1</v>
      </c>
      <c r="K488" s="90">
        <v>234</v>
      </c>
    </row>
    <row r="489" spans="1:12" s="66" customFormat="1" ht="9.9499999999999993" customHeight="1" x14ac:dyDescent="0.15">
      <c r="A489" s="66" t="s">
        <v>27</v>
      </c>
      <c r="B489" s="88">
        <f t="shared" si="29"/>
        <v>3225</v>
      </c>
      <c r="C489" s="88">
        <v>859</v>
      </c>
      <c r="D489" s="88">
        <v>10</v>
      </c>
      <c r="E489" s="88">
        <v>531</v>
      </c>
      <c r="F489" s="88">
        <v>236</v>
      </c>
      <c r="G489" s="88">
        <v>44</v>
      </c>
      <c r="H489" s="88">
        <v>515</v>
      </c>
      <c r="I489" s="88">
        <v>32</v>
      </c>
      <c r="J489" s="88">
        <v>1</v>
      </c>
      <c r="K489" s="67">
        <v>997</v>
      </c>
    </row>
    <row r="490" spans="1:12" s="66" customFormat="1" ht="9.9499999999999993" customHeight="1" x14ac:dyDescent="0.15">
      <c r="A490" s="66" t="s">
        <v>28</v>
      </c>
      <c r="B490" s="88">
        <f t="shared" si="29"/>
        <v>3874</v>
      </c>
      <c r="C490" s="88">
        <v>893</v>
      </c>
      <c r="D490" s="88">
        <v>17</v>
      </c>
      <c r="E490" s="88">
        <v>757</v>
      </c>
      <c r="F490" s="88">
        <v>331</v>
      </c>
      <c r="G490" s="88">
        <v>84</v>
      </c>
      <c r="H490" s="88">
        <v>102</v>
      </c>
      <c r="I490" s="88">
        <v>598</v>
      </c>
      <c r="J490" s="88">
        <v>2</v>
      </c>
      <c r="K490" s="67">
        <v>1090</v>
      </c>
    </row>
    <row r="491" spans="1:12" s="66" customFormat="1" ht="9.9499999999999993" customHeight="1" x14ac:dyDescent="0.15">
      <c r="A491" s="66" t="s">
        <v>29</v>
      </c>
      <c r="B491" s="88">
        <f t="shared" si="29"/>
        <v>1616</v>
      </c>
      <c r="C491" s="88">
        <v>468</v>
      </c>
      <c r="D491" s="88">
        <v>5</v>
      </c>
      <c r="E491" s="88">
        <v>298</v>
      </c>
      <c r="F491" s="88">
        <v>173</v>
      </c>
      <c r="G491" s="88">
        <v>46</v>
      </c>
      <c r="H491" s="88">
        <v>150</v>
      </c>
      <c r="I491" s="88">
        <v>27</v>
      </c>
      <c r="J491" s="88">
        <v>3</v>
      </c>
      <c r="K491" s="67">
        <v>446</v>
      </c>
    </row>
    <row r="492" spans="1:12" s="66" customFormat="1" ht="9.9499999999999993" customHeight="1" x14ac:dyDescent="0.15">
      <c r="A492" s="69" t="s">
        <v>30</v>
      </c>
      <c r="B492" s="90">
        <f t="shared" si="29"/>
        <v>5300</v>
      </c>
      <c r="C492" s="90">
        <v>1187</v>
      </c>
      <c r="D492" s="90">
        <v>28</v>
      </c>
      <c r="E492" s="90">
        <v>720</v>
      </c>
      <c r="F492" s="90">
        <v>613</v>
      </c>
      <c r="G492" s="90">
        <v>84</v>
      </c>
      <c r="H492" s="90">
        <v>325</v>
      </c>
      <c r="I492" s="90">
        <v>500</v>
      </c>
      <c r="J492" s="90">
        <v>63</v>
      </c>
      <c r="K492" s="70">
        <v>1780</v>
      </c>
    </row>
    <row r="493" spans="1:12" s="66" customFormat="1" ht="9.9499999999999993" customHeight="1" x14ac:dyDescent="0.15">
      <c r="A493" s="66" t="s">
        <v>63</v>
      </c>
      <c r="B493" s="88">
        <f t="shared" si="29"/>
        <v>36313</v>
      </c>
      <c r="C493" s="88">
        <v>9317</v>
      </c>
      <c r="D493" s="88">
        <v>279</v>
      </c>
      <c r="E493" s="88">
        <v>7102</v>
      </c>
      <c r="F493" s="88">
        <v>3621</v>
      </c>
      <c r="G493" s="88">
        <v>1354</v>
      </c>
      <c r="H493" s="88">
        <v>3566</v>
      </c>
      <c r="I493" s="88">
        <v>497</v>
      </c>
      <c r="J493" s="88">
        <v>69</v>
      </c>
      <c r="K493" s="67">
        <v>10508</v>
      </c>
    </row>
    <row r="494" spans="1:12" s="66" customFormat="1" ht="9.9499999999999993" customHeight="1" x14ac:dyDescent="0.15">
      <c r="A494" s="66" t="s">
        <v>31</v>
      </c>
      <c r="B494" s="88">
        <f t="shared" si="29"/>
        <v>2378</v>
      </c>
      <c r="C494" s="88">
        <v>578</v>
      </c>
      <c r="D494" s="88">
        <v>4</v>
      </c>
      <c r="E494" s="88">
        <v>414</v>
      </c>
      <c r="F494" s="88">
        <v>203</v>
      </c>
      <c r="G494" s="88">
        <v>34</v>
      </c>
      <c r="H494" s="88">
        <v>240</v>
      </c>
      <c r="I494" s="88">
        <v>158</v>
      </c>
      <c r="J494" s="88">
        <v>2</v>
      </c>
      <c r="K494" s="67">
        <v>745</v>
      </c>
    </row>
    <row r="495" spans="1:12" s="66" customFormat="1" ht="9.9499999999999993" customHeight="1" x14ac:dyDescent="0.15">
      <c r="A495" s="66" t="s">
        <v>32</v>
      </c>
      <c r="B495" s="88">
        <f t="shared" si="29"/>
        <v>7331</v>
      </c>
      <c r="C495" s="88">
        <v>1795</v>
      </c>
      <c r="D495" s="88">
        <v>43</v>
      </c>
      <c r="E495" s="88">
        <v>1370</v>
      </c>
      <c r="F495" s="88">
        <v>632</v>
      </c>
      <c r="G495" s="88">
        <v>132</v>
      </c>
      <c r="H495" s="88">
        <v>826</v>
      </c>
      <c r="I495" s="88">
        <v>350</v>
      </c>
      <c r="J495" s="88">
        <v>9</v>
      </c>
      <c r="K495" s="67">
        <v>2174</v>
      </c>
    </row>
    <row r="496" spans="1:12" s="66" customFormat="1" ht="9.9499999999999993" customHeight="1" x14ac:dyDescent="0.15">
      <c r="A496" s="69" t="s">
        <v>33</v>
      </c>
      <c r="B496" s="90">
        <f t="shared" si="29"/>
        <v>3148</v>
      </c>
      <c r="C496" s="90">
        <v>881</v>
      </c>
      <c r="D496" s="90">
        <v>39</v>
      </c>
      <c r="E496" s="90">
        <v>660</v>
      </c>
      <c r="F496" s="90">
        <v>364</v>
      </c>
      <c r="G496" s="90">
        <v>52</v>
      </c>
      <c r="H496" s="90">
        <v>189</v>
      </c>
      <c r="I496" s="90">
        <v>47</v>
      </c>
      <c r="J496" s="90">
        <v>13</v>
      </c>
      <c r="K496" s="70">
        <v>903</v>
      </c>
    </row>
    <row r="497" spans="1:11" s="66" customFormat="1" ht="9.9499999999999993" customHeight="1" x14ac:dyDescent="0.15">
      <c r="A497" s="66" t="s">
        <v>34</v>
      </c>
      <c r="B497" s="88">
        <f t="shared" si="29"/>
        <v>2241</v>
      </c>
      <c r="C497" s="88">
        <v>600</v>
      </c>
      <c r="D497" s="88">
        <v>14</v>
      </c>
      <c r="E497" s="88">
        <v>364</v>
      </c>
      <c r="F497" s="88">
        <v>183</v>
      </c>
      <c r="G497" s="88">
        <v>117</v>
      </c>
      <c r="H497" s="88">
        <v>191</v>
      </c>
      <c r="I497" s="88">
        <v>45</v>
      </c>
      <c r="J497" s="88">
        <v>1</v>
      </c>
      <c r="K497" s="67">
        <v>726</v>
      </c>
    </row>
    <row r="498" spans="1:11" s="66" customFormat="1" ht="9.9499999999999993" customHeight="1" x14ac:dyDescent="0.15">
      <c r="A498" s="66" t="s">
        <v>35</v>
      </c>
      <c r="B498" s="88">
        <f t="shared" si="29"/>
        <v>13979</v>
      </c>
      <c r="C498" s="88">
        <v>3173</v>
      </c>
      <c r="D498" s="88">
        <v>238</v>
      </c>
      <c r="E498" s="88">
        <v>2501</v>
      </c>
      <c r="F498" s="88">
        <v>1598</v>
      </c>
      <c r="G498" s="88">
        <v>460</v>
      </c>
      <c r="H498" s="88">
        <v>1195</v>
      </c>
      <c r="I498" s="88">
        <v>570</v>
      </c>
      <c r="J498" s="88">
        <v>118</v>
      </c>
      <c r="K498" s="67">
        <v>4126</v>
      </c>
    </row>
    <row r="499" spans="1:11" s="66" customFormat="1" ht="9.9499999999999993" customHeight="1" x14ac:dyDescent="0.15">
      <c r="A499" s="66" t="s">
        <v>36</v>
      </c>
      <c r="B499" s="88">
        <f t="shared" si="29"/>
        <v>20501</v>
      </c>
      <c r="C499" s="88">
        <v>5093</v>
      </c>
      <c r="D499" s="88">
        <v>218</v>
      </c>
      <c r="E499" s="88">
        <v>4019</v>
      </c>
      <c r="F499" s="88">
        <v>2158</v>
      </c>
      <c r="G499" s="88">
        <v>719</v>
      </c>
      <c r="H499" s="88">
        <v>2219</v>
      </c>
      <c r="I499" s="88">
        <v>310</v>
      </c>
      <c r="J499" s="88">
        <v>68</v>
      </c>
      <c r="K499" s="67">
        <v>5697</v>
      </c>
    </row>
    <row r="500" spans="1:11" s="66" customFormat="1" ht="9.9499999999999993" customHeight="1" x14ac:dyDescent="0.15">
      <c r="A500" s="69" t="s">
        <v>37</v>
      </c>
      <c r="B500" s="90">
        <f t="shared" si="29"/>
        <v>2765</v>
      </c>
      <c r="C500" s="90">
        <v>744</v>
      </c>
      <c r="D500" s="90">
        <v>24</v>
      </c>
      <c r="E500" s="90">
        <v>465</v>
      </c>
      <c r="F500" s="90">
        <v>245</v>
      </c>
      <c r="G500" s="90">
        <v>78</v>
      </c>
      <c r="H500" s="90">
        <v>132</v>
      </c>
      <c r="I500" s="90">
        <v>131</v>
      </c>
      <c r="J500" s="90">
        <v>10</v>
      </c>
      <c r="K500" s="70">
        <v>936</v>
      </c>
    </row>
    <row r="501" spans="1:11" s="66" customFormat="1" ht="9.9499999999999993" customHeight="1" x14ac:dyDescent="0.15">
      <c r="A501" s="66" t="s">
        <v>38</v>
      </c>
      <c r="B501" s="88">
        <f t="shared" si="29"/>
        <v>1346</v>
      </c>
      <c r="C501" s="88">
        <v>396</v>
      </c>
      <c r="D501" s="88">
        <v>4</v>
      </c>
      <c r="E501" s="88">
        <v>262</v>
      </c>
      <c r="F501" s="88">
        <v>107</v>
      </c>
      <c r="G501" s="88">
        <v>43</v>
      </c>
      <c r="H501" s="88">
        <v>69</v>
      </c>
      <c r="I501" s="88">
        <v>43</v>
      </c>
      <c r="J501" s="88">
        <v>1</v>
      </c>
      <c r="K501" s="67">
        <v>421</v>
      </c>
    </row>
    <row r="502" spans="1:11" s="66" customFormat="1" ht="9.9499999999999993" customHeight="1" x14ac:dyDescent="0.25">
      <c r="A502" s="66" t="s">
        <v>39</v>
      </c>
      <c r="B502" s="88">
        <f t="shared" si="29"/>
        <v>466</v>
      </c>
      <c r="C502" s="88">
        <v>138</v>
      </c>
      <c r="D502" s="88">
        <v>0</v>
      </c>
      <c r="E502" s="88">
        <v>84</v>
      </c>
      <c r="F502" s="88">
        <v>31</v>
      </c>
      <c r="G502" s="88">
        <v>12</v>
      </c>
      <c r="H502" s="88">
        <v>33</v>
      </c>
      <c r="I502" s="88">
        <v>29</v>
      </c>
      <c r="J502" s="88">
        <v>1</v>
      </c>
      <c r="K502" s="88">
        <v>138</v>
      </c>
    </row>
    <row r="503" spans="1:11" s="66" customFormat="1" ht="9.9499999999999993" customHeight="1" x14ac:dyDescent="0.15">
      <c r="A503" s="66" t="s">
        <v>40</v>
      </c>
      <c r="B503" s="88">
        <f t="shared" si="29"/>
        <v>3831</v>
      </c>
      <c r="C503" s="88">
        <v>1013</v>
      </c>
      <c r="D503" s="88">
        <v>38</v>
      </c>
      <c r="E503" s="88">
        <v>771</v>
      </c>
      <c r="F503" s="88">
        <v>334</v>
      </c>
      <c r="G503" s="88">
        <v>75</v>
      </c>
      <c r="H503" s="88">
        <v>333</v>
      </c>
      <c r="I503" s="88">
        <v>37</v>
      </c>
      <c r="J503" s="88">
        <v>37</v>
      </c>
      <c r="K503" s="67">
        <v>1193</v>
      </c>
    </row>
    <row r="504" spans="1:11" s="66" customFormat="1" ht="9.9499999999999993" customHeight="1" x14ac:dyDescent="0.25">
      <c r="A504" s="69" t="s">
        <v>41</v>
      </c>
      <c r="B504" s="90">
        <f t="shared" si="29"/>
        <v>1429</v>
      </c>
      <c r="C504" s="90">
        <v>390</v>
      </c>
      <c r="D504" s="90">
        <v>6</v>
      </c>
      <c r="E504" s="90">
        <v>284</v>
      </c>
      <c r="F504" s="90">
        <v>151</v>
      </c>
      <c r="G504" s="90">
        <v>46</v>
      </c>
      <c r="H504" s="90">
        <v>124</v>
      </c>
      <c r="I504" s="90">
        <v>46</v>
      </c>
      <c r="J504" s="90">
        <v>1</v>
      </c>
      <c r="K504" s="90">
        <v>381</v>
      </c>
    </row>
    <row r="505" spans="1:11" s="66" customFormat="1" ht="9.9499999999999993" customHeight="1" x14ac:dyDescent="0.15">
      <c r="A505" s="66" t="s">
        <v>42</v>
      </c>
      <c r="B505" s="88">
        <f t="shared" si="29"/>
        <v>2405</v>
      </c>
      <c r="C505" s="88">
        <v>657</v>
      </c>
      <c r="D505" s="88">
        <v>8</v>
      </c>
      <c r="E505" s="88">
        <v>494</v>
      </c>
      <c r="F505" s="88">
        <v>205</v>
      </c>
      <c r="G505" s="88">
        <v>59</v>
      </c>
      <c r="H505" s="88">
        <v>203</v>
      </c>
      <c r="I505" s="88">
        <v>76</v>
      </c>
      <c r="J505" s="88">
        <v>0</v>
      </c>
      <c r="K505" s="67">
        <v>703</v>
      </c>
    </row>
    <row r="506" spans="1:11" s="66" customFormat="1" ht="9.9499999999999993" customHeight="1" x14ac:dyDescent="0.15">
      <c r="A506" s="66" t="s">
        <v>43</v>
      </c>
      <c r="B506" s="88">
        <f t="shared" si="29"/>
        <v>1950</v>
      </c>
      <c r="C506" s="88">
        <v>490</v>
      </c>
      <c r="D506" s="88">
        <v>3</v>
      </c>
      <c r="E506" s="88">
        <v>379</v>
      </c>
      <c r="F506" s="88">
        <v>155</v>
      </c>
      <c r="G506" s="88">
        <v>61</v>
      </c>
      <c r="H506" s="88">
        <v>222</v>
      </c>
      <c r="I506" s="88">
        <v>31</v>
      </c>
      <c r="J506" s="88">
        <v>3</v>
      </c>
      <c r="K506" s="67">
        <v>606</v>
      </c>
    </row>
    <row r="507" spans="1:11" s="66" customFormat="1" ht="9.9499999999999993" customHeight="1" x14ac:dyDescent="0.15">
      <c r="A507" s="66" t="s">
        <v>44</v>
      </c>
      <c r="B507" s="88">
        <f t="shared" si="29"/>
        <v>4834</v>
      </c>
      <c r="C507" s="88">
        <v>1259</v>
      </c>
      <c r="D507" s="88">
        <v>20</v>
      </c>
      <c r="E507" s="88">
        <v>1062</v>
      </c>
      <c r="F507" s="88">
        <v>566</v>
      </c>
      <c r="G507" s="88">
        <v>142</v>
      </c>
      <c r="H507" s="88">
        <v>248</v>
      </c>
      <c r="I507" s="88">
        <v>51</v>
      </c>
      <c r="J507" s="88">
        <v>7</v>
      </c>
      <c r="K507" s="67">
        <v>1479</v>
      </c>
    </row>
    <row r="508" spans="1:11" s="66" customFormat="1" ht="9.9499999999999993" customHeight="1" x14ac:dyDescent="0.15">
      <c r="A508" s="69" t="s">
        <v>45</v>
      </c>
      <c r="B508" s="90">
        <f t="shared" si="29"/>
        <v>1975</v>
      </c>
      <c r="C508" s="90">
        <v>573</v>
      </c>
      <c r="D508" s="90">
        <v>6</v>
      </c>
      <c r="E508" s="90">
        <v>361</v>
      </c>
      <c r="F508" s="90">
        <v>116</v>
      </c>
      <c r="G508" s="90">
        <v>54</v>
      </c>
      <c r="H508" s="90">
        <v>219</v>
      </c>
      <c r="I508" s="90">
        <v>18</v>
      </c>
      <c r="J508" s="90">
        <v>0</v>
      </c>
      <c r="K508" s="70">
        <v>628</v>
      </c>
    </row>
    <row r="509" spans="1:11" s="66" customFormat="1" ht="9.9499999999999993" customHeight="1" x14ac:dyDescent="0.15">
      <c r="A509" s="66" t="s">
        <v>46</v>
      </c>
      <c r="B509" s="88">
        <f t="shared" si="29"/>
        <v>7075</v>
      </c>
      <c r="C509" s="88">
        <v>1679</v>
      </c>
      <c r="D509" s="88">
        <v>100</v>
      </c>
      <c r="E509" s="88">
        <v>1310</v>
      </c>
      <c r="F509" s="88">
        <v>904</v>
      </c>
      <c r="G509" s="88">
        <v>69</v>
      </c>
      <c r="H509" s="88">
        <v>203</v>
      </c>
      <c r="I509" s="88">
        <v>799</v>
      </c>
      <c r="J509" s="88">
        <v>42</v>
      </c>
      <c r="K509" s="67">
        <v>1969</v>
      </c>
    </row>
    <row r="510" spans="1:11" s="66" customFormat="1" ht="9.9499999999999993" customHeight="1" x14ac:dyDescent="0.15">
      <c r="A510" s="66" t="s">
        <v>47</v>
      </c>
      <c r="B510" s="88">
        <f t="shared" si="29"/>
        <v>3833</v>
      </c>
      <c r="C510" s="88">
        <v>886</v>
      </c>
      <c r="D510" s="88">
        <v>27</v>
      </c>
      <c r="E510" s="88">
        <v>744</v>
      </c>
      <c r="F510" s="88">
        <v>365</v>
      </c>
      <c r="G510" s="88">
        <v>47</v>
      </c>
      <c r="H510" s="88">
        <v>179</v>
      </c>
      <c r="I510" s="88">
        <v>358</v>
      </c>
      <c r="J510" s="88">
        <v>3</v>
      </c>
      <c r="K510" s="67">
        <v>1224</v>
      </c>
    </row>
    <row r="511" spans="1:11" s="66" customFormat="1" ht="9.9499999999999993" customHeight="1" x14ac:dyDescent="0.25">
      <c r="A511" s="66" t="s">
        <v>48</v>
      </c>
      <c r="B511" s="88">
        <f t="shared" si="29"/>
        <v>687</v>
      </c>
      <c r="C511" s="88">
        <v>197</v>
      </c>
      <c r="D511" s="88">
        <v>7</v>
      </c>
      <c r="E511" s="88">
        <v>127</v>
      </c>
      <c r="F511" s="88">
        <v>103</v>
      </c>
      <c r="G511" s="88">
        <v>28</v>
      </c>
      <c r="H511" s="88">
        <v>20</v>
      </c>
      <c r="I511" s="88">
        <v>12</v>
      </c>
      <c r="J511" s="88">
        <v>3</v>
      </c>
      <c r="K511" s="88">
        <v>190</v>
      </c>
    </row>
    <row r="512" spans="1:11" s="66" customFormat="1" ht="9.9499999999999993" customHeight="1" x14ac:dyDescent="0.15">
      <c r="A512" s="69" t="s">
        <v>49</v>
      </c>
      <c r="B512" s="90">
        <f t="shared" si="29"/>
        <v>1303</v>
      </c>
      <c r="C512" s="90">
        <v>350</v>
      </c>
      <c r="D512" s="90">
        <v>3</v>
      </c>
      <c r="E512" s="90">
        <v>262</v>
      </c>
      <c r="F512" s="90">
        <v>141</v>
      </c>
      <c r="G512" s="90">
        <v>25</v>
      </c>
      <c r="H512" s="90">
        <v>89</v>
      </c>
      <c r="I512" s="90">
        <v>18</v>
      </c>
      <c r="J512" s="90">
        <v>0</v>
      </c>
      <c r="K512" s="70">
        <v>415</v>
      </c>
    </row>
    <row r="513" spans="1:12" s="66" customFormat="1" ht="9.9499999999999993" customHeight="1" x14ac:dyDescent="0.15">
      <c r="A513" s="66" t="s">
        <v>50</v>
      </c>
      <c r="B513" s="88">
        <f t="shared" si="29"/>
        <v>60</v>
      </c>
      <c r="C513" s="88">
        <v>15</v>
      </c>
      <c r="D513" s="88">
        <v>0</v>
      </c>
      <c r="E513" s="88">
        <v>10</v>
      </c>
      <c r="F513" s="88">
        <v>3</v>
      </c>
      <c r="G513" s="88">
        <v>6</v>
      </c>
      <c r="H513" s="88">
        <v>7</v>
      </c>
      <c r="I513" s="88">
        <v>3</v>
      </c>
      <c r="J513" s="88">
        <v>1</v>
      </c>
      <c r="K513" s="67">
        <v>15</v>
      </c>
    </row>
    <row r="514" spans="1:12" s="66" customFormat="1" ht="9.9499999999999993" customHeight="1" x14ac:dyDescent="0.15">
      <c r="A514" s="66" t="s">
        <v>51</v>
      </c>
      <c r="B514" s="88">
        <f t="shared" si="29"/>
        <v>1250</v>
      </c>
      <c r="C514" s="88">
        <v>387</v>
      </c>
      <c r="D514" s="88">
        <v>2</v>
      </c>
      <c r="E514" s="88">
        <v>250</v>
      </c>
      <c r="F514" s="88">
        <v>108</v>
      </c>
      <c r="G514" s="88">
        <v>37</v>
      </c>
      <c r="H514" s="88">
        <v>82</v>
      </c>
      <c r="I514" s="88">
        <v>11</v>
      </c>
      <c r="J514" s="88">
        <v>1</v>
      </c>
      <c r="K514" s="67">
        <v>372</v>
      </c>
    </row>
    <row r="515" spans="1:12" s="66" customFormat="1" ht="9.9499999999999993" customHeight="1" x14ac:dyDescent="0.15">
      <c r="A515" s="66" t="s">
        <v>52</v>
      </c>
      <c r="B515" s="88">
        <f t="shared" si="29"/>
        <v>2123</v>
      </c>
      <c r="C515" s="88">
        <v>520</v>
      </c>
      <c r="D515" s="88">
        <v>6</v>
      </c>
      <c r="E515" s="88">
        <v>450</v>
      </c>
      <c r="F515" s="88">
        <v>152</v>
      </c>
      <c r="G515" s="88">
        <v>51</v>
      </c>
      <c r="H515" s="88">
        <v>208</v>
      </c>
      <c r="I515" s="88">
        <v>16</v>
      </c>
      <c r="J515" s="88">
        <v>5</v>
      </c>
      <c r="K515" s="67">
        <v>715</v>
      </c>
    </row>
    <row r="516" spans="1:12" s="66" customFormat="1" ht="9.9499999999999993" customHeight="1" x14ac:dyDescent="0.15">
      <c r="A516" s="69" t="s">
        <v>53</v>
      </c>
      <c r="B516" s="90">
        <f t="shared" si="29"/>
        <v>2598</v>
      </c>
      <c r="C516" s="90">
        <v>673</v>
      </c>
      <c r="D516" s="90">
        <v>79</v>
      </c>
      <c r="E516" s="90">
        <v>455</v>
      </c>
      <c r="F516" s="90">
        <v>300</v>
      </c>
      <c r="G516" s="90">
        <v>58</v>
      </c>
      <c r="H516" s="90">
        <v>177</v>
      </c>
      <c r="I516" s="90">
        <v>49</v>
      </c>
      <c r="J516" s="90">
        <v>55</v>
      </c>
      <c r="K516" s="70">
        <v>752</v>
      </c>
    </row>
    <row r="517" spans="1:12" s="62" customFormat="1" ht="9.9499999999999993" customHeight="1" x14ac:dyDescent="0.25">
      <c r="A517" s="65"/>
      <c r="B517" s="86"/>
      <c r="C517" s="86"/>
      <c r="D517" s="86"/>
      <c r="E517" s="86"/>
      <c r="F517" s="86"/>
      <c r="G517" s="86"/>
      <c r="H517" s="86"/>
      <c r="I517" s="86"/>
      <c r="J517" s="86"/>
      <c r="K517" s="63"/>
    </row>
    <row r="518" spans="1:12" s="62" customFormat="1" ht="9.9499999999999993" customHeight="1" x14ac:dyDescent="0.25">
      <c r="A518" s="85">
        <v>2014</v>
      </c>
      <c r="B518" s="86"/>
      <c r="C518" s="86"/>
      <c r="D518" s="86"/>
      <c r="E518" s="86"/>
      <c r="F518" s="86"/>
      <c r="G518" s="86"/>
      <c r="H518" s="86"/>
      <c r="I518" s="86"/>
      <c r="J518" s="86"/>
      <c r="K518" s="63"/>
    </row>
    <row r="519" spans="1:12" s="62" customFormat="1" ht="9.9499999999999993" customHeight="1" x14ac:dyDescent="0.25">
      <c r="A519" s="62" t="s">
        <v>21</v>
      </c>
      <c r="B519" s="63">
        <f t="shared" ref="B519:J519" si="30">SUM(B521:B552)</f>
        <v>137184</v>
      </c>
      <c r="C519" s="63">
        <f t="shared" si="30"/>
        <v>34103</v>
      </c>
      <c r="D519" s="63">
        <f t="shared" si="30"/>
        <v>7943</v>
      </c>
      <c r="E519" s="63">
        <f t="shared" si="30"/>
        <v>27788</v>
      </c>
      <c r="F519" s="63">
        <f t="shared" si="30"/>
        <v>13048</v>
      </c>
      <c r="G519" s="63">
        <f t="shared" si="30"/>
        <v>3937</v>
      </c>
      <c r="H519" s="63">
        <f t="shared" si="30"/>
        <v>10519</v>
      </c>
      <c r="I519" s="63">
        <f t="shared" si="30"/>
        <v>1335</v>
      </c>
      <c r="J519" s="63">
        <f t="shared" si="30"/>
        <v>4951</v>
      </c>
      <c r="K519" s="63">
        <f>SUM(K521:K552)</f>
        <v>33560</v>
      </c>
      <c r="L519" s="115"/>
    </row>
    <row r="520" spans="1:12" s="62" customFormat="1" ht="3" customHeight="1" x14ac:dyDescent="0.25">
      <c r="B520" s="63"/>
      <c r="C520" s="63"/>
      <c r="D520" s="63"/>
      <c r="E520" s="63"/>
      <c r="F520" s="63"/>
      <c r="G520" s="63"/>
      <c r="H520" s="63"/>
      <c r="I520" s="63"/>
      <c r="J520" s="63"/>
      <c r="K520" s="63"/>
    </row>
    <row r="521" spans="1:12" s="66" customFormat="1" ht="9.9499999999999993" customHeight="1" x14ac:dyDescent="0.15">
      <c r="A521" s="66" t="s">
        <v>23</v>
      </c>
      <c r="B521" s="88">
        <f t="shared" ref="B521:B552" si="31">SUM(C521:K521)</f>
        <v>1550</v>
      </c>
      <c r="C521" s="88">
        <v>391</v>
      </c>
      <c r="D521" s="88">
        <v>108</v>
      </c>
      <c r="E521" s="88">
        <v>313</v>
      </c>
      <c r="F521" s="88">
        <v>101</v>
      </c>
      <c r="G521" s="88">
        <v>19</v>
      </c>
      <c r="H521" s="88">
        <v>126</v>
      </c>
      <c r="I521" s="88">
        <v>3</v>
      </c>
      <c r="J521" s="88">
        <v>48</v>
      </c>
      <c r="K521" s="67">
        <v>441</v>
      </c>
    </row>
    <row r="522" spans="1:12" s="66" customFormat="1" ht="9.9499999999999993" customHeight="1" x14ac:dyDescent="0.15">
      <c r="A522" s="66" t="s">
        <v>24</v>
      </c>
      <c r="B522" s="88">
        <f t="shared" si="31"/>
        <v>9469</v>
      </c>
      <c r="C522" s="88">
        <v>2013</v>
      </c>
      <c r="D522" s="88">
        <v>1148</v>
      </c>
      <c r="E522" s="88">
        <v>1837</v>
      </c>
      <c r="F522" s="88">
        <v>887</v>
      </c>
      <c r="G522" s="88">
        <v>257</v>
      </c>
      <c r="H522" s="88">
        <v>380</v>
      </c>
      <c r="I522" s="88">
        <v>342</v>
      </c>
      <c r="J522" s="88">
        <v>616</v>
      </c>
      <c r="K522" s="67">
        <v>1989</v>
      </c>
    </row>
    <row r="523" spans="1:12" s="66" customFormat="1" ht="9.9499999999999993" customHeight="1" x14ac:dyDescent="0.15">
      <c r="A523" s="66" t="s">
        <v>25</v>
      </c>
      <c r="B523" s="88">
        <f t="shared" si="31"/>
        <v>1647</v>
      </c>
      <c r="C523" s="88">
        <v>441</v>
      </c>
      <c r="D523" s="88">
        <v>159</v>
      </c>
      <c r="E523" s="88">
        <v>309</v>
      </c>
      <c r="F523" s="88">
        <v>150</v>
      </c>
      <c r="G523" s="88">
        <v>30</v>
      </c>
      <c r="H523" s="88">
        <v>54</v>
      </c>
      <c r="I523" s="88">
        <v>4</v>
      </c>
      <c r="J523" s="88">
        <v>75</v>
      </c>
      <c r="K523" s="67">
        <v>425</v>
      </c>
    </row>
    <row r="524" spans="1:12" s="66" customFormat="1" ht="9.9499999999999993" customHeight="1" x14ac:dyDescent="0.25">
      <c r="A524" s="69" t="s">
        <v>26</v>
      </c>
      <c r="B524" s="90">
        <f t="shared" si="31"/>
        <v>752</v>
      </c>
      <c r="C524" s="90">
        <v>214</v>
      </c>
      <c r="D524" s="90">
        <v>20</v>
      </c>
      <c r="E524" s="90">
        <v>165</v>
      </c>
      <c r="F524" s="90">
        <v>81</v>
      </c>
      <c r="G524" s="90">
        <v>21</v>
      </c>
      <c r="H524" s="90">
        <v>36</v>
      </c>
      <c r="I524" s="90">
        <v>1</v>
      </c>
      <c r="J524" s="90">
        <v>11</v>
      </c>
      <c r="K524" s="90">
        <v>203</v>
      </c>
    </row>
    <row r="525" spans="1:12" s="66" customFormat="1" ht="9.9499999999999993" customHeight="1" x14ac:dyDescent="0.15">
      <c r="A525" s="66" t="s">
        <v>27</v>
      </c>
      <c r="B525" s="88">
        <f t="shared" si="31"/>
        <v>4005</v>
      </c>
      <c r="C525" s="88">
        <v>1052</v>
      </c>
      <c r="D525" s="88">
        <v>76</v>
      </c>
      <c r="E525" s="88">
        <v>758</v>
      </c>
      <c r="F525" s="88">
        <v>265</v>
      </c>
      <c r="G525" s="88">
        <v>82</v>
      </c>
      <c r="H525" s="88">
        <v>561</v>
      </c>
      <c r="I525" s="88">
        <v>9</v>
      </c>
      <c r="J525" s="88">
        <v>149</v>
      </c>
      <c r="K525" s="67">
        <v>1053</v>
      </c>
    </row>
    <row r="526" spans="1:12" s="66" customFormat="1" ht="9.9499999999999993" customHeight="1" x14ac:dyDescent="0.15">
      <c r="A526" s="66" t="s">
        <v>28</v>
      </c>
      <c r="B526" s="88">
        <f t="shared" si="31"/>
        <v>3744</v>
      </c>
      <c r="C526" s="88">
        <v>868</v>
      </c>
      <c r="D526" s="88">
        <v>560</v>
      </c>
      <c r="E526" s="88">
        <v>755</v>
      </c>
      <c r="F526" s="88">
        <v>309</v>
      </c>
      <c r="G526" s="88">
        <v>78</v>
      </c>
      <c r="H526" s="88">
        <v>121</v>
      </c>
      <c r="I526" s="88">
        <v>76</v>
      </c>
      <c r="J526" s="88">
        <v>77</v>
      </c>
      <c r="K526" s="67">
        <v>900</v>
      </c>
    </row>
    <row r="527" spans="1:12" s="66" customFormat="1" ht="9.9499999999999993" customHeight="1" x14ac:dyDescent="0.15">
      <c r="A527" s="66" t="s">
        <v>29</v>
      </c>
      <c r="B527" s="88">
        <f t="shared" si="31"/>
        <v>1217</v>
      </c>
      <c r="C527" s="88">
        <v>360</v>
      </c>
      <c r="D527" s="88">
        <v>35</v>
      </c>
      <c r="E527" s="88">
        <v>257</v>
      </c>
      <c r="F527" s="88">
        <v>100</v>
      </c>
      <c r="G527" s="88">
        <v>15</v>
      </c>
      <c r="H527" s="88">
        <v>116</v>
      </c>
      <c r="I527" s="88">
        <v>3</v>
      </c>
      <c r="J527" s="88">
        <v>18</v>
      </c>
      <c r="K527" s="67">
        <v>313</v>
      </c>
    </row>
    <row r="528" spans="1:12" s="66" customFormat="1" ht="9.9499999999999993" customHeight="1" x14ac:dyDescent="0.15">
      <c r="A528" s="69" t="s">
        <v>30</v>
      </c>
      <c r="B528" s="90">
        <f t="shared" si="31"/>
        <v>4752</v>
      </c>
      <c r="C528" s="90">
        <v>988</v>
      </c>
      <c r="D528" s="90">
        <v>207</v>
      </c>
      <c r="E528" s="90">
        <v>901</v>
      </c>
      <c r="F528" s="90">
        <v>514</v>
      </c>
      <c r="G528" s="90">
        <v>64</v>
      </c>
      <c r="H528" s="90">
        <v>267</v>
      </c>
      <c r="I528" s="90">
        <v>345</v>
      </c>
      <c r="J528" s="90">
        <v>389</v>
      </c>
      <c r="K528" s="70">
        <v>1077</v>
      </c>
    </row>
    <row r="529" spans="1:11" s="66" customFormat="1" ht="9.9499999999999993" customHeight="1" x14ac:dyDescent="0.15">
      <c r="A529" s="66" t="s">
        <v>63</v>
      </c>
      <c r="B529" s="88">
        <f t="shared" si="31"/>
        <v>31957</v>
      </c>
      <c r="C529" s="88">
        <v>8226</v>
      </c>
      <c r="D529" s="88">
        <v>1211</v>
      </c>
      <c r="E529" s="88">
        <v>6669</v>
      </c>
      <c r="F529" s="88">
        <v>3130</v>
      </c>
      <c r="G529" s="88">
        <v>1227</v>
      </c>
      <c r="H529" s="88">
        <v>2906</v>
      </c>
      <c r="I529" s="88">
        <v>75</v>
      </c>
      <c r="J529" s="88">
        <v>668</v>
      </c>
      <c r="K529" s="67">
        <v>7845</v>
      </c>
    </row>
    <row r="530" spans="1:11" s="66" customFormat="1" ht="9.9499999999999993" customHeight="1" x14ac:dyDescent="0.15">
      <c r="A530" s="66" t="s">
        <v>31</v>
      </c>
      <c r="B530" s="88">
        <f t="shared" si="31"/>
        <v>2098</v>
      </c>
      <c r="C530" s="88">
        <v>505</v>
      </c>
      <c r="D530" s="88">
        <v>155</v>
      </c>
      <c r="E530" s="88">
        <v>391</v>
      </c>
      <c r="F530" s="88">
        <v>175</v>
      </c>
      <c r="G530" s="88">
        <v>42</v>
      </c>
      <c r="H530" s="88">
        <v>175</v>
      </c>
      <c r="I530" s="88">
        <v>4</v>
      </c>
      <c r="J530" s="88">
        <v>169</v>
      </c>
      <c r="K530" s="67">
        <v>482</v>
      </c>
    </row>
    <row r="531" spans="1:11" s="66" customFormat="1" ht="9.9499999999999993" customHeight="1" x14ac:dyDescent="0.15">
      <c r="A531" s="66" t="s">
        <v>32</v>
      </c>
      <c r="B531" s="88">
        <f t="shared" si="31"/>
        <v>6621</v>
      </c>
      <c r="C531" s="88">
        <v>1582</v>
      </c>
      <c r="D531" s="88">
        <v>533</v>
      </c>
      <c r="E531" s="88">
        <v>1271</v>
      </c>
      <c r="F531" s="88">
        <v>564</v>
      </c>
      <c r="G531" s="88">
        <v>115</v>
      </c>
      <c r="H531" s="88">
        <v>705</v>
      </c>
      <c r="I531" s="88">
        <v>74</v>
      </c>
      <c r="J531" s="88">
        <v>225</v>
      </c>
      <c r="K531" s="67">
        <v>1552</v>
      </c>
    </row>
    <row r="532" spans="1:11" s="66" customFormat="1" ht="9.9499999999999993" customHeight="1" x14ac:dyDescent="0.15">
      <c r="A532" s="69" t="s">
        <v>33</v>
      </c>
      <c r="B532" s="90">
        <f t="shared" si="31"/>
        <v>2532</v>
      </c>
      <c r="C532" s="90">
        <v>711</v>
      </c>
      <c r="D532" s="90">
        <v>60</v>
      </c>
      <c r="E532" s="90">
        <v>558</v>
      </c>
      <c r="F532" s="90">
        <v>242</v>
      </c>
      <c r="G532" s="90">
        <v>46</v>
      </c>
      <c r="H532" s="90">
        <v>160</v>
      </c>
      <c r="I532" s="90">
        <v>11</v>
      </c>
      <c r="J532" s="90">
        <v>70</v>
      </c>
      <c r="K532" s="70">
        <v>674</v>
      </c>
    </row>
    <row r="533" spans="1:11" s="66" customFormat="1" ht="9.9499999999999993" customHeight="1" x14ac:dyDescent="0.15">
      <c r="A533" s="66" t="s">
        <v>34</v>
      </c>
      <c r="B533" s="88">
        <f t="shared" si="31"/>
        <v>1992</v>
      </c>
      <c r="C533" s="88">
        <v>524</v>
      </c>
      <c r="D533" s="88">
        <v>103</v>
      </c>
      <c r="E533" s="88">
        <v>351</v>
      </c>
      <c r="F533" s="88">
        <v>179</v>
      </c>
      <c r="G533" s="88">
        <v>107</v>
      </c>
      <c r="H533" s="88">
        <v>158</v>
      </c>
      <c r="I533" s="88">
        <v>9</v>
      </c>
      <c r="J533" s="88">
        <v>36</v>
      </c>
      <c r="K533" s="67">
        <v>525</v>
      </c>
    </row>
    <row r="534" spans="1:11" s="66" customFormat="1" ht="9.9499999999999993" customHeight="1" x14ac:dyDescent="0.15">
      <c r="A534" s="66" t="s">
        <v>35</v>
      </c>
      <c r="B534" s="88">
        <f t="shared" si="31"/>
        <v>12310</v>
      </c>
      <c r="C534" s="88">
        <v>2863</v>
      </c>
      <c r="D534" s="88">
        <v>928</v>
      </c>
      <c r="E534" s="88">
        <v>2281</v>
      </c>
      <c r="F534" s="88">
        <v>1332</v>
      </c>
      <c r="G534" s="88">
        <v>379</v>
      </c>
      <c r="H534" s="88">
        <v>947</v>
      </c>
      <c r="I534" s="88">
        <v>46</v>
      </c>
      <c r="J534" s="88">
        <v>576</v>
      </c>
      <c r="K534" s="67">
        <v>2958</v>
      </c>
    </row>
    <row r="535" spans="1:11" s="66" customFormat="1" ht="9.9499999999999993" customHeight="1" x14ac:dyDescent="0.15">
      <c r="A535" s="66" t="s">
        <v>36</v>
      </c>
      <c r="B535" s="88">
        <f t="shared" si="31"/>
        <v>16402</v>
      </c>
      <c r="C535" s="88">
        <v>4093</v>
      </c>
      <c r="D535" s="88">
        <v>615</v>
      </c>
      <c r="E535" s="88">
        <v>3365</v>
      </c>
      <c r="F535" s="88">
        <v>1647</v>
      </c>
      <c r="G535" s="88">
        <v>641</v>
      </c>
      <c r="H535" s="88">
        <v>1600</v>
      </c>
      <c r="I535" s="88">
        <v>61</v>
      </c>
      <c r="J535" s="88">
        <v>371</v>
      </c>
      <c r="K535" s="67">
        <v>4009</v>
      </c>
    </row>
    <row r="536" spans="1:11" s="66" customFormat="1" ht="9.9499999999999993" customHeight="1" x14ac:dyDescent="0.15">
      <c r="A536" s="69" t="s">
        <v>37</v>
      </c>
      <c r="B536" s="90">
        <f t="shared" si="31"/>
        <v>2338</v>
      </c>
      <c r="C536" s="90">
        <v>603</v>
      </c>
      <c r="D536" s="90">
        <v>161</v>
      </c>
      <c r="E536" s="90">
        <v>424</v>
      </c>
      <c r="F536" s="90">
        <v>183</v>
      </c>
      <c r="G536" s="90">
        <v>76</v>
      </c>
      <c r="H536" s="90">
        <v>120</v>
      </c>
      <c r="I536" s="90">
        <v>15</v>
      </c>
      <c r="J536" s="90">
        <v>161</v>
      </c>
      <c r="K536" s="70">
        <v>595</v>
      </c>
    </row>
    <row r="537" spans="1:11" s="66" customFormat="1" ht="9.9499999999999993" customHeight="1" x14ac:dyDescent="0.15">
      <c r="A537" s="66" t="s">
        <v>38</v>
      </c>
      <c r="B537" s="88">
        <f t="shared" si="31"/>
        <v>1233</v>
      </c>
      <c r="C537" s="88">
        <v>347</v>
      </c>
      <c r="D537" s="88">
        <v>35</v>
      </c>
      <c r="E537" s="88">
        <v>271</v>
      </c>
      <c r="F537" s="88">
        <v>95</v>
      </c>
      <c r="G537" s="88">
        <v>35</v>
      </c>
      <c r="H537" s="88">
        <v>65</v>
      </c>
      <c r="I537" s="88">
        <v>26</v>
      </c>
      <c r="J537" s="88">
        <v>18</v>
      </c>
      <c r="K537" s="67">
        <v>341</v>
      </c>
    </row>
    <row r="538" spans="1:11" s="66" customFormat="1" ht="9.9499999999999993" customHeight="1" x14ac:dyDescent="0.25">
      <c r="A538" s="66" t="s">
        <v>39</v>
      </c>
      <c r="B538" s="88">
        <f t="shared" si="31"/>
        <v>784</v>
      </c>
      <c r="C538" s="88">
        <v>220</v>
      </c>
      <c r="D538" s="88">
        <v>64</v>
      </c>
      <c r="E538" s="88">
        <v>147</v>
      </c>
      <c r="F538" s="88">
        <v>56</v>
      </c>
      <c r="G538" s="88">
        <v>15</v>
      </c>
      <c r="H538" s="88">
        <v>50</v>
      </c>
      <c r="I538" s="88">
        <v>2</v>
      </c>
      <c r="J538" s="88">
        <v>30</v>
      </c>
      <c r="K538" s="88">
        <v>200</v>
      </c>
    </row>
    <row r="539" spans="1:11" s="66" customFormat="1" ht="9.9499999999999993" customHeight="1" x14ac:dyDescent="0.15">
      <c r="A539" s="66" t="s">
        <v>40</v>
      </c>
      <c r="B539" s="88">
        <f t="shared" si="31"/>
        <v>3820</v>
      </c>
      <c r="C539" s="88">
        <v>963</v>
      </c>
      <c r="D539" s="88">
        <v>130</v>
      </c>
      <c r="E539" s="88">
        <v>833</v>
      </c>
      <c r="F539" s="88">
        <v>298</v>
      </c>
      <c r="G539" s="88">
        <v>90</v>
      </c>
      <c r="H539" s="88">
        <v>311</v>
      </c>
      <c r="I539" s="88">
        <v>20</v>
      </c>
      <c r="J539" s="88">
        <v>186</v>
      </c>
      <c r="K539" s="67">
        <v>989</v>
      </c>
    </row>
    <row r="540" spans="1:11" s="66" customFormat="1" ht="9.9499999999999993" customHeight="1" x14ac:dyDescent="0.25">
      <c r="A540" s="69" t="s">
        <v>41</v>
      </c>
      <c r="B540" s="90">
        <f t="shared" si="31"/>
        <v>1519</v>
      </c>
      <c r="C540" s="90">
        <v>407</v>
      </c>
      <c r="D540" s="90">
        <v>46</v>
      </c>
      <c r="E540" s="90">
        <v>341</v>
      </c>
      <c r="F540" s="90">
        <v>161</v>
      </c>
      <c r="G540" s="90">
        <v>43</v>
      </c>
      <c r="H540" s="90">
        <v>93</v>
      </c>
      <c r="I540" s="90">
        <v>28</v>
      </c>
      <c r="J540" s="90">
        <v>15</v>
      </c>
      <c r="K540" s="90">
        <v>385</v>
      </c>
    </row>
    <row r="541" spans="1:11" s="66" customFormat="1" ht="9.9499999999999993" customHeight="1" x14ac:dyDescent="0.15">
      <c r="A541" s="66" t="s">
        <v>42</v>
      </c>
      <c r="B541" s="88">
        <f t="shared" si="31"/>
        <v>2056</v>
      </c>
      <c r="C541" s="88">
        <v>548</v>
      </c>
      <c r="D541" s="88">
        <v>83</v>
      </c>
      <c r="E541" s="88">
        <v>444</v>
      </c>
      <c r="F541" s="88">
        <v>173</v>
      </c>
      <c r="G541" s="88">
        <v>46</v>
      </c>
      <c r="H541" s="88">
        <v>175</v>
      </c>
      <c r="I541" s="88">
        <v>36</v>
      </c>
      <c r="J541" s="88">
        <v>38</v>
      </c>
      <c r="K541" s="67">
        <v>513</v>
      </c>
    </row>
    <row r="542" spans="1:11" s="66" customFormat="1" ht="9.9499999999999993" customHeight="1" x14ac:dyDescent="0.15">
      <c r="A542" s="66" t="s">
        <v>43</v>
      </c>
      <c r="B542" s="88">
        <f t="shared" si="31"/>
        <v>1779</v>
      </c>
      <c r="C542" s="88">
        <v>427</v>
      </c>
      <c r="D542" s="88">
        <v>75</v>
      </c>
      <c r="E542" s="88">
        <v>372</v>
      </c>
      <c r="F542" s="88">
        <v>157</v>
      </c>
      <c r="G542" s="88">
        <v>51</v>
      </c>
      <c r="H542" s="88">
        <v>188</v>
      </c>
      <c r="I542" s="88">
        <v>5</v>
      </c>
      <c r="J542" s="88">
        <v>65</v>
      </c>
      <c r="K542" s="67">
        <v>439</v>
      </c>
    </row>
    <row r="543" spans="1:11" s="66" customFormat="1" ht="9.9499999999999993" customHeight="1" x14ac:dyDescent="0.15">
      <c r="A543" s="66" t="s">
        <v>44</v>
      </c>
      <c r="B543" s="88">
        <f t="shared" si="31"/>
        <v>4068</v>
      </c>
      <c r="C543" s="88">
        <v>1037</v>
      </c>
      <c r="D543" s="88">
        <v>141</v>
      </c>
      <c r="E543" s="88">
        <v>954</v>
      </c>
      <c r="F543" s="88">
        <v>466</v>
      </c>
      <c r="G543" s="88">
        <v>131</v>
      </c>
      <c r="H543" s="88">
        <v>189</v>
      </c>
      <c r="I543" s="88">
        <v>16</v>
      </c>
      <c r="J543" s="88">
        <v>87</v>
      </c>
      <c r="K543" s="67">
        <v>1047</v>
      </c>
    </row>
    <row r="544" spans="1:11" s="66" customFormat="1" ht="9.9499999999999993" customHeight="1" x14ac:dyDescent="0.15">
      <c r="A544" s="69" t="s">
        <v>45</v>
      </c>
      <c r="B544" s="90">
        <f t="shared" si="31"/>
        <v>1866</v>
      </c>
      <c r="C544" s="90">
        <v>528</v>
      </c>
      <c r="D544" s="90">
        <v>32</v>
      </c>
      <c r="E544" s="90">
        <v>395</v>
      </c>
      <c r="F544" s="90">
        <v>98</v>
      </c>
      <c r="G544" s="90">
        <v>46</v>
      </c>
      <c r="H544" s="90">
        <v>190</v>
      </c>
      <c r="I544" s="90">
        <v>4</v>
      </c>
      <c r="J544" s="90">
        <v>65</v>
      </c>
      <c r="K544" s="70">
        <v>508</v>
      </c>
    </row>
    <row r="545" spans="1:12" s="66" customFormat="1" ht="9.9499999999999993" customHeight="1" x14ac:dyDescent="0.15">
      <c r="A545" s="66" t="s">
        <v>46</v>
      </c>
      <c r="B545" s="88">
        <f t="shared" si="31"/>
        <v>5762</v>
      </c>
      <c r="C545" s="88">
        <v>1399</v>
      </c>
      <c r="D545" s="88">
        <v>708</v>
      </c>
      <c r="E545" s="88">
        <v>1116</v>
      </c>
      <c r="F545" s="88">
        <v>686</v>
      </c>
      <c r="G545" s="88">
        <v>40</v>
      </c>
      <c r="H545" s="88">
        <v>167</v>
      </c>
      <c r="I545" s="88">
        <v>45</v>
      </c>
      <c r="J545" s="88">
        <v>262</v>
      </c>
      <c r="K545" s="67">
        <v>1339</v>
      </c>
    </row>
    <row r="546" spans="1:12" s="66" customFormat="1" ht="9.9499999999999993" customHeight="1" x14ac:dyDescent="0.15">
      <c r="A546" s="66" t="s">
        <v>47</v>
      </c>
      <c r="B546" s="88">
        <f t="shared" si="31"/>
        <v>3552</v>
      </c>
      <c r="C546" s="88">
        <v>838</v>
      </c>
      <c r="D546" s="88">
        <v>319</v>
      </c>
      <c r="E546" s="88">
        <v>733</v>
      </c>
      <c r="F546" s="88">
        <v>326</v>
      </c>
      <c r="G546" s="88">
        <v>50</v>
      </c>
      <c r="H546" s="88">
        <v>128</v>
      </c>
      <c r="I546" s="88">
        <v>48</v>
      </c>
      <c r="J546" s="88">
        <v>236</v>
      </c>
      <c r="K546" s="67">
        <v>874</v>
      </c>
    </row>
    <row r="547" spans="1:12" s="66" customFormat="1" ht="9.9499999999999993" customHeight="1" x14ac:dyDescent="0.25">
      <c r="A547" s="66" t="s">
        <v>48</v>
      </c>
      <c r="B547" s="88">
        <f t="shared" si="31"/>
        <v>856</v>
      </c>
      <c r="C547" s="88">
        <v>266</v>
      </c>
      <c r="D547" s="88">
        <v>17</v>
      </c>
      <c r="E547" s="88">
        <v>171</v>
      </c>
      <c r="F547" s="88">
        <v>120</v>
      </c>
      <c r="G547" s="88">
        <v>22</v>
      </c>
      <c r="H547" s="88">
        <v>24</v>
      </c>
      <c r="I547" s="88">
        <v>1</v>
      </c>
      <c r="J547" s="88">
        <v>5</v>
      </c>
      <c r="K547" s="88">
        <v>230</v>
      </c>
    </row>
    <row r="548" spans="1:12" s="66" customFormat="1" ht="9.9499999999999993" customHeight="1" x14ac:dyDescent="0.15">
      <c r="A548" s="69" t="s">
        <v>49</v>
      </c>
      <c r="B548" s="90">
        <f t="shared" si="31"/>
        <v>1254</v>
      </c>
      <c r="C548" s="90">
        <v>338</v>
      </c>
      <c r="D548" s="90">
        <v>32</v>
      </c>
      <c r="E548" s="90">
        <v>273</v>
      </c>
      <c r="F548" s="90">
        <v>122</v>
      </c>
      <c r="G548" s="90">
        <v>18</v>
      </c>
      <c r="H548" s="90">
        <v>90</v>
      </c>
      <c r="I548" s="90">
        <v>5</v>
      </c>
      <c r="J548" s="90">
        <v>39</v>
      </c>
      <c r="K548" s="70">
        <v>337</v>
      </c>
    </row>
    <row r="549" spans="1:12" s="66" customFormat="1" ht="9.9499999999999993" customHeight="1" x14ac:dyDescent="0.15">
      <c r="A549" s="66" t="s">
        <v>50</v>
      </c>
      <c r="B549" s="88">
        <f t="shared" si="31"/>
        <v>205</v>
      </c>
      <c r="C549" s="88">
        <v>57</v>
      </c>
      <c r="D549" s="88">
        <v>10</v>
      </c>
      <c r="E549" s="88">
        <v>36</v>
      </c>
      <c r="F549" s="88">
        <v>21</v>
      </c>
      <c r="G549" s="88">
        <v>13</v>
      </c>
      <c r="H549" s="88">
        <v>10</v>
      </c>
      <c r="I549" s="88">
        <v>2</v>
      </c>
      <c r="J549" s="88">
        <v>3</v>
      </c>
      <c r="K549" s="67">
        <v>53</v>
      </c>
    </row>
    <row r="550" spans="1:12" s="66" customFormat="1" ht="9.9499999999999993" customHeight="1" x14ac:dyDescent="0.15">
      <c r="A550" s="66" t="s">
        <v>51</v>
      </c>
      <c r="B550" s="88">
        <f t="shared" si="31"/>
        <v>1430</v>
      </c>
      <c r="C550" s="88">
        <v>406</v>
      </c>
      <c r="D550" s="88">
        <v>34</v>
      </c>
      <c r="E550" s="88">
        <v>318</v>
      </c>
      <c r="F550" s="88">
        <v>117</v>
      </c>
      <c r="G550" s="88">
        <v>35</v>
      </c>
      <c r="H550" s="88">
        <v>122</v>
      </c>
      <c r="I550" s="88">
        <v>5</v>
      </c>
      <c r="J550" s="88">
        <v>39</v>
      </c>
      <c r="K550" s="67">
        <v>354</v>
      </c>
    </row>
    <row r="551" spans="1:12" s="66" customFormat="1" ht="9.9499999999999993" customHeight="1" x14ac:dyDescent="0.15">
      <c r="A551" s="66" t="s">
        <v>52</v>
      </c>
      <c r="B551" s="88">
        <f t="shared" si="31"/>
        <v>1747</v>
      </c>
      <c r="C551" s="88">
        <v>420</v>
      </c>
      <c r="D551" s="88">
        <v>61</v>
      </c>
      <c r="E551" s="88">
        <v>397</v>
      </c>
      <c r="F551" s="88">
        <v>126</v>
      </c>
      <c r="G551" s="88">
        <v>44</v>
      </c>
      <c r="H551" s="88">
        <v>151</v>
      </c>
      <c r="I551" s="88">
        <v>8</v>
      </c>
      <c r="J551" s="88">
        <v>111</v>
      </c>
      <c r="K551" s="67">
        <v>429</v>
      </c>
    </row>
    <row r="552" spans="1:12" s="66" customFormat="1" ht="9.9499999999999993" customHeight="1" x14ac:dyDescent="0.15">
      <c r="A552" s="69" t="s">
        <v>53</v>
      </c>
      <c r="B552" s="90">
        <f t="shared" si="31"/>
        <v>1867</v>
      </c>
      <c r="C552" s="90">
        <v>468</v>
      </c>
      <c r="D552" s="90">
        <v>77</v>
      </c>
      <c r="E552" s="90">
        <v>382</v>
      </c>
      <c r="F552" s="90">
        <v>167</v>
      </c>
      <c r="G552" s="90">
        <v>59</v>
      </c>
      <c r="H552" s="90">
        <v>134</v>
      </c>
      <c r="I552" s="90">
        <v>6</v>
      </c>
      <c r="J552" s="90">
        <v>93</v>
      </c>
      <c r="K552" s="70">
        <v>481</v>
      </c>
    </row>
    <row r="553" spans="1:12" s="62" customFormat="1" ht="9.9499999999999993" customHeight="1" x14ac:dyDescent="0.25">
      <c r="A553" s="65"/>
      <c r="B553" s="86"/>
      <c r="C553" s="86"/>
      <c r="D553" s="86"/>
      <c r="E553" s="86"/>
      <c r="F553" s="86"/>
      <c r="G553" s="86"/>
      <c r="H553" s="86"/>
      <c r="I553" s="86"/>
      <c r="J553" s="86"/>
      <c r="K553" s="63"/>
    </row>
    <row r="554" spans="1:12" s="62" customFormat="1" ht="9.9499999999999993" customHeight="1" x14ac:dyDescent="0.25">
      <c r="A554" s="85">
        <v>2015</v>
      </c>
      <c r="B554" s="86"/>
      <c r="C554" s="86"/>
      <c r="D554" s="86"/>
      <c r="E554" s="86"/>
      <c r="F554" s="86"/>
      <c r="G554" s="86"/>
      <c r="H554" s="86"/>
      <c r="I554" s="86"/>
      <c r="J554" s="86"/>
      <c r="K554" s="63"/>
    </row>
    <row r="555" spans="1:12" s="62" customFormat="1" ht="9.9499999999999993" customHeight="1" x14ac:dyDescent="0.25">
      <c r="A555" s="62" t="s">
        <v>21</v>
      </c>
      <c r="B555" s="63">
        <f t="shared" ref="B555:J555" si="32">SUM(B557:B588)</f>
        <v>144018</v>
      </c>
      <c r="C555" s="63">
        <f t="shared" si="32"/>
        <v>35103</v>
      </c>
      <c r="D555" s="63">
        <f t="shared" si="32"/>
        <v>9370</v>
      </c>
      <c r="E555" s="63">
        <f t="shared" si="32"/>
        <v>29597</v>
      </c>
      <c r="F555" s="63">
        <f t="shared" si="32"/>
        <v>13612</v>
      </c>
      <c r="G555" s="63">
        <f t="shared" si="32"/>
        <v>3997</v>
      </c>
      <c r="H555" s="63">
        <f t="shared" si="32"/>
        <v>10349</v>
      </c>
      <c r="I555" s="63">
        <f t="shared" si="32"/>
        <v>1599</v>
      </c>
      <c r="J555" s="63">
        <f t="shared" si="32"/>
        <v>102</v>
      </c>
      <c r="K555" s="63">
        <f>SUM(K557:K588)</f>
        <v>40289</v>
      </c>
      <c r="L555" s="115"/>
    </row>
    <row r="556" spans="1:12" s="62" customFormat="1" ht="3" customHeight="1" x14ac:dyDescent="0.25">
      <c r="B556" s="63"/>
      <c r="C556" s="63"/>
      <c r="D556" s="63"/>
      <c r="E556" s="63"/>
      <c r="F556" s="63"/>
      <c r="G556" s="63"/>
      <c r="H556" s="63"/>
      <c r="I556" s="63"/>
      <c r="J556" s="63"/>
      <c r="K556" s="63"/>
    </row>
    <row r="557" spans="1:12" s="66" customFormat="1" ht="9.9499999999999993" customHeight="1" x14ac:dyDescent="0.15">
      <c r="A557" s="66" t="s">
        <v>23</v>
      </c>
      <c r="B557" s="88">
        <f t="shared" ref="B557:B588" si="33">SUM(C557:K557)</f>
        <v>1756</v>
      </c>
      <c r="C557" s="88">
        <v>416</v>
      </c>
      <c r="D557" s="88">
        <v>145</v>
      </c>
      <c r="E557" s="88">
        <v>396</v>
      </c>
      <c r="F557" s="88">
        <v>103</v>
      </c>
      <c r="G557" s="88">
        <v>14</v>
      </c>
      <c r="H557" s="88">
        <v>154</v>
      </c>
      <c r="I557" s="88">
        <v>2</v>
      </c>
      <c r="J557" s="88">
        <v>0</v>
      </c>
      <c r="K557" s="67">
        <v>526</v>
      </c>
    </row>
    <row r="558" spans="1:12" s="66" customFormat="1" ht="9.9499999999999993" customHeight="1" x14ac:dyDescent="0.15">
      <c r="A558" s="66" t="s">
        <v>24</v>
      </c>
      <c r="B558" s="88">
        <f t="shared" si="33"/>
        <v>11868</v>
      </c>
      <c r="C558" s="88">
        <v>2375</v>
      </c>
      <c r="D558" s="88">
        <v>1551</v>
      </c>
      <c r="E558" s="88">
        <v>2180</v>
      </c>
      <c r="F558" s="88">
        <v>1161</v>
      </c>
      <c r="G558" s="88">
        <v>374</v>
      </c>
      <c r="H558" s="88">
        <v>496</v>
      </c>
      <c r="I558" s="88">
        <v>519</v>
      </c>
      <c r="J558" s="88">
        <v>14</v>
      </c>
      <c r="K558" s="67">
        <v>3198</v>
      </c>
    </row>
    <row r="559" spans="1:12" s="66" customFormat="1" ht="9.9499999999999993" customHeight="1" x14ac:dyDescent="0.15">
      <c r="A559" s="66" t="s">
        <v>25</v>
      </c>
      <c r="B559" s="88">
        <f t="shared" si="33"/>
        <v>1677</v>
      </c>
      <c r="C559" s="88">
        <v>435</v>
      </c>
      <c r="D559" s="88">
        <v>161</v>
      </c>
      <c r="E559" s="88">
        <v>334</v>
      </c>
      <c r="F559" s="88">
        <v>137</v>
      </c>
      <c r="G559" s="88">
        <v>32</v>
      </c>
      <c r="H559" s="88">
        <v>62</v>
      </c>
      <c r="I559" s="88">
        <v>4</v>
      </c>
      <c r="J559" s="88">
        <v>1</v>
      </c>
      <c r="K559" s="67">
        <v>511</v>
      </c>
    </row>
    <row r="560" spans="1:12" s="66" customFormat="1" ht="9.9499999999999993" customHeight="1" x14ac:dyDescent="0.25">
      <c r="A560" s="69" t="s">
        <v>26</v>
      </c>
      <c r="B560" s="90">
        <f t="shared" si="33"/>
        <v>608</v>
      </c>
      <c r="C560" s="90">
        <v>185</v>
      </c>
      <c r="D560" s="90">
        <v>15</v>
      </c>
      <c r="E560" s="90">
        <v>135</v>
      </c>
      <c r="F560" s="90">
        <v>67</v>
      </c>
      <c r="G560" s="90">
        <v>11</v>
      </c>
      <c r="H560" s="90">
        <v>15</v>
      </c>
      <c r="I560" s="90">
        <v>1</v>
      </c>
      <c r="J560" s="90">
        <v>0</v>
      </c>
      <c r="K560" s="90">
        <v>179</v>
      </c>
    </row>
    <row r="561" spans="1:11" s="66" customFormat="1" ht="9.9499999999999993" customHeight="1" x14ac:dyDescent="0.15">
      <c r="A561" s="66" t="s">
        <v>27</v>
      </c>
      <c r="B561" s="88">
        <f t="shared" si="33"/>
        <v>5084</v>
      </c>
      <c r="C561" s="88">
        <v>1318</v>
      </c>
      <c r="D561" s="88">
        <v>138</v>
      </c>
      <c r="E561" s="88">
        <v>1115</v>
      </c>
      <c r="F561" s="88">
        <v>237</v>
      </c>
      <c r="G561" s="88">
        <v>104</v>
      </c>
      <c r="H561" s="88">
        <v>631</v>
      </c>
      <c r="I561" s="88">
        <v>13</v>
      </c>
      <c r="J561" s="88">
        <v>1</v>
      </c>
      <c r="K561" s="67">
        <v>1527</v>
      </c>
    </row>
    <row r="562" spans="1:11" s="66" customFormat="1" ht="9.9499999999999993" customHeight="1" x14ac:dyDescent="0.15">
      <c r="A562" s="66" t="s">
        <v>28</v>
      </c>
      <c r="B562" s="88">
        <f t="shared" si="33"/>
        <v>3571</v>
      </c>
      <c r="C562" s="88">
        <v>801</v>
      </c>
      <c r="D562" s="88">
        <v>585</v>
      </c>
      <c r="E562" s="88">
        <v>732</v>
      </c>
      <c r="F562" s="88">
        <v>265</v>
      </c>
      <c r="G562" s="88">
        <v>58</v>
      </c>
      <c r="H562" s="88">
        <v>100</v>
      </c>
      <c r="I562" s="88">
        <v>77</v>
      </c>
      <c r="J562" s="88">
        <v>1</v>
      </c>
      <c r="K562" s="67">
        <v>952</v>
      </c>
    </row>
    <row r="563" spans="1:11" s="66" customFormat="1" ht="9.9499999999999993" customHeight="1" x14ac:dyDescent="0.15">
      <c r="A563" s="66" t="s">
        <v>29</v>
      </c>
      <c r="B563" s="88">
        <f t="shared" si="33"/>
        <v>1237</v>
      </c>
      <c r="C563" s="88">
        <v>347</v>
      </c>
      <c r="D563" s="88">
        <v>48</v>
      </c>
      <c r="E563" s="88">
        <v>246</v>
      </c>
      <c r="F563" s="88">
        <v>132</v>
      </c>
      <c r="G563" s="88">
        <v>16</v>
      </c>
      <c r="H563" s="88">
        <v>99</v>
      </c>
      <c r="I563" s="88">
        <v>3</v>
      </c>
      <c r="J563" s="88">
        <v>0</v>
      </c>
      <c r="K563" s="67">
        <v>346</v>
      </c>
    </row>
    <row r="564" spans="1:11" s="66" customFormat="1" ht="9.9499999999999993" customHeight="1" x14ac:dyDescent="0.15">
      <c r="A564" s="69" t="s">
        <v>30</v>
      </c>
      <c r="B564" s="90">
        <f t="shared" si="33"/>
        <v>6124</v>
      </c>
      <c r="C564" s="90">
        <v>1256</v>
      </c>
      <c r="D564" s="90">
        <v>350</v>
      </c>
      <c r="E564" s="90">
        <v>1143</v>
      </c>
      <c r="F564" s="90">
        <v>688</v>
      </c>
      <c r="G564" s="90">
        <v>96</v>
      </c>
      <c r="H564" s="90">
        <v>316</v>
      </c>
      <c r="I564" s="90">
        <v>421</v>
      </c>
      <c r="J564" s="90">
        <v>8</v>
      </c>
      <c r="K564" s="70">
        <v>1846</v>
      </c>
    </row>
    <row r="565" spans="1:11" s="66" customFormat="1" ht="9.9499999999999993" customHeight="1" x14ac:dyDescent="0.15">
      <c r="A565" s="66" t="s">
        <v>63</v>
      </c>
      <c r="B565" s="88">
        <f t="shared" si="33"/>
        <v>30695</v>
      </c>
      <c r="C565" s="88">
        <v>7851</v>
      </c>
      <c r="D565" s="88">
        <v>1162</v>
      </c>
      <c r="E565" s="88">
        <v>6377</v>
      </c>
      <c r="F565" s="88">
        <v>3066</v>
      </c>
      <c r="G565" s="88">
        <v>1228</v>
      </c>
      <c r="H565" s="88">
        <v>2688</v>
      </c>
      <c r="I565" s="88">
        <v>70</v>
      </c>
      <c r="J565" s="88">
        <v>19</v>
      </c>
      <c r="K565" s="67">
        <v>8234</v>
      </c>
    </row>
    <row r="566" spans="1:11" s="66" customFormat="1" ht="9.9499999999999993" customHeight="1" x14ac:dyDescent="0.15">
      <c r="A566" s="66" t="s">
        <v>31</v>
      </c>
      <c r="B566" s="88">
        <f t="shared" si="33"/>
        <v>2135</v>
      </c>
      <c r="C566" s="88">
        <v>514</v>
      </c>
      <c r="D566" s="88">
        <v>175</v>
      </c>
      <c r="E566" s="88">
        <v>415</v>
      </c>
      <c r="F566" s="88">
        <v>175</v>
      </c>
      <c r="G566" s="88">
        <v>28</v>
      </c>
      <c r="H566" s="88">
        <v>166</v>
      </c>
      <c r="I566" s="88">
        <v>6</v>
      </c>
      <c r="J566" s="88">
        <v>1</v>
      </c>
      <c r="K566" s="67">
        <v>655</v>
      </c>
    </row>
    <row r="567" spans="1:11" s="66" customFormat="1" ht="9.9499999999999993" customHeight="1" x14ac:dyDescent="0.15">
      <c r="A567" s="66" t="s">
        <v>32</v>
      </c>
      <c r="B567" s="88">
        <f t="shared" si="33"/>
        <v>7125</v>
      </c>
      <c r="C567" s="88">
        <v>1646</v>
      </c>
      <c r="D567" s="88">
        <v>652</v>
      </c>
      <c r="E567" s="88">
        <v>1392</v>
      </c>
      <c r="F567" s="88">
        <v>616</v>
      </c>
      <c r="G567" s="88">
        <v>147</v>
      </c>
      <c r="H567" s="88">
        <v>678</v>
      </c>
      <c r="I567" s="88">
        <v>88</v>
      </c>
      <c r="J567" s="88">
        <v>6</v>
      </c>
      <c r="K567" s="67">
        <v>1900</v>
      </c>
    </row>
    <row r="568" spans="1:11" s="66" customFormat="1" ht="9.9499999999999993" customHeight="1" x14ac:dyDescent="0.15">
      <c r="A568" s="69" t="s">
        <v>33</v>
      </c>
      <c r="B568" s="90">
        <f t="shared" si="33"/>
        <v>2591</v>
      </c>
      <c r="C568" s="90">
        <v>693</v>
      </c>
      <c r="D568" s="90">
        <v>63</v>
      </c>
      <c r="E568" s="90">
        <v>587</v>
      </c>
      <c r="F568" s="90">
        <v>255</v>
      </c>
      <c r="G568" s="90">
        <v>38</v>
      </c>
      <c r="H568" s="90">
        <v>153</v>
      </c>
      <c r="I568" s="90">
        <v>20</v>
      </c>
      <c r="J568" s="90">
        <v>0</v>
      </c>
      <c r="K568" s="70">
        <v>782</v>
      </c>
    </row>
    <row r="569" spans="1:11" s="66" customFormat="1" ht="9.9499999999999993" customHeight="1" x14ac:dyDescent="0.15">
      <c r="A569" s="66" t="s">
        <v>34</v>
      </c>
      <c r="B569" s="88">
        <f t="shared" si="33"/>
        <v>2087</v>
      </c>
      <c r="C569" s="88">
        <v>546</v>
      </c>
      <c r="D569" s="88">
        <v>121</v>
      </c>
      <c r="E569" s="88">
        <v>385</v>
      </c>
      <c r="F569" s="88">
        <v>189</v>
      </c>
      <c r="G569" s="88">
        <v>95</v>
      </c>
      <c r="H569" s="88">
        <v>154</v>
      </c>
      <c r="I569" s="88">
        <v>12</v>
      </c>
      <c r="J569" s="88">
        <v>0</v>
      </c>
      <c r="K569" s="67">
        <v>585</v>
      </c>
    </row>
    <row r="570" spans="1:11" s="66" customFormat="1" ht="9.9499999999999993" customHeight="1" x14ac:dyDescent="0.15">
      <c r="A570" s="66" t="s">
        <v>35</v>
      </c>
      <c r="B570" s="88">
        <f t="shared" si="33"/>
        <v>12246</v>
      </c>
      <c r="C570" s="88">
        <v>2804</v>
      </c>
      <c r="D570" s="88">
        <v>1193</v>
      </c>
      <c r="E570" s="88">
        <v>2284</v>
      </c>
      <c r="F570" s="88">
        <v>1287</v>
      </c>
      <c r="G570" s="88">
        <v>352</v>
      </c>
      <c r="H570" s="88">
        <v>845</v>
      </c>
      <c r="I570" s="88">
        <v>48</v>
      </c>
      <c r="J570" s="88">
        <v>7</v>
      </c>
      <c r="K570" s="67">
        <v>3426</v>
      </c>
    </row>
    <row r="571" spans="1:11" s="66" customFormat="1" ht="9.9499999999999993" customHeight="1" x14ac:dyDescent="0.15">
      <c r="A571" s="66" t="s">
        <v>36</v>
      </c>
      <c r="B571" s="88">
        <f t="shared" si="33"/>
        <v>16730</v>
      </c>
      <c r="C571" s="88">
        <v>4206</v>
      </c>
      <c r="D571" s="88">
        <v>596</v>
      </c>
      <c r="E571" s="88">
        <v>3522</v>
      </c>
      <c r="F571" s="88">
        <v>1660</v>
      </c>
      <c r="G571" s="88">
        <v>620</v>
      </c>
      <c r="H571" s="88">
        <v>1610</v>
      </c>
      <c r="I571" s="88">
        <v>43</v>
      </c>
      <c r="J571" s="88">
        <v>6</v>
      </c>
      <c r="K571" s="67">
        <v>4467</v>
      </c>
    </row>
    <row r="572" spans="1:11" s="66" customFormat="1" ht="9.9499999999999993" customHeight="1" x14ac:dyDescent="0.15">
      <c r="A572" s="69" t="s">
        <v>37</v>
      </c>
      <c r="B572" s="90">
        <f t="shared" si="33"/>
        <v>2507</v>
      </c>
      <c r="C572" s="90">
        <v>613</v>
      </c>
      <c r="D572" s="90">
        <v>260</v>
      </c>
      <c r="E572" s="90">
        <v>450</v>
      </c>
      <c r="F572" s="90">
        <v>200</v>
      </c>
      <c r="G572" s="90">
        <v>81</v>
      </c>
      <c r="H572" s="90">
        <v>115</v>
      </c>
      <c r="I572" s="90">
        <v>19</v>
      </c>
      <c r="J572" s="90">
        <v>4</v>
      </c>
      <c r="K572" s="70">
        <v>765</v>
      </c>
    </row>
    <row r="573" spans="1:11" s="66" customFormat="1" ht="9.9499999999999993" customHeight="1" x14ac:dyDescent="0.15">
      <c r="A573" s="66" t="s">
        <v>38</v>
      </c>
      <c r="B573" s="88">
        <f t="shared" si="33"/>
        <v>1132</v>
      </c>
      <c r="C573" s="88">
        <v>305</v>
      </c>
      <c r="D573" s="88">
        <v>31</v>
      </c>
      <c r="E573" s="88">
        <v>261</v>
      </c>
      <c r="F573" s="88">
        <v>101</v>
      </c>
      <c r="G573" s="88">
        <v>32</v>
      </c>
      <c r="H573" s="88">
        <v>57</v>
      </c>
      <c r="I573" s="88">
        <v>32</v>
      </c>
      <c r="J573" s="88">
        <v>1</v>
      </c>
      <c r="K573" s="67">
        <v>312</v>
      </c>
    </row>
    <row r="574" spans="1:11" s="66" customFormat="1" ht="9.9499999999999993" customHeight="1" x14ac:dyDescent="0.25">
      <c r="A574" s="66" t="s">
        <v>39</v>
      </c>
      <c r="B574" s="88">
        <f t="shared" si="33"/>
        <v>476</v>
      </c>
      <c r="C574" s="88">
        <v>122</v>
      </c>
      <c r="D574" s="88">
        <v>65</v>
      </c>
      <c r="E574" s="88">
        <v>87</v>
      </c>
      <c r="F574" s="88">
        <v>28</v>
      </c>
      <c r="G574" s="88">
        <v>11</v>
      </c>
      <c r="H574" s="88">
        <v>25</v>
      </c>
      <c r="I574" s="88">
        <v>2</v>
      </c>
      <c r="J574" s="88">
        <v>0</v>
      </c>
      <c r="K574" s="88">
        <v>136</v>
      </c>
    </row>
    <row r="575" spans="1:11" s="66" customFormat="1" ht="9.9499999999999993" customHeight="1" x14ac:dyDescent="0.15">
      <c r="A575" s="66" t="s">
        <v>40</v>
      </c>
      <c r="B575" s="88">
        <f t="shared" si="33"/>
        <v>4821</v>
      </c>
      <c r="C575" s="88">
        <v>1186</v>
      </c>
      <c r="D575" s="88">
        <v>201</v>
      </c>
      <c r="E575" s="88">
        <v>1072</v>
      </c>
      <c r="F575" s="88">
        <v>389</v>
      </c>
      <c r="G575" s="88">
        <v>99</v>
      </c>
      <c r="H575" s="88">
        <v>412</v>
      </c>
      <c r="I575" s="88">
        <v>21</v>
      </c>
      <c r="J575" s="88">
        <v>3</v>
      </c>
      <c r="K575" s="67">
        <v>1438</v>
      </c>
    </row>
    <row r="576" spans="1:11" s="66" customFormat="1" ht="9.9499999999999993" customHeight="1" x14ac:dyDescent="0.25">
      <c r="A576" s="69" t="s">
        <v>41</v>
      </c>
      <c r="B576" s="90">
        <f t="shared" si="33"/>
        <v>1760</v>
      </c>
      <c r="C576" s="90">
        <v>453</v>
      </c>
      <c r="D576" s="90">
        <v>81</v>
      </c>
      <c r="E576" s="90">
        <v>374</v>
      </c>
      <c r="F576" s="90">
        <v>192</v>
      </c>
      <c r="G576" s="90">
        <v>42</v>
      </c>
      <c r="H576" s="90">
        <v>129</v>
      </c>
      <c r="I576" s="90">
        <v>48</v>
      </c>
      <c r="J576" s="90">
        <v>2</v>
      </c>
      <c r="K576" s="90">
        <v>439</v>
      </c>
    </row>
    <row r="577" spans="1:12" s="66" customFormat="1" ht="9.9499999999999993" customHeight="1" x14ac:dyDescent="0.15">
      <c r="A577" s="66" t="s">
        <v>42</v>
      </c>
      <c r="B577" s="88">
        <f t="shared" si="33"/>
        <v>1979</v>
      </c>
      <c r="C577" s="88">
        <v>511</v>
      </c>
      <c r="D577" s="88">
        <v>93</v>
      </c>
      <c r="E577" s="88">
        <v>435</v>
      </c>
      <c r="F577" s="88">
        <v>179</v>
      </c>
      <c r="G577" s="88">
        <v>52</v>
      </c>
      <c r="H577" s="88">
        <v>152</v>
      </c>
      <c r="I577" s="88">
        <v>37</v>
      </c>
      <c r="J577" s="88">
        <v>1</v>
      </c>
      <c r="K577" s="67">
        <v>519</v>
      </c>
    </row>
    <row r="578" spans="1:12" s="66" customFormat="1" ht="9.9499999999999993" customHeight="1" x14ac:dyDescent="0.15">
      <c r="A578" s="66" t="s">
        <v>43</v>
      </c>
      <c r="B578" s="88">
        <f t="shared" si="33"/>
        <v>1620</v>
      </c>
      <c r="C578" s="88">
        <v>387</v>
      </c>
      <c r="D578" s="88">
        <v>75</v>
      </c>
      <c r="E578" s="88">
        <v>352</v>
      </c>
      <c r="F578" s="88">
        <v>147</v>
      </c>
      <c r="G578" s="88">
        <v>44</v>
      </c>
      <c r="H578" s="88">
        <v>163</v>
      </c>
      <c r="I578" s="88">
        <v>4</v>
      </c>
      <c r="J578" s="88">
        <v>0</v>
      </c>
      <c r="K578" s="67">
        <v>448</v>
      </c>
    </row>
    <row r="579" spans="1:12" s="66" customFormat="1" ht="9.9499999999999993" customHeight="1" x14ac:dyDescent="0.15">
      <c r="A579" s="66" t="s">
        <v>44</v>
      </c>
      <c r="B579" s="88">
        <f t="shared" si="33"/>
        <v>4256</v>
      </c>
      <c r="C579" s="88">
        <v>1061</v>
      </c>
      <c r="D579" s="88">
        <v>178</v>
      </c>
      <c r="E579" s="88">
        <v>1002</v>
      </c>
      <c r="F579" s="88">
        <v>507</v>
      </c>
      <c r="G579" s="88">
        <v>146</v>
      </c>
      <c r="H579" s="88">
        <v>174</v>
      </c>
      <c r="I579" s="88">
        <v>12</v>
      </c>
      <c r="J579" s="88">
        <v>3</v>
      </c>
      <c r="K579" s="67">
        <v>1173</v>
      </c>
    </row>
    <row r="580" spans="1:12" s="66" customFormat="1" ht="9.9499999999999993" customHeight="1" x14ac:dyDescent="0.15">
      <c r="A580" s="69" t="s">
        <v>45</v>
      </c>
      <c r="B580" s="90">
        <f t="shared" si="33"/>
        <v>1901</v>
      </c>
      <c r="C580" s="90">
        <v>542</v>
      </c>
      <c r="D580" s="90">
        <v>53</v>
      </c>
      <c r="E580" s="90">
        <v>390</v>
      </c>
      <c r="F580" s="90">
        <v>97</v>
      </c>
      <c r="G580" s="90">
        <v>37</v>
      </c>
      <c r="H580" s="90">
        <v>174</v>
      </c>
      <c r="I580" s="90">
        <v>4</v>
      </c>
      <c r="J580" s="90">
        <v>1</v>
      </c>
      <c r="K580" s="70">
        <v>603</v>
      </c>
    </row>
    <row r="581" spans="1:12" s="66" customFormat="1" ht="9.9499999999999993" customHeight="1" x14ac:dyDescent="0.15">
      <c r="A581" s="66" t="s">
        <v>46</v>
      </c>
      <c r="B581" s="88">
        <f t="shared" si="33"/>
        <v>6266</v>
      </c>
      <c r="C581" s="88">
        <v>1530</v>
      </c>
      <c r="D581" s="88">
        <v>812</v>
      </c>
      <c r="E581" s="88">
        <v>1245</v>
      </c>
      <c r="F581" s="88">
        <v>733</v>
      </c>
      <c r="G581" s="88">
        <v>29</v>
      </c>
      <c r="H581" s="88">
        <v>124</v>
      </c>
      <c r="I581" s="88">
        <v>41</v>
      </c>
      <c r="J581" s="88">
        <v>6</v>
      </c>
      <c r="K581" s="67">
        <v>1746</v>
      </c>
    </row>
    <row r="582" spans="1:12" s="66" customFormat="1" ht="9.9499999999999993" customHeight="1" x14ac:dyDescent="0.15">
      <c r="A582" s="66" t="s">
        <v>47</v>
      </c>
      <c r="B582" s="88">
        <f t="shared" si="33"/>
        <v>3471</v>
      </c>
      <c r="C582" s="88">
        <v>809</v>
      </c>
      <c r="D582" s="88">
        <v>296</v>
      </c>
      <c r="E582" s="88">
        <v>772</v>
      </c>
      <c r="F582" s="88">
        <v>311</v>
      </c>
      <c r="G582" s="88">
        <v>38</v>
      </c>
      <c r="H582" s="88">
        <v>118</v>
      </c>
      <c r="I582" s="88">
        <v>32</v>
      </c>
      <c r="J582" s="88">
        <v>2</v>
      </c>
      <c r="K582" s="67">
        <v>1093</v>
      </c>
    </row>
    <row r="583" spans="1:12" s="66" customFormat="1" ht="9.9499999999999993" customHeight="1" x14ac:dyDescent="0.25">
      <c r="A583" s="66" t="s">
        <v>48</v>
      </c>
      <c r="B583" s="88">
        <f t="shared" si="33"/>
        <v>732</v>
      </c>
      <c r="C583" s="88">
        <v>238</v>
      </c>
      <c r="D583" s="88">
        <v>12</v>
      </c>
      <c r="E583" s="88">
        <v>152</v>
      </c>
      <c r="F583" s="88">
        <v>88</v>
      </c>
      <c r="G583" s="88">
        <v>10</v>
      </c>
      <c r="H583" s="88">
        <v>7</v>
      </c>
      <c r="I583" s="88">
        <v>1</v>
      </c>
      <c r="J583" s="88">
        <v>0</v>
      </c>
      <c r="K583" s="88">
        <v>224</v>
      </c>
    </row>
    <row r="584" spans="1:12" s="66" customFormat="1" ht="9.9499999999999993" customHeight="1" x14ac:dyDescent="0.15">
      <c r="A584" s="69" t="s">
        <v>49</v>
      </c>
      <c r="B584" s="90">
        <f t="shared" si="33"/>
        <v>1552</v>
      </c>
      <c r="C584" s="90">
        <v>417</v>
      </c>
      <c r="D584" s="90">
        <v>26</v>
      </c>
      <c r="E584" s="90">
        <v>368</v>
      </c>
      <c r="F584" s="90">
        <v>130</v>
      </c>
      <c r="G584" s="90">
        <v>20</v>
      </c>
      <c r="H584" s="90">
        <v>99</v>
      </c>
      <c r="I584" s="90">
        <v>5</v>
      </c>
      <c r="J584" s="90">
        <v>5</v>
      </c>
      <c r="K584" s="70">
        <v>482</v>
      </c>
    </row>
    <row r="585" spans="1:12" s="66" customFormat="1" ht="9.9499999999999993" customHeight="1" x14ac:dyDescent="0.15">
      <c r="A585" s="66" t="s">
        <v>50</v>
      </c>
      <c r="B585" s="88">
        <f t="shared" si="33"/>
        <v>272</v>
      </c>
      <c r="C585" s="88">
        <v>82</v>
      </c>
      <c r="D585" s="88">
        <v>9</v>
      </c>
      <c r="E585" s="88">
        <v>51</v>
      </c>
      <c r="F585" s="88">
        <v>20</v>
      </c>
      <c r="G585" s="88">
        <v>14</v>
      </c>
      <c r="H585" s="88">
        <v>18</v>
      </c>
      <c r="I585" s="88">
        <v>0</v>
      </c>
      <c r="J585" s="88">
        <v>0</v>
      </c>
      <c r="K585" s="67">
        <v>78</v>
      </c>
    </row>
    <row r="586" spans="1:12" s="66" customFormat="1" ht="9.9499999999999993" customHeight="1" x14ac:dyDescent="0.15">
      <c r="A586" s="66" t="s">
        <v>51</v>
      </c>
      <c r="B586" s="88">
        <f t="shared" si="33"/>
        <v>1322</v>
      </c>
      <c r="C586" s="88">
        <v>384</v>
      </c>
      <c r="D586" s="88">
        <v>35</v>
      </c>
      <c r="E586" s="88">
        <v>331</v>
      </c>
      <c r="F586" s="88">
        <v>93</v>
      </c>
      <c r="G586" s="88">
        <v>30</v>
      </c>
      <c r="H586" s="88">
        <v>95</v>
      </c>
      <c r="I586" s="88">
        <v>1</v>
      </c>
      <c r="J586" s="88">
        <v>0</v>
      </c>
      <c r="K586" s="67">
        <v>353</v>
      </c>
    </row>
    <row r="587" spans="1:12" s="66" customFormat="1" ht="9.9499999999999993" customHeight="1" x14ac:dyDescent="0.15">
      <c r="A587" s="66" t="s">
        <v>52</v>
      </c>
      <c r="B587" s="88">
        <f t="shared" si="33"/>
        <v>1987</v>
      </c>
      <c r="C587" s="88">
        <v>478</v>
      </c>
      <c r="D587" s="88">
        <v>59</v>
      </c>
      <c r="E587" s="88">
        <v>500</v>
      </c>
      <c r="F587" s="88">
        <v>150</v>
      </c>
      <c r="G587" s="88">
        <v>27</v>
      </c>
      <c r="H587" s="88">
        <v>139</v>
      </c>
      <c r="I587" s="88">
        <v>7</v>
      </c>
      <c r="J587" s="88">
        <v>9</v>
      </c>
      <c r="K587" s="67">
        <v>618</v>
      </c>
    </row>
    <row r="588" spans="1:12" s="66" customFormat="1" ht="9.9499999999999993" customHeight="1" x14ac:dyDescent="0.15">
      <c r="A588" s="69" t="s">
        <v>53</v>
      </c>
      <c r="B588" s="90">
        <f t="shared" si="33"/>
        <v>2430</v>
      </c>
      <c r="C588" s="90">
        <v>592</v>
      </c>
      <c r="D588" s="90">
        <v>129</v>
      </c>
      <c r="E588" s="90">
        <v>512</v>
      </c>
      <c r="F588" s="90">
        <v>209</v>
      </c>
      <c r="G588" s="90">
        <v>72</v>
      </c>
      <c r="H588" s="90">
        <v>181</v>
      </c>
      <c r="I588" s="90">
        <v>6</v>
      </c>
      <c r="J588" s="90">
        <v>1</v>
      </c>
      <c r="K588" s="70">
        <v>728</v>
      </c>
    </row>
    <row r="589" spans="1:12" s="62" customFormat="1" ht="9.9499999999999993" customHeight="1" x14ac:dyDescent="0.25">
      <c r="A589" s="65"/>
      <c r="B589" s="86"/>
      <c r="C589" s="86"/>
      <c r="D589" s="86"/>
      <c r="E589" s="86"/>
      <c r="F589" s="86"/>
      <c r="G589" s="86"/>
      <c r="H589" s="86"/>
      <c r="I589" s="86"/>
      <c r="J589" s="86"/>
      <c r="K589" s="63"/>
    </row>
    <row r="590" spans="1:12" s="62" customFormat="1" ht="9.9499999999999993" customHeight="1" x14ac:dyDescent="0.25">
      <c r="A590" s="85">
        <v>2016</v>
      </c>
      <c r="B590" s="86"/>
      <c r="C590" s="86"/>
      <c r="D590" s="86"/>
      <c r="E590" s="86"/>
      <c r="F590" s="86"/>
      <c r="G590" s="86"/>
      <c r="H590" s="86"/>
      <c r="I590" s="86"/>
      <c r="J590" s="86"/>
      <c r="K590" s="63"/>
    </row>
    <row r="591" spans="1:12" s="62" customFormat="1" ht="9.9499999999999993" customHeight="1" x14ac:dyDescent="0.25">
      <c r="A591" s="62" t="s">
        <v>21</v>
      </c>
      <c r="B591" s="63">
        <f t="shared" ref="B591:J591" si="34">SUM(B593:B624)</f>
        <v>146004</v>
      </c>
      <c r="C591" s="63">
        <f t="shared" si="34"/>
        <v>34908</v>
      </c>
      <c r="D591" s="63">
        <f t="shared" si="34"/>
        <v>11098</v>
      </c>
      <c r="E591" s="63">
        <f t="shared" si="34"/>
        <v>29515</v>
      </c>
      <c r="F591" s="63">
        <f t="shared" si="34"/>
        <v>14347</v>
      </c>
      <c r="G591" s="63">
        <f t="shared" si="34"/>
        <v>4322</v>
      </c>
      <c r="H591" s="63">
        <f t="shared" si="34"/>
        <v>9652</v>
      </c>
      <c r="I591" s="63">
        <f t="shared" si="34"/>
        <v>1781</v>
      </c>
      <c r="J591" s="63">
        <f t="shared" si="34"/>
        <v>87</v>
      </c>
      <c r="K591" s="63">
        <f>SUM(K593:K624)</f>
        <v>40294</v>
      </c>
      <c r="L591" s="115"/>
    </row>
    <row r="592" spans="1:12" s="62" customFormat="1" ht="3" customHeight="1" x14ac:dyDescent="0.25">
      <c r="B592" s="63"/>
      <c r="C592" s="63"/>
      <c r="D592" s="63"/>
      <c r="E592" s="63"/>
      <c r="F592" s="63"/>
      <c r="G592" s="63"/>
      <c r="H592" s="63"/>
      <c r="I592" s="63"/>
      <c r="J592" s="63"/>
      <c r="K592" s="63"/>
    </row>
    <row r="593" spans="1:11" s="66" customFormat="1" ht="9.9499999999999993" customHeight="1" x14ac:dyDescent="0.15">
      <c r="A593" s="66" t="s">
        <v>23</v>
      </c>
      <c r="B593" s="88">
        <f t="shared" ref="B593:B624" si="35">SUM(C593:K593)</f>
        <v>1834</v>
      </c>
      <c r="C593" s="88">
        <v>421</v>
      </c>
      <c r="D593" s="88">
        <v>190</v>
      </c>
      <c r="E593" s="88">
        <v>406</v>
      </c>
      <c r="F593" s="88">
        <v>110</v>
      </c>
      <c r="G593" s="88">
        <v>29</v>
      </c>
      <c r="H593" s="88">
        <v>145</v>
      </c>
      <c r="I593" s="88">
        <v>2</v>
      </c>
      <c r="J593" s="88">
        <v>0</v>
      </c>
      <c r="K593" s="67">
        <v>531</v>
      </c>
    </row>
    <row r="594" spans="1:11" s="66" customFormat="1" ht="9.9499999999999993" customHeight="1" x14ac:dyDescent="0.15">
      <c r="A594" s="66" t="s">
        <v>24</v>
      </c>
      <c r="B594" s="88">
        <f t="shared" si="35"/>
        <v>12026</v>
      </c>
      <c r="C594" s="88">
        <v>2354</v>
      </c>
      <c r="D594" s="88">
        <v>1620</v>
      </c>
      <c r="E594" s="88">
        <v>2139</v>
      </c>
      <c r="F594" s="88">
        <v>1232</v>
      </c>
      <c r="G594" s="88">
        <v>393</v>
      </c>
      <c r="H594" s="88">
        <v>440</v>
      </c>
      <c r="I594" s="88">
        <v>659</v>
      </c>
      <c r="J594" s="88">
        <v>9</v>
      </c>
      <c r="K594" s="67">
        <v>3180</v>
      </c>
    </row>
    <row r="595" spans="1:11" s="66" customFormat="1" ht="9.9499999999999993" customHeight="1" x14ac:dyDescent="0.15">
      <c r="A595" s="66" t="s">
        <v>25</v>
      </c>
      <c r="B595" s="88">
        <f t="shared" si="35"/>
        <v>1524</v>
      </c>
      <c r="C595" s="88">
        <v>387</v>
      </c>
      <c r="D595" s="88">
        <v>163</v>
      </c>
      <c r="E595" s="88">
        <v>330</v>
      </c>
      <c r="F595" s="88">
        <v>124</v>
      </c>
      <c r="G595" s="88">
        <v>30</v>
      </c>
      <c r="H595" s="88">
        <v>49</v>
      </c>
      <c r="I595" s="88">
        <v>2</v>
      </c>
      <c r="J595" s="88">
        <v>2</v>
      </c>
      <c r="K595" s="67">
        <v>437</v>
      </c>
    </row>
    <row r="596" spans="1:11" s="66" customFormat="1" ht="9.9499999999999993" customHeight="1" x14ac:dyDescent="0.25">
      <c r="A596" s="69" t="s">
        <v>26</v>
      </c>
      <c r="B596" s="90">
        <f t="shared" si="35"/>
        <v>591</v>
      </c>
      <c r="C596" s="90">
        <v>184</v>
      </c>
      <c r="D596" s="90">
        <v>16</v>
      </c>
      <c r="E596" s="90">
        <v>115</v>
      </c>
      <c r="F596" s="90">
        <v>69</v>
      </c>
      <c r="G596" s="90">
        <v>14</v>
      </c>
      <c r="H596" s="90">
        <v>14</v>
      </c>
      <c r="I596" s="90">
        <v>1</v>
      </c>
      <c r="J596" s="90">
        <v>0</v>
      </c>
      <c r="K596" s="90">
        <v>178</v>
      </c>
    </row>
    <row r="597" spans="1:11" s="66" customFormat="1" ht="9.9499999999999993" customHeight="1" x14ac:dyDescent="0.15">
      <c r="A597" s="66" t="s">
        <v>27</v>
      </c>
      <c r="B597" s="88">
        <f t="shared" si="35"/>
        <v>5341</v>
      </c>
      <c r="C597" s="88">
        <v>1379</v>
      </c>
      <c r="D597" s="88">
        <v>214</v>
      </c>
      <c r="E597" s="88">
        <v>1204</v>
      </c>
      <c r="F597" s="88">
        <v>231</v>
      </c>
      <c r="G597" s="88">
        <v>102</v>
      </c>
      <c r="H597" s="88">
        <v>587</v>
      </c>
      <c r="I597" s="88">
        <v>7</v>
      </c>
      <c r="J597" s="88">
        <v>2</v>
      </c>
      <c r="K597" s="67">
        <v>1615</v>
      </c>
    </row>
    <row r="598" spans="1:11" s="66" customFormat="1" ht="9.9499999999999993" customHeight="1" x14ac:dyDescent="0.15">
      <c r="A598" s="66" t="s">
        <v>28</v>
      </c>
      <c r="B598" s="88">
        <f t="shared" si="35"/>
        <v>4054</v>
      </c>
      <c r="C598" s="88">
        <v>876</v>
      </c>
      <c r="D598" s="88">
        <v>734</v>
      </c>
      <c r="E598" s="88">
        <v>790</v>
      </c>
      <c r="F598" s="88">
        <v>333</v>
      </c>
      <c r="G598" s="88">
        <v>61</v>
      </c>
      <c r="H598" s="88">
        <v>110</v>
      </c>
      <c r="I598" s="88">
        <v>93</v>
      </c>
      <c r="J598" s="88">
        <v>0</v>
      </c>
      <c r="K598" s="67">
        <v>1057</v>
      </c>
    </row>
    <row r="599" spans="1:11" s="66" customFormat="1" ht="9.9499999999999993" customHeight="1" x14ac:dyDescent="0.15">
      <c r="A599" s="66" t="s">
        <v>29</v>
      </c>
      <c r="B599" s="88">
        <f t="shared" si="35"/>
        <v>1428</v>
      </c>
      <c r="C599" s="88">
        <v>367</v>
      </c>
      <c r="D599" s="88">
        <v>72</v>
      </c>
      <c r="E599" s="88">
        <v>284</v>
      </c>
      <c r="F599" s="88">
        <v>182</v>
      </c>
      <c r="G599" s="88">
        <v>43</v>
      </c>
      <c r="H599" s="88">
        <v>99</v>
      </c>
      <c r="I599" s="88">
        <v>3</v>
      </c>
      <c r="J599" s="88">
        <v>0</v>
      </c>
      <c r="K599" s="67">
        <v>378</v>
      </c>
    </row>
    <row r="600" spans="1:11" s="66" customFormat="1" ht="9.9499999999999993" customHeight="1" x14ac:dyDescent="0.15">
      <c r="A600" s="69" t="s">
        <v>30</v>
      </c>
      <c r="B600" s="90">
        <f t="shared" si="35"/>
        <v>6715</v>
      </c>
      <c r="C600" s="90">
        <v>1347</v>
      </c>
      <c r="D600" s="90">
        <v>503</v>
      </c>
      <c r="E600" s="90">
        <v>1270</v>
      </c>
      <c r="F600" s="90">
        <v>753</v>
      </c>
      <c r="G600" s="90">
        <v>82</v>
      </c>
      <c r="H600" s="90">
        <v>281</v>
      </c>
      <c r="I600" s="90">
        <v>476</v>
      </c>
      <c r="J600" s="90">
        <v>3</v>
      </c>
      <c r="K600" s="70">
        <v>2000</v>
      </c>
    </row>
    <row r="601" spans="1:11" s="66" customFormat="1" ht="9.9499999999999993" customHeight="1" x14ac:dyDescent="0.15">
      <c r="A601" s="66" t="s">
        <v>63</v>
      </c>
      <c r="B601" s="88">
        <f t="shared" si="35"/>
        <v>30280</v>
      </c>
      <c r="C601" s="88">
        <v>7786</v>
      </c>
      <c r="D601" s="88">
        <v>1200</v>
      </c>
      <c r="E601" s="88">
        <v>5981</v>
      </c>
      <c r="F601" s="88">
        <v>3318</v>
      </c>
      <c r="G601" s="88">
        <v>1258</v>
      </c>
      <c r="H601" s="88">
        <v>2414</v>
      </c>
      <c r="I601" s="88">
        <v>68</v>
      </c>
      <c r="J601" s="88">
        <v>19</v>
      </c>
      <c r="K601" s="67">
        <v>8236</v>
      </c>
    </row>
    <row r="602" spans="1:11" s="66" customFormat="1" ht="9.9499999999999993" customHeight="1" x14ac:dyDescent="0.15">
      <c r="A602" s="66" t="s">
        <v>31</v>
      </c>
      <c r="B602" s="88">
        <f t="shared" si="35"/>
        <v>2187</v>
      </c>
      <c r="C602" s="88">
        <v>532</v>
      </c>
      <c r="D602" s="88">
        <v>202</v>
      </c>
      <c r="E602" s="88">
        <v>421</v>
      </c>
      <c r="F602" s="88">
        <v>162</v>
      </c>
      <c r="G602" s="88">
        <v>46</v>
      </c>
      <c r="H602" s="88">
        <v>131</v>
      </c>
      <c r="I602" s="88">
        <v>3</v>
      </c>
      <c r="J602" s="88">
        <v>0</v>
      </c>
      <c r="K602" s="67">
        <v>690</v>
      </c>
    </row>
    <row r="603" spans="1:11" s="66" customFormat="1" ht="9.9499999999999993" customHeight="1" x14ac:dyDescent="0.15">
      <c r="A603" s="66" t="s">
        <v>32</v>
      </c>
      <c r="B603" s="88">
        <f t="shared" si="35"/>
        <v>7187</v>
      </c>
      <c r="C603" s="88">
        <v>1587</v>
      </c>
      <c r="D603" s="88">
        <v>855</v>
      </c>
      <c r="E603" s="88">
        <v>1369</v>
      </c>
      <c r="F603" s="88">
        <v>645</v>
      </c>
      <c r="G603" s="88">
        <v>154</v>
      </c>
      <c r="H603" s="88">
        <v>647</v>
      </c>
      <c r="I603" s="88">
        <v>74</v>
      </c>
      <c r="J603" s="88">
        <v>5</v>
      </c>
      <c r="K603" s="67">
        <v>1851</v>
      </c>
    </row>
    <row r="604" spans="1:11" s="66" customFormat="1" ht="9.9499999999999993" customHeight="1" x14ac:dyDescent="0.15">
      <c r="A604" s="69" t="s">
        <v>33</v>
      </c>
      <c r="B604" s="90">
        <f t="shared" si="35"/>
        <v>2588</v>
      </c>
      <c r="C604" s="90">
        <v>683</v>
      </c>
      <c r="D604" s="90">
        <v>99</v>
      </c>
      <c r="E604" s="90">
        <v>587</v>
      </c>
      <c r="F604" s="90">
        <v>251</v>
      </c>
      <c r="G604" s="90">
        <v>51</v>
      </c>
      <c r="H604" s="90">
        <v>154</v>
      </c>
      <c r="I604" s="90">
        <v>21</v>
      </c>
      <c r="J604" s="90">
        <v>1</v>
      </c>
      <c r="K604" s="70">
        <v>741</v>
      </c>
    </row>
    <row r="605" spans="1:11" s="66" customFormat="1" ht="9.9499999999999993" customHeight="1" x14ac:dyDescent="0.15">
      <c r="A605" s="66" t="s">
        <v>34</v>
      </c>
      <c r="B605" s="88">
        <f t="shared" si="35"/>
        <v>2556</v>
      </c>
      <c r="C605" s="88">
        <v>646</v>
      </c>
      <c r="D605" s="88">
        <v>182</v>
      </c>
      <c r="E605" s="88">
        <v>467</v>
      </c>
      <c r="F605" s="88">
        <v>238</v>
      </c>
      <c r="G605" s="88">
        <v>137</v>
      </c>
      <c r="H605" s="88">
        <v>198</v>
      </c>
      <c r="I605" s="88">
        <v>12</v>
      </c>
      <c r="J605" s="88">
        <v>0</v>
      </c>
      <c r="K605" s="67">
        <v>676</v>
      </c>
    </row>
    <row r="606" spans="1:11" s="66" customFormat="1" ht="9.9499999999999993" customHeight="1" x14ac:dyDescent="0.15">
      <c r="A606" s="66" t="s">
        <v>35</v>
      </c>
      <c r="B606" s="88">
        <f t="shared" si="35"/>
        <v>12632</v>
      </c>
      <c r="C606" s="88">
        <v>2812</v>
      </c>
      <c r="D606" s="88">
        <v>1514</v>
      </c>
      <c r="E606" s="88">
        <v>2260</v>
      </c>
      <c r="F606" s="88">
        <v>1342</v>
      </c>
      <c r="G606" s="88">
        <v>372</v>
      </c>
      <c r="H606" s="88">
        <v>825</v>
      </c>
      <c r="I606" s="88">
        <v>53</v>
      </c>
      <c r="J606" s="88">
        <v>4</v>
      </c>
      <c r="K606" s="67">
        <v>3450</v>
      </c>
    </row>
    <row r="607" spans="1:11" s="66" customFormat="1" ht="9.9499999999999993" customHeight="1" x14ac:dyDescent="0.15">
      <c r="A607" s="66" t="s">
        <v>36</v>
      </c>
      <c r="B607" s="88">
        <f t="shared" si="35"/>
        <v>16129</v>
      </c>
      <c r="C607" s="88">
        <v>4037</v>
      </c>
      <c r="D607" s="88">
        <v>650</v>
      </c>
      <c r="E607" s="88">
        <v>3430</v>
      </c>
      <c r="F607" s="88">
        <v>1658</v>
      </c>
      <c r="G607" s="88">
        <v>626</v>
      </c>
      <c r="H607" s="88">
        <v>1455</v>
      </c>
      <c r="I607" s="88">
        <v>38</v>
      </c>
      <c r="J607" s="88">
        <v>6</v>
      </c>
      <c r="K607" s="67">
        <v>4229</v>
      </c>
    </row>
    <row r="608" spans="1:11" s="66" customFormat="1" ht="9.9499999999999993" customHeight="1" x14ac:dyDescent="0.15">
      <c r="A608" s="69" t="s">
        <v>37</v>
      </c>
      <c r="B608" s="90">
        <f t="shared" si="35"/>
        <v>2355</v>
      </c>
      <c r="C608" s="90">
        <v>572</v>
      </c>
      <c r="D608" s="90">
        <v>299</v>
      </c>
      <c r="E608" s="90">
        <v>429</v>
      </c>
      <c r="F608" s="90">
        <v>162</v>
      </c>
      <c r="G608" s="90">
        <v>76</v>
      </c>
      <c r="H608" s="90">
        <v>102</v>
      </c>
      <c r="I608" s="90">
        <v>19</v>
      </c>
      <c r="J608" s="90">
        <v>6</v>
      </c>
      <c r="K608" s="70">
        <v>690</v>
      </c>
    </row>
    <row r="609" spans="1:11" s="66" customFormat="1" ht="9.9499999999999993" customHeight="1" x14ac:dyDescent="0.15">
      <c r="A609" s="66" t="s">
        <v>38</v>
      </c>
      <c r="B609" s="88">
        <f t="shared" si="35"/>
        <v>1188</v>
      </c>
      <c r="C609" s="88">
        <v>303</v>
      </c>
      <c r="D609" s="88">
        <v>60</v>
      </c>
      <c r="E609" s="88">
        <v>254</v>
      </c>
      <c r="F609" s="88">
        <v>110</v>
      </c>
      <c r="G609" s="88">
        <v>31</v>
      </c>
      <c r="H609" s="88">
        <v>64</v>
      </c>
      <c r="I609" s="88">
        <v>30</v>
      </c>
      <c r="J609" s="88">
        <v>1</v>
      </c>
      <c r="K609" s="67">
        <v>335</v>
      </c>
    </row>
    <row r="610" spans="1:11" s="66" customFormat="1" ht="9.9499999999999993" customHeight="1" x14ac:dyDescent="0.25">
      <c r="A610" s="66" t="s">
        <v>39</v>
      </c>
      <c r="B610" s="88">
        <f t="shared" si="35"/>
        <v>500</v>
      </c>
      <c r="C610" s="88">
        <v>121</v>
      </c>
      <c r="D610" s="88">
        <v>66</v>
      </c>
      <c r="E610" s="88">
        <v>99</v>
      </c>
      <c r="F610" s="88">
        <v>41</v>
      </c>
      <c r="G610" s="88">
        <v>6</v>
      </c>
      <c r="H610" s="88">
        <v>22</v>
      </c>
      <c r="I610" s="88">
        <v>4</v>
      </c>
      <c r="J610" s="88">
        <v>0</v>
      </c>
      <c r="K610" s="88">
        <v>141</v>
      </c>
    </row>
    <row r="611" spans="1:11" s="66" customFormat="1" ht="9.9499999999999993" customHeight="1" x14ac:dyDescent="0.15">
      <c r="A611" s="66" t="s">
        <v>40</v>
      </c>
      <c r="B611" s="88">
        <f t="shared" si="35"/>
        <v>5008</v>
      </c>
      <c r="C611" s="88">
        <v>1154</v>
      </c>
      <c r="D611" s="88">
        <v>267</v>
      </c>
      <c r="E611" s="88">
        <v>1093</v>
      </c>
      <c r="F611" s="88">
        <v>501</v>
      </c>
      <c r="G611" s="88">
        <v>118</v>
      </c>
      <c r="H611" s="88">
        <v>377</v>
      </c>
      <c r="I611" s="88">
        <v>18</v>
      </c>
      <c r="J611" s="88">
        <v>1</v>
      </c>
      <c r="K611" s="67">
        <v>1479</v>
      </c>
    </row>
    <row r="612" spans="1:11" s="66" customFormat="1" ht="9.9499999999999993" customHeight="1" x14ac:dyDescent="0.25">
      <c r="A612" s="69" t="s">
        <v>41</v>
      </c>
      <c r="B612" s="90">
        <f t="shared" si="35"/>
        <v>1876</v>
      </c>
      <c r="C612" s="90">
        <v>475</v>
      </c>
      <c r="D612" s="90">
        <v>123</v>
      </c>
      <c r="E612" s="90">
        <v>392</v>
      </c>
      <c r="F612" s="90">
        <v>205</v>
      </c>
      <c r="G612" s="90">
        <v>42</v>
      </c>
      <c r="H612" s="90">
        <v>135</v>
      </c>
      <c r="I612" s="90">
        <v>49</v>
      </c>
      <c r="J612" s="90">
        <v>1</v>
      </c>
      <c r="K612" s="90">
        <v>454</v>
      </c>
    </row>
    <row r="613" spans="1:11" s="66" customFormat="1" ht="9.9499999999999993" customHeight="1" x14ac:dyDescent="0.15">
      <c r="A613" s="66" t="s">
        <v>42</v>
      </c>
      <c r="B613" s="88">
        <f t="shared" si="35"/>
        <v>2578</v>
      </c>
      <c r="C613" s="88">
        <v>631</v>
      </c>
      <c r="D613" s="88">
        <v>174</v>
      </c>
      <c r="E613" s="88">
        <v>561</v>
      </c>
      <c r="F613" s="88">
        <v>230</v>
      </c>
      <c r="G613" s="88">
        <v>89</v>
      </c>
      <c r="H613" s="88">
        <v>198</v>
      </c>
      <c r="I613" s="88">
        <v>36</v>
      </c>
      <c r="J613" s="88">
        <v>4</v>
      </c>
      <c r="K613" s="67">
        <v>655</v>
      </c>
    </row>
    <row r="614" spans="1:11" s="66" customFormat="1" ht="9.9499999999999993" customHeight="1" x14ac:dyDescent="0.15">
      <c r="A614" s="66" t="s">
        <v>43</v>
      </c>
      <c r="B614" s="88">
        <f t="shared" si="35"/>
        <v>1503</v>
      </c>
      <c r="C614" s="88">
        <v>370</v>
      </c>
      <c r="D614" s="88">
        <v>60</v>
      </c>
      <c r="E614" s="88">
        <v>311</v>
      </c>
      <c r="F614" s="88">
        <v>143</v>
      </c>
      <c r="G614" s="88">
        <v>60</v>
      </c>
      <c r="H614" s="88">
        <v>138</v>
      </c>
      <c r="I614" s="88">
        <v>6</v>
      </c>
      <c r="J614" s="88">
        <v>0</v>
      </c>
      <c r="K614" s="67">
        <v>415</v>
      </c>
    </row>
    <row r="615" spans="1:11" s="66" customFormat="1" ht="9.9499999999999993" customHeight="1" x14ac:dyDescent="0.15">
      <c r="A615" s="66" t="s">
        <v>44</v>
      </c>
      <c r="B615" s="88">
        <f t="shared" si="35"/>
        <v>4366</v>
      </c>
      <c r="C615" s="88">
        <v>1052</v>
      </c>
      <c r="D615" s="88">
        <v>196</v>
      </c>
      <c r="E615" s="88">
        <v>1017</v>
      </c>
      <c r="F615" s="88">
        <v>551</v>
      </c>
      <c r="G615" s="88">
        <v>175</v>
      </c>
      <c r="H615" s="88">
        <v>195</v>
      </c>
      <c r="I615" s="88">
        <v>13</v>
      </c>
      <c r="J615" s="88">
        <v>2</v>
      </c>
      <c r="K615" s="67">
        <v>1165</v>
      </c>
    </row>
    <row r="616" spans="1:11" s="66" customFormat="1" ht="9.9499999999999993" customHeight="1" x14ac:dyDescent="0.15">
      <c r="A616" s="69" t="s">
        <v>45</v>
      </c>
      <c r="B616" s="90">
        <f t="shared" si="35"/>
        <v>2113</v>
      </c>
      <c r="C616" s="90">
        <v>568</v>
      </c>
      <c r="D616" s="90">
        <v>116</v>
      </c>
      <c r="E616" s="90">
        <v>408</v>
      </c>
      <c r="F616" s="90">
        <v>120</v>
      </c>
      <c r="G616" s="90">
        <v>55</v>
      </c>
      <c r="H616" s="90">
        <v>189</v>
      </c>
      <c r="I616" s="90">
        <v>5</v>
      </c>
      <c r="J616" s="90">
        <v>0</v>
      </c>
      <c r="K616" s="70">
        <v>652</v>
      </c>
    </row>
    <row r="617" spans="1:11" s="66" customFormat="1" ht="9.9499999999999993" customHeight="1" x14ac:dyDescent="0.15">
      <c r="A617" s="66" t="s">
        <v>46</v>
      </c>
      <c r="B617" s="88">
        <f t="shared" si="35"/>
        <v>6556</v>
      </c>
      <c r="C617" s="88">
        <v>1578</v>
      </c>
      <c r="D617" s="88">
        <v>927</v>
      </c>
      <c r="E617" s="88">
        <v>1357</v>
      </c>
      <c r="F617" s="88">
        <v>694</v>
      </c>
      <c r="G617" s="88">
        <v>45</v>
      </c>
      <c r="H617" s="88">
        <v>114</v>
      </c>
      <c r="I617" s="88">
        <v>31</v>
      </c>
      <c r="J617" s="88">
        <v>5</v>
      </c>
      <c r="K617" s="67">
        <v>1805</v>
      </c>
    </row>
    <row r="618" spans="1:11" s="66" customFormat="1" ht="9.9499999999999993" customHeight="1" x14ac:dyDescent="0.15">
      <c r="A618" s="66" t="s">
        <v>47</v>
      </c>
      <c r="B618" s="88">
        <f t="shared" si="35"/>
        <v>3182</v>
      </c>
      <c r="C618" s="88">
        <v>726</v>
      </c>
      <c r="D618" s="88">
        <v>304</v>
      </c>
      <c r="E618" s="88">
        <v>699</v>
      </c>
      <c r="F618" s="88">
        <v>300</v>
      </c>
      <c r="G618" s="88">
        <v>43</v>
      </c>
      <c r="H618" s="88">
        <v>103</v>
      </c>
      <c r="I618" s="88">
        <v>37</v>
      </c>
      <c r="J618" s="88">
        <v>2</v>
      </c>
      <c r="K618" s="67">
        <v>968</v>
      </c>
    </row>
    <row r="619" spans="1:11" s="66" customFormat="1" ht="9.9499999999999993" customHeight="1" x14ac:dyDescent="0.25">
      <c r="A619" s="66" t="s">
        <v>48</v>
      </c>
      <c r="B619" s="88">
        <f t="shared" si="35"/>
        <v>750</v>
      </c>
      <c r="C619" s="88">
        <v>206</v>
      </c>
      <c r="D619" s="88">
        <v>19</v>
      </c>
      <c r="E619" s="88">
        <v>161</v>
      </c>
      <c r="F619" s="88">
        <v>96</v>
      </c>
      <c r="G619" s="88">
        <v>19</v>
      </c>
      <c r="H619" s="88">
        <v>16</v>
      </c>
      <c r="I619" s="88">
        <v>2</v>
      </c>
      <c r="J619" s="88">
        <v>0</v>
      </c>
      <c r="K619" s="88">
        <v>231</v>
      </c>
    </row>
    <row r="620" spans="1:11" s="66" customFormat="1" ht="9.9499999999999993" customHeight="1" x14ac:dyDescent="0.15">
      <c r="A620" s="69" t="s">
        <v>49</v>
      </c>
      <c r="B620" s="90">
        <f t="shared" si="35"/>
        <v>1664</v>
      </c>
      <c r="C620" s="90">
        <v>441</v>
      </c>
      <c r="D620" s="90">
        <v>52</v>
      </c>
      <c r="E620" s="90">
        <v>388</v>
      </c>
      <c r="F620" s="90">
        <v>141</v>
      </c>
      <c r="G620" s="90">
        <v>24</v>
      </c>
      <c r="H620" s="90">
        <v>89</v>
      </c>
      <c r="I620" s="90">
        <v>4</v>
      </c>
      <c r="J620" s="90">
        <v>4</v>
      </c>
      <c r="K620" s="70">
        <v>521</v>
      </c>
    </row>
    <row r="621" spans="1:11" s="66" customFormat="1" ht="9.9499999999999993" customHeight="1" x14ac:dyDescent="0.15">
      <c r="A621" s="66" t="s">
        <v>50</v>
      </c>
      <c r="B621" s="88">
        <f t="shared" si="35"/>
        <v>340</v>
      </c>
      <c r="C621" s="88">
        <v>90</v>
      </c>
      <c r="D621" s="88">
        <v>15</v>
      </c>
      <c r="E621" s="88">
        <v>76</v>
      </c>
      <c r="F621" s="88">
        <v>27</v>
      </c>
      <c r="G621" s="88">
        <v>20</v>
      </c>
      <c r="H621" s="88">
        <v>20</v>
      </c>
      <c r="I621" s="88">
        <v>0</v>
      </c>
      <c r="J621" s="88">
        <v>1</v>
      </c>
      <c r="K621" s="67">
        <v>91</v>
      </c>
    </row>
    <row r="622" spans="1:11" s="66" customFormat="1" ht="9.9499999999999993" customHeight="1" x14ac:dyDescent="0.15">
      <c r="A622" s="66" t="s">
        <v>51</v>
      </c>
      <c r="B622" s="88">
        <f t="shared" si="35"/>
        <v>1323</v>
      </c>
      <c r="C622" s="88">
        <v>362</v>
      </c>
      <c r="D622" s="88">
        <v>26</v>
      </c>
      <c r="E622" s="88">
        <v>345</v>
      </c>
      <c r="F622" s="88">
        <v>96</v>
      </c>
      <c r="G622" s="88">
        <v>32</v>
      </c>
      <c r="H622" s="88">
        <v>93</v>
      </c>
      <c r="I622" s="88">
        <v>3</v>
      </c>
      <c r="J622" s="88">
        <v>0</v>
      </c>
      <c r="K622" s="67">
        <v>366</v>
      </c>
    </row>
    <row r="623" spans="1:11" s="66" customFormat="1" ht="9.9499999999999993" customHeight="1" x14ac:dyDescent="0.15">
      <c r="A623" s="66" t="s">
        <v>52</v>
      </c>
      <c r="B623" s="88">
        <f t="shared" si="35"/>
        <v>1726</v>
      </c>
      <c r="C623" s="88">
        <v>412</v>
      </c>
      <c r="D623" s="88">
        <v>51</v>
      </c>
      <c r="E623" s="88">
        <v>479</v>
      </c>
      <c r="F623" s="88">
        <v>121</v>
      </c>
      <c r="G623" s="88">
        <v>35</v>
      </c>
      <c r="H623" s="88">
        <v>100</v>
      </c>
      <c r="I623" s="88">
        <v>9</v>
      </c>
      <c r="J623" s="88">
        <v>6</v>
      </c>
      <c r="K623" s="67">
        <v>513</v>
      </c>
    </row>
    <row r="624" spans="1:11" s="66" customFormat="1" ht="9.9499999999999993" customHeight="1" x14ac:dyDescent="0.15">
      <c r="A624" s="69" t="s">
        <v>53</v>
      </c>
      <c r="B624" s="90">
        <f t="shared" si="35"/>
        <v>1904</v>
      </c>
      <c r="C624" s="90">
        <v>449</v>
      </c>
      <c r="D624" s="90">
        <v>129</v>
      </c>
      <c r="E624" s="90">
        <v>393</v>
      </c>
      <c r="F624" s="90">
        <v>161</v>
      </c>
      <c r="G624" s="90">
        <v>54</v>
      </c>
      <c r="H624" s="90">
        <v>148</v>
      </c>
      <c r="I624" s="90">
        <v>3</v>
      </c>
      <c r="J624" s="90">
        <v>3</v>
      </c>
      <c r="K624" s="70">
        <v>564</v>
      </c>
    </row>
    <row r="625" spans="1:12" s="62" customFormat="1" ht="9.9499999999999993" customHeight="1" x14ac:dyDescent="0.25">
      <c r="A625" s="65"/>
      <c r="B625" s="86"/>
      <c r="C625" s="86"/>
      <c r="D625" s="86"/>
      <c r="E625" s="86"/>
      <c r="F625" s="86"/>
      <c r="G625" s="86"/>
      <c r="H625" s="86"/>
      <c r="I625" s="86"/>
      <c r="J625" s="86"/>
      <c r="K625" s="63"/>
    </row>
    <row r="626" spans="1:12" s="62" customFormat="1" ht="9.9499999999999993" customHeight="1" x14ac:dyDescent="0.25">
      <c r="A626" s="85">
        <v>2017</v>
      </c>
      <c r="B626" s="86"/>
      <c r="C626" s="86"/>
      <c r="D626" s="86"/>
      <c r="E626" s="86"/>
      <c r="F626" s="86"/>
      <c r="G626" s="86"/>
      <c r="H626" s="86"/>
      <c r="I626" s="86"/>
      <c r="J626" s="86"/>
      <c r="K626" s="63"/>
    </row>
    <row r="627" spans="1:12" s="62" customFormat="1" ht="9.9499999999999993" customHeight="1" x14ac:dyDescent="0.25">
      <c r="A627" s="62" t="s">
        <v>21</v>
      </c>
      <c r="B627" s="63">
        <f t="shared" ref="B627:J627" si="36">SUM(B629:B660)</f>
        <v>154910</v>
      </c>
      <c r="C627" s="63">
        <f t="shared" si="36"/>
        <v>34328</v>
      </c>
      <c r="D627" s="63">
        <f t="shared" si="36"/>
        <v>11980</v>
      </c>
      <c r="E627" s="63">
        <f t="shared" si="36"/>
        <v>28642</v>
      </c>
      <c r="F627" s="63">
        <f t="shared" si="36"/>
        <v>14981</v>
      </c>
      <c r="G627" s="63">
        <f t="shared" si="36"/>
        <v>4744</v>
      </c>
      <c r="H627" s="63">
        <f t="shared" si="36"/>
        <v>9038</v>
      </c>
      <c r="I627" s="63">
        <f t="shared" si="36"/>
        <v>1633</v>
      </c>
      <c r="J627" s="63">
        <f t="shared" si="36"/>
        <v>5287</v>
      </c>
      <c r="K627" s="63">
        <f>SUM(K629:K660)</f>
        <v>44277</v>
      </c>
      <c r="L627" s="115"/>
    </row>
    <row r="628" spans="1:12" s="62" customFormat="1" ht="3" customHeight="1" x14ac:dyDescent="0.25">
      <c r="B628" s="63"/>
      <c r="C628" s="63"/>
      <c r="D628" s="63"/>
      <c r="E628" s="63"/>
      <c r="F628" s="63"/>
      <c r="G628" s="63"/>
      <c r="H628" s="63"/>
      <c r="I628" s="63"/>
      <c r="J628" s="63"/>
      <c r="K628" s="63"/>
    </row>
    <row r="629" spans="1:12" s="66" customFormat="1" ht="9.9499999999999993" customHeight="1" x14ac:dyDescent="0.15">
      <c r="A629" s="66" t="s">
        <v>23</v>
      </c>
      <c r="B629" s="88">
        <f t="shared" ref="B629:B660" si="37">SUM(C629:K629)</f>
        <v>2016</v>
      </c>
      <c r="C629" s="88">
        <v>438</v>
      </c>
      <c r="D629" s="88">
        <v>245</v>
      </c>
      <c r="E629" s="88">
        <v>411</v>
      </c>
      <c r="F629" s="88">
        <v>144</v>
      </c>
      <c r="G629" s="88">
        <v>27</v>
      </c>
      <c r="H629" s="88">
        <v>110</v>
      </c>
      <c r="I629" s="88">
        <v>8</v>
      </c>
      <c r="J629" s="88">
        <v>72</v>
      </c>
      <c r="K629" s="67">
        <v>561</v>
      </c>
    </row>
    <row r="630" spans="1:12" s="66" customFormat="1" ht="9.9499999999999993" customHeight="1" x14ac:dyDescent="0.15">
      <c r="A630" s="66" t="s">
        <v>24</v>
      </c>
      <c r="B630" s="88">
        <f t="shared" si="37"/>
        <v>11521</v>
      </c>
      <c r="C630" s="88">
        <v>2062</v>
      </c>
      <c r="D630" s="88">
        <v>1475</v>
      </c>
      <c r="E630" s="88">
        <v>1893</v>
      </c>
      <c r="F630" s="88">
        <v>1059</v>
      </c>
      <c r="G630" s="88">
        <v>328</v>
      </c>
      <c r="H630" s="88">
        <v>368</v>
      </c>
      <c r="I630" s="88">
        <v>491</v>
      </c>
      <c r="J630" s="88">
        <v>724</v>
      </c>
      <c r="K630" s="67">
        <v>3121</v>
      </c>
    </row>
    <row r="631" spans="1:12" s="66" customFormat="1" ht="9.9499999999999993" customHeight="1" x14ac:dyDescent="0.15">
      <c r="A631" s="66" t="s">
        <v>25</v>
      </c>
      <c r="B631" s="88">
        <f t="shared" si="37"/>
        <v>1528</v>
      </c>
      <c r="C631" s="88">
        <v>359</v>
      </c>
      <c r="D631" s="88">
        <v>168</v>
      </c>
      <c r="E631" s="88">
        <v>304</v>
      </c>
      <c r="F631" s="88">
        <v>122</v>
      </c>
      <c r="G631" s="88">
        <v>33</v>
      </c>
      <c r="H631" s="88">
        <v>60</v>
      </c>
      <c r="I631" s="88">
        <v>5</v>
      </c>
      <c r="J631" s="88">
        <v>50</v>
      </c>
      <c r="K631" s="67">
        <v>427</v>
      </c>
    </row>
    <row r="632" spans="1:12" s="66" customFormat="1" ht="9.9499999999999993" customHeight="1" x14ac:dyDescent="0.25">
      <c r="A632" s="69" t="s">
        <v>26</v>
      </c>
      <c r="B632" s="90">
        <f t="shared" si="37"/>
        <v>591</v>
      </c>
      <c r="C632" s="90">
        <v>155</v>
      </c>
      <c r="D632" s="90">
        <v>17</v>
      </c>
      <c r="E632" s="90">
        <v>112</v>
      </c>
      <c r="F632" s="90">
        <v>79</v>
      </c>
      <c r="G632" s="90">
        <v>24</v>
      </c>
      <c r="H632" s="90">
        <v>20</v>
      </c>
      <c r="I632" s="90">
        <v>0</v>
      </c>
      <c r="J632" s="90">
        <v>9</v>
      </c>
      <c r="K632" s="90">
        <v>175</v>
      </c>
    </row>
    <row r="633" spans="1:12" s="66" customFormat="1" ht="9.9499999999999993" customHeight="1" x14ac:dyDescent="0.15">
      <c r="A633" s="66" t="s">
        <v>27</v>
      </c>
      <c r="B633" s="88">
        <f t="shared" si="37"/>
        <v>5949</v>
      </c>
      <c r="C633" s="88">
        <v>1358</v>
      </c>
      <c r="D633" s="88">
        <v>333</v>
      </c>
      <c r="E633" s="88">
        <v>1214</v>
      </c>
      <c r="F633" s="88">
        <v>287</v>
      </c>
      <c r="G633" s="88">
        <v>115</v>
      </c>
      <c r="H633" s="88">
        <v>606</v>
      </c>
      <c r="I633" s="88">
        <v>16</v>
      </c>
      <c r="J633" s="88">
        <v>248</v>
      </c>
      <c r="K633" s="67">
        <v>1772</v>
      </c>
    </row>
    <row r="634" spans="1:12" s="66" customFormat="1" ht="9.9499999999999993" customHeight="1" x14ac:dyDescent="0.15">
      <c r="A634" s="66" t="s">
        <v>28</v>
      </c>
      <c r="B634" s="88">
        <f t="shared" si="37"/>
        <v>3359</v>
      </c>
      <c r="C634" s="88">
        <v>723</v>
      </c>
      <c r="D634" s="88">
        <v>608</v>
      </c>
      <c r="E634" s="88">
        <v>650</v>
      </c>
      <c r="F634" s="88">
        <v>260</v>
      </c>
      <c r="G634" s="88">
        <v>47</v>
      </c>
      <c r="H634" s="88">
        <v>63</v>
      </c>
      <c r="I634" s="88">
        <v>56</v>
      </c>
      <c r="J634" s="88">
        <v>58</v>
      </c>
      <c r="K634" s="67">
        <v>894</v>
      </c>
    </row>
    <row r="635" spans="1:12" s="66" customFormat="1" ht="9.9499999999999993" customHeight="1" x14ac:dyDescent="0.15">
      <c r="A635" s="66" t="s">
        <v>29</v>
      </c>
      <c r="B635" s="88">
        <f t="shared" si="37"/>
        <v>1481</v>
      </c>
      <c r="C635" s="88">
        <v>367</v>
      </c>
      <c r="D635" s="88">
        <v>63</v>
      </c>
      <c r="E635" s="88">
        <v>288</v>
      </c>
      <c r="F635" s="88">
        <v>192</v>
      </c>
      <c r="G635" s="88">
        <v>52</v>
      </c>
      <c r="H635" s="88">
        <v>80</v>
      </c>
      <c r="I635" s="88">
        <v>4</v>
      </c>
      <c r="J635" s="88">
        <v>19</v>
      </c>
      <c r="K635" s="67">
        <v>416</v>
      </c>
    </row>
    <row r="636" spans="1:12" s="66" customFormat="1" ht="9.9499999999999993" customHeight="1" x14ac:dyDescent="0.15">
      <c r="A636" s="69" t="s">
        <v>30</v>
      </c>
      <c r="B636" s="90">
        <f t="shared" si="37"/>
        <v>6564</v>
      </c>
      <c r="C636" s="90">
        <v>1198</v>
      </c>
      <c r="D636" s="90">
        <v>489</v>
      </c>
      <c r="E636" s="90">
        <v>1110</v>
      </c>
      <c r="F636" s="90">
        <v>648</v>
      </c>
      <c r="G636" s="90">
        <v>68</v>
      </c>
      <c r="H636" s="90">
        <v>256</v>
      </c>
      <c r="I636" s="90">
        <v>484</v>
      </c>
      <c r="J636" s="90">
        <v>435</v>
      </c>
      <c r="K636" s="70">
        <v>1876</v>
      </c>
    </row>
    <row r="637" spans="1:12" s="66" customFormat="1" ht="9.9499999999999993" customHeight="1" x14ac:dyDescent="0.15">
      <c r="A637" s="66" t="s">
        <v>63</v>
      </c>
      <c r="B637" s="88">
        <f t="shared" si="37"/>
        <v>33423</v>
      </c>
      <c r="C637" s="88">
        <v>7904</v>
      </c>
      <c r="D637" s="88">
        <v>1313</v>
      </c>
      <c r="E637" s="88">
        <v>6029</v>
      </c>
      <c r="F637" s="88">
        <v>3752</v>
      </c>
      <c r="G637" s="88">
        <v>1451</v>
      </c>
      <c r="H637" s="88">
        <v>2401</v>
      </c>
      <c r="I637" s="88">
        <v>92</v>
      </c>
      <c r="J637" s="88">
        <v>743</v>
      </c>
      <c r="K637" s="67">
        <v>9738</v>
      </c>
    </row>
    <row r="638" spans="1:12" s="66" customFormat="1" ht="9.9499999999999993" customHeight="1" x14ac:dyDescent="0.15">
      <c r="A638" s="66" t="s">
        <v>31</v>
      </c>
      <c r="B638" s="88">
        <f t="shared" si="37"/>
        <v>2531</v>
      </c>
      <c r="C638" s="88">
        <v>563</v>
      </c>
      <c r="D638" s="88">
        <v>230</v>
      </c>
      <c r="E638" s="88">
        <v>452</v>
      </c>
      <c r="F638" s="88">
        <v>160</v>
      </c>
      <c r="G638" s="88">
        <v>47</v>
      </c>
      <c r="H638" s="88">
        <v>142</v>
      </c>
      <c r="I638" s="88">
        <v>4</v>
      </c>
      <c r="J638" s="88">
        <v>168</v>
      </c>
      <c r="K638" s="67">
        <v>765</v>
      </c>
    </row>
    <row r="639" spans="1:12" s="66" customFormat="1" ht="9.9499999999999993" customHeight="1" x14ac:dyDescent="0.15">
      <c r="A639" s="66" t="s">
        <v>32</v>
      </c>
      <c r="B639" s="88">
        <f t="shared" si="37"/>
        <v>7119</v>
      </c>
      <c r="C639" s="88">
        <v>1435</v>
      </c>
      <c r="D639" s="88">
        <v>904</v>
      </c>
      <c r="E639" s="88">
        <v>1242</v>
      </c>
      <c r="F639" s="88">
        <v>653</v>
      </c>
      <c r="G639" s="88">
        <v>153</v>
      </c>
      <c r="H639" s="88">
        <v>543</v>
      </c>
      <c r="I639" s="88">
        <v>49</v>
      </c>
      <c r="J639" s="88">
        <v>261</v>
      </c>
      <c r="K639" s="67">
        <v>1879</v>
      </c>
    </row>
    <row r="640" spans="1:12" s="66" customFormat="1" ht="9.9499999999999993" customHeight="1" x14ac:dyDescent="0.15">
      <c r="A640" s="69" t="s">
        <v>33</v>
      </c>
      <c r="B640" s="90">
        <f t="shared" si="37"/>
        <v>3100</v>
      </c>
      <c r="C640" s="90">
        <v>781</v>
      </c>
      <c r="D640" s="90">
        <v>141</v>
      </c>
      <c r="E640" s="90">
        <v>643</v>
      </c>
      <c r="F640" s="90">
        <v>299</v>
      </c>
      <c r="G640" s="90">
        <v>64</v>
      </c>
      <c r="H640" s="90">
        <v>163</v>
      </c>
      <c r="I640" s="90">
        <v>41</v>
      </c>
      <c r="J640" s="90">
        <v>81</v>
      </c>
      <c r="K640" s="70">
        <v>887</v>
      </c>
    </row>
    <row r="641" spans="1:11" s="66" customFormat="1" ht="9.9499999999999993" customHeight="1" x14ac:dyDescent="0.15">
      <c r="A641" s="66" t="s">
        <v>34</v>
      </c>
      <c r="B641" s="88">
        <f t="shared" si="37"/>
        <v>3064</v>
      </c>
      <c r="C641" s="88">
        <v>710</v>
      </c>
      <c r="D641" s="88">
        <v>239</v>
      </c>
      <c r="E641" s="88">
        <v>526</v>
      </c>
      <c r="F641" s="88">
        <v>277</v>
      </c>
      <c r="G641" s="88">
        <v>166</v>
      </c>
      <c r="H641" s="88">
        <v>196</v>
      </c>
      <c r="I641" s="88">
        <v>15</v>
      </c>
      <c r="J641" s="88">
        <v>34</v>
      </c>
      <c r="K641" s="67">
        <v>901</v>
      </c>
    </row>
    <row r="642" spans="1:11" s="66" customFormat="1" ht="9.9499999999999993" customHeight="1" x14ac:dyDescent="0.15">
      <c r="A642" s="66" t="s">
        <v>35</v>
      </c>
      <c r="B642" s="88">
        <f t="shared" si="37"/>
        <v>13401</v>
      </c>
      <c r="C642" s="88">
        <v>2735</v>
      </c>
      <c r="D642" s="88">
        <v>1651</v>
      </c>
      <c r="E642" s="88">
        <v>2188</v>
      </c>
      <c r="F642" s="88">
        <v>1303</v>
      </c>
      <c r="G642" s="88">
        <v>402</v>
      </c>
      <c r="H642" s="88">
        <v>714</v>
      </c>
      <c r="I642" s="88">
        <v>44</v>
      </c>
      <c r="J642" s="88">
        <v>581</v>
      </c>
      <c r="K642" s="67">
        <v>3783</v>
      </c>
    </row>
    <row r="643" spans="1:11" s="66" customFormat="1" ht="9.9499999999999993" customHeight="1" x14ac:dyDescent="0.15">
      <c r="A643" s="66" t="s">
        <v>36</v>
      </c>
      <c r="B643" s="88">
        <f t="shared" si="37"/>
        <v>18248</v>
      </c>
      <c r="C643" s="88">
        <v>4247</v>
      </c>
      <c r="D643" s="88">
        <v>759</v>
      </c>
      <c r="E643" s="88">
        <v>3442</v>
      </c>
      <c r="F643" s="88">
        <v>1906</v>
      </c>
      <c r="G643" s="88">
        <v>738</v>
      </c>
      <c r="H643" s="88">
        <v>1500</v>
      </c>
      <c r="I643" s="88">
        <v>48</v>
      </c>
      <c r="J643" s="88">
        <v>342</v>
      </c>
      <c r="K643" s="67">
        <v>5266</v>
      </c>
    </row>
    <row r="644" spans="1:11" s="66" customFormat="1" ht="9.9499999999999993" customHeight="1" x14ac:dyDescent="0.15">
      <c r="A644" s="69" t="s">
        <v>37</v>
      </c>
      <c r="B644" s="90">
        <f t="shared" si="37"/>
        <v>2660</v>
      </c>
      <c r="C644" s="90">
        <v>579</v>
      </c>
      <c r="D644" s="90">
        <v>321</v>
      </c>
      <c r="E644" s="90">
        <v>481</v>
      </c>
      <c r="F644" s="90">
        <v>162</v>
      </c>
      <c r="G644" s="90">
        <v>60</v>
      </c>
      <c r="H644" s="90">
        <v>87</v>
      </c>
      <c r="I644" s="90">
        <v>17</v>
      </c>
      <c r="J644" s="90">
        <v>150</v>
      </c>
      <c r="K644" s="70">
        <v>803</v>
      </c>
    </row>
    <row r="645" spans="1:11" s="66" customFormat="1" ht="9.9499999999999993" customHeight="1" x14ac:dyDescent="0.15">
      <c r="A645" s="66" t="s">
        <v>38</v>
      </c>
      <c r="B645" s="88">
        <f t="shared" si="37"/>
        <v>1457</v>
      </c>
      <c r="C645" s="88">
        <v>351</v>
      </c>
      <c r="D645" s="88">
        <v>87</v>
      </c>
      <c r="E645" s="88">
        <v>277</v>
      </c>
      <c r="F645" s="88">
        <v>142</v>
      </c>
      <c r="G645" s="88">
        <v>48</v>
      </c>
      <c r="H645" s="88">
        <v>59</v>
      </c>
      <c r="I645" s="88">
        <v>34</v>
      </c>
      <c r="J645" s="88">
        <v>32</v>
      </c>
      <c r="K645" s="67">
        <v>427</v>
      </c>
    </row>
    <row r="646" spans="1:11" s="66" customFormat="1" ht="9.9499999999999993" customHeight="1" x14ac:dyDescent="0.25">
      <c r="A646" s="66" t="s">
        <v>39</v>
      </c>
      <c r="B646" s="88">
        <f t="shared" si="37"/>
        <v>623</v>
      </c>
      <c r="C646" s="88">
        <v>153</v>
      </c>
      <c r="D646" s="88">
        <v>82</v>
      </c>
      <c r="E646" s="88">
        <v>124</v>
      </c>
      <c r="F646" s="88">
        <v>39</v>
      </c>
      <c r="G646" s="88">
        <v>9</v>
      </c>
      <c r="H646" s="88">
        <v>20</v>
      </c>
      <c r="I646" s="88">
        <v>1</v>
      </c>
      <c r="J646" s="88">
        <v>21</v>
      </c>
      <c r="K646" s="88">
        <v>174</v>
      </c>
    </row>
    <row r="647" spans="1:11" s="66" customFormat="1" ht="9.9499999999999993" customHeight="1" x14ac:dyDescent="0.15">
      <c r="A647" s="66" t="s">
        <v>40</v>
      </c>
      <c r="B647" s="88">
        <f t="shared" si="37"/>
        <v>5176</v>
      </c>
      <c r="C647" s="88">
        <v>1093</v>
      </c>
      <c r="D647" s="88">
        <v>360</v>
      </c>
      <c r="E647" s="88">
        <v>998</v>
      </c>
      <c r="F647" s="88">
        <v>514</v>
      </c>
      <c r="G647" s="88">
        <v>129</v>
      </c>
      <c r="H647" s="88">
        <v>326</v>
      </c>
      <c r="I647" s="88">
        <v>21</v>
      </c>
      <c r="J647" s="88">
        <v>236</v>
      </c>
      <c r="K647" s="67">
        <v>1499</v>
      </c>
    </row>
    <row r="648" spans="1:11" s="66" customFormat="1" ht="9.9499999999999993" customHeight="1" x14ac:dyDescent="0.25">
      <c r="A648" s="69" t="s">
        <v>41</v>
      </c>
      <c r="B648" s="90">
        <f t="shared" si="37"/>
        <v>1940</v>
      </c>
      <c r="C648" s="90">
        <v>445</v>
      </c>
      <c r="D648" s="90">
        <v>168</v>
      </c>
      <c r="E648" s="90">
        <v>380</v>
      </c>
      <c r="F648" s="90">
        <v>213</v>
      </c>
      <c r="G648" s="90">
        <v>52</v>
      </c>
      <c r="H648" s="90">
        <v>118</v>
      </c>
      <c r="I648" s="90">
        <v>43</v>
      </c>
      <c r="J648" s="90">
        <v>16</v>
      </c>
      <c r="K648" s="90">
        <v>505</v>
      </c>
    </row>
    <row r="649" spans="1:11" s="66" customFormat="1" ht="9.9499999999999993" customHeight="1" x14ac:dyDescent="0.15">
      <c r="A649" s="66" t="s">
        <v>42</v>
      </c>
      <c r="B649" s="88">
        <f t="shared" si="37"/>
        <v>2160</v>
      </c>
      <c r="C649" s="88">
        <v>460</v>
      </c>
      <c r="D649" s="88">
        <v>194</v>
      </c>
      <c r="E649" s="88">
        <v>434</v>
      </c>
      <c r="F649" s="88">
        <v>190</v>
      </c>
      <c r="G649" s="88">
        <v>89</v>
      </c>
      <c r="H649" s="88">
        <v>132</v>
      </c>
      <c r="I649" s="88">
        <v>30</v>
      </c>
      <c r="J649" s="88">
        <v>36</v>
      </c>
      <c r="K649" s="67">
        <v>595</v>
      </c>
    </row>
    <row r="650" spans="1:11" s="66" customFormat="1" ht="9.9499999999999993" customHeight="1" x14ac:dyDescent="0.15">
      <c r="A650" s="66" t="s">
        <v>43</v>
      </c>
      <c r="B650" s="88">
        <f t="shared" si="37"/>
        <v>1721</v>
      </c>
      <c r="C650" s="88">
        <v>368</v>
      </c>
      <c r="D650" s="88">
        <v>96</v>
      </c>
      <c r="E650" s="88">
        <v>336</v>
      </c>
      <c r="F650" s="88">
        <v>172</v>
      </c>
      <c r="G650" s="88">
        <v>71</v>
      </c>
      <c r="H650" s="88">
        <v>123</v>
      </c>
      <c r="I650" s="88">
        <v>10</v>
      </c>
      <c r="J650" s="88">
        <v>48</v>
      </c>
      <c r="K650" s="67">
        <v>497</v>
      </c>
    </row>
    <row r="651" spans="1:11" s="66" customFormat="1" ht="9.9499999999999993" customHeight="1" x14ac:dyDescent="0.15">
      <c r="A651" s="66" t="s">
        <v>44</v>
      </c>
      <c r="B651" s="88">
        <f t="shared" si="37"/>
        <v>4268</v>
      </c>
      <c r="C651" s="88">
        <v>941</v>
      </c>
      <c r="D651" s="88">
        <v>194</v>
      </c>
      <c r="E651" s="88">
        <v>881</v>
      </c>
      <c r="F651" s="88">
        <v>558</v>
      </c>
      <c r="G651" s="88">
        <v>185</v>
      </c>
      <c r="H651" s="88">
        <v>151</v>
      </c>
      <c r="I651" s="88">
        <v>17</v>
      </c>
      <c r="J651" s="88">
        <v>90</v>
      </c>
      <c r="K651" s="67">
        <v>1251</v>
      </c>
    </row>
    <row r="652" spans="1:11" s="66" customFormat="1" ht="9.9499999999999993" customHeight="1" x14ac:dyDescent="0.15">
      <c r="A652" s="69" t="s">
        <v>45</v>
      </c>
      <c r="B652" s="90">
        <f t="shared" si="37"/>
        <v>2127</v>
      </c>
      <c r="C652" s="90">
        <v>512</v>
      </c>
      <c r="D652" s="90">
        <v>153</v>
      </c>
      <c r="E652" s="90">
        <v>389</v>
      </c>
      <c r="F652" s="90">
        <v>121</v>
      </c>
      <c r="G652" s="90">
        <v>63</v>
      </c>
      <c r="H652" s="90">
        <v>170</v>
      </c>
      <c r="I652" s="90">
        <v>5</v>
      </c>
      <c r="J652" s="90">
        <v>71</v>
      </c>
      <c r="K652" s="70">
        <v>643</v>
      </c>
    </row>
    <row r="653" spans="1:11" s="66" customFormat="1" ht="9.9499999999999993" customHeight="1" x14ac:dyDescent="0.15">
      <c r="A653" s="66" t="s">
        <v>46</v>
      </c>
      <c r="B653" s="88">
        <f t="shared" si="37"/>
        <v>6758</v>
      </c>
      <c r="C653" s="88">
        <v>1578</v>
      </c>
      <c r="D653" s="88">
        <v>938</v>
      </c>
      <c r="E653" s="88">
        <v>1324</v>
      </c>
      <c r="F653" s="88">
        <v>697</v>
      </c>
      <c r="G653" s="88">
        <v>37</v>
      </c>
      <c r="H653" s="88">
        <v>94</v>
      </c>
      <c r="I653" s="88">
        <v>40</v>
      </c>
      <c r="J653" s="88">
        <v>232</v>
      </c>
      <c r="K653" s="67">
        <v>1818</v>
      </c>
    </row>
    <row r="654" spans="1:11" s="66" customFormat="1" ht="9.9499999999999993" customHeight="1" x14ac:dyDescent="0.15">
      <c r="A654" s="66" t="s">
        <v>47</v>
      </c>
      <c r="B654" s="88">
        <f t="shared" si="37"/>
        <v>3280</v>
      </c>
      <c r="C654" s="88">
        <v>674</v>
      </c>
      <c r="D654" s="88">
        <v>341</v>
      </c>
      <c r="E654" s="88">
        <v>661</v>
      </c>
      <c r="F654" s="88">
        <v>300</v>
      </c>
      <c r="G654" s="88">
        <v>38</v>
      </c>
      <c r="H654" s="88">
        <v>88</v>
      </c>
      <c r="I654" s="88">
        <v>24</v>
      </c>
      <c r="J654" s="88">
        <v>203</v>
      </c>
      <c r="K654" s="67">
        <v>951</v>
      </c>
    </row>
    <row r="655" spans="1:11" s="66" customFormat="1" ht="9.9499999999999993" customHeight="1" x14ac:dyDescent="0.25">
      <c r="A655" s="66" t="s">
        <v>48</v>
      </c>
      <c r="B655" s="88">
        <f t="shared" si="37"/>
        <v>751</v>
      </c>
      <c r="C655" s="88">
        <v>222</v>
      </c>
      <c r="D655" s="88">
        <v>10</v>
      </c>
      <c r="E655" s="88">
        <v>158</v>
      </c>
      <c r="F655" s="88">
        <v>92</v>
      </c>
      <c r="G655" s="88">
        <v>15</v>
      </c>
      <c r="H655" s="88">
        <v>11</v>
      </c>
      <c r="I655" s="88">
        <v>1</v>
      </c>
      <c r="J655" s="88">
        <v>4</v>
      </c>
      <c r="K655" s="88">
        <v>238</v>
      </c>
    </row>
    <row r="656" spans="1:11" s="66" customFormat="1" ht="9.9499999999999993" customHeight="1" x14ac:dyDescent="0.15">
      <c r="A656" s="69" t="s">
        <v>49</v>
      </c>
      <c r="B656" s="90">
        <f t="shared" si="37"/>
        <v>1920</v>
      </c>
      <c r="C656" s="90">
        <v>458</v>
      </c>
      <c r="D656" s="90">
        <v>85</v>
      </c>
      <c r="E656" s="90">
        <v>415</v>
      </c>
      <c r="F656" s="90">
        <v>159</v>
      </c>
      <c r="G656" s="90">
        <v>43</v>
      </c>
      <c r="H656" s="90">
        <v>97</v>
      </c>
      <c r="I656" s="90">
        <v>10</v>
      </c>
      <c r="J656" s="90">
        <v>60</v>
      </c>
      <c r="K656" s="70">
        <v>593</v>
      </c>
    </row>
    <row r="657" spans="1:12" s="66" customFormat="1" ht="9.9499999999999993" customHeight="1" x14ac:dyDescent="0.15">
      <c r="A657" s="66" t="s">
        <v>50</v>
      </c>
      <c r="B657" s="88">
        <f t="shared" si="37"/>
        <v>629</v>
      </c>
      <c r="C657" s="88">
        <v>148</v>
      </c>
      <c r="D657" s="88">
        <v>40</v>
      </c>
      <c r="E657" s="88">
        <v>116</v>
      </c>
      <c r="F657" s="88">
        <v>57</v>
      </c>
      <c r="G657" s="88">
        <v>36</v>
      </c>
      <c r="H657" s="88">
        <v>43</v>
      </c>
      <c r="I657" s="88">
        <v>4</v>
      </c>
      <c r="J657" s="88">
        <v>4</v>
      </c>
      <c r="K657" s="67">
        <v>181</v>
      </c>
    </row>
    <row r="658" spans="1:12" s="66" customFormat="1" ht="9.9499999999999993" customHeight="1" x14ac:dyDescent="0.15">
      <c r="A658" s="66" t="s">
        <v>51</v>
      </c>
      <c r="B658" s="88">
        <f t="shared" si="37"/>
        <v>1706</v>
      </c>
      <c r="C658" s="88">
        <v>439</v>
      </c>
      <c r="D658" s="88">
        <v>73</v>
      </c>
      <c r="E658" s="88">
        <v>346</v>
      </c>
      <c r="F658" s="88">
        <v>123</v>
      </c>
      <c r="G658" s="88">
        <v>63</v>
      </c>
      <c r="H658" s="88">
        <v>97</v>
      </c>
      <c r="I658" s="88">
        <v>4</v>
      </c>
      <c r="J658" s="88">
        <v>56</v>
      </c>
      <c r="K658" s="67">
        <v>505</v>
      </c>
    </row>
    <row r="659" spans="1:12" s="66" customFormat="1" ht="9.9499999999999993" customHeight="1" x14ac:dyDescent="0.15">
      <c r="A659" s="66" t="s">
        <v>52</v>
      </c>
      <c r="B659" s="88">
        <f t="shared" si="37"/>
        <v>1949</v>
      </c>
      <c r="C659" s="88">
        <v>468</v>
      </c>
      <c r="D659" s="88">
        <v>55</v>
      </c>
      <c r="E659" s="88">
        <v>460</v>
      </c>
      <c r="F659" s="88">
        <v>156</v>
      </c>
      <c r="G659" s="88">
        <v>36</v>
      </c>
      <c r="H659" s="88">
        <v>82</v>
      </c>
      <c r="I659" s="88">
        <v>8</v>
      </c>
      <c r="J659" s="88">
        <v>104</v>
      </c>
      <c r="K659" s="67">
        <v>580</v>
      </c>
    </row>
    <row r="660" spans="1:12" s="66" customFormat="1" ht="9.9499999999999993" customHeight="1" x14ac:dyDescent="0.15">
      <c r="A660" s="69" t="s">
        <v>53</v>
      </c>
      <c r="B660" s="90">
        <f t="shared" si="37"/>
        <v>1890</v>
      </c>
      <c r="C660" s="90">
        <v>404</v>
      </c>
      <c r="D660" s="90">
        <v>148</v>
      </c>
      <c r="E660" s="90">
        <v>358</v>
      </c>
      <c r="F660" s="90">
        <v>145</v>
      </c>
      <c r="G660" s="90">
        <v>55</v>
      </c>
      <c r="H660" s="90">
        <v>118</v>
      </c>
      <c r="I660" s="90">
        <v>7</v>
      </c>
      <c r="J660" s="90">
        <v>99</v>
      </c>
      <c r="K660" s="70">
        <v>556</v>
      </c>
    </row>
    <row r="661" spans="1:12" s="62" customFormat="1" ht="9.9499999999999993" customHeight="1" x14ac:dyDescent="0.25">
      <c r="A661" s="65"/>
      <c r="B661" s="86"/>
      <c r="C661" s="86"/>
      <c r="D661" s="86"/>
      <c r="E661" s="86"/>
      <c r="F661" s="86"/>
      <c r="G661" s="86"/>
      <c r="H661" s="86"/>
      <c r="I661" s="86"/>
      <c r="J661" s="86"/>
      <c r="K661" s="63"/>
    </row>
    <row r="662" spans="1:12" s="62" customFormat="1" ht="9.9499999999999993" customHeight="1" x14ac:dyDescent="0.25">
      <c r="A662" s="85">
        <v>2018</v>
      </c>
      <c r="B662" s="86"/>
      <c r="C662" s="86"/>
      <c r="D662" s="86"/>
      <c r="E662" s="86"/>
      <c r="F662" s="86"/>
      <c r="G662" s="86"/>
      <c r="H662" s="86"/>
      <c r="I662" s="86"/>
      <c r="J662" s="86"/>
      <c r="K662" s="63"/>
    </row>
    <row r="663" spans="1:12" s="62" customFormat="1" ht="9.9499999999999993" customHeight="1" x14ac:dyDescent="0.25">
      <c r="A663" s="62" t="s">
        <v>21</v>
      </c>
      <c r="B663" s="63">
        <f t="shared" ref="B663:J663" si="38">SUM(B665:B696)</f>
        <v>147075</v>
      </c>
      <c r="C663" s="63">
        <f t="shared" si="38"/>
        <v>35146</v>
      </c>
      <c r="D663" s="63">
        <f t="shared" si="38"/>
        <v>13076</v>
      </c>
      <c r="E663" s="63">
        <f t="shared" si="38"/>
        <v>28553</v>
      </c>
      <c r="F663" s="63">
        <f t="shared" si="38"/>
        <v>15796</v>
      </c>
      <c r="G663" s="63">
        <f t="shared" si="38"/>
        <v>5109</v>
      </c>
      <c r="H663" s="63">
        <f t="shared" si="38"/>
        <v>8060</v>
      </c>
      <c r="I663" s="63">
        <f t="shared" si="38"/>
        <v>1544</v>
      </c>
      <c r="J663" s="63">
        <f t="shared" si="38"/>
        <v>95</v>
      </c>
      <c r="K663" s="63">
        <f>SUM(K665:K696)</f>
        <v>39696</v>
      </c>
      <c r="L663" s="115"/>
    </row>
    <row r="664" spans="1:12" s="62" customFormat="1" ht="3" customHeight="1" x14ac:dyDescent="0.25">
      <c r="B664" s="63"/>
      <c r="C664" s="63"/>
      <c r="D664" s="63"/>
      <c r="E664" s="63"/>
      <c r="F664" s="63"/>
      <c r="G664" s="63"/>
      <c r="H664" s="63"/>
      <c r="I664" s="63"/>
      <c r="J664" s="63"/>
      <c r="K664" s="63"/>
    </row>
    <row r="665" spans="1:12" s="66" customFormat="1" ht="9.9499999999999993" customHeight="1" x14ac:dyDescent="0.15">
      <c r="A665" s="66" t="s">
        <v>23</v>
      </c>
      <c r="B665" s="88">
        <f t="shared" ref="B665:B696" si="39">SUM(C665:K665)</f>
        <v>2138</v>
      </c>
      <c r="C665" s="88">
        <v>483</v>
      </c>
      <c r="D665" s="88">
        <v>288</v>
      </c>
      <c r="E665" s="88">
        <v>481</v>
      </c>
      <c r="F665" s="88">
        <v>126</v>
      </c>
      <c r="G665" s="88">
        <v>35</v>
      </c>
      <c r="H665" s="88">
        <v>116</v>
      </c>
      <c r="I665" s="88">
        <v>8</v>
      </c>
      <c r="J665" s="88">
        <v>0</v>
      </c>
      <c r="K665" s="67">
        <v>601</v>
      </c>
    </row>
    <row r="666" spans="1:12" s="66" customFormat="1" ht="9.9499999999999993" customHeight="1" x14ac:dyDescent="0.15">
      <c r="A666" s="66" t="s">
        <v>24</v>
      </c>
      <c r="B666" s="88">
        <f t="shared" si="39"/>
        <v>9907</v>
      </c>
      <c r="C666" s="88">
        <v>2000</v>
      </c>
      <c r="D666" s="88">
        <v>1460</v>
      </c>
      <c r="E666" s="88">
        <v>1776</v>
      </c>
      <c r="F666" s="88">
        <v>988</v>
      </c>
      <c r="G666" s="88">
        <v>315</v>
      </c>
      <c r="H666" s="88">
        <v>262</v>
      </c>
      <c r="I666" s="88">
        <v>463</v>
      </c>
      <c r="J666" s="88">
        <v>6</v>
      </c>
      <c r="K666" s="67">
        <v>2637</v>
      </c>
    </row>
    <row r="667" spans="1:12" s="66" customFormat="1" ht="9.9499999999999993" customHeight="1" x14ac:dyDescent="0.15">
      <c r="A667" s="66" t="s">
        <v>25</v>
      </c>
      <c r="B667" s="88">
        <f t="shared" si="39"/>
        <v>1290</v>
      </c>
      <c r="C667" s="88">
        <v>359</v>
      </c>
      <c r="D667" s="88">
        <v>130</v>
      </c>
      <c r="E667" s="88">
        <v>271</v>
      </c>
      <c r="F667" s="88">
        <v>105</v>
      </c>
      <c r="G667" s="88">
        <v>23</v>
      </c>
      <c r="H667" s="88">
        <v>31</v>
      </c>
      <c r="I667" s="88">
        <v>3</v>
      </c>
      <c r="J667" s="88">
        <v>5</v>
      </c>
      <c r="K667" s="67">
        <v>363</v>
      </c>
    </row>
    <row r="668" spans="1:12" s="66" customFormat="1" ht="9.9499999999999993" customHeight="1" x14ac:dyDescent="0.25">
      <c r="A668" s="69" t="s">
        <v>26</v>
      </c>
      <c r="B668" s="90">
        <f t="shared" si="39"/>
        <v>487</v>
      </c>
      <c r="C668" s="90">
        <v>141</v>
      </c>
      <c r="D668" s="90">
        <v>18</v>
      </c>
      <c r="E668" s="90">
        <v>100</v>
      </c>
      <c r="F668" s="90">
        <v>59</v>
      </c>
      <c r="G668" s="90">
        <v>19</v>
      </c>
      <c r="H668" s="90">
        <v>18</v>
      </c>
      <c r="I668" s="90">
        <v>0</v>
      </c>
      <c r="J668" s="90">
        <v>0</v>
      </c>
      <c r="K668" s="90">
        <v>132</v>
      </c>
    </row>
    <row r="669" spans="1:12" s="66" customFormat="1" ht="9.9499999999999993" customHeight="1" x14ac:dyDescent="0.15">
      <c r="A669" s="66" t="s">
        <v>27</v>
      </c>
      <c r="B669" s="88">
        <f t="shared" si="39"/>
        <v>6046</v>
      </c>
      <c r="C669" s="88">
        <v>1445</v>
      </c>
      <c r="D669" s="88">
        <v>569</v>
      </c>
      <c r="E669" s="88">
        <v>1296</v>
      </c>
      <c r="F669" s="88">
        <v>341</v>
      </c>
      <c r="G669" s="88">
        <v>165</v>
      </c>
      <c r="H669" s="88">
        <v>514</v>
      </c>
      <c r="I669" s="88">
        <v>19</v>
      </c>
      <c r="J669" s="88">
        <v>2</v>
      </c>
      <c r="K669" s="67">
        <v>1695</v>
      </c>
    </row>
    <row r="670" spans="1:12" s="66" customFormat="1" ht="9.9499999999999993" customHeight="1" x14ac:dyDescent="0.15">
      <c r="A670" s="66" t="s">
        <v>28</v>
      </c>
      <c r="B670" s="88">
        <f t="shared" si="39"/>
        <v>3104</v>
      </c>
      <c r="C670" s="88">
        <v>699</v>
      </c>
      <c r="D670" s="88">
        <v>579</v>
      </c>
      <c r="E670" s="88">
        <v>593</v>
      </c>
      <c r="F670" s="88">
        <v>236</v>
      </c>
      <c r="G670" s="88">
        <v>58</v>
      </c>
      <c r="H670" s="88">
        <v>59</v>
      </c>
      <c r="I670" s="88">
        <v>56</v>
      </c>
      <c r="J670" s="88">
        <v>3</v>
      </c>
      <c r="K670" s="67">
        <v>821</v>
      </c>
    </row>
    <row r="671" spans="1:12" s="66" customFormat="1" ht="9.9499999999999993" customHeight="1" x14ac:dyDescent="0.15">
      <c r="A671" s="66" t="s">
        <v>29</v>
      </c>
      <c r="B671" s="88">
        <f t="shared" si="39"/>
        <v>1266</v>
      </c>
      <c r="C671" s="88">
        <v>343</v>
      </c>
      <c r="D671" s="88">
        <v>54</v>
      </c>
      <c r="E671" s="88">
        <v>262</v>
      </c>
      <c r="F671" s="88">
        <v>188</v>
      </c>
      <c r="G671" s="88">
        <v>44</v>
      </c>
      <c r="H671" s="88">
        <v>37</v>
      </c>
      <c r="I671" s="88">
        <v>6</v>
      </c>
      <c r="J671" s="88">
        <v>0</v>
      </c>
      <c r="K671" s="67">
        <v>332</v>
      </c>
    </row>
    <row r="672" spans="1:12" s="66" customFormat="1" ht="9.9499999999999993" customHeight="1" x14ac:dyDescent="0.15">
      <c r="A672" s="69" t="s">
        <v>30</v>
      </c>
      <c r="B672" s="90">
        <f t="shared" si="39"/>
        <v>5730</v>
      </c>
      <c r="C672" s="90">
        <v>1131</v>
      </c>
      <c r="D672" s="90">
        <v>513</v>
      </c>
      <c r="E672" s="90">
        <v>1078</v>
      </c>
      <c r="F672" s="90">
        <v>572</v>
      </c>
      <c r="G672" s="90">
        <v>58</v>
      </c>
      <c r="H672" s="90">
        <v>203</v>
      </c>
      <c r="I672" s="90">
        <v>428</v>
      </c>
      <c r="J672" s="90">
        <v>7</v>
      </c>
      <c r="K672" s="70">
        <v>1740</v>
      </c>
    </row>
    <row r="673" spans="1:11" s="66" customFormat="1" ht="9.9499999999999993" customHeight="1" x14ac:dyDescent="0.15">
      <c r="A673" s="66" t="s">
        <v>63</v>
      </c>
      <c r="B673" s="88">
        <f t="shared" si="39"/>
        <v>32601</v>
      </c>
      <c r="C673" s="88">
        <v>8256</v>
      </c>
      <c r="D673" s="88">
        <v>1371</v>
      </c>
      <c r="E673" s="88">
        <v>6164</v>
      </c>
      <c r="F673" s="88">
        <v>4155</v>
      </c>
      <c r="G673" s="88">
        <v>1611</v>
      </c>
      <c r="H673" s="88">
        <v>2367</v>
      </c>
      <c r="I673" s="88">
        <v>101</v>
      </c>
      <c r="J673" s="88">
        <v>20</v>
      </c>
      <c r="K673" s="67">
        <v>8556</v>
      </c>
    </row>
    <row r="674" spans="1:11" s="66" customFormat="1" ht="9.9499999999999993" customHeight="1" x14ac:dyDescent="0.15">
      <c r="A674" s="66" t="s">
        <v>31</v>
      </c>
      <c r="B674" s="88">
        <f t="shared" si="39"/>
        <v>2234</v>
      </c>
      <c r="C674" s="88">
        <v>534</v>
      </c>
      <c r="D674" s="88">
        <v>259</v>
      </c>
      <c r="E674" s="88">
        <v>425</v>
      </c>
      <c r="F674" s="88">
        <v>206</v>
      </c>
      <c r="G674" s="88">
        <v>41</v>
      </c>
      <c r="H674" s="88">
        <v>108</v>
      </c>
      <c r="I674" s="88">
        <v>4</v>
      </c>
      <c r="J674" s="88">
        <v>1</v>
      </c>
      <c r="K674" s="67">
        <v>656</v>
      </c>
    </row>
    <row r="675" spans="1:11" s="66" customFormat="1" ht="9.9499999999999993" customHeight="1" x14ac:dyDescent="0.15">
      <c r="A675" s="66" t="s">
        <v>32</v>
      </c>
      <c r="B675" s="88">
        <f t="shared" si="39"/>
        <v>7362</v>
      </c>
      <c r="C675" s="88">
        <v>1612</v>
      </c>
      <c r="D675" s="88">
        <v>1044</v>
      </c>
      <c r="E675" s="88">
        <v>1319</v>
      </c>
      <c r="F675" s="88">
        <v>730</v>
      </c>
      <c r="G675" s="88">
        <v>185</v>
      </c>
      <c r="H675" s="88">
        <v>533</v>
      </c>
      <c r="I675" s="88">
        <v>40</v>
      </c>
      <c r="J675" s="88">
        <v>4</v>
      </c>
      <c r="K675" s="67">
        <v>1895</v>
      </c>
    </row>
    <row r="676" spans="1:11" s="66" customFormat="1" ht="9.9499999999999993" customHeight="1" x14ac:dyDescent="0.15">
      <c r="A676" s="69" t="s">
        <v>33</v>
      </c>
      <c r="B676" s="90">
        <f t="shared" si="39"/>
        <v>2812</v>
      </c>
      <c r="C676" s="90">
        <v>754</v>
      </c>
      <c r="D676" s="90">
        <v>169</v>
      </c>
      <c r="E676" s="90">
        <v>589</v>
      </c>
      <c r="F676" s="90">
        <v>298</v>
      </c>
      <c r="G676" s="90">
        <v>62</v>
      </c>
      <c r="H676" s="90">
        <v>114</v>
      </c>
      <c r="I676" s="90">
        <v>38</v>
      </c>
      <c r="J676" s="90">
        <v>0</v>
      </c>
      <c r="K676" s="70">
        <v>788</v>
      </c>
    </row>
    <row r="677" spans="1:11" s="66" customFormat="1" ht="9.9499999999999993" customHeight="1" x14ac:dyDescent="0.15">
      <c r="A677" s="66" t="s">
        <v>34</v>
      </c>
      <c r="B677" s="88">
        <f t="shared" si="39"/>
        <v>2466</v>
      </c>
      <c r="C677" s="88">
        <v>628</v>
      </c>
      <c r="D677" s="88">
        <v>229</v>
      </c>
      <c r="E677" s="88">
        <v>442</v>
      </c>
      <c r="F677" s="88">
        <v>255</v>
      </c>
      <c r="G677" s="88">
        <v>148</v>
      </c>
      <c r="H677" s="88">
        <v>118</v>
      </c>
      <c r="I677" s="88">
        <v>14</v>
      </c>
      <c r="J677" s="88">
        <v>0</v>
      </c>
      <c r="K677" s="67">
        <v>632</v>
      </c>
    </row>
    <row r="678" spans="1:11" s="66" customFormat="1" ht="9.9499999999999993" customHeight="1" x14ac:dyDescent="0.15">
      <c r="A678" s="66" t="s">
        <v>35</v>
      </c>
      <c r="B678" s="88">
        <f t="shared" si="39"/>
        <v>12210</v>
      </c>
      <c r="C678" s="88">
        <v>2762</v>
      </c>
      <c r="D678" s="88">
        <v>1641</v>
      </c>
      <c r="E678" s="88">
        <v>2144</v>
      </c>
      <c r="F678" s="88">
        <v>1282</v>
      </c>
      <c r="G678" s="88">
        <v>377</v>
      </c>
      <c r="H678" s="88">
        <v>602</v>
      </c>
      <c r="I678" s="88">
        <v>48</v>
      </c>
      <c r="J678" s="88">
        <v>6</v>
      </c>
      <c r="K678" s="67">
        <v>3348</v>
      </c>
    </row>
    <row r="679" spans="1:11" s="66" customFormat="1" ht="9.9499999999999993" customHeight="1" x14ac:dyDescent="0.15">
      <c r="A679" s="66" t="s">
        <v>36</v>
      </c>
      <c r="B679" s="88">
        <f t="shared" si="39"/>
        <v>18420</v>
      </c>
      <c r="C679" s="88">
        <v>4575</v>
      </c>
      <c r="D679" s="88">
        <v>905</v>
      </c>
      <c r="E679" s="88">
        <v>3657</v>
      </c>
      <c r="F679" s="88">
        <v>2133</v>
      </c>
      <c r="G679" s="88">
        <v>843</v>
      </c>
      <c r="H679" s="88">
        <v>1415</v>
      </c>
      <c r="I679" s="88">
        <v>54</v>
      </c>
      <c r="J679" s="88">
        <v>9</v>
      </c>
      <c r="K679" s="67">
        <v>4829</v>
      </c>
    </row>
    <row r="680" spans="1:11" s="66" customFormat="1" ht="9.9499999999999993" customHeight="1" x14ac:dyDescent="0.15">
      <c r="A680" s="69" t="s">
        <v>37</v>
      </c>
      <c r="B680" s="90">
        <f t="shared" si="39"/>
        <v>2662</v>
      </c>
      <c r="C680" s="90">
        <v>642</v>
      </c>
      <c r="D680" s="90">
        <v>370</v>
      </c>
      <c r="E680" s="90">
        <v>486</v>
      </c>
      <c r="F680" s="90">
        <v>158</v>
      </c>
      <c r="G680" s="90">
        <v>76</v>
      </c>
      <c r="H680" s="90">
        <v>89</v>
      </c>
      <c r="I680" s="90">
        <v>15</v>
      </c>
      <c r="J680" s="90">
        <v>5</v>
      </c>
      <c r="K680" s="70">
        <v>821</v>
      </c>
    </row>
    <row r="681" spans="1:11" s="66" customFormat="1" ht="9.9499999999999993" customHeight="1" x14ac:dyDescent="0.15">
      <c r="A681" s="66" t="s">
        <v>38</v>
      </c>
      <c r="B681" s="88">
        <f t="shared" si="39"/>
        <v>1622</v>
      </c>
      <c r="C681" s="88">
        <v>428</v>
      </c>
      <c r="D681" s="88">
        <v>107</v>
      </c>
      <c r="E681" s="88">
        <v>323</v>
      </c>
      <c r="F681" s="88">
        <v>183</v>
      </c>
      <c r="G681" s="88">
        <v>44</v>
      </c>
      <c r="H681" s="88">
        <v>77</v>
      </c>
      <c r="I681" s="88">
        <v>31</v>
      </c>
      <c r="J681" s="88">
        <v>0</v>
      </c>
      <c r="K681" s="67">
        <v>429</v>
      </c>
    </row>
    <row r="682" spans="1:11" s="66" customFormat="1" ht="9.9499999999999993" customHeight="1" x14ac:dyDescent="0.25">
      <c r="A682" s="66" t="s">
        <v>39</v>
      </c>
      <c r="B682" s="88">
        <f t="shared" si="39"/>
        <v>403</v>
      </c>
      <c r="C682" s="88">
        <v>99</v>
      </c>
      <c r="D682" s="88">
        <v>61</v>
      </c>
      <c r="E682" s="88">
        <v>86</v>
      </c>
      <c r="F682" s="88">
        <v>19</v>
      </c>
      <c r="G682" s="88">
        <v>9</v>
      </c>
      <c r="H682" s="88">
        <v>8</v>
      </c>
      <c r="I682" s="88">
        <v>1</v>
      </c>
      <c r="J682" s="88">
        <v>0</v>
      </c>
      <c r="K682" s="88">
        <v>120</v>
      </c>
    </row>
    <row r="683" spans="1:11" s="66" customFormat="1" ht="9.9499999999999993" customHeight="1" x14ac:dyDescent="0.15">
      <c r="A683" s="66" t="s">
        <v>40</v>
      </c>
      <c r="B683" s="88">
        <f t="shared" si="39"/>
        <v>4888</v>
      </c>
      <c r="C683" s="88">
        <v>1129</v>
      </c>
      <c r="D683" s="88">
        <v>414</v>
      </c>
      <c r="E683" s="88">
        <v>986</v>
      </c>
      <c r="F683" s="88">
        <v>580</v>
      </c>
      <c r="G683" s="88">
        <v>136</v>
      </c>
      <c r="H683" s="88">
        <v>269</v>
      </c>
      <c r="I683" s="88">
        <v>19</v>
      </c>
      <c r="J683" s="88">
        <v>8</v>
      </c>
      <c r="K683" s="67">
        <v>1347</v>
      </c>
    </row>
    <row r="684" spans="1:11" s="66" customFormat="1" ht="9.9499999999999993" customHeight="1" x14ac:dyDescent="0.25">
      <c r="A684" s="69" t="s">
        <v>41</v>
      </c>
      <c r="B684" s="90">
        <f t="shared" si="39"/>
        <v>2055</v>
      </c>
      <c r="C684" s="90">
        <v>507</v>
      </c>
      <c r="D684" s="90">
        <v>217</v>
      </c>
      <c r="E684" s="90">
        <v>409</v>
      </c>
      <c r="F684" s="90">
        <v>221</v>
      </c>
      <c r="G684" s="90">
        <v>63</v>
      </c>
      <c r="H684" s="90">
        <v>96</v>
      </c>
      <c r="I684" s="90">
        <v>49</v>
      </c>
      <c r="J684" s="90">
        <v>2</v>
      </c>
      <c r="K684" s="90">
        <v>491</v>
      </c>
    </row>
    <row r="685" spans="1:11" s="66" customFormat="1" ht="9.9499999999999993" customHeight="1" x14ac:dyDescent="0.15">
      <c r="A685" s="66" t="s">
        <v>42</v>
      </c>
      <c r="B685" s="88">
        <f t="shared" si="39"/>
        <v>2060</v>
      </c>
      <c r="C685" s="88">
        <v>459</v>
      </c>
      <c r="D685" s="88">
        <v>245</v>
      </c>
      <c r="E685" s="88">
        <v>428</v>
      </c>
      <c r="F685" s="88">
        <v>220</v>
      </c>
      <c r="G685" s="88">
        <v>83</v>
      </c>
      <c r="H685" s="88">
        <v>123</v>
      </c>
      <c r="I685" s="88">
        <v>19</v>
      </c>
      <c r="J685" s="88">
        <v>3</v>
      </c>
      <c r="K685" s="67">
        <v>480</v>
      </c>
    </row>
    <row r="686" spans="1:11" s="66" customFormat="1" ht="9.9499999999999993" customHeight="1" x14ac:dyDescent="0.15">
      <c r="A686" s="66" t="s">
        <v>43</v>
      </c>
      <c r="B686" s="88">
        <f t="shared" si="39"/>
        <v>1645</v>
      </c>
      <c r="C686" s="88">
        <v>368</v>
      </c>
      <c r="D686" s="88">
        <v>156</v>
      </c>
      <c r="E686" s="88">
        <v>309</v>
      </c>
      <c r="F686" s="88">
        <v>192</v>
      </c>
      <c r="G686" s="88">
        <v>95</v>
      </c>
      <c r="H686" s="88">
        <v>96</v>
      </c>
      <c r="I686" s="88">
        <v>10</v>
      </c>
      <c r="J686" s="88">
        <v>3</v>
      </c>
      <c r="K686" s="67">
        <v>416</v>
      </c>
    </row>
    <row r="687" spans="1:11" s="66" customFormat="1" ht="9.9499999999999993" customHeight="1" x14ac:dyDescent="0.15">
      <c r="A687" s="66" t="s">
        <v>44</v>
      </c>
      <c r="B687" s="88">
        <f t="shared" si="39"/>
        <v>4295</v>
      </c>
      <c r="C687" s="88">
        <v>1037</v>
      </c>
      <c r="D687" s="88">
        <v>232</v>
      </c>
      <c r="E687" s="88">
        <v>935</v>
      </c>
      <c r="F687" s="88">
        <v>602</v>
      </c>
      <c r="G687" s="88">
        <v>198</v>
      </c>
      <c r="H687" s="88">
        <v>145</v>
      </c>
      <c r="I687" s="88">
        <v>11</v>
      </c>
      <c r="J687" s="88">
        <v>2</v>
      </c>
      <c r="K687" s="67">
        <v>1133</v>
      </c>
    </row>
    <row r="688" spans="1:11" s="66" customFormat="1" ht="9.9499999999999993" customHeight="1" x14ac:dyDescent="0.15">
      <c r="A688" s="69" t="s">
        <v>45</v>
      </c>
      <c r="B688" s="90">
        <f t="shared" si="39"/>
        <v>2237</v>
      </c>
      <c r="C688" s="90">
        <v>584</v>
      </c>
      <c r="D688" s="90">
        <v>209</v>
      </c>
      <c r="E688" s="90">
        <v>421</v>
      </c>
      <c r="F688" s="90">
        <v>164</v>
      </c>
      <c r="G688" s="90">
        <v>64</v>
      </c>
      <c r="H688" s="90">
        <v>161</v>
      </c>
      <c r="I688" s="90">
        <v>6</v>
      </c>
      <c r="J688" s="90">
        <v>1</v>
      </c>
      <c r="K688" s="70">
        <v>627</v>
      </c>
    </row>
    <row r="689" spans="1:12" s="66" customFormat="1" ht="9.9499999999999993" customHeight="1" x14ac:dyDescent="0.15">
      <c r="A689" s="66" t="s">
        <v>46</v>
      </c>
      <c r="B689" s="88">
        <f t="shared" si="39"/>
        <v>7004</v>
      </c>
      <c r="C689" s="88">
        <v>1691</v>
      </c>
      <c r="D689" s="88">
        <v>1031</v>
      </c>
      <c r="E689" s="88">
        <v>1368</v>
      </c>
      <c r="F689" s="88">
        <v>819</v>
      </c>
      <c r="G689" s="88">
        <v>58</v>
      </c>
      <c r="H689" s="88">
        <v>82</v>
      </c>
      <c r="I689" s="88">
        <v>52</v>
      </c>
      <c r="J689" s="88">
        <v>4</v>
      </c>
      <c r="K689" s="67">
        <v>1899</v>
      </c>
    </row>
    <row r="690" spans="1:12" s="66" customFormat="1" ht="9.9499999999999993" customHeight="1" x14ac:dyDescent="0.15">
      <c r="A690" s="66" t="s">
        <v>47</v>
      </c>
      <c r="B690" s="88">
        <f t="shared" si="39"/>
        <v>2442</v>
      </c>
      <c r="C690" s="88">
        <v>535</v>
      </c>
      <c r="D690" s="88">
        <v>256</v>
      </c>
      <c r="E690" s="88">
        <v>537</v>
      </c>
      <c r="F690" s="88">
        <v>254</v>
      </c>
      <c r="G690" s="88">
        <v>46</v>
      </c>
      <c r="H690" s="88">
        <v>60</v>
      </c>
      <c r="I690" s="88">
        <v>22</v>
      </c>
      <c r="J690" s="88">
        <v>0</v>
      </c>
      <c r="K690" s="67">
        <v>732</v>
      </c>
    </row>
    <row r="691" spans="1:12" s="66" customFormat="1" ht="9.9499999999999993" customHeight="1" x14ac:dyDescent="0.25">
      <c r="A691" s="66" t="s">
        <v>48</v>
      </c>
      <c r="B691" s="88">
        <f t="shared" si="39"/>
        <v>594</v>
      </c>
      <c r="C691" s="88">
        <v>180</v>
      </c>
      <c r="D691" s="88">
        <v>10</v>
      </c>
      <c r="E691" s="88">
        <v>128</v>
      </c>
      <c r="F691" s="88">
        <v>92</v>
      </c>
      <c r="G691" s="88">
        <v>9</v>
      </c>
      <c r="H691" s="88">
        <v>6</v>
      </c>
      <c r="I691" s="88">
        <v>0</v>
      </c>
      <c r="J691" s="88">
        <v>0</v>
      </c>
      <c r="K691" s="88">
        <v>169</v>
      </c>
    </row>
    <row r="692" spans="1:12" s="66" customFormat="1" ht="9.9499999999999993" customHeight="1" x14ac:dyDescent="0.15">
      <c r="A692" s="69" t="s">
        <v>49</v>
      </c>
      <c r="B692" s="90">
        <f t="shared" si="39"/>
        <v>1348</v>
      </c>
      <c r="C692" s="90">
        <v>335</v>
      </c>
      <c r="D692" s="90">
        <v>75</v>
      </c>
      <c r="E692" s="90">
        <v>316</v>
      </c>
      <c r="F692" s="90">
        <v>131</v>
      </c>
      <c r="G692" s="90">
        <v>25</v>
      </c>
      <c r="H692" s="90">
        <v>51</v>
      </c>
      <c r="I692" s="90">
        <v>11</v>
      </c>
      <c r="J692" s="90">
        <v>0</v>
      </c>
      <c r="K692" s="70">
        <v>404</v>
      </c>
    </row>
    <row r="693" spans="1:12" s="66" customFormat="1" ht="9.9499999999999993" customHeight="1" x14ac:dyDescent="0.15">
      <c r="A693" s="66" t="s">
        <v>50</v>
      </c>
      <c r="B693" s="88">
        <f t="shared" si="39"/>
        <v>718</v>
      </c>
      <c r="C693" s="88">
        <v>190</v>
      </c>
      <c r="D693" s="88">
        <v>58</v>
      </c>
      <c r="E693" s="88">
        <v>131</v>
      </c>
      <c r="F693" s="88">
        <v>61</v>
      </c>
      <c r="G693" s="88">
        <v>51</v>
      </c>
      <c r="H693" s="88">
        <v>42</v>
      </c>
      <c r="I693" s="88">
        <v>2</v>
      </c>
      <c r="J693" s="88">
        <v>1</v>
      </c>
      <c r="K693" s="67">
        <v>182</v>
      </c>
    </row>
    <row r="694" spans="1:12" s="66" customFormat="1" ht="9.9499999999999993" customHeight="1" x14ac:dyDescent="0.15">
      <c r="A694" s="66" t="s">
        <v>51</v>
      </c>
      <c r="B694" s="88">
        <f t="shared" si="39"/>
        <v>1450</v>
      </c>
      <c r="C694" s="88">
        <v>386</v>
      </c>
      <c r="D694" s="88">
        <v>104</v>
      </c>
      <c r="E694" s="88">
        <v>307</v>
      </c>
      <c r="F694" s="88">
        <v>108</v>
      </c>
      <c r="G694" s="88">
        <v>62</v>
      </c>
      <c r="H694" s="88">
        <v>83</v>
      </c>
      <c r="I694" s="88">
        <v>2</v>
      </c>
      <c r="J694" s="88">
        <v>0</v>
      </c>
      <c r="K694" s="67">
        <v>398</v>
      </c>
    </row>
    <row r="695" spans="1:12" s="66" customFormat="1" ht="9.9499999999999993" customHeight="1" x14ac:dyDescent="0.15">
      <c r="A695" s="66" t="s">
        <v>52</v>
      </c>
      <c r="B695" s="88">
        <f t="shared" si="39"/>
        <v>1664</v>
      </c>
      <c r="C695" s="88">
        <v>434</v>
      </c>
      <c r="D695" s="88">
        <v>91</v>
      </c>
      <c r="E695" s="88">
        <v>411</v>
      </c>
      <c r="F695" s="88">
        <v>160</v>
      </c>
      <c r="G695" s="88">
        <v>32</v>
      </c>
      <c r="H695" s="88">
        <v>51</v>
      </c>
      <c r="I695" s="88">
        <v>5</v>
      </c>
      <c r="J695" s="88">
        <v>2</v>
      </c>
      <c r="K695" s="67">
        <v>478</v>
      </c>
    </row>
    <row r="696" spans="1:12" s="66" customFormat="1" ht="9.9499999999999993" customHeight="1" x14ac:dyDescent="0.15">
      <c r="A696" s="69" t="s">
        <v>53</v>
      </c>
      <c r="B696" s="90">
        <f t="shared" si="39"/>
        <v>1915</v>
      </c>
      <c r="C696" s="90">
        <v>420</v>
      </c>
      <c r="D696" s="90">
        <v>211</v>
      </c>
      <c r="E696" s="90">
        <v>375</v>
      </c>
      <c r="F696" s="90">
        <v>158</v>
      </c>
      <c r="G696" s="90">
        <v>74</v>
      </c>
      <c r="H696" s="90">
        <v>124</v>
      </c>
      <c r="I696" s="90">
        <v>7</v>
      </c>
      <c r="J696" s="90">
        <v>1</v>
      </c>
      <c r="K696" s="70">
        <v>545</v>
      </c>
    </row>
    <row r="697" spans="1:12" s="68" customFormat="1" ht="3" customHeight="1" x14ac:dyDescent="0.25">
      <c r="A697" s="104"/>
      <c r="B697" s="105"/>
      <c r="C697" s="105"/>
      <c r="D697" s="105"/>
      <c r="E697" s="105"/>
      <c r="F697" s="105"/>
      <c r="G697" s="105"/>
      <c r="H697" s="105"/>
      <c r="I697" s="105"/>
      <c r="J697" s="105"/>
      <c r="K697" s="105"/>
    </row>
    <row r="698" spans="1:12" s="68" customFormat="1" ht="3" customHeight="1" x14ac:dyDescent="0.25">
      <c r="A698" s="66"/>
      <c r="B698" s="95"/>
      <c r="C698" s="95"/>
      <c r="D698" s="95"/>
      <c r="E698" s="95"/>
      <c r="F698" s="95"/>
      <c r="G698" s="95"/>
      <c r="H698" s="95"/>
      <c r="I698" s="95"/>
      <c r="J698" s="95"/>
      <c r="K698" s="95"/>
    </row>
    <row r="699" spans="1:12" ht="9" customHeight="1" x14ac:dyDescent="0.25">
      <c r="A699" s="73" t="s">
        <v>103</v>
      </c>
    </row>
    <row r="700" spans="1:12" ht="9" customHeight="1" x14ac:dyDescent="0.25">
      <c r="A700" s="73" t="s">
        <v>73</v>
      </c>
    </row>
    <row r="701" spans="1:12" ht="11.25" hidden="1" customHeight="1" x14ac:dyDescent="0.25">
      <c r="L701" s="58" t="s">
        <v>74</v>
      </c>
    </row>
    <row r="702" spans="1:12" ht="11.25" hidden="1" customHeight="1" x14ac:dyDescent="0.25"/>
    <row r="703" spans="1:12" ht="11.25" hidden="1" customHeight="1" x14ac:dyDescent="0.25"/>
    <row r="704" spans="1:12" ht="11.25" hidden="1" customHeight="1" x14ac:dyDescent="0.25"/>
    <row r="705" ht="11.25" hidden="1" customHeight="1" x14ac:dyDescent="0.25"/>
    <row r="706" ht="11.25" hidden="1" customHeight="1" x14ac:dyDescent="0.25"/>
    <row r="707" ht="11.25" hidden="1" customHeight="1" x14ac:dyDescent="0.25"/>
    <row r="708" ht="11.25" hidden="1" customHeight="1" x14ac:dyDescent="0.25"/>
    <row r="709" ht="11.25" hidden="1" customHeight="1" x14ac:dyDescent="0.25"/>
    <row r="710" ht="11.25" hidden="1" customHeight="1" x14ac:dyDescent="0.25"/>
    <row r="711" ht="11.25" hidden="1" customHeight="1" x14ac:dyDescent="0.25"/>
    <row r="712" ht="11.25" hidden="1" customHeight="1" x14ac:dyDescent="0.25"/>
    <row r="713" ht="11.25" hidden="1" customHeight="1" x14ac:dyDescent="0.25"/>
    <row r="714" ht="11.25" hidden="1" customHeight="1" x14ac:dyDescent="0.25"/>
    <row r="715" ht="11.25" hidden="1" customHeight="1" x14ac:dyDescent="0.25"/>
    <row r="716" ht="11.25" hidden="1" customHeight="1" x14ac:dyDescent="0.25"/>
    <row r="717" ht="11.25" hidden="1" customHeight="1" x14ac:dyDescent="0.25"/>
    <row r="718" ht="11.25" hidden="1" customHeight="1" x14ac:dyDescent="0.25"/>
    <row r="719" ht="11.25" hidden="1" customHeight="1" x14ac:dyDescent="0.25"/>
    <row r="720" ht="11.25" hidden="1" customHeight="1" x14ac:dyDescent="0.25"/>
    <row r="721" ht="11.25" hidden="1" customHeight="1" x14ac:dyDescent="0.25"/>
    <row r="722" ht="11.25" hidden="1" customHeight="1" x14ac:dyDescent="0.25"/>
    <row r="723" ht="11.25" hidden="1" customHeight="1" x14ac:dyDescent="0.25"/>
    <row r="724" ht="11.25" hidden="1" customHeight="1" x14ac:dyDescent="0.25"/>
    <row r="725" ht="11.25" hidden="1" customHeight="1" x14ac:dyDescent="0.25"/>
    <row r="726" ht="11.25" hidden="1" customHeight="1" x14ac:dyDescent="0.25"/>
    <row r="727" ht="11.25" hidden="1" customHeight="1" x14ac:dyDescent="0.25"/>
    <row r="728" ht="11.25" hidden="1" customHeight="1" x14ac:dyDescent="0.25"/>
    <row r="729" ht="11.25" hidden="1" customHeight="1" x14ac:dyDescent="0.25"/>
    <row r="730" ht="11.25" hidden="1" customHeight="1" x14ac:dyDescent="0.25"/>
    <row r="731" ht="11.25" hidden="1" customHeight="1" x14ac:dyDescent="0.25"/>
    <row r="732" ht="11.25" hidden="1" customHeight="1" x14ac:dyDescent="0.25"/>
    <row r="733" ht="11.25" hidden="1" customHeight="1" x14ac:dyDescent="0.25"/>
    <row r="734" ht="11.25" hidden="1" customHeight="1" x14ac:dyDescent="0.25"/>
    <row r="735" ht="11.25" hidden="1" customHeight="1" x14ac:dyDescent="0.25"/>
    <row r="736" ht="11.25" hidden="1" customHeight="1" x14ac:dyDescent="0.25"/>
    <row r="737" ht="11.25" hidden="1" customHeight="1" x14ac:dyDescent="0.25"/>
    <row r="738" ht="11.25" hidden="1" customHeight="1" x14ac:dyDescent="0.25"/>
    <row r="739" ht="11.25" hidden="1" customHeight="1" x14ac:dyDescent="0.25"/>
    <row r="740" ht="11.25" hidden="1" customHeight="1" x14ac:dyDescent="0.25"/>
    <row r="741" ht="11.25" hidden="1" customHeight="1" x14ac:dyDescent="0.25"/>
    <row r="742" ht="11.25" hidden="1" customHeight="1" x14ac:dyDescent="0.25"/>
    <row r="743" ht="11.25" hidden="1" customHeight="1" x14ac:dyDescent="0.25"/>
    <row r="744" ht="11.25" hidden="1" customHeight="1" x14ac:dyDescent="0.25"/>
    <row r="745" ht="11.25" hidden="1" customHeight="1" x14ac:dyDescent="0.25"/>
    <row r="746" ht="11.25" hidden="1" customHeight="1" x14ac:dyDescent="0.25"/>
    <row r="747" ht="11.25" hidden="1" customHeight="1" x14ac:dyDescent="0.25"/>
    <row r="748" ht="11.25" hidden="1" customHeight="1" x14ac:dyDescent="0.25"/>
    <row r="749" ht="11.25" hidden="1" customHeight="1" x14ac:dyDescent="0.25"/>
    <row r="750" ht="11.25" hidden="1" customHeight="1" x14ac:dyDescent="0.25"/>
    <row r="751" ht="11.25" hidden="1" customHeight="1" x14ac:dyDescent="0.25"/>
    <row r="752" ht="11.25" hidden="1" customHeight="1" x14ac:dyDescent="0.25"/>
    <row r="753" ht="11.25" hidden="1" customHeight="1" x14ac:dyDescent="0.25"/>
    <row r="754" ht="11.25" hidden="1" customHeight="1" x14ac:dyDescent="0.25"/>
    <row r="755" ht="11.25" hidden="1" customHeight="1" x14ac:dyDescent="0.25"/>
    <row r="756" ht="11.25" hidden="1" customHeight="1" x14ac:dyDescent="0.25"/>
    <row r="757" ht="11.25" hidden="1" customHeight="1" x14ac:dyDescent="0.25"/>
    <row r="758" ht="11.25" hidden="1" customHeight="1" x14ac:dyDescent="0.25"/>
    <row r="759" ht="11.25" hidden="1" customHeight="1" x14ac:dyDescent="0.25"/>
    <row r="760" ht="11.25" hidden="1" customHeight="1" x14ac:dyDescent="0.25"/>
    <row r="761" ht="11.25" hidden="1" customHeight="1" x14ac:dyDescent="0.25"/>
    <row r="762" ht="11.25" hidden="1" customHeight="1" x14ac:dyDescent="0.25"/>
    <row r="763" ht="11.25" hidden="1" customHeight="1" x14ac:dyDescent="0.25"/>
    <row r="764" ht="11.25" hidden="1" customHeight="1" x14ac:dyDescent="0.25"/>
    <row r="765" ht="11.25" hidden="1" customHeight="1" x14ac:dyDescent="0.25"/>
    <row r="766" ht="11.25" hidden="1" customHeight="1" x14ac:dyDescent="0.25"/>
    <row r="767" ht="11.25" hidden="1" customHeight="1" x14ac:dyDescent="0.25"/>
    <row r="768" ht="11.25" hidden="1" customHeight="1" x14ac:dyDescent="0.25"/>
    <row r="769" ht="11.25" hidden="1" customHeight="1" x14ac:dyDescent="0.25"/>
    <row r="770" ht="11.25" hidden="1" customHeight="1" x14ac:dyDescent="0.25"/>
    <row r="771" ht="11.25" hidden="1" customHeight="1" x14ac:dyDescent="0.25"/>
    <row r="772" ht="11.25" hidden="1" customHeight="1" x14ac:dyDescent="0.25"/>
    <row r="773" ht="11.25" hidden="1" customHeight="1" x14ac:dyDescent="0.25"/>
    <row r="774" ht="11.25" hidden="1" customHeight="1" x14ac:dyDescent="0.25"/>
    <row r="775" ht="11.25" hidden="1" customHeight="1" x14ac:dyDescent="0.25"/>
    <row r="776" ht="11.25" hidden="1" customHeight="1" x14ac:dyDescent="0.25"/>
    <row r="777" ht="11.25" hidden="1" customHeight="1" x14ac:dyDescent="0.25"/>
    <row r="778" ht="11.25" hidden="1" customHeight="1" x14ac:dyDescent="0.25"/>
    <row r="779" ht="11.25" hidden="1" customHeight="1" x14ac:dyDescent="0.25"/>
    <row r="780" ht="11.25" hidden="1" customHeight="1" x14ac:dyDescent="0.25"/>
    <row r="781" ht="11.25" hidden="1" customHeight="1" x14ac:dyDescent="0.25"/>
    <row r="782" ht="11.25" hidden="1" customHeight="1" x14ac:dyDescent="0.25"/>
    <row r="783" ht="11.25" hidden="1" customHeight="1" x14ac:dyDescent="0.25"/>
    <row r="784" ht="11.25" hidden="1" customHeight="1" x14ac:dyDescent="0.25"/>
    <row r="785" ht="11.25" hidden="1" customHeight="1" x14ac:dyDescent="0.25"/>
    <row r="786" ht="11.25" hidden="1" customHeight="1" x14ac:dyDescent="0.25"/>
    <row r="787" ht="11.25" hidden="1" customHeight="1" x14ac:dyDescent="0.25"/>
    <row r="788" ht="11.25" hidden="1" customHeight="1" x14ac:dyDescent="0.25"/>
    <row r="789" ht="11.25" hidden="1" customHeight="1" x14ac:dyDescent="0.25"/>
    <row r="790" ht="11.25" hidden="1" customHeight="1" x14ac:dyDescent="0.25"/>
    <row r="791" ht="11.25" hidden="1" customHeight="1" x14ac:dyDescent="0.25"/>
    <row r="792" ht="11.25" hidden="1" customHeight="1" x14ac:dyDescent="0.25"/>
    <row r="793" ht="11.25" hidden="1" customHeight="1" x14ac:dyDescent="0.25"/>
    <row r="794" ht="11.25" hidden="1" customHeight="1" x14ac:dyDescent="0.25"/>
    <row r="795" ht="11.25" hidden="1" customHeight="1" x14ac:dyDescent="0.25"/>
    <row r="796" ht="11.25" hidden="1" customHeight="1" x14ac:dyDescent="0.25"/>
    <row r="797" ht="11.25" hidden="1" customHeight="1" x14ac:dyDescent="0.25"/>
    <row r="798" ht="11.25" hidden="1" customHeight="1" x14ac:dyDescent="0.25"/>
    <row r="799" ht="11.25" hidden="1" customHeight="1" x14ac:dyDescent="0.25"/>
    <row r="800" ht="11.25" hidden="1" customHeight="1" x14ac:dyDescent="0.25"/>
    <row r="801" ht="11.25" hidden="1" customHeight="1" x14ac:dyDescent="0.25"/>
    <row r="802" ht="11.25" hidden="1" customHeight="1" x14ac:dyDescent="0.25"/>
    <row r="803" ht="11.25" hidden="1" customHeight="1" x14ac:dyDescent="0.25"/>
    <row r="804" ht="11.25" hidden="1" customHeight="1" x14ac:dyDescent="0.25"/>
    <row r="805" ht="11.25" hidden="1" customHeight="1" x14ac:dyDescent="0.25"/>
    <row r="806" ht="11.25" hidden="1" customHeight="1" x14ac:dyDescent="0.25"/>
    <row r="807" ht="11.25" hidden="1" customHeight="1" x14ac:dyDescent="0.25"/>
    <row r="808" ht="11.25" hidden="1" customHeight="1" x14ac:dyDescent="0.25"/>
    <row r="809" ht="11.25" hidden="1" customHeight="1" x14ac:dyDescent="0.25"/>
    <row r="810" ht="11.25" hidden="1" customHeight="1" x14ac:dyDescent="0.25"/>
    <row r="811" ht="11.25" hidden="1" customHeight="1" x14ac:dyDescent="0.25"/>
    <row r="812" ht="11.25" hidden="1" customHeight="1" x14ac:dyDescent="0.25"/>
    <row r="813" ht="11.25" hidden="1" customHeight="1" x14ac:dyDescent="0.25"/>
    <row r="814" ht="11.25" hidden="1" customHeight="1" x14ac:dyDescent="0.25"/>
    <row r="815" ht="11.25" hidden="1" customHeight="1" x14ac:dyDescent="0.25"/>
    <row r="816" ht="11.25" hidden="1" customHeight="1" x14ac:dyDescent="0.25"/>
    <row r="817" ht="11.25" hidden="1" customHeight="1" x14ac:dyDescent="0.25"/>
    <row r="818" ht="11.25" hidden="1" customHeight="1" x14ac:dyDescent="0.25"/>
    <row r="819" ht="11.25" hidden="1" customHeight="1" x14ac:dyDescent="0.25"/>
    <row r="820" ht="11.25" hidden="1" customHeight="1" x14ac:dyDescent="0.25"/>
    <row r="821" ht="11.25" hidden="1" customHeight="1" x14ac:dyDescent="0.25"/>
    <row r="822" ht="11.25" hidden="1" customHeight="1" x14ac:dyDescent="0.25"/>
    <row r="823" ht="11.25" hidden="1" customHeight="1" x14ac:dyDescent="0.25"/>
    <row r="824" ht="11.25" hidden="1" customHeight="1" x14ac:dyDescent="0.25"/>
    <row r="825" ht="11.25" hidden="1" customHeight="1" x14ac:dyDescent="0.25"/>
    <row r="826" ht="11.25" hidden="1" customHeight="1" x14ac:dyDescent="0.25"/>
    <row r="827" ht="11.25" hidden="1" customHeight="1" x14ac:dyDescent="0.25"/>
    <row r="828" ht="11.25" hidden="1" customHeight="1" x14ac:dyDescent="0.25"/>
    <row r="829" ht="11.25" hidden="1" customHeight="1" x14ac:dyDescent="0.25"/>
    <row r="830" ht="11.25" hidden="1" customHeight="1" x14ac:dyDescent="0.25"/>
    <row r="831" ht="11.25" hidden="1" customHeight="1" x14ac:dyDescent="0.25"/>
    <row r="832" ht="11.25" hidden="1" customHeight="1" x14ac:dyDescent="0.25"/>
    <row r="833" ht="11.25" hidden="1" customHeight="1" x14ac:dyDescent="0.25"/>
    <row r="834" ht="11.25" hidden="1" customHeight="1" x14ac:dyDescent="0.25"/>
    <row r="835" ht="11.25" hidden="1" customHeight="1" x14ac:dyDescent="0.25"/>
    <row r="836" ht="11.25" hidden="1" customHeight="1" x14ac:dyDescent="0.25"/>
    <row r="837" ht="11.25" hidden="1" customHeight="1" x14ac:dyDescent="0.25"/>
    <row r="838" ht="11.25" hidden="1" customHeight="1" x14ac:dyDescent="0.25"/>
    <row r="839" ht="11.25" hidden="1" customHeight="1" x14ac:dyDescent="0.25"/>
    <row r="840" ht="11.25" hidden="1" customHeight="1" x14ac:dyDescent="0.25"/>
    <row r="841" ht="11.25" hidden="1" customHeight="1" x14ac:dyDescent="0.25"/>
    <row r="842" ht="11.25" hidden="1" customHeight="1" x14ac:dyDescent="0.25"/>
    <row r="843" ht="11.25" hidden="1" customHeight="1" x14ac:dyDescent="0.25"/>
    <row r="844" ht="11.25" hidden="1" customHeight="1" x14ac:dyDescent="0.25"/>
    <row r="845" ht="11.25" hidden="1" customHeight="1" x14ac:dyDescent="0.25"/>
    <row r="846" ht="11.25" hidden="1" customHeight="1" x14ac:dyDescent="0.25"/>
    <row r="847" ht="11.25" hidden="1" customHeight="1" x14ac:dyDescent="0.25"/>
    <row r="848" ht="11.25" hidden="1" customHeight="1" x14ac:dyDescent="0.25"/>
    <row r="849" ht="11.25" hidden="1" customHeight="1" x14ac:dyDescent="0.25"/>
    <row r="850" ht="11.25" hidden="1" customHeight="1" x14ac:dyDescent="0.25"/>
    <row r="851" ht="11.25" hidden="1" customHeight="1" x14ac:dyDescent="0.25"/>
    <row r="852" ht="11.25" hidden="1" customHeight="1" x14ac:dyDescent="0.25"/>
    <row r="853" ht="11.25" hidden="1" customHeight="1" x14ac:dyDescent="0.25"/>
    <row r="854" ht="11.25" hidden="1" customHeight="1" x14ac:dyDescent="0.25"/>
    <row r="855" ht="11.25" hidden="1" customHeight="1" x14ac:dyDescent="0.25"/>
    <row r="856" ht="11.25" hidden="1" customHeight="1" x14ac:dyDescent="0.25"/>
    <row r="857" ht="11.25" hidden="1" customHeight="1" x14ac:dyDescent="0.25"/>
    <row r="858" ht="11.25" hidden="1" customHeight="1" x14ac:dyDescent="0.25"/>
    <row r="859" ht="11.25" hidden="1" customHeight="1" x14ac:dyDescent="0.25"/>
    <row r="860" ht="11.25" hidden="1" customHeight="1" x14ac:dyDescent="0.25"/>
    <row r="861" ht="11.25" hidden="1" customHeight="1" x14ac:dyDescent="0.25"/>
    <row r="862" ht="11.25" hidden="1" customHeight="1" x14ac:dyDescent="0.25"/>
    <row r="863" ht="11.25" hidden="1" customHeight="1" x14ac:dyDescent="0.25"/>
    <row r="864" ht="11.25" hidden="1" customHeight="1" x14ac:dyDescent="0.25"/>
    <row r="865" ht="11.25" hidden="1" customHeight="1" x14ac:dyDescent="0.25"/>
    <row r="866" ht="11.25" hidden="1" customHeight="1" x14ac:dyDescent="0.25"/>
    <row r="867" ht="11.25" hidden="1" customHeight="1" x14ac:dyDescent="0.25"/>
    <row r="868" ht="11.25" hidden="1" customHeight="1" x14ac:dyDescent="0.25"/>
    <row r="869" ht="11.25" hidden="1" customHeight="1" x14ac:dyDescent="0.25"/>
    <row r="870" ht="11.25" hidden="1" customHeight="1" x14ac:dyDescent="0.25"/>
    <row r="871" ht="11.25" hidden="1" customHeight="1" x14ac:dyDescent="0.25"/>
    <row r="872" ht="11.25" hidden="1" customHeight="1" x14ac:dyDescent="0.25"/>
    <row r="873" ht="11.25" hidden="1" customHeight="1" x14ac:dyDescent="0.25"/>
    <row r="874" ht="11.25" hidden="1" customHeight="1" x14ac:dyDescent="0.25"/>
    <row r="875" ht="11.25" hidden="1" customHeight="1" x14ac:dyDescent="0.25"/>
    <row r="876" ht="11.25" hidden="1" customHeight="1" x14ac:dyDescent="0.25"/>
    <row r="877" ht="11.25" hidden="1" customHeight="1" x14ac:dyDescent="0.25"/>
    <row r="878" ht="11.25" hidden="1" customHeight="1" x14ac:dyDescent="0.25"/>
    <row r="879" ht="11.25" hidden="1" customHeight="1" x14ac:dyDescent="0.25"/>
    <row r="880" ht="11.25" hidden="1" customHeight="1" x14ac:dyDescent="0.25"/>
    <row r="881" ht="11.25" hidden="1" customHeight="1" x14ac:dyDescent="0.25"/>
    <row r="882" ht="11.25" hidden="1" customHeight="1" x14ac:dyDescent="0.25"/>
    <row r="883" ht="11.25" hidden="1" customHeight="1" x14ac:dyDescent="0.25"/>
    <row r="884" ht="11.25" hidden="1" customHeight="1" x14ac:dyDescent="0.25"/>
    <row r="885" ht="11.25" hidden="1" customHeight="1" x14ac:dyDescent="0.25"/>
    <row r="886" ht="11.25" hidden="1" customHeight="1" x14ac:dyDescent="0.25"/>
    <row r="887" ht="11.25" hidden="1" customHeight="1" x14ac:dyDescent="0.25"/>
    <row r="888" ht="11.25" hidden="1" customHeight="1" x14ac:dyDescent="0.25"/>
    <row r="889" ht="11.25" hidden="1" customHeight="1" x14ac:dyDescent="0.25"/>
    <row r="890" ht="11.25" hidden="1" customHeight="1" x14ac:dyDescent="0.25"/>
    <row r="891" ht="11.25" hidden="1" customHeight="1" x14ac:dyDescent="0.25"/>
    <row r="892" ht="11.25" hidden="1" customHeight="1" x14ac:dyDescent="0.25"/>
    <row r="893" ht="11.25" hidden="1" customHeight="1" x14ac:dyDescent="0.25"/>
    <row r="894" ht="11.25" hidden="1" customHeight="1" x14ac:dyDescent="0.25"/>
    <row r="895" ht="11.25" hidden="1" customHeight="1" x14ac:dyDescent="0.25"/>
    <row r="896" ht="11.25" hidden="1" customHeight="1" x14ac:dyDescent="0.25"/>
    <row r="897" ht="11.25" hidden="1" customHeight="1" x14ac:dyDescent="0.25"/>
    <row r="898" ht="11.25" hidden="1" customHeight="1" x14ac:dyDescent="0.25"/>
    <row r="899" ht="11.25" hidden="1" customHeight="1" x14ac:dyDescent="0.25"/>
    <row r="900" ht="11.25" hidden="1" customHeight="1" x14ac:dyDescent="0.25"/>
    <row r="901" ht="11.25" hidden="1" customHeight="1" x14ac:dyDescent="0.25"/>
    <row r="902" ht="11.25" hidden="1" customHeight="1" x14ac:dyDescent="0.25"/>
    <row r="903" ht="11.25" hidden="1" customHeight="1" x14ac:dyDescent="0.25"/>
    <row r="904" ht="11.25" hidden="1" customHeight="1" x14ac:dyDescent="0.25"/>
    <row r="905" ht="11.25" hidden="1" customHeight="1" x14ac:dyDescent="0.25"/>
    <row r="906" ht="11.25" hidden="1" customHeight="1" x14ac:dyDescent="0.25"/>
    <row r="907" ht="11.25" hidden="1" customHeight="1" x14ac:dyDescent="0.25"/>
    <row r="908" ht="11.25" hidden="1" customHeight="1" x14ac:dyDescent="0.25"/>
    <row r="909" ht="11.25" hidden="1" customHeight="1" x14ac:dyDescent="0.25"/>
    <row r="910" ht="11.25" hidden="1" customHeight="1" x14ac:dyDescent="0.25"/>
    <row r="911" ht="11.25" hidden="1" customHeight="1" x14ac:dyDescent="0.25"/>
    <row r="912" ht="11.25" hidden="1" customHeight="1" x14ac:dyDescent="0.25"/>
    <row r="913" ht="11.25" hidden="1" customHeight="1" x14ac:dyDescent="0.25"/>
    <row r="914" ht="11.25" hidden="1" customHeight="1" x14ac:dyDescent="0.25"/>
    <row r="915" ht="11.25" hidden="1" customHeight="1" x14ac:dyDescent="0.25"/>
    <row r="916" ht="11.25" hidden="1" customHeight="1" x14ac:dyDescent="0.25"/>
    <row r="917" ht="11.25" hidden="1" customHeight="1" x14ac:dyDescent="0.25"/>
    <row r="918" ht="11.25" hidden="1" customHeight="1" x14ac:dyDescent="0.25"/>
    <row r="919" ht="11.25" hidden="1" customHeight="1" x14ac:dyDescent="0.25"/>
    <row r="920" ht="11.25" hidden="1" customHeight="1" x14ac:dyDescent="0.25"/>
    <row r="921" ht="11.25" hidden="1" customHeight="1" x14ac:dyDescent="0.25"/>
    <row r="922" ht="11.25" hidden="1" customHeight="1" x14ac:dyDescent="0.25"/>
    <row r="923" ht="11.25" hidden="1" customHeight="1" x14ac:dyDescent="0.25"/>
    <row r="924" ht="11.25" hidden="1" customHeight="1" x14ac:dyDescent="0.25"/>
    <row r="925" ht="11.25" hidden="1" customHeight="1" x14ac:dyDescent="0.25"/>
    <row r="926" ht="11.25" hidden="1" customHeight="1" x14ac:dyDescent="0.25"/>
    <row r="927" ht="11.25" hidden="1" customHeight="1" x14ac:dyDescent="0.25"/>
    <row r="928" ht="11.25" hidden="1" customHeight="1" x14ac:dyDescent="0.25"/>
    <row r="929" ht="11.25" hidden="1" customHeight="1" x14ac:dyDescent="0.25"/>
    <row r="930" ht="11.25" hidden="1" customHeight="1" x14ac:dyDescent="0.25"/>
    <row r="931" ht="11.25" hidden="1" customHeight="1" x14ac:dyDescent="0.25"/>
    <row r="932" ht="11.25" hidden="1" customHeight="1" x14ac:dyDescent="0.25"/>
    <row r="933" ht="11.25" hidden="1" customHeight="1" x14ac:dyDescent="0.25"/>
    <row r="934" ht="11.25" hidden="1" customHeight="1" x14ac:dyDescent="0.25"/>
    <row r="935" ht="11.25" hidden="1" customHeight="1" x14ac:dyDescent="0.25"/>
    <row r="936" ht="11.25" hidden="1" customHeight="1" x14ac:dyDescent="0.25"/>
    <row r="937" ht="11.25" hidden="1" customHeight="1" x14ac:dyDescent="0.25"/>
    <row r="938" ht="11.25" hidden="1" customHeight="1" x14ac:dyDescent="0.25"/>
    <row r="939" ht="11.25" hidden="1" customHeight="1" x14ac:dyDescent="0.25"/>
    <row r="940" ht="11.25" hidden="1" customHeight="1" x14ac:dyDescent="0.25"/>
    <row r="941" ht="11.25" hidden="1" customHeight="1" x14ac:dyDescent="0.25"/>
    <row r="942" ht="11.25" hidden="1" customHeight="1" x14ac:dyDescent="0.25"/>
    <row r="943" ht="11.25" hidden="1" customHeight="1" x14ac:dyDescent="0.25"/>
    <row r="944" ht="11.25" hidden="1" customHeight="1" x14ac:dyDescent="0.25"/>
    <row r="945" ht="11.25" hidden="1" customHeight="1" x14ac:dyDescent="0.25"/>
    <row r="946" ht="11.25" hidden="1" customHeight="1" x14ac:dyDescent="0.25"/>
    <row r="947" ht="11.25" hidden="1" customHeight="1" x14ac:dyDescent="0.25"/>
    <row r="948" ht="11.25" hidden="1" customHeight="1" x14ac:dyDescent="0.25"/>
    <row r="949" ht="11.25" hidden="1" customHeight="1" x14ac:dyDescent="0.25"/>
    <row r="950" ht="11.25" hidden="1" customHeight="1" x14ac:dyDescent="0.25"/>
    <row r="951" ht="11.25" hidden="1" customHeight="1" x14ac:dyDescent="0.25"/>
    <row r="952" ht="11.25" hidden="1" customHeight="1" x14ac:dyDescent="0.25"/>
    <row r="953" ht="11.25" hidden="1" customHeight="1" x14ac:dyDescent="0.25"/>
    <row r="954" ht="11.25" hidden="1" customHeight="1" x14ac:dyDescent="0.25"/>
    <row r="955" ht="11.25" hidden="1" customHeight="1" x14ac:dyDescent="0.25"/>
    <row r="956" ht="11.25" hidden="1" customHeight="1" x14ac:dyDescent="0.25"/>
    <row r="957" ht="11.25" hidden="1" customHeight="1" x14ac:dyDescent="0.25"/>
    <row r="958" ht="11.25" hidden="1" customHeight="1" x14ac:dyDescent="0.25"/>
    <row r="959" ht="11.25" hidden="1" customHeight="1" x14ac:dyDescent="0.25"/>
    <row r="960" ht="11.25" hidden="1" customHeight="1" x14ac:dyDescent="0.25"/>
    <row r="961" ht="11.25" hidden="1" customHeight="1" x14ac:dyDescent="0.25"/>
    <row r="962" ht="11.25" hidden="1" customHeight="1" x14ac:dyDescent="0.25"/>
    <row r="963" ht="11.25" hidden="1" customHeight="1" x14ac:dyDescent="0.25"/>
    <row r="964" ht="11.25" hidden="1" customHeight="1" x14ac:dyDescent="0.25"/>
    <row r="965" ht="11.25" hidden="1" customHeight="1" x14ac:dyDescent="0.25"/>
    <row r="966" ht="11.25" hidden="1" customHeight="1" x14ac:dyDescent="0.25"/>
    <row r="967" ht="11.25" hidden="1" customHeight="1" x14ac:dyDescent="0.25"/>
    <row r="968" ht="11.25" hidden="1" customHeight="1" x14ac:dyDescent="0.25"/>
    <row r="969" ht="11.25" hidden="1" customHeight="1" x14ac:dyDescent="0.25"/>
    <row r="970" ht="11.25" hidden="1" customHeight="1" x14ac:dyDescent="0.25"/>
    <row r="971" ht="11.25" hidden="1" customHeight="1" x14ac:dyDescent="0.25"/>
    <row r="972" ht="11.25" hidden="1" customHeight="1" x14ac:dyDescent="0.25"/>
    <row r="973" ht="11.25" hidden="1" customHeight="1" x14ac:dyDescent="0.25"/>
    <row r="974" ht="11.25" hidden="1" customHeight="1" x14ac:dyDescent="0.25"/>
    <row r="975" ht="11.25" hidden="1" customHeight="1" x14ac:dyDescent="0.25"/>
    <row r="976" ht="11.25" hidden="1" customHeight="1" x14ac:dyDescent="0.25"/>
    <row r="977" ht="11.25" hidden="1" customHeight="1" x14ac:dyDescent="0.25"/>
    <row r="978" ht="11.25" hidden="1" customHeight="1" x14ac:dyDescent="0.25"/>
    <row r="979" ht="11.25" hidden="1" customHeight="1" x14ac:dyDescent="0.25"/>
    <row r="980" ht="11.25" hidden="1" customHeight="1" x14ac:dyDescent="0.25"/>
    <row r="981" ht="11.25" hidden="1" customHeight="1" x14ac:dyDescent="0.25"/>
    <row r="982" ht="11.25" hidden="1" customHeight="1" x14ac:dyDescent="0.25"/>
    <row r="983" ht="11.25" hidden="1" customHeight="1" x14ac:dyDescent="0.25"/>
    <row r="984" ht="11.25" hidden="1" customHeight="1" x14ac:dyDescent="0.25"/>
    <row r="985" ht="11.25" hidden="1" customHeight="1" x14ac:dyDescent="0.25"/>
    <row r="986" ht="11.25" hidden="1" customHeight="1" x14ac:dyDescent="0.25"/>
    <row r="987" ht="11.25" hidden="1" customHeight="1" x14ac:dyDescent="0.25"/>
    <row r="988" ht="11.25" hidden="1" customHeight="1" x14ac:dyDescent="0.25"/>
    <row r="989" ht="11.25" hidden="1" customHeight="1" x14ac:dyDescent="0.25"/>
    <row r="990" ht="11.25" hidden="1" customHeight="1" x14ac:dyDescent="0.25"/>
    <row r="991" ht="11.25" hidden="1" customHeight="1" x14ac:dyDescent="0.25"/>
    <row r="992" ht="11.25" hidden="1" customHeight="1" x14ac:dyDescent="0.25"/>
    <row r="993" ht="11.25" hidden="1" customHeight="1" x14ac:dyDescent="0.25"/>
    <row r="994" ht="11.25" hidden="1" customHeight="1" x14ac:dyDescent="0.25"/>
    <row r="995" ht="11.25" hidden="1" customHeight="1" x14ac:dyDescent="0.25"/>
    <row r="996" ht="11.25" hidden="1" customHeight="1" x14ac:dyDescent="0.25"/>
    <row r="997" ht="11.25" hidden="1" customHeight="1" x14ac:dyDescent="0.25"/>
    <row r="998" ht="11.25" hidden="1" customHeight="1" x14ac:dyDescent="0.25"/>
    <row r="999" ht="11.25" hidden="1" customHeight="1" x14ac:dyDescent="0.25"/>
    <row r="1000" ht="11.25" hidden="1" customHeight="1" x14ac:dyDescent="0.25"/>
    <row r="1001" ht="11.25" hidden="1" customHeight="1" x14ac:dyDescent="0.25"/>
    <row r="1002" ht="11.25" hidden="1" customHeight="1" x14ac:dyDescent="0.25"/>
    <row r="1003" ht="11.25" hidden="1" customHeight="1" x14ac:dyDescent="0.25"/>
    <row r="1004" ht="11.25" hidden="1" customHeight="1" x14ac:dyDescent="0.25"/>
    <row r="1005" ht="11.25" hidden="1" customHeight="1" x14ac:dyDescent="0.25"/>
    <row r="1006" ht="11.25" hidden="1" customHeight="1" x14ac:dyDescent="0.25"/>
    <row r="1007" ht="11.25" hidden="1" customHeight="1" x14ac:dyDescent="0.25"/>
    <row r="1008" ht="11.25" hidden="1" customHeight="1" x14ac:dyDescent="0.25"/>
    <row r="1009" ht="11.25" hidden="1" customHeight="1" x14ac:dyDescent="0.25"/>
    <row r="1010" ht="11.25" hidden="1" customHeight="1" x14ac:dyDescent="0.25"/>
    <row r="1011" ht="11.25" hidden="1" customHeight="1" x14ac:dyDescent="0.25"/>
    <row r="1012" ht="11.25" hidden="1" customHeight="1" x14ac:dyDescent="0.25"/>
    <row r="1013" ht="11.25" hidden="1" customHeight="1" x14ac:dyDescent="0.25"/>
    <row r="1014" ht="11.25" hidden="1" customHeight="1" x14ac:dyDescent="0.25"/>
    <row r="1015" ht="11.25" hidden="1" customHeight="1" x14ac:dyDescent="0.25"/>
    <row r="1016" ht="11.25" hidden="1" customHeight="1" x14ac:dyDescent="0.25"/>
    <row r="1017" ht="11.25" hidden="1" customHeight="1" x14ac:dyDescent="0.25"/>
    <row r="1018" ht="11.25" hidden="1" customHeight="1" x14ac:dyDescent="0.25"/>
    <row r="1019" ht="11.25" hidden="1" customHeight="1" x14ac:dyDescent="0.25"/>
    <row r="1020" ht="11.25" hidden="1" customHeight="1" x14ac:dyDescent="0.25"/>
    <row r="1021" ht="11.25" hidden="1" customHeight="1" x14ac:dyDescent="0.25"/>
    <row r="1022" ht="11.25" hidden="1" customHeight="1" x14ac:dyDescent="0.25"/>
    <row r="1023" ht="11.25" hidden="1" customHeight="1" x14ac:dyDescent="0.25"/>
    <row r="1024" ht="11.25" hidden="1" customHeight="1" x14ac:dyDescent="0.25"/>
    <row r="1025" ht="11.25" hidden="1" customHeight="1" x14ac:dyDescent="0.25"/>
    <row r="1026" ht="11.25" hidden="1" customHeight="1" x14ac:dyDescent="0.25"/>
    <row r="1027" ht="11.25" hidden="1" customHeight="1" x14ac:dyDescent="0.25"/>
    <row r="1028" ht="11.25" hidden="1" customHeight="1" x14ac:dyDescent="0.25"/>
    <row r="1029" ht="11.25" hidden="1" customHeight="1" x14ac:dyDescent="0.25"/>
    <row r="1030" ht="11.25" hidden="1" customHeight="1" x14ac:dyDescent="0.25"/>
    <row r="1031" ht="11.25" hidden="1" customHeight="1" x14ac:dyDescent="0.25"/>
    <row r="1032" ht="11.25" hidden="1" customHeight="1" x14ac:dyDescent="0.25"/>
    <row r="1033" ht="11.25" hidden="1" customHeight="1" x14ac:dyDescent="0.25"/>
    <row r="1034" ht="11.25" hidden="1" customHeight="1" x14ac:dyDescent="0.25"/>
    <row r="1035" ht="11.25" hidden="1" customHeight="1" x14ac:dyDescent="0.25"/>
    <row r="1036" ht="11.25" hidden="1" customHeight="1" x14ac:dyDescent="0.25"/>
    <row r="1037" ht="11.25" hidden="1" customHeight="1" x14ac:dyDescent="0.25"/>
    <row r="1038" ht="11.25" hidden="1" customHeight="1" x14ac:dyDescent="0.25"/>
    <row r="1039" ht="11.25" hidden="1" customHeight="1" x14ac:dyDescent="0.25"/>
    <row r="1040" ht="11.25" hidden="1" customHeight="1" x14ac:dyDescent="0.25"/>
    <row r="1041" ht="11.25" hidden="1" customHeight="1" x14ac:dyDescent="0.25"/>
    <row r="1042" ht="11.25" hidden="1" customHeight="1" x14ac:dyDescent="0.25"/>
    <row r="1043" ht="11.25" hidden="1" customHeight="1" x14ac:dyDescent="0.25"/>
    <row r="1044" ht="11.25" hidden="1" customHeight="1" x14ac:dyDescent="0.25"/>
    <row r="1045" ht="11.25" hidden="1" customHeight="1" x14ac:dyDescent="0.25"/>
    <row r="1046" ht="11.25" hidden="1" customHeight="1" x14ac:dyDescent="0.25"/>
    <row r="1047" ht="11.25" hidden="1" customHeight="1" x14ac:dyDescent="0.25"/>
    <row r="1048" ht="11.25" hidden="1" customHeight="1" x14ac:dyDescent="0.25"/>
    <row r="1049" ht="11.25" hidden="1" customHeight="1" x14ac:dyDescent="0.25"/>
    <row r="1050" ht="11.25" hidden="1" customHeight="1" x14ac:dyDescent="0.25"/>
    <row r="1051" ht="11.25" hidden="1" customHeight="1" x14ac:dyDescent="0.25"/>
    <row r="1052" ht="11.25" hidden="1" customHeight="1" x14ac:dyDescent="0.25"/>
    <row r="1053" ht="11.25" hidden="1" customHeight="1" x14ac:dyDescent="0.25"/>
    <row r="1054" ht="11.25" hidden="1" customHeight="1" x14ac:dyDescent="0.25"/>
    <row r="1055" ht="11.25" hidden="1" customHeight="1" x14ac:dyDescent="0.25"/>
    <row r="1056" ht="11.25" hidden="1" customHeight="1" x14ac:dyDescent="0.25"/>
    <row r="1057" ht="11.25" hidden="1" customHeight="1" x14ac:dyDescent="0.25"/>
    <row r="1058" ht="11.25" hidden="1" customHeight="1" x14ac:dyDescent="0.25"/>
    <row r="1059" ht="11.25" hidden="1" customHeight="1" x14ac:dyDescent="0.25"/>
    <row r="1060" ht="11.25" hidden="1" customHeight="1" x14ac:dyDescent="0.25"/>
    <row r="1061" ht="11.25" hidden="1" customHeight="1" x14ac:dyDescent="0.25"/>
    <row r="1062" ht="11.25" hidden="1" customHeight="1" x14ac:dyDescent="0.25"/>
    <row r="1063" ht="11.25" hidden="1" customHeight="1" x14ac:dyDescent="0.25"/>
    <row r="1064" ht="11.25" hidden="1" customHeight="1" x14ac:dyDescent="0.25"/>
    <row r="1065" ht="11.25" hidden="1" customHeight="1" x14ac:dyDescent="0.25"/>
    <row r="1066" ht="11.25" hidden="1" customHeight="1" x14ac:dyDescent="0.25"/>
    <row r="1067" ht="11.25" hidden="1" customHeight="1" x14ac:dyDescent="0.25"/>
    <row r="1068" ht="11.25" hidden="1" customHeight="1" x14ac:dyDescent="0.25"/>
    <row r="1069" ht="11.25" hidden="1" customHeight="1" x14ac:dyDescent="0.25"/>
    <row r="1070" ht="11.25" hidden="1" customHeight="1" x14ac:dyDescent="0.25"/>
    <row r="1071" ht="11.25" hidden="1" customHeight="1" x14ac:dyDescent="0.25"/>
    <row r="1072" ht="11.25" hidden="1" customHeight="1" x14ac:dyDescent="0.25"/>
    <row r="1073" ht="11.25" hidden="1" customHeight="1" x14ac:dyDescent="0.25"/>
    <row r="1074" ht="11.25" hidden="1" customHeight="1" x14ac:dyDescent="0.25"/>
    <row r="1075" ht="11.25" hidden="1" customHeight="1" x14ac:dyDescent="0.25"/>
    <row r="1076" ht="11.25" hidden="1" customHeight="1" x14ac:dyDescent="0.25"/>
    <row r="1077" ht="11.25" hidden="1" customHeight="1" x14ac:dyDescent="0.25"/>
    <row r="1078" ht="11.25" hidden="1" customHeight="1" x14ac:dyDescent="0.25"/>
    <row r="1079" ht="11.25" hidden="1" customHeight="1" x14ac:dyDescent="0.25"/>
    <row r="1080" ht="11.25" hidden="1" customHeight="1" x14ac:dyDescent="0.25"/>
    <row r="1081" ht="11.25" hidden="1" customHeight="1" x14ac:dyDescent="0.25"/>
    <row r="1082" ht="11.25" hidden="1" customHeight="1" x14ac:dyDescent="0.25"/>
    <row r="1083" ht="11.25" hidden="1" customHeight="1" x14ac:dyDescent="0.25"/>
    <row r="1084" ht="11.25" hidden="1" customHeight="1" x14ac:dyDescent="0.25"/>
    <row r="1085" ht="11.25" hidden="1" customHeight="1" x14ac:dyDescent="0.25"/>
    <row r="1086" ht="11.25" hidden="1" customHeight="1" x14ac:dyDescent="0.25"/>
    <row r="1087" ht="11.25" hidden="1" customHeight="1" x14ac:dyDescent="0.25"/>
    <row r="1088" ht="11.25" hidden="1" customHeight="1" x14ac:dyDescent="0.25"/>
    <row r="1089" ht="11.25" hidden="1" customHeight="1" x14ac:dyDescent="0.25"/>
    <row r="1090" ht="11.25" hidden="1" customHeight="1" x14ac:dyDescent="0.25"/>
    <row r="1091" ht="11.25" hidden="1" customHeight="1" x14ac:dyDescent="0.25"/>
    <row r="1092" ht="11.25" hidden="1" customHeight="1" x14ac:dyDescent="0.25"/>
    <row r="1093" ht="11.25" hidden="1" customHeight="1" x14ac:dyDescent="0.25"/>
    <row r="1094" ht="11.25" hidden="1" customHeight="1" x14ac:dyDescent="0.25"/>
    <row r="1095" ht="11.25" hidden="1" customHeight="1" x14ac:dyDescent="0.25"/>
    <row r="1096" ht="11.25" hidden="1" customHeight="1" x14ac:dyDescent="0.25"/>
    <row r="1097" ht="11.25" hidden="1" customHeight="1" x14ac:dyDescent="0.25"/>
    <row r="1098" ht="11.25" hidden="1" customHeight="1" x14ac:dyDescent="0.25"/>
    <row r="1099" ht="11.25" hidden="1" customHeight="1" x14ac:dyDescent="0.25"/>
    <row r="1100" ht="11.25" hidden="1" customHeight="1" x14ac:dyDescent="0.25"/>
    <row r="1101" ht="11.25" hidden="1" customHeight="1" x14ac:dyDescent="0.25"/>
    <row r="1102" ht="11.25" hidden="1" customHeight="1" x14ac:dyDescent="0.25"/>
    <row r="1103" ht="11.25" hidden="1" customHeight="1" x14ac:dyDescent="0.25"/>
    <row r="1104" ht="11.25" hidden="1" customHeight="1" x14ac:dyDescent="0.25"/>
    <row r="1105" ht="11.25" hidden="1" customHeight="1" x14ac:dyDescent="0.25"/>
    <row r="1106" ht="11.25" hidden="1" customHeight="1" x14ac:dyDescent="0.25"/>
    <row r="1107" ht="11.25" hidden="1" customHeight="1" x14ac:dyDescent="0.25"/>
    <row r="1108" ht="11.25" hidden="1" customHeight="1" x14ac:dyDescent="0.25"/>
    <row r="1109" ht="11.25" hidden="1" customHeight="1" x14ac:dyDescent="0.25"/>
    <row r="1110" ht="11.25" hidden="1" customHeight="1" x14ac:dyDescent="0.25"/>
    <row r="1111" ht="11.25" hidden="1" customHeight="1" x14ac:dyDescent="0.25"/>
    <row r="1112" ht="11.25" hidden="1" customHeight="1" x14ac:dyDescent="0.25"/>
    <row r="1113" ht="11.25" hidden="1" customHeight="1" x14ac:dyDescent="0.25"/>
    <row r="1114" ht="11.25" hidden="1" customHeight="1" x14ac:dyDescent="0.25"/>
    <row r="1115" ht="11.25" hidden="1" customHeight="1" x14ac:dyDescent="0.25"/>
    <row r="1116" ht="11.25" hidden="1" customHeight="1" x14ac:dyDescent="0.25"/>
    <row r="1117" ht="11.25" hidden="1" customHeight="1" x14ac:dyDescent="0.25"/>
    <row r="1118" ht="11.25" hidden="1" customHeight="1" x14ac:dyDescent="0.25"/>
    <row r="1119" ht="11.25" hidden="1" customHeight="1" x14ac:dyDescent="0.25"/>
    <row r="1120" ht="11.25" hidden="1" customHeight="1" x14ac:dyDescent="0.25"/>
    <row r="1121" ht="11.25" hidden="1" customHeight="1" x14ac:dyDescent="0.25"/>
    <row r="1122" ht="11.25" hidden="1" customHeight="1" x14ac:dyDescent="0.25"/>
    <row r="1123" ht="11.25" hidden="1" customHeight="1" x14ac:dyDescent="0.25"/>
    <row r="1124" ht="11.25" hidden="1" customHeight="1" x14ac:dyDescent="0.25"/>
    <row r="1125" ht="11.25" hidden="1" customHeight="1" x14ac:dyDescent="0.25"/>
    <row r="1126" ht="11.25" hidden="1" customHeight="1" x14ac:dyDescent="0.25"/>
    <row r="1127" ht="11.25" hidden="1" customHeight="1" x14ac:dyDescent="0.25"/>
    <row r="1128" ht="11.25" hidden="1" customHeight="1" x14ac:dyDescent="0.25"/>
    <row r="1129" ht="11.25" hidden="1" customHeight="1" x14ac:dyDescent="0.25"/>
    <row r="1130" ht="11.25" hidden="1" customHeight="1" x14ac:dyDescent="0.25"/>
    <row r="1131" ht="11.25" hidden="1" customHeight="1" x14ac:dyDescent="0.25"/>
    <row r="1132" ht="11.25" hidden="1" customHeight="1" x14ac:dyDescent="0.25"/>
    <row r="1133" ht="11.25" hidden="1" customHeight="1" x14ac:dyDescent="0.25"/>
    <row r="1134" ht="11.25" hidden="1" customHeight="1" x14ac:dyDescent="0.25"/>
    <row r="1135" ht="11.25" hidden="1" customHeight="1" x14ac:dyDescent="0.25"/>
    <row r="1136" ht="11.25" hidden="1" customHeight="1" x14ac:dyDescent="0.25"/>
    <row r="1137" ht="11.25" hidden="1" customHeight="1" x14ac:dyDescent="0.25"/>
    <row r="1138" ht="11.25" hidden="1" customHeight="1" x14ac:dyDescent="0.25"/>
    <row r="1139" ht="11.25" hidden="1" customHeight="1" x14ac:dyDescent="0.25"/>
    <row r="1140" ht="11.25" hidden="1" customHeight="1" x14ac:dyDescent="0.25"/>
    <row r="1141" ht="11.25" hidden="1" customHeight="1" x14ac:dyDescent="0.25"/>
    <row r="1142" ht="11.25" hidden="1" customHeight="1" x14ac:dyDescent="0.25"/>
    <row r="1143" ht="11.25" hidden="1" customHeight="1" x14ac:dyDescent="0.25"/>
    <row r="1144" ht="11.25" hidden="1" customHeight="1" x14ac:dyDescent="0.25"/>
    <row r="1145" ht="11.25" hidden="1" customHeight="1" x14ac:dyDescent="0.25"/>
    <row r="1146" ht="11.25" hidden="1" customHeight="1" x14ac:dyDescent="0.25"/>
    <row r="1147" ht="11.25" hidden="1" customHeight="1" x14ac:dyDescent="0.25"/>
    <row r="1148" ht="11.25" hidden="1" customHeight="1" x14ac:dyDescent="0.25"/>
    <row r="1149" ht="11.25" hidden="1" customHeight="1" x14ac:dyDescent="0.25"/>
    <row r="1150" ht="11.25" hidden="1" customHeight="1" x14ac:dyDescent="0.25"/>
    <row r="1151" ht="11.25" hidden="1" customHeight="1" x14ac:dyDescent="0.25"/>
    <row r="1152" ht="11.25" hidden="1" customHeight="1" x14ac:dyDescent="0.25"/>
    <row r="1153" ht="11.25" hidden="1" customHeight="1" x14ac:dyDescent="0.25"/>
    <row r="1154" ht="11.25" hidden="1" customHeight="1" x14ac:dyDescent="0.25"/>
    <row r="1155" ht="11.25" hidden="1" customHeight="1" x14ac:dyDescent="0.25"/>
    <row r="1156" ht="11.25" hidden="1" customHeight="1" x14ac:dyDescent="0.25"/>
    <row r="1157" ht="11.25" hidden="1" customHeight="1" x14ac:dyDescent="0.25"/>
    <row r="1158" ht="11.25" hidden="1" customHeight="1" x14ac:dyDescent="0.25"/>
    <row r="1159" ht="11.25" hidden="1" customHeight="1" x14ac:dyDescent="0.25"/>
    <row r="1160" ht="11.25" hidden="1" customHeight="1" x14ac:dyDescent="0.25"/>
    <row r="1161" ht="11.25" hidden="1" customHeight="1" x14ac:dyDescent="0.25"/>
    <row r="1162" ht="11.25" hidden="1" customHeight="1" x14ac:dyDescent="0.25"/>
    <row r="1163" ht="11.25" hidden="1" customHeight="1" x14ac:dyDescent="0.25"/>
    <row r="1164" ht="11.25" hidden="1" customHeight="1" x14ac:dyDescent="0.25"/>
    <row r="1165" ht="11.25" hidden="1" customHeight="1" x14ac:dyDescent="0.25"/>
    <row r="1166" ht="11.25" hidden="1" customHeight="1" x14ac:dyDescent="0.25"/>
    <row r="1167" ht="11.25" hidden="1" customHeight="1" x14ac:dyDescent="0.25"/>
    <row r="1168" ht="11.25" hidden="1" customHeight="1" x14ac:dyDescent="0.25"/>
    <row r="1169" ht="11.25" hidden="1" customHeight="1" x14ac:dyDescent="0.25"/>
    <row r="1170" ht="11.25" hidden="1" customHeight="1" x14ac:dyDescent="0.25"/>
    <row r="1171" ht="11.25" hidden="1" customHeight="1" x14ac:dyDescent="0.25"/>
    <row r="1172" ht="11.25" hidden="1" customHeight="1" x14ac:dyDescent="0.25"/>
    <row r="1173" ht="11.25" hidden="1" customHeight="1" x14ac:dyDescent="0.25"/>
    <row r="1174" ht="11.25" hidden="1" customHeight="1" x14ac:dyDescent="0.25"/>
    <row r="1175" ht="11.25" hidden="1" customHeight="1" x14ac:dyDescent="0.25"/>
    <row r="1176" ht="11.25" hidden="1" customHeight="1" x14ac:dyDescent="0.25"/>
    <row r="1177" ht="11.25" hidden="1" customHeight="1" x14ac:dyDescent="0.25"/>
    <row r="1178" ht="11.25" hidden="1" customHeight="1" x14ac:dyDescent="0.25"/>
    <row r="1179" ht="11.25" hidden="1" customHeight="1" x14ac:dyDescent="0.25"/>
    <row r="1180" ht="11.25" hidden="1" customHeight="1" x14ac:dyDescent="0.25"/>
    <row r="1181" ht="11.25" hidden="1" customHeight="1" x14ac:dyDescent="0.25"/>
    <row r="1182" ht="11.25" hidden="1" customHeight="1" x14ac:dyDescent="0.25"/>
    <row r="1183" ht="11.25" hidden="1" customHeight="1" x14ac:dyDescent="0.25"/>
    <row r="1184" ht="11.25" hidden="1" customHeight="1" x14ac:dyDescent="0.25"/>
    <row r="1185" ht="11.25" hidden="1" customHeight="1" x14ac:dyDescent="0.25"/>
    <row r="1186" ht="11.25" hidden="1" customHeight="1" x14ac:dyDescent="0.25"/>
    <row r="1187" ht="11.25" hidden="1" customHeight="1" x14ac:dyDescent="0.25"/>
    <row r="1188" ht="11.25" hidden="1" customHeight="1" x14ac:dyDescent="0.25"/>
    <row r="1189" ht="11.25" hidden="1" customHeight="1" x14ac:dyDescent="0.25"/>
    <row r="1190" ht="11.25" hidden="1" customHeight="1" x14ac:dyDescent="0.25"/>
    <row r="1191" ht="11.25" hidden="1" customHeight="1" x14ac:dyDescent="0.25"/>
    <row r="1192" ht="11.25" hidden="1" customHeight="1" x14ac:dyDescent="0.25"/>
    <row r="1193" ht="11.25" hidden="1" customHeight="1" x14ac:dyDescent="0.25"/>
    <row r="1194" ht="11.25" hidden="1" customHeight="1" x14ac:dyDescent="0.25"/>
    <row r="1195" ht="11.25" hidden="1" customHeight="1" x14ac:dyDescent="0.25"/>
    <row r="1196" ht="11.25" hidden="1" customHeight="1" x14ac:dyDescent="0.25"/>
    <row r="1197" ht="11.25" hidden="1" customHeight="1" x14ac:dyDescent="0.25"/>
    <row r="1198" ht="11.25" hidden="1" customHeight="1" x14ac:dyDescent="0.25"/>
    <row r="1199" ht="11.25" hidden="1" customHeight="1" x14ac:dyDescent="0.25"/>
    <row r="1200" ht="11.25" hidden="1" customHeight="1" x14ac:dyDescent="0.25"/>
    <row r="1201" ht="11.25" hidden="1" customHeight="1" x14ac:dyDescent="0.25"/>
    <row r="1202" ht="11.25" hidden="1" customHeight="1" x14ac:dyDescent="0.25"/>
    <row r="1203" ht="11.25" hidden="1" customHeight="1" x14ac:dyDescent="0.25"/>
    <row r="1204" ht="11.25" hidden="1" customHeight="1" x14ac:dyDescent="0.25"/>
    <row r="1205" ht="11.25" hidden="1" customHeight="1" x14ac:dyDescent="0.25"/>
    <row r="1206" ht="11.25" hidden="1" customHeight="1" x14ac:dyDescent="0.25"/>
    <row r="1207" ht="11.25" hidden="1" customHeight="1" x14ac:dyDescent="0.25"/>
    <row r="1208" ht="11.25" hidden="1" customHeight="1" x14ac:dyDescent="0.25"/>
    <row r="1209" ht="11.25" hidden="1" customHeight="1" x14ac:dyDescent="0.25"/>
    <row r="1210" ht="11.25" hidden="1" customHeight="1" x14ac:dyDescent="0.25"/>
    <row r="1211" ht="11.25" hidden="1" customHeight="1" x14ac:dyDescent="0.25"/>
    <row r="1212" ht="11.25" hidden="1" customHeight="1" x14ac:dyDescent="0.25"/>
    <row r="1213" ht="11.25" hidden="1" customHeight="1" x14ac:dyDescent="0.25"/>
    <row r="1214" ht="11.25" hidden="1" customHeight="1" x14ac:dyDescent="0.25"/>
    <row r="1215" ht="11.25" hidden="1" customHeight="1" x14ac:dyDescent="0.25"/>
    <row r="1216" ht="11.25" hidden="1" customHeight="1" x14ac:dyDescent="0.25"/>
    <row r="1217" ht="11.25" hidden="1" customHeight="1" x14ac:dyDescent="0.25"/>
    <row r="1218" ht="11.25" hidden="1" customHeight="1" x14ac:dyDescent="0.25"/>
    <row r="1219" ht="11.25" hidden="1" customHeight="1" x14ac:dyDescent="0.25"/>
    <row r="1220" ht="11.25" hidden="1" customHeight="1" x14ac:dyDescent="0.25"/>
    <row r="1221" ht="11.25" hidden="1" customHeight="1" x14ac:dyDescent="0.25"/>
    <row r="1222" ht="11.25" hidden="1" customHeight="1" x14ac:dyDescent="0.25"/>
    <row r="1223" ht="11.25" hidden="1" customHeight="1" x14ac:dyDescent="0.25"/>
    <row r="1224" ht="11.25" hidden="1" customHeight="1" x14ac:dyDescent="0.25"/>
    <row r="1225" ht="11.25" hidden="1" customHeight="1" x14ac:dyDescent="0.25"/>
    <row r="1226" ht="11.25" hidden="1" customHeight="1" x14ac:dyDescent="0.25"/>
    <row r="1227" ht="11.25" hidden="1" customHeight="1" x14ac:dyDescent="0.25"/>
    <row r="1228" ht="11.25" hidden="1" customHeight="1" x14ac:dyDescent="0.25"/>
    <row r="1229" ht="11.25" hidden="1" customHeight="1" x14ac:dyDescent="0.25"/>
    <row r="1230" ht="11.25" hidden="1" customHeight="1" x14ac:dyDescent="0.25"/>
    <row r="1231" ht="11.25" hidden="1" customHeight="1" x14ac:dyDescent="0.25"/>
    <row r="1232" ht="11.25" hidden="1" customHeight="1" x14ac:dyDescent="0.25"/>
    <row r="1233" ht="11.25" hidden="1" customHeight="1" x14ac:dyDescent="0.25"/>
    <row r="1234" ht="11.25" hidden="1" customHeight="1" x14ac:dyDescent="0.25"/>
    <row r="1235" ht="11.25" hidden="1" customHeight="1" x14ac:dyDescent="0.25"/>
    <row r="1236" ht="11.25" hidden="1" customHeight="1" x14ac:dyDescent="0.25"/>
    <row r="1237" ht="11.25" hidden="1" customHeight="1" x14ac:dyDescent="0.25"/>
    <row r="1238" ht="11.25" hidden="1" customHeight="1" x14ac:dyDescent="0.25"/>
    <row r="1239" ht="11.25" hidden="1" customHeight="1" x14ac:dyDescent="0.25"/>
    <row r="1240" ht="11.25" hidden="1" customHeight="1" x14ac:dyDescent="0.25"/>
    <row r="1241" ht="11.25" hidden="1" customHeight="1" x14ac:dyDescent="0.25"/>
    <row r="1242" ht="11.25" hidden="1" customHeight="1" x14ac:dyDescent="0.25"/>
    <row r="1243" ht="11.25" hidden="1" customHeight="1" x14ac:dyDescent="0.25"/>
    <row r="1244" ht="11.25" hidden="1" customHeight="1" x14ac:dyDescent="0.25"/>
    <row r="1245" ht="11.25" hidden="1" customHeight="1" x14ac:dyDescent="0.25"/>
    <row r="1246" ht="11.25" hidden="1" customHeight="1" x14ac:dyDescent="0.25"/>
    <row r="1247" ht="11.25" hidden="1" customHeight="1" x14ac:dyDescent="0.25"/>
    <row r="1248" ht="11.25" hidden="1" customHeight="1" x14ac:dyDescent="0.25"/>
    <row r="1249" ht="11.25" hidden="1" customHeight="1" x14ac:dyDescent="0.25"/>
    <row r="1250" ht="11.25" hidden="1" customHeight="1" x14ac:dyDescent="0.25"/>
    <row r="1251" ht="11.25" hidden="1" customHeight="1" x14ac:dyDescent="0.25"/>
    <row r="1252" ht="11.25" hidden="1" customHeight="1" x14ac:dyDescent="0.25"/>
    <row r="1253" ht="11.25" hidden="1" customHeight="1" x14ac:dyDescent="0.25"/>
    <row r="1254" ht="11.25" hidden="1" customHeight="1" x14ac:dyDescent="0.25"/>
    <row r="1255" ht="11.25" hidden="1" customHeight="1" x14ac:dyDescent="0.25"/>
    <row r="1256" ht="11.25" hidden="1" customHeight="1" x14ac:dyDescent="0.25"/>
    <row r="1257" ht="11.25" hidden="1" customHeight="1" x14ac:dyDescent="0.25"/>
    <row r="1258" ht="11.25" hidden="1" customHeight="1" x14ac:dyDescent="0.25"/>
    <row r="1259" ht="11.25" hidden="1" customHeight="1" x14ac:dyDescent="0.25"/>
    <row r="1260" ht="11.25" hidden="1" customHeight="1" x14ac:dyDescent="0.25"/>
    <row r="1261" ht="11.25" hidden="1" customHeight="1" x14ac:dyDescent="0.25"/>
    <row r="1262" ht="11.25" hidden="1" customHeight="1" x14ac:dyDescent="0.25"/>
    <row r="1263" ht="11.25" hidden="1" customHeight="1" x14ac:dyDescent="0.25"/>
    <row r="1264" ht="11.25" hidden="1" customHeight="1" x14ac:dyDescent="0.25"/>
    <row r="1265" ht="11.25" hidden="1" customHeight="1" x14ac:dyDescent="0.25"/>
    <row r="1266" ht="11.25" hidden="1" customHeight="1" x14ac:dyDescent="0.25"/>
    <row r="1267" ht="11.25" hidden="1" customHeight="1" x14ac:dyDescent="0.25"/>
    <row r="1268" ht="11.25" hidden="1" customHeight="1" x14ac:dyDescent="0.25"/>
    <row r="1269" ht="11.25" hidden="1" customHeight="1" x14ac:dyDescent="0.25"/>
    <row r="1270" ht="11.25" hidden="1" customHeight="1" x14ac:dyDescent="0.25"/>
    <row r="1271" ht="11.25" hidden="1" customHeight="1" x14ac:dyDescent="0.25"/>
    <row r="1272" ht="11.25" hidden="1" customHeight="1" x14ac:dyDescent="0.25"/>
    <row r="1273" ht="11.25" hidden="1" customHeight="1" x14ac:dyDescent="0.25"/>
    <row r="1274" ht="11.25" hidden="1" customHeight="1" x14ac:dyDescent="0.25"/>
    <row r="1275" ht="11.25" hidden="1" customHeight="1" x14ac:dyDescent="0.25"/>
    <row r="1276" ht="11.25" hidden="1" customHeight="1" x14ac:dyDescent="0.25"/>
    <row r="1277" ht="11.25" hidden="1" customHeight="1" x14ac:dyDescent="0.25"/>
    <row r="1278" ht="11.25" hidden="1" customHeight="1" x14ac:dyDescent="0.25"/>
    <row r="1279" ht="11.25" hidden="1" customHeight="1" x14ac:dyDescent="0.25"/>
    <row r="1280" ht="11.25" hidden="1" customHeight="1" x14ac:dyDescent="0.25"/>
    <row r="1281" ht="11.25" hidden="1" customHeight="1" x14ac:dyDescent="0.25"/>
    <row r="1282" ht="11.25" hidden="1" customHeight="1" x14ac:dyDescent="0.25"/>
    <row r="1283" ht="11.25" hidden="1" customHeight="1" x14ac:dyDescent="0.25"/>
    <row r="1284" ht="11.25" hidden="1" customHeight="1" x14ac:dyDescent="0.25"/>
    <row r="1285" ht="11.25" hidden="1" customHeight="1" x14ac:dyDescent="0.25"/>
    <row r="1286" ht="11.25" hidden="1" customHeight="1" x14ac:dyDescent="0.25"/>
    <row r="1287" ht="11.25" hidden="1" customHeight="1" x14ac:dyDescent="0.25"/>
    <row r="1288" ht="11.25" hidden="1" customHeight="1" x14ac:dyDescent="0.25"/>
    <row r="1289" ht="11.25" hidden="1" customHeight="1" x14ac:dyDescent="0.25"/>
    <row r="1290" ht="11.25" hidden="1" customHeight="1" x14ac:dyDescent="0.25"/>
    <row r="1291" ht="11.25" hidden="1" customHeight="1" x14ac:dyDescent="0.25"/>
    <row r="1292" ht="11.25" hidden="1" customHeight="1" x14ac:dyDescent="0.25"/>
    <row r="1293" ht="11.25" hidden="1" customHeight="1" x14ac:dyDescent="0.25"/>
    <row r="1294" ht="11.25" hidden="1" customHeight="1" x14ac:dyDescent="0.25"/>
    <row r="1295" ht="11.25" hidden="1" customHeight="1" x14ac:dyDescent="0.25"/>
    <row r="1296" ht="11.25" hidden="1" customHeight="1" x14ac:dyDescent="0.25"/>
    <row r="1297" ht="11.25" hidden="1" customHeight="1" x14ac:dyDescent="0.25"/>
    <row r="1298" ht="11.25" hidden="1" customHeight="1" x14ac:dyDescent="0.25"/>
    <row r="1299" ht="11.25" hidden="1" customHeight="1" x14ac:dyDescent="0.25"/>
    <row r="1300" ht="11.25" hidden="1" customHeight="1" x14ac:dyDescent="0.25"/>
    <row r="1301" ht="11.25" hidden="1" customHeight="1" x14ac:dyDescent="0.25"/>
    <row r="1302" ht="11.25" hidden="1" customHeight="1" x14ac:dyDescent="0.25"/>
    <row r="1303" ht="11.25" hidden="1" customHeight="1" x14ac:dyDescent="0.25"/>
    <row r="1304" ht="11.25" hidden="1" customHeight="1" x14ac:dyDescent="0.25"/>
    <row r="1305" ht="11.25" hidden="1" customHeight="1" x14ac:dyDescent="0.25"/>
    <row r="1306" ht="11.25" hidden="1" customHeight="1" x14ac:dyDescent="0.25"/>
    <row r="1307" ht="11.25" hidden="1" customHeight="1" x14ac:dyDescent="0.25"/>
    <row r="1308" ht="11.25" hidden="1" customHeight="1" x14ac:dyDescent="0.25"/>
    <row r="1309" ht="11.25" hidden="1" customHeight="1" x14ac:dyDescent="0.25"/>
    <row r="1310" ht="11.25" hidden="1" customHeight="1" x14ac:dyDescent="0.25"/>
    <row r="1311" ht="11.25" hidden="1" customHeight="1" x14ac:dyDescent="0.25"/>
    <row r="1312" ht="11.25" hidden="1" customHeight="1" x14ac:dyDescent="0.25"/>
    <row r="1313" ht="11.25" hidden="1" customHeight="1" x14ac:dyDescent="0.25"/>
    <row r="1314" ht="11.25" hidden="1" customHeight="1" x14ac:dyDescent="0.25"/>
    <row r="1315" ht="11.25" hidden="1" customHeight="1" x14ac:dyDescent="0.25"/>
    <row r="1316" ht="11.25" hidden="1" customHeight="1" x14ac:dyDescent="0.25"/>
    <row r="1317" ht="11.25" hidden="1" customHeight="1" x14ac:dyDescent="0.25"/>
    <row r="1318" ht="11.25" hidden="1" customHeight="1" x14ac:dyDescent="0.25"/>
    <row r="1319" ht="11.25" hidden="1" customHeight="1" x14ac:dyDescent="0.25"/>
    <row r="1320" ht="11.25" hidden="1" customHeight="1" x14ac:dyDescent="0.25"/>
    <row r="1321" ht="11.25" hidden="1" customHeight="1" x14ac:dyDescent="0.25"/>
    <row r="1322" ht="11.25" hidden="1" customHeight="1" x14ac:dyDescent="0.25"/>
    <row r="1323" ht="11.25" hidden="1" customHeight="1" x14ac:dyDescent="0.25"/>
    <row r="1324" ht="11.25" hidden="1" customHeight="1" x14ac:dyDescent="0.25"/>
    <row r="1325" ht="11.25" hidden="1" customHeight="1" x14ac:dyDescent="0.25"/>
    <row r="1326" ht="11.25" hidden="1" customHeight="1" x14ac:dyDescent="0.25"/>
    <row r="1327" ht="11.25" hidden="1" customHeight="1" x14ac:dyDescent="0.25"/>
    <row r="1328" ht="11.25" hidden="1" customHeight="1" x14ac:dyDescent="0.25"/>
    <row r="1329" ht="11.25" hidden="1" customHeight="1" x14ac:dyDescent="0.25"/>
    <row r="1330" ht="11.25" hidden="1" customHeight="1" x14ac:dyDescent="0.25"/>
    <row r="1331" ht="11.25" hidden="1" customHeight="1" x14ac:dyDescent="0.25"/>
    <row r="1332" ht="11.25" hidden="1" customHeight="1" x14ac:dyDescent="0.25"/>
    <row r="1333" ht="11.25" hidden="1" customHeight="1" x14ac:dyDescent="0.25"/>
    <row r="1334" ht="11.25" hidden="1" customHeight="1" x14ac:dyDescent="0.25"/>
    <row r="1335" ht="11.25" hidden="1" customHeight="1" x14ac:dyDescent="0.25"/>
    <row r="1336" ht="11.25" hidden="1" customHeight="1" x14ac:dyDescent="0.25"/>
    <row r="1337" ht="11.25" hidden="1" customHeight="1" x14ac:dyDescent="0.25"/>
    <row r="1338" ht="11.25" hidden="1" customHeight="1" x14ac:dyDescent="0.25"/>
    <row r="1339" ht="11.25" hidden="1" customHeight="1" x14ac:dyDescent="0.25"/>
    <row r="1340" ht="11.25" hidden="1" customHeight="1" x14ac:dyDescent="0.25"/>
    <row r="1341" ht="11.25" hidden="1" customHeight="1" x14ac:dyDescent="0.25"/>
    <row r="1342" ht="11.25" hidden="1" customHeight="1" x14ac:dyDescent="0.25"/>
    <row r="1343" ht="11.25" hidden="1" customHeight="1" x14ac:dyDescent="0.25"/>
    <row r="1344" ht="11.25" hidden="1" customHeight="1" x14ac:dyDescent="0.25"/>
    <row r="1345" ht="11.25" hidden="1" customHeight="1" x14ac:dyDescent="0.25"/>
    <row r="1346" ht="11.25" hidden="1" customHeight="1" x14ac:dyDescent="0.25"/>
    <row r="1347" ht="11.25" hidden="1" customHeight="1" x14ac:dyDescent="0.25"/>
    <row r="1348" ht="11.25" hidden="1" customHeight="1" x14ac:dyDescent="0.25"/>
    <row r="1349" ht="11.25" hidden="1" customHeight="1" x14ac:dyDescent="0.25"/>
    <row r="1350" ht="11.25" hidden="1" customHeight="1" x14ac:dyDescent="0.25"/>
    <row r="1351" ht="11.25" hidden="1" customHeight="1" x14ac:dyDescent="0.25"/>
    <row r="1352" ht="11.25" hidden="1" customHeight="1" x14ac:dyDescent="0.25"/>
    <row r="1353" ht="11.25" hidden="1" customHeight="1" x14ac:dyDescent="0.25"/>
    <row r="1354" ht="11.25" hidden="1" customHeight="1" x14ac:dyDescent="0.25"/>
    <row r="1355" ht="11.25" hidden="1" customHeight="1" x14ac:dyDescent="0.25"/>
    <row r="1356" ht="11.25" hidden="1" customHeight="1" x14ac:dyDescent="0.25"/>
    <row r="1357" ht="11.25" hidden="1" customHeight="1" x14ac:dyDescent="0.25"/>
    <row r="1358" ht="11.25" hidden="1" customHeight="1" x14ac:dyDescent="0.25"/>
    <row r="1359" ht="11.25" hidden="1" customHeight="1" x14ac:dyDescent="0.25"/>
    <row r="1360" ht="11.25" hidden="1" customHeight="1" x14ac:dyDescent="0.25"/>
    <row r="1361" ht="11.25" hidden="1" customHeight="1" x14ac:dyDescent="0.25"/>
    <row r="1362" ht="11.25" hidden="1" customHeight="1" x14ac:dyDescent="0.25"/>
    <row r="1363" ht="11.25" hidden="1" customHeight="1" x14ac:dyDescent="0.25"/>
    <row r="1364" ht="11.25" hidden="1" customHeight="1" x14ac:dyDescent="0.25"/>
    <row r="1365" ht="11.25" hidden="1" customHeight="1" x14ac:dyDescent="0.25"/>
    <row r="1366" ht="11.25" hidden="1" customHeight="1" x14ac:dyDescent="0.25"/>
    <row r="1367" ht="11.25" hidden="1" customHeight="1" x14ac:dyDescent="0.25"/>
    <row r="1368" ht="11.25" hidden="1" customHeight="1" x14ac:dyDescent="0.25"/>
    <row r="1369" ht="11.25" hidden="1" customHeight="1" x14ac:dyDescent="0.25"/>
    <row r="1370" ht="11.25" hidden="1" customHeight="1" x14ac:dyDescent="0.25"/>
    <row r="1371" ht="11.25" hidden="1" customHeight="1" x14ac:dyDescent="0.25"/>
    <row r="1372" ht="11.25" hidden="1" customHeight="1" x14ac:dyDescent="0.25"/>
    <row r="1373" ht="11.25" hidden="1" customHeight="1" x14ac:dyDescent="0.25"/>
    <row r="1374" ht="11.25" hidden="1" customHeight="1" x14ac:dyDescent="0.25"/>
    <row r="1375" ht="11.25" hidden="1" customHeight="1" x14ac:dyDescent="0.25"/>
    <row r="1376" ht="11.25" hidden="1" customHeight="1" x14ac:dyDescent="0.25"/>
    <row r="1377" ht="11.25" hidden="1" customHeight="1" x14ac:dyDescent="0.25"/>
    <row r="1378" ht="11.25" hidden="1" customHeight="1" x14ac:dyDescent="0.25"/>
    <row r="1379" ht="11.25" hidden="1" customHeight="1" x14ac:dyDescent="0.25"/>
    <row r="1380" ht="11.25" hidden="1" customHeight="1" x14ac:dyDescent="0.25"/>
    <row r="1381" ht="11.25" hidden="1" customHeight="1" x14ac:dyDescent="0.25"/>
    <row r="1382" ht="11.25" hidden="1" customHeight="1" x14ac:dyDescent="0.25"/>
    <row r="1383" ht="11.25" hidden="1" customHeight="1" x14ac:dyDescent="0.25"/>
    <row r="1384" ht="11.25" hidden="1" customHeight="1" x14ac:dyDescent="0.25"/>
    <row r="1385" ht="11.25" hidden="1" customHeight="1" x14ac:dyDescent="0.25"/>
    <row r="1386" ht="11.25" hidden="1" customHeight="1" x14ac:dyDescent="0.25"/>
    <row r="1387" ht="11.25" hidden="1" customHeight="1" x14ac:dyDescent="0.25"/>
    <row r="1388" ht="11.25" hidden="1" customHeight="1" x14ac:dyDescent="0.25"/>
    <row r="1389" ht="11.25" hidden="1" customHeight="1" x14ac:dyDescent="0.25"/>
    <row r="1390" ht="11.25" hidden="1" customHeight="1" x14ac:dyDescent="0.25"/>
    <row r="1391" ht="11.25" hidden="1" customHeight="1" x14ac:dyDescent="0.25"/>
    <row r="1392" ht="11.25" hidden="1" customHeight="1" x14ac:dyDescent="0.25"/>
    <row r="1393" ht="11.25" hidden="1" customHeight="1" x14ac:dyDescent="0.25"/>
    <row r="1394" ht="11.25" hidden="1" customHeight="1" x14ac:dyDescent="0.25"/>
    <row r="1395" ht="11.25" hidden="1" customHeight="1" x14ac:dyDescent="0.25"/>
    <row r="1396" ht="11.25" hidden="1" customHeight="1" x14ac:dyDescent="0.25"/>
    <row r="1397" ht="11.25" hidden="1" customHeight="1" x14ac:dyDescent="0.25"/>
    <row r="1398" ht="11.25" hidden="1" customHeight="1" x14ac:dyDescent="0.25"/>
    <row r="1399" ht="11.25" hidden="1" customHeight="1" x14ac:dyDescent="0.25"/>
    <row r="1400" ht="11.25" hidden="1" customHeight="1" x14ac:dyDescent="0.25"/>
    <row r="1401" ht="11.25" hidden="1" customHeight="1" x14ac:dyDescent="0.25"/>
    <row r="1402" ht="11.25" hidden="1" customHeight="1" x14ac:dyDescent="0.25"/>
    <row r="1403" ht="11.25" hidden="1" customHeight="1" x14ac:dyDescent="0.25"/>
    <row r="1404" ht="11.25" hidden="1" customHeight="1" x14ac:dyDescent="0.25"/>
    <row r="1405" ht="11.25" hidden="1" customHeight="1" x14ac:dyDescent="0.25"/>
    <row r="1406" ht="11.25" hidden="1" customHeight="1" x14ac:dyDescent="0.25"/>
    <row r="1407" ht="11.25" hidden="1" customHeight="1" x14ac:dyDescent="0.25"/>
    <row r="1408" ht="11.25" hidden="1" customHeight="1" x14ac:dyDescent="0.25"/>
    <row r="1409" ht="11.25" hidden="1" customHeight="1" x14ac:dyDescent="0.25"/>
    <row r="1410" ht="11.25" hidden="1" customHeight="1" x14ac:dyDescent="0.25"/>
    <row r="1411" ht="11.25" hidden="1" customHeight="1" x14ac:dyDescent="0.25"/>
    <row r="1412" ht="11.25" hidden="1" customHeight="1" x14ac:dyDescent="0.25"/>
    <row r="1413" ht="11.25" hidden="1" customHeight="1" x14ac:dyDescent="0.25"/>
    <row r="1414" ht="11.25" hidden="1" customHeight="1" x14ac:dyDescent="0.25"/>
    <row r="1415" ht="11.25" hidden="1" customHeight="1" x14ac:dyDescent="0.25"/>
    <row r="1416" ht="11.25" hidden="1" customHeight="1" x14ac:dyDescent="0.25"/>
    <row r="1417" ht="11.25" hidden="1" customHeight="1" x14ac:dyDescent="0.25"/>
    <row r="1418" ht="11.25" hidden="1" customHeight="1" x14ac:dyDescent="0.25"/>
    <row r="1419" ht="11.25" hidden="1" customHeight="1" x14ac:dyDescent="0.25"/>
    <row r="1420" ht="11.25" hidden="1" customHeight="1" x14ac:dyDescent="0.25"/>
    <row r="1421" ht="11.25" hidden="1" customHeight="1" x14ac:dyDescent="0.25"/>
    <row r="1422" ht="11.25" hidden="1" customHeight="1" x14ac:dyDescent="0.25"/>
    <row r="1423" ht="11.25" hidden="1" customHeight="1" x14ac:dyDescent="0.25"/>
    <row r="1424" ht="11.25" hidden="1" customHeight="1" x14ac:dyDescent="0.25"/>
    <row r="1425" ht="11.25" hidden="1" customHeight="1" x14ac:dyDescent="0.25"/>
    <row r="1426" ht="11.25" hidden="1" customHeight="1" x14ac:dyDescent="0.25"/>
    <row r="1427" ht="11.25" hidden="1" customHeight="1" x14ac:dyDescent="0.25"/>
    <row r="1428" ht="11.25" hidden="1" customHeight="1" x14ac:dyDescent="0.25"/>
    <row r="1429" ht="11.25" hidden="1" customHeight="1" x14ac:dyDescent="0.25"/>
    <row r="1430" ht="11.25" hidden="1" customHeight="1" x14ac:dyDescent="0.25"/>
    <row r="1431" ht="11.25" hidden="1" customHeight="1" x14ac:dyDescent="0.25"/>
    <row r="1432" ht="11.25" hidden="1" customHeight="1" x14ac:dyDescent="0.25"/>
    <row r="1433" ht="11.25" hidden="1" customHeight="1" x14ac:dyDescent="0.25"/>
    <row r="1434" ht="11.25" hidden="1" customHeight="1" x14ac:dyDescent="0.25"/>
    <row r="1435" ht="11.25" hidden="1" customHeight="1" x14ac:dyDescent="0.25"/>
    <row r="1436" ht="11.25" hidden="1" customHeight="1" x14ac:dyDescent="0.25"/>
    <row r="1437" ht="11.25" hidden="1" customHeight="1" x14ac:dyDescent="0.25"/>
    <row r="1438" ht="11.25" hidden="1" customHeight="1" x14ac:dyDescent="0.25"/>
    <row r="1439" ht="11.25" hidden="1" customHeight="1" x14ac:dyDescent="0.25"/>
    <row r="1440" ht="11.25" hidden="1" customHeight="1" x14ac:dyDescent="0.25"/>
    <row r="1441" ht="11.25" hidden="1" customHeight="1" x14ac:dyDescent="0.25"/>
    <row r="1442" ht="11.25" hidden="1" customHeight="1" x14ac:dyDescent="0.25"/>
    <row r="1443" ht="11.25" hidden="1" customHeight="1" x14ac:dyDescent="0.25"/>
    <row r="1444" ht="11.25" hidden="1" customHeight="1" x14ac:dyDescent="0.25"/>
    <row r="1445" ht="11.25" hidden="1" customHeight="1" x14ac:dyDescent="0.25"/>
    <row r="1446" ht="11.25" hidden="1" customHeight="1" x14ac:dyDescent="0.25"/>
    <row r="1447" ht="11.25" hidden="1" customHeight="1" x14ac:dyDescent="0.25"/>
    <row r="1448" ht="11.25" hidden="1" customHeight="1" x14ac:dyDescent="0.25"/>
    <row r="1449" ht="11.25" hidden="1" customHeight="1" x14ac:dyDescent="0.25"/>
    <row r="1450" ht="11.25" hidden="1" customHeight="1" x14ac:dyDescent="0.25"/>
    <row r="1451" ht="11.25" hidden="1" customHeight="1" x14ac:dyDescent="0.25"/>
    <row r="1452" ht="11.25" hidden="1" customHeight="1" x14ac:dyDescent="0.25"/>
    <row r="1453" ht="11.25" hidden="1" customHeight="1" x14ac:dyDescent="0.25"/>
    <row r="1454" ht="11.25" hidden="1" customHeight="1" x14ac:dyDescent="0.25"/>
    <row r="1455" ht="11.25" hidden="1" customHeight="1" x14ac:dyDescent="0.25"/>
    <row r="1456" ht="11.25" hidden="1" customHeight="1" x14ac:dyDescent="0.25"/>
    <row r="1457" ht="11.25" hidden="1" customHeight="1" x14ac:dyDescent="0.25"/>
    <row r="1458" ht="11.25" hidden="1" customHeight="1" x14ac:dyDescent="0.25"/>
    <row r="1459" ht="11.25" hidden="1" customHeight="1" x14ac:dyDescent="0.25"/>
    <row r="1460" ht="11.25" hidden="1" customHeight="1" x14ac:dyDescent="0.25"/>
    <row r="1461" ht="11.25" hidden="1" customHeight="1" x14ac:dyDescent="0.25"/>
    <row r="1462" ht="11.25" hidden="1" customHeight="1" x14ac:dyDescent="0.25"/>
    <row r="1463" ht="11.25" hidden="1" customHeight="1" x14ac:dyDescent="0.25"/>
    <row r="1464" ht="11.25" hidden="1" customHeight="1" x14ac:dyDescent="0.25"/>
    <row r="1465" ht="11.25" hidden="1" customHeight="1" x14ac:dyDescent="0.25"/>
    <row r="1466" ht="11.25" hidden="1" customHeight="1" x14ac:dyDescent="0.25"/>
    <row r="1467" ht="11.25" hidden="1" customHeight="1" x14ac:dyDescent="0.25"/>
    <row r="1468" ht="11.25" hidden="1" customHeight="1" x14ac:dyDescent="0.25"/>
    <row r="1469" ht="11.25" hidden="1" customHeight="1" x14ac:dyDescent="0.25"/>
    <row r="1470" ht="11.25" hidden="1" customHeight="1" x14ac:dyDescent="0.25"/>
    <row r="1471" ht="11.25" hidden="1" customHeight="1" x14ac:dyDescent="0.25"/>
    <row r="1472" ht="11.25" hidden="1" customHeight="1" x14ac:dyDescent="0.25"/>
    <row r="1473" ht="11.25" hidden="1" customHeight="1" x14ac:dyDescent="0.25"/>
    <row r="1474" ht="11.25" hidden="1" customHeight="1" x14ac:dyDescent="0.25"/>
    <row r="1475" ht="11.25" hidden="1" customHeight="1" x14ac:dyDescent="0.25"/>
    <row r="1476" ht="11.25" hidden="1" customHeight="1" x14ac:dyDescent="0.25"/>
    <row r="1477" ht="11.25" hidden="1" customHeight="1" x14ac:dyDescent="0.25"/>
    <row r="1478" ht="11.25" hidden="1" customHeight="1" x14ac:dyDescent="0.25"/>
    <row r="1479" ht="11.25" hidden="1" customHeight="1" x14ac:dyDescent="0.25"/>
    <row r="1480" ht="11.25" hidden="1" customHeight="1" x14ac:dyDescent="0.25"/>
    <row r="1481" ht="11.25" hidden="1" customHeight="1" x14ac:dyDescent="0.25"/>
    <row r="1482" ht="11.25" hidden="1" customHeight="1" x14ac:dyDescent="0.25"/>
    <row r="1483" ht="11.25" hidden="1" customHeight="1" x14ac:dyDescent="0.25"/>
    <row r="1484" ht="11.25" hidden="1" customHeight="1" x14ac:dyDescent="0.25"/>
    <row r="1485" ht="11.25" hidden="1" customHeight="1" x14ac:dyDescent="0.25"/>
    <row r="1486" ht="11.25" hidden="1" customHeight="1" x14ac:dyDescent="0.25"/>
    <row r="1487" ht="11.25" hidden="1" customHeight="1" x14ac:dyDescent="0.25"/>
    <row r="1488" ht="11.25" hidden="1" customHeight="1" x14ac:dyDescent="0.25"/>
    <row r="1489" ht="11.25" hidden="1" customHeight="1" x14ac:dyDescent="0.25"/>
    <row r="1490" ht="11.25" hidden="1" customHeight="1" x14ac:dyDescent="0.25"/>
    <row r="1491" ht="11.25" hidden="1" customHeight="1" x14ac:dyDescent="0.25"/>
    <row r="1492" ht="11.25" hidden="1" customHeight="1" x14ac:dyDescent="0.25"/>
    <row r="1493" ht="11.25" hidden="1" customHeight="1" x14ac:dyDescent="0.25"/>
    <row r="1494" ht="11.25" hidden="1" customHeight="1" x14ac:dyDescent="0.25"/>
    <row r="1495" ht="11.25" hidden="1" customHeight="1" x14ac:dyDescent="0.25"/>
    <row r="1496" ht="11.25" hidden="1" customHeight="1" x14ac:dyDescent="0.25"/>
    <row r="1497" ht="11.25" hidden="1" customHeight="1" x14ac:dyDescent="0.25"/>
    <row r="1498" ht="11.25" hidden="1" customHeight="1" x14ac:dyDescent="0.25"/>
    <row r="1499" ht="11.25" hidden="1" customHeight="1" x14ac:dyDescent="0.25"/>
    <row r="1500" ht="11.25" hidden="1" customHeight="1" x14ac:dyDescent="0.25"/>
    <row r="1501" ht="11.25" hidden="1" customHeight="1" x14ac:dyDescent="0.25"/>
    <row r="1502" ht="11.25" hidden="1" customHeight="1" x14ac:dyDescent="0.25"/>
    <row r="1503" ht="11.25" hidden="1" customHeight="1" x14ac:dyDescent="0.25"/>
    <row r="1504" ht="11.25" hidden="1" customHeight="1" x14ac:dyDescent="0.25"/>
    <row r="1505" ht="11.25" hidden="1" customHeight="1" x14ac:dyDescent="0.25"/>
    <row r="1506" ht="11.25" hidden="1" customHeight="1" x14ac:dyDescent="0.25"/>
    <row r="1507" ht="11.25" hidden="1" customHeight="1" x14ac:dyDescent="0.25"/>
    <row r="1508" ht="11.25" hidden="1" customHeight="1" x14ac:dyDescent="0.25"/>
    <row r="1509" ht="11.25" hidden="1" customHeight="1" x14ac:dyDescent="0.25"/>
    <row r="1510" ht="11.25" hidden="1" customHeight="1" x14ac:dyDescent="0.25"/>
    <row r="1511" ht="11.25" hidden="1" customHeight="1" x14ac:dyDescent="0.25"/>
    <row r="1512" ht="11.25" hidden="1" customHeight="1" x14ac:dyDescent="0.25"/>
    <row r="1513" ht="11.25" hidden="1" customHeight="1" x14ac:dyDescent="0.25"/>
    <row r="1514" ht="11.25" hidden="1" customHeight="1" x14ac:dyDescent="0.25"/>
    <row r="1515" ht="11.25" hidden="1" customHeight="1" x14ac:dyDescent="0.25"/>
    <row r="1516" ht="11.25" hidden="1" customHeight="1" x14ac:dyDescent="0.25"/>
    <row r="1517" ht="11.25" hidden="1" customHeight="1" x14ac:dyDescent="0.25"/>
    <row r="1518" ht="11.25" hidden="1" customHeight="1" x14ac:dyDescent="0.25"/>
    <row r="1519" ht="11.25" hidden="1" customHeight="1" x14ac:dyDescent="0.25"/>
    <row r="1520" ht="11.25" hidden="1" customHeight="1" x14ac:dyDescent="0.25"/>
    <row r="1521" ht="11.25" hidden="1" customHeight="1" x14ac:dyDescent="0.25"/>
    <row r="1522" ht="11.25" hidden="1" customHeight="1" x14ac:dyDescent="0.25"/>
    <row r="1523" ht="11.25" hidden="1" customHeight="1" x14ac:dyDescent="0.25"/>
    <row r="1524" ht="11.25" hidden="1" customHeight="1" x14ac:dyDescent="0.25"/>
    <row r="1525" ht="11.25" hidden="1" customHeight="1" x14ac:dyDescent="0.25"/>
    <row r="1526" ht="11.25" hidden="1" customHeight="1" x14ac:dyDescent="0.25"/>
    <row r="1527" ht="11.25" hidden="1" customHeight="1" x14ac:dyDescent="0.25"/>
    <row r="1528" ht="11.25" hidden="1" customHeight="1" x14ac:dyDescent="0.25"/>
    <row r="1529" ht="11.25" hidden="1" customHeight="1" x14ac:dyDescent="0.25"/>
    <row r="1530" ht="11.25" hidden="1" customHeight="1" x14ac:dyDescent="0.25"/>
    <row r="1531" ht="11.25" hidden="1" customHeight="1" x14ac:dyDescent="0.25"/>
    <row r="1532" ht="11.25" hidden="1" customHeight="1" x14ac:dyDescent="0.25"/>
    <row r="1533" ht="11.25" hidden="1" customHeight="1" x14ac:dyDescent="0.25"/>
    <row r="1534" ht="11.25" hidden="1" customHeight="1" x14ac:dyDescent="0.25"/>
    <row r="1535" ht="11.25" hidden="1" customHeight="1" x14ac:dyDescent="0.25"/>
    <row r="1536" ht="11.25" hidden="1" customHeight="1" x14ac:dyDescent="0.25"/>
    <row r="1537" ht="11.25" hidden="1" customHeight="1" x14ac:dyDescent="0.25"/>
    <row r="1538" ht="11.25" hidden="1" customHeight="1" x14ac:dyDescent="0.25"/>
    <row r="1539" ht="11.25" hidden="1" customHeight="1" x14ac:dyDescent="0.25"/>
    <row r="1540" ht="11.25" hidden="1" customHeight="1" x14ac:dyDescent="0.25"/>
    <row r="1541" ht="11.25" hidden="1" customHeight="1" x14ac:dyDescent="0.25"/>
    <row r="1542" ht="11.25" hidden="1" customHeight="1" x14ac:dyDescent="0.25"/>
    <row r="1543" ht="11.25" hidden="1" customHeight="1" x14ac:dyDescent="0.25"/>
    <row r="1544" ht="11.25" hidden="1" customHeight="1" x14ac:dyDescent="0.25"/>
    <row r="1545" ht="11.25" hidden="1" customHeight="1" x14ac:dyDescent="0.25"/>
    <row r="1546" ht="11.25" hidden="1" customHeight="1" x14ac:dyDescent="0.25"/>
    <row r="1547" ht="11.25" hidden="1" customHeight="1" x14ac:dyDescent="0.25"/>
    <row r="1548" ht="11.25" hidden="1" customHeight="1" x14ac:dyDescent="0.25"/>
    <row r="1549" ht="11.25" hidden="1" customHeight="1" x14ac:dyDescent="0.25"/>
    <row r="1550" ht="11.25" hidden="1" customHeight="1" x14ac:dyDescent="0.25"/>
    <row r="1551" ht="11.25" hidden="1" customHeight="1" x14ac:dyDescent="0.25"/>
    <row r="1552" ht="11.25" hidden="1" customHeight="1" x14ac:dyDescent="0.25"/>
    <row r="1553" ht="11.25" hidden="1" customHeight="1" x14ac:dyDescent="0.25"/>
    <row r="1554" ht="11.25" hidden="1" customHeight="1" x14ac:dyDescent="0.25"/>
    <row r="1555" ht="11.25" hidden="1" customHeight="1" x14ac:dyDescent="0.25"/>
    <row r="1556" ht="11.25" hidden="1" customHeight="1" x14ac:dyDescent="0.25"/>
    <row r="1557" ht="11.25" hidden="1" customHeight="1" x14ac:dyDescent="0.25"/>
    <row r="1558" ht="11.25" hidden="1" customHeight="1" x14ac:dyDescent="0.25"/>
    <row r="1559" ht="11.25" hidden="1" customHeight="1" x14ac:dyDescent="0.25"/>
    <row r="1560" ht="11.25" hidden="1" customHeight="1" x14ac:dyDescent="0.25"/>
    <row r="1561" ht="11.25" hidden="1" customHeight="1" x14ac:dyDescent="0.25"/>
    <row r="1562" ht="11.25" hidden="1" customHeight="1" x14ac:dyDescent="0.25"/>
    <row r="1563" ht="11.25" hidden="1" customHeight="1" x14ac:dyDescent="0.25"/>
    <row r="1564" ht="11.25" hidden="1" customHeight="1" x14ac:dyDescent="0.25"/>
    <row r="1565" ht="11.25" hidden="1" customHeight="1" x14ac:dyDescent="0.25"/>
    <row r="1566" ht="11.25" hidden="1" customHeight="1" x14ac:dyDescent="0.25"/>
    <row r="1567" ht="11.25" hidden="1" customHeight="1" x14ac:dyDescent="0.25"/>
    <row r="1568" ht="11.25" hidden="1" customHeight="1" x14ac:dyDescent="0.25"/>
    <row r="1569" ht="11.25" hidden="1" customHeight="1" x14ac:dyDescent="0.25"/>
    <row r="1570" ht="11.25" hidden="1" customHeight="1" x14ac:dyDescent="0.25"/>
    <row r="1571" ht="11.25" hidden="1" customHeight="1" x14ac:dyDescent="0.25"/>
    <row r="1572" ht="11.25" hidden="1" customHeight="1" x14ac:dyDescent="0.25"/>
    <row r="1573" ht="11.25" hidden="1" customHeight="1" x14ac:dyDescent="0.25"/>
    <row r="1574" ht="11.25" hidden="1" customHeight="1" x14ac:dyDescent="0.25"/>
    <row r="1575" ht="11.25" hidden="1" customHeight="1" x14ac:dyDescent="0.25"/>
    <row r="1576" ht="11.25" hidden="1" customHeight="1" x14ac:dyDescent="0.25"/>
    <row r="1577" ht="11.25" hidden="1" customHeight="1" x14ac:dyDescent="0.25"/>
    <row r="1578" ht="11.25" hidden="1" customHeight="1" x14ac:dyDescent="0.25"/>
    <row r="1579" ht="11.25" hidden="1" customHeight="1" x14ac:dyDescent="0.25"/>
    <row r="1580" ht="11.25" hidden="1" customHeight="1" x14ac:dyDescent="0.25"/>
    <row r="1581" ht="11.25" hidden="1" customHeight="1" x14ac:dyDescent="0.25"/>
    <row r="1582" ht="11.25" hidden="1" customHeight="1" x14ac:dyDescent="0.25"/>
    <row r="1583" ht="11.25" hidden="1" customHeight="1" x14ac:dyDescent="0.25"/>
    <row r="1584" ht="11.25" hidden="1" customHeight="1" x14ac:dyDescent="0.25"/>
    <row r="1585" ht="11.25" hidden="1" customHeight="1" x14ac:dyDescent="0.25"/>
    <row r="1586" ht="11.25" hidden="1" customHeight="1" x14ac:dyDescent="0.25"/>
    <row r="1587" ht="11.25" hidden="1" customHeight="1" x14ac:dyDescent="0.25"/>
    <row r="1588" ht="11.25" hidden="1" customHeight="1" x14ac:dyDescent="0.25"/>
    <row r="1589" ht="11.25" hidden="1" customHeight="1" x14ac:dyDescent="0.25"/>
    <row r="1590" ht="11.25" hidden="1" customHeight="1" x14ac:dyDescent="0.25"/>
    <row r="1591" ht="11.25" hidden="1" customHeight="1" x14ac:dyDescent="0.25"/>
    <row r="1592" ht="11.25" hidden="1" customHeight="1" x14ac:dyDescent="0.25"/>
    <row r="1593" ht="11.25" hidden="1" customHeight="1" x14ac:dyDescent="0.25"/>
    <row r="1594" ht="11.25" hidden="1" customHeight="1" x14ac:dyDescent="0.25"/>
    <row r="1595" ht="11.25" hidden="1" customHeight="1" x14ac:dyDescent="0.25"/>
    <row r="1596" ht="11.25" hidden="1" customHeight="1" x14ac:dyDescent="0.25"/>
    <row r="1597" ht="11.25" hidden="1" customHeight="1" x14ac:dyDescent="0.25"/>
    <row r="1598" ht="11.25" hidden="1" customHeight="1" x14ac:dyDescent="0.25"/>
    <row r="1599" ht="11.25" hidden="1" customHeight="1" x14ac:dyDescent="0.25"/>
    <row r="1600" ht="11.25" hidden="1" customHeight="1" x14ac:dyDescent="0.25"/>
    <row r="1601" ht="11.25" hidden="1" customHeight="1" x14ac:dyDescent="0.25"/>
    <row r="1602" ht="11.25" hidden="1" customHeight="1" x14ac:dyDescent="0.25"/>
    <row r="1603" ht="11.25" hidden="1" customHeight="1" x14ac:dyDescent="0.25"/>
    <row r="1604" ht="11.25" hidden="1" customHeight="1" x14ac:dyDescent="0.25"/>
    <row r="1605" ht="11.25" hidden="1" customHeight="1" x14ac:dyDescent="0.25"/>
    <row r="1606" ht="11.25" hidden="1" customHeight="1" x14ac:dyDescent="0.25"/>
    <row r="1607" ht="11.25" hidden="1" customHeight="1" x14ac:dyDescent="0.25"/>
    <row r="1608" ht="11.25" hidden="1" customHeight="1" x14ac:dyDescent="0.25"/>
    <row r="1609" ht="11.25" hidden="1" customHeight="1" x14ac:dyDescent="0.25"/>
    <row r="1610" ht="11.25" hidden="1" customHeight="1" x14ac:dyDescent="0.25"/>
    <row r="1611" ht="11.25" hidden="1" customHeight="1" x14ac:dyDescent="0.25"/>
    <row r="1612" ht="11.25" hidden="1" customHeight="1" x14ac:dyDescent="0.25"/>
    <row r="1613" ht="11.25" hidden="1" customHeight="1" x14ac:dyDescent="0.25"/>
    <row r="1614" ht="11.25" hidden="1" customHeight="1" x14ac:dyDescent="0.25"/>
    <row r="1615" ht="11.25" hidden="1" customHeight="1" x14ac:dyDescent="0.25"/>
    <row r="1616" ht="11.25" hidden="1" customHeight="1" x14ac:dyDescent="0.25"/>
    <row r="1617" ht="11.25" hidden="1" customHeight="1" x14ac:dyDescent="0.25"/>
    <row r="1618" ht="11.25" hidden="1" customHeight="1" x14ac:dyDescent="0.25"/>
    <row r="1619" ht="11.25" hidden="1" customHeight="1" x14ac:dyDescent="0.25"/>
    <row r="1620" ht="11.25" hidden="1" customHeight="1" x14ac:dyDescent="0.25"/>
    <row r="1621" ht="11.25" hidden="1" customHeight="1" x14ac:dyDescent="0.25"/>
    <row r="1622" ht="11.25" hidden="1" customHeight="1" x14ac:dyDescent="0.25"/>
    <row r="1623" ht="11.25" hidden="1" customHeight="1" x14ac:dyDescent="0.25"/>
    <row r="1624" ht="11.25" hidden="1" customHeight="1" x14ac:dyDescent="0.25"/>
    <row r="1625" ht="11.25" hidden="1" customHeight="1" x14ac:dyDescent="0.25"/>
    <row r="1626" ht="11.25" hidden="1" customHeight="1" x14ac:dyDescent="0.25"/>
    <row r="1627" ht="11.25" hidden="1" customHeight="1" x14ac:dyDescent="0.25"/>
    <row r="1628" ht="11.25" hidden="1" customHeight="1" x14ac:dyDescent="0.25"/>
    <row r="1629" ht="11.25" hidden="1" customHeight="1" x14ac:dyDescent="0.25"/>
    <row r="1630" ht="11.25" hidden="1" customHeight="1" x14ac:dyDescent="0.25"/>
    <row r="1631" ht="11.25" hidden="1" customHeight="1" x14ac:dyDescent="0.25"/>
    <row r="1632" ht="11.25" hidden="1" customHeight="1" x14ac:dyDescent="0.25"/>
    <row r="1633" ht="11.25" hidden="1" customHeight="1" x14ac:dyDescent="0.25"/>
    <row r="1634" ht="11.25" hidden="1" customHeight="1" x14ac:dyDescent="0.25"/>
    <row r="1635" ht="11.25" hidden="1" customHeight="1" x14ac:dyDescent="0.25"/>
    <row r="1636" ht="11.25" hidden="1" customHeight="1" x14ac:dyDescent="0.25"/>
    <row r="1637" ht="11.25" hidden="1" customHeight="1" x14ac:dyDescent="0.25"/>
    <row r="1638" ht="11.25" hidden="1" customHeight="1" x14ac:dyDescent="0.25"/>
    <row r="1639" ht="11.25" hidden="1" customHeight="1" x14ac:dyDescent="0.25"/>
    <row r="1640" ht="11.25" hidden="1" customHeight="1" x14ac:dyDescent="0.25"/>
    <row r="1641" ht="11.25" hidden="1" customHeight="1" x14ac:dyDescent="0.25"/>
    <row r="1642" ht="11.25" hidden="1" customHeight="1" x14ac:dyDescent="0.25"/>
    <row r="1643" ht="11.25" hidden="1" customHeight="1" x14ac:dyDescent="0.25"/>
    <row r="1644" ht="11.25" hidden="1" customHeight="1" x14ac:dyDescent="0.25"/>
    <row r="1645" ht="11.25" hidden="1" customHeight="1" x14ac:dyDescent="0.25"/>
    <row r="1646" ht="11.25" hidden="1" customHeight="1" x14ac:dyDescent="0.25"/>
    <row r="1647" ht="11.25" hidden="1" customHeight="1" x14ac:dyDescent="0.25"/>
    <row r="1648" ht="11.25" hidden="1" customHeight="1" x14ac:dyDescent="0.25"/>
    <row r="1649" ht="11.25" hidden="1" customHeight="1" x14ac:dyDescent="0.25"/>
    <row r="1650" ht="11.25" hidden="1" customHeight="1" x14ac:dyDescent="0.25"/>
    <row r="1651" ht="11.25" hidden="1" customHeight="1" x14ac:dyDescent="0.25"/>
    <row r="1652" ht="11.25" hidden="1" customHeight="1" x14ac:dyDescent="0.25"/>
    <row r="1653" ht="11.25" hidden="1" customHeight="1" x14ac:dyDescent="0.25"/>
    <row r="1654" ht="11.25" hidden="1" customHeight="1" x14ac:dyDescent="0.25"/>
    <row r="1655" ht="11.25" hidden="1" customHeight="1" x14ac:dyDescent="0.25"/>
    <row r="1656" ht="11.25" hidden="1" customHeight="1" x14ac:dyDescent="0.25"/>
    <row r="1657" ht="11.25" hidden="1" customHeight="1" x14ac:dyDescent="0.25"/>
    <row r="1658" ht="11.25" hidden="1" customHeight="1" x14ac:dyDescent="0.25"/>
    <row r="1659" ht="11.25" hidden="1" customHeight="1" x14ac:dyDescent="0.25"/>
    <row r="1660" ht="11.25" hidden="1" customHeight="1" x14ac:dyDescent="0.25"/>
    <row r="1661" ht="11.25" hidden="1" customHeight="1" x14ac:dyDescent="0.25"/>
    <row r="1662" ht="11.25" hidden="1" customHeight="1" x14ac:dyDescent="0.25"/>
    <row r="1663" ht="11.25" hidden="1" customHeight="1" x14ac:dyDescent="0.25"/>
    <row r="1664" ht="11.25" hidden="1" customHeight="1" x14ac:dyDescent="0.25"/>
    <row r="1665" ht="11.25" hidden="1" customHeight="1" x14ac:dyDescent="0.25"/>
    <row r="1666" ht="11.25" hidden="1" customHeight="1" x14ac:dyDescent="0.25"/>
    <row r="1667" ht="11.25" hidden="1" customHeight="1" x14ac:dyDescent="0.25"/>
    <row r="1668" ht="11.25" hidden="1" customHeight="1" x14ac:dyDescent="0.25"/>
    <row r="1669" ht="11.25" hidden="1" customHeight="1" x14ac:dyDescent="0.25"/>
    <row r="1670" ht="11.25" hidden="1" customHeight="1" x14ac:dyDescent="0.25"/>
    <row r="1671" ht="11.25" hidden="1" customHeight="1" x14ac:dyDescent="0.25"/>
    <row r="1672" ht="11.25" hidden="1" customHeight="1" x14ac:dyDescent="0.25"/>
    <row r="1673" ht="11.25" hidden="1" customHeight="1" x14ac:dyDescent="0.25"/>
    <row r="1674" ht="11.25" hidden="1" customHeight="1" x14ac:dyDescent="0.25"/>
    <row r="1675" ht="11.25" hidden="1" customHeight="1" x14ac:dyDescent="0.25"/>
    <row r="1676" ht="11.25" hidden="1" customHeight="1" x14ac:dyDescent="0.25"/>
    <row r="1677" ht="11.25" hidden="1" customHeight="1" x14ac:dyDescent="0.25"/>
    <row r="1678" ht="11.25" hidden="1" customHeight="1" x14ac:dyDescent="0.25"/>
    <row r="1679" ht="11.25" hidden="1" customHeight="1" x14ac:dyDescent="0.25"/>
    <row r="1680" ht="11.25" hidden="1" customHeight="1" x14ac:dyDescent="0.25"/>
    <row r="1681" ht="11.25" hidden="1" customHeight="1" x14ac:dyDescent="0.25"/>
    <row r="1682" ht="11.25" hidden="1" customHeight="1" x14ac:dyDescent="0.25"/>
    <row r="1683" ht="11.25" hidden="1" customHeight="1" x14ac:dyDescent="0.25"/>
    <row r="1684" ht="11.25" hidden="1" customHeight="1" x14ac:dyDescent="0.25"/>
    <row r="1685" ht="11.25" hidden="1" customHeight="1" x14ac:dyDescent="0.25"/>
    <row r="1686" ht="11.25" hidden="1" customHeight="1" x14ac:dyDescent="0.25"/>
    <row r="1687" ht="11.25" hidden="1" customHeight="1" x14ac:dyDescent="0.25"/>
    <row r="1688" ht="11.25" hidden="1" customHeight="1" x14ac:dyDescent="0.25"/>
    <row r="1689" ht="11.25" hidden="1" customHeight="1" x14ac:dyDescent="0.25"/>
    <row r="1690" ht="11.25" hidden="1" customHeight="1" x14ac:dyDescent="0.25"/>
    <row r="1691" ht="11.25" hidden="1" customHeight="1" x14ac:dyDescent="0.25"/>
    <row r="1692" ht="11.25" hidden="1" customHeight="1" x14ac:dyDescent="0.25"/>
    <row r="1693" ht="11.25" hidden="1" customHeight="1" x14ac:dyDescent="0.25"/>
    <row r="1694" ht="11.25" hidden="1" customHeight="1" x14ac:dyDescent="0.25"/>
    <row r="1695" ht="11.25" hidden="1" customHeight="1" x14ac:dyDescent="0.25"/>
    <row r="1696" ht="11.25" hidden="1" customHeight="1" x14ac:dyDescent="0.25"/>
    <row r="1697" ht="11.25" hidden="1" customHeight="1" x14ac:dyDescent="0.25"/>
    <row r="1698" ht="11.25" hidden="1" customHeight="1" x14ac:dyDescent="0.25"/>
    <row r="1699" ht="11.25" hidden="1" customHeight="1" x14ac:dyDescent="0.25"/>
    <row r="1700" ht="11.25" hidden="1" customHeight="1" x14ac:dyDescent="0.25"/>
    <row r="1701" ht="11.25" hidden="1" customHeight="1" x14ac:dyDescent="0.25"/>
    <row r="1702" ht="11.25" hidden="1" customHeight="1" x14ac:dyDescent="0.25"/>
    <row r="1703" ht="11.25" hidden="1" customHeight="1" x14ac:dyDescent="0.25"/>
    <row r="1704" ht="11.25" hidden="1" customHeight="1" x14ac:dyDescent="0.25"/>
    <row r="1705" ht="11.25" hidden="1" customHeight="1" x14ac:dyDescent="0.25"/>
    <row r="1706" ht="11.25" hidden="1" customHeight="1" x14ac:dyDescent="0.25"/>
    <row r="1707" ht="11.25" hidden="1" customHeight="1" x14ac:dyDescent="0.25"/>
    <row r="1708" ht="11.25" hidden="1" customHeight="1" x14ac:dyDescent="0.25"/>
    <row r="1709" ht="11.25" hidden="1" customHeight="1" x14ac:dyDescent="0.25"/>
    <row r="1710" ht="11.25" hidden="1" customHeight="1" x14ac:dyDescent="0.25"/>
    <row r="1711" ht="11.25" hidden="1" customHeight="1" x14ac:dyDescent="0.25"/>
    <row r="1712" ht="11.25" hidden="1" customHeight="1" x14ac:dyDescent="0.25"/>
    <row r="1713" ht="11.25" hidden="1" customHeight="1" x14ac:dyDescent="0.25"/>
    <row r="1714" ht="11.25" hidden="1" customHeight="1" x14ac:dyDescent="0.25"/>
    <row r="1715" ht="11.25" hidden="1" customHeight="1" x14ac:dyDescent="0.25"/>
    <row r="1716" ht="11.25" hidden="1" customHeight="1" x14ac:dyDescent="0.25"/>
    <row r="1717" ht="11.25" hidden="1" customHeight="1" x14ac:dyDescent="0.25"/>
    <row r="1718" ht="11.25" hidden="1" customHeight="1" x14ac:dyDescent="0.25"/>
    <row r="1719" ht="11.25" hidden="1" customHeight="1" x14ac:dyDescent="0.25"/>
    <row r="1720" ht="11.25" hidden="1" customHeight="1" x14ac:dyDescent="0.25"/>
    <row r="1721" ht="11.25" hidden="1" customHeight="1" x14ac:dyDescent="0.25"/>
    <row r="1722" ht="11.25" hidden="1" customHeight="1" x14ac:dyDescent="0.25"/>
    <row r="1723" ht="11.25" hidden="1" customHeight="1" x14ac:dyDescent="0.25"/>
    <row r="1724" ht="11.25" hidden="1" customHeight="1" x14ac:dyDescent="0.25"/>
    <row r="1725" ht="11.25" hidden="1" customHeight="1" x14ac:dyDescent="0.25"/>
    <row r="1726" ht="11.25" hidden="1" customHeight="1" x14ac:dyDescent="0.25"/>
    <row r="1727" ht="11.25" hidden="1" customHeight="1" x14ac:dyDescent="0.25"/>
    <row r="1728" ht="11.25" hidden="1" customHeight="1" x14ac:dyDescent="0.25"/>
    <row r="1729" ht="11.25" hidden="1" customHeight="1" x14ac:dyDescent="0.25"/>
    <row r="1730" ht="11.25" hidden="1" customHeight="1" x14ac:dyDescent="0.25"/>
    <row r="1731" ht="11.25" hidden="1" customHeight="1" x14ac:dyDescent="0.25"/>
    <row r="1732" ht="11.25" hidden="1" customHeight="1" x14ac:dyDescent="0.25"/>
    <row r="1733" ht="11.25" hidden="1" customHeight="1" x14ac:dyDescent="0.25"/>
    <row r="1734" ht="11.25" hidden="1" customHeight="1" x14ac:dyDescent="0.25"/>
    <row r="1735" ht="11.25" hidden="1" customHeight="1" x14ac:dyDescent="0.25"/>
    <row r="1736" ht="11.25" hidden="1" customHeight="1" x14ac:dyDescent="0.25"/>
    <row r="1737" ht="11.25" hidden="1" customHeight="1" x14ac:dyDescent="0.25"/>
    <row r="1738" ht="11.25" hidden="1" customHeight="1" x14ac:dyDescent="0.25"/>
    <row r="1739" ht="11.25" hidden="1" customHeight="1" x14ac:dyDescent="0.25"/>
    <row r="1740" ht="11.25" hidden="1" customHeight="1" x14ac:dyDescent="0.25"/>
    <row r="1741" ht="11.25" hidden="1" customHeight="1" x14ac:dyDescent="0.25"/>
    <row r="1742" ht="11.25" hidden="1" customHeight="1" x14ac:dyDescent="0.25"/>
    <row r="1743" ht="11.25" hidden="1" customHeight="1" x14ac:dyDescent="0.25"/>
    <row r="1744" ht="11.25" hidden="1" customHeight="1" x14ac:dyDescent="0.25"/>
    <row r="1745" ht="11.25" hidden="1" customHeight="1" x14ac:dyDescent="0.25"/>
    <row r="1746" ht="11.25" hidden="1" customHeight="1" x14ac:dyDescent="0.25"/>
    <row r="1747" ht="11.25" hidden="1" customHeight="1" x14ac:dyDescent="0.25"/>
    <row r="1748" ht="11.25" hidden="1" customHeight="1" x14ac:dyDescent="0.25"/>
    <row r="1749" ht="11.25" hidden="1" customHeight="1" x14ac:dyDescent="0.25"/>
    <row r="1750" ht="11.25" hidden="1" customHeight="1" x14ac:dyDescent="0.25"/>
    <row r="1751" ht="11.25" hidden="1" customHeight="1" x14ac:dyDescent="0.25"/>
    <row r="1752" ht="11.25" hidden="1" customHeight="1" x14ac:dyDescent="0.25"/>
    <row r="1753" ht="11.25" hidden="1" customHeight="1" x14ac:dyDescent="0.25"/>
    <row r="1754" ht="11.25" hidden="1" customHeight="1" x14ac:dyDescent="0.25"/>
    <row r="1755" ht="11.25" hidden="1" customHeight="1" x14ac:dyDescent="0.25"/>
    <row r="1756" ht="11.25" hidden="1" customHeight="1" x14ac:dyDescent="0.25"/>
    <row r="1757" ht="11.25" hidden="1" customHeight="1" x14ac:dyDescent="0.25"/>
    <row r="1758" ht="11.25" hidden="1" customHeight="1" x14ac:dyDescent="0.25"/>
    <row r="1759" ht="11.25" hidden="1" customHeight="1" x14ac:dyDescent="0.25"/>
    <row r="1760" ht="11.25" hidden="1" customHeight="1" x14ac:dyDescent="0.25"/>
    <row r="1761" ht="11.25" hidden="1" customHeight="1" x14ac:dyDescent="0.25"/>
    <row r="1762" ht="11.25" hidden="1" customHeight="1" x14ac:dyDescent="0.25"/>
    <row r="1763" ht="11.25" hidden="1" customHeight="1" x14ac:dyDescent="0.25"/>
    <row r="1764" ht="11.25" hidden="1" customHeight="1" x14ac:dyDescent="0.25"/>
    <row r="1765" ht="11.25" hidden="1" customHeight="1" x14ac:dyDescent="0.25"/>
    <row r="1766" ht="11.25" hidden="1" customHeight="1" x14ac:dyDescent="0.25"/>
    <row r="1767" ht="11.25" hidden="1" customHeight="1" x14ac:dyDescent="0.25"/>
    <row r="1768" ht="11.25" hidden="1" customHeight="1" x14ac:dyDescent="0.25"/>
    <row r="1769" ht="11.25" hidden="1" customHeight="1" x14ac:dyDescent="0.25"/>
    <row r="1770" ht="11.25" hidden="1" customHeight="1" x14ac:dyDescent="0.25"/>
    <row r="1771" ht="11.25" hidden="1" customHeight="1" x14ac:dyDescent="0.25"/>
    <row r="1772" ht="11.25" hidden="1" customHeight="1" x14ac:dyDescent="0.25"/>
    <row r="1773" ht="11.25" hidden="1" customHeight="1" x14ac:dyDescent="0.25"/>
    <row r="1774" ht="11.25" hidden="1" customHeight="1" x14ac:dyDescent="0.25"/>
    <row r="1775" ht="11.25" hidden="1" customHeight="1" x14ac:dyDescent="0.25"/>
    <row r="1776" ht="11.25" hidden="1" customHeight="1" x14ac:dyDescent="0.25"/>
    <row r="1777" ht="11.25" hidden="1" customHeight="1" x14ac:dyDescent="0.25"/>
    <row r="1778" ht="11.25" hidden="1" customHeight="1" x14ac:dyDescent="0.25"/>
    <row r="1779" ht="11.25" hidden="1" customHeight="1" x14ac:dyDescent="0.25"/>
    <row r="1780" ht="11.25" hidden="1" customHeight="1" x14ac:dyDescent="0.25"/>
    <row r="1781" ht="11.25" hidden="1" customHeight="1" x14ac:dyDescent="0.25"/>
    <row r="1782" ht="11.25" hidden="1" customHeight="1" x14ac:dyDescent="0.25"/>
    <row r="1783" ht="11.25" hidden="1" customHeight="1" x14ac:dyDescent="0.25"/>
    <row r="1784" ht="11.25" hidden="1" customHeight="1" x14ac:dyDescent="0.25"/>
    <row r="1785" ht="11.25" hidden="1" customHeight="1" x14ac:dyDescent="0.25"/>
    <row r="1786" ht="11.25" hidden="1" customHeight="1" x14ac:dyDescent="0.25"/>
    <row r="1787" ht="11.25" hidden="1" customHeight="1" x14ac:dyDescent="0.25"/>
    <row r="1788" ht="11.25" hidden="1" customHeight="1" x14ac:dyDescent="0.25"/>
    <row r="1789" ht="11.25" hidden="1" customHeight="1" x14ac:dyDescent="0.25"/>
    <row r="1790" ht="11.25" hidden="1" customHeight="1" x14ac:dyDescent="0.25"/>
    <row r="1791" ht="11.25" hidden="1" customHeight="1" x14ac:dyDescent="0.25"/>
    <row r="1792" ht="11.25" hidden="1" customHeight="1" x14ac:dyDescent="0.25"/>
    <row r="1793" ht="11.25" hidden="1" customHeight="1" x14ac:dyDescent="0.25"/>
    <row r="1794" ht="11.25" hidden="1" customHeight="1" x14ac:dyDescent="0.25"/>
    <row r="1795" ht="11.25" hidden="1" customHeight="1" x14ac:dyDescent="0.25"/>
    <row r="1796" ht="11.25" hidden="1" customHeight="1" x14ac:dyDescent="0.25"/>
    <row r="1797" ht="11.25" hidden="1" customHeight="1" x14ac:dyDescent="0.25"/>
    <row r="1798" ht="11.25" hidden="1" customHeight="1" x14ac:dyDescent="0.25"/>
    <row r="1799" ht="11.25" hidden="1" customHeight="1" x14ac:dyDescent="0.25"/>
    <row r="1800" ht="11.25" hidden="1" customHeight="1" x14ac:dyDescent="0.25"/>
    <row r="1801" ht="11.25" hidden="1" customHeight="1" x14ac:dyDescent="0.25"/>
    <row r="1802" ht="11.25" hidden="1" customHeight="1" x14ac:dyDescent="0.25"/>
    <row r="1803" ht="11.25" hidden="1" customHeight="1" x14ac:dyDescent="0.25"/>
    <row r="1804" ht="11.25" hidden="1" customHeight="1" x14ac:dyDescent="0.25"/>
    <row r="1805" ht="11.25" hidden="1" customHeight="1" x14ac:dyDescent="0.25"/>
    <row r="1806" ht="11.25" hidden="1" customHeight="1" x14ac:dyDescent="0.25"/>
    <row r="1807" ht="11.25" hidden="1" customHeight="1" x14ac:dyDescent="0.25"/>
    <row r="1808" ht="11.25" hidden="1" customHeight="1" x14ac:dyDescent="0.25"/>
    <row r="1809" ht="11.25" hidden="1" customHeight="1" x14ac:dyDescent="0.25"/>
    <row r="1810" ht="11.25" hidden="1" customHeight="1" x14ac:dyDescent="0.25"/>
    <row r="1811" ht="11.25" hidden="1" customHeight="1" x14ac:dyDescent="0.25"/>
    <row r="1812" ht="11.25" hidden="1" customHeight="1" x14ac:dyDescent="0.25"/>
    <row r="1813" ht="11.25" hidden="1" customHeight="1" x14ac:dyDescent="0.25"/>
    <row r="1814" ht="11.25" hidden="1" customHeight="1" x14ac:dyDescent="0.25"/>
    <row r="1815" ht="11.25" hidden="1" customHeight="1" x14ac:dyDescent="0.25"/>
    <row r="1816" ht="11.25" hidden="1" customHeight="1" x14ac:dyDescent="0.25"/>
    <row r="1817" ht="11.25" hidden="1" customHeight="1" x14ac:dyDescent="0.25"/>
    <row r="1818" ht="11.25" hidden="1" customHeight="1" x14ac:dyDescent="0.25"/>
    <row r="1819" ht="11.25" hidden="1" customHeight="1" x14ac:dyDescent="0.25"/>
    <row r="1820" ht="11.25" hidden="1" customHeight="1" x14ac:dyDescent="0.25"/>
    <row r="1821" ht="11.25" hidden="1" customHeight="1" x14ac:dyDescent="0.25"/>
    <row r="1822" ht="11.25" hidden="1" customHeight="1" x14ac:dyDescent="0.25"/>
    <row r="1823" ht="11.25" hidden="1" customHeight="1" x14ac:dyDescent="0.25"/>
    <row r="1824" ht="11.25" hidden="1" customHeight="1" x14ac:dyDescent="0.25"/>
    <row r="1825" ht="11.25" hidden="1" customHeight="1" x14ac:dyDescent="0.25"/>
    <row r="1826" ht="11.25" hidden="1" customHeight="1" x14ac:dyDescent="0.25"/>
    <row r="1827" ht="11.25" hidden="1" customHeight="1" x14ac:dyDescent="0.25"/>
    <row r="1828" ht="11.25" hidden="1" customHeight="1" x14ac:dyDescent="0.25"/>
    <row r="1829" ht="11.25" hidden="1" customHeight="1" x14ac:dyDescent="0.25"/>
    <row r="1830" ht="11.25" hidden="1" customHeight="1" x14ac:dyDescent="0.25"/>
    <row r="1831" ht="11.25" hidden="1" customHeight="1" x14ac:dyDescent="0.25"/>
    <row r="1832" ht="11.25" hidden="1" customHeight="1" x14ac:dyDescent="0.25"/>
    <row r="1833" ht="11.25" hidden="1" customHeight="1" x14ac:dyDescent="0.25"/>
    <row r="1834" ht="11.25" hidden="1" customHeight="1" x14ac:dyDescent="0.25"/>
    <row r="1835" ht="11.25" hidden="1" customHeight="1" x14ac:dyDescent="0.25"/>
    <row r="1836" ht="11.25" hidden="1" customHeight="1" x14ac:dyDescent="0.25"/>
    <row r="1837" ht="11.25" hidden="1" customHeight="1" x14ac:dyDescent="0.25"/>
    <row r="1838" ht="11.25" hidden="1" customHeight="1" x14ac:dyDescent="0.25"/>
    <row r="1839" ht="11.25" hidden="1" customHeight="1" x14ac:dyDescent="0.25"/>
    <row r="1840" ht="11.25" hidden="1" customHeight="1" x14ac:dyDescent="0.25"/>
    <row r="1841" ht="11.25" hidden="1" customHeight="1" x14ac:dyDescent="0.25"/>
    <row r="1842" ht="11.25" hidden="1" customHeight="1" x14ac:dyDescent="0.25"/>
    <row r="1843" ht="11.25" hidden="1" customHeight="1" x14ac:dyDescent="0.25"/>
    <row r="1844" ht="11.25" hidden="1" customHeight="1" x14ac:dyDescent="0.25"/>
    <row r="1845" ht="11.25" hidden="1" customHeight="1" x14ac:dyDescent="0.25"/>
    <row r="1846" ht="11.25" hidden="1" customHeight="1" x14ac:dyDescent="0.25"/>
    <row r="1847" ht="11.25" hidden="1" customHeight="1" x14ac:dyDescent="0.25"/>
    <row r="1848" ht="11.25" hidden="1" customHeight="1" x14ac:dyDescent="0.25"/>
    <row r="1849" ht="11.25" hidden="1" customHeight="1" x14ac:dyDescent="0.25"/>
    <row r="1850" ht="11.25" hidden="1" customHeight="1" x14ac:dyDescent="0.25"/>
    <row r="1851" ht="11.25" hidden="1" customHeight="1" x14ac:dyDescent="0.25"/>
    <row r="1852" ht="11.25" hidden="1" customHeight="1" x14ac:dyDescent="0.25"/>
    <row r="1853" ht="11.25" hidden="1" customHeight="1" x14ac:dyDescent="0.25"/>
    <row r="1854" ht="11.25" hidden="1" customHeight="1" x14ac:dyDescent="0.25"/>
    <row r="1855" ht="11.25" hidden="1" customHeight="1" x14ac:dyDescent="0.25"/>
    <row r="1856" ht="11.25" hidden="1" customHeight="1" x14ac:dyDescent="0.25"/>
    <row r="1857" ht="11.25" hidden="1" customHeight="1" x14ac:dyDescent="0.25"/>
    <row r="1858" ht="11.25" hidden="1" customHeight="1" x14ac:dyDescent="0.25"/>
    <row r="1859" ht="11.25" hidden="1" customHeight="1" x14ac:dyDescent="0.25"/>
    <row r="1860" ht="11.25" hidden="1" customHeight="1" x14ac:dyDescent="0.25"/>
    <row r="1861" ht="11.25" hidden="1" customHeight="1" x14ac:dyDescent="0.25"/>
    <row r="1862" ht="11.25" hidden="1" customHeight="1" x14ac:dyDescent="0.25"/>
    <row r="1863" ht="11.25" hidden="1" customHeight="1" x14ac:dyDescent="0.25"/>
    <row r="1864" ht="11.25" hidden="1" customHeight="1" x14ac:dyDescent="0.25"/>
    <row r="1865" ht="11.25" hidden="1" customHeight="1" x14ac:dyDescent="0.25"/>
    <row r="1866" ht="11.25" hidden="1" customHeight="1" x14ac:dyDescent="0.25"/>
    <row r="1867" ht="11.25" hidden="1" customHeight="1" x14ac:dyDescent="0.25"/>
    <row r="1868" ht="11.25" hidden="1" customHeight="1" x14ac:dyDescent="0.25"/>
    <row r="1869" ht="11.25" hidden="1" customHeight="1" x14ac:dyDescent="0.25"/>
    <row r="1870" ht="11.25" hidden="1" customHeight="1" x14ac:dyDescent="0.25"/>
    <row r="1871" ht="11.25" hidden="1" customHeight="1" x14ac:dyDescent="0.25"/>
    <row r="1872" ht="11.25" hidden="1" customHeight="1" x14ac:dyDescent="0.25"/>
    <row r="1873" ht="11.25" hidden="1" customHeight="1" x14ac:dyDescent="0.25"/>
    <row r="1874" ht="11.25" hidden="1" customHeight="1" x14ac:dyDescent="0.25"/>
    <row r="1875" ht="11.25" hidden="1" customHeight="1" x14ac:dyDescent="0.25"/>
    <row r="1876" ht="11.25" hidden="1" customHeight="1" x14ac:dyDescent="0.25"/>
    <row r="1877" ht="11.25" hidden="1" customHeight="1" x14ac:dyDescent="0.25"/>
    <row r="1878" ht="11.25" hidden="1" customHeight="1" x14ac:dyDescent="0.25"/>
    <row r="1879" ht="11.25" hidden="1" customHeight="1" x14ac:dyDescent="0.25"/>
    <row r="1880" ht="11.25" hidden="1" customHeight="1" x14ac:dyDescent="0.25"/>
    <row r="1881" ht="11.25" hidden="1" customHeight="1" x14ac:dyDescent="0.25"/>
    <row r="1882" ht="11.25" hidden="1" customHeight="1" x14ac:dyDescent="0.25"/>
    <row r="1883" ht="11.25" hidden="1" customHeight="1" x14ac:dyDescent="0.25"/>
    <row r="1884" ht="11.25" hidden="1" customHeight="1" x14ac:dyDescent="0.25"/>
    <row r="1885" ht="11.25" hidden="1" customHeight="1" x14ac:dyDescent="0.25"/>
    <row r="1886" ht="11.25" hidden="1" customHeight="1" x14ac:dyDescent="0.25"/>
    <row r="1887" ht="11.25" hidden="1" customHeight="1" x14ac:dyDescent="0.25"/>
    <row r="1888" ht="11.25" hidden="1" customHeight="1" x14ac:dyDescent="0.25"/>
    <row r="1889" ht="11.25" hidden="1" customHeight="1" x14ac:dyDescent="0.25"/>
    <row r="1890" ht="11.25" hidden="1" customHeight="1" x14ac:dyDescent="0.25"/>
    <row r="1891" ht="11.25" hidden="1" customHeight="1" x14ac:dyDescent="0.25"/>
    <row r="1892" ht="11.25" hidden="1" customHeight="1" x14ac:dyDescent="0.25"/>
    <row r="1893" ht="11.25" hidden="1" customHeight="1" x14ac:dyDescent="0.25"/>
    <row r="1894" ht="11.25" hidden="1" customHeight="1" x14ac:dyDescent="0.25"/>
    <row r="1895" ht="11.25" hidden="1" customHeight="1" x14ac:dyDescent="0.25"/>
    <row r="1896" ht="11.25" hidden="1" customHeight="1" x14ac:dyDescent="0.25"/>
    <row r="1897" ht="11.25" hidden="1" customHeight="1" x14ac:dyDescent="0.25"/>
    <row r="1898" ht="11.25" hidden="1" customHeight="1" x14ac:dyDescent="0.25"/>
    <row r="1899" ht="11.25" hidden="1" customHeight="1" x14ac:dyDescent="0.25"/>
    <row r="1900" ht="11.25" hidden="1" customHeight="1" x14ac:dyDescent="0.25"/>
    <row r="1901" ht="11.25" hidden="1" customHeight="1" x14ac:dyDescent="0.25"/>
    <row r="1902" ht="11.25" hidden="1" customHeight="1" x14ac:dyDescent="0.25"/>
    <row r="1903" ht="11.25" hidden="1" customHeight="1" x14ac:dyDescent="0.25"/>
    <row r="1904" ht="11.25" hidden="1" customHeight="1" x14ac:dyDescent="0.25"/>
    <row r="1905" ht="11.25" hidden="1" customHeight="1" x14ac:dyDescent="0.25"/>
    <row r="1906" ht="11.25" hidden="1" customHeight="1" x14ac:dyDescent="0.25"/>
    <row r="1907" ht="11.25" hidden="1" customHeight="1" x14ac:dyDescent="0.25"/>
    <row r="1908" ht="11.25" hidden="1" customHeight="1" x14ac:dyDescent="0.25"/>
    <row r="1909" ht="11.25" hidden="1" customHeight="1" x14ac:dyDescent="0.25"/>
    <row r="1910" ht="11.25" hidden="1" customHeight="1" x14ac:dyDescent="0.25"/>
    <row r="1911" ht="11.25" hidden="1" customHeight="1" x14ac:dyDescent="0.25"/>
    <row r="1912" ht="11.25" hidden="1" customHeight="1" x14ac:dyDescent="0.25"/>
    <row r="1913" ht="11.25" hidden="1" customHeight="1" x14ac:dyDescent="0.25"/>
    <row r="1914" ht="11.25" hidden="1" customHeight="1" x14ac:dyDescent="0.25"/>
    <row r="1915" ht="11.25" hidden="1" customHeight="1" x14ac:dyDescent="0.25"/>
    <row r="1916" ht="11.25" hidden="1" customHeight="1" x14ac:dyDescent="0.25"/>
    <row r="1917" ht="11.25" hidden="1" customHeight="1" x14ac:dyDescent="0.25"/>
    <row r="1918" ht="11.25" hidden="1" customHeight="1" x14ac:dyDescent="0.25"/>
    <row r="1919" ht="11.25" hidden="1" customHeight="1" x14ac:dyDescent="0.25"/>
    <row r="1920" ht="11.25" hidden="1" customHeight="1" x14ac:dyDescent="0.25"/>
    <row r="1921" ht="11.25" hidden="1" customHeight="1" x14ac:dyDescent="0.25"/>
    <row r="1922" ht="11.25" hidden="1" customHeight="1" x14ac:dyDescent="0.25"/>
    <row r="1923" ht="11.25" hidden="1" customHeight="1" x14ac:dyDescent="0.25"/>
    <row r="1924" ht="11.25" hidden="1" customHeight="1" x14ac:dyDescent="0.25"/>
    <row r="1925" ht="11.25" hidden="1" customHeight="1" x14ac:dyDescent="0.25"/>
    <row r="1926" ht="11.25" hidden="1" customHeight="1" x14ac:dyDescent="0.25"/>
    <row r="1927" ht="11.25" hidden="1" customHeight="1" x14ac:dyDescent="0.25"/>
    <row r="1928" ht="11.25" hidden="1" customHeight="1" x14ac:dyDescent="0.25"/>
    <row r="1929" ht="11.25" hidden="1" customHeight="1" x14ac:dyDescent="0.25"/>
    <row r="1930" ht="11.25" hidden="1" customHeight="1" x14ac:dyDescent="0.25"/>
    <row r="1931" ht="11.25" hidden="1" customHeight="1" x14ac:dyDescent="0.25"/>
    <row r="1932" ht="11.25" hidden="1" customHeight="1" x14ac:dyDescent="0.25"/>
    <row r="1933" ht="11.25" hidden="1" customHeight="1" x14ac:dyDescent="0.25"/>
    <row r="1934" ht="11.25" hidden="1" customHeight="1" x14ac:dyDescent="0.25"/>
    <row r="1935" ht="11.25" hidden="1" customHeight="1" x14ac:dyDescent="0.25"/>
    <row r="1936" ht="11.25" hidden="1" customHeight="1" x14ac:dyDescent="0.25"/>
    <row r="1937" ht="11.25" hidden="1" customHeight="1" x14ac:dyDescent="0.25"/>
    <row r="1938" ht="11.25" hidden="1" customHeight="1" x14ac:dyDescent="0.25"/>
    <row r="1939" ht="11.25" hidden="1" customHeight="1" x14ac:dyDescent="0.25"/>
    <row r="1940" ht="11.25" hidden="1" customHeight="1" x14ac:dyDescent="0.25"/>
    <row r="1941" ht="11.25" hidden="1" customHeight="1" x14ac:dyDescent="0.25"/>
    <row r="1942" ht="11.25" hidden="1" customHeight="1" x14ac:dyDescent="0.25"/>
    <row r="1943" ht="11.25" hidden="1" customHeight="1" x14ac:dyDescent="0.25"/>
    <row r="1944" ht="11.25" hidden="1" customHeight="1" x14ac:dyDescent="0.25"/>
    <row r="1945" ht="11.25" hidden="1" customHeight="1" x14ac:dyDescent="0.25"/>
    <row r="1946" ht="11.25" hidden="1" customHeight="1" x14ac:dyDescent="0.25"/>
    <row r="1947" ht="11.25" hidden="1" customHeight="1" x14ac:dyDescent="0.25"/>
    <row r="1948" ht="11.25" hidden="1" customHeight="1" x14ac:dyDescent="0.25"/>
    <row r="1949" ht="11.25" hidden="1" customHeight="1" x14ac:dyDescent="0.25"/>
    <row r="1950" ht="11.25" hidden="1" customHeight="1" x14ac:dyDescent="0.25"/>
    <row r="1951" ht="11.25" hidden="1" customHeight="1" x14ac:dyDescent="0.25"/>
    <row r="1952" ht="11.25" hidden="1" customHeight="1" x14ac:dyDescent="0.25"/>
    <row r="1953" ht="11.25" hidden="1" customHeight="1" x14ac:dyDescent="0.25"/>
    <row r="1954" ht="11.25" hidden="1" customHeight="1" x14ac:dyDescent="0.25"/>
    <row r="1955" ht="11.25" hidden="1" customHeight="1" x14ac:dyDescent="0.25"/>
    <row r="1956" ht="11.25" hidden="1" customHeight="1" x14ac:dyDescent="0.25"/>
    <row r="1957" ht="11.25" hidden="1" customHeight="1" x14ac:dyDescent="0.25"/>
    <row r="1958" ht="11.25" hidden="1" customHeight="1" x14ac:dyDescent="0.25"/>
    <row r="1959" ht="11.25" hidden="1" customHeight="1" x14ac:dyDescent="0.25"/>
    <row r="1960" ht="11.25" hidden="1" customHeight="1" x14ac:dyDescent="0.25"/>
    <row r="1961" ht="11.25" hidden="1" customHeight="1" x14ac:dyDescent="0.25"/>
    <row r="1962" ht="11.25" hidden="1" customHeight="1" x14ac:dyDescent="0.25"/>
    <row r="1963" ht="11.25" hidden="1" customHeight="1" x14ac:dyDescent="0.25"/>
    <row r="1964" ht="11.25" hidden="1" customHeight="1" x14ac:dyDescent="0.25"/>
    <row r="1965" ht="11.25" hidden="1" customHeight="1" x14ac:dyDescent="0.25"/>
    <row r="1966" ht="11.25" hidden="1" customHeight="1" x14ac:dyDescent="0.25"/>
    <row r="1967" ht="11.25" hidden="1" customHeight="1" x14ac:dyDescent="0.25"/>
    <row r="1968" ht="11.25" hidden="1" customHeight="1" x14ac:dyDescent="0.25"/>
    <row r="1969" ht="11.25" hidden="1" customHeight="1" x14ac:dyDescent="0.25"/>
    <row r="1970" ht="11.25" hidden="1" customHeight="1" x14ac:dyDescent="0.25"/>
    <row r="1971" ht="11.25" hidden="1" customHeight="1" x14ac:dyDescent="0.25"/>
    <row r="1972" ht="11.25" hidden="1" customHeight="1" x14ac:dyDescent="0.25"/>
    <row r="1973" ht="11.25" hidden="1" customHeight="1" x14ac:dyDescent="0.25"/>
    <row r="1974" ht="11.25" hidden="1" customHeight="1" x14ac:dyDescent="0.25"/>
    <row r="1975" ht="11.25" hidden="1" customHeight="1" x14ac:dyDescent="0.25"/>
    <row r="1976" ht="11.25" hidden="1" customHeight="1" x14ac:dyDescent="0.25"/>
    <row r="1977" ht="11.25" hidden="1" customHeight="1" x14ac:dyDescent="0.25"/>
    <row r="1978" ht="11.25" hidden="1" customHeight="1" x14ac:dyDescent="0.25"/>
    <row r="1979" ht="11.25" hidden="1" customHeight="1" x14ac:dyDescent="0.25"/>
    <row r="1980" ht="11.25" hidden="1" customHeight="1" x14ac:dyDescent="0.25"/>
    <row r="1981" ht="11.25" hidden="1" customHeight="1" x14ac:dyDescent="0.25"/>
    <row r="1982" ht="11.25" hidden="1" customHeight="1" x14ac:dyDescent="0.25"/>
    <row r="1983" ht="11.25" hidden="1" customHeight="1" x14ac:dyDescent="0.25"/>
    <row r="1984" ht="11.25" hidden="1" customHeight="1" x14ac:dyDescent="0.25"/>
    <row r="1985" ht="11.25" hidden="1" customHeight="1" x14ac:dyDescent="0.25"/>
    <row r="1986" ht="11.25" hidden="1" customHeight="1" x14ac:dyDescent="0.25"/>
    <row r="1987" ht="11.25" hidden="1" customHeight="1" x14ac:dyDescent="0.25"/>
    <row r="1988" ht="11.25" hidden="1" customHeight="1" x14ac:dyDescent="0.25"/>
    <row r="1989" ht="11.25" hidden="1" customHeight="1" x14ac:dyDescent="0.25"/>
    <row r="1990" ht="11.25" hidden="1" customHeight="1" x14ac:dyDescent="0.25"/>
    <row r="1991" ht="11.25" hidden="1" customHeight="1" x14ac:dyDescent="0.25"/>
    <row r="1992" ht="11.25" hidden="1" customHeight="1" x14ac:dyDescent="0.25"/>
    <row r="1993" ht="11.25" hidden="1" customHeight="1" x14ac:dyDescent="0.25"/>
    <row r="1994" ht="11.25" hidden="1" customHeight="1" x14ac:dyDescent="0.25"/>
    <row r="1995" ht="11.25" hidden="1" customHeight="1" x14ac:dyDescent="0.25"/>
    <row r="1996" ht="11.25" hidden="1" customHeight="1" x14ac:dyDescent="0.25"/>
    <row r="1997" ht="11.25" hidden="1" customHeight="1" x14ac:dyDescent="0.25"/>
    <row r="1998" ht="11.25" hidden="1" customHeight="1" x14ac:dyDescent="0.25"/>
    <row r="1999" ht="11.25" hidden="1" customHeight="1" x14ac:dyDescent="0.25"/>
    <row r="2000" ht="11.25" hidden="1" customHeight="1" x14ac:dyDescent="0.25"/>
    <row r="2001" ht="11.25" hidden="1" customHeight="1" x14ac:dyDescent="0.25"/>
    <row r="2002" ht="11.25" hidden="1" customHeight="1" x14ac:dyDescent="0.25"/>
    <row r="2003" ht="11.25" hidden="1" customHeight="1" x14ac:dyDescent="0.25"/>
    <row r="2004" ht="11.25" hidden="1" customHeight="1" x14ac:dyDescent="0.25"/>
    <row r="2005" ht="11.25" hidden="1" customHeight="1" x14ac:dyDescent="0.25"/>
    <row r="2006" ht="11.25" hidden="1" customHeight="1" x14ac:dyDescent="0.25"/>
    <row r="2007" ht="11.25" hidden="1" customHeight="1" x14ac:dyDescent="0.25"/>
    <row r="2008" ht="11.25" hidden="1" customHeight="1" x14ac:dyDescent="0.25"/>
    <row r="2009" ht="11.25" hidden="1" customHeight="1" x14ac:dyDescent="0.25"/>
    <row r="2010" ht="11.25" hidden="1" customHeight="1" x14ac:dyDescent="0.25"/>
    <row r="2011" ht="11.25" hidden="1" customHeight="1" x14ac:dyDescent="0.25"/>
    <row r="2012" ht="11.25" hidden="1" customHeight="1" x14ac:dyDescent="0.25"/>
    <row r="2013" ht="11.25" hidden="1" customHeight="1" x14ac:dyDescent="0.25"/>
    <row r="2014" ht="11.25" hidden="1" customHeight="1" x14ac:dyDescent="0.25"/>
    <row r="2015" ht="11.25" hidden="1" customHeight="1" x14ac:dyDescent="0.25"/>
    <row r="2016" ht="11.25" hidden="1" customHeight="1" x14ac:dyDescent="0.25"/>
    <row r="2017" ht="11.25" hidden="1" customHeight="1" x14ac:dyDescent="0.25"/>
    <row r="2018" ht="11.25" hidden="1" customHeight="1" x14ac:dyDescent="0.25"/>
    <row r="2019" ht="11.25" hidden="1" customHeight="1" x14ac:dyDescent="0.25"/>
    <row r="2020" ht="11.25" hidden="1" customHeight="1" x14ac:dyDescent="0.25"/>
    <row r="2021" ht="11.25" hidden="1" customHeight="1" x14ac:dyDescent="0.25"/>
    <row r="2022" ht="11.25" hidden="1" customHeight="1" x14ac:dyDescent="0.25"/>
    <row r="2023" ht="11.25" hidden="1" customHeight="1" x14ac:dyDescent="0.25"/>
    <row r="2024" ht="11.25" hidden="1" customHeight="1" x14ac:dyDescent="0.25"/>
    <row r="2025" ht="11.25" hidden="1" customHeight="1" x14ac:dyDescent="0.25"/>
    <row r="2026" ht="11.25" hidden="1" customHeight="1" x14ac:dyDescent="0.25"/>
    <row r="2027" ht="11.25" hidden="1" customHeight="1" x14ac:dyDescent="0.25"/>
    <row r="2028" ht="11.25" hidden="1" customHeight="1" x14ac:dyDescent="0.25"/>
    <row r="2029" ht="11.25" hidden="1" customHeight="1" x14ac:dyDescent="0.25"/>
    <row r="2030" ht="11.25" hidden="1" customHeight="1" x14ac:dyDescent="0.25"/>
    <row r="2031" ht="11.25" hidden="1" customHeight="1" x14ac:dyDescent="0.25"/>
    <row r="2032" ht="11.25" hidden="1" customHeight="1" x14ac:dyDescent="0.25"/>
    <row r="2033" ht="11.25" hidden="1" customHeight="1" x14ac:dyDescent="0.25"/>
    <row r="2034" ht="11.25" hidden="1" customHeight="1" x14ac:dyDescent="0.25"/>
    <row r="2035" ht="11.25" hidden="1" customHeight="1" x14ac:dyDescent="0.25"/>
    <row r="2036" ht="11.25" hidden="1" customHeight="1" x14ac:dyDescent="0.25"/>
    <row r="2037" ht="11.25" hidden="1" customHeight="1" x14ac:dyDescent="0.25"/>
    <row r="2038" ht="11.25" hidden="1" customHeight="1" x14ac:dyDescent="0.25"/>
    <row r="2039" ht="11.25" hidden="1" customHeight="1" x14ac:dyDescent="0.25"/>
    <row r="2040" ht="11.25" hidden="1" customHeight="1" x14ac:dyDescent="0.25"/>
    <row r="2041" ht="11.25" hidden="1" customHeight="1" x14ac:dyDescent="0.25"/>
    <row r="2042" ht="11.25" hidden="1" customHeight="1" x14ac:dyDescent="0.25"/>
    <row r="2043" ht="11.25" hidden="1" customHeight="1" x14ac:dyDescent="0.25"/>
    <row r="2044" ht="11.25" hidden="1" customHeight="1" x14ac:dyDescent="0.25"/>
    <row r="2045" ht="11.25" hidden="1" customHeight="1" x14ac:dyDescent="0.25"/>
    <row r="2046" ht="11.25" hidden="1" customHeight="1" x14ac:dyDescent="0.25"/>
    <row r="2047" ht="11.25" hidden="1" customHeight="1" x14ac:dyDescent="0.25"/>
    <row r="2048" ht="11.25" hidden="1" customHeight="1" x14ac:dyDescent="0.25"/>
    <row r="2049" ht="11.25" hidden="1" customHeight="1" x14ac:dyDescent="0.25"/>
    <row r="2050" ht="11.25" hidden="1" customHeight="1" x14ac:dyDescent="0.25"/>
    <row r="2051" ht="11.25" hidden="1" customHeight="1" x14ac:dyDescent="0.25"/>
    <row r="2052" ht="11.25" hidden="1" customHeight="1" x14ac:dyDescent="0.25"/>
    <row r="2053" ht="11.25" hidden="1" customHeight="1" x14ac:dyDescent="0.25"/>
    <row r="2054" ht="11.25" hidden="1" customHeight="1" x14ac:dyDescent="0.25"/>
    <row r="2055" ht="11.25" hidden="1" customHeight="1" x14ac:dyDescent="0.25"/>
    <row r="2056" ht="11.25" hidden="1" customHeight="1" x14ac:dyDescent="0.25"/>
    <row r="2057" ht="11.25" hidden="1" customHeight="1" x14ac:dyDescent="0.25"/>
    <row r="2058" ht="11.25" hidden="1" customHeight="1" x14ac:dyDescent="0.25"/>
    <row r="2059" ht="11.25" hidden="1" customHeight="1" x14ac:dyDescent="0.25"/>
    <row r="2060" ht="11.25" hidden="1" customHeight="1" x14ac:dyDescent="0.25"/>
    <row r="2061" ht="11.25" hidden="1" customHeight="1" x14ac:dyDescent="0.25"/>
    <row r="2062" ht="11.25" hidden="1" customHeight="1" x14ac:dyDescent="0.25"/>
    <row r="2063" ht="11.25" hidden="1" customHeight="1" x14ac:dyDescent="0.25"/>
    <row r="2064" ht="11.25" hidden="1" customHeight="1" x14ac:dyDescent="0.25"/>
    <row r="2065" ht="11.25" hidden="1" customHeight="1" x14ac:dyDescent="0.25"/>
    <row r="2066" ht="11.25" hidden="1" customHeight="1" x14ac:dyDescent="0.25"/>
    <row r="2067" ht="11.25" hidden="1" customHeight="1" x14ac:dyDescent="0.25"/>
    <row r="2068" ht="11.25" hidden="1" customHeight="1" x14ac:dyDescent="0.25"/>
    <row r="2069" ht="11.25" hidden="1" customHeight="1" x14ac:dyDescent="0.25"/>
    <row r="2070" ht="11.25" hidden="1" customHeight="1" x14ac:dyDescent="0.25"/>
    <row r="2071" ht="11.25" hidden="1" customHeight="1" x14ac:dyDescent="0.25"/>
    <row r="2072" ht="11.25" hidden="1" customHeight="1" x14ac:dyDescent="0.25"/>
    <row r="2073" ht="11.25" hidden="1" customHeight="1" x14ac:dyDescent="0.25"/>
    <row r="2074" ht="11.25" hidden="1" customHeight="1" x14ac:dyDescent="0.25"/>
    <row r="2075" ht="11.25" hidden="1" customHeight="1" x14ac:dyDescent="0.25"/>
    <row r="2076" ht="11.25" hidden="1" customHeight="1" x14ac:dyDescent="0.25"/>
    <row r="2077" ht="11.25" hidden="1" customHeight="1" x14ac:dyDescent="0.25"/>
    <row r="2078" ht="11.25" hidden="1" customHeight="1" x14ac:dyDescent="0.25"/>
    <row r="2079" ht="11.25" hidden="1" customHeight="1" x14ac:dyDescent="0.25"/>
    <row r="2080" ht="11.25" hidden="1" customHeight="1" x14ac:dyDescent="0.25"/>
    <row r="2081" ht="11.25" hidden="1" customHeight="1" x14ac:dyDescent="0.25"/>
    <row r="2082" ht="11.25" hidden="1" customHeight="1" x14ac:dyDescent="0.25"/>
    <row r="2083" ht="11.25" hidden="1" customHeight="1" x14ac:dyDescent="0.25"/>
    <row r="2084" ht="11.25" hidden="1" customHeight="1" x14ac:dyDescent="0.25"/>
    <row r="2085" ht="11.25" hidden="1" customHeight="1" x14ac:dyDescent="0.25"/>
    <row r="2086" ht="11.25" hidden="1" customHeight="1" x14ac:dyDescent="0.25"/>
    <row r="2087" ht="11.25" hidden="1" customHeight="1" x14ac:dyDescent="0.25"/>
    <row r="2088" ht="11.25" hidden="1" customHeight="1" x14ac:dyDescent="0.25"/>
    <row r="2089" ht="11.25" hidden="1" customHeight="1" x14ac:dyDescent="0.25"/>
    <row r="2090" ht="11.25" hidden="1" customHeight="1" x14ac:dyDescent="0.25"/>
    <row r="2091" ht="11.25" hidden="1" customHeight="1" x14ac:dyDescent="0.25"/>
    <row r="2092" ht="11.25" hidden="1" customHeight="1" x14ac:dyDescent="0.25"/>
    <row r="2093" ht="11.25" hidden="1" customHeight="1" x14ac:dyDescent="0.25"/>
    <row r="2094" ht="11.25" hidden="1" customHeight="1" x14ac:dyDescent="0.25"/>
    <row r="2095" ht="11.25" hidden="1" customHeight="1" x14ac:dyDescent="0.25"/>
    <row r="2096" ht="11.25" hidden="1" customHeight="1" x14ac:dyDescent="0.25"/>
    <row r="2097" ht="11.25" hidden="1" customHeight="1" x14ac:dyDescent="0.25"/>
    <row r="2098" ht="11.25" hidden="1" customHeight="1" x14ac:dyDescent="0.25"/>
    <row r="2099" ht="11.25" hidden="1" customHeight="1" x14ac:dyDescent="0.25"/>
    <row r="2100" ht="11.25" hidden="1" customHeight="1" x14ac:dyDescent="0.25"/>
    <row r="2101" ht="11.25" hidden="1" customHeight="1" x14ac:dyDescent="0.25"/>
    <row r="2102" ht="11.25" hidden="1" customHeight="1" x14ac:dyDescent="0.25"/>
    <row r="2103" ht="11.25" hidden="1" customHeight="1" x14ac:dyDescent="0.25"/>
    <row r="2104" ht="11.25" hidden="1" customHeight="1" x14ac:dyDescent="0.25"/>
    <row r="2105" ht="11.25" hidden="1" customHeight="1" x14ac:dyDescent="0.25"/>
    <row r="2106" ht="11.25" hidden="1" customHeight="1" x14ac:dyDescent="0.25"/>
    <row r="2107" ht="11.25" hidden="1" customHeight="1" x14ac:dyDescent="0.25"/>
    <row r="2108" ht="11.25" hidden="1" customHeight="1" x14ac:dyDescent="0.25"/>
    <row r="2109" ht="11.25" hidden="1" customHeight="1" x14ac:dyDescent="0.25"/>
    <row r="2110" ht="11.25" hidden="1" customHeight="1" x14ac:dyDescent="0.25"/>
    <row r="2111" ht="11.25" hidden="1" customHeight="1" x14ac:dyDescent="0.25"/>
    <row r="2112" ht="11.25" hidden="1" customHeight="1" x14ac:dyDescent="0.25"/>
    <row r="2113" ht="11.25" hidden="1" customHeight="1" x14ac:dyDescent="0.25"/>
    <row r="2114" ht="11.25" hidden="1" customHeight="1" x14ac:dyDescent="0.25"/>
    <row r="2115" ht="11.25" hidden="1" customHeight="1" x14ac:dyDescent="0.25"/>
    <row r="2116" ht="11.25" hidden="1" customHeight="1" x14ac:dyDescent="0.25"/>
    <row r="2117" ht="11.25" hidden="1" customHeight="1" x14ac:dyDescent="0.25"/>
    <row r="2118" ht="11.25" hidden="1" customHeight="1" x14ac:dyDescent="0.25"/>
    <row r="2119" ht="11.25" hidden="1" customHeight="1" x14ac:dyDescent="0.25"/>
    <row r="2120" ht="11.25" hidden="1" customHeight="1" x14ac:dyDescent="0.25"/>
    <row r="2121" ht="11.25" hidden="1" customHeight="1" x14ac:dyDescent="0.25"/>
    <row r="2122" ht="11.25" hidden="1" customHeight="1" x14ac:dyDescent="0.25"/>
    <row r="2123" ht="11.25" hidden="1" customHeight="1" x14ac:dyDescent="0.25"/>
    <row r="2124" ht="11.25" hidden="1" customHeight="1" x14ac:dyDescent="0.25"/>
    <row r="2125" ht="11.25" hidden="1" customHeight="1" x14ac:dyDescent="0.25"/>
    <row r="2126" ht="11.25" hidden="1" customHeight="1" x14ac:dyDescent="0.25"/>
    <row r="2127" ht="11.25" hidden="1" customHeight="1" x14ac:dyDescent="0.25"/>
    <row r="2128" ht="11.25" hidden="1" customHeight="1" x14ac:dyDescent="0.25"/>
    <row r="2129" ht="11.25" hidden="1" customHeight="1" x14ac:dyDescent="0.25"/>
    <row r="2130" ht="11.25" hidden="1" customHeight="1" x14ac:dyDescent="0.25"/>
    <row r="2131" ht="11.25" hidden="1" customHeight="1" x14ac:dyDescent="0.25"/>
    <row r="2132" ht="11.25" hidden="1" customHeight="1" x14ac:dyDescent="0.25"/>
    <row r="2133" ht="11.25" hidden="1" customHeight="1" x14ac:dyDescent="0.25"/>
    <row r="2134" ht="11.25" hidden="1" customHeight="1" x14ac:dyDescent="0.25"/>
    <row r="2135" ht="11.25" hidden="1" customHeight="1" x14ac:dyDescent="0.25"/>
    <row r="2136" ht="11.25" hidden="1" customHeight="1" x14ac:dyDescent="0.25"/>
    <row r="2137" ht="11.25" hidden="1" customHeight="1" x14ac:dyDescent="0.25"/>
    <row r="2138" ht="11.25" hidden="1" customHeight="1" x14ac:dyDescent="0.25"/>
    <row r="2139" ht="11.25" hidden="1" customHeight="1" x14ac:dyDescent="0.25"/>
    <row r="2140" ht="11.25" hidden="1" customHeight="1" x14ac:dyDescent="0.25"/>
    <row r="2141" ht="11.25" hidden="1" customHeight="1" x14ac:dyDescent="0.25"/>
    <row r="2142" ht="11.25" hidden="1" customHeight="1" x14ac:dyDescent="0.25"/>
    <row r="2143" ht="11.25" hidden="1" customHeight="1" x14ac:dyDescent="0.25"/>
    <row r="2144" ht="11.25" hidden="1" customHeight="1" x14ac:dyDescent="0.25"/>
    <row r="2145" ht="11.25" hidden="1" customHeight="1" x14ac:dyDescent="0.25"/>
    <row r="2146" ht="11.25" hidden="1" customHeight="1" x14ac:dyDescent="0.25"/>
    <row r="2147" ht="11.25" hidden="1" customHeight="1" x14ac:dyDescent="0.25"/>
    <row r="2148" ht="11.25" hidden="1" customHeight="1" x14ac:dyDescent="0.25"/>
    <row r="2149" ht="11.25" hidden="1" customHeight="1" x14ac:dyDescent="0.25"/>
    <row r="2150" ht="11.25" hidden="1" customHeight="1" x14ac:dyDescent="0.25"/>
    <row r="2151" ht="11.25" hidden="1" customHeight="1" x14ac:dyDescent="0.25"/>
    <row r="2152" ht="11.25" hidden="1" customHeight="1" x14ac:dyDescent="0.25"/>
    <row r="2153" ht="11.25" hidden="1" customHeight="1" x14ac:dyDescent="0.25"/>
    <row r="2154" ht="11.25" hidden="1" customHeight="1" x14ac:dyDescent="0.25"/>
    <row r="2155" ht="11.25" hidden="1" customHeight="1" x14ac:dyDescent="0.25"/>
    <row r="2156" ht="11.25" hidden="1" customHeight="1" x14ac:dyDescent="0.25"/>
    <row r="2157" ht="11.25" hidden="1" customHeight="1" x14ac:dyDescent="0.25"/>
    <row r="2158" ht="11.25" hidden="1" customHeight="1" x14ac:dyDescent="0.25"/>
    <row r="2159" ht="11.25" hidden="1" customHeight="1" x14ac:dyDescent="0.25"/>
    <row r="2160" ht="11.25" hidden="1" customHeight="1" x14ac:dyDescent="0.25"/>
    <row r="2161" ht="11.25" hidden="1" customHeight="1" x14ac:dyDescent="0.25"/>
    <row r="2162" ht="11.25" hidden="1" customHeight="1" x14ac:dyDescent="0.25"/>
    <row r="2163" ht="11.25" hidden="1" customHeight="1" x14ac:dyDescent="0.25"/>
    <row r="2164" ht="11.25" hidden="1" customHeight="1" x14ac:dyDescent="0.25"/>
    <row r="2165" ht="11.25" hidden="1" customHeight="1" x14ac:dyDescent="0.25"/>
    <row r="2166" ht="11.25" hidden="1" customHeight="1" x14ac:dyDescent="0.25"/>
    <row r="2167" ht="11.25" hidden="1" customHeight="1" x14ac:dyDescent="0.25"/>
    <row r="2168" ht="11.25" hidden="1" customHeight="1" x14ac:dyDescent="0.25"/>
    <row r="2169" ht="11.25" hidden="1" customHeight="1" x14ac:dyDescent="0.25"/>
    <row r="2170" ht="11.25" hidden="1" customHeight="1" x14ac:dyDescent="0.25"/>
    <row r="2171" ht="11.25" hidden="1" customHeight="1" x14ac:dyDescent="0.25"/>
    <row r="2172" ht="11.25" hidden="1" customHeight="1" x14ac:dyDescent="0.25"/>
    <row r="2173" ht="11.25" hidden="1" customHeight="1" x14ac:dyDescent="0.25"/>
    <row r="2174" ht="11.25" hidden="1" customHeight="1" x14ac:dyDescent="0.25"/>
    <row r="2175" ht="11.25" hidden="1" customHeight="1" x14ac:dyDescent="0.25"/>
    <row r="2176" ht="11.25" hidden="1" customHeight="1" x14ac:dyDescent="0.25"/>
    <row r="2177" ht="11.25" hidden="1" customHeight="1" x14ac:dyDescent="0.25"/>
    <row r="2178" ht="11.25" hidden="1" customHeight="1" x14ac:dyDescent="0.25"/>
    <row r="2179" ht="11.25" hidden="1" customHeight="1" x14ac:dyDescent="0.25"/>
    <row r="2180" ht="11.25" hidden="1" customHeight="1" x14ac:dyDescent="0.25"/>
    <row r="2181" ht="11.25" hidden="1" customHeight="1" x14ac:dyDescent="0.25"/>
    <row r="2182" ht="11.25" hidden="1" customHeight="1" x14ac:dyDescent="0.25"/>
    <row r="2183" ht="11.25" hidden="1" customHeight="1" x14ac:dyDescent="0.25"/>
    <row r="2184" ht="11.25" hidden="1" customHeight="1" x14ac:dyDescent="0.25"/>
    <row r="2185" ht="11.25" hidden="1" customHeight="1" x14ac:dyDescent="0.25"/>
    <row r="2186" ht="11.25" hidden="1" customHeight="1" x14ac:dyDescent="0.25"/>
    <row r="2187" ht="11.25" hidden="1" customHeight="1" x14ac:dyDescent="0.25"/>
    <row r="2188" ht="11.25" hidden="1" customHeight="1" x14ac:dyDescent="0.25"/>
    <row r="2189" ht="11.25" hidden="1" customHeight="1" x14ac:dyDescent="0.25"/>
    <row r="2190" ht="11.25" hidden="1" customHeight="1" x14ac:dyDescent="0.25"/>
    <row r="2191" ht="11.25" hidden="1" customHeight="1" x14ac:dyDescent="0.25"/>
    <row r="2192" ht="11.25" hidden="1" customHeight="1" x14ac:dyDescent="0.25"/>
    <row r="2193" ht="11.25" hidden="1" customHeight="1" x14ac:dyDescent="0.25"/>
    <row r="2194" ht="11.25" hidden="1" customHeight="1" x14ac:dyDescent="0.25"/>
    <row r="2195" ht="11.25" hidden="1" customHeight="1" x14ac:dyDescent="0.25"/>
    <row r="2196" ht="11.25" hidden="1" customHeight="1" x14ac:dyDescent="0.25"/>
    <row r="2197" ht="11.25" hidden="1" customHeight="1" x14ac:dyDescent="0.25"/>
    <row r="2198" ht="11.25" hidden="1" customHeight="1" x14ac:dyDescent="0.25"/>
    <row r="2199" ht="11.25" hidden="1" customHeight="1" x14ac:dyDescent="0.25"/>
    <row r="2200" ht="11.25" hidden="1" customHeight="1" x14ac:dyDescent="0.25"/>
    <row r="2201" ht="11.25" hidden="1" customHeight="1" x14ac:dyDescent="0.25"/>
    <row r="2202" ht="11.25" hidden="1" customHeight="1" x14ac:dyDescent="0.25"/>
    <row r="2203" ht="11.25" hidden="1" customHeight="1" x14ac:dyDescent="0.25"/>
    <row r="2204" ht="11.25" hidden="1" customHeight="1" x14ac:dyDescent="0.25"/>
    <row r="2205" ht="11.25" hidden="1" customHeight="1" x14ac:dyDescent="0.25"/>
    <row r="2206" ht="11.25" hidden="1" customHeight="1" x14ac:dyDescent="0.25"/>
    <row r="2207" ht="11.25" hidden="1" customHeight="1" x14ac:dyDescent="0.25"/>
    <row r="2208" ht="11.25" hidden="1" customHeight="1" x14ac:dyDescent="0.25"/>
    <row r="2209" ht="11.25" hidden="1" customHeight="1" x14ac:dyDescent="0.25"/>
    <row r="2210" ht="11.25" hidden="1" customHeight="1" x14ac:dyDescent="0.25"/>
    <row r="2211" ht="11.25" hidden="1" customHeight="1" x14ac:dyDescent="0.25"/>
    <row r="2212" ht="11.25" hidden="1" customHeight="1" x14ac:dyDescent="0.25"/>
    <row r="2213" ht="11.25" hidden="1" customHeight="1" x14ac:dyDescent="0.25"/>
    <row r="2214" ht="11.25" hidden="1" customHeight="1" x14ac:dyDescent="0.25"/>
    <row r="2215" ht="11.25" hidden="1" customHeight="1" x14ac:dyDescent="0.25"/>
    <row r="2216" ht="11.25" hidden="1" customHeight="1" x14ac:dyDescent="0.25"/>
    <row r="2217" ht="11.25" hidden="1" customHeight="1" x14ac:dyDescent="0.25"/>
    <row r="2218" ht="11.25" hidden="1" customHeight="1" x14ac:dyDescent="0.25"/>
    <row r="2219" ht="11.25" hidden="1" customHeight="1" x14ac:dyDescent="0.25"/>
    <row r="2220" ht="11.25" hidden="1" customHeight="1" x14ac:dyDescent="0.25"/>
    <row r="2221" ht="11.25" hidden="1" customHeight="1" x14ac:dyDescent="0.25"/>
    <row r="2222" ht="11.25" hidden="1" customHeight="1" x14ac:dyDescent="0.25"/>
    <row r="2223" ht="11.25" hidden="1" customHeight="1" x14ac:dyDescent="0.25"/>
    <row r="2224" ht="11.25" hidden="1" customHeight="1" x14ac:dyDescent="0.25"/>
    <row r="2225" ht="11.25" hidden="1" customHeight="1" x14ac:dyDescent="0.25"/>
    <row r="2226" ht="11.25" hidden="1" customHeight="1" x14ac:dyDescent="0.25"/>
    <row r="2227" ht="11.25" hidden="1" customHeight="1" x14ac:dyDescent="0.25"/>
    <row r="2228" ht="11.25" hidden="1" customHeight="1" x14ac:dyDescent="0.25"/>
    <row r="2229" ht="11.25" hidden="1" customHeight="1" x14ac:dyDescent="0.25"/>
    <row r="2230" ht="11.25" hidden="1" customHeight="1" x14ac:dyDescent="0.25"/>
    <row r="2231" ht="11.25" hidden="1" customHeight="1" x14ac:dyDescent="0.25"/>
    <row r="2232" ht="11.25" hidden="1" customHeight="1" x14ac:dyDescent="0.25"/>
    <row r="2233" ht="11.25" hidden="1" customHeight="1" x14ac:dyDescent="0.25"/>
    <row r="2234" ht="11.25" hidden="1" customHeight="1" x14ac:dyDescent="0.25"/>
    <row r="2235" ht="11.25" hidden="1" customHeight="1" x14ac:dyDescent="0.25"/>
    <row r="2236" ht="11.25" hidden="1" customHeight="1" x14ac:dyDescent="0.25"/>
    <row r="2237" ht="11.25" hidden="1" customHeight="1" x14ac:dyDescent="0.25"/>
    <row r="2238" ht="11.25" hidden="1" customHeight="1" x14ac:dyDescent="0.25"/>
    <row r="2239" ht="11.25" hidden="1" customHeight="1" x14ac:dyDescent="0.25"/>
    <row r="2240" ht="11.25" hidden="1" customHeight="1" x14ac:dyDescent="0.25"/>
    <row r="2241" ht="11.25" hidden="1" customHeight="1" x14ac:dyDescent="0.25"/>
    <row r="2242" ht="11.25" hidden="1" customHeight="1" x14ac:dyDescent="0.25"/>
    <row r="2243" ht="11.25" hidden="1" customHeight="1" x14ac:dyDescent="0.25"/>
    <row r="2244" ht="11.25" hidden="1" customHeight="1" x14ac:dyDescent="0.25"/>
    <row r="2245" ht="11.25" hidden="1" customHeight="1" x14ac:dyDescent="0.25"/>
    <row r="2246" ht="11.25" hidden="1" customHeight="1" x14ac:dyDescent="0.25"/>
    <row r="2247" ht="11.25" hidden="1" customHeight="1" x14ac:dyDescent="0.25"/>
    <row r="2248" ht="11.25" hidden="1" customHeight="1" x14ac:dyDescent="0.25"/>
    <row r="2249" ht="11.25" hidden="1" customHeight="1" x14ac:dyDescent="0.25"/>
    <row r="2250" ht="11.25" hidden="1" customHeight="1" x14ac:dyDescent="0.25"/>
    <row r="2251" ht="11.25" hidden="1" customHeight="1" x14ac:dyDescent="0.25"/>
    <row r="2252" ht="11.25" hidden="1" customHeight="1" x14ac:dyDescent="0.25"/>
    <row r="2253" ht="11.25" hidden="1" customHeight="1" x14ac:dyDescent="0.25"/>
    <row r="2254" ht="11.25" hidden="1" customHeight="1" x14ac:dyDescent="0.25"/>
    <row r="2255" ht="11.25" hidden="1" customHeight="1" x14ac:dyDescent="0.25"/>
    <row r="2256" ht="11.25" hidden="1" customHeight="1" x14ac:dyDescent="0.25"/>
    <row r="2257" ht="11.25" hidden="1" customHeight="1" x14ac:dyDescent="0.25"/>
    <row r="2258" ht="11.25" hidden="1" customHeight="1" x14ac:dyDescent="0.25"/>
    <row r="2259" ht="11.25" hidden="1" customHeight="1" x14ac:dyDescent="0.25"/>
    <row r="2260" ht="11.25" hidden="1" customHeight="1" x14ac:dyDescent="0.25"/>
    <row r="2261" ht="11.25" hidden="1" customHeight="1" x14ac:dyDescent="0.25"/>
    <row r="2262" ht="11.25" hidden="1" customHeight="1" x14ac:dyDescent="0.25"/>
    <row r="2263" ht="11.25" hidden="1" customHeight="1" x14ac:dyDescent="0.25"/>
    <row r="2264" ht="11.25" hidden="1" customHeight="1" x14ac:dyDescent="0.25"/>
    <row r="2265" ht="11.25" hidden="1" customHeight="1" x14ac:dyDescent="0.25"/>
    <row r="2266" ht="11.25" hidden="1" customHeight="1" x14ac:dyDescent="0.25"/>
    <row r="2267" ht="11.25" hidden="1" customHeight="1" x14ac:dyDescent="0.25"/>
    <row r="2268" ht="11.25" hidden="1" customHeight="1" x14ac:dyDescent="0.25"/>
    <row r="2269" ht="11.25" hidden="1" customHeight="1" x14ac:dyDescent="0.25"/>
    <row r="2270" ht="11.25" hidden="1" customHeight="1" x14ac:dyDescent="0.25"/>
    <row r="2271" ht="11.25" hidden="1" customHeight="1" x14ac:dyDescent="0.25"/>
    <row r="2272" ht="11.25" hidden="1" customHeight="1" x14ac:dyDescent="0.25"/>
    <row r="2273" ht="11.25" hidden="1" customHeight="1" x14ac:dyDescent="0.25"/>
    <row r="2274" ht="11.25" hidden="1" customHeight="1" x14ac:dyDescent="0.25"/>
    <row r="2275" ht="11.25" hidden="1" customHeight="1" x14ac:dyDescent="0.25"/>
    <row r="2276" ht="11.25" hidden="1" customHeight="1" x14ac:dyDescent="0.25"/>
    <row r="2277" ht="11.25" hidden="1" customHeight="1" x14ac:dyDescent="0.25"/>
    <row r="2278" ht="11.25" hidden="1" customHeight="1" x14ac:dyDescent="0.25"/>
    <row r="2279" ht="11.25" hidden="1" customHeight="1" x14ac:dyDescent="0.25"/>
    <row r="2280" ht="11.25" hidden="1" customHeight="1" x14ac:dyDescent="0.25"/>
    <row r="2281" ht="11.25" hidden="1" customHeight="1" x14ac:dyDescent="0.25"/>
    <row r="2282" ht="11.25" hidden="1" customHeight="1" x14ac:dyDescent="0.25"/>
    <row r="2283" ht="11.25" hidden="1" customHeight="1" x14ac:dyDescent="0.25"/>
    <row r="2284" ht="11.25" hidden="1" customHeight="1" x14ac:dyDescent="0.25"/>
    <row r="2285" ht="11.25" hidden="1" customHeight="1" x14ac:dyDescent="0.25"/>
    <row r="2286" ht="11.25" hidden="1" customHeight="1" x14ac:dyDescent="0.25"/>
    <row r="2287" ht="11.25" hidden="1" customHeight="1" x14ac:dyDescent="0.25"/>
    <row r="2288" ht="11.25" hidden="1" customHeight="1" x14ac:dyDescent="0.25"/>
    <row r="2289" ht="11.25" hidden="1" customHeight="1" x14ac:dyDescent="0.25"/>
    <row r="2290" ht="11.25" hidden="1" customHeight="1" x14ac:dyDescent="0.25"/>
    <row r="2291" ht="11.25" hidden="1" customHeight="1" x14ac:dyDescent="0.25"/>
    <row r="2292" ht="11.25" hidden="1" customHeight="1" x14ac:dyDescent="0.25"/>
    <row r="2293" ht="11.25" hidden="1" customHeight="1" x14ac:dyDescent="0.25"/>
    <row r="2294" ht="11.25" hidden="1" customHeight="1" x14ac:dyDescent="0.25"/>
    <row r="2295" ht="11.25" hidden="1" customHeight="1" x14ac:dyDescent="0.25"/>
    <row r="2296" ht="11.25" hidden="1" customHeight="1" x14ac:dyDescent="0.25"/>
    <row r="2297" ht="11.25" hidden="1" customHeight="1" x14ac:dyDescent="0.25"/>
    <row r="2298" ht="11.25" hidden="1" customHeight="1" x14ac:dyDescent="0.25"/>
    <row r="2299" ht="11.25" hidden="1" customHeight="1" x14ac:dyDescent="0.25"/>
    <row r="2300" ht="11.25" hidden="1" customHeight="1" x14ac:dyDescent="0.25"/>
    <row r="2301" ht="11.25" hidden="1" customHeight="1" x14ac:dyDescent="0.25"/>
    <row r="2302" ht="11.25" hidden="1" customHeight="1" x14ac:dyDescent="0.25"/>
    <row r="2303" ht="11.25" hidden="1" customHeight="1" x14ac:dyDescent="0.25"/>
    <row r="2304" ht="11.25" hidden="1" customHeight="1" x14ac:dyDescent="0.25"/>
    <row r="2305" ht="11.25" hidden="1" customHeight="1" x14ac:dyDescent="0.25"/>
    <row r="2306" ht="11.25" hidden="1" customHeight="1" x14ac:dyDescent="0.25"/>
    <row r="2307" ht="11.25" hidden="1" customHeight="1" x14ac:dyDescent="0.25"/>
    <row r="2308" ht="11.25" hidden="1" customHeight="1" x14ac:dyDescent="0.25"/>
    <row r="2309" ht="11.25" hidden="1" customHeight="1" x14ac:dyDescent="0.25"/>
    <row r="2310" ht="11.25" hidden="1" customHeight="1" x14ac:dyDescent="0.25"/>
    <row r="2311" ht="11.25" hidden="1" customHeight="1" x14ac:dyDescent="0.25"/>
    <row r="2312" ht="11.25" hidden="1" customHeight="1" x14ac:dyDescent="0.25"/>
    <row r="2313" ht="11.25" hidden="1" customHeight="1" x14ac:dyDescent="0.25"/>
    <row r="2314" ht="11.25" hidden="1" customHeight="1" x14ac:dyDescent="0.25"/>
    <row r="2315" ht="11.25" hidden="1" customHeight="1" x14ac:dyDescent="0.25"/>
    <row r="2316" ht="11.25" hidden="1" customHeight="1" x14ac:dyDescent="0.25"/>
    <row r="2317" ht="11.25" hidden="1" customHeight="1" x14ac:dyDescent="0.25"/>
    <row r="2318" ht="11.25" hidden="1" customHeight="1" x14ac:dyDescent="0.25"/>
    <row r="2319" ht="11.25" hidden="1" customHeight="1" x14ac:dyDescent="0.25"/>
    <row r="2320" ht="11.25" hidden="1" customHeight="1" x14ac:dyDescent="0.25"/>
    <row r="2321" ht="11.25" hidden="1" customHeight="1" x14ac:dyDescent="0.25"/>
    <row r="2322" ht="11.25" hidden="1" customHeight="1" x14ac:dyDescent="0.25"/>
    <row r="2323" ht="11.25" hidden="1" customHeight="1" x14ac:dyDescent="0.25"/>
    <row r="2324" ht="11.25" hidden="1" customHeight="1" x14ac:dyDescent="0.25"/>
    <row r="2325" ht="11.25" hidden="1" customHeight="1" x14ac:dyDescent="0.25"/>
    <row r="2326" ht="11.25" hidden="1" customHeight="1" x14ac:dyDescent="0.25"/>
    <row r="2327" ht="11.25" hidden="1" customHeight="1" x14ac:dyDescent="0.25"/>
    <row r="2328" ht="11.25" hidden="1" customHeight="1" x14ac:dyDescent="0.25"/>
    <row r="2329" ht="11.25" hidden="1" customHeight="1" x14ac:dyDescent="0.25"/>
    <row r="2330" ht="11.25" hidden="1" customHeight="1" x14ac:dyDescent="0.25"/>
    <row r="2331" ht="11.25" hidden="1" customHeight="1" x14ac:dyDescent="0.25"/>
    <row r="2332" ht="11.25" hidden="1" customHeight="1" x14ac:dyDescent="0.25"/>
    <row r="2333" ht="11.25" hidden="1" customHeight="1" x14ac:dyDescent="0.25"/>
    <row r="2334" ht="11.25" hidden="1" customHeight="1" x14ac:dyDescent="0.25"/>
    <row r="2335" ht="11.25" hidden="1" customHeight="1" x14ac:dyDescent="0.25"/>
    <row r="2336" ht="11.25" hidden="1" customHeight="1" x14ac:dyDescent="0.25"/>
    <row r="2337" ht="11.25" hidden="1" customHeight="1" x14ac:dyDescent="0.25"/>
    <row r="2338" ht="11.25" hidden="1" customHeight="1" x14ac:dyDescent="0.25"/>
    <row r="2339" ht="11.25" hidden="1" customHeight="1" x14ac:dyDescent="0.25"/>
    <row r="2340" ht="11.25" hidden="1" customHeight="1" x14ac:dyDescent="0.25"/>
    <row r="2341" ht="11.25" hidden="1" customHeight="1" x14ac:dyDescent="0.25"/>
    <row r="2342" ht="11.25" hidden="1" customHeight="1" x14ac:dyDescent="0.25"/>
    <row r="2343" ht="11.25" hidden="1" customHeight="1" x14ac:dyDescent="0.25"/>
    <row r="2344" ht="11.25" hidden="1" customHeight="1" x14ac:dyDescent="0.25"/>
    <row r="2345" ht="11.25" hidden="1" customHeight="1" x14ac:dyDescent="0.25"/>
    <row r="2346" ht="11.25" hidden="1" customHeight="1" x14ac:dyDescent="0.25"/>
    <row r="2347" ht="11.25" hidden="1" customHeight="1" x14ac:dyDescent="0.25"/>
    <row r="2348" ht="11.25" hidden="1" customHeight="1" x14ac:dyDescent="0.25"/>
    <row r="2349" ht="11.25" hidden="1" customHeight="1" x14ac:dyDescent="0.25"/>
    <row r="2350" ht="11.25" hidden="1" customHeight="1" x14ac:dyDescent="0.25"/>
    <row r="2351" ht="11.25" hidden="1" customHeight="1" x14ac:dyDescent="0.25"/>
    <row r="2352" ht="11.25" hidden="1" customHeight="1" x14ac:dyDescent="0.25"/>
    <row r="2353" ht="11.25" hidden="1" customHeight="1" x14ac:dyDescent="0.25"/>
    <row r="2354" ht="11.25" hidden="1" customHeight="1" x14ac:dyDescent="0.25"/>
    <row r="2355" ht="11.25" hidden="1" customHeight="1" x14ac:dyDescent="0.25"/>
    <row r="2356" ht="11.25" hidden="1" customHeight="1" x14ac:dyDescent="0.25"/>
    <row r="2357" ht="11.25" hidden="1" customHeight="1" x14ac:dyDescent="0.25"/>
    <row r="2358" ht="11.25" hidden="1" customHeight="1" x14ac:dyDescent="0.25"/>
    <row r="2359" ht="11.25" hidden="1" customHeight="1" x14ac:dyDescent="0.25"/>
    <row r="2360" ht="11.25" hidden="1" customHeight="1" x14ac:dyDescent="0.25"/>
    <row r="2361" ht="11.25" hidden="1" customHeight="1" x14ac:dyDescent="0.25"/>
    <row r="2362" ht="11.25" hidden="1" customHeight="1" x14ac:dyDescent="0.25"/>
    <row r="2363" ht="11.25" hidden="1" customHeight="1" x14ac:dyDescent="0.25"/>
    <row r="2364" ht="11.25" hidden="1" customHeight="1" x14ac:dyDescent="0.25"/>
    <row r="2365" ht="11.25" hidden="1" customHeight="1" x14ac:dyDescent="0.25"/>
    <row r="2366" ht="11.25" hidden="1" customHeight="1" x14ac:dyDescent="0.25"/>
    <row r="2367" ht="11.25" hidden="1" customHeight="1" x14ac:dyDescent="0.25"/>
    <row r="2368" ht="11.25" hidden="1" customHeight="1" x14ac:dyDescent="0.25"/>
    <row r="2369" ht="11.25" hidden="1" customHeight="1" x14ac:dyDescent="0.25"/>
    <row r="2370" ht="11.25" hidden="1" customHeight="1" x14ac:dyDescent="0.25"/>
    <row r="2371" ht="11.25" hidden="1" customHeight="1" x14ac:dyDescent="0.25"/>
    <row r="2372" ht="11.25" hidden="1" customHeight="1" x14ac:dyDescent="0.25"/>
    <row r="2373" ht="11.25" hidden="1" customHeight="1" x14ac:dyDescent="0.25"/>
    <row r="2374" ht="11.25" hidden="1" customHeight="1" x14ac:dyDescent="0.25"/>
    <row r="2375" ht="11.25" hidden="1" customHeight="1" x14ac:dyDescent="0.25"/>
    <row r="2376" ht="11.25" hidden="1" customHeight="1" x14ac:dyDescent="0.25"/>
    <row r="2377" ht="11.25" hidden="1" customHeight="1" x14ac:dyDescent="0.25"/>
    <row r="2378" ht="11.25" hidden="1" customHeight="1" x14ac:dyDescent="0.25"/>
    <row r="2379" ht="11.25" hidden="1" customHeight="1" x14ac:dyDescent="0.25"/>
    <row r="2380" ht="11.25" hidden="1" customHeight="1" x14ac:dyDescent="0.25"/>
    <row r="2381" ht="11.25" hidden="1" customHeight="1" x14ac:dyDescent="0.25"/>
    <row r="2382" ht="11.25" hidden="1" customHeight="1" x14ac:dyDescent="0.25"/>
    <row r="2383" ht="11.25" hidden="1" customHeight="1" x14ac:dyDescent="0.25"/>
    <row r="2384" ht="11.25" hidden="1" customHeight="1" x14ac:dyDescent="0.25"/>
    <row r="2385" ht="11.25" hidden="1" customHeight="1" x14ac:dyDescent="0.25"/>
    <row r="2386" ht="11.25" hidden="1" customHeight="1" x14ac:dyDescent="0.25"/>
    <row r="2387" ht="11.25" hidden="1" customHeight="1" x14ac:dyDescent="0.25"/>
    <row r="2388" ht="11.25" hidden="1" customHeight="1" x14ac:dyDescent="0.25"/>
    <row r="2389" ht="11.25" hidden="1" customHeight="1" x14ac:dyDescent="0.25"/>
    <row r="2390" ht="11.25" hidden="1" customHeight="1" x14ac:dyDescent="0.25"/>
    <row r="2391" ht="11.25" hidden="1" customHeight="1" x14ac:dyDescent="0.25"/>
    <row r="2392" ht="11.25" hidden="1" customHeight="1" x14ac:dyDescent="0.25"/>
    <row r="2393" ht="11.25" hidden="1" customHeight="1" x14ac:dyDescent="0.25"/>
    <row r="2394" ht="11.25" hidden="1" customHeight="1" x14ac:dyDescent="0.25"/>
    <row r="2395" ht="11.25" hidden="1" customHeight="1" x14ac:dyDescent="0.25"/>
    <row r="2396" ht="11.25" hidden="1" customHeight="1" x14ac:dyDescent="0.25"/>
    <row r="2397" ht="11.25" hidden="1" customHeight="1" x14ac:dyDescent="0.25"/>
    <row r="2398" ht="11.25" hidden="1" customHeight="1" x14ac:dyDescent="0.25"/>
    <row r="2399" ht="11.25" hidden="1" customHeight="1" x14ac:dyDescent="0.25"/>
    <row r="2400" ht="11.25" hidden="1" customHeight="1" x14ac:dyDescent="0.25"/>
    <row r="2401" ht="11.25" hidden="1" customHeight="1" x14ac:dyDescent="0.25"/>
    <row r="2402" ht="11.25" hidden="1" customHeight="1" x14ac:dyDescent="0.25"/>
    <row r="2403" ht="11.25" hidden="1" customHeight="1" x14ac:dyDescent="0.25"/>
    <row r="2404" ht="11.25" hidden="1" customHeight="1" x14ac:dyDescent="0.25"/>
    <row r="2405" ht="11.25" hidden="1" customHeight="1" x14ac:dyDescent="0.25"/>
    <row r="2406" ht="11.25" hidden="1" customHeight="1" x14ac:dyDescent="0.25"/>
    <row r="2407" ht="11.25" hidden="1" customHeight="1" x14ac:dyDescent="0.25"/>
    <row r="2408" ht="11.25" hidden="1" customHeight="1" x14ac:dyDescent="0.25"/>
    <row r="2409" ht="11.25" hidden="1" customHeight="1" x14ac:dyDescent="0.25"/>
    <row r="2410" ht="11.25" hidden="1" customHeight="1" x14ac:dyDescent="0.25"/>
    <row r="2411" ht="11.25" hidden="1" customHeight="1" x14ac:dyDescent="0.25"/>
    <row r="2412" ht="11.25" hidden="1" customHeight="1" x14ac:dyDescent="0.25"/>
    <row r="2413" ht="11.25" hidden="1" customHeight="1" x14ac:dyDescent="0.25"/>
    <row r="2414" ht="11.25" hidden="1" customHeight="1" x14ac:dyDescent="0.25"/>
    <row r="2415" ht="11.25" hidden="1" customHeight="1" x14ac:dyDescent="0.25"/>
    <row r="2416" ht="11.25" hidden="1" customHeight="1" x14ac:dyDescent="0.25"/>
    <row r="2417" ht="11.25" hidden="1" customHeight="1" x14ac:dyDescent="0.25"/>
    <row r="2418" ht="11.25" hidden="1" customHeight="1" x14ac:dyDescent="0.25"/>
    <row r="2419" ht="11.25" hidden="1" customHeight="1" x14ac:dyDescent="0.25"/>
    <row r="2420" ht="11.25" hidden="1" customHeight="1" x14ac:dyDescent="0.25"/>
    <row r="2421" ht="11.25" hidden="1" customHeight="1" x14ac:dyDescent="0.25"/>
    <row r="2422" ht="11.25" hidden="1" customHeight="1" x14ac:dyDescent="0.25"/>
    <row r="2423" ht="11.25" hidden="1" customHeight="1" x14ac:dyDescent="0.25"/>
    <row r="2424" ht="11.25" hidden="1" customHeight="1" x14ac:dyDescent="0.25"/>
    <row r="2425" ht="11.25" hidden="1" customHeight="1" x14ac:dyDescent="0.25"/>
    <row r="2426" ht="11.25" hidden="1" customHeight="1" x14ac:dyDescent="0.25"/>
    <row r="2427" ht="11.25" hidden="1" customHeight="1" x14ac:dyDescent="0.25"/>
    <row r="2428" ht="11.25" hidden="1" customHeight="1" x14ac:dyDescent="0.25"/>
    <row r="2429" ht="11.25" hidden="1" customHeight="1" x14ac:dyDescent="0.25"/>
    <row r="2430" ht="11.25" hidden="1" customHeight="1" x14ac:dyDescent="0.25"/>
    <row r="2431" ht="11.25" hidden="1" customHeight="1" x14ac:dyDescent="0.25"/>
    <row r="2432" ht="11.25" hidden="1" customHeight="1" x14ac:dyDescent="0.25"/>
    <row r="2433" ht="11.25" hidden="1" customHeight="1" x14ac:dyDescent="0.25"/>
    <row r="2434" ht="11.25" hidden="1" customHeight="1" x14ac:dyDescent="0.25"/>
    <row r="2435" ht="11.25" hidden="1" customHeight="1" x14ac:dyDescent="0.25"/>
    <row r="2436" ht="11.25" hidden="1" customHeight="1" x14ac:dyDescent="0.25"/>
    <row r="2437" ht="11.25" hidden="1" customHeight="1" x14ac:dyDescent="0.25"/>
    <row r="2438" ht="11.25" hidden="1" customHeight="1" x14ac:dyDescent="0.25"/>
    <row r="2439" ht="11.25" hidden="1" customHeight="1" x14ac:dyDescent="0.25"/>
    <row r="2440" ht="11.25" hidden="1" customHeight="1" x14ac:dyDescent="0.25"/>
    <row r="2441" ht="11.25" hidden="1" customHeight="1" x14ac:dyDescent="0.25"/>
    <row r="2442" ht="11.25" hidden="1" customHeight="1" x14ac:dyDescent="0.25"/>
    <row r="2443" ht="11.25" hidden="1" customHeight="1" x14ac:dyDescent="0.25"/>
    <row r="2444" ht="11.25" hidden="1" customHeight="1" x14ac:dyDescent="0.25"/>
    <row r="2445" ht="11.25" hidden="1" customHeight="1" x14ac:dyDescent="0.25"/>
    <row r="2446" ht="11.25" hidden="1" customHeight="1" x14ac:dyDescent="0.25"/>
    <row r="2447" ht="11.25" hidden="1" customHeight="1" x14ac:dyDescent="0.25"/>
    <row r="2448" ht="11.25" hidden="1" customHeight="1" x14ac:dyDescent="0.25"/>
    <row r="2449" ht="11.25" hidden="1" customHeight="1" x14ac:dyDescent="0.25"/>
    <row r="2450" ht="11.25" hidden="1" customHeight="1" x14ac:dyDescent="0.25"/>
    <row r="2451" ht="11.25" hidden="1" customHeight="1" x14ac:dyDescent="0.25"/>
    <row r="2452" ht="11.25" hidden="1" customHeight="1" x14ac:dyDescent="0.25"/>
    <row r="2453" ht="11.25" hidden="1" customHeight="1" x14ac:dyDescent="0.25"/>
    <row r="2454" ht="11.25" hidden="1" customHeight="1" x14ac:dyDescent="0.25"/>
    <row r="2455" ht="11.25" hidden="1" customHeight="1" x14ac:dyDescent="0.25"/>
    <row r="2456" ht="11.25" hidden="1" customHeight="1" x14ac:dyDescent="0.25"/>
    <row r="2457" ht="11.25" hidden="1" customHeight="1" x14ac:dyDescent="0.25"/>
    <row r="2458" ht="11.25" hidden="1" customHeight="1" x14ac:dyDescent="0.25"/>
    <row r="2459" ht="11.25" hidden="1" customHeight="1" x14ac:dyDescent="0.25"/>
    <row r="2460" ht="11.25" hidden="1" customHeight="1" x14ac:dyDescent="0.25"/>
    <row r="2461" ht="11.25" hidden="1" customHeight="1" x14ac:dyDescent="0.25"/>
    <row r="2462" ht="11.25" hidden="1" customHeight="1" x14ac:dyDescent="0.25"/>
    <row r="2463" ht="11.25" hidden="1" customHeight="1" x14ac:dyDescent="0.25"/>
    <row r="2464" ht="11.25" hidden="1" customHeight="1" x14ac:dyDescent="0.25"/>
    <row r="2465" ht="11.25" hidden="1" customHeight="1" x14ac:dyDescent="0.25"/>
    <row r="2466" ht="11.25" hidden="1" customHeight="1" x14ac:dyDescent="0.25"/>
    <row r="2467" ht="11.25" hidden="1" customHeight="1" x14ac:dyDescent="0.25"/>
    <row r="2468" ht="11.25" hidden="1" customHeight="1" x14ac:dyDescent="0.25"/>
    <row r="2469" ht="11.25" hidden="1" customHeight="1" x14ac:dyDescent="0.25"/>
    <row r="2470" ht="11.25" hidden="1" customHeight="1" x14ac:dyDescent="0.25"/>
    <row r="2471" ht="11.25" hidden="1" customHeight="1" x14ac:dyDescent="0.25"/>
    <row r="2472" ht="11.25" hidden="1" customHeight="1" x14ac:dyDescent="0.25"/>
    <row r="2473" ht="11.25" hidden="1" customHeight="1" x14ac:dyDescent="0.25"/>
    <row r="2474" ht="11.25" hidden="1" customHeight="1" x14ac:dyDescent="0.25"/>
    <row r="2475" ht="11.25" hidden="1" customHeight="1" x14ac:dyDescent="0.25"/>
    <row r="2476" ht="11.25" hidden="1" customHeight="1" x14ac:dyDescent="0.25"/>
    <row r="2477" ht="11.25" hidden="1" customHeight="1" x14ac:dyDescent="0.25"/>
    <row r="2478" ht="11.25" hidden="1" customHeight="1" x14ac:dyDescent="0.25"/>
    <row r="2479" ht="11.25" hidden="1" customHeight="1" x14ac:dyDescent="0.25"/>
    <row r="2480" ht="11.25" hidden="1" customHeight="1" x14ac:dyDescent="0.25"/>
    <row r="2481" ht="11.25" hidden="1" customHeight="1" x14ac:dyDescent="0.25"/>
    <row r="2482" ht="11.25" hidden="1" customHeight="1" x14ac:dyDescent="0.25"/>
    <row r="2483" ht="11.25" hidden="1" customHeight="1" x14ac:dyDescent="0.25"/>
    <row r="2484" ht="11.25" hidden="1" customHeight="1" x14ac:dyDescent="0.25"/>
    <row r="2485" ht="11.25" hidden="1" customHeight="1" x14ac:dyDescent="0.25"/>
    <row r="2486" ht="11.25" hidden="1" customHeight="1" x14ac:dyDescent="0.25"/>
    <row r="2487" ht="11.25" hidden="1" customHeight="1" x14ac:dyDescent="0.25"/>
    <row r="2488" ht="11.25" hidden="1" customHeight="1" x14ac:dyDescent="0.25"/>
    <row r="2489" ht="11.25" hidden="1" customHeight="1" x14ac:dyDescent="0.25"/>
    <row r="2490" ht="11.25" hidden="1" customHeight="1" x14ac:dyDescent="0.25"/>
    <row r="2491" ht="11.25" hidden="1" customHeight="1" x14ac:dyDescent="0.25"/>
    <row r="2492" ht="11.25" hidden="1" customHeight="1" x14ac:dyDescent="0.25"/>
    <row r="2493" ht="11.25" hidden="1" customHeight="1" x14ac:dyDescent="0.25"/>
    <row r="2494" ht="11.25" hidden="1" customHeight="1" x14ac:dyDescent="0.25"/>
    <row r="2495" ht="11.25" hidden="1" customHeight="1" x14ac:dyDescent="0.25"/>
    <row r="2496" ht="11.25" hidden="1" customHeight="1" x14ac:dyDescent="0.25"/>
    <row r="2497" ht="11.25" hidden="1" customHeight="1" x14ac:dyDescent="0.25"/>
    <row r="2498" ht="11.25" hidden="1" customHeight="1" x14ac:dyDescent="0.25"/>
    <row r="2499" ht="11.25" hidden="1" customHeight="1" x14ac:dyDescent="0.25"/>
    <row r="2500" ht="11.25" hidden="1" customHeight="1" x14ac:dyDescent="0.25"/>
    <row r="2501" ht="11.25" hidden="1" customHeight="1" x14ac:dyDescent="0.25"/>
    <row r="2502" ht="11.25" hidden="1" customHeight="1" x14ac:dyDescent="0.25"/>
    <row r="2503" ht="11.25" hidden="1" customHeight="1" x14ac:dyDescent="0.25"/>
    <row r="2504" ht="11.25" hidden="1" customHeight="1" x14ac:dyDescent="0.25"/>
    <row r="2505" ht="11.25" hidden="1" customHeight="1" x14ac:dyDescent="0.25"/>
    <row r="2506" ht="11.25" hidden="1" customHeight="1" x14ac:dyDescent="0.25"/>
    <row r="2507" ht="11.25" hidden="1" customHeight="1" x14ac:dyDescent="0.25"/>
    <row r="2508" ht="11.25" hidden="1" customHeight="1" x14ac:dyDescent="0.25"/>
    <row r="2509" ht="11.25" hidden="1" customHeight="1" x14ac:dyDescent="0.25"/>
    <row r="2510" ht="11.25" hidden="1" customHeight="1" x14ac:dyDescent="0.25"/>
    <row r="2511" ht="11.25" hidden="1" customHeight="1" x14ac:dyDescent="0.25"/>
    <row r="2512" ht="11.25" hidden="1" customHeight="1" x14ac:dyDescent="0.25"/>
    <row r="2513" ht="11.25" hidden="1" customHeight="1" x14ac:dyDescent="0.25"/>
    <row r="2514" ht="11.25" hidden="1" customHeight="1" x14ac:dyDescent="0.25"/>
    <row r="2515" ht="11.25" hidden="1" customHeight="1" x14ac:dyDescent="0.25"/>
    <row r="2516" ht="11.25" hidden="1" customHeight="1" x14ac:dyDescent="0.25"/>
    <row r="2517" ht="11.25" hidden="1" customHeight="1" x14ac:dyDescent="0.25"/>
    <row r="2518" ht="11.25" hidden="1" customHeight="1" x14ac:dyDescent="0.25"/>
    <row r="2519" ht="11.25" hidden="1" customHeight="1" x14ac:dyDescent="0.25"/>
    <row r="2520" ht="11.25" hidden="1" customHeight="1" x14ac:dyDescent="0.25"/>
    <row r="2521" ht="11.25" hidden="1" customHeight="1" x14ac:dyDescent="0.25"/>
    <row r="2522" ht="11.25" hidden="1" customHeight="1" x14ac:dyDescent="0.25"/>
    <row r="2523" ht="11.25" hidden="1" customHeight="1" x14ac:dyDescent="0.25"/>
    <row r="2524" ht="11.25" hidden="1" customHeight="1" x14ac:dyDescent="0.25"/>
    <row r="2525" ht="11.25" hidden="1" customHeight="1" x14ac:dyDescent="0.25"/>
    <row r="2526" ht="11.25" hidden="1" customHeight="1" x14ac:dyDescent="0.25"/>
    <row r="2527" ht="11.25" hidden="1" customHeight="1" x14ac:dyDescent="0.25"/>
    <row r="2528" ht="11.25" hidden="1" customHeight="1" x14ac:dyDescent="0.25"/>
    <row r="2529" ht="11.25" hidden="1" customHeight="1" x14ac:dyDescent="0.25"/>
    <row r="2530" ht="11.25" hidden="1" customHeight="1" x14ac:dyDescent="0.25"/>
    <row r="2531" ht="11.25" hidden="1" customHeight="1" x14ac:dyDescent="0.25"/>
    <row r="2532" ht="11.25" hidden="1" customHeight="1" x14ac:dyDescent="0.25"/>
    <row r="2533" ht="11.25" hidden="1" customHeight="1" x14ac:dyDescent="0.25"/>
    <row r="2534" ht="11.25" hidden="1" customHeight="1" x14ac:dyDescent="0.25"/>
    <row r="2535" ht="11.25" hidden="1" customHeight="1" x14ac:dyDescent="0.25"/>
    <row r="2536" ht="11.25" hidden="1" customHeight="1" x14ac:dyDescent="0.25"/>
    <row r="2537" ht="11.25" hidden="1" customHeight="1" x14ac:dyDescent="0.25"/>
    <row r="2538" ht="11.25" hidden="1" customHeight="1" x14ac:dyDescent="0.25"/>
    <row r="2539" ht="11.25" hidden="1" customHeight="1" x14ac:dyDescent="0.25"/>
    <row r="2540" ht="11.25" hidden="1" customHeight="1" x14ac:dyDescent="0.25"/>
    <row r="2541" ht="11.25" hidden="1" customHeight="1" x14ac:dyDescent="0.25"/>
    <row r="2542" ht="11.25" hidden="1" customHeight="1" x14ac:dyDescent="0.25"/>
    <row r="2543" ht="11.25" hidden="1" customHeight="1" x14ac:dyDescent="0.25"/>
    <row r="2544" ht="11.25" hidden="1" customHeight="1" x14ac:dyDescent="0.25"/>
    <row r="2545" ht="11.25" hidden="1" customHeight="1" x14ac:dyDescent="0.25"/>
    <row r="2546" ht="11.25" hidden="1" customHeight="1" x14ac:dyDescent="0.25"/>
    <row r="2547" ht="11.25" hidden="1" customHeight="1" x14ac:dyDescent="0.25"/>
    <row r="2548" ht="11.25" hidden="1" customHeight="1" x14ac:dyDescent="0.25"/>
    <row r="2549" ht="11.25" hidden="1" customHeight="1" x14ac:dyDescent="0.25"/>
    <row r="2550" ht="11.25" hidden="1" customHeight="1" x14ac:dyDescent="0.25"/>
    <row r="2551" ht="11.25" hidden="1" customHeight="1" x14ac:dyDescent="0.25"/>
    <row r="2552" ht="11.25" hidden="1" customHeight="1" x14ac:dyDescent="0.25"/>
    <row r="2553" ht="11.25" hidden="1" customHeight="1" x14ac:dyDescent="0.25"/>
    <row r="2554" ht="11.25" hidden="1" customHeight="1" x14ac:dyDescent="0.25"/>
    <row r="2555" ht="11.25" hidden="1" customHeight="1" x14ac:dyDescent="0.25"/>
    <row r="2556" ht="11.25" hidden="1" customHeight="1" x14ac:dyDescent="0.25"/>
    <row r="2557" ht="11.25" hidden="1" customHeight="1" x14ac:dyDescent="0.25"/>
    <row r="2558" ht="11.25" hidden="1" customHeight="1" x14ac:dyDescent="0.25"/>
    <row r="2559" ht="11.25" hidden="1" customHeight="1" x14ac:dyDescent="0.25"/>
    <row r="2560" ht="11.25" hidden="1" customHeight="1" x14ac:dyDescent="0.25"/>
    <row r="2561" ht="11.25" hidden="1" customHeight="1" x14ac:dyDescent="0.25"/>
    <row r="2562" ht="11.25" hidden="1" customHeight="1" x14ac:dyDescent="0.25"/>
    <row r="2563" ht="11.25" hidden="1" customHeight="1" x14ac:dyDescent="0.25"/>
    <row r="2564" ht="11.25" hidden="1" customHeight="1" x14ac:dyDescent="0.25"/>
    <row r="2565" ht="11.25" hidden="1" customHeight="1" x14ac:dyDescent="0.25"/>
    <row r="2566" ht="11.25" hidden="1" customHeight="1" x14ac:dyDescent="0.25"/>
    <row r="2567" ht="11.25" hidden="1" customHeight="1" x14ac:dyDescent="0.25"/>
    <row r="2568" ht="11.25" hidden="1" customHeight="1" x14ac:dyDescent="0.25"/>
    <row r="2569" ht="11.25" hidden="1" customHeight="1" x14ac:dyDescent="0.25"/>
    <row r="2570" ht="11.25" hidden="1" customHeight="1" x14ac:dyDescent="0.25"/>
    <row r="2571" ht="11.25" hidden="1" customHeight="1" x14ac:dyDescent="0.25"/>
    <row r="2572" ht="11.25" hidden="1" customHeight="1" x14ac:dyDescent="0.25"/>
    <row r="2573" ht="11.25" hidden="1" customHeight="1" x14ac:dyDescent="0.25"/>
    <row r="2574" ht="11.25" hidden="1" customHeight="1" x14ac:dyDescent="0.25"/>
    <row r="2575" ht="11.25" hidden="1" customHeight="1" x14ac:dyDescent="0.25"/>
    <row r="2576" ht="11.25" hidden="1" customHeight="1" x14ac:dyDescent="0.25"/>
    <row r="2577" ht="11.25" hidden="1" customHeight="1" x14ac:dyDescent="0.25"/>
    <row r="2578" ht="11.25" hidden="1" customHeight="1" x14ac:dyDescent="0.25"/>
    <row r="2579" ht="11.25" hidden="1" customHeight="1" x14ac:dyDescent="0.25"/>
    <row r="2580" ht="11.25" hidden="1" customHeight="1" x14ac:dyDescent="0.25"/>
    <row r="2581" ht="11.25" hidden="1" customHeight="1" x14ac:dyDescent="0.25"/>
    <row r="2582" ht="11.25" hidden="1" customHeight="1" x14ac:dyDescent="0.25"/>
    <row r="2583" ht="11.25" hidden="1" customHeight="1" x14ac:dyDescent="0.25"/>
    <row r="2584" ht="11.25" hidden="1" customHeight="1" x14ac:dyDescent="0.25"/>
    <row r="2585" ht="11.25" hidden="1" customHeight="1" x14ac:dyDescent="0.25"/>
    <row r="2586" ht="11.25" hidden="1" customHeight="1" x14ac:dyDescent="0.25"/>
    <row r="2587" ht="11.25" hidden="1" customHeight="1" x14ac:dyDescent="0.25"/>
    <row r="2588" ht="11.25" hidden="1" customHeight="1" x14ac:dyDescent="0.25"/>
    <row r="2589" ht="11.25" hidden="1" customHeight="1" x14ac:dyDescent="0.25"/>
    <row r="2590" ht="11.25" hidden="1" customHeight="1" x14ac:dyDescent="0.25"/>
    <row r="2591" ht="11.25" hidden="1" customHeight="1" x14ac:dyDescent="0.25"/>
    <row r="2592" ht="11.25" hidden="1" customHeight="1" x14ac:dyDescent="0.25"/>
    <row r="2593" ht="11.25" hidden="1" customHeight="1" x14ac:dyDescent="0.25"/>
    <row r="2594" ht="11.25" hidden="1" customHeight="1" x14ac:dyDescent="0.25"/>
    <row r="2595" ht="11.25" hidden="1" customHeight="1" x14ac:dyDescent="0.25"/>
    <row r="2596" ht="11.25" hidden="1" customHeight="1" x14ac:dyDescent="0.25"/>
    <row r="2597" ht="11.25" hidden="1" customHeight="1" x14ac:dyDescent="0.25"/>
    <row r="2598" ht="11.25" hidden="1" customHeight="1" x14ac:dyDescent="0.25"/>
    <row r="2599" ht="11.25" hidden="1" customHeight="1" x14ac:dyDescent="0.25"/>
    <row r="2600" ht="11.25" hidden="1" customHeight="1" x14ac:dyDescent="0.25"/>
    <row r="2601" ht="11.25" hidden="1" customHeight="1" x14ac:dyDescent="0.25"/>
    <row r="2602" ht="11.25" hidden="1" customHeight="1" x14ac:dyDescent="0.25"/>
    <row r="2603" ht="11.25" hidden="1" customHeight="1" x14ac:dyDescent="0.25"/>
    <row r="2604" ht="11.25" hidden="1" customHeight="1" x14ac:dyDescent="0.25"/>
    <row r="2605" ht="11.25" hidden="1" customHeight="1" x14ac:dyDescent="0.25"/>
    <row r="2606" ht="11.25" hidden="1" customHeight="1" x14ac:dyDescent="0.25"/>
    <row r="2607" ht="11.25" hidden="1" customHeight="1" x14ac:dyDescent="0.25"/>
    <row r="2608" ht="11.25" hidden="1" customHeight="1" x14ac:dyDescent="0.25"/>
    <row r="2609" ht="11.25" hidden="1" customHeight="1" x14ac:dyDescent="0.25"/>
    <row r="2610" ht="11.25" hidden="1" customHeight="1" x14ac:dyDescent="0.25"/>
    <row r="2611" ht="11.25" hidden="1" customHeight="1" x14ac:dyDescent="0.25"/>
    <row r="2612" ht="11.25" hidden="1" customHeight="1" x14ac:dyDescent="0.25"/>
    <row r="2613" ht="11.25" hidden="1" customHeight="1" x14ac:dyDescent="0.25"/>
    <row r="2614" ht="11.25" hidden="1" customHeight="1" x14ac:dyDescent="0.25"/>
    <row r="2615" ht="11.25" hidden="1" customHeight="1" x14ac:dyDescent="0.25"/>
    <row r="2616" ht="11.25" hidden="1" customHeight="1" x14ac:dyDescent="0.25"/>
    <row r="2617" ht="11.25" hidden="1" customHeight="1" x14ac:dyDescent="0.25"/>
    <row r="2618" ht="11.25" hidden="1" customHeight="1" x14ac:dyDescent="0.25"/>
    <row r="2619" ht="11.25" hidden="1" customHeight="1" x14ac:dyDescent="0.25"/>
    <row r="2620" ht="11.25" hidden="1" customHeight="1" x14ac:dyDescent="0.25"/>
    <row r="2621" ht="11.25" hidden="1" customHeight="1" x14ac:dyDescent="0.25"/>
    <row r="2622" ht="11.25" hidden="1" customHeight="1" x14ac:dyDescent="0.25"/>
    <row r="2623" ht="11.25" hidden="1" customHeight="1" x14ac:dyDescent="0.25"/>
    <row r="2624" ht="11.25" hidden="1" customHeight="1" x14ac:dyDescent="0.25"/>
    <row r="2625" ht="11.25" hidden="1" customHeight="1" x14ac:dyDescent="0.25"/>
    <row r="2626" ht="11.25" hidden="1" customHeight="1" x14ac:dyDescent="0.25"/>
    <row r="2627" ht="11.25" hidden="1" customHeight="1" x14ac:dyDescent="0.25"/>
    <row r="2628" ht="11.25" hidden="1" customHeight="1" x14ac:dyDescent="0.25"/>
    <row r="2629" ht="11.25" hidden="1" customHeight="1" x14ac:dyDescent="0.25"/>
    <row r="2630" ht="11.25" hidden="1" customHeight="1" x14ac:dyDescent="0.25"/>
    <row r="2631" ht="11.25" hidden="1" customHeight="1" x14ac:dyDescent="0.25"/>
    <row r="2632" ht="11.25" hidden="1" customHeight="1" x14ac:dyDescent="0.25"/>
    <row r="2633" ht="11.25" hidden="1" customHeight="1" x14ac:dyDescent="0.25"/>
    <row r="2634" ht="11.25" hidden="1" customHeight="1" x14ac:dyDescent="0.25"/>
    <row r="2635" ht="11.25" hidden="1" customHeight="1" x14ac:dyDescent="0.25"/>
    <row r="2636" ht="11.25" hidden="1" customHeight="1" x14ac:dyDescent="0.25"/>
    <row r="2637" ht="11.25" hidden="1" customHeight="1" x14ac:dyDescent="0.25"/>
    <row r="2638" ht="11.25" hidden="1" customHeight="1" x14ac:dyDescent="0.25"/>
    <row r="2639" ht="11.25" hidden="1" customHeight="1" x14ac:dyDescent="0.25"/>
    <row r="2640" ht="11.25" hidden="1" customHeight="1" x14ac:dyDescent="0.25"/>
    <row r="2641" ht="11.25" hidden="1" customHeight="1" x14ac:dyDescent="0.25"/>
    <row r="2642" ht="11.25" hidden="1" customHeight="1" x14ac:dyDescent="0.25"/>
    <row r="2643" ht="11.25" hidden="1" customHeight="1" x14ac:dyDescent="0.25"/>
    <row r="2644" ht="11.25" hidden="1" customHeight="1" x14ac:dyDescent="0.25"/>
    <row r="2645" ht="11.25" hidden="1" customHeight="1" x14ac:dyDescent="0.25"/>
    <row r="2646" ht="11.25" hidden="1" customHeight="1" x14ac:dyDescent="0.25"/>
    <row r="2647" ht="11.25" hidden="1" customHeight="1" x14ac:dyDescent="0.25"/>
    <row r="2648" ht="11.25" hidden="1" customHeight="1" x14ac:dyDescent="0.25"/>
    <row r="2649" ht="11.25" hidden="1" customHeight="1" x14ac:dyDescent="0.25"/>
    <row r="2650" ht="11.25" hidden="1" customHeight="1" x14ac:dyDescent="0.25"/>
    <row r="2651" ht="11.25" hidden="1" customHeight="1" x14ac:dyDescent="0.25"/>
    <row r="2652" ht="11.25" hidden="1" customHeight="1" x14ac:dyDescent="0.25"/>
    <row r="2653" ht="11.25" hidden="1" customHeight="1" x14ac:dyDescent="0.25"/>
    <row r="2654" ht="11.25" hidden="1" customHeight="1" x14ac:dyDescent="0.25"/>
    <row r="2655" ht="11.25" hidden="1" customHeight="1" x14ac:dyDescent="0.25"/>
    <row r="2656" ht="11.25" hidden="1" customHeight="1" x14ac:dyDescent="0.25"/>
    <row r="2657" ht="11.25" hidden="1" customHeight="1" x14ac:dyDescent="0.25"/>
    <row r="2658" ht="11.25" hidden="1" customHeight="1" x14ac:dyDescent="0.25"/>
    <row r="2659" ht="11.25" hidden="1" customHeight="1" x14ac:dyDescent="0.25"/>
    <row r="2660" ht="11.25" hidden="1" customHeight="1" x14ac:dyDescent="0.25"/>
    <row r="2661" ht="11.25" hidden="1" customHeight="1" x14ac:dyDescent="0.25"/>
    <row r="2662" ht="11.25" hidden="1" customHeight="1" x14ac:dyDescent="0.25"/>
    <row r="2663" ht="11.25" hidden="1" customHeight="1" x14ac:dyDescent="0.25"/>
    <row r="2664" ht="11.25" hidden="1" customHeight="1" x14ac:dyDescent="0.25"/>
    <row r="2665" ht="11.25" hidden="1" customHeight="1" x14ac:dyDescent="0.25"/>
    <row r="2666" ht="11.25" hidden="1" customHeight="1" x14ac:dyDescent="0.25"/>
    <row r="2667" ht="11.25" hidden="1" customHeight="1" x14ac:dyDescent="0.25"/>
    <row r="2668" ht="11.25" hidden="1" customHeight="1" x14ac:dyDescent="0.25"/>
    <row r="2669" ht="11.25" hidden="1" customHeight="1" x14ac:dyDescent="0.25"/>
    <row r="2670" ht="11.25" hidden="1" customHeight="1" x14ac:dyDescent="0.25"/>
    <row r="2671" ht="11.25" hidden="1" customHeight="1" x14ac:dyDescent="0.25"/>
    <row r="2672" ht="11.25" hidden="1" customHeight="1" x14ac:dyDescent="0.25"/>
    <row r="2673" ht="11.25" hidden="1" customHeight="1" x14ac:dyDescent="0.25"/>
    <row r="2674" ht="11.25" hidden="1" customHeight="1" x14ac:dyDescent="0.25"/>
    <row r="2675" ht="11.25" hidden="1" customHeight="1" x14ac:dyDescent="0.25"/>
    <row r="2676" ht="11.25" hidden="1" customHeight="1" x14ac:dyDescent="0.25"/>
    <row r="2677" ht="11.25" hidden="1" customHeight="1" x14ac:dyDescent="0.25"/>
    <row r="2678" ht="11.25" hidden="1" customHeight="1" x14ac:dyDescent="0.25"/>
    <row r="2679" ht="11.25" hidden="1" customHeight="1" x14ac:dyDescent="0.25"/>
    <row r="2680" ht="11.25" hidden="1" customHeight="1" x14ac:dyDescent="0.25"/>
    <row r="2681" ht="11.25" hidden="1" customHeight="1" x14ac:dyDescent="0.25"/>
    <row r="2682" ht="11.25" hidden="1" customHeight="1" x14ac:dyDescent="0.25"/>
    <row r="2683" ht="11.25" hidden="1" customHeight="1" x14ac:dyDescent="0.25"/>
    <row r="2684" ht="11.25" hidden="1" customHeight="1" x14ac:dyDescent="0.25"/>
    <row r="2685" ht="11.25" hidden="1" customHeight="1" x14ac:dyDescent="0.25"/>
    <row r="2686" ht="11.25" hidden="1" customHeight="1" x14ac:dyDescent="0.25"/>
    <row r="2687" ht="11.25" hidden="1" customHeight="1" x14ac:dyDescent="0.25"/>
    <row r="2688" ht="11.25" hidden="1" customHeight="1" x14ac:dyDescent="0.25"/>
    <row r="2689" ht="11.25" hidden="1" customHeight="1" x14ac:dyDescent="0.25"/>
    <row r="2690" ht="11.25" hidden="1" customHeight="1" x14ac:dyDescent="0.25"/>
    <row r="2691" ht="11.25" hidden="1" customHeight="1" x14ac:dyDescent="0.25"/>
    <row r="2692" ht="11.25" hidden="1" customHeight="1" x14ac:dyDescent="0.25"/>
    <row r="2693" ht="11.25" hidden="1" customHeight="1" x14ac:dyDescent="0.25"/>
    <row r="2694" ht="11.25" hidden="1" customHeight="1" x14ac:dyDescent="0.25"/>
    <row r="2695" ht="11.25" hidden="1" customHeight="1" x14ac:dyDescent="0.25"/>
    <row r="2696" ht="11.25" hidden="1" customHeight="1" x14ac:dyDescent="0.25"/>
    <row r="2697" ht="11.25" hidden="1" customHeight="1" x14ac:dyDescent="0.25"/>
    <row r="2698" ht="11.25" hidden="1" customHeight="1" x14ac:dyDescent="0.25"/>
    <row r="2699" ht="11.25" hidden="1" customHeight="1" x14ac:dyDescent="0.25"/>
    <row r="2700" ht="11.25" hidden="1" customHeight="1" x14ac:dyDescent="0.25"/>
    <row r="2701" ht="11.25" hidden="1" customHeight="1" x14ac:dyDescent="0.25"/>
    <row r="2702" ht="11.25" hidden="1" customHeight="1" x14ac:dyDescent="0.25"/>
    <row r="2703" ht="11.25" hidden="1" customHeight="1" x14ac:dyDescent="0.25"/>
    <row r="2704" ht="11.25" hidden="1" customHeight="1" x14ac:dyDescent="0.25"/>
    <row r="2705" ht="11.25" hidden="1" customHeight="1" x14ac:dyDescent="0.25"/>
    <row r="2706" ht="11.25" hidden="1" customHeight="1" x14ac:dyDescent="0.25"/>
    <row r="2707" ht="11.25" hidden="1" customHeight="1" x14ac:dyDescent="0.25"/>
    <row r="2708" ht="11.25" hidden="1" customHeight="1" x14ac:dyDescent="0.25"/>
    <row r="2709" ht="11.25" hidden="1" customHeight="1" x14ac:dyDescent="0.25"/>
    <row r="2710" ht="11.25" hidden="1" customHeight="1" x14ac:dyDescent="0.25"/>
    <row r="2711" ht="11.25" hidden="1" customHeight="1" x14ac:dyDescent="0.25"/>
    <row r="2712" ht="11.25" hidden="1" customHeight="1" x14ac:dyDescent="0.25"/>
    <row r="2713" ht="11.25" hidden="1" customHeight="1" x14ac:dyDescent="0.25"/>
    <row r="2714" ht="11.25" hidden="1" customHeight="1" x14ac:dyDescent="0.25"/>
    <row r="2715" ht="11.25" hidden="1" customHeight="1" x14ac:dyDescent="0.25"/>
    <row r="2716" ht="11.25" hidden="1" customHeight="1" x14ac:dyDescent="0.25"/>
    <row r="2717" ht="11.25" hidden="1" customHeight="1" x14ac:dyDescent="0.25"/>
    <row r="2718" ht="11.25" hidden="1" customHeight="1" x14ac:dyDescent="0.25"/>
    <row r="2719" ht="11.25" hidden="1" customHeight="1" x14ac:dyDescent="0.25"/>
    <row r="2720" ht="11.25" hidden="1" customHeight="1" x14ac:dyDescent="0.25"/>
    <row r="2721" ht="11.25" hidden="1" customHeight="1" x14ac:dyDescent="0.25"/>
    <row r="2722" ht="11.25" hidden="1" customHeight="1" x14ac:dyDescent="0.25"/>
    <row r="2723" ht="11.25" hidden="1" customHeight="1" x14ac:dyDescent="0.25"/>
    <row r="2724" ht="11.25" hidden="1" customHeight="1" x14ac:dyDescent="0.25"/>
    <row r="2725" ht="11.25" hidden="1" customHeight="1" x14ac:dyDescent="0.25"/>
    <row r="2726" ht="11.25" hidden="1" customHeight="1" x14ac:dyDescent="0.25"/>
    <row r="2727" ht="11.25" hidden="1" customHeight="1" x14ac:dyDescent="0.25"/>
    <row r="2728" ht="11.25" hidden="1" customHeight="1" x14ac:dyDescent="0.25"/>
    <row r="2729" ht="11.25" hidden="1" customHeight="1" x14ac:dyDescent="0.25"/>
    <row r="2730" ht="11.25" hidden="1" customHeight="1" x14ac:dyDescent="0.25"/>
    <row r="2731" ht="11.25" hidden="1" customHeight="1" x14ac:dyDescent="0.25"/>
    <row r="2732" ht="11.25" hidden="1" customHeight="1" x14ac:dyDescent="0.25"/>
    <row r="2733" ht="11.25" hidden="1" customHeight="1" x14ac:dyDescent="0.25"/>
    <row r="2734" ht="11.25" hidden="1" customHeight="1" x14ac:dyDescent="0.25"/>
    <row r="2735" ht="11.25" hidden="1" customHeight="1" x14ac:dyDescent="0.25"/>
    <row r="2736" ht="11.25" hidden="1" customHeight="1" x14ac:dyDescent="0.25"/>
    <row r="2737" ht="11.25" hidden="1" customHeight="1" x14ac:dyDescent="0.25"/>
    <row r="2738" ht="11.25" hidden="1" customHeight="1" x14ac:dyDescent="0.25"/>
    <row r="2739" ht="11.25" hidden="1" customHeight="1" x14ac:dyDescent="0.25"/>
    <row r="2740" ht="11.25" hidden="1" customHeight="1" x14ac:dyDescent="0.25"/>
    <row r="2741" ht="11.25" hidden="1" customHeight="1" x14ac:dyDescent="0.25"/>
    <row r="2742" ht="11.25" hidden="1" customHeight="1" x14ac:dyDescent="0.25"/>
    <row r="2743" ht="11.25" hidden="1" customHeight="1" x14ac:dyDescent="0.25"/>
    <row r="2744" ht="11.25" hidden="1" customHeight="1" x14ac:dyDescent="0.25"/>
    <row r="2745" ht="11.25" hidden="1" customHeight="1" x14ac:dyDescent="0.25"/>
    <row r="2746" ht="11.25" hidden="1" customHeight="1" x14ac:dyDescent="0.25"/>
    <row r="2747" ht="11.25" hidden="1" customHeight="1" x14ac:dyDescent="0.25"/>
    <row r="2748" ht="11.25" hidden="1" customHeight="1" x14ac:dyDescent="0.25"/>
    <row r="2749" ht="11.25" hidden="1" customHeight="1" x14ac:dyDescent="0.25"/>
    <row r="2750" ht="11.25" hidden="1" customHeight="1" x14ac:dyDescent="0.25"/>
    <row r="2751" ht="11.25" hidden="1" customHeight="1" x14ac:dyDescent="0.25"/>
    <row r="2752" ht="11.25" hidden="1" customHeight="1" x14ac:dyDescent="0.25"/>
    <row r="2753" ht="11.25" hidden="1" customHeight="1" x14ac:dyDescent="0.25"/>
    <row r="2754" ht="11.25" hidden="1" customHeight="1" x14ac:dyDescent="0.25"/>
    <row r="2755" ht="11.25" hidden="1" customHeight="1" x14ac:dyDescent="0.25"/>
    <row r="2756" ht="11.25" hidden="1" customHeight="1" x14ac:dyDescent="0.25"/>
    <row r="2757" ht="11.25" hidden="1" customHeight="1" x14ac:dyDescent="0.25"/>
    <row r="2758" ht="11.25" hidden="1" customHeight="1" x14ac:dyDescent="0.25"/>
    <row r="2759" ht="11.25" hidden="1" customHeight="1" x14ac:dyDescent="0.25"/>
    <row r="2760" ht="11.25" hidden="1" customHeight="1" x14ac:dyDescent="0.25"/>
    <row r="2761" ht="11.25" hidden="1" customHeight="1" x14ac:dyDescent="0.25"/>
    <row r="2762" ht="11.25" hidden="1" customHeight="1" x14ac:dyDescent="0.25"/>
    <row r="2763" ht="11.25" hidden="1" customHeight="1" x14ac:dyDescent="0.25"/>
    <row r="2764" ht="11.25" hidden="1" customHeight="1" x14ac:dyDescent="0.25"/>
    <row r="2765" ht="11.25" hidden="1" customHeight="1" x14ac:dyDescent="0.25"/>
    <row r="2766" ht="11.25" hidden="1" customHeight="1" x14ac:dyDescent="0.25"/>
    <row r="2767" ht="11.25" hidden="1" customHeight="1" x14ac:dyDescent="0.25"/>
    <row r="2768" ht="11.25" hidden="1" customHeight="1" x14ac:dyDescent="0.25"/>
    <row r="2769" ht="11.25" hidden="1" customHeight="1" x14ac:dyDescent="0.25"/>
    <row r="2770" ht="11.25" hidden="1" customHeight="1" x14ac:dyDescent="0.25"/>
    <row r="2771" ht="11.25" hidden="1" customHeight="1" x14ac:dyDescent="0.25"/>
    <row r="2772" ht="11.25" hidden="1" customHeight="1" x14ac:dyDescent="0.25"/>
    <row r="2773" ht="11.25" hidden="1" customHeight="1" x14ac:dyDescent="0.25"/>
    <row r="2774" ht="11.25" hidden="1" customHeight="1" x14ac:dyDescent="0.25"/>
    <row r="2775" ht="11.25" hidden="1" customHeight="1" x14ac:dyDescent="0.25"/>
    <row r="2776" ht="11.25" hidden="1" customHeight="1" x14ac:dyDescent="0.25"/>
    <row r="2777" ht="11.25" hidden="1" customHeight="1" x14ac:dyDescent="0.25"/>
    <row r="2778" ht="11.25" hidden="1" customHeight="1" x14ac:dyDescent="0.25"/>
    <row r="2779" ht="11.25" hidden="1" customHeight="1" x14ac:dyDescent="0.25"/>
    <row r="2780" ht="11.25" hidden="1" customHeight="1" x14ac:dyDescent="0.25"/>
    <row r="2781" ht="11.25" hidden="1" customHeight="1" x14ac:dyDescent="0.25"/>
    <row r="2782" ht="11.25" hidden="1" customHeight="1" x14ac:dyDescent="0.25"/>
    <row r="2783" ht="11.25" hidden="1" customHeight="1" x14ac:dyDescent="0.25"/>
    <row r="2784" ht="11.25" hidden="1" customHeight="1" x14ac:dyDescent="0.25"/>
    <row r="2785" ht="11.25" hidden="1" customHeight="1" x14ac:dyDescent="0.25"/>
    <row r="2786" ht="11.25" hidden="1" customHeight="1" x14ac:dyDescent="0.25"/>
    <row r="2787" ht="11.25" hidden="1" customHeight="1" x14ac:dyDescent="0.25"/>
    <row r="2788" ht="11.25" hidden="1" customHeight="1" x14ac:dyDescent="0.25"/>
    <row r="2789" ht="11.25" hidden="1" customHeight="1" x14ac:dyDescent="0.25"/>
    <row r="2790" ht="11.25" hidden="1" customHeight="1" x14ac:dyDescent="0.25"/>
    <row r="2791" ht="11.25" hidden="1" customHeight="1" x14ac:dyDescent="0.25"/>
    <row r="2792" ht="11.25" hidden="1" customHeight="1" x14ac:dyDescent="0.25"/>
    <row r="2793" ht="11.25" hidden="1" customHeight="1" x14ac:dyDescent="0.25"/>
    <row r="2794" ht="11.25" hidden="1" customHeight="1" x14ac:dyDescent="0.25"/>
    <row r="2795" ht="11.25" hidden="1" customHeight="1" x14ac:dyDescent="0.25"/>
    <row r="2796" ht="11.25" hidden="1" customHeight="1" x14ac:dyDescent="0.25"/>
    <row r="2797" ht="11.25" hidden="1" customHeight="1" x14ac:dyDescent="0.25"/>
    <row r="2798" ht="11.25" hidden="1" customHeight="1" x14ac:dyDescent="0.25"/>
    <row r="2799" ht="11.25" hidden="1" customHeight="1" x14ac:dyDescent="0.25"/>
    <row r="2800" ht="11.25" hidden="1" customHeight="1" x14ac:dyDescent="0.25"/>
    <row r="2801" ht="11.25" hidden="1" customHeight="1" x14ac:dyDescent="0.25"/>
    <row r="2802" ht="11.25" hidden="1" customHeight="1" x14ac:dyDescent="0.25"/>
    <row r="2803" ht="11.25" hidden="1" customHeight="1" x14ac:dyDescent="0.25"/>
    <row r="2804" ht="11.25" hidden="1" customHeight="1" x14ac:dyDescent="0.25"/>
    <row r="2805" ht="11.25" hidden="1" customHeight="1" x14ac:dyDescent="0.25"/>
    <row r="2806" ht="11.25" hidden="1" customHeight="1" x14ac:dyDescent="0.25"/>
    <row r="2807" ht="11.25" hidden="1" customHeight="1" x14ac:dyDescent="0.25"/>
    <row r="2808" ht="11.25" hidden="1" customHeight="1" x14ac:dyDescent="0.25"/>
    <row r="2809" ht="11.25" hidden="1" customHeight="1" x14ac:dyDescent="0.25"/>
    <row r="2810" ht="11.25" hidden="1" customHeight="1" x14ac:dyDescent="0.25"/>
    <row r="2811" ht="11.25" hidden="1" customHeight="1" x14ac:dyDescent="0.25"/>
    <row r="2812" ht="11.25" hidden="1" customHeight="1" x14ac:dyDescent="0.25"/>
    <row r="2813" ht="11.25" hidden="1" customHeight="1" x14ac:dyDescent="0.25"/>
    <row r="2814" ht="11.25" hidden="1" customHeight="1" x14ac:dyDescent="0.25"/>
    <row r="2815" ht="11.25" hidden="1" customHeight="1" x14ac:dyDescent="0.25"/>
    <row r="2816" ht="11.25" hidden="1" customHeight="1" x14ac:dyDescent="0.25"/>
    <row r="2817" ht="11.25" hidden="1" customHeight="1" x14ac:dyDescent="0.25"/>
    <row r="2818" ht="11.25" hidden="1" customHeight="1" x14ac:dyDescent="0.25"/>
    <row r="2819" ht="11.25" hidden="1" customHeight="1" x14ac:dyDescent="0.25"/>
    <row r="2820" ht="11.25" hidden="1" customHeight="1" x14ac:dyDescent="0.25"/>
    <row r="2821" ht="11.25" hidden="1" customHeight="1" x14ac:dyDescent="0.25"/>
    <row r="2822" ht="11.25" hidden="1" customHeight="1" x14ac:dyDescent="0.25"/>
    <row r="2823" ht="11.25" hidden="1" customHeight="1" x14ac:dyDescent="0.25"/>
    <row r="2824" ht="11.25" hidden="1" customHeight="1" x14ac:dyDescent="0.25"/>
    <row r="2825" ht="11.25" hidden="1" customHeight="1" x14ac:dyDescent="0.25"/>
    <row r="2826" ht="11.25" hidden="1" customHeight="1" x14ac:dyDescent="0.25"/>
    <row r="2827" ht="11.25" hidden="1" customHeight="1" x14ac:dyDescent="0.25"/>
    <row r="2828" ht="11.25" hidden="1" customHeight="1" x14ac:dyDescent="0.25"/>
    <row r="2829" ht="11.25" hidden="1" customHeight="1" x14ac:dyDescent="0.25"/>
    <row r="2830" ht="11.25" hidden="1" customHeight="1" x14ac:dyDescent="0.25"/>
    <row r="2831" ht="11.25" hidden="1" customHeight="1" x14ac:dyDescent="0.25"/>
    <row r="2832" ht="11.25" hidden="1" customHeight="1" x14ac:dyDescent="0.25"/>
    <row r="2833" ht="11.25" hidden="1" customHeight="1" x14ac:dyDescent="0.25"/>
    <row r="2834" ht="11.25" hidden="1" customHeight="1" x14ac:dyDescent="0.25"/>
    <row r="2835" ht="11.25" hidden="1" customHeight="1" x14ac:dyDescent="0.25"/>
    <row r="2836" ht="11.25" hidden="1" customHeight="1" x14ac:dyDescent="0.25"/>
    <row r="2837" ht="11.25" hidden="1" customHeight="1" x14ac:dyDescent="0.25"/>
    <row r="2838" ht="11.25" hidden="1" customHeight="1" x14ac:dyDescent="0.25"/>
    <row r="2839" ht="11.25" hidden="1" customHeight="1" x14ac:dyDescent="0.25"/>
    <row r="2840" ht="11.25" hidden="1" customHeight="1" x14ac:dyDescent="0.25"/>
    <row r="2841" ht="11.25" hidden="1" customHeight="1" x14ac:dyDescent="0.25"/>
    <row r="2842" ht="11.25" hidden="1" customHeight="1" x14ac:dyDescent="0.25"/>
    <row r="2843" ht="11.25" hidden="1" customHeight="1" x14ac:dyDescent="0.25"/>
    <row r="2844" ht="11.25" hidden="1" customHeight="1" x14ac:dyDescent="0.25"/>
    <row r="2845" ht="11.25" hidden="1" customHeight="1" x14ac:dyDescent="0.25"/>
    <row r="2846" ht="11.25" hidden="1" customHeight="1" x14ac:dyDescent="0.25"/>
    <row r="2847" ht="11.25" hidden="1" customHeight="1" x14ac:dyDescent="0.25"/>
    <row r="2848" ht="11.25" hidden="1" customHeight="1" x14ac:dyDescent="0.25"/>
    <row r="2849" ht="11.25" hidden="1" customHeight="1" x14ac:dyDescent="0.25"/>
    <row r="2850" ht="11.25" hidden="1" customHeight="1" x14ac:dyDescent="0.25"/>
    <row r="2851" ht="11.25" hidden="1" customHeight="1" x14ac:dyDescent="0.25"/>
    <row r="2852" ht="11.25" hidden="1" customHeight="1" x14ac:dyDescent="0.25"/>
    <row r="2853" ht="11.25" hidden="1" customHeight="1" x14ac:dyDescent="0.25"/>
    <row r="2854" ht="11.25" hidden="1" customHeight="1" x14ac:dyDescent="0.25"/>
    <row r="2855" ht="11.25" hidden="1" customHeight="1" x14ac:dyDescent="0.25"/>
    <row r="2856" ht="11.25" hidden="1" customHeight="1" x14ac:dyDescent="0.25"/>
    <row r="2857" ht="11.25" hidden="1" customHeight="1" x14ac:dyDescent="0.25"/>
    <row r="2858" ht="11.25" hidden="1" customHeight="1" x14ac:dyDescent="0.25"/>
    <row r="2859" ht="11.25" hidden="1" customHeight="1" x14ac:dyDescent="0.25"/>
    <row r="2860" ht="11.25" hidden="1" customHeight="1" x14ac:dyDescent="0.25"/>
    <row r="2861" ht="11.25" hidden="1" customHeight="1" x14ac:dyDescent="0.25"/>
    <row r="2862" ht="11.25" hidden="1" customHeight="1" x14ac:dyDescent="0.25"/>
    <row r="2863" ht="11.25" hidden="1" customHeight="1" x14ac:dyDescent="0.25"/>
    <row r="2864" ht="11.25" hidden="1" customHeight="1" x14ac:dyDescent="0.25"/>
    <row r="2865" ht="11.25" hidden="1" customHeight="1" x14ac:dyDescent="0.25"/>
    <row r="2866" ht="11.25" hidden="1" customHeight="1" x14ac:dyDescent="0.25"/>
    <row r="2867" ht="11.25" hidden="1" customHeight="1" x14ac:dyDescent="0.25"/>
    <row r="2868" ht="11.25" hidden="1" customHeight="1" x14ac:dyDescent="0.25"/>
    <row r="2869" ht="11.25" hidden="1" customHeight="1" x14ac:dyDescent="0.25"/>
    <row r="2870" ht="11.25" hidden="1" customHeight="1" x14ac:dyDescent="0.25"/>
    <row r="2871" ht="11.25" hidden="1" customHeight="1" x14ac:dyDescent="0.25"/>
    <row r="2872" ht="11.25" hidden="1" customHeight="1" x14ac:dyDescent="0.25"/>
    <row r="2873" ht="11.25" hidden="1" customHeight="1" x14ac:dyDescent="0.25"/>
    <row r="2874" ht="11.25" hidden="1" customHeight="1" x14ac:dyDescent="0.25"/>
    <row r="2875" ht="11.25" hidden="1" customHeight="1" x14ac:dyDescent="0.25"/>
    <row r="2876" ht="11.25" hidden="1" customHeight="1" x14ac:dyDescent="0.25"/>
    <row r="2877" ht="11.25" hidden="1" customHeight="1" x14ac:dyDescent="0.25"/>
    <row r="2878" ht="11.25" hidden="1" customHeight="1" x14ac:dyDescent="0.25"/>
    <row r="2879" ht="11.25" hidden="1" customHeight="1" x14ac:dyDescent="0.25"/>
    <row r="2880" ht="11.25" hidden="1" customHeight="1" x14ac:dyDescent="0.25"/>
    <row r="2881" ht="11.25" hidden="1" customHeight="1" x14ac:dyDescent="0.25"/>
    <row r="2882" ht="11.25" hidden="1" customHeight="1" x14ac:dyDescent="0.25"/>
    <row r="2883" ht="11.25" hidden="1" customHeight="1" x14ac:dyDescent="0.25"/>
    <row r="2884" ht="11.25" hidden="1" customHeight="1" x14ac:dyDescent="0.25"/>
    <row r="2885" ht="11.25" hidden="1" customHeight="1" x14ac:dyDescent="0.25"/>
    <row r="2886" ht="11.25" hidden="1" customHeight="1" x14ac:dyDescent="0.25"/>
    <row r="2887" ht="11.25" hidden="1" customHeight="1" x14ac:dyDescent="0.25"/>
    <row r="2888" ht="11.25" hidden="1" customHeight="1" x14ac:dyDescent="0.25"/>
    <row r="2889" ht="11.25" hidden="1" customHeight="1" x14ac:dyDescent="0.25"/>
    <row r="2890" ht="11.25" hidden="1" customHeight="1" x14ac:dyDescent="0.25"/>
    <row r="2891" ht="11.25" hidden="1" customHeight="1" x14ac:dyDescent="0.25"/>
    <row r="2892" ht="11.25" hidden="1" customHeight="1" x14ac:dyDescent="0.25"/>
    <row r="2893" ht="11.25" hidden="1" customHeight="1" x14ac:dyDescent="0.25"/>
    <row r="2894" ht="11.25" hidden="1" customHeight="1" x14ac:dyDescent="0.25"/>
    <row r="2895" ht="11.25" hidden="1" customHeight="1" x14ac:dyDescent="0.25"/>
    <row r="2896" ht="11.25" hidden="1" customHeight="1" x14ac:dyDescent="0.25"/>
    <row r="2897" ht="11.25" hidden="1" customHeight="1" x14ac:dyDescent="0.25"/>
    <row r="2898" ht="11.25" hidden="1" customHeight="1" x14ac:dyDescent="0.25"/>
    <row r="2899" ht="11.25" hidden="1" customHeight="1" x14ac:dyDescent="0.25"/>
    <row r="2900" ht="11.25" hidden="1" customHeight="1" x14ac:dyDescent="0.25"/>
    <row r="2901" ht="11.25" hidden="1" customHeight="1" x14ac:dyDescent="0.25"/>
    <row r="2902" ht="11.25" hidden="1" customHeight="1" x14ac:dyDescent="0.25"/>
    <row r="2903" ht="11.25" hidden="1" customHeight="1" x14ac:dyDescent="0.25"/>
    <row r="2904" ht="11.25" hidden="1" customHeight="1" x14ac:dyDescent="0.25"/>
    <row r="2905" ht="11.25" hidden="1" customHeight="1" x14ac:dyDescent="0.25"/>
    <row r="2906" ht="11.25" hidden="1" customHeight="1" x14ac:dyDescent="0.25"/>
    <row r="2907" ht="11.25" hidden="1" customHeight="1" x14ac:dyDescent="0.25"/>
    <row r="2908" ht="11.25" hidden="1" customHeight="1" x14ac:dyDescent="0.25"/>
    <row r="2909" ht="11.25" hidden="1" customHeight="1" x14ac:dyDescent="0.25"/>
    <row r="2910" ht="11.25" hidden="1" customHeight="1" x14ac:dyDescent="0.25"/>
    <row r="2911" ht="11.25" hidden="1" customHeight="1" x14ac:dyDescent="0.25"/>
    <row r="2912" ht="11.25" hidden="1" customHeight="1" x14ac:dyDescent="0.25"/>
    <row r="2913" ht="11.25" hidden="1" customHeight="1" x14ac:dyDescent="0.25"/>
    <row r="2914" ht="11.25" hidden="1" customHeight="1" x14ac:dyDescent="0.25"/>
    <row r="2915" ht="11.25" hidden="1" customHeight="1" x14ac:dyDescent="0.25"/>
    <row r="2916" ht="11.25" hidden="1" customHeight="1" x14ac:dyDescent="0.25"/>
    <row r="2917" ht="11.25" hidden="1" customHeight="1" x14ac:dyDescent="0.25"/>
    <row r="2918" ht="11.25" hidden="1" customHeight="1" x14ac:dyDescent="0.25"/>
    <row r="2919" ht="11.25" hidden="1" customHeight="1" x14ac:dyDescent="0.25"/>
    <row r="2920" ht="11.25" hidden="1" customHeight="1" x14ac:dyDescent="0.25"/>
    <row r="2921" ht="11.25" hidden="1" customHeight="1" x14ac:dyDescent="0.25"/>
    <row r="2922" ht="11.25" hidden="1" customHeight="1" x14ac:dyDescent="0.25"/>
    <row r="2923" ht="11.25" hidden="1" customHeight="1" x14ac:dyDescent="0.25"/>
    <row r="2924" ht="11.25" hidden="1" customHeight="1" x14ac:dyDescent="0.25"/>
    <row r="2925" ht="11.25" hidden="1" customHeight="1" x14ac:dyDescent="0.25"/>
    <row r="2926" ht="11.25" hidden="1" customHeight="1" x14ac:dyDescent="0.25"/>
    <row r="2927" ht="11.25" hidden="1" customHeight="1" x14ac:dyDescent="0.25"/>
    <row r="2928" ht="11.25" hidden="1" customHeight="1" x14ac:dyDescent="0.25"/>
    <row r="2929" ht="11.25" hidden="1" customHeight="1" x14ac:dyDescent="0.25"/>
    <row r="2930" ht="11.25" hidden="1" customHeight="1" x14ac:dyDescent="0.25"/>
    <row r="2931" ht="11.25" hidden="1" customHeight="1" x14ac:dyDescent="0.25"/>
    <row r="2932" ht="11.25" hidden="1" customHeight="1" x14ac:dyDescent="0.25"/>
    <row r="2933" ht="11.25" hidden="1" customHeight="1" x14ac:dyDescent="0.25"/>
    <row r="2934" ht="11.25" hidden="1" customHeight="1" x14ac:dyDescent="0.25"/>
    <row r="2935" ht="11.25" hidden="1" customHeight="1" x14ac:dyDescent="0.25"/>
    <row r="2936" ht="11.25" hidden="1" customHeight="1" x14ac:dyDescent="0.25"/>
    <row r="2937" ht="11.25" hidden="1" customHeight="1" x14ac:dyDescent="0.25"/>
    <row r="2938" ht="11.25" hidden="1" customHeight="1" x14ac:dyDescent="0.25"/>
    <row r="2939" ht="11.25" hidden="1" customHeight="1" x14ac:dyDescent="0.25"/>
    <row r="2940" ht="11.25" hidden="1" customHeight="1" x14ac:dyDescent="0.25"/>
    <row r="2941" ht="11.25" hidden="1" customHeight="1" x14ac:dyDescent="0.25"/>
    <row r="2942" ht="11.25" hidden="1" customHeight="1" x14ac:dyDescent="0.25"/>
    <row r="2943" ht="11.25" hidden="1" customHeight="1" x14ac:dyDescent="0.25"/>
    <row r="2944" ht="11.25" hidden="1" customHeight="1" x14ac:dyDescent="0.25"/>
    <row r="2945" ht="11.25" hidden="1" customHeight="1" x14ac:dyDescent="0.25"/>
    <row r="2946" ht="11.25" hidden="1" customHeight="1" x14ac:dyDescent="0.25"/>
    <row r="2947" ht="11.25" hidden="1" customHeight="1" x14ac:dyDescent="0.25"/>
    <row r="2948" ht="11.25" hidden="1" customHeight="1" x14ac:dyDescent="0.25"/>
    <row r="2949" ht="11.25" hidden="1" customHeight="1" x14ac:dyDescent="0.25"/>
    <row r="2950" ht="11.25" hidden="1" customHeight="1" x14ac:dyDescent="0.25"/>
    <row r="2951" ht="11.25" hidden="1" customHeight="1" x14ac:dyDescent="0.25"/>
    <row r="2952" ht="11.25" hidden="1" customHeight="1" x14ac:dyDescent="0.25"/>
    <row r="2953" ht="11.25" hidden="1" customHeight="1" x14ac:dyDescent="0.25"/>
    <row r="2954" ht="11.25" hidden="1" customHeight="1" x14ac:dyDescent="0.25"/>
    <row r="2955" ht="11.25" hidden="1" customHeight="1" x14ac:dyDescent="0.25"/>
    <row r="2956" ht="11.25" hidden="1" customHeight="1" x14ac:dyDescent="0.25"/>
    <row r="2957" ht="11.25" hidden="1" customHeight="1" x14ac:dyDescent="0.25"/>
    <row r="2958" ht="11.25" hidden="1" customHeight="1" x14ac:dyDescent="0.25"/>
    <row r="2959" ht="11.25" hidden="1" customHeight="1" x14ac:dyDescent="0.25"/>
    <row r="2960" ht="11.25" hidden="1" customHeight="1" x14ac:dyDescent="0.25"/>
    <row r="2961" ht="11.25" hidden="1" customHeight="1" x14ac:dyDescent="0.25"/>
    <row r="2962" ht="11.25" hidden="1" customHeight="1" x14ac:dyDescent="0.25"/>
    <row r="2963" ht="11.25" hidden="1" customHeight="1" x14ac:dyDescent="0.25"/>
    <row r="2964" ht="11.25" hidden="1" customHeight="1" x14ac:dyDescent="0.25"/>
    <row r="2965" ht="11.25" hidden="1" customHeight="1" x14ac:dyDescent="0.25"/>
    <row r="2966" ht="11.25" hidden="1" customHeight="1" x14ac:dyDescent="0.25"/>
    <row r="2967" ht="11.25" hidden="1" customHeight="1" x14ac:dyDescent="0.25"/>
    <row r="2968" ht="11.25" hidden="1" customHeight="1" x14ac:dyDescent="0.25"/>
    <row r="2969" ht="11.25" hidden="1" customHeight="1" x14ac:dyDescent="0.25"/>
    <row r="2970" ht="11.25" hidden="1" customHeight="1" x14ac:dyDescent="0.25"/>
    <row r="2971" ht="11.25" hidden="1" customHeight="1" x14ac:dyDescent="0.25"/>
    <row r="2972" ht="11.25" hidden="1" customHeight="1" x14ac:dyDescent="0.25"/>
    <row r="2973" ht="11.25" hidden="1" customHeight="1" x14ac:dyDescent="0.25"/>
    <row r="2974" ht="11.25" hidden="1" customHeight="1" x14ac:dyDescent="0.25"/>
    <row r="2975" ht="11.25" hidden="1" customHeight="1" x14ac:dyDescent="0.25"/>
    <row r="2976" ht="11.25" hidden="1" customHeight="1" x14ac:dyDescent="0.25"/>
    <row r="2977" ht="11.25" hidden="1" customHeight="1" x14ac:dyDescent="0.25"/>
    <row r="2978" ht="11.25" hidden="1" customHeight="1" x14ac:dyDescent="0.25"/>
    <row r="2979" ht="11.25" hidden="1" customHeight="1" x14ac:dyDescent="0.25"/>
    <row r="2980" ht="11.25" hidden="1" customHeight="1" x14ac:dyDescent="0.25"/>
    <row r="2981" ht="11.25" hidden="1" customHeight="1" x14ac:dyDescent="0.25"/>
    <row r="2982" ht="11.25" hidden="1" customHeight="1" x14ac:dyDescent="0.25"/>
    <row r="2983" ht="11.25" hidden="1" customHeight="1" x14ac:dyDescent="0.25"/>
    <row r="2984" ht="11.25" hidden="1" customHeight="1" x14ac:dyDescent="0.25"/>
    <row r="2985" ht="11.25" hidden="1" customHeight="1" x14ac:dyDescent="0.25"/>
    <row r="2986" ht="11.25" hidden="1" customHeight="1" x14ac:dyDescent="0.25"/>
    <row r="2987" ht="11.25" hidden="1" customHeight="1" x14ac:dyDescent="0.25"/>
    <row r="2988" ht="11.25" hidden="1" customHeight="1" x14ac:dyDescent="0.25"/>
    <row r="2989" ht="11.25" hidden="1" customHeight="1" x14ac:dyDescent="0.25"/>
    <row r="2990" ht="11.25" hidden="1" customHeight="1" x14ac:dyDescent="0.25"/>
    <row r="2991" ht="11.25" hidden="1" customHeight="1" x14ac:dyDescent="0.25"/>
    <row r="2992" ht="11.25" hidden="1" customHeight="1" x14ac:dyDescent="0.25"/>
    <row r="2993" ht="11.25" hidden="1" customHeight="1" x14ac:dyDescent="0.25"/>
    <row r="2994" ht="11.25" hidden="1" customHeight="1" x14ac:dyDescent="0.25"/>
    <row r="2995" ht="11.25" hidden="1" customHeight="1" x14ac:dyDescent="0.25"/>
    <row r="2996" ht="11.25" hidden="1" customHeight="1" x14ac:dyDescent="0.25"/>
    <row r="2997" ht="11.25" hidden="1" customHeight="1" x14ac:dyDescent="0.25"/>
    <row r="2998" ht="11.25" hidden="1" customHeight="1" x14ac:dyDescent="0.25"/>
    <row r="2999" ht="11.25" hidden="1" customHeight="1" x14ac:dyDescent="0.25"/>
    <row r="3000" ht="11.25" hidden="1" customHeight="1" x14ac:dyDescent="0.25"/>
    <row r="3001" ht="11.25" hidden="1" customHeight="1" x14ac:dyDescent="0.25"/>
    <row r="3002" ht="11.25" hidden="1" customHeight="1" x14ac:dyDescent="0.25"/>
    <row r="3003" ht="11.25" hidden="1" customHeight="1" x14ac:dyDescent="0.25"/>
    <row r="3004" ht="11.25" hidden="1" customHeight="1" x14ac:dyDescent="0.25"/>
    <row r="3005" ht="11.25" hidden="1" customHeight="1" x14ac:dyDescent="0.25"/>
    <row r="3006" ht="11.25" hidden="1" customHeight="1" x14ac:dyDescent="0.25"/>
    <row r="3007" ht="11.25" hidden="1" customHeight="1" x14ac:dyDescent="0.25"/>
    <row r="3008" ht="11.25" hidden="1" customHeight="1" x14ac:dyDescent="0.25"/>
    <row r="3009" ht="11.25" hidden="1" customHeight="1" x14ac:dyDescent="0.25"/>
    <row r="3010" ht="11.25" hidden="1" customHeight="1" x14ac:dyDescent="0.25"/>
    <row r="3011" ht="11.25" hidden="1" customHeight="1" x14ac:dyDescent="0.25"/>
    <row r="3012" ht="11.25" hidden="1" customHeight="1" x14ac:dyDescent="0.25"/>
    <row r="3013" ht="11.25" hidden="1" customHeight="1" x14ac:dyDescent="0.25"/>
    <row r="3014" ht="11.25" hidden="1" customHeight="1" x14ac:dyDescent="0.25"/>
    <row r="3015" ht="11.25" hidden="1" customHeight="1" x14ac:dyDescent="0.25"/>
    <row r="3016" ht="11.25" hidden="1" customHeight="1" x14ac:dyDescent="0.25"/>
    <row r="3017" ht="11.25" hidden="1" customHeight="1" x14ac:dyDescent="0.25"/>
    <row r="3018" ht="11.25" hidden="1" customHeight="1" x14ac:dyDescent="0.25"/>
    <row r="3019" ht="11.25" hidden="1" customHeight="1" x14ac:dyDescent="0.25"/>
    <row r="3020" ht="11.25" hidden="1" customHeight="1" x14ac:dyDescent="0.25"/>
    <row r="3021" ht="11.25" hidden="1" customHeight="1" x14ac:dyDescent="0.25"/>
    <row r="3022" ht="11.25" hidden="1" customHeight="1" x14ac:dyDescent="0.25"/>
    <row r="3023" ht="11.25" hidden="1" customHeight="1" x14ac:dyDescent="0.25"/>
    <row r="3024" ht="11.25" hidden="1" customHeight="1" x14ac:dyDescent="0.25"/>
    <row r="3025" ht="11.25" hidden="1" customHeight="1" x14ac:dyDescent="0.25"/>
    <row r="3026" ht="11.25" hidden="1" customHeight="1" x14ac:dyDescent="0.25"/>
    <row r="3027" ht="11.25" hidden="1" customHeight="1" x14ac:dyDescent="0.25"/>
    <row r="3028" ht="11.25" hidden="1" customHeight="1" x14ac:dyDescent="0.25"/>
    <row r="3029" ht="11.25" hidden="1" customHeight="1" x14ac:dyDescent="0.25"/>
    <row r="3030" ht="11.25" hidden="1" customHeight="1" x14ac:dyDescent="0.25"/>
    <row r="3031" ht="11.25" hidden="1" customHeight="1" x14ac:dyDescent="0.25"/>
    <row r="3032" ht="11.25" hidden="1" customHeight="1" x14ac:dyDescent="0.25"/>
    <row r="3033" ht="11.25" hidden="1" customHeight="1" x14ac:dyDescent="0.25"/>
    <row r="3034" ht="11.25" hidden="1" customHeight="1" x14ac:dyDescent="0.25"/>
    <row r="3035" ht="11.25" hidden="1" customHeight="1" x14ac:dyDescent="0.25"/>
    <row r="3036" ht="11.25" hidden="1" customHeight="1" x14ac:dyDescent="0.25"/>
    <row r="3037" ht="11.25" hidden="1" customHeight="1" x14ac:dyDescent="0.25"/>
    <row r="3038" ht="11.25" hidden="1" customHeight="1" x14ac:dyDescent="0.25"/>
    <row r="3039" ht="11.25" hidden="1" customHeight="1" x14ac:dyDescent="0.25"/>
    <row r="3040" ht="11.25" hidden="1" customHeight="1" x14ac:dyDescent="0.25"/>
    <row r="3041" ht="11.25" hidden="1" customHeight="1" x14ac:dyDescent="0.25"/>
    <row r="3042" ht="11.25" hidden="1" customHeight="1" x14ac:dyDescent="0.25"/>
    <row r="3043" ht="11.25" hidden="1" customHeight="1" x14ac:dyDescent="0.25"/>
    <row r="3044" ht="11.25" hidden="1" customHeight="1" x14ac:dyDescent="0.25"/>
    <row r="3045" ht="11.25" hidden="1" customHeight="1" x14ac:dyDescent="0.25"/>
    <row r="3046" ht="11.25" hidden="1" customHeight="1" x14ac:dyDescent="0.25"/>
    <row r="3047" ht="11.25" hidden="1" customHeight="1" x14ac:dyDescent="0.25"/>
    <row r="3048" ht="11.25" hidden="1" customHeight="1" x14ac:dyDescent="0.25"/>
    <row r="3049" ht="11.25" hidden="1" customHeight="1" x14ac:dyDescent="0.25"/>
    <row r="3050" ht="11.25" hidden="1" customHeight="1" x14ac:dyDescent="0.25"/>
    <row r="3051" ht="11.25" hidden="1" customHeight="1" x14ac:dyDescent="0.25"/>
    <row r="3052" ht="11.25" hidden="1" customHeight="1" x14ac:dyDescent="0.25"/>
    <row r="3053" ht="11.25" hidden="1" customHeight="1" x14ac:dyDescent="0.25"/>
    <row r="3054" ht="11.25" hidden="1" customHeight="1" x14ac:dyDescent="0.25"/>
    <row r="3055" ht="11.25" hidden="1" customHeight="1" x14ac:dyDescent="0.25"/>
    <row r="3056" ht="11.25" hidden="1" customHeight="1" x14ac:dyDescent="0.25"/>
    <row r="3057" ht="11.25" hidden="1" customHeight="1" x14ac:dyDescent="0.25"/>
    <row r="3058" ht="11.25" hidden="1" customHeight="1" x14ac:dyDescent="0.25"/>
    <row r="3059" ht="11.25" hidden="1" customHeight="1" x14ac:dyDescent="0.25"/>
    <row r="3060" ht="11.25" hidden="1" customHeight="1" x14ac:dyDescent="0.25"/>
    <row r="3061" ht="11.25" hidden="1" customHeight="1" x14ac:dyDescent="0.25"/>
    <row r="3062" ht="11.25" hidden="1" customHeight="1" x14ac:dyDescent="0.25"/>
    <row r="3063" ht="11.25" hidden="1" customHeight="1" x14ac:dyDescent="0.25"/>
    <row r="3064" ht="11.25" hidden="1" customHeight="1" x14ac:dyDescent="0.25"/>
    <row r="3065" ht="11.25" hidden="1" customHeight="1" x14ac:dyDescent="0.25"/>
    <row r="3066" ht="11.25" hidden="1" customHeight="1" x14ac:dyDescent="0.25"/>
    <row r="3067" ht="11.25" hidden="1" customHeight="1" x14ac:dyDescent="0.25"/>
    <row r="3068" ht="11.25" hidden="1" customHeight="1" x14ac:dyDescent="0.25"/>
    <row r="3069" ht="11.25" hidden="1" customHeight="1" x14ac:dyDescent="0.25"/>
    <row r="3070" ht="11.25" hidden="1" customHeight="1" x14ac:dyDescent="0.25"/>
    <row r="3071" ht="11.25" hidden="1" customHeight="1" x14ac:dyDescent="0.25"/>
    <row r="3072" ht="11.25" hidden="1" customHeight="1" x14ac:dyDescent="0.25"/>
    <row r="3073" ht="11.25" hidden="1" customHeight="1" x14ac:dyDescent="0.25"/>
    <row r="3074" ht="11.25" hidden="1" customHeight="1" x14ac:dyDescent="0.25"/>
    <row r="3075" ht="11.25" hidden="1" customHeight="1" x14ac:dyDescent="0.25"/>
    <row r="3076" ht="11.25" hidden="1" customHeight="1" x14ac:dyDescent="0.25"/>
    <row r="3077" ht="11.25" hidden="1" customHeight="1" x14ac:dyDescent="0.25"/>
    <row r="3078" ht="11.25" hidden="1" customHeight="1" x14ac:dyDescent="0.25"/>
    <row r="3079" ht="11.25" hidden="1" customHeight="1" x14ac:dyDescent="0.25"/>
    <row r="3080" ht="11.25" hidden="1" customHeight="1" x14ac:dyDescent="0.25"/>
    <row r="3081" ht="11.25" hidden="1" customHeight="1" x14ac:dyDescent="0.25"/>
    <row r="3082" ht="11.25" hidden="1" customHeight="1" x14ac:dyDescent="0.25"/>
    <row r="3083" ht="11.25" hidden="1" customHeight="1" x14ac:dyDescent="0.25"/>
    <row r="3084" ht="11.25" hidden="1" customHeight="1" x14ac:dyDescent="0.25"/>
    <row r="3085" ht="11.25" hidden="1" customHeight="1" x14ac:dyDescent="0.25"/>
    <row r="3086" ht="11.25" hidden="1" customHeight="1" x14ac:dyDescent="0.25"/>
    <row r="3087" ht="11.25" hidden="1" customHeight="1" x14ac:dyDescent="0.25"/>
    <row r="3088" ht="11.25" hidden="1" customHeight="1" x14ac:dyDescent="0.25"/>
    <row r="3089" ht="11.25" hidden="1" customHeight="1" x14ac:dyDescent="0.25"/>
    <row r="3090" ht="11.25" hidden="1" customHeight="1" x14ac:dyDescent="0.25"/>
    <row r="3091" ht="11.25" hidden="1" customHeight="1" x14ac:dyDescent="0.25"/>
    <row r="3092" ht="11.25" hidden="1" customHeight="1" x14ac:dyDescent="0.25"/>
    <row r="3093" ht="11.25" hidden="1" customHeight="1" x14ac:dyDescent="0.25"/>
    <row r="3094" ht="11.25" hidden="1" customHeight="1" x14ac:dyDescent="0.25"/>
    <row r="3095" ht="11.25" hidden="1" customHeight="1" x14ac:dyDescent="0.25"/>
    <row r="3096" ht="11.25" hidden="1" customHeight="1" x14ac:dyDescent="0.25"/>
    <row r="3097" ht="11.25" hidden="1" customHeight="1" x14ac:dyDescent="0.25"/>
    <row r="3098" ht="11.25" hidden="1" customHeight="1" x14ac:dyDescent="0.25"/>
    <row r="3099" ht="11.25" hidden="1" customHeight="1" x14ac:dyDescent="0.25"/>
    <row r="3100" ht="11.25" hidden="1" customHeight="1" x14ac:dyDescent="0.25"/>
    <row r="3101" ht="11.25" hidden="1" customHeight="1" x14ac:dyDescent="0.25"/>
    <row r="3102" ht="11.25" hidden="1" customHeight="1" x14ac:dyDescent="0.25"/>
    <row r="3103" ht="11.25" hidden="1" customHeight="1" x14ac:dyDescent="0.25"/>
    <row r="3104" ht="11.25" hidden="1" customHeight="1" x14ac:dyDescent="0.25"/>
    <row r="3105" ht="11.25" hidden="1" customHeight="1" x14ac:dyDescent="0.25"/>
    <row r="3106" ht="11.25" hidden="1" customHeight="1" x14ac:dyDescent="0.25"/>
    <row r="3107" ht="11.25" hidden="1" customHeight="1" x14ac:dyDescent="0.25"/>
    <row r="3108" ht="11.25" hidden="1" customHeight="1" x14ac:dyDescent="0.25"/>
    <row r="3109" ht="11.25" hidden="1" customHeight="1" x14ac:dyDescent="0.25"/>
    <row r="3110" ht="11.25" hidden="1" customHeight="1" x14ac:dyDescent="0.25"/>
    <row r="3111" ht="11.25" hidden="1" customHeight="1" x14ac:dyDescent="0.25"/>
    <row r="3112" ht="11.25" hidden="1" customHeight="1" x14ac:dyDescent="0.25"/>
    <row r="3113" ht="11.25" hidden="1" customHeight="1" x14ac:dyDescent="0.25"/>
    <row r="3114" ht="11.25" hidden="1" customHeight="1" x14ac:dyDescent="0.25"/>
    <row r="3115" ht="11.25" hidden="1" customHeight="1" x14ac:dyDescent="0.25"/>
    <row r="3116" ht="11.25" hidden="1" customHeight="1" x14ac:dyDescent="0.25"/>
    <row r="3117" ht="11.25" hidden="1" customHeight="1" x14ac:dyDescent="0.25"/>
    <row r="3118" ht="11.25" hidden="1" customHeight="1" x14ac:dyDescent="0.25"/>
    <row r="3119" ht="11.25" hidden="1" customHeight="1" x14ac:dyDescent="0.25"/>
    <row r="3120" ht="11.25" hidden="1" customHeight="1" x14ac:dyDescent="0.25"/>
    <row r="3121" ht="11.25" hidden="1" customHeight="1" x14ac:dyDescent="0.25"/>
    <row r="3122" ht="11.25" hidden="1" customHeight="1" x14ac:dyDescent="0.25"/>
    <row r="3123" ht="11.25" hidden="1" customHeight="1" x14ac:dyDescent="0.25"/>
    <row r="3124" ht="11.25" hidden="1" customHeight="1" x14ac:dyDescent="0.25"/>
    <row r="3125" ht="11.25" hidden="1" customHeight="1" x14ac:dyDescent="0.25"/>
    <row r="3126" ht="11.25" hidden="1" customHeight="1" x14ac:dyDescent="0.25"/>
    <row r="3127" ht="11.25" hidden="1" customHeight="1" x14ac:dyDescent="0.25"/>
    <row r="3128" ht="11.25" hidden="1" customHeight="1" x14ac:dyDescent="0.25"/>
    <row r="3129" ht="11.25" hidden="1" customHeight="1" x14ac:dyDescent="0.25"/>
    <row r="3130" ht="11.25" hidden="1" customHeight="1" x14ac:dyDescent="0.25"/>
    <row r="3131" ht="11.25" hidden="1" customHeight="1" x14ac:dyDescent="0.25"/>
    <row r="3132" ht="11.25" hidden="1" customHeight="1" x14ac:dyDescent="0.25"/>
    <row r="3133" ht="11.25" hidden="1" customHeight="1" x14ac:dyDescent="0.25"/>
    <row r="3134" ht="11.25" hidden="1" customHeight="1" x14ac:dyDescent="0.25"/>
    <row r="3135" ht="11.25" hidden="1" customHeight="1" x14ac:dyDescent="0.25"/>
    <row r="3136" ht="11.25" hidden="1" customHeight="1" x14ac:dyDescent="0.25"/>
    <row r="3137" ht="11.25" hidden="1" customHeight="1" x14ac:dyDescent="0.25"/>
    <row r="3138" ht="11.25" hidden="1" customHeight="1" x14ac:dyDescent="0.25"/>
    <row r="3139" ht="11.25" hidden="1" customHeight="1" x14ac:dyDescent="0.25"/>
    <row r="3140" ht="11.25" hidden="1" customHeight="1" x14ac:dyDescent="0.25"/>
    <row r="3141" ht="11.25" hidden="1" customHeight="1" x14ac:dyDescent="0.25"/>
    <row r="3142" ht="11.25" hidden="1" customHeight="1" x14ac:dyDescent="0.25"/>
    <row r="3143" ht="11.25" hidden="1" customHeight="1" x14ac:dyDescent="0.25"/>
    <row r="3144" ht="11.25" hidden="1" customHeight="1" x14ac:dyDescent="0.25"/>
    <row r="3145" ht="11.25" hidden="1" customHeight="1" x14ac:dyDescent="0.25"/>
    <row r="3146" ht="11.25" hidden="1" customHeight="1" x14ac:dyDescent="0.25"/>
    <row r="3147" ht="11.25" hidden="1" customHeight="1" x14ac:dyDescent="0.25"/>
    <row r="3148" ht="11.25" hidden="1" customHeight="1" x14ac:dyDescent="0.25"/>
    <row r="3149" ht="11.25" hidden="1" customHeight="1" x14ac:dyDescent="0.25"/>
    <row r="3150" ht="11.25" hidden="1" customHeight="1" x14ac:dyDescent="0.25"/>
    <row r="3151" ht="11.25" hidden="1" customHeight="1" x14ac:dyDescent="0.25"/>
    <row r="3152" ht="11.25" hidden="1" customHeight="1" x14ac:dyDescent="0.25"/>
    <row r="3153" ht="11.25" hidden="1" customHeight="1" x14ac:dyDescent="0.25"/>
    <row r="3154" ht="11.25" hidden="1" customHeight="1" x14ac:dyDescent="0.25"/>
    <row r="3155" ht="11.25" hidden="1" customHeight="1" x14ac:dyDescent="0.25"/>
    <row r="3156" ht="11.25" hidden="1" customHeight="1" x14ac:dyDescent="0.25"/>
    <row r="3157" ht="11.25" hidden="1" customHeight="1" x14ac:dyDescent="0.25"/>
    <row r="3158" ht="11.25" hidden="1" customHeight="1" x14ac:dyDescent="0.25"/>
    <row r="3159" ht="11.25" hidden="1" customHeight="1" x14ac:dyDescent="0.25"/>
    <row r="3160" ht="11.25" hidden="1" customHeight="1" x14ac:dyDescent="0.25"/>
    <row r="3161" ht="11.25" hidden="1" customHeight="1" x14ac:dyDescent="0.25"/>
    <row r="3162" ht="11.25" hidden="1" customHeight="1" x14ac:dyDescent="0.25"/>
    <row r="3163" ht="11.25" hidden="1" customHeight="1" x14ac:dyDescent="0.25"/>
    <row r="3164" ht="11.25" hidden="1" customHeight="1" x14ac:dyDescent="0.25"/>
    <row r="3165" ht="11.25" hidden="1" customHeight="1" x14ac:dyDescent="0.25"/>
    <row r="3166" ht="11.25" hidden="1" customHeight="1" x14ac:dyDescent="0.25"/>
    <row r="3167" ht="11.25" hidden="1" customHeight="1" x14ac:dyDescent="0.25"/>
    <row r="3168" ht="11.25" hidden="1" customHeight="1" x14ac:dyDescent="0.25"/>
    <row r="3169" ht="11.25" hidden="1" customHeight="1" x14ac:dyDescent="0.25"/>
    <row r="3170" ht="11.25" hidden="1" customHeight="1" x14ac:dyDescent="0.25"/>
    <row r="3171" ht="11.25" hidden="1" customHeight="1" x14ac:dyDescent="0.25"/>
    <row r="3172" ht="11.25" hidden="1" customHeight="1" x14ac:dyDescent="0.25"/>
    <row r="3173" ht="11.25" hidden="1" customHeight="1" x14ac:dyDescent="0.25"/>
    <row r="3174" ht="11.25" hidden="1" customHeight="1" x14ac:dyDescent="0.25"/>
    <row r="3175" ht="11.25" hidden="1" customHeight="1" x14ac:dyDescent="0.25"/>
    <row r="3176" ht="11.25" hidden="1" customHeight="1" x14ac:dyDescent="0.25"/>
    <row r="3177" ht="11.25" hidden="1" customHeight="1" x14ac:dyDescent="0.25"/>
    <row r="3178" ht="11.25" hidden="1" customHeight="1" x14ac:dyDescent="0.25"/>
    <row r="3179" ht="11.25" hidden="1" customHeight="1" x14ac:dyDescent="0.25"/>
    <row r="3180" ht="11.25" hidden="1" customHeight="1" x14ac:dyDescent="0.25"/>
    <row r="3181" ht="11.25" hidden="1" customHeight="1" x14ac:dyDescent="0.25"/>
    <row r="3182" ht="11.25" hidden="1" customHeight="1" x14ac:dyDescent="0.25"/>
    <row r="3183" ht="11.25" hidden="1" customHeight="1" x14ac:dyDescent="0.25"/>
    <row r="3184" ht="11.25" hidden="1" customHeight="1" x14ac:dyDescent="0.25"/>
    <row r="3185" ht="11.25" hidden="1" customHeight="1" x14ac:dyDescent="0.25"/>
    <row r="3186" ht="11.25" hidden="1" customHeight="1" x14ac:dyDescent="0.25"/>
    <row r="3187" ht="11.25" hidden="1" customHeight="1" x14ac:dyDescent="0.25"/>
    <row r="3188" ht="11.25" hidden="1" customHeight="1" x14ac:dyDescent="0.25"/>
    <row r="3189" ht="11.25" hidden="1" customHeight="1" x14ac:dyDescent="0.25"/>
    <row r="3190" ht="11.25" hidden="1" customHeight="1" x14ac:dyDescent="0.25"/>
    <row r="3191" ht="11.25" hidden="1" customHeight="1" x14ac:dyDescent="0.25"/>
    <row r="3192" ht="11.25" hidden="1" customHeight="1" x14ac:dyDescent="0.25"/>
    <row r="3193" ht="11.25" hidden="1" customHeight="1" x14ac:dyDescent="0.25"/>
    <row r="3194" ht="11.25" hidden="1" customHeight="1" x14ac:dyDescent="0.25"/>
    <row r="3195" ht="11.25" hidden="1" customHeight="1" x14ac:dyDescent="0.25"/>
    <row r="3196" ht="11.25" hidden="1" customHeight="1" x14ac:dyDescent="0.25"/>
    <row r="3197" ht="11.25" hidden="1" customHeight="1" x14ac:dyDescent="0.25"/>
    <row r="3198" ht="11.25" hidden="1" customHeight="1" x14ac:dyDescent="0.25"/>
    <row r="3199" ht="11.25" hidden="1" customHeight="1" x14ac:dyDescent="0.25"/>
    <row r="3200" ht="11.25" hidden="1" customHeight="1" x14ac:dyDescent="0.25"/>
    <row r="3201" ht="11.25" hidden="1" customHeight="1" x14ac:dyDescent="0.25"/>
    <row r="3202" ht="11.25" hidden="1" customHeight="1" x14ac:dyDescent="0.25"/>
    <row r="3203" ht="11.25" hidden="1" customHeight="1" x14ac:dyDescent="0.25"/>
    <row r="3204" ht="11.25" hidden="1" customHeight="1" x14ac:dyDescent="0.25"/>
    <row r="3205" ht="11.25" hidden="1" customHeight="1" x14ac:dyDescent="0.25"/>
    <row r="3206" ht="11.25" hidden="1" customHeight="1" x14ac:dyDescent="0.25"/>
    <row r="3207" ht="11.25" hidden="1" customHeight="1" x14ac:dyDescent="0.25"/>
    <row r="3208" ht="11.25" hidden="1" customHeight="1" x14ac:dyDescent="0.25"/>
    <row r="3209" ht="11.25" hidden="1" customHeight="1" x14ac:dyDescent="0.25"/>
    <row r="3210" ht="11.25" hidden="1" customHeight="1" x14ac:dyDescent="0.25"/>
    <row r="3211" ht="11.25" hidden="1" customHeight="1" x14ac:dyDescent="0.25"/>
    <row r="3212" ht="11.25" hidden="1" customHeight="1" x14ac:dyDescent="0.25"/>
    <row r="3213" ht="11.25" hidden="1" customHeight="1" x14ac:dyDescent="0.25"/>
    <row r="3214" ht="11.25" hidden="1" customHeight="1" x14ac:dyDescent="0.25"/>
    <row r="3215" ht="11.25" hidden="1" customHeight="1" x14ac:dyDescent="0.25"/>
    <row r="3216" ht="11.25" hidden="1" customHeight="1" x14ac:dyDescent="0.25"/>
    <row r="3217" ht="11.25" hidden="1" customHeight="1" x14ac:dyDescent="0.25"/>
    <row r="3218" ht="11.25" hidden="1" customHeight="1" x14ac:dyDescent="0.25"/>
    <row r="3219" ht="11.25" hidden="1" customHeight="1" x14ac:dyDescent="0.25"/>
    <row r="3220" ht="11.25" hidden="1" customHeight="1" x14ac:dyDescent="0.25"/>
    <row r="3221" ht="11.25" hidden="1" customHeight="1" x14ac:dyDescent="0.25"/>
    <row r="3222" ht="11.25" hidden="1" customHeight="1" x14ac:dyDescent="0.25"/>
    <row r="3223" ht="11.25" hidden="1" customHeight="1" x14ac:dyDescent="0.25"/>
    <row r="3224" ht="11.25" hidden="1" customHeight="1" x14ac:dyDescent="0.25"/>
    <row r="3225" ht="11.25" hidden="1" customHeight="1" x14ac:dyDescent="0.25"/>
    <row r="3226" ht="11.25" hidden="1" customHeight="1" x14ac:dyDescent="0.25"/>
    <row r="3227" ht="11.25" hidden="1" customHeight="1" x14ac:dyDescent="0.25"/>
    <row r="3228" ht="11.25" hidden="1" customHeight="1" x14ac:dyDescent="0.25"/>
    <row r="3229" ht="11.25" hidden="1" customHeight="1" x14ac:dyDescent="0.25"/>
    <row r="3230" ht="11.25" hidden="1" customHeight="1" x14ac:dyDescent="0.25"/>
    <row r="3231" ht="11.25" hidden="1" customHeight="1" x14ac:dyDescent="0.25"/>
    <row r="3232" ht="11.25" hidden="1" customHeight="1" x14ac:dyDescent="0.25"/>
    <row r="3233" ht="11.25" hidden="1" customHeight="1" x14ac:dyDescent="0.25"/>
    <row r="3234" ht="11.25" hidden="1" customHeight="1" x14ac:dyDescent="0.25"/>
    <row r="3235" ht="11.25" hidden="1" customHeight="1" x14ac:dyDescent="0.25"/>
    <row r="3236" ht="11.25" hidden="1" customHeight="1" x14ac:dyDescent="0.25"/>
    <row r="3237" ht="11.25" hidden="1" customHeight="1" x14ac:dyDescent="0.25"/>
    <row r="3238" ht="11.25" hidden="1" customHeight="1" x14ac:dyDescent="0.25"/>
    <row r="3239" ht="11.25" hidden="1" customHeight="1" x14ac:dyDescent="0.25"/>
    <row r="3240" ht="11.25" hidden="1" customHeight="1" x14ac:dyDescent="0.25"/>
    <row r="3241" ht="11.25" hidden="1" customHeight="1" x14ac:dyDescent="0.25"/>
    <row r="3242" ht="11.25" hidden="1" customHeight="1" x14ac:dyDescent="0.25"/>
    <row r="3243" ht="11.25" hidden="1" customHeight="1" x14ac:dyDescent="0.25"/>
    <row r="3244" ht="11.25" hidden="1" customHeight="1" x14ac:dyDescent="0.25"/>
    <row r="3245" ht="11.25" hidden="1" customHeight="1" x14ac:dyDescent="0.25"/>
    <row r="3246" ht="11.25" hidden="1" customHeight="1" x14ac:dyDescent="0.25"/>
    <row r="3247" ht="11.25" hidden="1" customHeight="1" x14ac:dyDescent="0.25"/>
    <row r="3248" ht="11.25" hidden="1" customHeight="1" x14ac:dyDescent="0.25"/>
    <row r="3249" ht="11.25" hidden="1" customHeight="1" x14ac:dyDescent="0.25"/>
    <row r="3250" ht="11.25" hidden="1" customHeight="1" x14ac:dyDescent="0.25"/>
    <row r="3251" ht="11.25" hidden="1" customHeight="1" x14ac:dyDescent="0.25"/>
    <row r="3252" ht="11.25" hidden="1" customHeight="1" x14ac:dyDescent="0.25"/>
    <row r="3253" ht="11.25" hidden="1" customHeight="1" x14ac:dyDescent="0.25"/>
    <row r="3254" ht="11.25" hidden="1" customHeight="1" x14ac:dyDescent="0.25"/>
    <row r="3255" ht="11.25" hidden="1" customHeight="1" x14ac:dyDescent="0.25"/>
    <row r="3256" ht="11.25" hidden="1" customHeight="1" x14ac:dyDescent="0.25"/>
    <row r="3257" ht="11.25" hidden="1" customHeight="1" x14ac:dyDescent="0.25"/>
    <row r="3258" ht="11.25" hidden="1" customHeight="1" x14ac:dyDescent="0.25"/>
    <row r="3259" ht="11.25" hidden="1" customHeight="1" x14ac:dyDescent="0.25"/>
    <row r="3260" ht="11.25" hidden="1" customHeight="1" x14ac:dyDescent="0.25"/>
    <row r="3261" ht="11.25" hidden="1" customHeight="1" x14ac:dyDescent="0.25"/>
    <row r="3262" ht="11.25" hidden="1" customHeight="1" x14ac:dyDescent="0.25"/>
    <row r="3263" ht="11.25" hidden="1" customHeight="1" x14ac:dyDescent="0.25"/>
    <row r="3264" ht="11.25" hidden="1" customHeight="1" x14ac:dyDescent="0.25"/>
    <row r="3265" ht="11.25" hidden="1" customHeight="1" x14ac:dyDescent="0.25"/>
    <row r="3266" ht="11.25" hidden="1" customHeight="1" x14ac:dyDescent="0.25"/>
    <row r="3267" ht="11.25" hidden="1" customHeight="1" x14ac:dyDescent="0.25"/>
    <row r="3268" ht="11.25" hidden="1" customHeight="1" x14ac:dyDescent="0.25"/>
    <row r="3269" ht="11.25" hidden="1" customHeight="1" x14ac:dyDescent="0.25"/>
    <row r="3270" ht="11.25" hidden="1" customHeight="1" x14ac:dyDescent="0.25"/>
    <row r="3271" ht="11.25" hidden="1" customHeight="1" x14ac:dyDescent="0.25"/>
    <row r="3272" ht="11.25" hidden="1" customHeight="1" x14ac:dyDescent="0.25"/>
    <row r="3273" ht="11.25" hidden="1" customHeight="1" x14ac:dyDescent="0.25"/>
    <row r="3274" ht="11.25" hidden="1" customHeight="1" x14ac:dyDescent="0.25"/>
    <row r="3275" ht="11.25" hidden="1" customHeight="1" x14ac:dyDescent="0.25"/>
    <row r="3276" ht="11.25" hidden="1" customHeight="1" x14ac:dyDescent="0.25"/>
    <row r="3277" ht="11.25" hidden="1" customHeight="1" x14ac:dyDescent="0.25"/>
    <row r="3278" ht="11.25" hidden="1" customHeight="1" x14ac:dyDescent="0.25"/>
    <row r="3279" ht="11.25" hidden="1" customHeight="1" x14ac:dyDescent="0.25"/>
    <row r="3280" ht="11.25" hidden="1" customHeight="1" x14ac:dyDescent="0.25"/>
    <row r="3281" ht="11.25" hidden="1" customHeight="1" x14ac:dyDescent="0.25"/>
    <row r="3282" ht="11.25" hidden="1" customHeight="1" x14ac:dyDescent="0.25"/>
    <row r="3283" ht="11.25" hidden="1" customHeight="1" x14ac:dyDescent="0.25"/>
    <row r="3284" ht="11.25" hidden="1" customHeight="1" x14ac:dyDescent="0.25"/>
    <row r="3285" ht="11.25" hidden="1" customHeight="1" x14ac:dyDescent="0.25"/>
    <row r="3286" ht="11.25" hidden="1" customHeight="1" x14ac:dyDescent="0.25"/>
    <row r="3287" ht="11.25" hidden="1" customHeight="1" x14ac:dyDescent="0.25"/>
    <row r="3288" ht="11.25" hidden="1" customHeight="1" x14ac:dyDescent="0.25"/>
    <row r="3289" ht="11.25" hidden="1" customHeight="1" x14ac:dyDescent="0.25"/>
    <row r="3290" ht="11.25" hidden="1" customHeight="1" x14ac:dyDescent="0.25"/>
    <row r="3291" ht="11.25" hidden="1" customHeight="1" x14ac:dyDescent="0.25"/>
    <row r="3292" ht="11.25" hidden="1" customHeight="1" x14ac:dyDescent="0.25"/>
    <row r="3293" ht="11.25" hidden="1" customHeight="1" x14ac:dyDescent="0.25"/>
    <row r="3294" ht="11.25" hidden="1" customHeight="1" x14ac:dyDescent="0.25"/>
    <row r="3295" ht="11.25" hidden="1" customHeight="1" x14ac:dyDescent="0.25"/>
    <row r="3296" ht="11.25" hidden="1" customHeight="1" x14ac:dyDescent="0.25"/>
    <row r="3297" ht="11.25" hidden="1" customHeight="1" x14ac:dyDescent="0.25"/>
    <row r="3298" ht="11.25" hidden="1" customHeight="1" x14ac:dyDescent="0.25"/>
    <row r="3299" ht="11.25" hidden="1" customHeight="1" x14ac:dyDescent="0.25"/>
    <row r="3300" ht="11.25" hidden="1" customHeight="1" x14ac:dyDescent="0.25"/>
    <row r="3301" ht="11.25" hidden="1" customHeight="1" x14ac:dyDescent="0.25"/>
    <row r="3302" ht="11.25" hidden="1" customHeight="1" x14ac:dyDescent="0.25"/>
    <row r="3303" ht="11.25" hidden="1" customHeight="1" x14ac:dyDescent="0.25"/>
    <row r="3304" ht="11.25" hidden="1" customHeight="1" x14ac:dyDescent="0.25"/>
    <row r="3305" ht="11.25" hidden="1" customHeight="1" x14ac:dyDescent="0.25"/>
    <row r="3306" ht="11.25" hidden="1" customHeight="1" x14ac:dyDescent="0.25"/>
    <row r="3307" ht="11.25" hidden="1" customHeight="1" x14ac:dyDescent="0.25"/>
    <row r="3308" ht="11.25" hidden="1" customHeight="1" x14ac:dyDescent="0.25"/>
    <row r="3309" ht="11.25" hidden="1" customHeight="1" x14ac:dyDescent="0.25"/>
    <row r="3310" ht="11.25" hidden="1" customHeight="1" x14ac:dyDescent="0.25"/>
    <row r="3311" ht="11.25" hidden="1" customHeight="1" x14ac:dyDescent="0.25"/>
    <row r="3312" ht="11.25" hidden="1" customHeight="1" x14ac:dyDescent="0.25"/>
    <row r="3313" ht="11.25" hidden="1" customHeight="1" x14ac:dyDescent="0.25"/>
    <row r="3314" ht="11.25" hidden="1" customHeight="1" x14ac:dyDescent="0.25"/>
    <row r="3315" ht="11.25" hidden="1" customHeight="1" x14ac:dyDescent="0.25"/>
    <row r="3316" ht="11.25" hidden="1" customHeight="1" x14ac:dyDescent="0.25"/>
    <row r="3317" ht="11.25" hidden="1" customHeight="1" x14ac:dyDescent="0.25"/>
    <row r="3318" ht="11.25" hidden="1" customHeight="1" x14ac:dyDescent="0.25"/>
    <row r="3319" ht="11.25" hidden="1" customHeight="1" x14ac:dyDescent="0.25"/>
    <row r="3320" ht="11.25" hidden="1" customHeight="1" x14ac:dyDescent="0.25"/>
    <row r="3321" ht="11.25" hidden="1" customHeight="1" x14ac:dyDescent="0.25"/>
    <row r="3322" ht="11.25" hidden="1" customHeight="1" x14ac:dyDescent="0.25"/>
    <row r="3323" ht="11.25" hidden="1" customHeight="1" x14ac:dyDescent="0.25"/>
    <row r="3324" ht="11.25" hidden="1" customHeight="1" x14ac:dyDescent="0.25"/>
    <row r="3325" ht="11.25" hidden="1" customHeight="1" x14ac:dyDescent="0.25"/>
    <row r="3326" ht="11.25" hidden="1" customHeight="1" x14ac:dyDescent="0.25"/>
    <row r="3327" ht="11.25" hidden="1" customHeight="1" x14ac:dyDescent="0.25"/>
    <row r="3328" ht="11.25" hidden="1" customHeight="1" x14ac:dyDescent="0.25"/>
    <row r="3329" ht="11.25" hidden="1" customHeight="1" x14ac:dyDescent="0.25"/>
    <row r="3330" ht="11.25" hidden="1" customHeight="1" x14ac:dyDescent="0.25"/>
    <row r="3331" ht="11.25" hidden="1" customHeight="1" x14ac:dyDescent="0.25"/>
    <row r="3332" ht="11.25" hidden="1" customHeight="1" x14ac:dyDescent="0.25"/>
    <row r="3333" ht="11.25" hidden="1" customHeight="1" x14ac:dyDescent="0.25"/>
    <row r="3334" ht="11.25" hidden="1" customHeight="1" x14ac:dyDescent="0.25"/>
    <row r="3335" ht="11.25" hidden="1" customHeight="1" x14ac:dyDescent="0.25"/>
    <row r="3336" ht="11.25" hidden="1" customHeight="1" x14ac:dyDescent="0.25"/>
    <row r="3337" ht="11.25" hidden="1" customHeight="1" x14ac:dyDescent="0.25"/>
    <row r="3338" ht="11.25" hidden="1" customHeight="1" x14ac:dyDescent="0.25"/>
    <row r="3339" ht="11.25" hidden="1" customHeight="1" x14ac:dyDescent="0.25"/>
    <row r="3340" ht="11.25" hidden="1" customHeight="1" x14ac:dyDescent="0.25"/>
    <row r="3341" ht="11.25" hidden="1" customHeight="1" x14ac:dyDescent="0.25"/>
    <row r="3342" ht="11.25" hidden="1" customHeight="1" x14ac:dyDescent="0.25"/>
    <row r="3343" ht="11.25" hidden="1" customHeight="1" x14ac:dyDescent="0.25"/>
    <row r="3344" ht="11.25" hidden="1" customHeight="1" x14ac:dyDescent="0.25"/>
    <row r="3345" ht="11.25" hidden="1" customHeight="1" x14ac:dyDescent="0.25"/>
    <row r="3346" ht="11.25" hidden="1" customHeight="1" x14ac:dyDescent="0.25"/>
    <row r="3347" ht="11.25" hidden="1" customHeight="1" x14ac:dyDescent="0.25"/>
    <row r="3348" ht="11.25" hidden="1" customHeight="1" x14ac:dyDescent="0.25"/>
    <row r="3349" ht="11.25" hidden="1" customHeight="1" x14ac:dyDescent="0.25"/>
    <row r="3350" ht="11.25" hidden="1" customHeight="1" x14ac:dyDescent="0.25"/>
    <row r="3351" ht="11.25" hidden="1" customHeight="1" x14ac:dyDescent="0.25"/>
    <row r="3352" ht="11.25" hidden="1" customHeight="1" x14ac:dyDescent="0.25"/>
    <row r="3353" ht="11.25" hidden="1" customHeight="1" x14ac:dyDescent="0.25"/>
    <row r="3354" ht="11.25" hidden="1" customHeight="1" x14ac:dyDescent="0.25"/>
    <row r="3355" ht="11.25" hidden="1" customHeight="1" x14ac:dyDescent="0.25"/>
    <row r="3356" ht="11.25" hidden="1" customHeight="1" x14ac:dyDescent="0.25"/>
    <row r="3357" ht="11.25" hidden="1" customHeight="1" x14ac:dyDescent="0.25"/>
    <row r="3358" ht="11.25" hidden="1" customHeight="1" x14ac:dyDescent="0.25"/>
    <row r="3359" ht="11.25" hidden="1" customHeight="1" x14ac:dyDescent="0.25"/>
    <row r="3360" ht="11.25" hidden="1" customHeight="1" x14ac:dyDescent="0.25"/>
    <row r="3361" ht="11.25" hidden="1" customHeight="1" x14ac:dyDescent="0.25"/>
    <row r="3362" ht="11.25" hidden="1" customHeight="1" x14ac:dyDescent="0.25"/>
    <row r="3363" ht="11.25" hidden="1" customHeight="1" x14ac:dyDescent="0.25"/>
    <row r="3364" ht="11.25" hidden="1" customHeight="1" x14ac:dyDescent="0.25"/>
    <row r="3365" ht="11.25" hidden="1" customHeight="1" x14ac:dyDescent="0.25"/>
    <row r="3366" ht="11.25" hidden="1" customHeight="1" x14ac:dyDescent="0.25"/>
    <row r="3367" ht="11.25" hidden="1" customHeight="1" x14ac:dyDescent="0.25"/>
    <row r="3368" ht="11.25" hidden="1" customHeight="1" x14ac:dyDescent="0.25"/>
    <row r="3369" ht="11.25" hidden="1" customHeight="1" x14ac:dyDescent="0.25"/>
    <row r="3370" ht="11.25" hidden="1" customHeight="1" x14ac:dyDescent="0.25"/>
    <row r="3371" ht="11.25" hidden="1" customHeight="1" x14ac:dyDescent="0.25"/>
    <row r="3372" ht="11.25" hidden="1" customHeight="1" x14ac:dyDescent="0.25"/>
    <row r="3373" ht="11.25" hidden="1" customHeight="1" x14ac:dyDescent="0.25"/>
    <row r="3374" ht="11.25" hidden="1" customHeight="1" x14ac:dyDescent="0.25"/>
    <row r="3375" ht="11.25" hidden="1" customHeight="1" x14ac:dyDescent="0.25"/>
    <row r="3376" ht="11.25" hidden="1" customHeight="1" x14ac:dyDescent="0.25"/>
    <row r="3377" ht="11.25" hidden="1" customHeight="1" x14ac:dyDescent="0.25"/>
    <row r="3378" ht="11.25" hidden="1" customHeight="1" x14ac:dyDescent="0.25"/>
    <row r="3379" ht="11.25" hidden="1" customHeight="1" x14ac:dyDescent="0.25"/>
    <row r="3380" ht="11.25" hidden="1" customHeight="1" x14ac:dyDescent="0.25"/>
    <row r="3381" ht="11.25" hidden="1" customHeight="1" x14ac:dyDescent="0.25"/>
    <row r="3382" ht="11.25" hidden="1" customHeight="1" x14ac:dyDescent="0.25"/>
    <row r="3383" ht="11.25" hidden="1" customHeight="1" x14ac:dyDescent="0.25"/>
    <row r="3384" ht="11.25" hidden="1" customHeight="1" x14ac:dyDescent="0.25"/>
    <row r="3385" ht="11.25" hidden="1" customHeight="1" x14ac:dyDescent="0.25"/>
    <row r="3386" ht="11.25" hidden="1" customHeight="1" x14ac:dyDescent="0.25"/>
    <row r="3387" ht="11.25" hidden="1" customHeight="1" x14ac:dyDescent="0.25"/>
    <row r="3388" ht="11.25" hidden="1" customHeight="1" x14ac:dyDescent="0.25"/>
    <row r="3389" ht="11.25" hidden="1" customHeight="1" x14ac:dyDescent="0.25"/>
    <row r="3390" ht="11.25" hidden="1" customHeight="1" x14ac:dyDescent="0.25"/>
    <row r="3391" ht="11.25" hidden="1" customHeight="1" x14ac:dyDescent="0.25"/>
    <row r="3392" ht="11.25" hidden="1" customHeight="1" x14ac:dyDescent="0.25"/>
    <row r="3393" ht="11.25" hidden="1" customHeight="1" x14ac:dyDescent="0.25"/>
    <row r="3394" ht="11.25" hidden="1" customHeight="1" x14ac:dyDescent="0.25"/>
    <row r="3395" ht="11.25" hidden="1" customHeight="1" x14ac:dyDescent="0.25"/>
    <row r="3396" ht="11.25" hidden="1" customHeight="1" x14ac:dyDescent="0.25"/>
    <row r="3397" ht="11.25" hidden="1" customHeight="1" x14ac:dyDescent="0.25"/>
    <row r="3398" ht="11.25" hidden="1" customHeight="1" x14ac:dyDescent="0.25"/>
    <row r="3399" ht="11.25" hidden="1" customHeight="1" x14ac:dyDescent="0.25"/>
    <row r="3400" ht="11.25" hidden="1" customHeight="1" x14ac:dyDescent="0.25"/>
    <row r="3401" ht="11.25" hidden="1" customHeight="1" x14ac:dyDescent="0.25"/>
    <row r="3402" ht="11.25" hidden="1" customHeight="1" x14ac:dyDescent="0.25"/>
    <row r="3403" ht="11.25" hidden="1" customHeight="1" x14ac:dyDescent="0.25"/>
    <row r="3404" ht="11.25" hidden="1" customHeight="1" x14ac:dyDescent="0.25"/>
    <row r="3405" ht="11.25" hidden="1" customHeight="1" x14ac:dyDescent="0.25"/>
    <row r="3406" ht="11.25" hidden="1" customHeight="1" x14ac:dyDescent="0.25"/>
    <row r="3407" ht="11.25" hidden="1" customHeight="1" x14ac:dyDescent="0.25"/>
    <row r="3408" ht="11.25" hidden="1" customHeight="1" x14ac:dyDescent="0.25"/>
    <row r="3409" ht="11.25" hidden="1" customHeight="1" x14ac:dyDescent="0.25"/>
    <row r="3410" ht="11.25" hidden="1" customHeight="1" x14ac:dyDescent="0.25"/>
    <row r="3411" ht="11.25" hidden="1" customHeight="1" x14ac:dyDescent="0.25"/>
    <row r="3412" ht="11.25" hidden="1" customHeight="1" x14ac:dyDescent="0.25"/>
    <row r="3413" ht="11.25" hidden="1" customHeight="1" x14ac:dyDescent="0.25"/>
    <row r="3414" ht="11.25" hidden="1" customHeight="1" x14ac:dyDescent="0.25"/>
    <row r="3415" ht="11.25" hidden="1" customHeight="1" x14ac:dyDescent="0.25"/>
    <row r="3416" ht="11.25" hidden="1" customHeight="1" x14ac:dyDescent="0.25"/>
    <row r="3417" ht="11.25" hidden="1" customHeight="1" x14ac:dyDescent="0.25"/>
    <row r="3418" ht="11.25" hidden="1" customHeight="1" x14ac:dyDescent="0.25"/>
    <row r="3419" ht="11.25" hidden="1" customHeight="1" x14ac:dyDescent="0.25"/>
    <row r="3420" ht="11.25" hidden="1" customHeight="1" x14ac:dyDescent="0.25"/>
    <row r="3421" ht="11.25" hidden="1" customHeight="1" x14ac:dyDescent="0.25"/>
    <row r="3422" ht="11.25" hidden="1" customHeight="1" x14ac:dyDescent="0.25"/>
    <row r="3423" ht="11.25" hidden="1" customHeight="1" x14ac:dyDescent="0.25"/>
    <row r="3424" ht="11.25" hidden="1" customHeight="1" x14ac:dyDescent="0.25"/>
    <row r="3425" ht="11.25" hidden="1" customHeight="1" x14ac:dyDescent="0.25"/>
    <row r="3426" ht="11.25" hidden="1" customHeight="1" x14ac:dyDescent="0.25"/>
    <row r="3427" ht="11.25" hidden="1" customHeight="1" x14ac:dyDescent="0.25"/>
    <row r="3428" ht="11.25" hidden="1" customHeight="1" x14ac:dyDescent="0.25"/>
    <row r="3429" ht="11.25" hidden="1" customHeight="1" x14ac:dyDescent="0.25"/>
    <row r="3430" ht="11.25" hidden="1" customHeight="1" x14ac:dyDescent="0.25"/>
    <row r="3431" ht="11.25" hidden="1" customHeight="1" x14ac:dyDescent="0.25"/>
    <row r="3432" ht="11.25" hidden="1" customHeight="1" x14ac:dyDescent="0.25"/>
    <row r="3433" ht="11.25" hidden="1" customHeight="1" x14ac:dyDescent="0.25"/>
    <row r="3434" ht="11.25" hidden="1" customHeight="1" x14ac:dyDescent="0.25"/>
    <row r="3435" ht="11.25" hidden="1" customHeight="1" x14ac:dyDescent="0.25"/>
    <row r="3436" ht="11.25" hidden="1" customHeight="1" x14ac:dyDescent="0.25"/>
    <row r="3437" ht="11.25" hidden="1" customHeight="1" x14ac:dyDescent="0.25"/>
    <row r="3438" ht="11.25" hidden="1" customHeight="1" x14ac:dyDescent="0.25"/>
    <row r="3439" ht="11.25" hidden="1" customHeight="1" x14ac:dyDescent="0.25"/>
    <row r="3440" ht="11.25" hidden="1" customHeight="1" x14ac:dyDescent="0.25"/>
    <row r="3441" ht="11.25" hidden="1" customHeight="1" x14ac:dyDescent="0.25"/>
    <row r="3442" ht="11.25" hidden="1" customHeight="1" x14ac:dyDescent="0.25"/>
    <row r="3443" ht="11.25" hidden="1" customHeight="1" x14ac:dyDescent="0.25"/>
    <row r="3444" ht="11.25" hidden="1" customHeight="1" x14ac:dyDescent="0.25"/>
    <row r="3445" ht="11.25" hidden="1" customHeight="1" x14ac:dyDescent="0.25"/>
    <row r="3446" ht="11.25" hidden="1" customHeight="1" x14ac:dyDescent="0.25"/>
    <row r="3447" ht="11.25" hidden="1" customHeight="1" x14ac:dyDescent="0.25"/>
    <row r="3448" ht="11.25" hidden="1" customHeight="1" x14ac:dyDescent="0.25"/>
    <row r="3449" ht="11.25" hidden="1" customHeight="1" x14ac:dyDescent="0.25"/>
    <row r="3450" ht="11.25" hidden="1" customHeight="1" x14ac:dyDescent="0.25"/>
    <row r="3451" ht="11.25" hidden="1" customHeight="1" x14ac:dyDescent="0.25"/>
    <row r="3452" ht="11.25" hidden="1" customHeight="1" x14ac:dyDescent="0.25"/>
    <row r="3453" ht="11.25" hidden="1" customHeight="1" x14ac:dyDescent="0.25"/>
    <row r="3454" ht="11.25" hidden="1" customHeight="1" x14ac:dyDescent="0.25"/>
    <row r="3455" ht="11.25" hidden="1" customHeight="1" x14ac:dyDescent="0.25"/>
    <row r="3456" ht="11.25" hidden="1" customHeight="1" x14ac:dyDescent="0.25"/>
    <row r="3457" ht="11.25" hidden="1" customHeight="1" x14ac:dyDescent="0.25"/>
    <row r="3458" ht="11.25" hidden="1" customHeight="1" x14ac:dyDescent="0.25"/>
    <row r="3459" ht="11.25" hidden="1" customHeight="1" x14ac:dyDescent="0.25"/>
    <row r="3460" ht="11.25" hidden="1" customHeight="1" x14ac:dyDescent="0.25"/>
    <row r="3461" ht="11.25" hidden="1" customHeight="1" x14ac:dyDescent="0.25"/>
    <row r="3462" ht="11.25" hidden="1" customHeight="1" x14ac:dyDescent="0.25"/>
    <row r="3463" ht="11.25" hidden="1" customHeight="1" x14ac:dyDescent="0.25"/>
    <row r="3464" ht="11.25" hidden="1" customHeight="1" x14ac:dyDescent="0.25"/>
    <row r="3465" ht="11.25" hidden="1" customHeight="1" x14ac:dyDescent="0.25"/>
    <row r="3466" ht="11.25" hidden="1" customHeight="1" x14ac:dyDescent="0.25"/>
    <row r="3467" ht="11.25" hidden="1" customHeight="1" x14ac:dyDescent="0.25"/>
    <row r="3468" ht="11.25" hidden="1" customHeight="1" x14ac:dyDescent="0.25"/>
    <row r="3469" ht="11.25" hidden="1" customHeight="1" x14ac:dyDescent="0.25"/>
    <row r="3470" ht="11.25" hidden="1" customHeight="1" x14ac:dyDescent="0.25"/>
    <row r="3471" ht="11.25" hidden="1" customHeight="1" x14ac:dyDescent="0.25"/>
    <row r="3472" ht="11.25" hidden="1" customHeight="1" x14ac:dyDescent="0.25"/>
    <row r="3473" ht="11.25" hidden="1" customHeight="1" x14ac:dyDescent="0.25"/>
    <row r="3474" ht="11.25" hidden="1" customHeight="1" x14ac:dyDescent="0.25"/>
    <row r="3475" ht="11.25" hidden="1" customHeight="1" x14ac:dyDescent="0.25"/>
    <row r="3476" ht="11.25" hidden="1" customHeight="1" x14ac:dyDescent="0.25"/>
    <row r="3477" ht="11.25" hidden="1" customHeight="1" x14ac:dyDescent="0.25"/>
    <row r="3478" ht="11.25" hidden="1" customHeight="1" x14ac:dyDescent="0.25"/>
    <row r="3479" ht="11.25" hidden="1" customHeight="1" x14ac:dyDescent="0.25"/>
    <row r="3480" ht="11.25" hidden="1" customHeight="1" x14ac:dyDescent="0.25"/>
    <row r="3481" ht="11.25" hidden="1" customHeight="1" x14ac:dyDescent="0.25"/>
    <row r="3482" ht="11.25" hidden="1" customHeight="1" x14ac:dyDescent="0.25"/>
    <row r="3483" ht="11.25" hidden="1" customHeight="1" x14ac:dyDescent="0.25"/>
    <row r="3484" ht="11.25" hidden="1" customHeight="1" x14ac:dyDescent="0.25"/>
    <row r="3485" ht="11.25" hidden="1" customHeight="1" x14ac:dyDescent="0.25"/>
    <row r="3486" ht="11.25" hidden="1" customHeight="1" x14ac:dyDescent="0.25"/>
    <row r="3487" ht="11.25" hidden="1" customHeight="1" x14ac:dyDescent="0.25"/>
    <row r="3488" ht="11.25" hidden="1" customHeight="1" x14ac:dyDescent="0.25"/>
    <row r="3489" ht="11.25" hidden="1" customHeight="1" x14ac:dyDescent="0.25"/>
    <row r="3490" ht="11.25" hidden="1" customHeight="1" x14ac:dyDescent="0.25"/>
    <row r="3491" ht="11.25" hidden="1" customHeight="1" x14ac:dyDescent="0.25"/>
    <row r="3492" ht="11.25" hidden="1" customHeight="1" x14ac:dyDescent="0.25"/>
    <row r="3493" ht="11.25" hidden="1" customHeight="1" x14ac:dyDescent="0.25"/>
    <row r="3494" ht="11.25" hidden="1" customHeight="1" x14ac:dyDescent="0.25"/>
    <row r="3495" ht="11.25" hidden="1" customHeight="1" x14ac:dyDescent="0.25"/>
    <row r="3496" ht="11.25" hidden="1" customHeight="1" x14ac:dyDescent="0.25"/>
    <row r="3497" ht="11.25" hidden="1" customHeight="1" x14ac:dyDescent="0.25"/>
    <row r="3498" ht="11.25" hidden="1" customHeight="1" x14ac:dyDescent="0.25"/>
    <row r="3499" ht="11.25" hidden="1" customHeight="1" x14ac:dyDescent="0.25"/>
    <row r="3500" ht="11.25" hidden="1" customHeight="1" x14ac:dyDescent="0.25"/>
    <row r="3501" ht="11.25" hidden="1" customHeight="1" x14ac:dyDescent="0.25"/>
    <row r="3502" ht="11.25" hidden="1" customHeight="1" x14ac:dyDescent="0.25"/>
    <row r="3503" ht="11.25" hidden="1" customHeight="1" x14ac:dyDescent="0.25"/>
    <row r="3504" ht="11.25" hidden="1" customHeight="1" x14ac:dyDescent="0.25"/>
    <row r="3505" ht="11.25" hidden="1" customHeight="1" x14ac:dyDescent="0.25"/>
    <row r="3506" ht="11.25" hidden="1" customHeight="1" x14ac:dyDescent="0.25"/>
    <row r="3507" ht="11.25" hidden="1" customHeight="1" x14ac:dyDescent="0.25"/>
    <row r="3508" ht="11.25" hidden="1" customHeight="1" x14ac:dyDescent="0.25"/>
    <row r="3509" ht="11.25" hidden="1" customHeight="1" x14ac:dyDescent="0.25"/>
    <row r="3510" ht="11.25" hidden="1" customHeight="1" x14ac:dyDescent="0.25"/>
    <row r="3511" ht="11.25" hidden="1" customHeight="1" x14ac:dyDescent="0.25"/>
    <row r="3512" ht="11.25" hidden="1" customHeight="1" x14ac:dyDescent="0.25"/>
    <row r="3513" ht="11.25" hidden="1" customHeight="1" x14ac:dyDescent="0.25"/>
    <row r="3514" ht="11.25" hidden="1" customHeight="1" x14ac:dyDescent="0.25"/>
    <row r="3515" ht="11.25" hidden="1" customHeight="1" x14ac:dyDescent="0.25"/>
    <row r="3516" ht="11.25" hidden="1" customHeight="1" x14ac:dyDescent="0.25"/>
    <row r="3517" ht="11.25" hidden="1" customHeight="1" x14ac:dyDescent="0.25"/>
    <row r="3518" ht="11.25" hidden="1" customHeight="1" x14ac:dyDescent="0.25"/>
    <row r="3519" ht="11.25" hidden="1" customHeight="1" x14ac:dyDescent="0.25"/>
    <row r="3520" ht="11.25" hidden="1" customHeight="1" x14ac:dyDescent="0.25"/>
    <row r="3521" ht="11.25" hidden="1" customHeight="1" x14ac:dyDescent="0.25"/>
    <row r="3522" ht="11.25" hidden="1" customHeight="1" x14ac:dyDescent="0.25"/>
    <row r="3523" ht="11.25" hidden="1" customHeight="1" x14ac:dyDescent="0.25"/>
    <row r="3524" ht="11.25" hidden="1" customHeight="1" x14ac:dyDescent="0.25"/>
    <row r="3525" ht="11.25" hidden="1" customHeight="1" x14ac:dyDescent="0.25"/>
    <row r="3526" ht="11.25" hidden="1" customHeight="1" x14ac:dyDescent="0.25"/>
    <row r="3527" ht="11.25" hidden="1" customHeight="1" x14ac:dyDescent="0.25"/>
    <row r="3528" ht="11.25" hidden="1" customHeight="1" x14ac:dyDescent="0.25"/>
    <row r="3529" ht="11.25" hidden="1" customHeight="1" x14ac:dyDescent="0.25"/>
    <row r="3530" ht="11.25" hidden="1" customHeight="1" x14ac:dyDescent="0.25"/>
    <row r="3531" ht="11.25" hidden="1" customHeight="1" x14ac:dyDescent="0.25"/>
    <row r="3532" ht="11.25" hidden="1" customHeight="1" x14ac:dyDescent="0.25"/>
    <row r="3533" ht="11.25" hidden="1" customHeight="1" x14ac:dyDescent="0.25"/>
    <row r="3534" ht="11.25" hidden="1" customHeight="1" x14ac:dyDescent="0.25"/>
    <row r="3535" ht="11.25" hidden="1" customHeight="1" x14ac:dyDescent="0.25"/>
    <row r="3536" ht="11.25" hidden="1" customHeight="1" x14ac:dyDescent="0.25"/>
    <row r="3537" ht="11.25" hidden="1" customHeight="1" x14ac:dyDescent="0.25"/>
    <row r="3538" ht="11.25" hidden="1" customHeight="1" x14ac:dyDescent="0.25"/>
    <row r="3539" ht="11.25" hidden="1" customHeight="1" x14ac:dyDescent="0.25"/>
    <row r="3540" ht="11.25" hidden="1" customHeight="1" x14ac:dyDescent="0.25"/>
    <row r="3541" ht="11.25" hidden="1" customHeight="1" x14ac:dyDescent="0.25"/>
    <row r="3542" ht="11.25" hidden="1" customHeight="1" x14ac:dyDescent="0.25"/>
    <row r="3543" ht="11.25" hidden="1" customHeight="1" x14ac:dyDescent="0.25"/>
    <row r="3544" ht="11.25" hidden="1" customHeight="1" x14ac:dyDescent="0.25"/>
    <row r="3545" ht="11.25" hidden="1" customHeight="1" x14ac:dyDescent="0.25"/>
    <row r="3546" ht="11.25" hidden="1" customHeight="1" x14ac:dyDescent="0.25"/>
    <row r="3547" ht="11.25" hidden="1" customHeight="1" x14ac:dyDescent="0.25"/>
    <row r="3548" ht="11.25" hidden="1" customHeight="1" x14ac:dyDescent="0.25"/>
    <row r="3549" ht="11.25" hidden="1" customHeight="1" x14ac:dyDescent="0.25"/>
    <row r="3550" ht="11.25" hidden="1" customHeight="1" x14ac:dyDescent="0.25"/>
    <row r="3551" ht="11.25" hidden="1" customHeight="1" x14ac:dyDescent="0.25"/>
    <row r="3552" ht="11.25" hidden="1" customHeight="1" x14ac:dyDescent="0.25"/>
    <row r="3553" ht="11.25" hidden="1" customHeight="1" x14ac:dyDescent="0.25"/>
    <row r="3554" ht="11.25" hidden="1" customHeight="1" x14ac:dyDescent="0.25"/>
    <row r="3555" ht="11.25" hidden="1" customHeight="1" x14ac:dyDescent="0.25"/>
    <row r="3556" ht="11.25" hidden="1" customHeight="1" x14ac:dyDescent="0.25"/>
    <row r="3557" ht="11.25" hidden="1" customHeight="1" x14ac:dyDescent="0.25"/>
    <row r="3558" ht="11.25" hidden="1" customHeight="1" x14ac:dyDescent="0.25"/>
    <row r="3559" ht="11.25" hidden="1" customHeight="1" x14ac:dyDescent="0.25"/>
    <row r="3560" ht="11.25" hidden="1" customHeight="1" x14ac:dyDescent="0.25"/>
    <row r="3561" ht="11.25" hidden="1" customHeight="1" x14ac:dyDescent="0.25"/>
    <row r="3562" ht="11.25" hidden="1" customHeight="1" x14ac:dyDescent="0.25"/>
    <row r="3563" ht="11.25" hidden="1" customHeight="1" x14ac:dyDescent="0.25"/>
    <row r="3564" ht="11.25" hidden="1" customHeight="1" x14ac:dyDescent="0.25"/>
    <row r="3565" ht="11.25" hidden="1" customHeight="1" x14ac:dyDescent="0.25"/>
    <row r="3566" ht="11.25" hidden="1" customHeight="1" x14ac:dyDescent="0.25"/>
    <row r="3567" ht="11.25" hidden="1" customHeight="1" x14ac:dyDescent="0.25"/>
    <row r="3568" ht="11.25" hidden="1" customHeight="1" x14ac:dyDescent="0.25"/>
    <row r="3569" ht="11.25" hidden="1" customHeight="1" x14ac:dyDescent="0.25"/>
    <row r="3570" ht="11.25" hidden="1" customHeight="1" x14ac:dyDescent="0.25"/>
    <row r="3571" ht="11.25" hidden="1" customHeight="1" x14ac:dyDescent="0.25"/>
    <row r="3572" ht="11.25" hidden="1" customHeight="1" x14ac:dyDescent="0.25"/>
    <row r="3573" ht="11.25" hidden="1" customHeight="1" x14ac:dyDescent="0.25"/>
    <row r="3574" ht="11.25" hidden="1" customHeight="1" x14ac:dyDescent="0.25"/>
    <row r="3575" ht="11.25" hidden="1" customHeight="1" x14ac:dyDescent="0.25"/>
    <row r="3576" ht="11.25" hidden="1" customHeight="1" x14ac:dyDescent="0.25"/>
    <row r="3577" ht="11.25" hidden="1" customHeight="1" x14ac:dyDescent="0.25"/>
    <row r="3578" ht="11.25" hidden="1" customHeight="1" x14ac:dyDescent="0.25"/>
    <row r="3579" ht="11.25" hidden="1" customHeight="1" x14ac:dyDescent="0.25"/>
    <row r="3580" ht="11.25" hidden="1" customHeight="1" x14ac:dyDescent="0.25"/>
    <row r="3581" ht="11.25" hidden="1" customHeight="1" x14ac:dyDescent="0.25"/>
    <row r="3582" ht="11.25" hidden="1" customHeight="1" x14ac:dyDescent="0.25"/>
    <row r="3583" ht="11.25" hidden="1" customHeight="1" x14ac:dyDescent="0.25"/>
    <row r="3584" ht="11.25" hidden="1" customHeight="1" x14ac:dyDescent="0.25"/>
    <row r="3585" ht="11.25" hidden="1" customHeight="1" x14ac:dyDescent="0.25"/>
    <row r="3586" ht="11.25" hidden="1" customHeight="1" x14ac:dyDescent="0.25"/>
    <row r="3587" ht="11.25" hidden="1" customHeight="1" x14ac:dyDescent="0.25"/>
    <row r="3588" ht="11.25" hidden="1" customHeight="1" x14ac:dyDescent="0.25"/>
    <row r="3589" ht="11.25" hidden="1" customHeight="1" x14ac:dyDescent="0.25"/>
    <row r="3590" ht="11.25" hidden="1" customHeight="1" x14ac:dyDescent="0.25"/>
    <row r="3591" ht="11.25" hidden="1" customHeight="1" x14ac:dyDescent="0.25"/>
    <row r="3592" ht="11.25" hidden="1" customHeight="1" x14ac:dyDescent="0.25"/>
    <row r="3593" ht="11.25" hidden="1" customHeight="1" x14ac:dyDescent="0.25"/>
    <row r="3594" ht="11.25" hidden="1" customHeight="1" x14ac:dyDescent="0.25"/>
    <row r="3595" ht="11.25" hidden="1" customHeight="1" x14ac:dyDescent="0.25"/>
    <row r="3596" ht="11.25" hidden="1" customHeight="1" x14ac:dyDescent="0.25"/>
    <row r="3597" ht="11.25" hidden="1" customHeight="1" x14ac:dyDescent="0.25"/>
    <row r="3598" ht="11.25" hidden="1" customHeight="1" x14ac:dyDescent="0.25"/>
    <row r="3599" ht="11.25" hidden="1" customHeight="1" x14ac:dyDescent="0.25"/>
    <row r="3600" ht="11.25" hidden="1" customHeight="1" x14ac:dyDescent="0.25"/>
    <row r="3601" ht="11.25" hidden="1" customHeight="1" x14ac:dyDescent="0.25"/>
    <row r="3602" ht="11.25" hidden="1" customHeight="1" x14ac:dyDescent="0.25"/>
    <row r="3603" ht="11.25" hidden="1" customHeight="1" x14ac:dyDescent="0.25"/>
    <row r="3604" ht="11.25" hidden="1" customHeight="1" x14ac:dyDescent="0.25"/>
    <row r="3605" ht="11.25" hidden="1" customHeight="1" x14ac:dyDescent="0.25"/>
    <row r="3606" ht="11.25" hidden="1" customHeight="1" x14ac:dyDescent="0.25"/>
    <row r="3607" ht="11.25" hidden="1" customHeight="1" x14ac:dyDescent="0.25"/>
    <row r="3608" ht="11.25" hidden="1" customHeight="1" x14ac:dyDescent="0.25"/>
    <row r="3609" ht="11.25" hidden="1" customHeight="1" x14ac:dyDescent="0.25"/>
    <row r="3610" ht="11.25" hidden="1" customHeight="1" x14ac:dyDescent="0.25"/>
    <row r="3611" ht="11.25" hidden="1" customHeight="1" x14ac:dyDescent="0.25"/>
    <row r="3612" ht="11.25" hidden="1" customHeight="1" x14ac:dyDescent="0.25"/>
    <row r="3613" ht="11.25" hidden="1" customHeight="1" x14ac:dyDescent="0.25"/>
    <row r="3614" ht="11.25" hidden="1" customHeight="1" x14ac:dyDescent="0.25"/>
    <row r="3615" ht="11.25" hidden="1" customHeight="1" x14ac:dyDescent="0.25"/>
    <row r="3616" ht="11.25" hidden="1" customHeight="1" x14ac:dyDescent="0.25"/>
    <row r="3617" ht="11.25" hidden="1" customHeight="1" x14ac:dyDescent="0.25"/>
    <row r="3618" ht="11.25" hidden="1" customHeight="1" x14ac:dyDescent="0.25"/>
    <row r="3619" ht="11.25" hidden="1" customHeight="1" x14ac:dyDescent="0.25"/>
    <row r="3620" ht="11.25" hidden="1" customHeight="1" x14ac:dyDescent="0.25"/>
    <row r="3621" ht="11.25" hidden="1" customHeight="1" x14ac:dyDescent="0.25"/>
    <row r="3622" ht="11.25" hidden="1" customHeight="1" x14ac:dyDescent="0.25"/>
    <row r="3623" ht="11.25" hidden="1" customHeight="1" x14ac:dyDescent="0.25"/>
    <row r="3624" ht="11.25" hidden="1" customHeight="1" x14ac:dyDescent="0.25"/>
    <row r="3625" ht="11.25" hidden="1" customHeight="1" x14ac:dyDescent="0.25"/>
    <row r="3626" ht="11.25" hidden="1" customHeight="1" x14ac:dyDescent="0.25"/>
    <row r="3627" ht="11.25" hidden="1" customHeight="1" x14ac:dyDescent="0.25"/>
    <row r="3628" ht="11.25" hidden="1" customHeight="1" x14ac:dyDescent="0.25"/>
    <row r="3629" ht="11.25" hidden="1" customHeight="1" x14ac:dyDescent="0.25"/>
    <row r="3630" ht="11.25" hidden="1" customHeight="1" x14ac:dyDescent="0.25"/>
    <row r="3631" ht="11.25" hidden="1" customHeight="1" x14ac:dyDescent="0.25"/>
    <row r="3632" ht="11.25" hidden="1" customHeight="1" x14ac:dyDescent="0.25"/>
    <row r="3633" ht="11.25" hidden="1" customHeight="1" x14ac:dyDescent="0.25"/>
    <row r="3634" ht="11.25" hidden="1" customHeight="1" x14ac:dyDescent="0.25"/>
    <row r="3635" ht="11.25" hidden="1" customHeight="1" x14ac:dyDescent="0.25"/>
    <row r="3636" ht="11.25" hidden="1" customHeight="1" x14ac:dyDescent="0.25"/>
    <row r="3637" ht="11.25" hidden="1" customHeight="1" x14ac:dyDescent="0.25"/>
    <row r="3638" ht="11.25" hidden="1" customHeight="1" x14ac:dyDescent="0.25"/>
    <row r="3639" ht="11.25" hidden="1" customHeight="1" x14ac:dyDescent="0.25"/>
    <row r="3640" ht="11.25" hidden="1" customHeight="1" x14ac:dyDescent="0.25"/>
    <row r="3641" ht="11.25" hidden="1" customHeight="1" x14ac:dyDescent="0.25"/>
    <row r="3642" ht="11.25" hidden="1" customHeight="1" x14ac:dyDescent="0.25"/>
    <row r="3643" ht="11.25" hidden="1" customHeight="1" x14ac:dyDescent="0.25"/>
    <row r="3644" ht="11.25" hidden="1" customHeight="1" x14ac:dyDescent="0.25"/>
    <row r="3645" ht="11.25" hidden="1" customHeight="1" x14ac:dyDescent="0.25"/>
    <row r="3646" ht="11.25" hidden="1" customHeight="1" x14ac:dyDescent="0.25"/>
    <row r="3647" ht="11.25" hidden="1" customHeight="1" x14ac:dyDescent="0.25"/>
    <row r="3648" ht="11.25" hidden="1" customHeight="1" x14ac:dyDescent="0.25"/>
    <row r="3649" ht="11.25" hidden="1" customHeight="1" x14ac:dyDescent="0.25"/>
    <row r="3650" ht="11.25" hidden="1" customHeight="1" x14ac:dyDescent="0.25"/>
    <row r="3651" ht="11.25" hidden="1" customHeight="1" x14ac:dyDescent="0.25"/>
    <row r="3652" ht="11.25" hidden="1" customHeight="1" x14ac:dyDescent="0.25"/>
    <row r="3653" ht="11.25" hidden="1" customHeight="1" x14ac:dyDescent="0.25"/>
    <row r="3654" ht="11.25" hidden="1" customHeight="1" x14ac:dyDescent="0.25"/>
    <row r="3655" ht="11.25" hidden="1" customHeight="1" x14ac:dyDescent="0.25"/>
    <row r="3656" ht="11.25" hidden="1" customHeight="1" x14ac:dyDescent="0.25"/>
    <row r="3657" ht="11.25" hidden="1" customHeight="1" x14ac:dyDescent="0.25"/>
    <row r="3658" ht="11.25" hidden="1" customHeight="1" x14ac:dyDescent="0.25"/>
    <row r="3659" ht="11.25" hidden="1" customHeight="1" x14ac:dyDescent="0.25"/>
    <row r="3660" ht="11.25" hidden="1" customHeight="1" x14ac:dyDescent="0.25"/>
    <row r="3661" ht="11.25" hidden="1" customHeight="1" x14ac:dyDescent="0.25"/>
    <row r="3662" ht="11.25" hidden="1" customHeight="1" x14ac:dyDescent="0.25"/>
    <row r="3663" ht="11.25" hidden="1" customHeight="1" x14ac:dyDescent="0.25"/>
    <row r="3664" ht="11.25" hidden="1" customHeight="1" x14ac:dyDescent="0.25"/>
    <row r="3665" ht="11.25" hidden="1" customHeight="1" x14ac:dyDescent="0.25"/>
    <row r="3666" ht="11.25" hidden="1" customHeight="1" x14ac:dyDescent="0.25"/>
    <row r="3667" ht="11.25" hidden="1" customHeight="1" x14ac:dyDescent="0.25"/>
    <row r="3668" ht="11.25" hidden="1" customHeight="1" x14ac:dyDescent="0.25"/>
    <row r="3669" ht="11.25" hidden="1" customHeight="1" x14ac:dyDescent="0.25"/>
    <row r="3670" ht="11.25" hidden="1" customHeight="1" x14ac:dyDescent="0.25"/>
    <row r="3671" ht="11.25" hidden="1" customHeight="1" x14ac:dyDescent="0.25"/>
    <row r="3672" ht="11.25" hidden="1" customHeight="1" x14ac:dyDescent="0.25"/>
    <row r="3673" ht="11.25" hidden="1" customHeight="1" x14ac:dyDescent="0.25"/>
    <row r="3674" ht="11.25" hidden="1" customHeight="1" x14ac:dyDescent="0.25"/>
    <row r="3675" ht="11.25" hidden="1" customHeight="1" x14ac:dyDescent="0.25"/>
    <row r="3676" ht="11.25" hidden="1" customHeight="1" x14ac:dyDescent="0.25"/>
    <row r="3677" ht="11.25" hidden="1" customHeight="1" x14ac:dyDescent="0.25"/>
    <row r="3678" ht="11.25" hidden="1" customHeight="1" x14ac:dyDescent="0.25"/>
    <row r="3679" ht="11.25" hidden="1" customHeight="1" x14ac:dyDescent="0.25"/>
    <row r="3680" ht="11.25" hidden="1" customHeight="1" x14ac:dyDescent="0.25"/>
    <row r="3681" ht="11.25" hidden="1" customHeight="1" x14ac:dyDescent="0.25"/>
    <row r="3682" ht="11.25" hidden="1" customHeight="1" x14ac:dyDescent="0.25"/>
    <row r="3683" ht="11.25" hidden="1" customHeight="1" x14ac:dyDescent="0.25"/>
    <row r="3684" ht="11.25" hidden="1" customHeight="1" x14ac:dyDescent="0.25"/>
    <row r="3685" ht="11.25" hidden="1" customHeight="1" x14ac:dyDescent="0.25"/>
    <row r="3686" ht="11.25" hidden="1" customHeight="1" x14ac:dyDescent="0.25"/>
    <row r="3687" ht="11.25" hidden="1" customHeight="1" x14ac:dyDescent="0.25"/>
    <row r="3688" ht="11.25" hidden="1" customHeight="1" x14ac:dyDescent="0.25"/>
    <row r="3689" ht="11.25" hidden="1" customHeight="1" x14ac:dyDescent="0.25"/>
    <row r="3690" ht="11.25" hidden="1" customHeight="1" x14ac:dyDescent="0.25"/>
    <row r="3691" ht="11.25" hidden="1" customHeight="1" x14ac:dyDescent="0.25"/>
    <row r="3692" ht="11.25" hidden="1" customHeight="1" x14ac:dyDescent="0.25"/>
    <row r="3693" ht="11.25" hidden="1" customHeight="1" x14ac:dyDescent="0.25"/>
    <row r="3694" ht="11.25" hidden="1" customHeight="1" x14ac:dyDescent="0.25"/>
    <row r="3695" ht="11.25" hidden="1" customHeight="1" x14ac:dyDescent="0.25"/>
    <row r="3696" ht="11.25" hidden="1" customHeight="1" x14ac:dyDescent="0.25"/>
    <row r="3697" ht="11.25" hidden="1" customHeight="1" x14ac:dyDescent="0.25"/>
    <row r="3698" ht="11.25" hidden="1" customHeight="1" x14ac:dyDescent="0.25"/>
    <row r="3699" ht="11.25" hidden="1" customHeight="1" x14ac:dyDescent="0.25"/>
    <row r="3700" ht="11.25" hidden="1" customHeight="1" x14ac:dyDescent="0.25"/>
    <row r="3701" ht="11.25" hidden="1" customHeight="1" x14ac:dyDescent="0.25"/>
    <row r="3702" ht="11.25" hidden="1" customHeight="1" x14ac:dyDescent="0.25"/>
    <row r="3703" ht="11.25" hidden="1" customHeight="1" x14ac:dyDescent="0.25"/>
    <row r="3704" ht="11.25" hidden="1" customHeight="1" x14ac:dyDescent="0.25"/>
    <row r="3705" ht="11.25" hidden="1" customHeight="1" x14ac:dyDescent="0.25"/>
    <row r="3706" ht="11.25" hidden="1" customHeight="1" x14ac:dyDescent="0.25"/>
    <row r="3707" ht="11.25" hidden="1" customHeight="1" x14ac:dyDescent="0.25"/>
    <row r="3708" ht="11.25" hidden="1" customHeight="1" x14ac:dyDescent="0.25"/>
    <row r="3709" ht="11.25" hidden="1" customHeight="1" x14ac:dyDescent="0.25"/>
    <row r="3710" ht="11.25" hidden="1" customHeight="1" x14ac:dyDescent="0.25"/>
    <row r="3711" ht="11.25" hidden="1" customHeight="1" x14ac:dyDescent="0.25"/>
    <row r="3712" ht="11.25" hidden="1" customHeight="1" x14ac:dyDescent="0.25"/>
    <row r="3713" ht="11.25" hidden="1" customHeight="1" x14ac:dyDescent="0.25"/>
    <row r="3714" ht="11.25" hidden="1" customHeight="1" x14ac:dyDescent="0.25"/>
    <row r="3715" ht="11.25" hidden="1" customHeight="1" x14ac:dyDescent="0.25"/>
    <row r="3716" ht="11.25" hidden="1" customHeight="1" x14ac:dyDescent="0.25"/>
    <row r="3717" ht="11.25" hidden="1" customHeight="1" x14ac:dyDescent="0.25"/>
    <row r="3718" ht="11.25" hidden="1" customHeight="1" x14ac:dyDescent="0.25"/>
    <row r="3719" ht="11.25" hidden="1" customHeight="1" x14ac:dyDescent="0.25"/>
    <row r="3720" ht="11.25" hidden="1" customHeight="1" x14ac:dyDescent="0.25"/>
    <row r="3721" ht="11.25" hidden="1" customHeight="1" x14ac:dyDescent="0.25"/>
    <row r="3722" ht="11.25" hidden="1" customHeight="1" x14ac:dyDescent="0.25"/>
    <row r="3723" ht="11.25" hidden="1" customHeight="1" x14ac:dyDescent="0.25"/>
    <row r="3724" ht="11.25" hidden="1" customHeight="1" x14ac:dyDescent="0.25"/>
    <row r="3725" ht="11.25" hidden="1" customHeight="1" x14ac:dyDescent="0.25"/>
    <row r="3726" ht="11.25" hidden="1" customHeight="1" x14ac:dyDescent="0.25"/>
    <row r="3727" ht="11.25" hidden="1" customHeight="1" x14ac:dyDescent="0.25"/>
    <row r="3728" ht="11.25" hidden="1" customHeight="1" x14ac:dyDescent="0.25"/>
    <row r="3729" ht="11.25" hidden="1" customHeight="1" x14ac:dyDescent="0.25"/>
    <row r="3730" ht="11.25" hidden="1" customHeight="1" x14ac:dyDescent="0.25"/>
    <row r="3731" ht="11.25" hidden="1" customHeight="1" x14ac:dyDescent="0.25"/>
    <row r="3732" ht="11.25" hidden="1" customHeight="1" x14ac:dyDescent="0.25"/>
    <row r="3733" ht="11.25" hidden="1" customHeight="1" x14ac:dyDescent="0.25"/>
    <row r="3734" ht="11.25" hidden="1" customHeight="1" x14ac:dyDescent="0.25"/>
    <row r="3735" ht="11.25" hidden="1" customHeight="1" x14ac:dyDescent="0.25"/>
    <row r="3736" ht="11.25" hidden="1" customHeight="1" x14ac:dyDescent="0.25"/>
    <row r="3737" ht="11.25" hidden="1" customHeight="1" x14ac:dyDescent="0.25"/>
    <row r="3738" ht="11.25" hidden="1" customHeight="1" x14ac:dyDescent="0.25"/>
    <row r="3739" ht="11.25" hidden="1" customHeight="1" x14ac:dyDescent="0.25"/>
    <row r="3740" ht="11.25" hidden="1" customHeight="1" x14ac:dyDescent="0.25"/>
    <row r="3741" ht="11.25" hidden="1" customHeight="1" x14ac:dyDescent="0.25"/>
    <row r="3742" ht="11.25" hidden="1" customHeight="1" x14ac:dyDescent="0.25"/>
    <row r="3743" ht="11.25" hidden="1" customHeight="1" x14ac:dyDescent="0.25"/>
    <row r="3744" ht="11.25" hidden="1" customHeight="1" x14ac:dyDescent="0.25"/>
    <row r="3745" ht="11.25" hidden="1" customHeight="1" x14ac:dyDescent="0.25"/>
    <row r="3746" ht="11.25" hidden="1" customHeight="1" x14ac:dyDescent="0.25"/>
    <row r="3747" ht="11.25" hidden="1" customHeight="1" x14ac:dyDescent="0.25"/>
    <row r="3748" ht="11.25" hidden="1" customHeight="1" x14ac:dyDescent="0.25"/>
    <row r="3749" ht="11.25" hidden="1" customHeight="1" x14ac:dyDescent="0.25"/>
    <row r="3750" ht="11.25" hidden="1" customHeight="1" x14ac:dyDescent="0.25"/>
    <row r="3751" ht="11.25" hidden="1" customHeight="1" x14ac:dyDescent="0.25"/>
    <row r="3752" ht="11.25" hidden="1" customHeight="1" x14ac:dyDescent="0.25"/>
    <row r="3753" ht="11.25" hidden="1" customHeight="1" x14ac:dyDescent="0.25"/>
    <row r="3754" ht="11.25" hidden="1" customHeight="1" x14ac:dyDescent="0.25"/>
    <row r="3755" ht="11.25" hidden="1" customHeight="1" x14ac:dyDescent="0.25"/>
    <row r="3756" ht="11.25" hidden="1" customHeight="1" x14ac:dyDescent="0.25"/>
    <row r="3757" ht="11.25" hidden="1" customHeight="1" x14ac:dyDescent="0.25"/>
    <row r="3758" ht="11.25" hidden="1" customHeight="1" x14ac:dyDescent="0.25"/>
    <row r="3759" ht="11.25" hidden="1" customHeight="1" x14ac:dyDescent="0.25"/>
    <row r="3760" ht="11.25" hidden="1" customHeight="1" x14ac:dyDescent="0.25"/>
    <row r="3761" ht="11.25" hidden="1" customHeight="1" x14ac:dyDescent="0.25"/>
    <row r="3762" ht="11.25" hidden="1" customHeight="1" x14ac:dyDescent="0.25"/>
    <row r="3763" ht="11.25" hidden="1" customHeight="1" x14ac:dyDescent="0.25"/>
    <row r="3764" ht="11.25" hidden="1" customHeight="1" x14ac:dyDescent="0.25"/>
    <row r="3765" ht="11.25" hidden="1" customHeight="1" x14ac:dyDescent="0.25"/>
    <row r="3766" ht="11.25" hidden="1" customHeight="1" x14ac:dyDescent="0.25"/>
    <row r="3767" ht="11.25" hidden="1" customHeight="1" x14ac:dyDescent="0.25"/>
    <row r="3768" ht="11.25" hidden="1" customHeight="1" x14ac:dyDescent="0.25"/>
    <row r="3769" ht="11.25" hidden="1" customHeight="1" x14ac:dyDescent="0.25"/>
    <row r="3770" ht="11.25" hidden="1" customHeight="1" x14ac:dyDescent="0.25"/>
    <row r="3771" ht="11.25" hidden="1" customHeight="1" x14ac:dyDescent="0.25"/>
    <row r="3772" ht="11.25" hidden="1" customHeight="1" x14ac:dyDescent="0.25"/>
    <row r="3773" ht="11.25" hidden="1" customHeight="1" x14ac:dyDescent="0.25"/>
    <row r="3774" ht="11.25" hidden="1" customHeight="1" x14ac:dyDescent="0.25"/>
    <row r="3775" ht="11.25" hidden="1" customHeight="1" x14ac:dyDescent="0.25"/>
    <row r="3776" ht="11.25" hidden="1" customHeight="1" x14ac:dyDescent="0.25"/>
    <row r="3777" ht="11.25" hidden="1" customHeight="1" x14ac:dyDescent="0.25"/>
    <row r="3778" ht="11.25" hidden="1" customHeight="1" x14ac:dyDescent="0.25"/>
    <row r="3779" ht="11.25" hidden="1" customHeight="1" x14ac:dyDescent="0.25"/>
    <row r="3780" ht="11.25" hidden="1" customHeight="1" x14ac:dyDescent="0.25"/>
    <row r="3781" ht="11.25" hidden="1" customHeight="1" x14ac:dyDescent="0.25"/>
    <row r="3782" ht="11.25" hidden="1" customHeight="1" x14ac:dyDescent="0.25"/>
    <row r="3783" ht="11.25" hidden="1" customHeight="1" x14ac:dyDescent="0.25"/>
    <row r="3784" ht="11.25" hidden="1" customHeight="1" x14ac:dyDescent="0.25"/>
    <row r="3785" ht="11.25" hidden="1" customHeight="1" x14ac:dyDescent="0.25"/>
    <row r="3786" ht="11.25" hidden="1" customHeight="1" x14ac:dyDescent="0.25"/>
    <row r="3787" ht="11.25" hidden="1" customHeight="1" x14ac:dyDescent="0.25"/>
    <row r="3788" ht="11.25" hidden="1" customHeight="1" x14ac:dyDescent="0.25"/>
    <row r="3789" ht="11.25" hidden="1" customHeight="1" x14ac:dyDescent="0.25"/>
    <row r="3790" ht="11.25" hidden="1" customHeight="1" x14ac:dyDescent="0.25"/>
    <row r="3791" ht="11.25" hidden="1" customHeight="1" x14ac:dyDescent="0.25"/>
    <row r="3792" ht="11.25" hidden="1" customHeight="1" x14ac:dyDescent="0.25"/>
    <row r="3793" ht="11.25" hidden="1" customHeight="1" x14ac:dyDescent="0.25"/>
    <row r="3794" ht="11.25" hidden="1" customHeight="1" x14ac:dyDescent="0.25"/>
    <row r="3795" ht="11.25" hidden="1" customHeight="1" x14ac:dyDescent="0.25"/>
    <row r="3796" ht="11.25" hidden="1" customHeight="1" x14ac:dyDescent="0.25"/>
    <row r="3797" ht="11.25" hidden="1" customHeight="1" x14ac:dyDescent="0.25"/>
    <row r="3798" ht="11.25" hidden="1" customHeight="1" x14ac:dyDescent="0.25"/>
    <row r="3799" ht="11.25" hidden="1" customHeight="1" x14ac:dyDescent="0.25"/>
    <row r="3800" ht="11.25" hidden="1" customHeight="1" x14ac:dyDescent="0.25"/>
    <row r="3801" ht="11.25" hidden="1" customHeight="1" x14ac:dyDescent="0.25"/>
    <row r="3802" ht="11.25" hidden="1" customHeight="1" x14ac:dyDescent="0.25"/>
    <row r="3803" ht="11.25" hidden="1" customHeight="1" x14ac:dyDescent="0.25"/>
    <row r="3804" ht="11.25" hidden="1" customHeight="1" x14ac:dyDescent="0.25"/>
    <row r="3805" ht="11.25" hidden="1" customHeight="1" x14ac:dyDescent="0.25"/>
    <row r="3806" ht="11.25" hidden="1" customHeight="1" x14ac:dyDescent="0.25"/>
    <row r="3807" ht="11.25" hidden="1" customHeight="1" x14ac:dyDescent="0.25"/>
    <row r="3808" ht="11.25" hidden="1" customHeight="1" x14ac:dyDescent="0.25"/>
    <row r="3809" ht="11.25" hidden="1" customHeight="1" x14ac:dyDescent="0.25"/>
    <row r="3810" ht="11.25" hidden="1" customHeight="1" x14ac:dyDescent="0.25"/>
    <row r="3811" ht="11.25" hidden="1" customHeight="1" x14ac:dyDescent="0.25"/>
    <row r="3812" ht="11.25" hidden="1" customHeight="1" x14ac:dyDescent="0.25"/>
    <row r="3813" ht="11.25" hidden="1" customHeight="1" x14ac:dyDescent="0.25"/>
    <row r="3814" ht="11.25" hidden="1" customHeight="1" x14ac:dyDescent="0.25"/>
    <row r="3815" ht="11.25" hidden="1" customHeight="1" x14ac:dyDescent="0.25"/>
    <row r="3816" ht="11.25" hidden="1" customHeight="1" x14ac:dyDescent="0.25"/>
    <row r="3817" ht="11.25" hidden="1" customHeight="1" x14ac:dyDescent="0.25"/>
    <row r="3818" ht="11.25" hidden="1" customHeight="1" x14ac:dyDescent="0.25"/>
    <row r="3819" ht="11.25" hidden="1" customHeight="1" x14ac:dyDescent="0.25"/>
    <row r="3820" ht="11.25" hidden="1" customHeight="1" x14ac:dyDescent="0.25"/>
    <row r="3821" ht="11.25" hidden="1" customHeight="1" x14ac:dyDescent="0.25"/>
    <row r="3822" ht="11.25" hidden="1" customHeight="1" x14ac:dyDescent="0.25"/>
    <row r="3823" ht="11.25" hidden="1" customHeight="1" x14ac:dyDescent="0.25"/>
    <row r="3824" ht="11.25" hidden="1" customHeight="1" x14ac:dyDescent="0.25"/>
    <row r="3825" ht="11.25" hidden="1" customHeight="1" x14ac:dyDescent="0.25"/>
    <row r="3826" ht="11.25" hidden="1" customHeight="1" x14ac:dyDescent="0.25"/>
    <row r="3827" ht="11.25" hidden="1" customHeight="1" x14ac:dyDescent="0.25"/>
    <row r="3828" ht="11.25" hidden="1" customHeight="1" x14ac:dyDescent="0.25"/>
    <row r="3829" ht="11.25" hidden="1" customHeight="1" x14ac:dyDescent="0.25"/>
    <row r="3830" ht="11.25" hidden="1" customHeight="1" x14ac:dyDescent="0.25"/>
    <row r="3831" ht="11.25" hidden="1" customHeight="1" x14ac:dyDescent="0.25"/>
    <row r="3832" ht="11.25" hidden="1" customHeight="1" x14ac:dyDescent="0.25"/>
    <row r="3833" ht="11.25" hidden="1" customHeight="1" x14ac:dyDescent="0.25"/>
    <row r="3834" ht="11.25" hidden="1" customHeight="1" x14ac:dyDescent="0.25"/>
    <row r="3835" ht="11.25" hidden="1" customHeight="1" x14ac:dyDescent="0.25"/>
    <row r="3836" ht="11.25" hidden="1" customHeight="1" x14ac:dyDescent="0.25"/>
    <row r="3837" ht="11.25" hidden="1" customHeight="1" x14ac:dyDescent="0.25"/>
    <row r="3838" ht="11.25" hidden="1" customHeight="1" x14ac:dyDescent="0.25"/>
    <row r="3839" ht="11.25" hidden="1" customHeight="1" x14ac:dyDescent="0.25"/>
    <row r="3840" ht="11.25" hidden="1" customHeight="1" x14ac:dyDescent="0.25"/>
    <row r="3841" ht="11.25" hidden="1" customHeight="1" x14ac:dyDescent="0.25"/>
    <row r="3842" ht="11.25" hidden="1" customHeight="1" x14ac:dyDescent="0.25"/>
    <row r="3843" ht="11.25" hidden="1" customHeight="1" x14ac:dyDescent="0.25"/>
    <row r="3844" ht="11.25" hidden="1" customHeight="1" x14ac:dyDescent="0.25"/>
    <row r="3845" ht="11.25" hidden="1" customHeight="1" x14ac:dyDescent="0.25"/>
    <row r="3846" ht="11.25" hidden="1" customHeight="1" x14ac:dyDescent="0.25"/>
    <row r="3847" ht="11.25" hidden="1" customHeight="1" x14ac:dyDescent="0.25"/>
    <row r="3848" ht="11.25" hidden="1" customHeight="1" x14ac:dyDescent="0.25"/>
    <row r="3849" ht="11.25" hidden="1" customHeight="1" x14ac:dyDescent="0.25"/>
    <row r="3850" ht="11.25" hidden="1" customHeight="1" x14ac:dyDescent="0.25"/>
    <row r="3851" ht="11.25" hidden="1" customHeight="1" x14ac:dyDescent="0.25"/>
    <row r="3852" ht="11.25" hidden="1" customHeight="1" x14ac:dyDescent="0.25"/>
    <row r="3853" ht="11.25" hidden="1" customHeight="1" x14ac:dyDescent="0.25"/>
    <row r="3854" ht="11.25" hidden="1" customHeight="1" x14ac:dyDescent="0.25"/>
    <row r="3855" ht="11.25" hidden="1" customHeight="1" x14ac:dyDescent="0.25"/>
    <row r="3856" ht="11.25" hidden="1" customHeight="1" x14ac:dyDescent="0.25"/>
    <row r="3857" ht="11.25" hidden="1" customHeight="1" x14ac:dyDescent="0.25"/>
    <row r="3858" ht="11.25" hidden="1" customHeight="1" x14ac:dyDescent="0.25"/>
    <row r="3859" ht="11.25" hidden="1" customHeight="1" x14ac:dyDescent="0.25"/>
    <row r="3860" ht="11.25" hidden="1" customHeight="1" x14ac:dyDescent="0.25"/>
    <row r="3861" ht="11.25" hidden="1" customHeight="1" x14ac:dyDescent="0.25"/>
    <row r="3862" ht="11.25" hidden="1" customHeight="1" x14ac:dyDescent="0.25"/>
    <row r="3863" ht="11.25" hidden="1" customHeight="1" x14ac:dyDescent="0.25"/>
    <row r="3864" ht="11.25" hidden="1" customHeight="1" x14ac:dyDescent="0.25"/>
    <row r="3865" ht="11.25" hidden="1" customHeight="1" x14ac:dyDescent="0.25"/>
    <row r="3866" ht="11.25" hidden="1" customHeight="1" x14ac:dyDescent="0.25"/>
    <row r="3867" ht="11.25" hidden="1" customHeight="1" x14ac:dyDescent="0.25"/>
    <row r="3868" ht="11.25" hidden="1" customHeight="1" x14ac:dyDescent="0.25"/>
    <row r="3869" ht="11.25" hidden="1" customHeight="1" x14ac:dyDescent="0.25"/>
    <row r="3870" ht="11.25" hidden="1" customHeight="1" x14ac:dyDescent="0.25"/>
    <row r="3871" ht="11.25" hidden="1" customHeight="1" x14ac:dyDescent="0.25"/>
    <row r="3872" ht="11.25" hidden="1" customHeight="1" x14ac:dyDescent="0.25"/>
    <row r="3873" ht="11.25" hidden="1" customHeight="1" x14ac:dyDescent="0.25"/>
    <row r="3874" ht="11.25" hidden="1" customHeight="1" x14ac:dyDescent="0.25"/>
    <row r="3875" ht="11.25" hidden="1" customHeight="1" x14ac:dyDescent="0.25"/>
    <row r="3876" ht="11.25" hidden="1" customHeight="1" x14ac:dyDescent="0.25"/>
    <row r="3877" ht="11.25" hidden="1" customHeight="1" x14ac:dyDescent="0.25"/>
    <row r="3878" ht="11.25" hidden="1" customHeight="1" x14ac:dyDescent="0.25"/>
    <row r="3879" ht="11.25" hidden="1" customHeight="1" x14ac:dyDescent="0.25"/>
    <row r="3880" ht="11.25" hidden="1" customHeight="1" x14ac:dyDescent="0.25"/>
    <row r="3881" ht="11.25" hidden="1" customHeight="1" x14ac:dyDescent="0.25"/>
    <row r="3882" ht="11.25" hidden="1" customHeight="1" x14ac:dyDescent="0.25"/>
    <row r="3883" ht="11.25" hidden="1" customHeight="1" x14ac:dyDescent="0.25"/>
    <row r="3884" ht="11.25" hidden="1" customHeight="1" x14ac:dyDescent="0.25"/>
    <row r="3885" ht="11.25" hidden="1" customHeight="1" x14ac:dyDescent="0.25"/>
    <row r="3886" ht="11.25" hidden="1" customHeight="1" x14ac:dyDescent="0.25"/>
    <row r="3887" ht="11.25" hidden="1" customHeight="1" x14ac:dyDescent="0.25"/>
    <row r="3888" ht="11.25" hidden="1" customHeight="1" x14ac:dyDescent="0.25"/>
    <row r="3889" ht="11.25" hidden="1" customHeight="1" x14ac:dyDescent="0.25"/>
    <row r="3890" ht="11.25" hidden="1" customHeight="1" x14ac:dyDescent="0.25"/>
    <row r="3891" ht="11.25" hidden="1" customHeight="1" x14ac:dyDescent="0.25"/>
    <row r="3892" ht="11.25" hidden="1" customHeight="1" x14ac:dyDescent="0.25"/>
    <row r="3893" ht="11.25" hidden="1" customHeight="1" x14ac:dyDescent="0.25"/>
    <row r="3894" ht="11.25" hidden="1" customHeight="1" x14ac:dyDescent="0.25"/>
    <row r="3895" ht="11.25" hidden="1" customHeight="1" x14ac:dyDescent="0.25"/>
    <row r="3896" ht="11.25" hidden="1" customHeight="1" x14ac:dyDescent="0.25"/>
    <row r="3897" ht="11.25" hidden="1" customHeight="1" x14ac:dyDescent="0.25"/>
    <row r="3898" ht="11.25" hidden="1" customHeight="1" x14ac:dyDescent="0.25"/>
    <row r="3899" ht="11.25" hidden="1" customHeight="1" x14ac:dyDescent="0.25"/>
    <row r="3900" ht="11.25" hidden="1" customHeight="1" x14ac:dyDescent="0.25"/>
    <row r="3901" ht="11.25" hidden="1" customHeight="1" x14ac:dyDescent="0.25"/>
    <row r="3902" ht="11.25" hidden="1" customHeight="1" x14ac:dyDescent="0.25"/>
    <row r="3903" ht="11.25" hidden="1" customHeight="1" x14ac:dyDescent="0.25"/>
    <row r="3904" ht="11.25" hidden="1" customHeight="1" x14ac:dyDescent="0.25"/>
    <row r="3905" ht="11.25" hidden="1" customHeight="1" x14ac:dyDescent="0.25"/>
    <row r="3906" ht="11.25" hidden="1" customHeight="1" x14ac:dyDescent="0.25"/>
    <row r="3907" ht="11.25" hidden="1" customHeight="1" x14ac:dyDescent="0.25"/>
    <row r="3908" ht="11.25" hidden="1" customHeight="1" x14ac:dyDescent="0.25"/>
    <row r="3909" ht="11.25" hidden="1" customHeight="1" x14ac:dyDescent="0.25"/>
    <row r="3910" ht="11.25" hidden="1" customHeight="1" x14ac:dyDescent="0.25"/>
    <row r="3911" ht="11.25" hidden="1" customHeight="1" x14ac:dyDescent="0.25"/>
    <row r="3912" ht="11.25" hidden="1" customHeight="1" x14ac:dyDescent="0.25"/>
    <row r="3913" ht="11.25" hidden="1" customHeight="1" x14ac:dyDescent="0.25"/>
    <row r="3914" ht="11.25" hidden="1" customHeight="1" x14ac:dyDescent="0.25"/>
    <row r="3915" ht="11.25" hidden="1" customHeight="1" x14ac:dyDescent="0.25"/>
    <row r="3916" ht="11.25" hidden="1" customHeight="1" x14ac:dyDescent="0.25"/>
    <row r="3917" ht="11.25" hidden="1" customHeight="1" x14ac:dyDescent="0.25"/>
    <row r="3918" ht="11.25" hidden="1" customHeight="1" x14ac:dyDescent="0.25"/>
    <row r="3919" ht="11.25" hidden="1" customHeight="1" x14ac:dyDescent="0.25"/>
    <row r="3920" ht="11.25" hidden="1" customHeight="1" x14ac:dyDescent="0.25"/>
    <row r="3921" ht="11.25" hidden="1" customHeight="1" x14ac:dyDescent="0.25"/>
    <row r="3922" ht="11.25" hidden="1" customHeight="1" x14ac:dyDescent="0.25"/>
    <row r="3923" ht="11.25" hidden="1" customHeight="1" x14ac:dyDescent="0.25"/>
    <row r="3924" ht="11.25" hidden="1" customHeight="1" x14ac:dyDescent="0.25"/>
    <row r="3925" ht="11.25" hidden="1" customHeight="1" x14ac:dyDescent="0.25"/>
    <row r="3926" ht="11.25" hidden="1" customHeight="1" x14ac:dyDescent="0.25"/>
    <row r="3927" ht="11.25" hidden="1" customHeight="1" x14ac:dyDescent="0.25"/>
    <row r="3928" ht="11.25" hidden="1" customHeight="1" x14ac:dyDescent="0.25"/>
    <row r="3929" ht="11.25" hidden="1" customHeight="1" x14ac:dyDescent="0.25"/>
    <row r="3930" ht="11.25" hidden="1" customHeight="1" x14ac:dyDescent="0.25"/>
    <row r="3931" ht="11.25" hidden="1" customHeight="1" x14ac:dyDescent="0.25"/>
    <row r="3932" ht="11.25" hidden="1" customHeight="1" x14ac:dyDescent="0.25"/>
    <row r="3933" ht="11.25" hidden="1" customHeight="1" x14ac:dyDescent="0.25"/>
    <row r="3934" ht="11.25" hidden="1" customHeight="1" x14ac:dyDescent="0.25"/>
    <row r="3935" ht="11.25" hidden="1" customHeight="1" x14ac:dyDescent="0.25"/>
    <row r="3936" ht="11.25" hidden="1" customHeight="1" x14ac:dyDescent="0.25"/>
    <row r="3937" ht="11.25" hidden="1" customHeight="1" x14ac:dyDescent="0.25"/>
    <row r="3938" ht="11.25" hidden="1" customHeight="1" x14ac:dyDescent="0.25"/>
    <row r="3939" ht="11.25" hidden="1" customHeight="1" x14ac:dyDescent="0.25"/>
    <row r="3940" ht="11.25" hidden="1" customHeight="1" x14ac:dyDescent="0.25"/>
    <row r="3941" ht="11.25" hidden="1" customHeight="1" x14ac:dyDescent="0.25"/>
    <row r="3942" ht="11.25" hidden="1" customHeight="1" x14ac:dyDescent="0.25"/>
    <row r="3943" ht="11.25" hidden="1" customHeight="1" x14ac:dyDescent="0.25"/>
    <row r="3944" ht="11.25" hidden="1" customHeight="1" x14ac:dyDescent="0.25"/>
    <row r="3945" ht="11.25" hidden="1" customHeight="1" x14ac:dyDescent="0.25"/>
    <row r="3946" ht="11.25" hidden="1" customHeight="1" x14ac:dyDescent="0.25"/>
    <row r="3947" ht="11.25" hidden="1" customHeight="1" x14ac:dyDescent="0.25"/>
    <row r="3948" ht="11.25" hidden="1" customHeight="1" x14ac:dyDescent="0.25"/>
    <row r="3949" ht="11.25" hidden="1" customHeight="1" x14ac:dyDescent="0.25"/>
    <row r="3950" ht="11.25" hidden="1" customHeight="1" x14ac:dyDescent="0.25"/>
    <row r="3951" ht="11.25" hidden="1" customHeight="1" x14ac:dyDescent="0.25"/>
    <row r="3952" ht="11.25" hidden="1" customHeight="1" x14ac:dyDescent="0.25"/>
    <row r="3953" ht="11.25" hidden="1" customHeight="1" x14ac:dyDescent="0.25"/>
    <row r="3954" ht="11.25" hidden="1" customHeight="1" x14ac:dyDescent="0.25"/>
    <row r="3955" ht="11.25" hidden="1" customHeight="1" x14ac:dyDescent="0.25"/>
    <row r="3956" ht="11.25" hidden="1" customHeight="1" x14ac:dyDescent="0.25"/>
    <row r="3957" ht="11.25" hidden="1" customHeight="1" x14ac:dyDescent="0.25"/>
    <row r="3958" ht="11.25" hidden="1" customHeight="1" x14ac:dyDescent="0.25"/>
    <row r="3959" ht="11.25" hidden="1" customHeight="1" x14ac:dyDescent="0.25"/>
    <row r="3960" ht="11.25" hidden="1" customHeight="1" x14ac:dyDescent="0.25"/>
    <row r="3961" ht="11.25" hidden="1" customHeight="1" x14ac:dyDescent="0.25"/>
    <row r="3962" ht="11.25" hidden="1" customHeight="1" x14ac:dyDescent="0.25"/>
    <row r="3963" ht="11.25" hidden="1" customHeight="1" x14ac:dyDescent="0.25"/>
    <row r="3964" ht="11.25" hidden="1" customHeight="1" x14ac:dyDescent="0.25"/>
    <row r="3965" ht="11.25" hidden="1" customHeight="1" x14ac:dyDescent="0.25"/>
    <row r="3966" ht="11.25" hidden="1" customHeight="1" x14ac:dyDescent="0.25"/>
    <row r="3967" ht="11.25" hidden="1" customHeight="1" x14ac:dyDescent="0.25"/>
    <row r="3968" ht="11.25" hidden="1" customHeight="1" x14ac:dyDescent="0.25"/>
    <row r="3969" ht="11.25" hidden="1" customHeight="1" x14ac:dyDescent="0.25"/>
    <row r="3970" ht="11.25" hidden="1" customHeight="1" x14ac:dyDescent="0.25"/>
    <row r="3971" ht="11.25" hidden="1" customHeight="1" x14ac:dyDescent="0.25"/>
    <row r="3972" ht="11.25" hidden="1" customHeight="1" x14ac:dyDescent="0.25"/>
    <row r="3973" ht="11.25" hidden="1" customHeight="1" x14ac:dyDescent="0.25"/>
    <row r="3974" ht="11.25" hidden="1" customHeight="1" x14ac:dyDescent="0.25"/>
    <row r="3975" ht="11.25" hidden="1" customHeight="1" x14ac:dyDescent="0.25"/>
    <row r="3976" ht="11.25" hidden="1" customHeight="1" x14ac:dyDescent="0.25"/>
    <row r="3977" ht="11.25" hidden="1" customHeight="1" x14ac:dyDescent="0.25"/>
    <row r="3978" ht="11.25" hidden="1" customHeight="1" x14ac:dyDescent="0.25"/>
    <row r="3979" ht="11.25" hidden="1" customHeight="1" x14ac:dyDescent="0.25"/>
    <row r="3980" ht="11.25" hidden="1" customHeight="1" x14ac:dyDescent="0.25"/>
    <row r="3981" ht="11.25" hidden="1" customHeight="1" x14ac:dyDescent="0.25"/>
    <row r="3982" ht="11.25" hidden="1" customHeight="1" x14ac:dyDescent="0.25"/>
    <row r="3983" ht="11.25" hidden="1" customHeight="1" x14ac:dyDescent="0.25"/>
    <row r="3984" ht="11.25" hidden="1" customHeight="1" x14ac:dyDescent="0.25"/>
    <row r="3985" ht="11.25" hidden="1" customHeight="1" x14ac:dyDescent="0.25"/>
    <row r="3986" ht="11.25" hidden="1" customHeight="1" x14ac:dyDescent="0.25"/>
    <row r="3987" ht="11.25" hidden="1" customHeight="1" x14ac:dyDescent="0.25"/>
    <row r="3988" ht="11.25" hidden="1" customHeight="1" x14ac:dyDescent="0.25"/>
    <row r="3989" ht="11.25" hidden="1" customHeight="1" x14ac:dyDescent="0.25"/>
    <row r="3990" ht="11.25" hidden="1" customHeight="1" x14ac:dyDescent="0.25"/>
    <row r="3991" ht="11.25" hidden="1" customHeight="1" x14ac:dyDescent="0.25"/>
    <row r="3992" ht="11.25" hidden="1" customHeight="1" x14ac:dyDescent="0.25"/>
    <row r="3993" ht="11.25" hidden="1" customHeight="1" x14ac:dyDescent="0.25"/>
    <row r="3994" ht="11.25" hidden="1" customHeight="1" x14ac:dyDescent="0.25"/>
    <row r="3995" ht="11.25" hidden="1" customHeight="1" x14ac:dyDescent="0.25"/>
    <row r="3996" ht="11.25" hidden="1" customHeight="1" x14ac:dyDescent="0.25"/>
    <row r="3997" ht="11.25" hidden="1" customHeight="1" x14ac:dyDescent="0.25"/>
    <row r="3998" ht="11.25" hidden="1" customHeight="1" x14ac:dyDescent="0.25"/>
    <row r="3999" ht="11.25" hidden="1" customHeight="1" x14ac:dyDescent="0.25"/>
    <row r="4000" ht="11.25" hidden="1" customHeight="1" x14ac:dyDescent="0.25"/>
    <row r="4001" ht="11.25" hidden="1" customHeight="1" x14ac:dyDescent="0.25"/>
    <row r="4002" ht="11.25" hidden="1" customHeight="1" x14ac:dyDescent="0.25"/>
    <row r="4003" ht="11.25" hidden="1" customHeight="1" x14ac:dyDescent="0.25"/>
    <row r="4004" ht="11.25" hidden="1" customHeight="1" x14ac:dyDescent="0.25"/>
    <row r="4005" ht="11.25" hidden="1" customHeight="1" x14ac:dyDescent="0.25"/>
    <row r="4006" ht="11.25" hidden="1" customHeight="1" x14ac:dyDescent="0.25"/>
    <row r="4007" ht="11.25" hidden="1" customHeight="1" x14ac:dyDescent="0.25"/>
    <row r="4008" ht="11.25" hidden="1" customHeight="1" x14ac:dyDescent="0.25"/>
    <row r="4009" ht="11.25" hidden="1" customHeight="1" x14ac:dyDescent="0.25"/>
    <row r="4010" ht="11.25" hidden="1" customHeight="1" x14ac:dyDescent="0.25"/>
    <row r="4011" ht="11.25" hidden="1" customHeight="1" x14ac:dyDescent="0.25"/>
    <row r="4012" ht="11.25" hidden="1" customHeight="1" x14ac:dyDescent="0.25"/>
    <row r="4013" ht="11.25" hidden="1" customHeight="1" x14ac:dyDescent="0.25"/>
    <row r="4014" ht="11.25" hidden="1" customHeight="1" x14ac:dyDescent="0.25"/>
    <row r="4015" ht="11.25" hidden="1" customHeight="1" x14ac:dyDescent="0.25"/>
    <row r="4016" ht="11.25" hidden="1" customHeight="1" x14ac:dyDescent="0.25"/>
    <row r="4017" ht="11.25" hidden="1" customHeight="1" x14ac:dyDescent="0.25"/>
    <row r="4018" ht="11.25" hidden="1" customHeight="1" x14ac:dyDescent="0.25"/>
    <row r="4019" ht="11.25" hidden="1" customHeight="1" x14ac:dyDescent="0.25"/>
    <row r="4020" ht="11.25" hidden="1" customHeight="1" x14ac:dyDescent="0.25"/>
    <row r="4021" ht="11.25" hidden="1" customHeight="1" x14ac:dyDescent="0.25"/>
    <row r="4022" ht="11.25" hidden="1" customHeight="1" x14ac:dyDescent="0.25"/>
    <row r="4023" ht="11.25" hidden="1" customHeight="1" x14ac:dyDescent="0.25"/>
    <row r="4024" ht="11.25" hidden="1" customHeight="1" x14ac:dyDescent="0.25"/>
    <row r="4025" ht="11.25" hidden="1" customHeight="1" x14ac:dyDescent="0.25"/>
    <row r="4026" ht="11.25" hidden="1" customHeight="1" x14ac:dyDescent="0.25"/>
    <row r="4027" ht="11.25" hidden="1" customHeight="1" x14ac:dyDescent="0.25"/>
    <row r="4028" ht="11.25" hidden="1" customHeight="1" x14ac:dyDescent="0.25"/>
    <row r="4029" ht="11.25" hidden="1" customHeight="1" x14ac:dyDescent="0.25"/>
    <row r="4030" ht="11.25" hidden="1" customHeight="1" x14ac:dyDescent="0.25"/>
    <row r="4031" ht="11.25" hidden="1" customHeight="1" x14ac:dyDescent="0.25"/>
    <row r="4032" ht="11.25" hidden="1" customHeight="1" x14ac:dyDescent="0.25"/>
    <row r="4033" ht="11.25" hidden="1" customHeight="1" x14ac:dyDescent="0.25"/>
    <row r="4034" ht="11.25" hidden="1" customHeight="1" x14ac:dyDescent="0.25"/>
    <row r="4035" ht="11.25" hidden="1" customHeight="1" x14ac:dyDescent="0.25"/>
    <row r="4036" ht="11.25" hidden="1" customHeight="1" x14ac:dyDescent="0.25"/>
    <row r="4037" ht="11.25" hidden="1" customHeight="1" x14ac:dyDescent="0.25"/>
    <row r="4038" ht="11.25" hidden="1" customHeight="1" x14ac:dyDescent="0.25"/>
    <row r="4039" ht="11.25" hidden="1" customHeight="1" x14ac:dyDescent="0.25"/>
    <row r="4040" ht="11.25" hidden="1" customHeight="1" x14ac:dyDescent="0.25"/>
    <row r="4041" ht="11.25" hidden="1" customHeight="1" x14ac:dyDescent="0.25"/>
    <row r="4042" ht="11.25" hidden="1" customHeight="1" x14ac:dyDescent="0.25"/>
    <row r="4043" ht="11.25" hidden="1" customHeight="1" x14ac:dyDescent="0.25"/>
    <row r="4044" ht="11.25" hidden="1" customHeight="1" x14ac:dyDescent="0.25"/>
    <row r="4045" ht="11.25" hidden="1" customHeight="1" x14ac:dyDescent="0.25"/>
    <row r="4046" ht="11.25" hidden="1" customHeight="1" x14ac:dyDescent="0.25"/>
    <row r="4047" ht="11.25" hidden="1" customHeight="1" x14ac:dyDescent="0.25"/>
    <row r="4048" ht="11.25" hidden="1" customHeight="1" x14ac:dyDescent="0.25"/>
    <row r="4049" ht="11.25" hidden="1" customHeight="1" x14ac:dyDescent="0.25"/>
    <row r="4050" ht="11.25" hidden="1" customHeight="1" x14ac:dyDescent="0.25"/>
    <row r="4051" ht="11.25" hidden="1" customHeight="1" x14ac:dyDescent="0.25"/>
    <row r="4052" ht="11.25" hidden="1" customHeight="1" x14ac:dyDescent="0.25"/>
    <row r="4053" ht="11.25" hidden="1" customHeight="1" x14ac:dyDescent="0.25"/>
    <row r="4054" ht="11.25" hidden="1" customHeight="1" x14ac:dyDescent="0.25"/>
    <row r="4055" ht="11.25" hidden="1" customHeight="1" x14ac:dyDescent="0.25"/>
    <row r="4056" ht="11.25" hidden="1" customHeight="1" x14ac:dyDescent="0.25"/>
    <row r="4057" ht="11.25" hidden="1" customHeight="1" x14ac:dyDescent="0.25"/>
    <row r="4058" ht="11.25" hidden="1" customHeight="1" x14ac:dyDescent="0.25"/>
    <row r="4059" ht="11.25" hidden="1" customHeight="1" x14ac:dyDescent="0.25"/>
    <row r="4060" ht="11.25" hidden="1" customHeight="1" x14ac:dyDescent="0.25"/>
    <row r="4061" ht="11.25" hidden="1" customHeight="1" x14ac:dyDescent="0.25"/>
    <row r="4062" ht="11.25" hidden="1" customHeight="1" x14ac:dyDescent="0.25"/>
    <row r="4063" ht="11.25" hidden="1" customHeight="1" x14ac:dyDescent="0.25"/>
    <row r="4064" ht="11.25" hidden="1" customHeight="1" x14ac:dyDescent="0.25"/>
    <row r="4065" ht="11.25" hidden="1" customHeight="1" x14ac:dyDescent="0.25"/>
    <row r="4066" ht="11.25" hidden="1" customHeight="1" x14ac:dyDescent="0.25"/>
    <row r="4067" ht="11.25" hidden="1" customHeight="1" x14ac:dyDescent="0.25"/>
    <row r="4068" ht="11.25" hidden="1" customHeight="1" x14ac:dyDescent="0.25"/>
    <row r="4069" ht="11.25" hidden="1" customHeight="1" x14ac:dyDescent="0.25"/>
    <row r="4070" ht="11.25" hidden="1" customHeight="1" x14ac:dyDescent="0.25"/>
    <row r="4071" ht="11.25" hidden="1" customHeight="1" x14ac:dyDescent="0.25"/>
    <row r="4072" ht="11.25" hidden="1" customHeight="1" x14ac:dyDescent="0.25"/>
    <row r="4073" ht="11.25" hidden="1" customHeight="1" x14ac:dyDescent="0.25"/>
    <row r="4074" ht="11.25" hidden="1" customHeight="1" x14ac:dyDescent="0.25"/>
    <row r="4075" ht="11.25" hidden="1" customHeight="1" x14ac:dyDescent="0.25"/>
    <row r="4076" ht="11.25" hidden="1" customHeight="1" x14ac:dyDescent="0.25"/>
    <row r="4077" ht="11.25" hidden="1" customHeight="1" x14ac:dyDescent="0.25"/>
    <row r="4078" ht="11.25" hidden="1" customHeight="1" x14ac:dyDescent="0.25"/>
    <row r="4079" ht="11.25" hidden="1" customHeight="1" x14ac:dyDescent="0.25"/>
    <row r="4080" ht="11.25" hidden="1" customHeight="1" x14ac:dyDescent="0.25"/>
    <row r="4081" ht="11.25" hidden="1" customHeight="1" x14ac:dyDescent="0.25"/>
    <row r="4082" ht="11.25" hidden="1" customHeight="1" x14ac:dyDescent="0.25"/>
    <row r="4083" ht="11.25" hidden="1" customHeight="1" x14ac:dyDescent="0.25"/>
    <row r="4084" ht="11.25" hidden="1" customHeight="1" x14ac:dyDescent="0.25"/>
    <row r="4085" ht="11.25" hidden="1" customHeight="1" x14ac:dyDescent="0.25"/>
    <row r="4086" ht="11.25" hidden="1" customHeight="1" x14ac:dyDescent="0.25"/>
    <row r="4087" ht="11.25" hidden="1" customHeight="1" x14ac:dyDescent="0.25"/>
    <row r="4088" ht="11.25" hidden="1" customHeight="1" x14ac:dyDescent="0.25"/>
    <row r="4089" ht="11.25" hidden="1" customHeight="1" x14ac:dyDescent="0.25"/>
    <row r="4090" ht="11.25" hidden="1" customHeight="1" x14ac:dyDescent="0.25"/>
    <row r="4091" ht="11.25" hidden="1" customHeight="1" x14ac:dyDescent="0.25"/>
    <row r="4092" ht="11.25" hidden="1" customHeight="1" x14ac:dyDescent="0.25"/>
    <row r="4093" ht="11.25" hidden="1" customHeight="1" x14ac:dyDescent="0.25"/>
    <row r="4094" ht="11.25" hidden="1" customHeight="1" x14ac:dyDescent="0.25"/>
    <row r="4095" ht="11.25" hidden="1" customHeight="1" x14ac:dyDescent="0.25"/>
    <row r="4096" ht="11.25" hidden="1" customHeight="1" x14ac:dyDescent="0.25"/>
    <row r="4097" ht="11.25" hidden="1" customHeight="1" x14ac:dyDescent="0.25"/>
    <row r="4098" ht="11.25" hidden="1" customHeight="1" x14ac:dyDescent="0.25"/>
    <row r="4099" ht="11.25" hidden="1" customHeight="1" x14ac:dyDescent="0.25"/>
    <row r="4100" ht="11.25" hidden="1" customHeight="1" x14ac:dyDescent="0.25"/>
    <row r="4101" ht="11.25" hidden="1" customHeight="1" x14ac:dyDescent="0.25"/>
    <row r="4102" ht="11.25" hidden="1" customHeight="1" x14ac:dyDescent="0.25"/>
    <row r="4103" ht="11.25" hidden="1" customHeight="1" x14ac:dyDescent="0.25"/>
    <row r="4104" ht="11.25" hidden="1" customHeight="1" x14ac:dyDescent="0.25"/>
    <row r="4105" ht="11.25" hidden="1" customHeight="1" x14ac:dyDescent="0.25"/>
    <row r="4106" ht="11.25" hidden="1" customHeight="1" x14ac:dyDescent="0.25"/>
    <row r="4107" ht="11.25" hidden="1" customHeight="1" x14ac:dyDescent="0.25"/>
    <row r="4108" ht="11.25" hidden="1" customHeight="1" x14ac:dyDescent="0.25"/>
    <row r="4109" ht="11.25" hidden="1" customHeight="1" x14ac:dyDescent="0.25"/>
    <row r="4110" ht="11.25" hidden="1" customHeight="1" x14ac:dyDescent="0.25"/>
    <row r="4111" ht="11.25" hidden="1" customHeight="1" x14ac:dyDescent="0.25"/>
    <row r="4112" ht="11.25" hidden="1" customHeight="1" x14ac:dyDescent="0.25"/>
    <row r="4113" ht="11.25" hidden="1" customHeight="1" x14ac:dyDescent="0.25"/>
    <row r="4114" ht="11.25" hidden="1" customHeight="1" x14ac:dyDescent="0.25"/>
    <row r="4115" ht="11.25" hidden="1" customHeight="1" x14ac:dyDescent="0.25"/>
    <row r="4116" ht="11.25" hidden="1" customHeight="1" x14ac:dyDescent="0.25"/>
    <row r="4117" ht="11.25" hidden="1" customHeight="1" x14ac:dyDescent="0.25"/>
    <row r="4118" ht="11.25" hidden="1" customHeight="1" x14ac:dyDescent="0.25"/>
    <row r="4119" ht="11.25" hidden="1" customHeight="1" x14ac:dyDescent="0.25"/>
    <row r="4120" ht="11.25" hidden="1" customHeight="1" x14ac:dyDescent="0.25"/>
    <row r="4121" ht="11.25" hidden="1" customHeight="1" x14ac:dyDescent="0.25"/>
    <row r="4122" ht="11.25" hidden="1" customHeight="1" x14ac:dyDescent="0.25"/>
    <row r="4123" ht="11.25" hidden="1" customHeight="1" x14ac:dyDescent="0.25"/>
    <row r="4124" ht="11.25" hidden="1" customHeight="1" x14ac:dyDescent="0.25"/>
    <row r="4125" ht="11.25" hidden="1" customHeight="1" x14ac:dyDescent="0.25"/>
    <row r="4126" ht="11.25" hidden="1" customHeight="1" x14ac:dyDescent="0.25"/>
    <row r="4127" ht="11.25" hidden="1" customHeight="1" x14ac:dyDescent="0.25"/>
    <row r="4128" ht="11.25" hidden="1" customHeight="1" x14ac:dyDescent="0.25"/>
    <row r="4129" ht="11.25" hidden="1" customHeight="1" x14ac:dyDescent="0.25"/>
    <row r="4130" ht="11.25" hidden="1" customHeight="1" x14ac:dyDescent="0.25"/>
    <row r="4131" ht="11.25" hidden="1" customHeight="1" x14ac:dyDescent="0.25"/>
    <row r="4132" ht="11.25" hidden="1" customHeight="1" x14ac:dyDescent="0.25"/>
    <row r="4133" ht="11.25" hidden="1" customHeight="1" x14ac:dyDescent="0.25"/>
    <row r="4134" ht="11.25" hidden="1" customHeight="1" x14ac:dyDescent="0.25"/>
    <row r="4135" ht="11.25" hidden="1" customHeight="1" x14ac:dyDescent="0.25"/>
    <row r="4136" ht="11.25" hidden="1" customHeight="1" x14ac:dyDescent="0.25"/>
    <row r="4137" ht="11.25" hidden="1" customHeight="1" x14ac:dyDescent="0.25"/>
    <row r="4138" ht="11.25" hidden="1" customHeight="1" x14ac:dyDescent="0.25"/>
    <row r="4139" ht="11.25" hidden="1" customHeight="1" x14ac:dyDescent="0.25"/>
    <row r="4140" ht="11.25" hidden="1" customHeight="1" x14ac:dyDescent="0.25"/>
    <row r="4141" ht="11.25" hidden="1" customHeight="1" x14ac:dyDescent="0.25"/>
    <row r="4142" ht="11.25" hidden="1" customHeight="1" x14ac:dyDescent="0.25"/>
    <row r="4143" ht="11.25" hidden="1" customHeight="1" x14ac:dyDescent="0.25"/>
    <row r="4144" ht="11.25" hidden="1" customHeight="1" x14ac:dyDescent="0.25"/>
    <row r="4145" ht="11.25" hidden="1" customHeight="1" x14ac:dyDescent="0.25"/>
    <row r="4146" ht="11.25" hidden="1" customHeight="1" x14ac:dyDescent="0.25"/>
    <row r="4147" ht="11.25" hidden="1" customHeight="1" x14ac:dyDescent="0.25"/>
    <row r="4148" ht="11.25" hidden="1" customHeight="1" x14ac:dyDescent="0.25"/>
    <row r="4149" ht="11.25" hidden="1" customHeight="1" x14ac:dyDescent="0.25"/>
    <row r="4150" ht="11.25" hidden="1" customHeight="1" x14ac:dyDescent="0.25"/>
    <row r="4151" ht="11.25" hidden="1" customHeight="1" x14ac:dyDescent="0.25"/>
    <row r="4152" ht="11.25" hidden="1" customHeight="1" x14ac:dyDescent="0.25"/>
    <row r="4153" ht="11.25" hidden="1" customHeight="1" x14ac:dyDescent="0.25"/>
    <row r="4154" ht="11.25" hidden="1" customHeight="1" x14ac:dyDescent="0.25"/>
    <row r="4155" ht="11.25" hidden="1" customHeight="1" x14ac:dyDescent="0.25"/>
    <row r="4156" ht="11.25" hidden="1" customHeight="1" x14ac:dyDescent="0.25"/>
    <row r="4157" ht="11.25" hidden="1" customHeight="1" x14ac:dyDescent="0.25"/>
    <row r="4158" ht="11.25" hidden="1" customHeight="1" x14ac:dyDescent="0.25"/>
    <row r="4159" ht="11.25" hidden="1" customHeight="1" x14ac:dyDescent="0.25"/>
    <row r="4160" ht="11.25" hidden="1" customHeight="1" x14ac:dyDescent="0.25"/>
    <row r="4161" ht="11.25" hidden="1" customHeight="1" x14ac:dyDescent="0.25"/>
    <row r="4162" ht="11.25" hidden="1" customHeight="1" x14ac:dyDescent="0.25"/>
    <row r="4163" ht="11.25" hidden="1" customHeight="1" x14ac:dyDescent="0.25"/>
    <row r="4164" ht="11.25" hidden="1" customHeight="1" x14ac:dyDescent="0.25"/>
    <row r="4165" ht="11.25" hidden="1" customHeight="1" x14ac:dyDescent="0.25"/>
    <row r="4166" ht="11.25" hidden="1" customHeight="1" x14ac:dyDescent="0.25"/>
    <row r="4167" ht="11.25" hidden="1" customHeight="1" x14ac:dyDescent="0.25"/>
    <row r="4168" ht="11.25" hidden="1" customHeight="1" x14ac:dyDescent="0.25"/>
    <row r="4169" ht="11.25" hidden="1" customHeight="1" x14ac:dyDescent="0.25"/>
    <row r="4170" ht="11.25" hidden="1" customHeight="1" x14ac:dyDescent="0.25"/>
    <row r="4171" ht="11.25" hidden="1" customHeight="1" x14ac:dyDescent="0.25"/>
    <row r="4172" ht="11.25" hidden="1" customHeight="1" x14ac:dyDescent="0.25"/>
    <row r="4173" ht="11.25" hidden="1" customHeight="1" x14ac:dyDescent="0.25"/>
    <row r="4174" ht="11.25" hidden="1" customHeight="1" x14ac:dyDescent="0.25"/>
    <row r="4175" ht="11.25" hidden="1" customHeight="1" x14ac:dyDescent="0.25"/>
    <row r="4176" ht="11.25" hidden="1" customHeight="1" x14ac:dyDescent="0.25"/>
    <row r="4177" ht="11.25" hidden="1" customHeight="1" x14ac:dyDescent="0.25"/>
    <row r="4178" ht="11.25" hidden="1" customHeight="1" x14ac:dyDescent="0.25"/>
    <row r="4179" ht="11.25" hidden="1" customHeight="1" x14ac:dyDescent="0.25"/>
    <row r="4180" ht="11.25" hidden="1" customHeight="1" x14ac:dyDescent="0.25"/>
    <row r="4181" ht="11.25" hidden="1" customHeight="1" x14ac:dyDescent="0.25"/>
    <row r="4182" ht="11.25" hidden="1" customHeight="1" x14ac:dyDescent="0.25"/>
    <row r="4183" ht="11.25" hidden="1" customHeight="1" x14ac:dyDescent="0.25"/>
    <row r="4184" ht="11.25" hidden="1" customHeight="1" x14ac:dyDescent="0.25"/>
    <row r="4185" ht="11.25" hidden="1" customHeight="1" x14ac:dyDescent="0.25"/>
    <row r="4186" ht="11.25" hidden="1" customHeight="1" x14ac:dyDescent="0.25"/>
    <row r="4187" ht="11.25" hidden="1" customHeight="1" x14ac:dyDescent="0.25"/>
    <row r="4188" ht="11.25" hidden="1" customHeight="1" x14ac:dyDescent="0.25"/>
    <row r="4189" ht="11.25" hidden="1" customHeight="1" x14ac:dyDescent="0.25"/>
    <row r="4190" ht="11.25" hidden="1" customHeight="1" x14ac:dyDescent="0.25"/>
    <row r="4191" ht="11.25" hidden="1" customHeight="1" x14ac:dyDescent="0.25"/>
    <row r="4192" ht="11.25" hidden="1" customHeight="1" x14ac:dyDescent="0.25"/>
    <row r="4193" ht="11.25" hidden="1" customHeight="1" x14ac:dyDescent="0.25"/>
    <row r="4194" ht="11.25" hidden="1" customHeight="1" x14ac:dyDescent="0.25"/>
    <row r="4195" ht="11.25" hidden="1" customHeight="1" x14ac:dyDescent="0.25"/>
    <row r="4196" ht="11.25" hidden="1" customHeight="1" x14ac:dyDescent="0.25"/>
    <row r="4197" ht="11.25" hidden="1" customHeight="1" x14ac:dyDescent="0.25"/>
    <row r="4198" ht="11.25" hidden="1" customHeight="1" x14ac:dyDescent="0.25"/>
    <row r="4199" ht="11.25" hidden="1" customHeight="1" x14ac:dyDescent="0.25"/>
    <row r="4200" ht="11.25" hidden="1" customHeight="1" x14ac:dyDescent="0.25"/>
    <row r="4201" ht="11.25" hidden="1" customHeight="1" x14ac:dyDescent="0.25"/>
    <row r="4202" ht="11.25" hidden="1" customHeight="1" x14ac:dyDescent="0.25"/>
    <row r="4203" ht="11.25" hidden="1" customHeight="1" x14ac:dyDescent="0.25"/>
    <row r="4204" ht="11.25" hidden="1" customHeight="1" x14ac:dyDescent="0.25"/>
    <row r="4205" ht="11.25" hidden="1" customHeight="1" x14ac:dyDescent="0.25"/>
    <row r="4206" ht="11.25" hidden="1" customHeight="1" x14ac:dyDescent="0.25"/>
    <row r="4207" ht="11.25" hidden="1" customHeight="1" x14ac:dyDescent="0.25"/>
    <row r="4208" ht="11.25" hidden="1" customHeight="1" x14ac:dyDescent="0.25"/>
    <row r="4209" ht="11.25" hidden="1" customHeight="1" x14ac:dyDescent="0.25"/>
    <row r="4210" ht="11.25" hidden="1" customHeight="1" x14ac:dyDescent="0.25"/>
    <row r="4211" ht="11.25" hidden="1" customHeight="1" x14ac:dyDescent="0.25"/>
    <row r="4212" ht="11.25" hidden="1" customHeight="1" x14ac:dyDescent="0.25"/>
    <row r="4213" ht="11.25" hidden="1" customHeight="1" x14ac:dyDescent="0.25"/>
    <row r="4214" ht="11.25" hidden="1" customHeight="1" x14ac:dyDescent="0.25"/>
    <row r="4215" ht="11.25" hidden="1" customHeight="1" x14ac:dyDescent="0.25"/>
    <row r="4216" ht="11.25" hidden="1" customHeight="1" x14ac:dyDescent="0.25"/>
    <row r="4217" ht="11.25" hidden="1" customHeight="1" x14ac:dyDescent="0.25"/>
    <row r="4218" ht="11.25" hidden="1" customHeight="1" x14ac:dyDescent="0.25"/>
    <row r="4219" ht="11.25" hidden="1" customHeight="1" x14ac:dyDescent="0.25"/>
    <row r="4220" ht="11.25" hidden="1" customHeight="1" x14ac:dyDescent="0.25"/>
    <row r="4221" ht="11.25" hidden="1" customHeight="1" x14ac:dyDescent="0.25"/>
    <row r="4222" ht="11.25" hidden="1" customHeight="1" x14ac:dyDescent="0.25"/>
    <row r="4223" ht="11.25" hidden="1" customHeight="1" x14ac:dyDescent="0.25"/>
    <row r="4224" ht="11.25" hidden="1" customHeight="1" x14ac:dyDescent="0.25"/>
    <row r="4225" ht="11.25" hidden="1" customHeight="1" x14ac:dyDescent="0.25"/>
    <row r="4226" ht="11.25" hidden="1" customHeight="1" x14ac:dyDescent="0.25"/>
    <row r="4227" ht="11.25" hidden="1" customHeight="1" x14ac:dyDescent="0.25"/>
    <row r="4228" ht="11.25" hidden="1" customHeight="1" x14ac:dyDescent="0.25"/>
    <row r="4229" ht="11.25" hidden="1" customHeight="1" x14ac:dyDescent="0.25"/>
    <row r="4230" ht="11.25" hidden="1" customHeight="1" x14ac:dyDescent="0.25"/>
    <row r="4231" ht="11.25" hidden="1" customHeight="1" x14ac:dyDescent="0.25"/>
    <row r="4232" ht="11.25" hidden="1" customHeight="1" x14ac:dyDescent="0.25"/>
    <row r="4233" ht="11.25" hidden="1" customHeight="1" x14ac:dyDescent="0.25"/>
    <row r="4234" ht="11.25" hidden="1" customHeight="1" x14ac:dyDescent="0.25"/>
    <row r="4235" ht="11.25" hidden="1" customHeight="1" x14ac:dyDescent="0.25"/>
    <row r="4236" ht="11.25" hidden="1" customHeight="1" x14ac:dyDescent="0.25"/>
    <row r="4237" ht="11.25" hidden="1" customHeight="1" x14ac:dyDescent="0.25"/>
    <row r="4238" ht="11.25" hidden="1" customHeight="1" x14ac:dyDescent="0.25"/>
    <row r="4239" ht="11.25" hidden="1" customHeight="1" x14ac:dyDescent="0.25"/>
    <row r="4240" ht="11.25" hidden="1" customHeight="1" x14ac:dyDescent="0.25"/>
    <row r="4241" ht="11.25" hidden="1" customHeight="1" x14ac:dyDescent="0.25"/>
    <row r="4242" ht="11.25" hidden="1" customHeight="1" x14ac:dyDescent="0.25"/>
    <row r="4243" ht="11.25" hidden="1" customHeight="1" x14ac:dyDescent="0.25"/>
    <row r="4244" ht="11.25" hidden="1" customHeight="1" x14ac:dyDescent="0.25"/>
    <row r="4245" ht="11.25" hidden="1" customHeight="1" x14ac:dyDescent="0.25"/>
    <row r="4246" ht="11.25" hidden="1" customHeight="1" x14ac:dyDescent="0.25"/>
    <row r="4247" ht="11.25" hidden="1" customHeight="1" x14ac:dyDescent="0.25"/>
    <row r="4248" ht="11.25" hidden="1" customHeight="1" x14ac:dyDescent="0.25"/>
    <row r="4249" ht="11.25" hidden="1" customHeight="1" x14ac:dyDescent="0.25"/>
    <row r="4250" ht="11.25" hidden="1" customHeight="1" x14ac:dyDescent="0.25"/>
    <row r="4251" ht="11.25" hidden="1" customHeight="1" x14ac:dyDescent="0.25"/>
    <row r="4252" ht="11.25" hidden="1" customHeight="1" x14ac:dyDescent="0.25"/>
    <row r="4253" ht="11.25" hidden="1" customHeight="1" x14ac:dyDescent="0.25"/>
    <row r="4254" ht="11.25" hidden="1" customHeight="1" x14ac:dyDescent="0.25"/>
    <row r="4255" ht="11.25" hidden="1" customHeight="1" x14ac:dyDescent="0.25"/>
    <row r="4256" ht="11.25" hidden="1" customHeight="1" x14ac:dyDescent="0.25"/>
    <row r="4257" ht="11.25" hidden="1" customHeight="1" x14ac:dyDescent="0.25"/>
    <row r="4258" ht="11.25" hidden="1" customHeight="1" x14ac:dyDescent="0.25"/>
    <row r="4259" ht="11.25" hidden="1" customHeight="1" x14ac:dyDescent="0.25"/>
    <row r="4260" ht="11.25" hidden="1" customHeight="1" x14ac:dyDescent="0.25"/>
    <row r="4261" ht="11.25" hidden="1" customHeight="1" x14ac:dyDescent="0.25"/>
    <row r="4262" ht="11.25" hidden="1" customHeight="1" x14ac:dyDescent="0.25"/>
    <row r="4263" ht="11.25" hidden="1" customHeight="1" x14ac:dyDescent="0.25"/>
    <row r="4264" ht="11.25" hidden="1" customHeight="1" x14ac:dyDescent="0.25"/>
    <row r="4265" ht="11.25" hidden="1" customHeight="1" x14ac:dyDescent="0.25"/>
    <row r="4266" ht="11.25" hidden="1" customHeight="1" x14ac:dyDescent="0.25"/>
    <row r="4267" ht="11.25" hidden="1" customHeight="1" x14ac:dyDescent="0.25"/>
    <row r="4268" ht="11.25" hidden="1" customHeight="1" x14ac:dyDescent="0.25"/>
    <row r="4269" ht="11.25" hidden="1" customHeight="1" x14ac:dyDescent="0.25"/>
    <row r="4270" ht="11.25" hidden="1" customHeight="1" x14ac:dyDescent="0.25"/>
    <row r="4271" ht="11.25" hidden="1" customHeight="1" x14ac:dyDescent="0.25"/>
    <row r="4272" ht="11.25" hidden="1" customHeight="1" x14ac:dyDescent="0.25"/>
    <row r="4273" ht="11.25" hidden="1" customHeight="1" x14ac:dyDescent="0.25"/>
    <row r="4274" ht="11.25" hidden="1" customHeight="1" x14ac:dyDescent="0.25"/>
    <row r="4275" ht="11.25" hidden="1" customHeight="1" x14ac:dyDescent="0.25"/>
    <row r="4276" ht="11.25" hidden="1" customHeight="1" x14ac:dyDescent="0.25"/>
    <row r="4277" ht="11.25" hidden="1" customHeight="1" x14ac:dyDescent="0.25"/>
    <row r="4278" ht="11.25" hidden="1" customHeight="1" x14ac:dyDescent="0.25"/>
    <row r="4279" ht="11.25" hidden="1" customHeight="1" x14ac:dyDescent="0.25"/>
    <row r="4280" ht="11.25" hidden="1" customHeight="1" x14ac:dyDescent="0.25"/>
    <row r="4281" ht="11.25" hidden="1" customHeight="1" x14ac:dyDescent="0.25"/>
    <row r="4282" ht="11.25" hidden="1" customHeight="1" x14ac:dyDescent="0.25"/>
    <row r="4283" ht="11.25" hidden="1" customHeight="1" x14ac:dyDescent="0.25"/>
    <row r="4284" ht="11.25" hidden="1" customHeight="1" x14ac:dyDescent="0.25"/>
    <row r="4285" ht="11.25" hidden="1" customHeight="1" x14ac:dyDescent="0.25"/>
    <row r="4286" ht="11.25" hidden="1" customHeight="1" x14ac:dyDescent="0.25"/>
    <row r="4287" ht="11.25" hidden="1" customHeight="1" x14ac:dyDescent="0.25"/>
    <row r="4288" ht="11.25" hidden="1" customHeight="1" x14ac:dyDescent="0.25"/>
    <row r="4289" ht="11.25" hidden="1" customHeight="1" x14ac:dyDescent="0.25"/>
    <row r="4290" ht="11.25" hidden="1" customHeight="1" x14ac:dyDescent="0.25"/>
    <row r="4291" ht="11.25" hidden="1" customHeight="1" x14ac:dyDescent="0.25"/>
    <row r="4292" ht="11.25" hidden="1" customHeight="1" x14ac:dyDescent="0.25"/>
    <row r="4293" ht="11.25" hidden="1" customHeight="1" x14ac:dyDescent="0.25"/>
    <row r="4294" ht="11.25" hidden="1" customHeight="1" x14ac:dyDescent="0.25"/>
    <row r="4295" ht="11.25" hidden="1" customHeight="1" x14ac:dyDescent="0.25"/>
    <row r="4296" ht="11.25" hidden="1" customHeight="1" x14ac:dyDescent="0.25"/>
    <row r="4297" ht="11.25" hidden="1" customHeight="1" x14ac:dyDescent="0.25"/>
    <row r="4298" ht="11.25" hidden="1" customHeight="1" x14ac:dyDescent="0.25"/>
    <row r="4299" ht="11.25" hidden="1" customHeight="1" x14ac:dyDescent="0.25"/>
    <row r="4300" ht="11.25" hidden="1" customHeight="1" x14ac:dyDescent="0.25"/>
    <row r="4301" ht="11.25" hidden="1" customHeight="1" x14ac:dyDescent="0.25"/>
    <row r="4302" ht="11.25" hidden="1" customHeight="1" x14ac:dyDescent="0.25"/>
    <row r="4303" ht="11.25" hidden="1" customHeight="1" x14ac:dyDescent="0.25"/>
    <row r="4304" ht="11.25" hidden="1" customHeight="1" x14ac:dyDescent="0.25"/>
    <row r="4305" ht="11.25" hidden="1" customHeight="1" x14ac:dyDescent="0.25"/>
    <row r="4306" ht="11.25" hidden="1" customHeight="1" x14ac:dyDescent="0.25"/>
    <row r="4307" ht="11.25" hidden="1" customHeight="1" x14ac:dyDescent="0.25"/>
    <row r="4308" ht="11.25" hidden="1" customHeight="1" x14ac:dyDescent="0.25"/>
    <row r="4309" ht="11.25" hidden="1" customHeight="1" x14ac:dyDescent="0.25"/>
    <row r="4310" ht="11.25" hidden="1" customHeight="1" x14ac:dyDescent="0.25"/>
    <row r="4311" ht="11.25" hidden="1" customHeight="1" x14ac:dyDescent="0.25"/>
    <row r="4312" ht="11.25" hidden="1" customHeight="1" x14ac:dyDescent="0.25"/>
    <row r="4313" ht="11.25" hidden="1" customHeight="1" x14ac:dyDescent="0.25"/>
    <row r="4314" ht="11.25" hidden="1" customHeight="1" x14ac:dyDescent="0.25"/>
    <row r="4315" ht="11.25" hidden="1" customHeight="1" x14ac:dyDescent="0.25"/>
    <row r="4316" ht="11.25" hidden="1" customHeight="1" x14ac:dyDescent="0.25"/>
    <row r="4317" ht="11.25" hidden="1" customHeight="1" x14ac:dyDescent="0.25"/>
    <row r="4318" ht="11.25" hidden="1" customHeight="1" x14ac:dyDescent="0.25"/>
    <row r="4319" ht="11.25" hidden="1" customHeight="1" x14ac:dyDescent="0.25"/>
    <row r="4320" ht="11.25" hidden="1" customHeight="1" x14ac:dyDescent="0.25"/>
    <row r="4321" ht="11.25" hidden="1" customHeight="1" x14ac:dyDescent="0.25"/>
    <row r="4322" ht="11.25" hidden="1" customHeight="1" x14ac:dyDescent="0.25"/>
    <row r="4323" ht="11.25" hidden="1" customHeight="1" x14ac:dyDescent="0.25"/>
    <row r="4324" ht="11.25" hidden="1" customHeight="1" x14ac:dyDescent="0.25"/>
    <row r="4325" ht="11.25" hidden="1" customHeight="1" x14ac:dyDescent="0.25"/>
    <row r="4326" ht="11.25" hidden="1" customHeight="1" x14ac:dyDescent="0.25"/>
    <row r="4327" ht="11.25" hidden="1" customHeight="1" x14ac:dyDescent="0.25"/>
    <row r="4328" ht="11.25" hidden="1" customHeight="1" x14ac:dyDescent="0.25"/>
    <row r="4329" ht="11.25" hidden="1" customHeight="1" x14ac:dyDescent="0.25"/>
    <row r="4330" ht="11.25" hidden="1" customHeight="1" x14ac:dyDescent="0.25"/>
    <row r="4331" ht="11.25" hidden="1" customHeight="1" x14ac:dyDescent="0.25"/>
    <row r="4332" ht="11.25" hidden="1" customHeight="1" x14ac:dyDescent="0.25"/>
    <row r="4333" ht="11.25" hidden="1" customHeight="1" x14ac:dyDescent="0.25"/>
    <row r="4334" ht="11.25" hidden="1" customHeight="1" x14ac:dyDescent="0.25"/>
    <row r="4335" ht="11.25" hidden="1" customHeight="1" x14ac:dyDescent="0.25"/>
    <row r="4336" ht="11.25" hidden="1" customHeight="1" x14ac:dyDescent="0.25"/>
    <row r="4337" ht="11.25" hidden="1" customHeight="1" x14ac:dyDescent="0.25"/>
    <row r="4338" ht="11.25" hidden="1" customHeight="1" x14ac:dyDescent="0.25"/>
    <row r="4339" ht="11.25" hidden="1" customHeight="1" x14ac:dyDescent="0.25"/>
    <row r="4340" ht="11.25" hidden="1" customHeight="1" x14ac:dyDescent="0.25"/>
    <row r="4341" ht="11.25" hidden="1" customHeight="1" x14ac:dyDescent="0.25"/>
    <row r="4342" ht="11.25" hidden="1" customHeight="1" x14ac:dyDescent="0.25"/>
    <row r="4343" ht="11.25" hidden="1" customHeight="1" x14ac:dyDescent="0.25"/>
    <row r="4344" ht="11.25" hidden="1" customHeight="1" x14ac:dyDescent="0.25"/>
    <row r="4345" ht="11.25" hidden="1" customHeight="1" x14ac:dyDescent="0.25"/>
    <row r="4346" ht="11.25" hidden="1" customHeight="1" x14ac:dyDescent="0.25"/>
    <row r="4347" ht="11.25" hidden="1" customHeight="1" x14ac:dyDescent="0.25"/>
    <row r="4348" ht="11.25" hidden="1" customHeight="1" x14ac:dyDescent="0.25"/>
    <row r="4349" ht="11.25" hidden="1" customHeight="1" x14ac:dyDescent="0.25"/>
    <row r="4350" ht="11.25" hidden="1" customHeight="1" x14ac:dyDescent="0.25"/>
    <row r="4351" ht="11.25" hidden="1" customHeight="1" x14ac:dyDescent="0.25"/>
    <row r="4352" ht="11.25" hidden="1" customHeight="1" x14ac:dyDescent="0.25"/>
    <row r="4353" ht="11.25" hidden="1" customHeight="1" x14ac:dyDescent="0.25"/>
    <row r="4354" ht="11.25" hidden="1" customHeight="1" x14ac:dyDescent="0.25"/>
    <row r="4355" ht="11.25" hidden="1" customHeight="1" x14ac:dyDescent="0.25"/>
    <row r="4356" ht="11.25" hidden="1" customHeight="1" x14ac:dyDescent="0.25"/>
    <row r="4357" ht="11.25" hidden="1" customHeight="1" x14ac:dyDescent="0.25"/>
    <row r="4358" ht="11.25" hidden="1" customHeight="1" x14ac:dyDescent="0.25"/>
    <row r="4359" ht="11.25" hidden="1" customHeight="1" x14ac:dyDescent="0.25"/>
    <row r="4360" ht="11.25" hidden="1" customHeight="1" x14ac:dyDescent="0.25"/>
    <row r="4361" ht="11.25" hidden="1" customHeight="1" x14ac:dyDescent="0.25"/>
    <row r="4362" ht="11.25" hidden="1" customHeight="1" x14ac:dyDescent="0.25"/>
    <row r="4363" ht="11.25" hidden="1" customHeight="1" x14ac:dyDescent="0.25"/>
    <row r="4364" ht="11.25" hidden="1" customHeight="1" x14ac:dyDescent="0.25"/>
    <row r="4365" ht="11.25" hidden="1" customHeight="1" x14ac:dyDescent="0.25"/>
    <row r="4366" ht="11.25" hidden="1" customHeight="1" x14ac:dyDescent="0.25"/>
    <row r="4367" ht="11.25" hidden="1" customHeight="1" x14ac:dyDescent="0.25"/>
    <row r="4368" ht="11.25" hidden="1" customHeight="1" x14ac:dyDescent="0.25"/>
    <row r="4369" ht="11.25" hidden="1" customHeight="1" x14ac:dyDescent="0.25"/>
    <row r="4370" ht="11.25" hidden="1" customHeight="1" x14ac:dyDescent="0.25"/>
    <row r="4371" ht="11.25" hidden="1" customHeight="1" x14ac:dyDescent="0.25"/>
    <row r="4372" ht="11.25" hidden="1" customHeight="1" x14ac:dyDescent="0.25"/>
    <row r="4373" ht="11.25" hidden="1" customHeight="1" x14ac:dyDescent="0.25"/>
    <row r="4374" ht="11.25" hidden="1" customHeight="1" x14ac:dyDescent="0.25"/>
    <row r="4375" ht="11.25" hidden="1" customHeight="1" x14ac:dyDescent="0.25"/>
    <row r="4376" ht="11.25" hidden="1" customHeight="1" x14ac:dyDescent="0.25"/>
    <row r="4377" ht="11.25" hidden="1" customHeight="1" x14ac:dyDescent="0.25"/>
    <row r="4378" ht="11.25" hidden="1" customHeight="1" x14ac:dyDescent="0.25"/>
    <row r="4379" ht="11.25" hidden="1" customHeight="1" x14ac:dyDescent="0.25"/>
    <row r="4380" ht="11.25" hidden="1" customHeight="1" x14ac:dyDescent="0.25"/>
    <row r="4381" ht="11.25" hidden="1" customHeight="1" x14ac:dyDescent="0.25"/>
    <row r="4382" ht="11.25" hidden="1" customHeight="1" x14ac:dyDescent="0.25"/>
    <row r="4383" ht="11.25" hidden="1" customHeight="1" x14ac:dyDescent="0.25"/>
    <row r="4384" ht="11.25" hidden="1" customHeight="1" x14ac:dyDescent="0.25"/>
    <row r="4385" ht="11.25" hidden="1" customHeight="1" x14ac:dyDescent="0.25"/>
    <row r="4386" ht="11.25" hidden="1" customHeight="1" x14ac:dyDescent="0.25"/>
    <row r="4387" ht="11.25" hidden="1" customHeight="1" x14ac:dyDescent="0.25"/>
    <row r="4388" ht="11.25" hidden="1" customHeight="1" x14ac:dyDescent="0.25"/>
    <row r="4389" ht="11.25" hidden="1" customHeight="1" x14ac:dyDescent="0.25"/>
    <row r="4390" ht="11.25" hidden="1" customHeight="1" x14ac:dyDescent="0.25"/>
    <row r="4391" ht="11.25" hidden="1" customHeight="1" x14ac:dyDescent="0.25"/>
    <row r="4392" ht="11.25" hidden="1" customHeight="1" x14ac:dyDescent="0.25"/>
    <row r="4393" ht="11.25" hidden="1" customHeight="1" x14ac:dyDescent="0.25"/>
    <row r="4394" ht="11.25" hidden="1" customHeight="1" x14ac:dyDescent="0.25"/>
    <row r="4395" ht="11.25" hidden="1" customHeight="1" x14ac:dyDescent="0.25"/>
    <row r="4396" ht="11.25" hidden="1" customHeight="1" x14ac:dyDescent="0.25"/>
    <row r="4397" ht="11.25" hidden="1" customHeight="1" x14ac:dyDescent="0.25"/>
    <row r="4398" ht="11.25" hidden="1" customHeight="1" x14ac:dyDescent="0.25"/>
    <row r="4399" ht="11.25" hidden="1" customHeight="1" x14ac:dyDescent="0.25"/>
    <row r="4400" ht="11.25" hidden="1" customHeight="1" x14ac:dyDescent="0.25"/>
    <row r="4401" ht="11.25" hidden="1" customHeight="1" x14ac:dyDescent="0.25"/>
    <row r="4402" ht="11.25" hidden="1" customHeight="1" x14ac:dyDescent="0.25"/>
    <row r="4403" ht="11.25" hidden="1" customHeight="1" x14ac:dyDescent="0.25"/>
    <row r="4404" ht="11.25" hidden="1" customHeight="1" x14ac:dyDescent="0.25"/>
    <row r="4405" ht="11.25" hidden="1" customHeight="1" x14ac:dyDescent="0.25"/>
    <row r="4406" ht="11.25" hidden="1" customHeight="1" x14ac:dyDescent="0.25"/>
    <row r="4407" ht="11.25" hidden="1" customHeight="1" x14ac:dyDescent="0.25"/>
    <row r="4408" ht="11.25" hidden="1" customHeight="1" x14ac:dyDescent="0.25"/>
    <row r="4409" ht="11.25" hidden="1" customHeight="1" x14ac:dyDescent="0.25"/>
    <row r="4410" ht="11.25" hidden="1" customHeight="1" x14ac:dyDescent="0.25"/>
    <row r="4411" ht="11.25" hidden="1" customHeight="1" x14ac:dyDescent="0.25"/>
    <row r="4412" ht="11.25" hidden="1" customHeight="1" x14ac:dyDescent="0.25"/>
    <row r="4413" ht="11.25" hidden="1" customHeight="1" x14ac:dyDescent="0.25"/>
    <row r="4414" ht="11.25" hidden="1" customHeight="1" x14ac:dyDescent="0.25"/>
    <row r="4415" ht="11.25" hidden="1" customHeight="1" x14ac:dyDescent="0.25"/>
    <row r="4416" ht="11.25" hidden="1" customHeight="1" x14ac:dyDescent="0.25"/>
    <row r="4417" ht="11.25" hidden="1" customHeight="1" x14ac:dyDescent="0.25"/>
    <row r="4418" ht="11.25" hidden="1" customHeight="1" x14ac:dyDescent="0.25"/>
    <row r="4419" ht="11.25" hidden="1" customHeight="1" x14ac:dyDescent="0.25"/>
    <row r="4420" ht="11.25" hidden="1" customHeight="1" x14ac:dyDescent="0.25"/>
    <row r="4421" ht="11.25" hidden="1" customHeight="1" x14ac:dyDescent="0.25"/>
    <row r="4422" ht="11.25" hidden="1" customHeight="1" x14ac:dyDescent="0.25"/>
    <row r="4423" ht="11.25" hidden="1" customHeight="1" x14ac:dyDescent="0.25"/>
    <row r="4424" ht="11.25" hidden="1" customHeight="1" x14ac:dyDescent="0.25"/>
    <row r="4425" ht="11.25" hidden="1" customHeight="1" x14ac:dyDescent="0.25"/>
    <row r="4426" ht="11.25" hidden="1" customHeight="1" x14ac:dyDescent="0.25"/>
    <row r="4427" ht="11.25" hidden="1" customHeight="1" x14ac:dyDescent="0.25"/>
    <row r="4428" ht="11.25" hidden="1" customHeight="1" x14ac:dyDescent="0.25"/>
    <row r="4429" ht="11.25" hidden="1" customHeight="1" x14ac:dyDescent="0.25"/>
    <row r="4430" ht="11.25" hidden="1" customHeight="1" x14ac:dyDescent="0.25"/>
    <row r="4431" ht="11.25" hidden="1" customHeight="1" x14ac:dyDescent="0.25"/>
    <row r="4432" ht="11.25" hidden="1" customHeight="1" x14ac:dyDescent="0.25"/>
    <row r="4433" ht="11.25" hidden="1" customHeight="1" x14ac:dyDescent="0.25"/>
    <row r="4434" ht="11.25" hidden="1" customHeight="1" x14ac:dyDescent="0.25"/>
    <row r="4435" ht="11.25" hidden="1" customHeight="1" x14ac:dyDescent="0.25"/>
    <row r="4436" ht="11.25" hidden="1" customHeight="1" x14ac:dyDescent="0.25"/>
    <row r="4437" ht="11.25" hidden="1" customHeight="1" x14ac:dyDescent="0.25"/>
    <row r="4438" ht="11.25" hidden="1" customHeight="1" x14ac:dyDescent="0.25"/>
    <row r="4439" ht="11.25" hidden="1" customHeight="1" x14ac:dyDescent="0.25"/>
    <row r="4440" ht="11.25" hidden="1" customHeight="1" x14ac:dyDescent="0.25"/>
    <row r="4441" ht="11.25" hidden="1" customHeight="1" x14ac:dyDescent="0.25"/>
    <row r="4442" ht="11.25" hidden="1" customHeight="1" x14ac:dyDescent="0.25"/>
    <row r="4443" ht="11.25" hidden="1" customHeight="1" x14ac:dyDescent="0.25"/>
    <row r="4444" ht="11.25" hidden="1" customHeight="1" x14ac:dyDescent="0.25"/>
    <row r="4445" ht="11.25" hidden="1" customHeight="1" x14ac:dyDescent="0.25"/>
    <row r="4446" ht="11.25" hidden="1" customHeight="1" x14ac:dyDescent="0.25"/>
    <row r="4447" ht="11.25" hidden="1" customHeight="1" x14ac:dyDescent="0.25"/>
    <row r="4448" ht="11.25" hidden="1" customHeight="1" x14ac:dyDescent="0.25"/>
    <row r="4449" ht="11.25" hidden="1" customHeight="1" x14ac:dyDescent="0.25"/>
    <row r="4450" ht="11.25" hidden="1" customHeight="1" x14ac:dyDescent="0.25"/>
    <row r="4451" ht="11.25" hidden="1" customHeight="1" x14ac:dyDescent="0.25"/>
    <row r="4452" ht="11.25" hidden="1" customHeight="1" x14ac:dyDescent="0.25"/>
    <row r="4453" ht="11.25" hidden="1" customHeight="1" x14ac:dyDescent="0.25"/>
    <row r="4454" ht="11.25" hidden="1" customHeight="1" x14ac:dyDescent="0.25"/>
    <row r="4455" ht="11.25" hidden="1" customHeight="1" x14ac:dyDescent="0.25"/>
    <row r="4456" ht="11.25" hidden="1" customHeight="1" x14ac:dyDescent="0.25"/>
    <row r="4457" ht="11.25" hidden="1" customHeight="1" x14ac:dyDescent="0.25"/>
    <row r="4458" ht="11.25" hidden="1" customHeight="1" x14ac:dyDescent="0.25"/>
    <row r="4459" ht="11.25" hidden="1" customHeight="1" x14ac:dyDescent="0.25"/>
    <row r="4460" ht="11.25" hidden="1" customHeight="1" x14ac:dyDescent="0.25"/>
    <row r="4461" ht="11.25" hidden="1" customHeight="1" x14ac:dyDescent="0.25"/>
    <row r="4462" ht="11.25" hidden="1" customHeight="1" x14ac:dyDescent="0.25"/>
    <row r="4463" ht="11.25" hidden="1" customHeight="1" x14ac:dyDescent="0.25"/>
    <row r="4464" ht="11.25" hidden="1" customHeight="1" x14ac:dyDescent="0.25"/>
    <row r="4465" ht="11.25" hidden="1" customHeight="1" x14ac:dyDescent="0.25"/>
    <row r="4466" ht="11.25" hidden="1" customHeight="1" x14ac:dyDescent="0.25"/>
    <row r="4467" ht="11.25" hidden="1" customHeight="1" x14ac:dyDescent="0.25"/>
    <row r="4468" ht="11.25" hidden="1" customHeight="1" x14ac:dyDescent="0.25"/>
    <row r="4469" ht="11.25" hidden="1" customHeight="1" x14ac:dyDescent="0.25"/>
    <row r="4470" ht="11.25" hidden="1" customHeight="1" x14ac:dyDescent="0.25"/>
    <row r="4471" ht="11.25" hidden="1" customHeight="1" x14ac:dyDescent="0.25"/>
    <row r="4472" ht="11.25" hidden="1" customHeight="1" x14ac:dyDescent="0.25"/>
    <row r="4473" ht="11.25" hidden="1" customHeight="1" x14ac:dyDescent="0.25"/>
    <row r="4474" ht="11.25" hidden="1" customHeight="1" x14ac:dyDescent="0.25"/>
    <row r="4475" ht="11.25" hidden="1" customHeight="1" x14ac:dyDescent="0.25"/>
    <row r="4476" ht="11.25" hidden="1" customHeight="1" x14ac:dyDescent="0.25"/>
    <row r="4477" ht="11.25" hidden="1" customHeight="1" x14ac:dyDescent="0.25"/>
    <row r="4478" ht="11.25" hidden="1" customHeight="1" x14ac:dyDescent="0.25"/>
    <row r="4479" ht="11.25" hidden="1" customHeight="1" x14ac:dyDescent="0.25"/>
    <row r="4480" ht="11.25" hidden="1" customHeight="1" x14ac:dyDescent="0.25"/>
    <row r="4481" ht="11.25" hidden="1" customHeight="1" x14ac:dyDescent="0.25"/>
    <row r="4482" ht="11.25" hidden="1" customHeight="1" x14ac:dyDescent="0.25"/>
    <row r="4483" ht="11.25" hidden="1" customHeight="1" x14ac:dyDescent="0.25"/>
    <row r="4484" ht="11.25" hidden="1" customHeight="1" x14ac:dyDescent="0.25"/>
    <row r="4485" ht="11.25" hidden="1" customHeight="1" x14ac:dyDescent="0.25"/>
    <row r="4486" ht="11.25" hidden="1" customHeight="1" x14ac:dyDescent="0.25"/>
    <row r="4487" ht="11.25" hidden="1" customHeight="1" x14ac:dyDescent="0.25"/>
    <row r="4488" ht="11.25" hidden="1" customHeight="1" x14ac:dyDescent="0.25"/>
    <row r="4489" ht="11.25" hidden="1" customHeight="1" x14ac:dyDescent="0.25"/>
    <row r="4490" ht="11.25" hidden="1" customHeight="1" x14ac:dyDescent="0.25"/>
    <row r="4491" ht="11.25" hidden="1" customHeight="1" x14ac:dyDescent="0.25"/>
    <row r="4492" ht="11.25" hidden="1" customHeight="1" x14ac:dyDescent="0.25"/>
    <row r="4493" ht="11.25" hidden="1" customHeight="1" x14ac:dyDescent="0.25"/>
    <row r="4494" ht="11.25" hidden="1" customHeight="1" x14ac:dyDescent="0.25"/>
    <row r="4495" ht="11.25" hidden="1" customHeight="1" x14ac:dyDescent="0.25"/>
    <row r="4496" ht="11.25" hidden="1" customHeight="1" x14ac:dyDescent="0.25"/>
    <row r="4497" ht="11.25" hidden="1" customHeight="1" x14ac:dyDescent="0.25"/>
    <row r="4498" ht="11.25" hidden="1" customHeight="1" x14ac:dyDescent="0.25"/>
    <row r="4499" ht="11.25" hidden="1" customHeight="1" x14ac:dyDescent="0.25"/>
    <row r="4500" ht="11.25" hidden="1" customHeight="1" x14ac:dyDescent="0.25"/>
    <row r="4501" ht="11.25" hidden="1" customHeight="1" x14ac:dyDescent="0.25"/>
    <row r="4502" ht="11.25" hidden="1" customHeight="1" x14ac:dyDescent="0.25"/>
    <row r="4503" ht="11.25" hidden="1" customHeight="1" x14ac:dyDescent="0.25"/>
    <row r="4504" ht="11.25" hidden="1" customHeight="1" x14ac:dyDescent="0.25"/>
    <row r="4505" ht="11.25" hidden="1" customHeight="1" x14ac:dyDescent="0.25"/>
    <row r="4506" ht="11.25" hidden="1" customHeight="1" x14ac:dyDescent="0.25"/>
    <row r="4507" ht="11.25" hidden="1" customHeight="1" x14ac:dyDescent="0.25"/>
    <row r="4508" ht="11.25" hidden="1" customHeight="1" x14ac:dyDescent="0.25"/>
    <row r="4509" ht="11.25" hidden="1" customHeight="1" x14ac:dyDescent="0.25"/>
    <row r="4510" ht="11.25" hidden="1" customHeight="1" x14ac:dyDescent="0.25"/>
    <row r="4511" ht="11.25" hidden="1" customHeight="1" x14ac:dyDescent="0.25"/>
    <row r="4512" ht="11.25" hidden="1" customHeight="1" x14ac:dyDescent="0.25"/>
    <row r="4513" ht="11.25" hidden="1" customHeight="1" x14ac:dyDescent="0.25"/>
    <row r="4514" ht="11.25" hidden="1" customHeight="1" x14ac:dyDescent="0.25"/>
    <row r="4515" ht="11.25" hidden="1" customHeight="1" x14ac:dyDescent="0.25"/>
    <row r="4516" ht="11.25" hidden="1" customHeight="1" x14ac:dyDescent="0.25"/>
    <row r="4517" ht="11.25" hidden="1" customHeight="1" x14ac:dyDescent="0.25"/>
    <row r="4518" ht="11.25" hidden="1" customHeight="1" x14ac:dyDescent="0.25"/>
    <row r="4519" ht="11.25" hidden="1" customHeight="1" x14ac:dyDescent="0.25"/>
    <row r="4520" ht="11.25" hidden="1" customHeight="1" x14ac:dyDescent="0.25"/>
    <row r="4521" ht="11.25" hidden="1" customHeight="1" x14ac:dyDescent="0.25"/>
    <row r="4522" ht="11.25" hidden="1" customHeight="1" x14ac:dyDescent="0.25"/>
    <row r="4523" ht="11.25" hidden="1" customHeight="1" x14ac:dyDescent="0.25"/>
    <row r="4524" ht="11.25" hidden="1" customHeight="1" x14ac:dyDescent="0.25"/>
    <row r="4525" ht="11.25" hidden="1" customHeight="1" x14ac:dyDescent="0.25"/>
    <row r="4526" ht="11.25" hidden="1" customHeight="1" x14ac:dyDescent="0.25"/>
    <row r="4527" ht="11.25" hidden="1" customHeight="1" x14ac:dyDescent="0.25"/>
    <row r="4528" ht="11.25" hidden="1" customHeight="1" x14ac:dyDescent="0.25"/>
    <row r="4529" ht="11.25" hidden="1" customHeight="1" x14ac:dyDescent="0.25"/>
    <row r="4530" ht="11.25" hidden="1" customHeight="1" x14ac:dyDescent="0.25"/>
    <row r="4531" ht="11.25" hidden="1" customHeight="1" x14ac:dyDescent="0.25"/>
    <row r="4532" ht="11.25" hidden="1" customHeight="1" x14ac:dyDescent="0.25"/>
    <row r="4533" ht="11.25" hidden="1" customHeight="1" x14ac:dyDescent="0.25"/>
    <row r="4534" ht="11.25" hidden="1" customHeight="1" x14ac:dyDescent="0.25"/>
    <row r="4535" ht="11.25" hidden="1" customHeight="1" x14ac:dyDescent="0.25"/>
    <row r="4536" ht="11.25" hidden="1" customHeight="1" x14ac:dyDescent="0.25"/>
    <row r="4537" ht="11.25" hidden="1" customHeight="1" x14ac:dyDescent="0.25"/>
    <row r="4538" ht="11.25" hidden="1" customHeight="1" x14ac:dyDescent="0.25"/>
    <row r="4539" ht="11.25" hidden="1" customHeight="1" x14ac:dyDescent="0.25"/>
    <row r="4540" ht="11.25" hidden="1" customHeight="1" x14ac:dyDescent="0.25"/>
    <row r="4541" ht="11.25" hidden="1" customHeight="1" x14ac:dyDescent="0.25"/>
    <row r="4542" ht="11.25" hidden="1" customHeight="1" x14ac:dyDescent="0.25"/>
    <row r="4543" ht="11.25" hidden="1" customHeight="1" x14ac:dyDescent="0.25"/>
    <row r="4544" ht="11.25" hidden="1" customHeight="1" x14ac:dyDescent="0.25"/>
    <row r="4545" ht="11.25" hidden="1" customHeight="1" x14ac:dyDescent="0.25"/>
    <row r="4546" ht="11.25" hidden="1" customHeight="1" x14ac:dyDescent="0.25"/>
    <row r="4547" ht="11.25" hidden="1" customHeight="1" x14ac:dyDescent="0.25"/>
    <row r="4548" ht="11.25" hidden="1" customHeight="1" x14ac:dyDescent="0.25"/>
    <row r="4549" ht="11.25" hidden="1" customHeight="1" x14ac:dyDescent="0.25"/>
    <row r="4550" ht="11.25" hidden="1" customHeight="1" x14ac:dyDescent="0.25"/>
    <row r="4551" ht="11.25" hidden="1" customHeight="1" x14ac:dyDescent="0.25"/>
    <row r="4552" ht="11.25" hidden="1" customHeight="1" x14ac:dyDescent="0.25"/>
    <row r="4553" ht="11.25" hidden="1" customHeight="1" x14ac:dyDescent="0.25"/>
    <row r="4554" ht="11.25" hidden="1" customHeight="1" x14ac:dyDescent="0.25"/>
    <row r="4555" ht="11.25" hidden="1" customHeight="1" x14ac:dyDescent="0.25"/>
    <row r="4556" ht="11.25" hidden="1" customHeight="1" x14ac:dyDescent="0.25"/>
    <row r="4557" ht="11.25" hidden="1" customHeight="1" x14ac:dyDescent="0.25"/>
    <row r="4558" ht="11.25" hidden="1" customHeight="1" x14ac:dyDescent="0.25"/>
    <row r="4559" ht="11.25" hidden="1" customHeight="1" x14ac:dyDescent="0.25"/>
    <row r="4560" ht="11.25" hidden="1" customHeight="1" x14ac:dyDescent="0.25"/>
    <row r="4561" ht="11.25" hidden="1" customHeight="1" x14ac:dyDescent="0.25"/>
    <row r="4562" ht="11.25" hidden="1" customHeight="1" x14ac:dyDescent="0.25"/>
    <row r="4563" ht="11.25" hidden="1" customHeight="1" x14ac:dyDescent="0.25"/>
    <row r="4564" ht="11.25" hidden="1" customHeight="1" x14ac:dyDescent="0.25"/>
    <row r="4565" ht="11.25" hidden="1" customHeight="1" x14ac:dyDescent="0.25"/>
    <row r="4566" ht="11.25" hidden="1" customHeight="1" x14ac:dyDescent="0.25"/>
    <row r="4567" ht="11.25" hidden="1" customHeight="1" x14ac:dyDescent="0.25"/>
    <row r="4568" ht="11.25" hidden="1" customHeight="1" x14ac:dyDescent="0.25"/>
    <row r="4569" ht="11.25" hidden="1" customHeight="1" x14ac:dyDescent="0.25"/>
    <row r="4570" ht="11.25" hidden="1" customHeight="1" x14ac:dyDescent="0.25"/>
    <row r="4571" ht="11.25" hidden="1" customHeight="1" x14ac:dyDescent="0.25"/>
    <row r="4572" ht="11.25" hidden="1" customHeight="1" x14ac:dyDescent="0.25"/>
    <row r="4573" ht="11.25" hidden="1" customHeight="1" x14ac:dyDescent="0.25"/>
    <row r="4574" ht="11.25" hidden="1" customHeight="1" x14ac:dyDescent="0.25"/>
    <row r="4575" ht="11.25" hidden="1" customHeight="1" x14ac:dyDescent="0.25"/>
    <row r="4576" ht="11.25" hidden="1" customHeight="1" x14ac:dyDescent="0.25"/>
    <row r="4577" ht="11.25" hidden="1" customHeight="1" x14ac:dyDescent="0.25"/>
    <row r="4578" ht="11.25" hidden="1" customHeight="1" x14ac:dyDescent="0.25"/>
    <row r="4579" ht="11.25" hidden="1" customHeight="1" x14ac:dyDescent="0.25"/>
    <row r="4580" ht="11.25" hidden="1" customHeight="1" x14ac:dyDescent="0.25"/>
    <row r="4581" ht="11.25" hidden="1" customHeight="1" x14ac:dyDescent="0.25"/>
    <row r="4582" ht="11.25" hidden="1" customHeight="1" x14ac:dyDescent="0.25"/>
    <row r="4583" ht="11.25" hidden="1" customHeight="1" x14ac:dyDescent="0.25"/>
    <row r="4584" ht="11.25" hidden="1" customHeight="1" x14ac:dyDescent="0.25"/>
    <row r="4585" ht="11.25" hidden="1" customHeight="1" x14ac:dyDescent="0.25"/>
    <row r="4586" ht="11.25" hidden="1" customHeight="1" x14ac:dyDescent="0.25"/>
    <row r="4587" ht="11.25" hidden="1" customHeight="1" x14ac:dyDescent="0.25"/>
    <row r="4588" ht="11.25" hidden="1" customHeight="1" x14ac:dyDescent="0.25"/>
    <row r="4589" ht="11.25" hidden="1" customHeight="1" x14ac:dyDescent="0.25"/>
    <row r="4590" ht="11.25" hidden="1" customHeight="1" x14ac:dyDescent="0.25"/>
    <row r="4591" ht="11.25" hidden="1" customHeight="1" x14ac:dyDescent="0.25"/>
    <row r="4592" ht="11.25" hidden="1" customHeight="1" x14ac:dyDescent="0.25"/>
    <row r="4593" ht="11.25" hidden="1" customHeight="1" x14ac:dyDescent="0.25"/>
    <row r="4594" ht="11.25" hidden="1" customHeight="1" x14ac:dyDescent="0.25"/>
    <row r="4595" ht="11.25" hidden="1" customHeight="1" x14ac:dyDescent="0.25"/>
    <row r="4596" ht="11.25" hidden="1" customHeight="1" x14ac:dyDescent="0.25"/>
    <row r="4597" ht="11.25" hidden="1" customHeight="1" x14ac:dyDescent="0.25"/>
    <row r="4598" ht="11.25" hidden="1" customHeight="1" x14ac:dyDescent="0.25"/>
    <row r="4599" ht="11.25" hidden="1" customHeight="1" x14ac:dyDescent="0.25"/>
    <row r="4600" ht="11.25" hidden="1" customHeight="1" x14ac:dyDescent="0.25"/>
    <row r="4601" ht="11.25" hidden="1" customHeight="1" x14ac:dyDescent="0.25"/>
    <row r="4602" ht="11.25" hidden="1" customHeight="1" x14ac:dyDescent="0.25"/>
    <row r="4603" ht="11.25" hidden="1" customHeight="1" x14ac:dyDescent="0.25"/>
    <row r="4604" ht="11.25" hidden="1" customHeight="1" x14ac:dyDescent="0.25"/>
    <row r="4605" ht="11.25" hidden="1" customHeight="1" x14ac:dyDescent="0.25"/>
    <row r="4606" ht="11.25" hidden="1" customHeight="1" x14ac:dyDescent="0.25"/>
    <row r="4607" ht="11.25" hidden="1" customHeight="1" x14ac:dyDescent="0.25"/>
    <row r="4608" ht="11.25" hidden="1" customHeight="1" x14ac:dyDescent="0.25"/>
    <row r="4609" ht="11.25" hidden="1" customHeight="1" x14ac:dyDescent="0.25"/>
    <row r="4610" ht="11.25" hidden="1" customHeight="1" x14ac:dyDescent="0.25"/>
    <row r="4611" ht="11.25" hidden="1" customHeight="1" x14ac:dyDescent="0.25"/>
    <row r="4612" ht="11.25" hidden="1" customHeight="1" x14ac:dyDescent="0.25"/>
    <row r="4613" ht="11.25" hidden="1" customHeight="1" x14ac:dyDescent="0.25"/>
    <row r="4614" ht="11.25" hidden="1" customHeight="1" x14ac:dyDescent="0.25"/>
    <row r="4615" ht="11.25" hidden="1" customHeight="1" x14ac:dyDescent="0.25"/>
    <row r="4616" ht="11.25" hidden="1" customHeight="1" x14ac:dyDescent="0.25"/>
    <row r="4617" ht="11.25" hidden="1" customHeight="1" x14ac:dyDescent="0.25"/>
    <row r="4618" ht="11.25" hidden="1" customHeight="1" x14ac:dyDescent="0.25"/>
    <row r="4619" ht="11.25" hidden="1" customHeight="1" x14ac:dyDescent="0.25"/>
    <row r="4620" ht="11.25" hidden="1" customHeight="1" x14ac:dyDescent="0.25"/>
    <row r="4621" ht="11.25" hidden="1" customHeight="1" x14ac:dyDescent="0.25"/>
    <row r="4622" ht="11.25" hidden="1" customHeight="1" x14ac:dyDescent="0.25"/>
    <row r="4623" ht="11.25" hidden="1" customHeight="1" x14ac:dyDescent="0.25"/>
    <row r="4624" ht="11.25" hidden="1" customHeight="1" x14ac:dyDescent="0.25"/>
    <row r="4625" ht="11.25" hidden="1" customHeight="1" x14ac:dyDescent="0.25"/>
    <row r="4626" ht="11.25" hidden="1" customHeight="1" x14ac:dyDescent="0.25"/>
    <row r="4627" ht="11.25" hidden="1" customHeight="1" x14ac:dyDescent="0.25"/>
    <row r="4628" ht="11.25" hidden="1" customHeight="1" x14ac:dyDescent="0.25"/>
    <row r="4629" ht="11.25" hidden="1" customHeight="1" x14ac:dyDescent="0.25"/>
    <row r="4630" ht="11.25" hidden="1" customHeight="1" x14ac:dyDescent="0.25"/>
    <row r="4631" ht="11.25" hidden="1" customHeight="1" x14ac:dyDescent="0.25"/>
    <row r="4632" ht="11.25" hidden="1" customHeight="1" x14ac:dyDescent="0.25"/>
    <row r="4633" ht="11.25" hidden="1" customHeight="1" x14ac:dyDescent="0.25"/>
    <row r="4634" ht="11.25" hidden="1" customHeight="1" x14ac:dyDescent="0.25"/>
    <row r="4635" ht="11.25" hidden="1" customHeight="1" x14ac:dyDescent="0.25"/>
    <row r="4636" ht="11.25" hidden="1" customHeight="1" x14ac:dyDescent="0.25"/>
    <row r="4637" ht="11.25" hidden="1" customHeight="1" x14ac:dyDescent="0.25"/>
    <row r="4638" ht="11.25" hidden="1" customHeight="1" x14ac:dyDescent="0.25"/>
    <row r="4639" ht="11.25" hidden="1" customHeight="1" x14ac:dyDescent="0.25"/>
    <row r="4640" ht="11.25" hidden="1" customHeight="1" x14ac:dyDescent="0.25"/>
    <row r="4641" ht="11.25" hidden="1" customHeight="1" x14ac:dyDescent="0.25"/>
    <row r="4642" ht="11.25" hidden="1" customHeight="1" x14ac:dyDescent="0.25"/>
    <row r="4643" ht="11.25" hidden="1" customHeight="1" x14ac:dyDescent="0.25"/>
    <row r="4644" ht="11.25" hidden="1" customHeight="1" x14ac:dyDescent="0.25"/>
    <row r="4645" ht="11.25" hidden="1" customHeight="1" x14ac:dyDescent="0.25"/>
    <row r="4646" ht="11.25" hidden="1" customHeight="1" x14ac:dyDescent="0.25"/>
    <row r="4647" ht="11.25" hidden="1" customHeight="1" x14ac:dyDescent="0.25"/>
    <row r="4648" ht="11.25" hidden="1" customHeight="1" x14ac:dyDescent="0.25"/>
    <row r="4649" ht="11.25" hidden="1" customHeight="1" x14ac:dyDescent="0.25"/>
    <row r="4650" ht="11.25" hidden="1" customHeight="1" x14ac:dyDescent="0.25"/>
    <row r="4651" ht="11.25" hidden="1" customHeight="1" x14ac:dyDescent="0.25"/>
    <row r="4652" ht="11.25" hidden="1" customHeight="1" x14ac:dyDescent="0.25"/>
    <row r="4653" ht="11.25" hidden="1" customHeight="1" x14ac:dyDescent="0.25"/>
    <row r="4654" ht="11.25" hidden="1" customHeight="1" x14ac:dyDescent="0.25"/>
    <row r="4655" ht="11.25" hidden="1" customHeight="1" x14ac:dyDescent="0.25"/>
    <row r="4656" ht="11.25" hidden="1" customHeight="1" x14ac:dyDescent="0.25"/>
    <row r="4657" ht="11.25" hidden="1" customHeight="1" x14ac:dyDescent="0.25"/>
    <row r="4658" ht="11.25" hidden="1" customHeight="1" x14ac:dyDescent="0.25"/>
    <row r="4659" ht="11.25" hidden="1" customHeight="1" x14ac:dyDescent="0.25"/>
    <row r="4660" ht="11.25" hidden="1" customHeight="1" x14ac:dyDescent="0.25"/>
    <row r="4661" ht="11.25" hidden="1" customHeight="1" x14ac:dyDescent="0.25"/>
    <row r="4662" ht="11.25" hidden="1" customHeight="1" x14ac:dyDescent="0.25"/>
    <row r="4663" ht="11.25" hidden="1" customHeight="1" x14ac:dyDescent="0.25"/>
    <row r="4664" ht="11.25" hidden="1" customHeight="1" x14ac:dyDescent="0.25"/>
    <row r="4665" ht="11.25" hidden="1" customHeight="1" x14ac:dyDescent="0.25"/>
    <row r="4666" ht="11.25" hidden="1" customHeight="1" x14ac:dyDescent="0.25"/>
    <row r="4667" ht="11.25" hidden="1" customHeight="1" x14ac:dyDescent="0.25"/>
    <row r="4668" ht="11.25" hidden="1" customHeight="1" x14ac:dyDescent="0.25"/>
    <row r="4669" ht="11.25" hidden="1" customHeight="1" x14ac:dyDescent="0.25"/>
    <row r="4670" ht="11.25" hidden="1" customHeight="1" x14ac:dyDescent="0.25"/>
    <row r="4671" ht="11.25" hidden="1" customHeight="1" x14ac:dyDescent="0.25"/>
    <row r="4672" ht="11.25" hidden="1" customHeight="1" x14ac:dyDescent="0.25"/>
    <row r="4673" ht="11.25" hidden="1" customHeight="1" x14ac:dyDescent="0.25"/>
    <row r="4674" ht="11.25" hidden="1" customHeight="1" x14ac:dyDescent="0.25"/>
    <row r="4675" ht="11.25" hidden="1" customHeight="1" x14ac:dyDescent="0.25"/>
    <row r="4676" ht="11.25" hidden="1" customHeight="1" x14ac:dyDescent="0.25"/>
    <row r="4677" ht="11.25" hidden="1" customHeight="1" x14ac:dyDescent="0.25"/>
    <row r="4678" ht="11.25" hidden="1" customHeight="1" x14ac:dyDescent="0.25"/>
    <row r="4679" ht="11.25" hidden="1" customHeight="1" x14ac:dyDescent="0.25"/>
    <row r="4680" ht="11.25" hidden="1" customHeight="1" x14ac:dyDescent="0.25"/>
    <row r="4681" ht="11.25" hidden="1" customHeight="1" x14ac:dyDescent="0.25"/>
    <row r="4682" ht="11.25" hidden="1" customHeight="1" x14ac:dyDescent="0.25"/>
    <row r="4683" ht="11.25" hidden="1" customHeight="1" x14ac:dyDescent="0.25"/>
    <row r="4684" ht="11.25" hidden="1" customHeight="1" x14ac:dyDescent="0.25"/>
    <row r="4685" ht="11.25" hidden="1" customHeight="1" x14ac:dyDescent="0.25"/>
    <row r="4686" ht="11.25" hidden="1" customHeight="1" x14ac:dyDescent="0.25"/>
    <row r="4687" ht="11.25" hidden="1" customHeight="1" x14ac:dyDescent="0.25"/>
    <row r="4688" ht="11.25" hidden="1" customHeight="1" x14ac:dyDescent="0.25"/>
    <row r="4689" ht="11.25" hidden="1" customHeight="1" x14ac:dyDescent="0.25"/>
    <row r="4690" ht="11.25" hidden="1" customHeight="1" x14ac:dyDescent="0.25"/>
    <row r="4691" ht="11.25" hidden="1" customHeight="1" x14ac:dyDescent="0.25"/>
    <row r="4692" ht="11.25" hidden="1" customHeight="1" x14ac:dyDescent="0.25"/>
    <row r="4693" ht="11.25" hidden="1" customHeight="1" x14ac:dyDescent="0.25"/>
    <row r="4694" ht="11.25" hidden="1" customHeight="1" x14ac:dyDescent="0.25"/>
    <row r="4695" ht="11.25" hidden="1" customHeight="1" x14ac:dyDescent="0.25"/>
    <row r="4696" ht="11.25" hidden="1" customHeight="1" x14ac:dyDescent="0.25"/>
    <row r="4697" ht="11.25" hidden="1" customHeight="1" x14ac:dyDescent="0.25"/>
    <row r="4698" ht="11.25" hidden="1" customHeight="1" x14ac:dyDescent="0.25"/>
    <row r="4699" ht="11.25" hidden="1" customHeight="1" x14ac:dyDescent="0.25"/>
    <row r="4700" ht="11.25" hidden="1" customHeight="1" x14ac:dyDescent="0.25"/>
    <row r="4701" ht="11.25" hidden="1" customHeight="1" x14ac:dyDescent="0.25"/>
    <row r="4702" ht="11.25" hidden="1" customHeight="1" x14ac:dyDescent="0.25"/>
    <row r="4703" ht="11.25" hidden="1" customHeight="1" x14ac:dyDescent="0.25"/>
    <row r="4704" ht="11.25" hidden="1" customHeight="1" x14ac:dyDescent="0.25"/>
    <row r="4705" ht="11.25" hidden="1" customHeight="1" x14ac:dyDescent="0.25"/>
    <row r="4706" ht="11.25" hidden="1" customHeight="1" x14ac:dyDescent="0.25"/>
    <row r="4707" ht="11.25" hidden="1" customHeight="1" x14ac:dyDescent="0.25"/>
    <row r="4708" ht="11.25" hidden="1" customHeight="1" x14ac:dyDescent="0.25"/>
    <row r="4709" ht="11.25" hidden="1" customHeight="1" x14ac:dyDescent="0.25"/>
    <row r="4710" ht="11.25" hidden="1" customHeight="1" x14ac:dyDescent="0.25"/>
    <row r="4711" ht="11.25" hidden="1" customHeight="1" x14ac:dyDescent="0.25"/>
    <row r="4712" ht="11.25" hidden="1" customHeight="1" x14ac:dyDescent="0.25"/>
    <row r="4713" ht="11.25" hidden="1" customHeight="1" x14ac:dyDescent="0.25"/>
    <row r="4714" ht="11.25" hidden="1" customHeight="1" x14ac:dyDescent="0.25"/>
    <row r="4715" ht="11.25" hidden="1" customHeight="1" x14ac:dyDescent="0.25"/>
    <row r="4716" ht="11.25" hidden="1" customHeight="1" x14ac:dyDescent="0.25"/>
    <row r="4717" ht="11.25" hidden="1" customHeight="1" x14ac:dyDescent="0.25"/>
    <row r="4718" ht="11.25" hidden="1" customHeight="1" x14ac:dyDescent="0.25"/>
    <row r="4719" ht="11.25" hidden="1" customHeight="1" x14ac:dyDescent="0.25"/>
    <row r="4720" ht="11.25" hidden="1" customHeight="1" x14ac:dyDescent="0.25"/>
    <row r="4721" ht="11.25" hidden="1" customHeight="1" x14ac:dyDescent="0.25"/>
    <row r="4722" ht="11.25" hidden="1" customHeight="1" x14ac:dyDescent="0.25"/>
    <row r="4723" ht="11.25" hidden="1" customHeight="1" x14ac:dyDescent="0.25"/>
    <row r="4724" ht="11.25" hidden="1" customHeight="1" x14ac:dyDescent="0.25"/>
    <row r="4725" ht="11.25" hidden="1" customHeight="1" x14ac:dyDescent="0.25"/>
    <row r="4726" ht="11.25" hidden="1" customHeight="1" x14ac:dyDescent="0.25"/>
    <row r="4727" ht="11.25" hidden="1" customHeight="1" x14ac:dyDescent="0.25"/>
    <row r="4728" ht="11.25" hidden="1" customHeight="1" x14ac:dyDescent="0.25"/>
    <row r="4729" ht="11.25" hidden="1" customHeight="1" x14ac:dyDescent="0.25"/>
    <row r="4730" ht="11.25" hidden="1" customHeight="1" x14ac:dyDescent="0.25"/>
    <row r="4731" ht="11.25" hidden="1" customHeight="1" x14ac:dyDescent="0.25"/>
    <row r="4732" ht="11.25" hidden="1" customHeight="1" x14ac:dyDescent="0.25"/>
    <row r="4733" ht="11.25" hidden="1" customHeight="1" x14ac:dyDescent="0.25"/>
    <row r="4734" ht="11.25" hidden="1" customHeight="1" x14ac:dyDescent="0.25"/>
    <row r="4735" ht="11.25" hidden="1" customHeight="1" x14ac:dyDescent="0.25"/>
    <row r="4736" ht="11.25" hidden="1" customHeight="1" x14ac:dyDescent="0.25"/>
    <row r="4737" ht="11.25" hidden="1" customHeight="1" x14ac:dyDescent="0.25"/>
    <row r="4738" ht="11.25" hidden="1" customHeight="1" x14ac:dyDescent="0.25"/>
    <row r="4739" ht="11.25" hidden="1" customHeight="1" x14ac:dyDescent="0.25"/>
    <row r="4740" ht="11.25" hidden="1" customHeight="1" x14ac:dyDescent="0.25"/>
    <row r="4741" ht="11.25" hidden="1" customHeight="1" x14ac:dyDescent="0.25"/>
    <row r="4742" ht="11.25" hidden="1" customHeight="1" x14ac:dyDescent="0.25"/>
    <row r="4743" ht="11.25" hidden="1" customHeight="1" x14ac:dyDescent="0.25"/>
    <row r="4744" ht="11.25" hidden="1" customHeight="1" x14ac:dyDescent="0.25"/>
    <row r="4745" ht="11.25" hidden="1" customHeight="1" x14ac:dyDescent="0.25"/>
    <row r="4746" ht="11.25" hidden="1" customHeight="1" x14ac:dyDescent="0.25"/>
    <row r="4747" ht="11.25" hidden="1" customHeight="1" x14ac:dyDescent="0.25"/>
    <row r="4748" ht="11.25" hidden="1" customHeight="1" x14ac:dyDescent="0.25"/>
    <row r="4749" ht="11.25" hidden="1" customHeight="1" x14ac:dyDescent="0.25"/>
    <row r="4750" ht="11.25" hidden="1" customHeight="1" x14ac:dyDescent="0.25"/>
    <row r="4751" ht="11.25" hidden="1" customHeight="1" x14ac:dyDescent="0.25"/>
    <row r="4752" ht="11.25" hidden="1" customHeight="1" x14ac:dyDescent="0.25"/>
    <row r="4753" ht="11.25" hidden="1" customHeight="1" x14ac:dyDescent="0.25"/>
    <row r="4754" ht="11.25" hidden="1" customHeight="1" x14ac:dyDescent="0.25"/>
    <row r="4755" ht="11.25" hidden="1" customHeight="1" x14ac:dyDescent="0.25"/>
    <row r="4756" ht="11.25" hidden="1" customHeight="1" x14ac:dyDescent="0.25"/>
    <row r="4757" ht="11.25" hidden="1" customHeight="1" x14ac:dyDescent="0.25"/>
    <row r="4758" ht="11.25" hidden="1" customHeight="1" x14ac:dyDescent="0.25"/>
    <row r="4759" ht="11.25" hidden="1" customHeight="1" x14ac:dyDescent="0.25"/>
    <row r="4760" ht="11.25" hidden="1" customHeight="1" x14ac:dyDescent="0.25"/>
    <row r="4761" ht="11.25" hidden="1" customHeight="1" x14ac:dyDescent="0.25"/>
    <row r="4762" ht="11.25" hidden="1" customHeight="1" x14ac:dyDescent="0.25"/>
    <row r="4763" ht="11.25" hidden="1" customHeight="1" x14ac:dyDescent="0.25"/>
    <row r="4764" ht="11.25" hidden="1" customHeight="1" x14ac:dyDescent="0.25"/>
    <row r="4765" ht="11.25" hidden="1" customHeight="1" x14ac:dyDescent="0.25"/>
    <row r="4766" ht="11.25" hidden="1" customHeight="1" x14ac:dyDescent="0.25"/>
    <row r="4767" ht="11.25" hidden="1" customHeight="1" x14ac:dyDescent="0.25"/>
    <row r="4768" ht="11.25" hidden="1" customHeight="1" x14ac:dyDescent="0.25"/>
    <row r="4769" ht="11.25" hidden="1" customHeight="1" x14ac:dyDescent="0.25"/>
    <row r="4770" ht="11.25" hidden="1" customHeight="1" x14ac:dyDescent="0.25"/>
    <row r="4771" ht="11.25" hidden="1" customHeight="1" x14ac:dyDescent="0.25"/>
    <row r="4772" ht="11.25" hidden="1" customHeight="1" x14ac:dyDescent="0.25"/>
    <row r="4773" ht="11.25" hidden="1" customHeight="1" x14ac:dyDescent="0.25"/>
    <row r="4774" ht="11.25" hidden="1" customHeight="1" x14ac:dyDescent="0.25"/>
    <row r="4775" ht="11.25" hidden="1" customHeight="1" x14ac:dyDescent="0.25"/>
    <row r="4776" ht="11.25" hidden="1" customHeight="1" x14ac:dyDescent="0.25"/>
    <row r="4777" ht="11.25" hidden="1" customHeight="1" x14ac:dyDescent="0.25"/>
    <row r="4778" ht="11.25" hidden="1" customHeight="1" x14ac:dyDescent="0.25"/>
    <row r="4779" ht="11.25" hidden="1" customHeight="1" x14ac:dyDescent="0.25"/>
    <row r="4780" ht="11.25" hidden="1" customHeight="1" x14ac:dyDescent="0.25"/>
    <row r="4781" ht="11.25" hidden="1" customHeight="1" x14ac:dyDescent="0.25"/>
    <row r="4782" ht="11.25" hidden="1" customHeight="1" x14ac:dyDescent="0.25"/>
    <row r="4783" ht="11.25" hidden="1" customHeight="1" x14ac:dyDescent="0.25"/>
    <row r="4784" ht="11.25" hidden="1" customHeight="1" x14ac:dyDescent="0.25"/>
    <row r="4785" ht="11.25" hidden="1" customHeight="1" x14ac:dyDescent="0.25"/>
    <row r="4786" ht="11.25" hidden="1" customHeight="1" x14ac:dyDescent="0.25"/>
    <row r="4787" ht="11.25" hidden="1" customHeight="1" x14ac:dyDescent="0.25"/>
    <row r="4788" ht="11.25" hidden="1" customHeight="1" x14ac:dyDescent="0.25"/>
    <row r="4789" ht="11.25" hidden="1" customHeight="1" x14ac:dyDescent="0.25"/>
    <row r="4790" ht="11.25" hidden="1" customHeight="1" x14ac:dyDescent="0.25"/>
    <row r="4791" ht="11.25" hidden="1" customHeight="1" x14ac:dyDescent="0.25"/>
    <row r="4792" ht="11.25" hidden="1" customHeight="1" x14ac:dyDescent="0.25"/>
    <row r="4793" ht="11.25" hidden="1" customHeight="1" x14ac:dyDescent="0.25"/>
    <row r="4794" ht="11.25" hidden="1" customHeight="1" x14ac:dyDescent="0.25"/>
    <row r="4795" ht="11.25" hidden="1" customHeight="1" x14ac:dyDescent="0.25"/>
    <row r="4796" ht="11.25" hidden="1" customHeight="1" x14ac:dyDescent="0.25"/>
    <row r="4797" ht="11.25" hidden="1" customHeight="1" x14ac:dyDescent="0.25"/>
    <row r="4798" ht="11.25" hidden="1" customHeight="1" x14ac:dyDescent="0.25"/>
    <row r="4799" ht="11.25" hidden="1" customHeight="1" x14ac:dyDescent="0.25"/>
    <row r="4800" ht="11.25" hidden="1" customHeight="1" x14ac:dyDescent="0.25"/>
    <row r="4801" ht="11.25" hidden="1" customHeight="1" x14ac:dyDescent="0.25"/>
    <row r="4802" ht="11.25" hidden="1" customHeight="1" x14ac:dyDescent="0.25"/>
    <row r="4803" ht="11.25" hidden="1" customHeight="1" x14ac:dyDescent="0.25"/>
    <row r="4804" ht="11.25" hidden="1" customHeight="1" x14ac:dyDescent="0.25"/>
    <row r="4805" ht="11.25" hidden="1" customHeight="1" x14ac:dyDescent="0.25"/>
    <row r="4806" ht="11.25" hidden="1" customHeight="1" x14ac:dyDescent="0.25"/>
    <row r="4807" ht="11.25" hidden="1" customHeight="1" x14ac:dyDescent="0.25"/>
    <row r="4808" ht="11.25" hidden="1" customHeight="1" x14ac:dyDescent="0.25"/>
    <row r="4809" ht="11.25" hidden="1" customHeight="1" x14ac:dyDescent="0.25"/>
    <row r="4810" ht="11.25" hidden="1" customHeight="1" x14ac:dyDescent="0.25"/>
    <row r="4811" ht="11.25" hidden="1" customHeight="1" x14ac:dyDescent="0.25"/>
    <row r="4812" ht="11.25" hidden="1" customHeight="1" x14ac:dyDescent="0.25"/>
    <row r="4813" ht="11.25" hidden="1" customHeight="1" x14ac:dyDescent="0.25"/>
    <row r="4814" ht="11.25" hidden="1" customHeight="1" x14ac:dyDescent="0.25"/>
    <row r="4815" ht="11.25" hidden="1" customHeight="1" x14ac:dyDescent="0.25"/>
    <row r="4816" ht="11.25" hidden="1" customHeight="1" x14ac:dyDescent="0.25"/>
    <row r="4817" ht="11.25" hidden="1" customHeight="1" x14ac:dyDescent="0.25"/>
    <row r="4818" ht="11.25" hidden="1" customHeight="1" x14ac:dyDescent="0.25"/>
    <row r="4819" ht="11.25" hidden="1" customHeight="1" x14ac:dyDescent="0.25"/>
    <row r="4820" ht="11.25" hidden="1" customHeight="1" x14ac:dyDescent="0.25"/>
    <row r="4821" ht="11.25" hidden="1" customHeight="1" x14ac:dyDescent="0.25"/>
    <row r="4822" ht="11.25" hidden="1" customHeight="1" x14ac:dyDescent="0.25"/>
    <row r="4823" ht="11.25" hidden="1" customHeight="1" x14ac:dyDescent="0.25"/>
    <row r="4824" ht="11.25" hidden="1" customHeight="1" x14ac:dyDescent="0.25"/>
    <row r="4825" ht="11.25" hidden="1" customHeight="1" x14ac:dyDescent="0.25"/>
    <row r="4826" ht="11.25" hidden="1" customHeight="1" x14ac:dyDescent="0.25"/>
    <row r="4827" ht="11.25" hidden="1" customHeight="1" x14ac:dyDescent="0.25"/>
    <row r="4828" ht="11.25" hidden="1" customHeight="1" x14ac:dyDescent="0.25"/>
    <row r="4829" ht="11.25" hidden="1" customHeight="1" x14ac:dyDescent="0.25"/>
    <row r="4830" ht="11.25" hidden="1" customHeight="1" x14ac:dyDescent="0.25"/>
    <row r="4831" ht="11.25" hidden="1" customHeight="1" x14ac:dyDescent="0.25"/>
    <row r="4832" ht="11.25" hidden="1" customHeight="1" x14ac:dyDescent="0.25"/>
    <row r="4833" ht="11.25" hidden="1" customHeight="1" x14ac:dyDescent="0.25"/>
    <row r="4834" ht="11.25" hidden="1" customHeight="1" x14ac:dyDescent="0.25"/>
    <row r="4835" ht="11.25" hidden="1" customHeight="1" x14ac:dyDescent="0.25"/>
    <row r="4836" ht="11.25" hidden="1" customHeight="1" x14ac:dyDescent="0.25"/>
    <row r="4837" ht="11.25" hidden="1" customHeight="1" x14ac:dyDescent="0.25"/>
    <row r="4838" ht="11.25" hidden="1" customHeight="1" x14ac:dyDescent="0.25"/>
    <row r="4839" ht="11.25" hidden="1" customHeight="1" x14ac:dyDescent="0.25"/>
    <row r="4840" ht="11.25" hidden="1" customHeight="1" x14ac:dyDescent="0.25"/>
    <row r="4841" ht="11.25" hidden="1" customHeight="1" x14ac:dyDescent="0.25"/>
    <row r="4842" ht="11.25" hidden="1" customHeight="1" x14ac:dyDescent="0.25"/>
    <row r="4843" ht="11.25" hidden="1" customHeight="1" x14ac:dyDescent="0.25"/>
    <row r="4844" ht="11.25" hidden="1" customHeight="1" x14ac:dyDescent="0.25"/>
    <row r="4845" ht="11.25" hidden="1" customHeight="1" x14ac:dyDescent="0.25"/>
    <row r="4846" ht="11.25" hidden="1" customHeight="1" x14ac:dyDescent="0.25"/>
    <row r="4847" ht="11.25" hidden="1" customHeight="1" x14ac:dyDescent="0.25"/>
    <row r="4848" ht="11.25" hidden="1" customHeight="1" x14ac:dyDescent="0.25"/>
    <row r="4849" ht="11.25" hidden="1" customHeight="1" x14ac:dyDescent="0.25"/>
    <row r="4850" ht="11.25" hidden="1" customHeight="1" x14ac:dyDescent="0.25"/>
    <row r="4851" ht="11.25" hidden="1" customHeight="1" x14ac:dyDescent="0.25"/>
    <row r="4852" ht="11.25" hidden="1" customHeight="1" x14ac:dyDescent="0.25"/>
    <row r="4853" ht="11.25" hidden="1" customHeight="1" x14ac:dyDescent="0.25"/>
    <row r="4854" ht="11.25" hidden="1" customHeight="1" x14ac:dyDescent="0.25"/>
    <row r="4855" ht="11.25" hidden="1" customHeight="1" x14ac:dyDescent="0.25"/>
    <row r="4856" ht="11.25" hidden="1" customHeight="1" x14ac:dyDescent="0.25"/>
    <row r="4857" ht="11.25" hidden="1" customHeight="1" x14ac:dyDescent="0.25"/>
    <row r="4858" ht="11.25" hidden="1" customHeight="1" x14ac:dyDescent="0.25"/>
    <row r="4859" ht="11.25" hidden="1" customHeight="1" x14ac:dyDescent="0.25"/>
    <row r="4860" ht="11.25" hidden="1" customHeight="1" x14ac:dyDescent="0.25"/>
    <row r="4861" ht="11.25" hidden="1" customHeight="1" x14ac:dyDescent="0.25"/>
    <row r="4862" ht="11.25" hidden="1" customHeight="1" x14ac:dyDescent="0.25"/>
    <row r="4863" ht="11.25" hidden="1" customHeight="1" x14ac:dyDescent="0.25"/>
    <row r="4864" ht="11.25" hidden="1" customHeight="1" x14ac:dyDescent="0.25"/>
    <row r="4865" ht="11.25" hidden="1" customHeight="1" x14ac:dyDescent="0.25"/>
    <row r="4866" ht="11.25" hidden="1" customHeight="1" x14ac:dyDescent="0.25"/>
    <row r="4867" ht="11.25" hidden="1" customHeight="1" x14ac:dyDescent="0.25"/>
    <row r="4868" ht="11.25" hidden="1" customHeight="1" x14ac:dyDescent="0.25"/>
    <row r="4869" ht="11.25" hidden="1" customHeight="1" x14ac:dyDescent="0.25"/>
    <row r="4870" ht="11.25" hidden="1" customHeight="1" x14ac:dyDescent="0.25"/>
    <row r="4871" ht="11.25" hidden="1" customHeight="1" x14ac:dyDescent="0.25"/>
    <row r="4872" ht="11.25" hidden="1" customHeight="1" x14ac:dyDescent="0.25"/>
    <row r="4873" ht="11.25" hidden="1" customHeight="1" x14ac:dyDescent="0.25"/>
    <row r="4874" ht="11.25" hidden="1" customHeight="1" x14ac:dyDescent="0.25"/>
    <row r="4875" ht="11.25" hidden="1" customHeight="1" x14ac:dyDescent="0.25"/>
    <row r="4876" ht="11.25" hidden="1" customHeight="1" x14ac:dyDescent="0.25"/>
    <row r="4877" ht="11.25" hidden="1" customHeight="1" x14ac:dyDescent="0.25"/>
    <row r="4878" ht="11.25" hidden="1" customHeight="1" x14ac:dyDescent="0.25"/>
    <row r="4879" ht="11.25" hidden="1" customHeight="1" x14ac:dyDescent="0.25"/>
    <row r="4880" ht="11.25" hidden="1" customHeight="1" x14ac:dyDescent="0.25"/>
    <row r="4881" ht="11.25" hidden="1" customHeight="1" x14ac:dyDescent="0.25"/>
    <row r="4882" ht="11.25" hidden="1" customHeight="1" x14ac:dyDescent="0.25"/>
    <row r="4883" ht="11.25" hidden="1" customHeight="1" x14ac:dyDescent="0.25"/>
    <row r="4884" ht="11.25" hidden="1" customHeight="1" x14ac:dyDescent="0.25"/>
    <row r="4885" ht="11.25" hidden="1" customHeight="1" x14ac:dyDescent="0.25"/>
    <row r="4886" ht="11.25" hidden="1" customHeight="1" x14ac:dyDescent="0.25"/>
    <row r="4887" ht="11.25" hidden="1" customHeight="1" x14ac:dyDescent="0.25"/>
    <row r="4888" ht="11.25" hidden="1" customHeight="1" x14ac:dyDescent="0.25"/>
    <row r="4889" ht="11.25" hidden="1" customHeight="1" x14ac:dyDescent="0.25"/>
    <row r="4890" ht="11.25" hidden="1" customHeight="1" x14ac:dyDescent="0.25"/>
    <row r="4891" ht="11.25" hidden="1" customHeight="1" x14ac:dyDescent="0.25"/>
    <row r="4892" ht="11.25" hidden="1" customHeight="1" x14ac:dyDescent="0.25"/>
    <row r="4893" ht="11.25" hidden="1" customHeight="1" x14ac:dyDescent="0.25"/>
    <row r="4894" ht="11.25" hidden="1" customHeight="1" x14ac:dyDescent="0.25"/>
    <row r="4895" ht="11.25" hidden="1" customHeight="1" x14ac:dyDescent="0.25"/>
    <row r="4896" ht="11.25" hidden="1" customHeight="1" x14ac:dyDescent="0.25"/>
    <row r="4897" ht="11.25" hidden="1" customHeight="1" x14ac:dyDescent="0.25"/>
    <row r="4898" ht="11.25" hidden="1" customHeight="1" x14ac:dyDescent="0.25"/>
    <row r="4899" ht="11.25" hidden="1" customHeight="1" x14ac:dyDescent="0.25"/>
    <row r="4900" ht="11.25" hidden="1" customHeight="1" x14ac:dyDescent="0.25"/>
    <row r="4901" ht="11.25" hidden="1" customHeight="1" x14ac:dyDescent="0.25"/>
    <row r="4902" ht="11.25" hidden="1" customHeight="1" x14ac:dyDescent="0.25"/>
    <row r="4903" ht="11.25" hidden="1" customHeight="1" x14ac:dyDescent="0.25"/>
    <row r="4904" ht="11.25" hidden="1" customHeight="1" x14ac:dyDescent="0.25"/>
    <row r="4905" ht="11.25" hidden="1" customHeight="1" x14ac:dyDescent="0.25"/>
    <row r="4906" ht="11.25" hidden="1" customHeight="1" x14ac:dyDescent="0.25"/>
    <row r="4907" ht="11.25" hidden="1" customHeight="1" x14ac:dyDescent="0.25"/>
    <row r="4908" ht="11.25" hidden="1" customHeight="1" x14ac:dyDescent="0.25"/>
    <row r="4909" ht="11.25" hidden="1" customHeight="1" x14ac:dyDescent="0.25"/>
    <row r="4910" ht="11.25" hidden="1" customHeight="1" x14ac:dyDescent="0.25"/>
    <row r="4911" ht="11.25" hidden="1" customHeight="1" x14ac:dyDescent="0.25"/>
    <row r="4912" ht="11.25" hidden="1" customHeight="1" x14ac:dyDescent="0.25"/>
    <row r="4913" ht="11.25" hidden="1" customHeight="1" x14ac:dyDescent="0.25"/>
    <row r="4914" ht="11.25" hidden="1" customHeight="1" x14ac:dyDescent="0.25"/>
    <row r="4915" ht="11.25" hidden="1" customHeight="1" x14ac:dyDescent="0.25"/>
    <row r="4916" ht="11.25" hidden="1" customHeight="1" x14ac:dyDescent="0.25"/>
    <row r="4917" ht="11.25" hidden="1" customHeight="1" x14ac:dyDescent="0.25"/>
    <row r="4918" ht="11.25" hidden="1" customHeight="1" x14ac:dyDescent="0.25"/>
    <row r="4919" ht="11.25" hidden="1" customHeight="1" x14ac:dyDescent="0.25"/>
    <row r="4920" ht="11.25" hidden="1" customHeight="1" x14ac:dyDescent="0.25"/>
    <row r="4921" ht="11.25" hidden="1" customHeight="1" x14ac:dyDescent="0.25"/>
    <row r="4922" ht="11.25" hidden="1" customHeight="1" x14ac:dyDescent="0.25"/>
    <row r="4923" ht="11.25" hidden="1" customHeight="1" x14ac:dyDescent="0.25"/>
    <row r="4924" ht="11.25" hidden="1" customHeight="1" x14ac:dyDescent="0.25"/>
    <row r="4925" ht="11.25" hidden="1" customHeight="1" x14ac:dyDescent="0.25"/>
    <row r="4926" ht="11.25" hidden="1" customHeight="1" x14ac:dyDescent="0.25"/>
    <row r="4927" ht="11.25" hidden="1" customHeight="1" x14ac:dyDescent="0.25"/>
    <row r="4928" ht="11.25" hidden="1" customHeight="1" x14ac:dyDescent="0.25"/>
    <row r="4929" ht="11.25" hidden="1" customHeight="1" x14ac:dyDescent="0.25"/>
    <row r="4930" ht="11.25" hidden="1" customHeight="1" x14ac:dyDescent="0.25"/>
    <row r="4931" ht="11.25" hidden="1" customHeight="1" x14ac:dyDescent="0.25"/>
    <row r="4932" ht="11.25" hidden="1" customHeight="1" x14ac:dyDescent="0.25"/>
    <row r="4933" ht="11.25" hidden="1" customHeight="1" x14ac:dyDescent="0.25"/>
    <row r="4934" ht="11.25" hidden="1" customHeight="1" x14ac:dyDescent="0.25"/>
    <row r="4935" ht="11.25" hidden="1" customHeight="1" x14ac:dyDescent="0.25"/>
    <row r="4936" ht="11.25" hidden="1" customHeight="1" x14ac:dyDescent="0.25"/>
    <row r="4937" ht="11.25" hidden="1" customHeight="1" x14ac:dyDescent="0.25"/>
    <row r="4938" ht="11.25" hidden="1" customHeight="1" x14ac:dyDescent="0.25"/>
    <row r="4939" ht="11.25" hidden="1" customHeight="1" x14ac:dyDescent="0.25"/>
    <row r="4940" ht="11.25" hidden="1" customHeight="1" x14ac:dyDescent="0.25"/>
    <row r="4941" ht="11.25" hidden="1" customHeight="1" x14ac:dyDescent="0.25"/>
    <row r="4942" ht="11.25" hidden="1" customHeight="1" x14ac:dyDescent="0.25"/>
    <row r="4943" ht="11.25" hidden="1" customHeight="1" x14ac:dyDescent="0.25"/>
    <row r="4944" ht="11.25" hidden="1" customHeight="1" x14ac:dyDescent="0.25"/>
    <row r="4945" ht="11.25" hidden="1" customHeight="1" x14ac:dyDescent="0.25"/>
    <row r="4946" ht="11.25" hidden="1" customHeight="1" x14ac:dyDescent="0.25"/>
    <row r="4947" ht="11.25" hidden="1" customHeight="1" x14ac:dyDescent="0.25"/>
    <row r="4948" ht="11.25" hidden="1" customHeight="1" x14ac:dyDescent="0.25"/>
    <row r="4949" ht="11.25" hidden="1" customHeight="1" x14ac:dyDescent="0.25"/>
    <row r="4950" ht="11.25" hidden="1" customHeight="1" x14ac:dyDescent="0.25"/>
    <row r="4951" ht="11.25" hidden="1" customHeight="1" x14ac:dyDescent="0.25"/>
    <row r="4952" ht="11.25" hidden="1" customHeight="1" x14ac:dyDescent="0.25"/>
    <row r="4953" ht="11.25" hidden="1" customHeight="1" x14ac:dyDescent="0.25"/>
    <row r="4954" ht="11.25" hidden="1" customHeight="1" x14ac:dyDescent="0.25"/>
    <row r="4955" ht="11.25" hidden="1" customHeight="1" x14ac:dyDescent="0.25"/>
    <row r="4956" ht="11.25" hidden="1" customHeight="1" x14ac:dyDescent="0.25"/>
    <row r="4957" ht="11.25" hidden="1" customHeight="1" x14ac:dyDescent="0.25"/>
    <row r="4958" ht="11.25" hidden="1" customHeight="1" x14ac:dyDescent="0.25"/>
    <row r="4959" ht="11.25" hidden="1" customHeight="1" x14ac:dyDescent="0.25"/>
    <row r="4960" ht="11.25" hidden="1" customHeight="1" x14ac:dyDescent="0.25"/>
    <row r="4961" ht="11.25" hidden="1" customHeight="1" x14ac:dyDescent="0.25"/>
    <row r="4962" ht="11.25" hidden="1" customHeight="1" x14ac:dyDescent="0.25"/>
    <row r="4963" ht="11.25" hidden="1" customHeight="1" x14ac:dyDescent="0.25"/>
    <row r="4964" ht="11.25" hidden="1" customHeight="1" x14ac:dyDescent="0.25"/>
    <row r="4965" ht="11.25" hidden="1" customHeight="1" x14ac:dyDescent="0.25"/>
    <row r="4966" ht="11.25" hidden="1" customHeight="1" x14ac:dyDescent="0.25"/>
    <row r="4967" ht="11.25" hidden="1" customHeight="1" x14ac:dyDescent="0.25"/>
    <row r="4968" ht="11.25" hidden="1" customHeight="1" x14ac:dyDescent="0.25"/>
    <row r="4969" ht="11.25" hidden="1" customHeight="1" x14ac:dyDescent="0.25"/>
    <row r="4970" ht="11.25" hidden="1" customHeight="1" x14ac:dyDescent="0.25"/>
    <row r="4971" ht="11.25" hidden="1" customHeight="1" x14ac:dyDescent="0.25"/>
    <row r="4972" ht="11.25" hidden="1" customHeight="1" x14ac:dyDescent="0.25"/>
    <row r="4973" ht="11.25" hidden="1" customHeight="1" x14ac:dyDescent="0.25"/>
    <row r="4974" ht="11.25" hidden="1" customHeight="1" x14ac:dyDescent="0.25"/>
    <row r="4975" ht="11.25" hidden="1" customHeight="1" x14ac:dyDescent="0.25"/>
    <row r="4976" ht="11.25" hidden="1" customHeight="1" x14ac:dyDescent="0.25"/>
    <row r="4977" ht="11.25" hidden="1" customHeight="1" x14ac:dyDescent="0.25"/>
    <row r="4978" ht="11.25" hidden="1" customHeight="1" x14ac:dyDescent="0.25"/>
    <row r="4979" ht="11.25" hidden="1" customHeight="1" x14ac:dyDescent="0.25"/>
    <row r="4980" ht="11.25" hidden="1" customHeight="1" x14ac:dyDescent="0.25"/>
    <row r="4981" ht="11.25" hidden="1" customHeight="1" x14ac:dyDescent="0.25"/>
    <row r="4982" ht="11.25" hidden="1" customHeight="1" x14ac:dyDescent="0.25"/>
    <row r="4983" ht="11.25" hidden="1" customHeight="1" x14ac:dyDescent="0.25"/>
    <row r="4984" ht="11.25" hidden="1" customHeight="1" x14ac:dyDescent="0.25"/>
    <row r="4985" ht="11.25" hidden="1" customHeight="1" x14ac:dyDescent="0.25"/>
    <row r="4986" ht="11.25" hidden="1" customHeight="1" x14ac:dyDescent="0.25"/>
    <row r="4987" ht="11.25" hidden="1" customHeight="1" x14ac:dyDescent="0.25"/>
    <row r="4988" ht="11.25" hidden="1" customHeight="1" x14ac:dyDescent="0.25"/>
    <row r="4989" ht="11.25" hidden="1" customHeight="1" x14ac:dyDescent="0.25"/>
    <row r="4990" ht="11.25" hidden="1" customHeight="1" x14ac:dyDescent="0.25"/>
    <row r="4991" ht="11.25" hidden="1" customHeight="1" x14ac:dyDescent="0.25"/>
    <row r="4992" ht="11.25" hidden="1" customHeight="1" x14ac:dyDescent="0.25"/>
    <row r="4993" ht="11.25" hidden="1" customHeight="1" x14ac:dyDescent="0.25"/>
    <row r="4994" ht="11.25" hidden="1" customHeight="1" x14ac:dyDescent="0.25"/>
    <row r="4995" ht="11.25" hidden="1" customHeight="1" x14ac:dyDescent="0.25"/>
    <row r="4996" ht="11.25" hidden="1" customHeight="1" x14ac:dyDescent="0.25"/>
    <row r="4997" ht="11.25" hidden="1" customHeight="1" x14ac:dyDescent="0.25"/>
    <row r="4998" ht="11.25" hidden="1" customHeight="1" x14ac:dyDescent="0.25"/>
    <row r="4999" ht="11.25" hidden="1" customHeight="1" x14ac:dyDescent="0.25"/>
    <row r="5000" ht="11.25" hidden="1" customHeight="1" x14ac:dyDescent="0.25"/>
    <row r="5001" ht="11.25" hidden="1" customHeight="1" x14ac:dyDescent="0.25"/>
    <row r="5002" ht="11.25" hidden="1" customHeight="1" x14ac:dyDescent="0.25"/>
    <row r="5003" ht="11.25" hidden="1" customHeight="1" x14ac:dyDescent="0.25"/>
    <row r="5004" ht="11.25" hidden="1" customHeight="1" x14ac:dyDescent="0.25"/>
    <row r="5005" ht="11.25" hidden="1" customHeight="1" x14ac:dyDescent="0.25"/>
    <row r="5006" ht="11.25" hidden="1" customHeight="1" x14ac:dyDescent="0.25"/>
    <row r="5007" ht="11.25" hidden="1" customHeight="1" x14ac:dyDescent="0.25"/>
    <row r="5008" ht="11.25" hidden="1" customHeight="1" x14ac:dyDescent="0.25"/>
    <row r="5009" ht="11.25" hidden="1" customHeight="1" x14ac:dyDescent="0.25"/>
    <row r="5010" ht="11.25" hidden="1" customHeight="1" x14ac:dyDescent="0.25"/>
    <row r="5011" ht="11.25" hidden="1" customHeight="1" x14ac:dyDescent="0.25"/>
    <row r="5012" ht="11.25" hidden="1" customHeight="1" x14ac:dyDescent="0.25"/>
    <row r="5013" ht="11.25" hidden="1" customHeight="1" x14ac:dyDescent="0.25"/>
    <row r="5014" ht="11.25" hidden="1" customHeight="1" x14ac:dyDescent="0.25"/>
    <row r="5015" ht="11.25" hidden="1" customHeight="1" x14ac:dyDescent="0.25"/>
    <row r="5016" ht="11.25" hidden="1" customHeight="1" x14ac:dyDescent="0.25"/>
    <row r="5017" ht="11.25" hidden="1" customHeight="1" x14ac:dyDescent="0.25"/>
    <row r="5018" ht="11.25" hidden="1" customHeight="1" x14ac:dyDescent="0.25"/>
    <row r="5019" ht="11.25" hidden="1" customHeight="1" x14ac:dyDescent="0.25"/>
    <row r="5020" ht="11.25" hidden="1" customHeight="1" x14ac:dyDescent="0.25"/>
    <row r="5021" ht="11.25" hidden="1" customHeight="1" x14ac:dyDescent="0.25"/>
    <row r="5022" ht="11.25" hidden="1" customHeight="1" x14ac:dyDescent="0.25"/>
    <row r="5023" ht="11.25" hidden="1" customHeight="1" x14ac:dyDescent="0.25"/>
    <row r="5024" ht="11.25" hidden="1" customHeight="1" x14ac:dyDescent="0.25"/>
    <row r="5025" ht="11.25" hidden="1" customHeight="1" x14ac:dyDescent="0.25"/>
    <row r="5026" ht="11.25" hidden="1" customHeight="1" x14ac:dyDescent="0.25"/>
    <row r="5027" ht="11.25" hidden="1" customHeight="1" x14ac:dyDescent="0.25"/>
    <row r="5028" ht="11.25" hidden="1" customHeight="1" x14ac:dyDescent="0.25"/>
    <row r="5029" ht="11.25" hidden="1" customHeight="1" x14ac:dyDescent="0.25"/>
    <row r="5030" ht="11.25" hidden="1" customHeight="1" x14ac:dyDescent="0.25"/>
    <row r="5031" ht="11.25" hidden="1" customHeight="1" x14ac:dyDescent="0.25"/>
    <row r="5032" ht="11.25" hidden="1" customHeight="1" x14ac:dyDescent="0.25"/>
    <row r="5033" ht="11.25" hidden="1" customHeight="1" x14ac:dyDescent="0.25"/>
    <row r="5034" ht="11.25" hidden="1" customHeight="1" x14ac:dyDescent="0.25"/>
    <row r="5035" ht="11.25" hidden="1" customHeight="1" x14ac:dyDescent="0.25"/>
    <row r="5036" ht="11.25" hidden="1" customHeight="1" x14ac:dyDescent="0.25"/>
    <row r="5037" ht="11.25" hidden="1" customHeight="1" x14ac:dyDescent="0.25"/>
    <row r="5038" ht="11.25" hidden="1" customHeight="1" x14ac:dyDescent="0.25"/>
    <row r="5039" ht="11.25" hidden="1" customHeight="1" x14ac:dyDescent="0.25"/>
    <row r="5040" ht="11.25" hidden="1" customHeight="1" x14ac:dyDescent="0.25"/>
    <row r="5041" ht="11.25" hidden="1" customHeight="1" x14ac:dyDescent="0.25"/>
    <row r="5042" ht="11.25" hidden="1" customHeight="1" x14ac:dyDescent="0.25"/>
    <row r="5043" ht="11.25" hidden="1" customHeight="1" x14ac:dyDescent="0.25"/>
    <row r="5044" ht="11.25" hidden="1" customHeight="1" x14ac:dyDescent="0.25"/>
    <row r="5045" ht="11.25" hidden="1" customHeight="1" x14ac:dyDescent="0.25"/>
    <row r="5046" ht="11.25" hidden="1" customHeight="1" x14ac:dyDescent="0.25"/>
    <row r="5047" ht="11.25" hidden="1" customHeight="1" x14ac:dyDescent="0.25"/>
    <row r="5048" ht="11.25" hidden="1" customHeight="1" x14ac:dyDescent="0.25"/>
    <row r="5049" ht="11.25" hidden="1" customHeight="1" x14ac:dyDescent="0.25"/>
    <row r="5050" ht="11.25" hidden="1" customHeight="1" x14ac:dyDescent="0.25"/>
    <row r="5051" ht="11.25" hidden="1" customHeight="1" x14ac:dyDescent="0.25"/>
    <row r="5052" ht="11.25" hidden="1" customHeight="1" x14ac:dyDescent="0.25"/>
    <row r="5053" ht="11.25" hidden="1" customHeight="1" x14ac:dyDescent="0.25"/>
    <row r="5054" ht="11.25" hidden="1" customHeight="1" x14ac:dyDescent="0.25"/>
    <row r="5055" ht="11.25" hidden="1" customHeight="1" x14ac:dyDescent="0.25"/>
    <row r="5056" ht="11.25" hidden="1" customHeight="1" x14ac:dyDescent="0.25"/>
    <row r="5057" ht="11.25" hidden="1" customHeight="1" x14ac:dyDescent="0.25"/>
    <row r="5058" ht="11.25" hidden="1" customHeight="1" x14ac:dyDescent="0.25"/>
    <row r="5059" ht="11.25" hidden="1" customHeight="1" x14ac:dyDescent="0.25"/>
    <row r="5060" ht="11.25" hidden="1" customHeight="1" x14ac:dyDescent="0.25"/>
    <row r="5061" ht="11.25" hidden="1" customHeight="1" x14ac:dyDescent="0.25"/>
    <row r="5062" ht="11.25" hidden="1" customHeight="1" x14ac:dyDescent="0.25"/>
    <row r="5063" ht="11.25" hidden="1" customHeight="1" x14ac:dyDescent="0.25"/>
    <row r="5064" ht="11.25" hidden="1" customHeight="1" x14ac:dyDescent="0.25"/>
    <row r="5065" ht="11.25" hidden="1" customHeight="1" x14ac:dyDescent="0.25"/>
    <row r="5066" ht="11.25" hidden="1" customHeight="1" x14ac:dyDescent="0.25"/>
    <row r="5067" ht="11.25" hidden="1" customHeight="1" x14ac:dyDescent="0.25"/>
    <row r="5068" ht="11.25" hidden="1" customHeight="1" x14ac:dyDescent="0.25"/>
    <row r="5069" ht="11.25" hidden="1" customHeight="1" x14ac:dyDescent="0.25"/>
    <row r="5070" ht="11.25" hidden="1" customHeight="1" x14ac:dyDescent="0.25"/>
    <row r="5071" ht="11.25" hidden="1" customHeight="1" x14ac:dyDescent="0.25"/>
    <row r="5072" ht="11.25" hidden="1" customHeight="1" x14ac:dyDescent="0.25"/>
    <row r="5073" ht="11.25" hidden="1" customHeight="1" x14ac:dyDescent="0.25"/>
    <row r="5074" ht="11.25" hidden="1" customHeight="1" x14ac:dyDescent="0.25"/>
    <row r="5075" ht="11.25" hidden="1" customHeight="1" x14ac:dyDescent="0.25"/>
    <row r="5076" ht="11.25" hidden="1" customHeight="1" x14ac:dyDescent="0.25"/>
    <row r="5077" ht="11.25" hidden="1" customHeight="1" x14ac:dyDescent="0.25"/>
    <row r="5078" ht="11.25" hidden="1" customHeight="1" x14ac:dyDescent="0.25"/>
    <row r="5079" ht="11.25" hidden="1" customHeight="1" x14ac:dyDescent="0.25"/>
    <row r="5080" ht="11.25" hidden="1" customHeight="1" x14ac:dyDescent="0.25"/>
    <row r="5081" ht="11.25" hidden="1" customHeight="1" x14ac:dyDescent="0.25"/>
    <row r="5082" ht="11.25" hidden="1" customHeight="1" x14ac:dyDescent="0.25"/>
    <row r="5083" ht="11.25" hidden="1" customHeight="1" x14ac:dyDescent="0.25"/>
    <row r="5084" ht="11.25" hidden="1" customHeight="1" x14ac:dyDescent="0.25"/>
    <row r="5085" ht="11.25" hidden="1" customHeight="1" x14ac:dyDescent="0.25"/>
    <row r="5086" ht="11.25" hidden="1" customHeight="1" x14ac:dyDescent="0.25"/>
    <row r="5087" ht="11.25" hidden="1" customHeight="1" x14ac:dyDescent="0.25"/>
    <row r="5088" ht="11.25" hidden="1" customHeight="1" x14ac:dyDescent="0.25"/>
    <row r="5089" ht="11.25" hidden="1" customHeight="1" x14ac:dyDescent="0.25"/>
    <row r="5090" ht="11.25" hidden="1" customHeight="1" x14ac:dyDescent="0.25"/>
    <row r="5091" ht="11.25" hidden="1" customHeight="1" x14ac:dyDescent="0.25"/>
    <row r="5092" ht="11.25" hidden="1" customHeight="1" x14ac:dyDescent="0.25"/>
    <row r="5093" ht="11.25" hidden="1" customHeight="1" x14ac:dyDescent="0.25"/>
    <row r="5094" ht="11.25" hidden="1" customHeight="1" x14ac:dyDescent="0.25"/>
    <row r="5095" ht="11.25" hidden="1" customHeight="1" x14ac:dyDescent="0.25"/>
    <row r="5096" ht="11.25" hidden="1" customHeight="1" x14ac:dyDescent="0.25"/>
    <row r="5097" ht="11.25" hidden="1" customHeight="1" x14ac:dyDescent="0.25"/>
    <row r="5098" ht="11.25" hidden="1" customHeight="1" x14ac:dyDescent="0.25"/>
    <row r="5099" ht="11.25" hidden="1" customHeight="1" x14ac:dyDescent="0.25"/>
    <row r="5100" ht="11.25" hidden="1" customHeight="1" x14ac:dyDescent="0.25"/>
    <row r="5101" ht="11.25" hidden="1" customHeight="1" x14ac:dyDescent="0.25"/>
    <row r="5102" ht="11.25" hidden="1" customHeight="1" x14ac:dyDescent="0.25"/>
    <row r="5103" ht="11.25" hidden="1" customHeight="1" x14ac:dyDescent="0.25"/>
    <row r="5104" ht="11.25" hidden="1" customHeight="1" x14ac:dyDescent="0.25"/>
    <row r="5105" ht="11.25" hidden="1" customHeight="1" x14ac:dyDescent="0.25"/>
    <row r="5106" ht="11.25" hidden="1" customHeight="1" x14ac:dyDescent="0.25"/>
    <row r="5107" ht="11.25" hidden="1" customHeight="1" x14ac:dyDescent="0.25"/>
    <row r="5108" ht="11.25" hidden="1" customHeight="1" x14ac:dyDescent="0.25"/>
    <row r="5109" ht="11.25" hidden="1" customHeight="1" x14ac:dyDescent="0.25"/>
    <row r="5110" ht="11.25" hidden="1" customHeight="1" x14ac:dyDescent="0.25"/>
    <row r="5111" ht="11.25" hidden="1" customHeight="1" x14ac:dyDescent="0.25"/>
    <row r="5112" ht="11.25" hidden="1" customHeight="1" x14ac:dyDescent="0.25"/>
    <row r="5113" ht="11.25" hidden="1" customHeight="1" x14ac:dyDescent="0.25"/>
    <row r="5114" ht="11.25" hidden="1" customHeight="1" x14ac:dyDescent="0.25"/>
    <row r="5115" ht="11.25" hidden="1" customHeight="1" x14ac:dyDescent="0.25"/>
    <row r="5116" ht="11.25" hidden="1" customHeight="1" x14ac:dyDescent="0.25"/>
    <row r="5117" ht="11.25" hidden="1" customHeight="1" x14ac:dyDescent="0.25"/>
    <row r="5118" ht="11.25" hidden="1" customHeight="1" x14ac:dyDescent="0.25"/>
    <row r="5119" ht="11.25" hidden="1" customHeight="1" x14ac:dyDescent="0.25"/>
    <row r="5120" ht="11.25" hidden="1" customHeight="1" x14ac:dyDescent="0.25"/>
    <row r="5121" ht="11.25" hidden="1" customHeight="1" x14ac:dyDescent="0.25"/>
    <row r="5122" ht="11.25" hidden="1" customHeight="1" x14ac:dyDescent="0.25"/>
    <row r="5123" ht="11.25" hidden="1" customHeight="1" x14ac:dyDescent="0.25"/>
    <row r="5124" ht="11.25" hidden="1" customHeight="1" x14ac:dyDescent="0.25"/>
    <row r="5125" ht="11.25" hidden="1" customHeight="1" x14ac:dyDescent="0.25"/>
    <row r="5126" ht="11.25" hidden="1" customHeight="1" x14ac:dyDescent="0.25"/>
    <row r="5127" ht="11.25" hidden="1" customHeight="1" x14ac:dyDescent="0.25"/>
    <row r="5128" ht="11.25" hidden="1" customHeight="1" x14ac:dyDescent="0.25"/>
    <row r="5129" ht="11.25" hidden="1" customHeight="1" x14ac:dyDescent="0.25"/>
    <row r="5130" ht="11.25" hidden="1" customHeight="1" x14ac:dyDescent="0.25"/>
    <row r="5131" ht="11.25" hidden="1" customHeight="1" x14ac:dyDescent="0.25"/>
    <row r="5132" ht="11.25" hidden="1" customHeight="1" x14ac:dyDescent="0.25"/>
    <row r="5133" ht="11.25" hidden="1" customHeight="1" x14ac:dyDescent="0.25"/>
    <row r="5134" ht="11.25" hidden="1" customHeight="1" x14ac:dyDescent="0.25"/>
    <row r="5135" ht="11.25" hidden="1" customHeight="1" x14ac:dyDescent="0.25"/>
    <row r="5136" ht="11.25" hidden="1" customHeight="1" x14ac:dyDescent="0.25"/>
    <row r="5137" ht="11.25" hidden="1" customHeight="1" x14ac:dyDescent="0.25"/>
    <row r="5138" ht="11.25" hidden="1" customHeight="1" x14ac:dyDescent="0.25"/>
    <row r="5139" ht="11.25" hidden="1" customHeight="1" x14ac:dyDescent="0.25"/>
    <row r="5140" ht="11.25" hidden="1" customHeight="1" x14ac:dyDescent="0.25"/>
    <row r="5141" ht="11.25" hidden="1" customHeight="1" x14ac:dyDescent="0.25"/>
    <row r="5142" ht="11.25" hidden="1" customHeight="1" x14ac:dyDescent="0.25"/>
    <row r="5143" ht="11.25" hidden="1" customHeight="1" x14ac:dyDescent="0.25"/>
    <row r="5144" ht="11.25" hidden="1" customHeight="1" x14ac:dyDescent="0.25"/>
    <row r="5145" ht="11.25" hidden="1" customHeight="1" x14ac:dyDescent="0.25"/>
    <row r="5146" ht="11.25" hidden="1" customHeight="1" x14ac:dyDescent="0.25"/>
    <row r="5147" ht="11.25" hidden="1" customHeight="1" x14ac:dyDescent="0.25"/>
    <row r="5148" ht="11.25" hidden="1" customHeight="1" x14ac:dyDescent="0.25"/>
    <row r="5149" ht="11.25" hidden="1" customHeight="1" x14ac:dyDescent="0.25"/>
    <row r="5150" ht="11.25" hidden="1" customHeight="1" x14ac:dyDescent="0.25"/>
    <row r="5151" ht="11.25" hidden="1" customHeight="1" x14ac:dyDescent="0.25"/>
    <row r="5152" ht="11.25" hidden="1" customHeight="1" x14ac:dyDescent="0.25"/>
    <row r="5153" ht="11.25" hidden="1" customHeight="1" x14ac:dyDescent="0.25"/>
    <row r="5154" ht="11.25" hidden="1" customHeight="1" x14ac:dyDescent="0.25"/>
    <row r="5155" ht="11.25" hidden="1" customHeight="1" x14ac:dyDescent="0.25"/>
    <row r="5156" ht="11.25" hidden="1" customHeight="1" x14ac:dyDescent="0.25"/>
    <row r="5157" ht="11.25" hidden="1" customHeight="1" x14ac:dyDescent="0.25"/>
    <row r="5158" ht="11.25" hidden="1" customHeight="1" x14ac:dyDescent="0.25"/>
    <row r="5159" ht="11.25" hidden="1" customHeight="1" x14ac:dyDescent="0.25"/>
    <row r="5160" ht="11.25" hidden="1" customHeight="1" x14ac:dyDescent="0.25"/>
    <row r="5161" ht="11.25" hidden="1" customHeight="1" x14ac:dyDescent="0.25"/>
    <row r="5162" ht="11.25" hidden="1" customHeight="1" x14ac:dyDescent="0.25"/>
    <row r="5163" ht="11.25" hidden="1" customHeight="1" x14ac:dyDescent="0.25"/>
    <row r="5164" ht="11.25" hidden="1" customHeight="1" x14ac:dyDescent="0.25"/>
    <row r="5165" ht="11.25" hidden="1" customHeight="1" x14ac:dyDescent="0.25"/>
    <row r="5166" ht="11.25" hidden="1" customHeight="1" x14ac:dyDescent="0.25"/>
    <row r="5167" ht="11.25" hidden="1" customHeight="1" x14ac:dyDescent="0.25"/>
    <row r="5168" ht="11.25" hidden="1" customHeight="1" x14ac:dyDescent="0.25"/>
    <row r="5169" ht="11.25" hidden="1" customHeight="1" x14ac:dyDescent="0.25"/>
    <row r="5170" ht="11.25" hidden="1" customHeight="1" x14ac:dyDescent="0.25"/>
    <row r="5171" ht="11.25" hidden="1" customHeight="1" x14ac:dyDescent="0.25"/>
    <row r="5172" ht="11.25" hidden="1" customHeight="1" x14ac:dyDescent="0.25"/>
    <row r="5173" ht="11.25" hidden="1" customHeight="1" x14ac:dyDescent="0.25"/>
    <row r="5174" ht="11.25" hidden="1" customHeight="1" x14ac:dyDescent="0.25"/>
    <row r="5175" ht="11.25" hidden="1" customHeight="1" x14ac:dyDescent="0.25"/>
    <row r="5176" ht="11.25" hidden="1" customHeight="1" x14ac:dyDescent="0.25"/>
    <row r="5177" ht="11.25" hidden="1" customHeight="1" x14ac:dyDescent="0.25"/>
    <row r="5178" ht="11.25" hidden="1" customHeight="1" x14ac:dyDescent="0.25"/>
    <row r="5179" ht="11.25" hidden="1" customHeight="1" x14ac:dyDescent="0.25"/>
    <row r="5180" ht="11.25" hidden="1" customHeight="1" x14ac:dyDescent="0.25"/>
    <row r="5181" ht="11.25" hidden="1" customHeight="1" x14ac:dyDescent="0.25"/>
    <row r="5182" ht="11.25" hidden="1" customHeight="1" x14ac:dyDescent="0.25"/>
    <row r="5183" ht="11.25" hidden="1" customHeight="1" x14ac:dyDescent="0.25"/>
    <row r="5184" ht="11.25" hidden="1" customHeight="1" x14ac:dyDescent="0.25"/>
    <row r="5185" ht="11.25" hidden="1" customHeight="1" x14ac:dyDescent="0.25"/>
    <row r="5186" ht="11.25" hidden="1" customHeight="1" x14ac:dyDescent="0.25"/>
    <row r="5187" ht="11.25" hidden="1" customHeight="1" x14ac:dyDescent="0.25"/>
    <row r="5188" ht="11.25" hidden="1" customHeight="1" x14ac:dyDescent="0.25"/>
    <row r="5189" ht="11.25" hidden="1" customHeight="1" x14ac:dyDescent="0.25"/>
    <row r="5190" ht="11.25" hidden="1" customHeight="1" x14ac:dyDescent="0.25"/>
    <row r="5191" ht="11.25" hidden="1" customHeight="1" x14ac:dyDescent="0.25"/>
    <row r="5192" ht="11.25" hidden="1" customHeight="1" x14ac:dyDescent="0.25"/>
    <row r="5193" ht="11.25" hidden="1" customHeight="1" x14ac:dyDescent="0.25"/>
    <row r="5194" ht="11.25" hidden="1" customHeight="1" x14ac:dyDescent="0.25"/>
    <row r="5195" ht="11.25" hidden="1" customHeight="1" x14ac:dyDescent="0.25"/>
    <row r="5196" ht="11.25" hidden="1" customHeight="1" x14ac:dyDescent="0.25"/>
    <row r="5197" ht="11.25" hidden="1" customHeight="1" x14ac:dyDescent="0.25"/>
    <row r="5198" ht="11.25" hidden="1" customHeight="1" x14ac:dyDescent="0.25"/>
    <row r="5199" ht="11.25" hidden="1" customHeight="1" x14ac:dyDescent="0.25"/>
    <row r="5200" ht="11.25" hidden="1" customHeight="1" x14ac:dyDescent="0.25"/>
    <row r="5201" ht="11.25" hidden="1" customHeight="1" x14ac:dyDescent="0.25"/>
    <row r="5202" ht="11.25" hidden="1" customHeight="1" x14ac:dyDescent="0.25"/>
    <row r="5203" ht="11.25" hidden="1" customHeight="1" x14ac:dyDescent="0.25"/>
    <row r="5204" ht="11.25" hidden="1" customHeight="1" x14ac:dyDescent="0.25"/>
    <row r="5205" ht="11.25" hidden="1" customHeight="1" x14ac:dyDescent="0.25"/>
    <row r="5206" ht="11.25" hidden="1" customHeight="1" x14ac:dyDescent="0.25"/>
    <row r="5207" ht="11.25" hidden="1" customHeight="1" x14ac:dyDescent="0.25"/>
    <row r="5208" ht="11.25" hidden="1" customHeight="1" x14ac:dyDescent="0.25"/>
    <row r="5209" ht="11.25" hidden="1" customHeight="1" x14ac:dyDescent="0.25"/>
    <row r="5210" ht="11.25" hidden="1" customHeight="1" x14ac:dyDescent="0.25"/>
    <row r="5211" ht="11.25" hidden="1" customHeight="1" x14ac:dyDescent="0.25"/>
    <row r="5212" ht="11.25" hidden="1" customHeight="1" x14ac:dyDescent="0.25"/>
    <row r="5213" ht="11.25" hidden="1" customHeight="1" x14ac:dyDescent="0.25"/>
    <row r="5214" ht="11.25" hidden="1" customHeight="1" x14ac:dyDescent="0.25"/>
    <row r="5215" ht="11.25" hidden="1" customHeight="1" x14ac:dyDescent="0.25"/>
    <row r="5216" ht="11.25" hidden="1" customHeight="1" x14ac:dyDescent="0.25"/>
    <row r="5217" ht="11.25" hidden="1" customHeight="1" x14ac:dyDescent="0.25"/>
    <row r="5218" ht="11.25" hidden="1" customHeight="1" x14ac:dyDescent="0.25"/>
    <row r="5219" ht="11.25" hidden="1" customHeight="1" x14ac:dyDescent="0.25"/>
    <row r="5220" ht="11.25" hidden="1" customHeight="1" x14ac:dyDescent="0.25"/>
    <row r="5221" ht="11.25" hidden="1" customHeight="1" x14ac:dyDescent="0.25"/>
    <row r="5222" ht="11.25" hidden="1" customHeight="1" x14ac:dyDescent="0.25"/>
    <row r="5223" ht="11.25" hidden="1" customHeight="1" x14ac:dyDescent="0.25"/>
    <row r="5224" ht="11.25" hidden="1" customHeight="1" x14ac:dyDescent="0.25"/>
    <row r="5225" ht="11.25" hidden="1" customHeight="1" x14ac:dyDescent="0.25"/>
    <row r="5226" ht="11.25" hidden="1" customHeight="1" x14ac:dyDescent="0.25"/>
    <row r="5227" ht="11.25" hidden="1" customHeight="1" x14ac:dyDescent="0.25"/>
    <row r="5228" ht="11.25" hidden="1" customHeight="1" x14ac:dyDescent="0.25"/>
    <row r="5229" ht="11.25" hidden="1" customHeight="1" x14ac:dyDescent="0.25"/>
    <row r="5230" ht="11.25" hidden="1" customHeight="1" x14ac:dyDescent="0.25"/>
    <row r="5231" ht="11.25" hidden="1" customHeight="1" x14ac:dyDescent="0.25"/>
    <row r="5232" ht="11.25" hidden="1" customHeight="1" x14ac:dyDescent="0.25"/>
    <row r="5233" ht="11.25" hidden="1" customHeight="1" x14ac:dyDescent="0.25"/>
    <row r="5234" ht="11.25" hidden="1" customHeight="1" x14ac:dyDescent="0.25"/>
    <row r="5235" ht="11.25" hidden="1" customHeight="1" x14ac:dyDescent="0.25"/>
    <row r="5236" ht="11.25" hidden="1" customHeight="1" x14ac:dyDescent="0.25"/>
    <row r="5237" ht="11.25" hidden="1" customHeight="1" x14ac:dyDescent="0.25"/>
    <row r="5238" ht="11.25" hidden="1" customHeight="1" x14ac:dyDescent="0.25"/>
    <row r="5239" ht="11.25" hidden="1" customHeight="1" x14ac:dyDescent="0.25"/>
    <row r="5240" ht="11.25" hidden="1" customHeight="1" x14ac:dyDescent="0.25"/>
    <row r="5241" ht="11.25" hidden="1" customHeight="1" x14ac:dyDescent="0.25"/>
    <row r="5242" ht="11.25" hidden="1" customHeight="1" x14ac:dyDescent="0.25"/>
    <row r="5243" ht="11.25" hidden="1" customHeight="1" x14ac:dyDescent="0.25"/>
    <row r="5244" ht="11.25" hidden="1" customHeight="1" x14ac:dyDescent="0.25"/>
    <row r="5245" ht="11.25" hidden="1" customHeight="1" x14ac:dyDescent="0.25"/>
    <row r="5246" ht="11.25" hidden="1" customHeight="1" x14ac:dyDescent="0.25"/>
    <row r="5247" ht="11.25" hidden="1" customHeight="1" x14ac:dyDescent="0.25"/>
    <row r="5248" ht="11.25" hidden="1" customHeight="1" x14ac:dyDescent="0.25"/>
    <row r="5249" ht="11.25" hidden="1" customHeight="1" x14ac:dyDescent="0.25"/>
    <row r="5250" ht="11.25" hidden="1" customHeight="1" x14ac:dyDescent="0.25"/>
    <row r="5251" ht="11.25" hidden="1" customHeight="1" x14ac:dyDescent="0.25"/>
    <row r="5252" ht="11.25" hidden="1" customHeight="1" x14ac:dyDescent="0.25"/>
    <row r="5253" ht="11.25" hidden="1" customHeight="1" x14ac:dyDescent="0.25"/>
    <row r="5254" ht="11.25" hidden="1" customHeight="1" x14ac:dyDescent="0.25"/>
    <row r="5255" ht="11.25" hidden="1" customHeight="1" x14ac:dyDescent="0.25"/>
    <row r="5256" ht="11.25" hidden="1" customHeight="1" x14ac:dyDescent="0.25"/>
    <row r="5257" ht="11.25" hidden="1" customHeight="1" x14ac:dyDescent="0.25"/>
    <row r="5258" ht="11.25" hidden="1" customHeight="1" x14ac:dyDescent="0.25"/>
    <row r="5259" ht="11.25" hidden="1" customHeight="1" x14ac:dyDescent="0.25"/>
    <row r="5260" ht="11.25" hidden="1" customHeight="1" x14ac:dyDescent="0.25"/>
    <row r="5261" ht="11.25" hidden="1" customHeight="1" x14ac:dyDescent="0.25"/>
    <row r="5262" ht="11.25" hidden="1" customHeight="1" x14ac:dyDescent="0.25"/>
    <row r="5263" ht="11.25" hidden="1" customHeight="1" x14ac:dyDescent="0.25"/>
    <row r="5264" ht="11.25" hidden="1" customHeight="1" x14ac:dyDescent="0.25"/>
    <row r="5265" ht="11.25" hidden="1" customHeight="1" x14ac:dyDescent="0.25"/>
    <row r="5266" ht="11.25" hidden="1" customHeight="1" x14ac:dyDescent="0.25"/>
    <row r="5267" ht="11.25" hidden="1" customHeight="1" x14ac:dyDescent="0.25"/>
    <row r="5268" ht="11.25" hidden="1" customHeight="1" x14ac:dyDescent="0.25"/>
    <row r="5269" ht="11.25" hidden="1" customHeight="1" x14ac:dyDescent="0.25"/>
    <row r="5270" ht="11.25" hidden="1" customHeight="1" x14ac:dyDescent="0.25"/>
    <row r="5271" ht="11.25" hidden="1" customHeight="1" x14ac:dyDescent="0.25"/>
    <row r="5272" ht="11.25" hidden="1" customHeight="1" x14ac:dyDescent="0.25"/>
    <row r="5273" ht="11.25" hidden="1" customHeight="1" x14ac:dyDescent="0.25"/>
    <row r="5274" ht="11.25" hidden="1" customHeight="1" x14ac:dyDescent="0.25"/>
    <row r="5275" ht="11.25" hidden="1" customHeight="1" x14ac:dyDescent="0.25"/>
    <row r="5276" ht="11.25" hidden="1" customHeight="1" x14ac:dyDescent="0.25"/>
    <row r="5277" ht="11.25" hidden="1" customHeight="1" x14ac:dyDescent="0.25"/>
    <row r="5278" ht="11.25" hidden="1" customHeight="1" x14ac:dyDescent="0.25"/>
    <row r="5279" ht="11.25" hidden="1" customHeight="1" x14ac:dyDescent="0.25"/>
    <row r="5280" ht="11.25" hidden="1" customHeight="1" x14ac:dyDescent="0.25"/>
    <row r="5281" ht="11.25" hidden="1" customHeight="1" x14ac:dyDescent="0.25"/>
    <row r="5282" ht="11.25" hidden="1" customHeight="1" x14ac:dyDescent="0.25"/>
    <row r="5283" ht="11.25" hidden="1" customHeight="1" x14ac:dyDescent="0.25"/>
    <row r="5284" ht="11.25" hidden="1" customHeight="1" x14ac:dyDescent="0.25"/>
    <row r="5285" ht="11.25" hidden="1" customHeight="1" x14ac:dyDescent="0.25"/>
    <row r="5286" ht="11.25" hidden="1" customHeight="1" x14ac:dyDescent="0.25"/>
    <row r="5287" ht="11.25" hidden="1" customHeight="1" x14ac:dyDescent="0.25"/>
    <row r="5288" ht="11.25" hidden="1" customHeight="1" x14ac:dyDescent="0.25"/>
    <row r="5289" ht="11.25" hidden="1" customHeight="1" x14ac:dyDescent="0.25"/>
    <row r="5290" ht="11.25" hidden="1" customHeight="1" x14ac:dyDescent="0.25"/>
    <row r="5291" ht="11.25" hidden="1" customHeight="1" x14ac:dyDescent="0.25"/>
    <row r="5292" ht="11.25" hidden="1" customHeight="1" x14ac:dyDescent="0.25"/>
    <row r="5293" ht="11.25" hidden="1" customHeight="1" x14ac:dyDescent="0.25"/>
    <row r="5294" ht="11.25" hidden="1" customHeight="1" x14ac:dyDescent="0.25"/>
    <row r="5295" ht="11.25" hidden="1" customHeight="1" x14ac:dyDescent="0.25"/>
    <row r="5296" ht="11.25" hidden="1" customHeight="1" x14ac:dyDescent="0.25"/>
    <row r="5297" ht="11.25" hidden="1" customHeight="1" x14ac:dyDescent="0.25"/>
    <row r="5298" ht="11.25" hidden="1" customHeight="1" x14ac:dyDescent="0.25"/>
    <row r="5299" ht="11.25" hidden="1" customHeight="1" x14ac:dyDescent="0.25"/>
    <row r="5300" ht="11.25" hidden="1" customHeight="1" x14ac:dyDescent="0.25"/>
    <row r="5301" ht="11.25" hidden="1" customHeight="1" x14ac:dyDescent="0.25"/>
    <row r="5302" ht="11.25" hidden="1" customHeight="1" x14ac:dyDescent="0.25"/>
    <row r="5303" ht="11.25" hidden="1" customHeight="1" x14ac:dyDescent="0.25"/>
    <row r="5304" ht="11.25" hidden="1" customHeight="1" x14ac:dyDescent="0.25"/>
    <row r="5305" ht="11.25" hidden="1" customHeight="1" x14ac:dyDescent="0.25"/>
    <row r="5306" ht="11.25" hidden="1" customHeight="1" x14ac:dyDescent="0.25"/>
    <row r="5307" ht="11.25" hidden="1" customHeight="1" x14ac:dyDescent="0.25"/>
    <row r="5308" ht="11.25" hidden="1" customHeight="1" x14ac:dyDescent="0.25"/>
    <row r="5309" ht="11.25" hidden="1" customHeight="1" x14ac:dyDescent="0.25"/>
    <row r="5310" ht="11.25" hidden="1" customHeight="1" x14ac:dyDescent="0.25"/>
    <row r="5311" ht="11.25" hidden="1" customHeight="1" x14ac:dyDescent="0.25"/>
    <row r="5312" ht="11.25" hidden="1" customHeight="1" x14ac:dyDescent="0.25"/>
    <row r="5313" ht="11.25" hidden="1" customHeight="1" x14ac:dyDescent="0.25"/>
    <row r="5314" ht="11.25" hidden="1" customHeight="1" x14ac:dyDescent="0.25"/>
    <row r="5315" ht="11.25" hidden="1" customHeight="1" x14ac:dyDescent="0.25"/>
    <row r="5316" ht="11.25" hidden="1" customHeight="1" x14ac:dyDescent="0.25"/>
    <row r="5317" ht="11.25" hidden="1" customHeight="1" x14ac:dyDescent="0.25"/>
    <row r="5318" ht="11.25" hidden="1" customHeight="1" x14ac:dyDescent="0.25"/>
    <row r="5319" ht="11.25" hidden="1" customHeight="1" x14ac:dyDescent="0.25"/>
    <row r="5320" ht="11.25" hidden="1" customHeight="1" x14ac:dyDescent="0.25"/>
    <row r="5321" ht="11.25" hidden="1" customHeight="1" x14ac:dyDescent="0.25"/>
    <row r="5322" ht="11.25" hidden="1" customHeight="1" x14ac:dyDescent="0.25"/>
    <row r="5323" ht="11.25" hidden="1" customHeight="1" x14ac:dyDescent="0.25"/>
    <row r="5324" ht="11.25" hidden="1" customHeight="1" x14ac:dyDescent="0.25"/>
    <row r="5325" ht="11.25" hidden="1" customHeight="1" x14ac:dyDescent="0.25"/>
    <row r="5326" ht="11.25" hidden="1" customHeight="1" x14ac:dyDescent="0.25"/>
    <row r="5327" ht="11.25" hidden="1" customHeight="1" x14ac:dyDescent="0.25"/>
    <row r="5328" ht="11.25" hidden="1" customHeight="1" x14ac:dyDescent="0.25"/>
    <row r="5329" ht="11.25" hidden="1" customHeight="1" x14ac:dyDescent="0.25"/>
    <row r="5330" ht="11.25" hidden="1" customHeight="1" x14ac:dyDescent="0.25"/>
    <row r="5331" ht="11.25" hidden="1" customHeight="1" x14ac:dyDescent="0.25"/>
    <row r="5332" ht="11.25" hidden="1" customHeight="1" x14ac:dyDescent="0.25"/>
    <row r="5333" ht="11.25" hidden="1" customHeight="1" x14ac:dyDescent="0.25"/>
    <row r="5334" ht="11.25" hidden="1" customHeight="1" x14ac:dyDescent="0.25"/>
    <row r="5335" ht="11.25" hidden="1" customHeight="1" x14ac:dyDescent="0.25"/>
    <row r="5336" ht="11.25" hidden="1" customHeight="1" x14ac:dyDescent="0.25"/>
    <row r="5337" ht="11.25" hidden="1" customHeight="1" x14ac:dyDescent="0.25"/>
    <row r="5338" ht="11.25" hidden="1" customHeight="1" x14ac:dyDescent="0.25"/>
    <row r="5339" ht="11.25" hidden="1" customHeight="1" x14ac:dyDescent="0.25"/>
    <row r="5340" ht="11.25" hidden="1" customHeight="1" x14ac:dyDescent="0.25"/>
    <row r="5341" ht="11.25" hidden="1" customHeight="1" x14ac:dyDescent="0.25"/>
    <row r="5342" ht="11.25" hidden="1" customHeight="1" x14ac:dyDescent="0.25"/>
    <row r="5343" ht="11.25" hidden="1" customHeight="1" x14ac:dyDescent="0.25"/>
    <row r="5344" ht="11.25" hidden="1" customHeight="1" x14ac:dyDescent="0.25"/>
    <row r="5345" ht="11.25" hidden="1" customHeight="1" x14ac:dyDescent="0.25"/>
    <row r="5346" ht="11.25" hidden="1" customHeight="1" x14ac:dyDescent="0.25"/>
    <row r="5347" ht="11.25" hidden="1" customHeight="1" x14ac:dyDescent="0.25"/>
    <row r="5348" ht="11.25" hidden="1" customHeight="1" x14ac:dyDescent="0.25"/>
    <row r="5349" ht="11.25" hidden="1" customHeight="1" x14ac:dyDescent="0.25"/>
    <row r="5350" ht="11.25" hidden="1" customHeight="1" x14ac:dyDescent="0.25"/>
    <row r="5351" ht="11.25" hidden="1" customHeight="1" x14ac:dyDescent="0.25"/>
    <row r="5352" ht="11.25" hidden="1" customHeight="1" x14ac:dyDescent="0.25"/>
    <row r="5353" ht="11.25" hidden="1" customHeight="1" x14ac:dyDescent="0.25"/>
    <row r="5354" ht="11.25" hidden="1" customHeight="1" x14ac:dyDescent="0.25"/>
    <row r="5355" ht="11.25" hidden="1" customHeight="1" x14ac:dyDescent="0.25"/>
    <row r="5356" ht="11.25" hidden="1" customHeight="1" x14ac:dyDescent="0.25"/>
    <row r="5357" ht="11.25" hidden="1" customHeight="1" x14ac:dyDescent="0.25"/>
    <row r="5358" ht="11.25" hidden="1" customHeight="1" x14ac:dyDescent="0.25"/>
    <row r="5359" ht="11.25" hidden="1" customHeight="1" x14ac:dyDescent="0.25"/>
    <row r="5360" ht="11.25" hidden="1" customHeight="1" x14ac:dyDescent="0.25"/>
    <row r="5361" ht="11.25" hidden="1" customHeight="1" x14ac:dyDescent="0.25"/>
    <row r="5362" ht="11.25" hidden="1" customHeight="1" x14ac:dyDescent="0.25"/>
    <row r="5363" ht="11.25" hidden="1" customHeight="1" x14ac:dyDescent="0.25"/>
    <row r="5364" ht="11.25" hidden="1" customHeight="1" x14ac:dyDescent="0.25"/>
    <row r="5365" ht="11.25" hidden="1" customHeight="1" x14ac:dyDescent="0.25"/>
    <row r="5366" ht="11.25" hidden="1" customHeight="1" x14ac:dyDescent="0.25"/>
    <row r="5367" ht="11.25" hidden="1" customHeight="1" x14ac:dyDescent="0.25"/>
    <row r="5368" ht="11.25" hidden="1" customHeight="1" x14ac:dyDescent="0.25"/>
    <row r="5369" ht="11.25" hidden="1" customHeight="1" x14ac:dyDescent="0.25"/>
    <row r="5370" ht="11.25" hidden="1" customHeight="1" x14ac:dyDescent="0.25"/>
    <row r="5371" ht="11.25" hidden="1" customHeight="1" x14ac:dyDescent="0.25"/>
    <row r="5372" ht="11.25" hidden="1" customHeight="1" x14ac:dyDescent="0.25"/>
    <row r="5373" ht="11.25" hidden="1" customHeight="1" x14ac:dyDescent="0.25"/>
    <row r="5374" ht="11.25" hidden="1" customHeight="1" x14ac:dyDescent="0.25"/>
    <row r="5375" ht="11.25" hidden="1" customHeight="1" x14ac:dyDescent="0.25"/>
    <row r="5376" ht="11.25" hidden="1" customHeight="1" x14ac:dyDescent="0.25"/>
    <row r="5377" ht="11.25" hidden="1" customHeight="1" x14ac:dyDescent="0.25"/>
    <row r="5378" ht="11.25" hidden="1" customHeight="1" x14ac:dyDescent="0.25"/>
    <row r="5379" ht="11.25" hidden="1" customHeight="1" x14ac:dyDescent="0.25"/>
    <row r="5380" ht="11.25" hidden="1" customHeight="1" x14ac:dyDescent="0.25"/>
    <row r="5381" ht="11.25" hidden="1" customHeight="1" x14ac:dyDescent="0.25"/>
    <row r="5382" ht="11.25" hidden="1" customHeight="1" x14ac:dyDescent="0.25"/>
    <row r="5383" ht="11.25" hidden="1" customHeight="1" x14ac:dyDescent="0.25"/>
    <row r="5384" ht="11.25" hidden="1" customHeight="1" x14ac:dyDescent="0.25"/>
    <row r="5385" ht="11.25" hidden="1" customHeight="1" x14ac:dyDescent="0.25"/>
    <row r="5386" ht="11.25" hidden="1" customHeight="1" x14ac:dyDescent="0.25"/>
    <row r="5387" ht="11.25" hidden="1" customHeight="1" x14ac:dyDescent="0.25"/>
    <row r="5388" ht="11.25" hidden="1" customHeight="1" x14ac:dyDescent="0.25"/>
    <row r="5389" ht="11.25" hidden="1" customHeight="1" x14ac:dyDescent="0.25"/>
    <row r="5390" ht="11.25" hidden="1" customHeight="1" x14ac:dyDescent="0.25"/>
    <row r="5391" ht="11.25" hidden="1" customHeight="1" x14ac:dyDescent="0.25"/>
    <row r="5392" ht="11.25" hidden="1" customHeight="1" x14ac:dyDescent="0.25"/>
    <row r="5393" ht="11.25" hidden="1" customHeight="1" x14ac:dyDescent="0.25"/>
    <row r="5394" ht="11.25" hidden="1" customHeight="1" x14ac:dyDescent="0.25"/>
    <row r="5395" ht="11.25" hidden="1" customHeight="1" x14ac:dyDescent="0.25"/>
    <row r="5396" ht="11.25" hidden="1" customHeight="1" x14ac:dyDescent="0.25"/>
    <row r="5397" ht="11.25" hidden="1" customHeight="1" x14ac:dyDescent="0.25"/>
    <row r="5398" ht="11.25" hidden="1" customHeight="1" x14ac:dyDescent="0.25"/>
    <row r="5399" ht="11.25" hidden="1" customHeight="1" x14ac:dyDescent="0.25"/>
    <row r="5400" ht="11.25" hidden="1" customHeight="1" x14ac:dyDescent="0.25"/>
    <row r="5401" ht="11.25" hidden="1" customHeight="1" x14ac:dyDescent="0.25"/>
    <row r="5402" ht="11.25" hidden="1" customHeight="1" x14ac:dyDescent="0.25"/>
    <row r="5403" ht="11.25" hidden="1" customHeight="1" x14ac:dyDescent="0.25"/>
    <row r="5404" ht="11.25" hidden="1" customHeight="1" x14ac:dyDescent="0.25"/>
    <row r="5405" ht="11.25" hidden="1" customHeight="1" x14ac:dyDescent="0.25"/>
    <row r="5406" ht="11.25" hidden="1" customHeight="1" x14ac:dyDescent="0.25"/>
    <row r="5407" ht="11.25" hidden="1" customHeight="1" x14ac:dyDescent="0.25"/>
    <row r="5408" ht="11.25" hidden="1" customHeight="1" x14ac:dyDescent="0.25"/>
    <row r="5409" ht="11.25" hidden="1" customHeight="1" x14ac:dyDescent="0.25"/>
    <row r="5410" ht="11.25" hidden="1" customHeight="1" x14ac:dyDescent="0.25"/>
    <row r="5411" ht="11.25" hidden="1" customHeight="1" x14ac:dyDescent="0.25"/>
    <row r="5412" ht="11.25" hidden="1" customHeight="1" x14ac:dyDescent="0.25"/>
    <row r="5413" ht="11.25" hidden="1" customHeight="1" x14ac:dyDescent="0.25"/>
    <row r="5414" ht="11.25" hidden="1" customHeight="1" x14ac:dyDescent="0.25"/>
    <row r="5415" ht="11.25" hidden="1" customHeight="1" x14ac:dyDescent="0.25"/>
    <row r="5416" ht="11.25" hidden="1" customHeight="1" x14ac:dyDescent="0.25"/>
    <row r="5417" ht="11.25" hidden="1" customHeight="1" x14ac:dyDescent="0.25"/>
    <row r="5418" ht="11.25" hidden="1" customHeight="1" x14ac:dyDescent="0.25"/>
    <row r="5419" ht="11.25" hidden="1" customHeight="1" x14ac:dyDescent="0.25"/>
    <row r="5420" ht="11.25" hidden="1" customHeight="1" x14ac:dyDescent="0.25"/>
    <row r="5421" ht="11.25" hidden="1" customHeight="1" x14ac:dyDescent="0.25"/>
    <row r="5422" ht="11.25" hidden="1" customHeight="1" x14ac:dyDescent="0.25"/>
    <row r="5423" ht="11.25" hidden="1" customHeight="1" x14ac:dyDescent="0.25"/>
    <row r="5424" ht="11.25" hidden="1" customHeight="1" x14ac:dyDescent="0.25"/>
    <row r="5425" ht="11.25" hidden="1" customHeight="1" x14ac:dyDescent="0.25"/>
    <row r="5426" ht="11.25" hidden="1" customHeight="1" x14ac:dyDescent="0.25"/>
    <row r="5427" ht="11.25" hidden="1" customHeight="1" x14ac:dyDescent="0.25"/>
    <row r="5428" ht="11.25" hidden="1" customHeight="1" x14ac:dyDescent="0.25"/>
    <row r="5429" ht="11.25" hidden="1" customHeight="1" x14ac:dyDescent="0.25"/>
    <row r="5430" ht="11.25" hidden="1" customHeight="1" x14ac:dyDescent="0.25"/>
    <row r="5431" ht="11.25" hidden="1" customHeight="1" x14ac:dyDescent="0.25"/>
    <row r="5432" ht="11.25" hidden="1" customHeight="1" x14ac:dyDescent="0.25"/>
    <row r="5433" ht="11.25" hidden="1" customHeight="1" x14ac:dyDescent="0.25"/>
    <row r="5434" ht="11.25" hidden="1" customHeight="1" x14ac:dyDescent="0.25"/>
    <row r="5435" ht="11.25" hidden="1" customHeight="1" x14ac:dyDescent="0.25"/>
    <row r="5436" ht="11.25" hidden="1" customHeight="1" x14ac:dyDescent="0.25"/>
    <row r="5437" ht="11.25" hidden="1" customHeight="1" x14ac:dyDescent="0.25"/>
    <row r="5438" ht="11.25" hidden="1" customHeight="1" x14ac:dyDescent="0.25"/>
    <row r="5439" ht="11.25" hidden="1" customHeight="1" x14ac:dyDescent="0.25"/>
    <row r="5440" ht="11.25" hidden="1" customHeight="1" x14ac:dyDescent="0.25"/>
    <row r="5441" ht="11.25" hidden="1" customHeight="1" x14ac:dyDescent="0.25"/>
    <row r="5442" ht="11.25" hidden="1" customHeight="1" x14ac:dyDescent="0.25"/>
    <row r="5443" ht="11.25" hidden="1" customHeight="1" x14ac:dyDescent="0.25"/>
    <row r="5444" ht="11.25" hidden="1" customHeight="1" x14ac:dyDescent="0.25"/>
    <row r="5445" ht="11.25" hidden="1" customHeight="1" x14ac:dyDescent="0.25"/>
    <row r="5446" ht="11.25" hidden="1" customHeight="1" x14ac:dyDescent="0.25"/>
    <row r="5447" ht="11.25" hidden="1" customHeight="1" x14ac:dyDescent="0.25"/>
    <row r="5448" ht="11.25" hidden="1" customHeight="1" x14ac:dyDescent="0.25"/>
    <row r="5449" ht="11.25" hidden="1" customHeight="1" x14ac:dyDescent="0.25"/>
    <row r="5450" ht="11.25" hidden="1" customHeight="1" x14ac:dyDescent="0.25"/>
    <row r="5451" ht="11.25" hidden="1" customHeight="1" x14ac:dyDescent="0.25"/>
    <row r="5452" ht="11.25" hidden="1" customHeight="1" x14ac:dyDescent="0.25"/>
    <row r="5453" ht="11.25" hidden="1" customHeight="1" x14ac:dyDescent="0.25"/>
    <row r="5454" ht="11.25" hidden="1" customHeight="1" x14ac:dyDescent="0.25"/>
    <row r="5455" ht="11.25" hidden="1" customHeight="1" x14ac:dyDescent="0.25"/>
    <row r="5456" ht="11.25" hidden="1" customHeight="1" x14ac:dyDescent="0.25"/>
    <row r="5457" ht="11.25" hidden="1" customHeight="1" x14ac:dyDescent="0.25"/>
    <row r="5458" ht="11.25" hidden="1" customHeight="1" x14ac:dyDescent="0.25"/>
    <row r="5459" ht="11.25" hidden="1" customHeight="1" x14ac:dyDescent="0.25"/>
    <row r="5460" ht="11.25" hidden="1" customHeight="1" x14ac:dyDescent="0.25"/>
    <row r="5461" ht="11.25" hidden="1" customHeight="1" x14ac:dyDescent="0.25"/>
    <row r="5462" ht="11.25" hidden="1" customHeight="1" x14ac:dyDescent="0.25"/>
    <row r="5463" ht="11.25" hidden="1" customHeight="1" x14ac:dyDescent="0.25"/>
    <row r="5464" ht="11.25" hidden="1" customHeight="1" x14ac:dyDescent="0.25"/>
    <row r="5465" ht="11.25" hidden="1" customHeight="1" x14ac:dyDescent="0.25"/>
    <row r="5466" ht="11.25" hidden="1" customHeight="1" x14ac:dyDescent="0.25"/>
    <row r="5467" ht="11.25" hidden="1" customHeight="1" x14ac:dyDescent="0.25"/>
    <row r="5468" ht="11.25" hidden="1" customHeight="1" x14ac:dyDescent="0.25"/>
    <row r="5469" ht="11.25" hidden="1" customHeight="1" x14ac:dyDescent="0.25"/>
    <row r="5470" ht="11.25" hidden="1" customHeight="1" x14ac:dyDescent="0.25"/>
    <row r="5471" ht="11.25" hidden="1" customHeight="1" x14ac:dyDescent="0.25"/>
    <row r="5472" ht="11.25" hidden="1" customHeight="1" x14ac:dyDescent="0.25"/>
    <row r="5473" ht="11.25" hidden="1" customHeight="1" x14ac:dyDescent="0.25"/>
    <row r="5474" ht="11.25" hidden="1" customHeight="1" x14ac:dyDescent="0.25"/>
    <row r="5475" ht="11.25" hidden="1" customHeight="1" x14ac:dyDescent="0.25"/>
    <row r="5476" ht="11.25" hidden="1" customHeight="1" x14ac:dyDescent="0.25"/>
    <row r="5477" ht="11.25" hidden="1" customHeight="1" x14ac:dyDescent="0.25"/>
    <row r="5478" ht="11.25" hidden="1" customHeight="1" x14ac:dyDescent="0.25"/>
    <row r="5479" ht="11.25" hidden="1" customHeight="1" x14ac:dyDescent="0.25"/>
    <row r="5480" ht="11.25" hidden="1" customHeight="1" x14ac:dyDescent="0.25"/>
    <row r="5481" ht="11.25" hidden="1" customHeight="1" x14ac:dyDescent="0.25"/>
    <row r="5482" ht="11.25" hidden="1" customHeight="1" x14ac:dyDescent="0.25"/>
    <row r="5483" ht="11.25" hidden="1" customHeight="1" x14ac:dyDescent="0.25"/>
    <row r="5484" ht="11.25" hidden="1" customHeight="1" x14ac:dyDescent="0.25"/>
    <row r="5485" ht="11.25" hidden="1" customHeight="1" x14ac:dyDescent="0.25"/>
    <row r="5486" ht="11.25" hidden="1" customHeight="1" x14ac:dyDescent="0.25"/>
    <row r="5487" ht="11.25" hidden="1" customHeight="1" x14ac:dyDescent="0.25"/>
    <row r="5488" ht="11.25" hidden="1" customHeight="1" x14ac:dyDescent="0.25"/>
    <row r="5489" ht="11.25" hidden="1" customHeight="1" x14ac:dyDescent="0.25"/>
    <row r="5490" ht="11.25" hidden="1" customHeight="1" x14ac:dyDescent="0.25"/>
    <row r="5491" ht="11.25" hidden="1" customHeight="1" x14ac:dyDescent="0.25"/>
    <row r="5492" ht="11.25" hidden="1" customHeight="1" x14ac:dyDescent="0.25"/>
    <row r="5493" ht="11.25" hidden="1" customHeight="1" x14ac:dyDescent="0.25"/>
    <row r="5494" ht="11.25" hidden="1" customHeight="1" x14ac:dyDescent="0.25"/>
    <row r="5495" ht="11.25" hidden="1" customHeight="1" x14ac:dyDescent="0.25"/>
    <row r="5496" ht="11.25" hidden="1" customHeight="1" x14ac:dyDescent="0.25"/>
    <row r="5497" ht="11.25" hidden="1" customHeight="1" x14ac:dyDescent="0.25"/>
    <row r="5498" ht="11.25" hidden="1" customHeight="1" x14ac:dyDescent="0.25"/>
    <row r="5499" ht="11.25" hidden="1" customHeight="1" x14ac:dyDescent="0.25"/>
    <row r="5500" ht="11.25" hidden="1" customHeight="1" x14ac:dyDescent="0.25"/>
    <row r="5501" ht="11.25" hidden="1" customHeight="1" x14ac:dyDescent="0.25"/>
    <row r="5502" ht="11.25" hidden="1" customHeight="1" x14ac:dyDescent="0.25"/>
    <row r="5503" ht="11.25" hidden="1" customHeight="1" x14ac:dyDescent="0.25"/>
    <row r="5504" ht="11.25" hidden="1" customHeight="1" x14ac:dyDescent="0.25"/>
    <row r="5505" ht="11.25" hidden="1" customHeight="1" x14ac:dyDescent="0.25"/>
    <row r="5506" ht="11.25" hidden="1" customHeight="1" x14ac:dyDescent="0.25"/>
    <row r="5507" ht="11.25" hidden="1" customHeight="1" x14ac:dyDescent="0.25"/>
    <row r="5508" ht="11.25" hidden="1" customHeight="1" x14ac:dyDescent="0.25"/>
    <row r="5509" ht="11.25" hidden="1" customHeight="1" x14ac:dyDescent="0.25"/>
    <row r="5510" ht="11.25" hidden="1" customHeight="1" x14ac:dyDescent="0.25"/>
    <row r="5511" ht="11.25" hidden="1" customHeight="1" x14ac:dyDescent="0.25"/>
    <row r="5512" ht="11.25" hidden="1" customHeight="1" x14ac:dyDescent="0.25"/>
    <row r="5513" ht="11.25" hidden="1" customHeight="1" x14ac:dyDescent="0.25"/>
    <row r="5514" ht="11.25" hidden="1" customHeight="1" x14ac:dyDescent="0.25"/>
    <row r="5515" ht="11.25" hidden="1" customHeight="1" x14ac:dyDescent="0.25"/>
    <row r="5516" ht="11.25" hidden="1" customHeight="1" x14ac:dyDescent="0.25"/>
    <row r="5517" ht="11.25" hidden="1" customHeight="1" x14ac:dyDescent="0.25"/>
    <row r="5518" ht="11.25" hidden="1" customHeight="1" x14ac:dyDescent="0.25"/>
    <row r="5519" ht="11.25" hidden="1" customHeight="1" x14ac:dyDescent="0.25"/>
    <row r="5520" ht="11.25" hidden="1" customHeight="1" x14ac:dyDescent="0.25"/>
    <row r="5521" ht="11.25" hidden="1" customHeight="1" x14ac:dyDescent="0.25"/>
    <row r="5522" ht="11.25" hidden="1" customHeight="1" x14ac:dyDescent="0.25"/>
    <row r="5523" ht="11.25" hidden="1" customHeight="1" x14ac:dyDescent="0.25"/>
    <row r="5524" ht="11.25" hidden="1" customHeight="1" x14ac:dyDescent="0.25"/>
    <row r="5525" ht="11.25" hidden="1" customHeight="1" x14ac:dyDescent="0.25"/>
    <row r="5526" ht="11.25" hidden="1" customHeight="1" x14ac:dyDescent="0.25"/>
    <row r="5527" ht="11.25" hidden="1" customHeight="1" x14ac:dyDescent="0.25"/>
    <row r="5528" ht="11.25" hidden="1" customHeight="1" x14ac:dyDescent="0.25"/>
    <row r="5529" ht="11.25" hidden="1" customHeight="1" x14ac:dyDescent="0.25"/>
    <row r="5530" ht="11.25" hidden="1" customHeight="1" x14ac:dyDescent="0.25"/>
    <row r="5531" ht="11.25" hidden="1" customHeight="1" x14ac:dyDescent="0.25"/>
    <row r="5532" ht="11.25" hidden="1" customHeight="1" x14ac:dyDescent="0.25"/>
    <row r="5533" ht="11.25" hidden="1" customHeight="1" x14ac:dyDescent="0.25"/>
    <row r="5534" ht="11.25" hidden="1" customHeight="1" x14ac:dyDescent="0.25"/>
    <row r="5535" ht="11.25" hidden="1" customHeight="1" x14ac:dyDescent="0.25"/>
    <row r="5536" ht="11.25" hidden="1" customHeight="1" x14ac:dyDescent="0.25"/>
    <row r="5537" ht="11.25" hidden="1" customHeight="1" x14ac:dyDescent="0.25"/>
    <row r="5538" ht="11.25" hidden="1" customHeight="1" x14ac:dyDescent="0.25"/>
    <row r="5539" ht="11.25" hidden="1" customHeight="1" x14ac:dyDescent="0.25"/>
    <row r="5540" ht="11.25" hidden="1" customHeight="1" x14ac:dyDescent="0.25"/>
    <row r="5541" ht="11.25" hidden="1" customHeight="1" x14ac:dyDescent="0.25"/>
    <row r="5542" ht="11.25" hidden="1" customHeight="1" x14ac:dyDescent="0.25"/>
    <row r="5543" ht="11.25" hidden="1" customHeight="1" x14ac:dyDescent="0.25"/>
    <row r="5544" ht="11.25" hidden="1" customHeight="1" x14ac:dyDescent="0.25"/>
    <row r="5545" ht="11.25" hidden="1" customHeight="1" x14ac:dyDescent="0.25"/>
    <row r="5546" ht="11.25" hidden="1" customHeight="1" x14ac:dyDescent="0.25"/>
    <row r="5547" ht="11.25" hidden="1" customHeight="1" x14ac:dyDescent="0.25"/>
    <row r="5548" ht="11.25" hidden="1" customHeight="1" x14ac:dyDescent="0.25"/>
    <row r="5549" ht="11.25" hidden="1" customHeight="1" x14ac:dyDescent="0.25"/>
    <row r="5550" ht="11.25" hidden="1" customHeight="1" x14ac:dyDescent="0.25"/>
    <row r="5551" ht="11.25" hidden="1" customHeight="1" x14ac:dyDescent="0.25"/>
    <row r="5552" ht="11.25" hidden="1" customHeight="1" x14ac:dyDescent="0.25"/>
    <row r="5553" ht="11.25" hidden="1" customHeight="1" x14ac:dyDescent="0.25"/>
    <row r="5554" ht="11.25" hidden="1" customHeight="1" x14ac:dyDescent="0.25"/>
    <row r="5555" ht="11.25" hidden="1" customHeight="1" x14ac:dyDescent="0.25"/>
    <row r="5556" ht="11.25" hidden="1" customHeight="1" x14ac:dyDescent="0.25"/>
    <row r="5557" ht="11.25" hidden="1" customHeight="1" x14ac:dyDescent="0.25"/>
    <row r="5558" ht="11.25" hidden="1" customHeight="1" x14ac:dyDescent="0.25"/>
    <row r="5559" ht="11.25" hidden="1" customHeight="1" x14ac:dyDescent="0.25"/>
    <row r="5560" ht="11.25" hidden="1" customHeight="1" x14ac:dyDescent="0.25"/>
    <row r="5561" ht="11.25" hidden="1" customHeight="1" x14ac:dyDescent="0.25"/>
    <row r="5562" ht="11.25" hidden="1" customHeight="1" x14ac:dyDescent="0.25"/>
    <row r="5563" ht="11.25" hidden="1" customHeight="1" x14ac:dyDescent="0.25"/>
    <row r="5564" ht="11.25" hidden="1" customHeight="1" x14ac:dyDescent="0.25"/>
    <row r="5565" ht="11.25" hidden="1" customHeight="1" x14ac:dyDescent="0.25"/>
    <row r="5566" ht="11.25" hidden="1" customHeight="1" x14ac:dyDescent="0.25"/>
    <row r="5567" ht="11.25" hidden="1" customHeight="1" x14ac:dyDescent="0.25"/>
    <row r="5568" ht="11.25" hidden="1" customHeight="1" x14ac:dyDescent="0.25"/>
    <row r="5569" ht="11.25" hidden="1" customHeight="1" x14ac:dyDescent="0.25"/>
    <row r="5570" ht="11.25" hidden="1" customHeight="1" x14ac:dyDescent="0.25"/>
    <row r="5571" ht="11.25" hidden="1" customHeight="1" x14ac:dyDescent="0.25"/>
    <row r="5572" ht="11.25" hidden="1" customHeight="1" x14ac:dyDescent="0.25"/>
    <row r="5573" ht="11.25" hidden="1" customHeight="1" x14ac:dyDescent="0.25"/>
    <row r="5574" ht="11.25" hidden="1" customHeight="1" x14ac:dyDescent="0.25"/>
    <row r="5575" ht="11.25" hidden="1" customHeight="1" x14ac:dyDescent="0.25"/>
    <row r="5576" ht="11.25" hidden="1" customHeight="1" x14ac:dyDescent="0.25"/>
    <row r="5577" ht="11.25" hidden="1" customHeight="1" x14ac:dyDescent="0.25"/>
    <row r="5578" ht="11.25" hidden="1" customHeight="1" x14ac:dyDescent="0.25"/>
    <row r="5579" ht="11.25" hidden="1" customHeight="1" x14ac:dyDescent="0.25"/>
    <row r="5580" ht="11.25" hidden="1" customHeight="1" x14ac:dyDescent="0.25"/>
    <row r="5581" ht="11.25" hidden="1" customHeight="1" x14ac:dyDescent="0.25"/>
    <row r="5582" ht="11.25" hidden="1" customHeight="1" x14ac:dyDescent="0.25"/>
    <row r="5583" ht="11.25" hidden="1" customHeight="1" x14ac:dyDescent="0.25"/>
    <row r="5584" ht="11.25" hidden="1" customHeight="1" x14ac:dyDescent="0.25"/>
    <row r="5585" ht="11.25" hidden="1" customHeight="1" x14ac:dyDescent="0.25"/>
    <row r="5586" ht="11.25" hidden="1" customHeight="1" x14ac:dyDescent="0.25"/>
    <row r="5587" ht="11.25" hidden="1" customHeight="1" x14ac:dyDescent="0.25"/>
    <row r="5588" ht="11.25" hidden="1" customHeight="1" x14ac:dyDescent="0.25"/>
    <row r="5589" ht="11.25" hidden="1" customHeight="1" x14ac:dyDescent="0.25"/>
    <row r="5590" ht="11.25" hidden="1" customHeight="1" x14ac:dyDescent="0.25"/>
    <row r="5591" ht="11.25" hidden="1" customHeight="1" x14ac:dyDescent="0.25"/>
    <row r="5592" ht="11.25" hidden="1" customHeight="1" x14ac:dyDescent="0.25"/>
    <row r="5593" ht="11.25" hidden="1" customHeight="1" x14ac:dyDescent="0.25"/>
    <row r="5594" ht="11.25" hidden="1" customHeight="1" x14ac:dyDescent="0.25"/>
    <row r="5595" ht="11.25" hidden="1" customHeight="1" x14ac:dyDescent="0.25"/>
    <row r="5596" ht="11.25" hidden="1" customHeight="1" x14ac:dyDescent="0.25"/>
    <row r="5597" ht="11.25" hidden="1" customHeight="1" x14ac:dyDescent="0.25"/>
    <row r="5598" ht="11.25" hidden="1" customHeight="1" x14ac:dyDescent="0.25"/>
    <row r="5599" ht="11.25" hidden="1" customHeight="1" x14ac:dyDescent="0.25"/>
    <row r="5600" ht="11.25" hidden="1" customHeight="1" x14ac:dyDescent="0.25"/>
    <row r="5601" ht="11.25" hidden="1" customHeight="1" x14ac:dyDescent="0.25"/>
    <row r="5602" ht="11.25" hidden="1" customHeight="1" x14ac:dyDescent="0.25"/>
    <row r="5603" ht="11.25" hidden="1" customHeight="1" x14ac:dyDescent="0.25"/>
    <row r="5604" ht="11.25" hidden="1" customHeight="1" x14ac:dyDescent="0.25"/>
    <row r="5605" ht="11.25" hidden="1" customHeight="1" x14ac:dyDescent="0.25"/>
    <row r="5606" ht="11.25" hidden="1" customHeight="1" x14ac:dyDescent="0.25"/>
    <row r="5607" ht="11.25" hidden="1" customHeight="1" x14ac:dyDescent="0.25"/>
    <row r="5608" ht="11.25" hidden="1" customHeight="1" x14ac:dyDescent="0.25"/>
    <row r="5609" ht="11.25" hidden="1" customHeight="1" x14ac:dyDescent="0.25"/>
    <row r="5610" ht="11.25" hidden="1" customHeight="1" x14ac:dyDescent="0.25"/>
    <row r="5611" ht="11.25" hidden="1" customHeight="1" x14ac:dyDescent="0.25"/>
    <row r="5612" ht="11.25" hidden="1" customHeight="1" x14ac:dyDescent="0.25"/>
    <row r="5613" ht="11.25" hidden="1" customHeight="1" x14ac:dyDescent="0.25"/>
    <row r="5614" ht="11.25" hidden="1" customHeight="1" x14ac:dyDescent="0.25"/>
    <row r="5615" ht="11.25" hidden="1" customHeight="1" x14ac:dyDescent="0.25"/>
    <row r="5616" ht="11.25" hidden="1" customHeight="1" x14ac:dyDescent="0.25"/>
    <row r="5617" ht="11.25" hidden="1" customHeight="1" x14ac:dyDescent="0.25"/>
    <row r="5618" ht="11.25" hidden="1" customHeight="1" x14ac:dyDescent="0.25"/>
    <row r="5619" ht="11.25" hidden="1" customHeight="1" x14ac:dyDescent="0.25"/>
    <row r="5620" ht="11.25" hidden="1" customHeight="1" x14ac:dyDescent="0.25"/>
    <row r="5621" ht="11.25" hidden="1" customHeight="1" x14ac:dyDescent="0.25"/>
    <row r="5622" ht="11.25" hidden="1" customHeight="1" x14ac:dyDescent="0.25"/>
    <row r="5623" ht="11.25" hidden="1" customHeight="1" x14ac:dyDescent="0.25"/>
    <row r="5624" ht="11.25" hidden="1" customHeight="1" x14ac:dyDescent="0.25"/>
    <row r="5625" ht="11.25" hidden="1" customHeight="1" x14ac:dyDescent="0.25"/>
    <row r="5626" ht="11.25" hidden="1" customHeight="1" x14ac:dyDescent="0.25"/>
    <row r="5627" ht="11.25" hidden="1" customHeight="1" x14ac:dyDescent="0.25"/>
    <row r="5628" ht="11.25" hidden="1" customHeight="1" x14ac:dyDescent="0.25"/>
    <row r="5629" ht="11.25" hidden="1" customHeight="1" x14ac:dyDescent="0.25"/>
    <row r="5630" ht="11.25" hidden="1" customHeight="1" x14ac:dyDescent="0.25"/>
    <row r="5631" ht="11.25" hidden="1" customHeight="1" x14ac:dyDescent="0.25"/>
    <row r="5632" ht="11.25" hidden="1" customHeight="1" x14ac:dyDescent="0.25"/>
    <row r="5633" ht="11.25" hidden="1" customHeight="1" x14ac:dyDescent="0.25"/>
    <row r="5634" ht="11.25" hidden="1" customHeight="1" x14ac:dyDescent="0.25"/>
    <row r="5635" ht="11.25" hidden="1" customHeight="1" x14ac:dyDescent="0.25"/>
    <row r="5636" ht="11.25" hidden="1" customHeight="1" x14ac:dyDescent="0.25"/>
    <row r="5637" ht="11.25" hidden="1" customHeight="1" x14ac:dyDescent="0.25"/>
    <row r="5638" ht="11.25" hidden="1" customHeight="1" x14ac:dyDescent="0.25"/>
    <row r="5639" ht="11.25" hidden="1" customHeight="1" x14ac:dyDescent="0.25"/>
    <row r="5640" ht="11.25" hidden="1" customHeight="1" x14ac:dyDescent="0.25"/>
    <row r="5641" ht="11.25" hidden="1" customHeight="1" x14ac:dyDescent="0.25"/>
    <row r="5642" ht="11.25" hidden="1" customHeight="1" x14ac:dyDescent="0.25"/>
    <row r="5643" ht="11.25" hidden="1" customHeight="1" x14ac:dyDescent="0.25"/>
    <row r="5644" ht="11.25" hidden="1" customHeight="1" x14ac:dyDescent="0.25"/>
    <row r="5645" ht="11.25" hidden="1" customHeight="1" x14ac:dyDescent="0.25"/>
    <row r="5646" ht="11.25" hidden="1" customHeight="1" x14ac:dyDescent="0.25"/>
    <row r="5647" ht="11.25" hidden="1" customHeight="1" x14ac:dyDescent="0.25"/>
    <row r="5648" ht="11.25" hidden="1" customHeight="1" x14ac:dyDescent="0.25"/>
    <row r="5649" ht="11.25" hidden="1" customHeight="1" x14ac:dyDescent="0.25"/>
    <row r="5650" ht="11.25" hidden="1" customHeight="1" x14ac:dyDescent="0.25"/>
    <row r="5651" ht="11.25" hidden="1" customHeight="1" x14ac:dyDescent="0.25"/>
    <row r="5652" ht="11.25" hidden="1" customHeight="1" x14ac:dyDescent="0.25"/>
    <row r="5653" ht="11.25" hidden="1" customHeight="1" x14ac:dyDescent="0.25"/>
    <row r="5654" ht="11.25" hidden="1" customHeight="1" x14ac:dyDescent="0.25"/>
    <row r="5655" ht="11.25" hidden="1" customHeight="1" x14ac:dyDescent="0.25"/>
    <row r="5656" ht="11.25" hidden="1" customHeight="1" x14ac:dyDescent="0.25"/>
    <row r="5657" ht="11.25" hidden="1" customHeight="1" x14ac:dyDescent="0.25"/>
    <row r="5658" ht="11.25" hidden="1" customHeight="1" x14ac:dyDescent="0.25"/>
    <row r="5659" ht="11.25" hidden="1" customHeight="1" x14ac:dyDescent="0.25"/>
    <row r="5660" ht="11.25" hidden="1" customHeight="1" x14ac:dyDescent="0.25"/>
    <row r="5661" ht="11.25" hidden="1" customHeight="1" x14ac:dyDescent="0.25"/>
    <row r="5662" ht="11.25" hidden="1" customHeight="1" x14ac:dyDescent="0.25"/>
    <row r="5663" ht="11.25" hidden="1" customHeight="1" x14ac:dyDescent="0.25"/>
    <row r="5664" ht="11.25" hidden="1" customHeight="1" x14ac:dyDescent="0.25"/>
    <row r="5665" ht="11.25" hidden="1" customHeight="1" x14ac:dyDescent="0.25"/>
    <row r="5666" ht="11.25" hidden="1" customHeight="1" x14ac:dyDescent="0.25"/>
    <row r="5667" ht="11.25" hidden="1" customHeight="1" x14ac:dyDescent="0.25"/>
    <row r="5668" ht="11.25" hidden="1" customHeight="1" x14ac:dyDescent="0.25"/>
    <row r="5669" ht="11.25" hidden="1" customHeight="1" x14ac:dyDescent="0.25"/>
    <row r="5670" ht="11.25" hidden="1" customHeight="1" x14ac:dyDescent="0.25"/>
    <row r="5671" ht="11.25" hidden="1" customHeight="1" x14ac:dyDescent="0.25"/>
    <row r="5672" ht="11.25" hidden="1" customHeight="1" x14ac:dyDescent="0.25"/>
    <row r="5673" ht="11.25" hidden="1" customHeight="1" x14ac:dyDescent="0.25"/>
    <row r="5674" ht="11.25" hidden="1" customHeight="1" x14ac:dyDescent="0.25"/>
    <row r="5675" ht="11.25" hidden="1" customHeight="1" x14ac:dyDescent="0.25"/>
    <row r="5676" ht="11.25" hidden="1" customHeight="1" x14ac:dyDescent="0.25"/>
    <row r="5677" ht="11.25" hidden="1" customHeight="1" x14ac:dyDescent="0.25"/>
    <row r="5678" ht="11.25" hidden="1" customHeight="1" x14ac:dyDescent="0.25"/>
    <row r="5679" ht="11.25" hidden="1" customHeight="1" x14ac:dyDescent="0.25"/>
    <row r="5680" ht="11.25" hidden="1" customHeight="1" x14ac:dyDescent="0.25"/>
    <row r="5681" ht="11.25" hidden="1" customHeight="1" x14ac:dyDescent="0.25"/>
    <row r="5682" ht="11.25" hidden="1" customHeight="1" x14ac:dyDescent="0.25"/>
    <row r="5683" ht="11.25" hidden="1" customHeight="1" x14ac:dyDescent="0.25"/>
    <row r="5684" ht="11.25" hidden="1" customHeight="1" x14ac:dyDescent="0.25"/>
    <row r="5685" ht="11.25" hidden="1" customHeight="1" x14ac:dyDescent="0.25"/>
    <row r="5686" ht="11.25" hidden="1" customHeight="1" x14ac:dyDescent="0.25"/>
    <row r="5687" ht="11.25" hidden="1" customHeight="1" x14ac:dyDescent="0.25"/>
    <row r="5688" ht="11.25" hidden="1" customHeight="1" x14ac:dyDescent="0.25"/>
    <row r="5689" ht="11.25" hidden="1" customHeight="1" x14ac:dyDescent="0.25"/>
    <row r="5690" ht="11.25" hidden="1" customHeight="1" x14ac:dyDescent="0.25"/>
    <row r="5691" ht="11.25" hidden="1" customHeight="1" x14ac:dyDescent="0.25"/>
    <row r="5692" ht="11.25" hidden="1" customHeight="1" x14ac:dyDescent="0.25"/>
    <row r="5693" ht="11.25" hidden="1" customHeight="1" x14ac:dyDescent="0.25"/>
    <row r="5694" ht="11.25" hidden="1" customHeight="1" x14ac:dyDescent="0.25"/>
    <row r="5695" ht="11.25" hidden="1" customHeight="1" x14ac:dyDescent="0.25"/>
    <row r="5696" ht="11.25" hidden="1" customHeight="1" x14ac:dyDescent="0.25"/>
    <row r="5697" ht="11.25" hidden="1" customHeight="1" x14ac:dyDescent="0.25"/>
    <row r="5698" ht="11.25" hidden="1" customHeight="1" x14ac:dyDescent="0.25"/>
    <row r="5699" ht="11.25" hidden="1" customHeight="1" x14ac:dyDescent="0.25"/>
    <row r="5700" ht="11.25" hidden="1" customHeight="1" x14ac:dyDescent="0.25"/>
    <row r="5701" ht="11.25" hidden="1" customHeight="1" x14ac:dyDescent="0.25"/>
    <row r="5702" ht="11.25" hidden="1" customHeight="1" x14ac:dyDescent="0.25"/>
    <row r="5703" ht="11.25" hidden="1" customHeight="1" x14ac:dyDescent="0.25"/>
    <row r="5704" ht="11.25" hidden="1" customHeight="1" x14ac:dyDescent="0.25"/>
    <row r="5705" ht="11.25" hidden="1" customHeight="1" x14ac:dyDescent="0.25"/>
    <row r="5706" ht="11.25" hidden="1" customHeight="1" x14ac:dyDescent="0.25"/>
    <row r="5707" ht="11.25" hidden="1" customHeight="1" x14ac:dyDescent="0.25"/>
    <row r="5708" ht="11.25" hidden="1" customHeight="1" x14ac:dyDescent="0.25"/>
    <row r="5709" ht="11.25" hidden="1" customHeight="1" x14ac:dyDescent="0.25"/>
    <row r="5710" ht="11.25" hidden="1" customHeight="1" x14ac:dyDescent="0.25"/>
    <row r="5711" ht="11.25" hidden="1" customHeight="1" x14ac:dyDescent="0.25"/>
    <row r="5712" ht="11.25" hidden="1" customHeight="1" x14ac:dyDescent="0.25"/>
    <row r="5713" ht="11.25" hidden="1" customHeight="1" x14ac:dyDescent="0.25"/>
    <row r="5714" ht="11.25" hidden="1" customHeight="1" x14ac:dyDescent="0.25"/>
    <row r="5715" ht="11.25" hidden="1" customHeight="1" x14ac:dyDescent="0.25"/>
    <row r="5716" ht="11.25" hidden="1" customHeight="1" x14ac:dyDescent="0.25"/>
    <row r="5717" ht="11.25" hidden="1" customHeight="1" x14ac:dyDescent="0.25"/>
    <row r="5718" ht="11.25" hidden="1" customHeight="1" x14ac:dyDescent="0.25"/>
    <row r="5719" ht="11.25" hidden="1" customHeight="1" x14ac:dyDescent="0.25"/>
    <row r="5720" ht="11.25" hidden="1" customHeight="1" x14ac:dyDescent="0.25"/>
    <row r="5721" ht="11.25" hidden="1" customHeight="1" x14ac:dyDescent="0.25"/>
    <row r="5722" ht="11.25" hidden="1" customHeight="1" x14ac:dyDescent="0.25"/>
    <row r="5723" ht="11.25" hidden="1" customHeight="1" x14ac:dyDescent="0.25"/>
    <row r="5724" ht="11.25" hidden="1" customHeight="1" x14ac:dyDescent="0.25"/>
    <row r="5725" ht="11.25" hidden="1" customHeight="1" x14ac:dyDescent="0.25"/>
    <row r="5726" ht="11.25" hidden="1" customHeight="1" x14ac:dyDescent="0.25"/>
    <row r="5727" ht="11.25" hidden="1" customHeight="1" x14ac:dyDescent="0.25"/>
    <row r="5728" ht="11.25" hidden="1" customHeight="1" x14ac:dyDescent="0.25"/>
    <row r="5729" ht="11.25" hidden="1" customHeight="1" x14ac:dyDescent="0.25"/>
    <row r="5730" ht="11.25" hidden="1" customHeight="1" x14ac:dyDescent="0.25"/>
    <row r="5731" ht="11.25" hidden="1" customHeight="1" x14ac:dyDescent="0.25"/>
    <row r="5732" ht="11.25" hidden="1" customHeight="1" x14ac:dyDescent="0.25"/>
    <row r="5733" ht="11.25" hidden="1" customHeight="1" x14ac:dyDescent="0.25"/>
    <row r="5734" ht="11.25" hidden="1" customHeight="1" x14ac:dyDescent="0.25"/>
    <row r="5735" ht="11.25" hidden="1" customHeight="1" x14ac:dyDescent="0.25"/>
    <row r="5736" ht="11.25" hidden="1" customHeight="1" x14ac:dyDescent="0.25"/>
    <row r="5737" ht="11.25" hidden="1" customHeight="1" x14ac:dyDescent="0.25"/>
    <row r="5738" ht="11.25" hidden="1" customHeight="1" x14ac:dyDescent="0.25"/>
    <row r="5739" ht="11.25" hidden="1" customHeight="1" x14ac:dyDescent="0.25"/>
    <row r="5740" ht="11.25" hidden="1" customHeight="1" x14ac:dyDescent="0.25"/>
    <row r="5741" ht="11.25" hidden="1" customHeight="1" x14ac:dyDescent="0.25"/>
    <row r="5742" ht="11.25" hidden="1" customHeight="1" x14ac:dyDescent="0.25"/>
    <row r="5743" ht="11.25" hidden="1" customHeight="1" x14ac:dyDescent="0.25"/>
    <row r="5744" ht="11.25" hidden="1" customHeight="1" x14ac:dyDescent="0.25"/>
    <row r="5745" ht="11.25" hidden="1" customHeight="1" x14ac:dyDescent="0.25"/>
    <row r="5746" ht="11.25" hidden="1" customHeight="1" x14ac:dyDescent="0.25"/>
    <row r="5747" ht="11.25" hidden="1" customHeight="1" x14ac:dyDescent="0.25"/>
    <row r="5748" ht="11.25" hidden="1" customHeight="1" x14ac:dyDescent="0.25"/>
    <row r="5749" ht="11.25" hidden="1" customHeight="1" x14ac:dyDescent="0.25"/>
    <row r="5750" ht="11.25" hidden="1" customHeight="1" x14ac:dyDescent="0.25"/>
    <row r="5751" ht="11.25" hidden="1" customHeight="1" x14ac:dyDescent="0.25"/>
    <row r="5752" ht="11.25" hidden="1" customHeight="1" x14ac:dyDescent="0.25"/>
    <row r="5753" ht="11.25" hidden="1" customHeight="1" x14ac:dyDescent="0.25"/>
    <row r="5754" ht="11.25" hidden="1" customHeight="1" x14ac:dyDescent="0.25"/>
    <row r="5755" ht="11.25" hidden="1" customHeight="1" x14ac:dyDescent="0.25"/>
    <row r="5756" ht="11.25" hidden="1" customHeight="1" x14ac:dyDescent="0.25"/>
    <row r="5757" ht="11.25" hidden="1" customHeight="1" x14ac:dyDescent="0.25"/>
    <row r="5758" ht="11.25" hidden="1" customHeight="1" x14ac:dyDescent="0.25"/>
    <row r="5759" ht="11.25" hidden="1" customHeight="1" x14ac:dyDescent="0.25"/>
    <row r="5760" ht="11.25" hidden="1" customHeight="1" x14ac:dyDescent="0.25"/>
    <row r="5761" ht="11.25" hidden="1" customHeight="1" x14ac:dyDescent="0.25"/>
    <row r="5762" ht="11.25" hidden="1" customHeight="1" x14ac:dyDescent="0.25"/>
    <row r="5763" ht="11.25" hidden="1" customHeight="1" x14ac:dyDescent="0.25"/>
    <row r="5764" ht="11.25" hidden="1" customHeight="1" x14ac:dyDescent="0.25"/>
    <row r="5765" ht="11.25" hidden="1" customHeight="1" x14ac:dyDescent="0.25"/>
    <row r="5766" ht="11.25" hidden="1" customHeight="1" x14ac:dyDescent="0.25"/>
    <row r="5767" ht="11.25" hidden="1" customHeight="1" x14ac:dyDescent="0.25"/>
    <row r="5768" ht="11.25" hidden="1" customHeight="1" x14ac:dyDescent="0.25"/>
    <row r="5769" ht="11.25" hidden="1" customHeight="1" x14ac:dyDescent="0.25"/>
    <row r="5770" ht="11.25" hidden="1" customHeight="1" x14ac:dyDescent="0.25"/>
    <row r="5771" ht="11.25" hidden="1" customHeight="1" x14ac:dyDescent="0.25"/>
    <row r="5772" ht="11.25" hidden="1" customHeight="1" x14ac:dyDescent="0.25"/>
    <row r="5773" ht="11.25" hidden="1" customHeight="1" x14ac:dyDescent="0.25"/>
    <row r="5774" ht="11.25" hidden="1" customHeight="1" x14ac:dyDescent="0.25"/>
    <row r="5775" ht="11.25" hidden="1" customHeight="1" x14ac:dyDescent="0.25"/>
    <row r="5776" ht="11.25" hidden="1" customHeight="1" x14ac:dyDescent="0.25"/>
    <row r="5777" ht="11.25" hidden="1" customHeight="1" x14ac:dyDescent="0.25"/>
    <row r="5778" ht="11.25" hidden="1" customHeight="1" x14ac:dyDescent="0.25"/>
    <row r="5779" ht="11.25" hidden="1" customHeight="1" x14ac:dyDescent="0.25"/>
    <row r="5780" ht="11.25" hidden="1" customHeight="1" x14ac:dyDescent="0.25"/>
    <row r="5781" ht="11.25" hidden="1" customHeight="1" x14ac:dyDescent="0.25"/>
    <row r="5782" ht="11.25" hidden="1" customHeight="1" x14ac:dyDescent="0.25"/>
    <row r="5783" ht="11.25" hidden="1" customHeight="1" x14ac:dyDescent="0.25"/>
    <row r="5784" ht="11.25" hidden="1" customHeight="1" x14ac:dyDescent="0.25"/>
    <row r="5785" ht="11.25" hidden="1" customHeight="1" x14ac:dyDescent="0.25"/>
    <row r="5786" ht="11.25" hidden="1" customHeight="1" x14ac:dyDescent="0.25"/>
    <row r="5787" ht="11.25" hidden="1" customHeight="1" x14ac:dyDescent="0.25"/>
    <row r="5788" ht="11.25" hidden="1" customHeight="1" x14ac:dyDescent="0.25"/>
    <row r="5789" ht="11.25" hidden="1" customHeight="1" x14ac:dyDescent="0.25"/>
    <row r="5790" ht="11.25" hidden="1" customHeight="1" x14ac:dyDescent="0.25"/>
    <row r="5791" ht="11.25" hidden="1" customHeight="1" x14ac:dyDescent="0.25"/>
    <row r="5792" ht="11.25" hidden="1" customHeight="1" x14ac:dyDescent="0.25"/>
    <row r="5793" ht="11.25" hidden="1" customHeight="1" x14ac:dyDescent="0.25"/>
    <row r="5794" ht="11.25" hidden="1" customHeight="1" x14ac:dyDescent="0.25"/>
    <row r="5795" ht="11.25" hidden="1" customHeight="1" x14ac:dyDescent="0.25"/>
    <row r="5796" ht="11.25" hidden="1" customHeight="1" x14ac:dyDescent="0.25"/>
    <row r="5797" ht="11.25" hidden="1" customHeight="1" x14ac:dyDescent="0.25"/>
    <row r="5798" ht="11.25" hidden="1" customHeight="1" x14ac:dyDescent="0.25"/>
    <row r="5799" ht="11.25" hidden="1" customHeight="1" x14ac:dyDescent="0.25"/>
    <row r="5800" ht="11.25" hidden="1" customHeight="1" x14ac:dyDescent="0.25"/>
    <row r="5801" ht="11.25" hidden="1" customHeight="1" x14ac:dyDescent="0.25"/>
    <row r="5802" ht="11.25" hidden="1" customHeight="1" x14ac:dyDescent="0.25"/>
    <row r="5803" ht="11.25" hidden="1" customHeight="1" x14ac:dyDescent="0.25"/>
    <row r="5804" ht="11.25" hidden="1" customHeight="1" x14ac:dyDescent="0.25"/>
    <row r="5805" ht="11.25" hidden="1" customHeight="1" x14ac:dyDescent="0.25"/>
    <row r="5806" ht="11.25" hidden="1" customHeight="1" x14ac:dyDescent="0.25"/>
    <row r="5807" ht="11.25" hidden="1" customHeight="1" x14ac:dyDescent="0.25"/>
    <row r="5808" ht="11.25" hidden="1" customHeight="1" x14ac:dyDescent="0.25"/>
    <row r="5809" ht="11.25" hidden="1" customHeight="1" x14ac:dyDescent="0.25"/>
    <row r="5810" ht="11.25" hidden="1" customHeight="1" x14ac:dyDescent="0.25"/>
    <row r="5811" ht="11.25" hidden="1" customHeight="1" x14ac:dyDescent="0.25"/>
    <row r="5812" ht="11.25" hidden="1" customHeight="1" x14ac:dyDescent="0.25"/>
    <row r="5813" ht="11.25" hidden="1" customHeight="1" x14ac:dyDescent="0.25"/>
    <row r="5814" ht="11.25" hidden="1" customHeight="1" x14ac:dyDescent="0.25"/>
    <row r="5815" ht="11.25" hidden="1" customHeight="1" x14ac:dyDescent="0.25"/>
    <row r="5816" ht="11.25" hidden="1" customHeight="1" x14ac:dyDescent="0.25"/>
    <row r="5817" ht="11.25" hidden="1" customHeight="1" x14ac:dyDescent="0.25"/>
    <row r="5818" ht="11.25" hidden="1" customHeight="1" x14ac:dyDescent="0.25"/>
    <row r="5819" ht="11.25" hidden="1" customHeight="1" x14ac:dyDescent="0.25"/>
    <row r="5820" ht="11.25" hidden="1" customHeight="1" x14ac:dyDescent="0.25"/>
    <row r="5821" ht="11.25" hidden="1" customHeight="1" x14ac:dyDescent="0.25"/>
    <row r="5822" ht="11.25" hidden="1" customHeight="1" x14ac:dyDescent="0.25"/>
    <row r="5823" ht="11.25" hidden="1" customHeight="1" x14ac:dyDescent="0.25"/>
    <row r="5824" ht="11.25" hidden="1" customHeight="1" x14ac:dyDescent="0.25"/>
    <row r="5825" ht="11.25" hidden="1" customHeight="1" x14ac:dyDescent="0.25"/>
    <row r="5826" ht="11.25" hidden="1" customHeight="1" x14ac:dyDescent="0.25"/>
    <row r="5827" ht="11.25" hidden="1" customHeight="1" x14ac:dyDescent="0.25"/>
    <row r="5828" ht="11.25" hidden="1" customHeight="1" x14ac:dyDescent="0.25"/>
    <row r="5829" ht="11.25" hidden="1" customHeight="1" x14ac:dyDescent="0.25"/>
    <row r="5830" ht="11.25" hidden="1" customHeight="1" x14ac:dyDescent="0.25"/>
    <row r="5831" ht="11.25" hidden="1" customHeight="1" x14ac:dyDescent="0.25"/>
    <row r="5832" ht="11.25" hidden="1" customHeight="1" x14ac:dyDescent="0.25"/>
    <row r="5833" ht="11.25" hidden="1" customHeight="1" x14ac:dyDescent="0.25"/>
    <row r="5834" ht="11.25" hidden="1" customHeight="1" x14ac:dyDescent="0.25"/>
    <row r="5835" ht="11.25" hidden="1" customHeight="1" x14ac:dyDescent="0.25"/>
    <row r="5836" ht="11.25" hidden="1" customHeight="1" x14ac:dyDescent="0.25"/>
    <row r="5837" ht="11.25" hidden="1" customHeight="1" x14ac:dyDescent="0.25"/>
    <row r="5838" ht="11.25" hidden="1" customHeight="1" x14ac:dyDescent="0.25"/>
    <row r="5839" ht="11.25" hidden="1" customHeight="1" x14ac:dyDescent="0.25"/>
    <row r="5840" ht="11.25" hidden="1" customHeight="1" x14ac:dyDescent="0.25"/>
    <row r="5841" ht="11.25" hidden="1" customHeight="1" x14ac:dyDescent="0.25"/>
    <row r="5842" ht="11.25" hidden="1" customHeight="1" x14ac:dyDescent="0.25"/>
    <row r="5843" ht="11.25" hidden="1" customHeight="1" x14ac:dyDescent="0.25"/>
    <row r="5844" ht="11.25" hidden="1" customHeight="1" x14ac:dyDescent="0.25"/>
    <row r="5845" ht="11.25" hidden="1" customHeight="1" x14ac:dyDescent="0.25"/>
    <row r="5846" ht="11.25" hidden="1" customHeight="1" x14ac:dyDescent="0.25"/>
    <row r="5847" ht="11.25" hidden="1" customHeight="1" x14ac:dyDescent="0.25"/>
    <row r="5848" ht="11.25" hidden="1" customHeight="1" x14ac:dyDescent="0.25"/>
    <row r="5849" ht="11.25" hidden="1" customHeight="1" x14ac:dyDescent="0.25"/>
    <row r="5850" ht="11.25" hidden="1" customHeight="1" x14ac:dyDescent="0.25"/>
    <row r="5851" ht="11.25" hidden="1" customHeight="1" x14ac:dyDescent="0.25"/>
    <row r="5852" ht="11.25" hidden="1" customHeight="1" x14ac:dyDescent="0.25"/>
    <row r="5853" ht="11.25" hidden="1" customHeight="1" x14ac:dyDescent="0.25"/>
    <row r="5854" ht="11.25" hidden="1" customHeight="1" x14ac:dyDescent="0.25"/>
    <row r="5855" ht="11.25" hidden="1" customHeight="1" x14ac:dyDescent="0.25"/>
    <row r="5856" ht="11.25" hidden="1" customHeight="1" x14ac:dyDescent="0.25"/>
    <row r="5857" ht="11.25" hidden="1" customHeight="1" x14ac:dyDescent="0.25"/>
    <row r="5858" ht="11.25" hidden="1" customHeight="1" x14ac:dyDescent="0.25"/>
    <row r="5859" ht="11.25" hidden="1" customHeight="1" x14ac:dyDescent="0.25"/>
    <row r="5860" ht="11.25" hidden="1" customHeight="1" x14ac:dyDescent="0.25"/>
    <row r="5861" ht="11.25" hidden="1" customHeight="1" x14ac:dyDescent="0.25"/>
    <row r="5862" ht="11.25" hidden="1" customHeight="1" x14ac:dyDescent="0.25"/>
    <row r="5863" ht="11.25" hidden="1" customHeight="1" x14ac:dyDescent="0.25"/>
    <row r="5864" ht="11.25" hidden="1" customHeight="1" x14ac:dyDescent="0.25"/>
    <row r="5865" ht="11.25" hidden="1" customHeight="1" x14ac:dyDescent="0.25"/>
    <row r="5866" ht="11.25" hidden="1" customHeight="1" x14ac:dyDescent="0.25"/>
    <row r="5867" ht="11.25" hidden="1" customHeight="1" x14ac:dyDescent="0.25"/>
    <row r="5868" ht="11.25" hidden="1" customHeight="1" x14ac:dyDescent="0.25"/>
    <row r="5869" ht="11.25" hidden="1" customHeight="1" x14ac:dyDescent="0.25"/>
    <row r="5870" ht="11.25" hidden="1" customHeight="1" x14ac:dyDescent="0.25"/>
    <row r="5871" ht="11.25" hidden="1" customHeight="1" x14ac:dyDescent="0.25"/>
    <row r="5872" ht="11.25" hidden="1" customHeight="1" x14ac:dyDescent="0.25"/>
    <row r="5873" ht="11.25" hidden="1" customHeight="1" x14ac:dyDescent="0.25"/>
    <row r="5874" ht="11.25" hidden="1" customHeight="1" x14ac:dyDescent="0.25"/>
    <row r="5875" ht="11.25" hidden="1" customHeight="1" x14ac:dyDescent="0.25"/>
    <row r="5876" ht="11.25" hidden="1" customHeight="1" x14ac:dyDescent="0.25"/>
    <row r="5877" ht="11.25" hidden="1" customHeight="1" x14ac:dyDescent="0.25"/>
    <row r="5878" ht="11.25" hidden="1" customHeight="1" x14ac:dyDescent="0.25"/>
    <row r="5879" ht="11.25" hidden="1" customHeight="1" x14ac:dyDescent="0.25"/>
    <row r="5880" ht="11.25" hidden="1" customHeight="1" x14ac:dyDescent="0.25"/>
    <row r="5881" ht="11.25" hidden="1" customHeight="1" x14ac:dyDescent="0.25"/>
    <row r="5882" ht="11.25" hidden="1" customHeight="1" x14ac:dyDescent="0.25"/>
    <row r="5883" ht="11.25" hidden="1" customHeight="1" x14ac:dyDescent="0.25"/>
    <row r="5884" ht="11.25" hidden="1" customHeight="1" x14ac:dyDescent="0.25"/>
    <row r="5885" ht="11.25" hidden="1" customHeight="1" x14ac:dyDescent="0.25"/>
    <row r="5886" ht="11.25" hidden="1" customHeight="1" x14ac:dyDescent="0.25"/>
    <row r="5887" ht="11.25" hidden="1" customHeight="1" x14ac:dyDescent="0.25"/>
    <row r="5888" ht="11.25" hidden="1" customHeight="1" x14ac:dyDescent="0.25"/>
    <row r="5889" ht="11.25" hidden="1" customHeight="1" x14ac:dyDescent="0.25"/>
    <row r="5890" ht="11.25" hidden="1" customHeight="1" x14ac:dyDescent="0.25"/>
    <row r="5891" ht="11.25" hidden="1" customHeight="1" x14ac:dyDescent="0.25"/>
    <row r="5892" ht="11.25" hidden="1" customHeight="1" x14ac:dyDescent="0.25"/>
    <row r="5893" ht="11.25" hidden="1" customHeight="1" x14ac:dyDescent="0.25"/>
    <row r="5894" ht="11.25" hidden="1" customHeight="1" x14ac:dyDescent="0.25"/>
    <row r="5895" ht="11.25" hidden="1" customHeight="1" x14ac:dyDescent="0.25"/>
    <row r="5896" ht="11.25" hidden="1" customHeight="1" x14ac:dyDescent="0.25"/>
    <row r="5897" ht="11.25" hidden="1" customHeight="1" x14ac:dyDescent="0.25"/>
    <row r="5898" ht="11.25" hidden="1" customHeight="1" x14ac:dyDescent="0.25"/>
    <row r="5899" ht="11.25" hidden="1" customHeight="1" x14ac:dyDescent="0.25"/>
    <row r="5900" ht="11.25" hidden="1" customHeight="1" x14ac:dyDescent="0.25"/>
    <row r="5901" ht="11.25" hidden="1" customHeight="1" x14ac:dyDescent="0.25"/>
    <row r="5902" ht="11.25" hidden="1" customHeight="1" x14ac:dyDescent="0.25"/>
    <row r="5903" ht="11.25" hidden="1" customHeight="1" x14ac:dyDescent="0.25"/>
    <row r="5904" ht="11.25" hidden="1" customHeight="1" x14ac:dyDescent="0.25"/>
    <row r="5905" ht="11.25" hidden="1" customHeight="1" x14ac:dyDescent="0.25"/>
    <row r="5906" ht="11.25" hidden="1" customHeight="1" x14ac:dyDescent="0.25"/>
    <row r="5907" ht="11.25" hidden="1" customHeight="1" x14ac:dyDescent="0.25"/>
    <row r="5908" ht="11.25" hidden="1" customHeight="1" x14ac:dyDescent="0.25"/>
    <row r="5909" ht="11.25" hidden="1" customHeight="1" x14ac:dyDescent="0.25"/>
    <row r="5910" ht="11.25" hidden="1" customHeight="1" x14ac:dyDescent="0.25"/>
    <row r="5911" ht="11.25" hidden="1" customHeight="1" x14ac:dyDescent="0.25"/>
    <row r="5912" ht="11.25" hidden="1" customHeight="1" x14ac:dyDescent="0.25"/>
    <row r="5913" ht="11.25" hidden="1" customHeight="1" x14ac:dyDescent="0.25"/>
    <row r="5914" ht="11.25" hidden="1" customHeight="1" x14ac:dyDescent="0.25"/>
    <row r="5915" ht="11.25" hidden="1" customHeight="1" x14ac:dyDescent="0.25"/>
    <row r="5916" ht="11.25" hidden="1" customHeight="1" x14ac:dyDescent="0.25"/>
    <row r="5917" ht="11.25" hidden="1" customHeight="1" x14ac:dyDescent="0.25"/>
    <row r="5918" ht="11.25" hidden="1" customHeight="1" x14ac:dyDescent="0.25"/>
    <row r="5919" ht="11.25" hidden="1" customHeight="1" x14ac:dyDescent="0.25"/>
    <row r="5920" ht="11.25" hidden="1" customHeight="1" x14ac:dyDescent="0.25"/>
    <row r="5921" ht="11.25" hidden="1" customHeight="1" x14ac:dyDescent="0.25"/>
    <row r="5922" ht="11.25" hidden="1" customHeight="1" x14ac:dyDescent="0.25"/>
    <row r="5923" ht="11.25" hidden="1" customHeight="1" x14ac:dyDescent="0.25"/>
    <row r="5924" ht="11.25" hidden="1" customHeight="1" x14ac:dyDescent="0.25"/>
    <row r="5925" ht="11.25" hidden="1" customHeight="1" x14ac:dyDescent="0.25"/>
    <row r="5926" ht="11.25" hidden="1" customHeight="1" x14ac:dyDescent="0.25"/>
    <row r="5927" ht="11.25" hidden="1" customHeight="1" x14ac:dyDescent="0.25"/>
    <row r="5928" ht="11.25" hidden="1" customHeight="1" x14ac:dyDescent="0.25"/>
    <row r="5929" ht="11.25" hidden="1" customHeight="1" x14ac:dyDescent="0.25"/>
    <row r="5930" ht="11.25" hidden="1" customHeight="1" x14ac:dyDescent="0.25"/>
    <row r="5931" ht="11.25" hidden="1" customHeight="1" x14ac:dyDescent="0.25"/>
    <row r="5932" ht="11.25" hidden="1" customHeight="1" x14ac:dyDescent="0.25"/>
    <row r="5933" ht="11.25" hidden="1" customHeight="1" x14ac:dyDescent="0.25"/>
    <row r="5934" ht="11.25" hidden="1" customHeight="1" x14ac:dyDescent="0.25"/>
    <row r="5935" ht="11.25" hidden="1" customHeight="1" x14ac:dyDescent="0.25"/>
    <row r="5936" ht="11.25" hidden="1" customHeight="1" x14ac:dyDescent="0.25"/>
    <row r="5937" ht="11.25" hidden="1" customHeight="1" x14ac:dyDescent="0.25"/>
    <row r="5938" ht="11.25" hidden="1" customHeight="1" x14ac:dyDescent="0.25"/>
    <row r="5939" ht="11.25" hidden="1" customHeight="1" x14ac:dyDescent="0.25"/>
    <row r="5940" ht="11.25" hidden="1" customHeight="1" x14ac:dyDescent="0.25"/>
    <row r="5941" ht="11.25" hidden="1" customHeight="1" x14ac:dyDescent="0.25"/>
    <row r="5942" ht="11.25" hidden="1" customHeight="1" x14ac:dyDescent="0.25"/>
    <row r="5943" ht="11.25" hidden="1" customHeight="1" x14ac:dyDescent="0.25"/>
    <row r="5944" ht="11.25" hidden="1" customHeight="1" x14ac:dyDescent="0.25"/>
    <row r="5945" ht="11.25" hidden="1" customHeight="1" x14ac:dyDescent="0.25"/>
    <row r="5946" ht="11.25" hidden="1" customHeight="1" x14ac:dyDescent="0.25"/>
    <row r="5947" ht="11.25" hidden="1" customHeight="1" x14ac:dyDescent="0.25"/>
    <row r="5948" ht="11.25" hidden="1" customHeight="1" x14ac:dyDescent="0.25"/>
    <row r="5949" ht="11.25" hidden="1" customHeight="1" x14ac:dyDescent="0.25"/>
    <row r="5950" ht="11.25" hidden="1" customHeight="1" x14ac:dyDescent="0.25"/>
    <row r="5951" ht="11.25" hidden="1" customHeight="1" x14ac:dyDescent="0.25"/>
    <row r="5952" ht="11.25" hidden="1" customHeight="1" x14ac:dyDescent="0.25"/>
    <row r="5953" ht="11.25" hidden="1" customHeight="1" x14ac:dyDescent="0.25"/>
    <row r="5954" ht="11.25" hidden="1" customHeight="1" x14ac:dyDescent="0.25"/>
    <row r="5955" ht="11.25" hidden="1" customHeight="1" x14ac:dyDescent="0.25"/>
    <row r="5956" ht="11.25" hidden="1" customHeight="1" x14ac:dyDescent="0.25"/>
    <row r="5957" ht="11.25" hidden="1" customHeight="1" x14ac:dyDescent="0.25"/>
    <row r="5958" ht="11.25" hidden="1" customHeight="1" x14ac:dyDescent="0.25"/>
    <row r="5959" ht="11.25" hidden="1" customHeight="1" x14ac:dyDescent="0.25"/>
    <row r="5960" ht="11.25" hidden="1" customHeight="1" x14ac:dyDescent="0.25"/>
    <row r="5961" ht="11.25" hidden="1" customHeight="1" x14ac:dyDescent="0.25"/>
    <row r="5962" ht="11.25" hidden="1" customHeight="1" x14ac:dyDescent="0.25"/>
    <row r="5963" ht="11.25" hidden="1" customHeight="1" x14ac:dyDescent="0.25"/>
    <row r="5964" ht="11.25" hidden="1" customHeight="1" x14ac:dyDescent="0.25"/>
    <row r="5965" ht="11.25" hidden="1" customHeight="1" x14ac:dyDescent="0.25"/>
    <row r="5966" ht="11.25" hidden="1" customHeight="1" x14ac:dyDescent="0.25"/>
    <row r="5967" ht="11.25" hidden="1" customHeight="1" x14ac:dyDescent="0.25"/>
    <row r="5968" ht="11.25" hidden="1" customHeight="1" x14ac:dyDescent="0.25"/>
    <row r="5969" ht="11.25" hidden="1" customHeight="1" x14ac:dyDescent="0.25"/>
    <row r="5970" ht="11.25" hidden="1" customHeight="1" x14ac:dyDescent="0.25"/>
    <row r="5971" ht="11.25" hidden="1" customHeight="1" x14ac:dyDescent="0.25"/>
    <row r="5972" ht="11.25" hidden="1" customHeight="1" x14ac:dyDescent="0.25"/>
    <row r="5973" ht="11.25" hidden="1" customHeight="1" x14ac:dyDescent="0.25"/>
    <row r="5974" ht="11.25" hidden="1" customHeight="1" x14ac:dyDescent="0.25"/>
    <row r="5975" ht="11.25" hidden="1" customHeight="1" x14ac:dyDescent="0.25"/>
    <row r="5976" ht="11.25" hidden="1" customHeight="1" x14ac:dyDescent="0.25"/>
    <row r="5977" ht="11.25" hidden="1" customHeight="1" x14ac:dyDescent="0.25"/>
    <row r="5978" ht="11.25" hidden="1" customHeight="1" x14ac:dyDescent="0.25"/>
    <row r="5979" ht="11.25" hidden="1" customHeight="1" x14ac:dyDescent="0.25"/>
    <row r="5980" ht="11.25" hidden="1" customHeight="1" x14ac:dyDescent="0.25"/>
    <row r="5981" ht="11.25" hidden="1" customHeight="1" x14ac:dyDescent="0.25"/>
    <row r="5982" ht="11.25" hidden="1" customHeight="1" x14ac:dyDescent="0.25"/>
    <row r="5983" ht="11.25" hidden="1" customHeight="1" x14ac:dyDescent="0.25"/>
    <row r="5984" ht="11.25" hidden="1" customHeight="1" x14ac:dyDescent="0.25"/>
    <row r="5985" ht="11.25" hidden="1" customHeight="1" x14ac:dyDescent="0.25"/>
    <row r="5986" ht="11.25" hidden="1" customHeight="1" x14ac:dyDescent="0.25"/>
    <row r="5987" ht="11.25" hidden="1" customHeight="1" x14ac:dyDescent="0.25"/>
    <row r="5988" ht="11.25" hidden="1" customHeight="1" x14ac:dyDescent="0.25"/>
    <row r="5989" ht="11.25" hidden="1" customHeight="1" x14ac:dyDescent="0.25"/>
    <row r="5990" ht="11.25" hidden="1" customHeight="1" x14ac:dyDescent="0.25"/>
    <row r="5991" ht="11.25" hidden="1" customHeight="1" x14ac:dyDescent="0.25"/>
    <row r="5992" ht="11.25" hidden="1" customHeight="1" x14ac:dyDescent="0.25"/>
    <row r="5993" ht="11.25" hidden="1" customHeight="1" x14ac:dyDescent="0.25"/>
    <row r="5994" ht="11.25" hidden="1" customHeight="1" x14ac:dyDescent="0.25"/>
    <row r="5995" ht="11.25" hidden="1" customHeight="1" x14ac:dyDescent="0.25"/>
    <row r="5996" ht="11.25" hidden="1" customHeight="1" x14ac:dyDescent="0.25"/>
    <row r="5997" ht="11.25" hidden="1" customHeight="1" x14ac:dyDescent="0.25"/>
    <row r="5998" ht="11.25" hidden="1" customHeight="1" x14ac:dyDescent="0.25"/>
    <row r="5999" ht="11.25" hidden="1" customHeight="1" x14ac:dyDescent="0.25"/>
    <row r="6000" ht="11.25" hidden="1" customHeight="1" x14ac:dyDescent="0.25"/>
    <row r="6001" ht="11.25" hidden="1" customHeight="1" x14ac:dyDescent="0.25"/>
    <row r="6002" ht="11.25" hidden="1" customHeight="1" x14ac:dyDescent="0.25"/>
    <row r="6003" ht="11.25" hidden="1" customHeight="1" x14ac:dyDescent="0.25"/>
    <row r="6004" ht="11.25" hidden="1" customHeight="1" x14ac:dyDescent="0.25"/>
    <row r="6005" ht="11.25" hidden="1" customHeight="1" x14ac:dyDescent="0.25"/>
    <row r="6006" ht="11.25" hidden="1" customHeight="1" x14ac:dyDescent="0.25"/>
    <row r="6007" ht="11.25" hidden="1" customHeight="1" x14ac:dyDescent="0.25"/>
    <row r="6008" ht="11.25" hidden="1" customHeight="1" x14ac:dyDescent="0.25"/>
    <row r="6009" ht="11.25" hidden="1" customHeight="1" x14ac:dyDescent="0.25"/>
    <row r="6010" ht="11.25" hidden="1" customHeight="1" x14ac:dyDescent="0.25"/>
    <row r="6011" ht="11.25" hidden="1" customHeight="1" x14ac:dyDescent="0.25"/>
    <row r="6012" ht="11.25" hidden="1" customHeight="1" x14ac:dyDescent="0.25"/>
    <row r="6013" ht="11.25" hidden="1" customHeight="1" x14ac:dyDescent="0.25"/>
    <row r="6014" ht="11.25" hidden="1" customHeight="1" x14ac:dyDescent="0.25"/>
    <row r="6015" ht="11.25" hidden="1" customHeight="1" x14ac:dyDescent="0.25"/>
    <row r="6016" ht="11.25" hidden="1" customHeight="1" x14ac:dyDescent="0.25"/>
    <row r="6017" ht="11.25" hidden="1" customHeight="1" x14ac:dyDescent="0.25"/>
    <row r="6018" ht="11.25" hidden="1" customHeight="1" x14ac:dyDescent="0.25"/>
    <row r="6019" ht="11.25" hidden="1" customHeight="1" x14ac:dyDescent="0.25"/>
    <row r="6020" ht="11.25" hidden="1" customHeight="1" x14ac:dyDescent="0.25"/>
    <row r="6021" ht="11.25" hidden="1" customHeight="1" x14ac:dyDescent="0.25"/>
    <row r="6022" ht="11.25" hidden="1" customHeight="1" x14ac:dyDescent="0.25"/>
    <row r="6023" ht="11.25" hidden="1" customHeight="1" x14ac:dyDescent="0.25"/>
    <row r="6024" ht="11.25" hidden="1" customHeight="1" x14ac:dyDescent="0.25"/>
    <row r="6025" ht="11.25" hidden="1" customHeight="1" x14ac:dyDescent="0.25"/>
    <row r="6026" ht="11.25" hidden="1" customHeight="1" x14ac:dyDescent="0.25"/>
    <row r="6027" ht="11.25" hidden="1" customHeight="1" x14ac:dyDescent="0.25"/>
    <row r="6028" ht="11.25" hidden="1" customHeight="1" x14ac:dyDescent="0.25"/>
    <row r="6029" ht="11.25" hidden="1" customHeight="1" x14ac:dyDescent="0.25"/>
    <row r="6030" ht="11.25" hidden="1" customHeight="1" x14ac:dyDescent="0.25"/>
    <row r="6031" ht="11.25" hidden="1" customHeight="1" x14ac:dyDescent="0.25"/>
    <row r="6032" ht="11.25" hidden="1" customHeight="1" x14ac:dyDescent="0.25"/>
    <row r="6033" ht="11.25" hidden="1" customHeight="1" x14ac:dyDescent="0.25"/>
    <row r="6034" ht="11.25" hidden="1" customHeight="1" x14ac:dyDescent="0.25"/>
    <row r="6035" ht="11.25" hidden="1" customHeight="1" x14ac:dyDescent="0.25"/>
    <row r="6036" ht="11.25" hidden="1" customHeight="1" x14ac:dyDescent="0.25"/>
    <row r="6037" ht="11.25" hidden="1" customHeight="1" x14ac:dyDescent="0.25"/>
    <row r="6038" ht="11.25" hidden="1" customHeight="1" x14ac:dyDescent="0.25"/>
    <row r="6039" ht="11.25" hidden="1" customHeight="1" x14ac:dyDescent="0.25"/>
    <row r="6040" ht="11.25" hidden="1" customHeight="1" x14ac:dyDescent="0.25"/>
    <row r="6041" ht="11.25" hidden="1" customHeight="1" x14ac:dyDescent="0.25"/>
    <row r="6042" ht="11.25" hidden="1" customHeight="1" x14ac:dyDescent="0.25"/>
    <row r="6043" ht="11.25" hidden="1" customHeight="1" x14ac:dyDescent="0.25"/>
    <row r="6044" ht="11.25" hidden="1" customHeight="1" x14ac:dyDescent="0.25"/>
    <row r="6045" ht="11.25" hidden="1" customHeight="1" x14ac:dyDescent="0.25"/>
    <row r="6046" ht="11.25" hidden="1" customHeight="1" x14ac:dyDescent="0.25"/>
    <row r="6047" ht="11.25" hidden="1" customHeight="1" x14ac:dyDescent="0.25"/>
    <row r="6048" ht="11.25" hidden="1" customHeight="1" x14ac:dyDescent="0.25"/>
    <row r="6049" ht="11.25" hidden="1" customHeight="1" x14ac:dyDescent="0.25"/>
    <row r="6050" ht="11.25" hidden="1" customHeight="1" x14ac:dyDescent="0.25"/>
    <row r="6051" ht="11.25" hidden="1" customHeight="1" x14ac:dyDescent="0.25"/>
    <row r="6052" ht="11.25" hidden="1" customHeight="1" x14ac:dyDescent="0.25"/>
    <row r="6053" ht="11.25" hidden="1" customHeight="1" x14ac:dyDescent="0.25"/>
    <row r="6054" ht="11.25" hidden="1" customHeight="1" x14ac:dyDescent="0.25"/>
    <row r="6055" ht="11.25" hidden="1" customHeight="1" x14ac:dyDescent="0.25"/>
    <row r="6056" ht="11.25" hidden="1" customHeight="1" x14ac:dyDescent="0.25"/>
    <row r="6057" ht="11.25" hidden="1" customHeight="1" x14ac:dyDescent="0.25"/>
    <row r="6058" ht="11.25" hidden="1" customHeight="1" x14ac:dyDescent="0.25"/>
    <row r="6059" ht="11.25" hidden="1" customHeight="1" x14ac:dyDescent="0.25"/>
    <row r="6060" ht="11.25" hidden="1" customHeight="1" x14ac:dyDescent="0.25"/>
    <row r="6061" ht="11.25" hidden="1" customHeight="1" x14ac:dyDescent="0.25"/>
    <row r="6062" ht="11.25" hidden="1" customHeight="1" x14ac:dyDescent="0.25"/>
    <row r="6063" ht="11.25" hidden="1" customHeight="1" x14ac:dyDescent="0.25"/>
    <row r="6064" ht="11.25" hidden="1" customHeight="1" x14ac:dyDescent="0.25"/>
    <row r="6065" ht="11.25" hidden="1" customHeight="1" x14ac:dyDescent="0.25"/>
    <row r="6066" ht="11.25" hidden="1" customHeight="1" x14ac:dyDescent="0.25"/>
    <row r="6067" ht="11.25" hidden="1" customHeight="1" x14ac:dyDescent="0.25"/>
    <row r="6068" ht="11.25" hidden="1" customHeight="1" x14ac:dyDescent="0.25"/>
    <row r="6069" ht="11.25" hidden="1" customHeight="1" x14ac:dyDescent="0.25"/>
    <row r="6070" ht="11.25" hidden="1" customHeight="1" x14ac:dyDescent="0.25"/>
    <row r="6071" ht="11.25" hidden="1" customHeight="1" x14ac:dyDescent="0.25"/>
    <row r="6072" ht="11.25" hidden="1" customHeight="1" x14ac:dyDescent="0.25"/>
    <row r="6073" ht="11.25" hidden="1" customHeight="1" x14ac:dyDescent="0.25"/>
    <row r="6074" ht="11.25" hidden="1" customHeight="1" x14ac:dyDescent="0.25"/>
    <row r="6075" ht="11.25" hidden="1" customHeight="1" x14ac:dyDescent="0.25"/>
    <row r="6076" ht="11.25" hidden="1" customHeight="1" x14ac:dyDescent="0.25"/>
    <row r="6077" ht="11.25" hidden="1" customHeight="1" x14ac:dyDescent="0.25"/>
    <row r="6078" ht="11.25" hidden="1" customHeight="1" x14ac:dyDescent="0.25"/>
    <row r="6079" ht="11.25" hidden="1" customHeight="1" x14ac:dyDescent="0.25"/>
    <row r="6080" ht="11.25" hidden="1" customHeight="1" x14ac:dyDescent="0.25"/>
    <row r="6081" ht="11.25" hidden="1" customHeight="1" x14ac:dyDescent="0.25"/>
    <row r="6082" ht="11.25" hidden="1" customHeight="1" x14ac:dyDescent="0.25"/>
    <row r="6083" ht="11.25" hidden="1" customHeight="1" x14ac:dyDescent="0.25"/>
    <row r="6084" ht="11.25" hidden="1" customHeight="1" x14ac:dyDescent="0.25"/>
    <row r="6085" ht="11.25" hidden="1" customHeight="1" x14ac:dyDescent="0.25"/>
    <row r="6086" ht="11.25" hidden="1" customHeight="1" x14ac:dyDescent="0.25"/>
    <row r="6087" ht="11.25" hidden="1" customHeight="1" x14ac:dyDescent="0.25"/>
    <row r="6088" ht="11.25" hidden="1" customHeight="1" x14ac:dyDescent="0.25"/>
    <row r="6089" ht="11.25" hidden="1" customHeight="1" x14ac:dyDescent="0.25"/>
    <row r="6090" ht="11.25" hidden="1" customHeight="1" x14ac:dyDescent="0.25"/>
    <row r="6091" ht="11.25" hidden="1" customHeight="1" x14ac:dyDescent="0.25"/>
    <row r="6092" ht="11.25" hidden="1" customHeight="1" x14ac:dyDescent="0.25"/>
    <row r="6093" ht="11.25" hidden="1" customHeight="1" x14ac:dyDescent="0.25"/>
    <row r="6094" ht="11.25" hidden="1" customHeight="1" x14ac:dyDescent="0.25"/>
    <row r="6095" ht="11.25" hidden="1" customHeight="1" x14ac:dyDescent="0.25"/>
    <row r="6096" ht="11.25" hidden="1" customHeight="1" x14ac:dyDescent="0.25"/>
    <row r="6097" ht="11.25" hidden="1" customHeight="1" x14ac:dyDescent="0.25"/>
    <row r="6098" ht="11.25" hidden="1" customHeight="1" x14ac:dyDescent="0.25"/>
    <row r="6099" ht="11.25" hidden="1" customHeight="1" x14ac:dyDescent="0.25"/>
    <row r="6100" ht="11.25" hidden="1" customHeight="1" x14ac:dyDescent="0.25"/>
    <row r="6101" ht="11.25" hidden="1" customHeight="1" x14ac:dyDescent="0.25"/>
    <row r="6102" ht="11.25" hidden="1" customHeight="1" x14ac:dyDescent="0.25"/>
    <row r="6103" ht="11.25" hidden="1" customHeight="1" x14ac:dyDescent="0.25"/>
    <row r="6104" ht="11.25" hidden="1" customHeight="1" x14ac:dyDescent="0.25"/>
    <row r="6105" ht="11.25" hidden="1" customHeight="1" x14ac:dyDescent="0.25"/>
    <row r="6106" ht="11.25" hidden="1" customHeight="1" x14ac:dyDescent="0.25"/>
    <row r="6107" ht="11.25" hidden="1" customHeight="1" x14ac:dyDescent="0.25"/>
    <row r="6108" ht="11.25" hidden="1" customHeight="1" x14ac:dyDescent="0.25"/>
    <row r="6109" ht="11.25" hidden="1" customHeight="1" x14ac:dyDescent="0.25"/>
    <row r="6110" ht="11.25" hidden="1" customHeight="1" x14ac:dyDescent="0.25"/>
    <row r="6111" ht="11.25" hidden="1" customHeight="1" x14ac:dyDescent="0.25"/>
    <row r="6112" ht="11.25" hidden="1" customHeight="1" x14ac:dyDescent="0.25"/>
    <row r="6113" ht="11.25" hidden="1" customHeight="1" x14ac:dyDescent="0.25"/>
    <row r="6114" ht="11.25" hidden="1" customHeight="1" x14ac:dyDescent="0.25"/>
    <row r="6115" ht="11.25" hidden="1" customHeight="1" x14ac:dyDescent="0.25"/>
    <row r="6116" ht="11.25" hidden="1" customHeight="1" x14ac:dyDescent="0.25"/>
    <row r="6117" ht="11.25" hidden="1" customHeight="1" x14ac:dyDescent="0.25"/>
    <row r="6118" ht="11.25" hidden="1" customHeight="1" x14ac:dyDescent="0.25"/>
    <row r="6119" ht="11.25" hidden="1" customHeight="1" x14ac:dyDescent="0.25"/>
    <row r="6120" ht="11.25" hidden="1" customHeight="1" x14ac:dyDescent="0.25"/>
    <row r="6121" ht="11.25" hidden="1" customHeight="1" x14ac:dyDescent="0.25"/>
    <row r="6122" ht="11.25" hidden="1" customHeight="1" x14ac:dyDescent="0.25"/>
    <row r="6123" ht="11.25" hidden="1" customHeight="1" x14ac:dyDescent="0.25"/>
    <row r="6124" ht="11.25" hidden="1" customHeight="1" x14ac:dyDescent="0.25"/>
    <row r="6125" ht="11.25" hidden="1" customHeight="1" x14ac:dyDescent="0.25"/>
    <row r="6126" ht="11.25" hidden="1" customHeight="1" x14ac:dyDescent="0.25"/>
    <row r="6127" ht="11.25" hidden="1" customHeight="1" x14ac:dyDescent="0.25"/>
    <row r="6128" ht="11.25" hidden="1" customHeight="1" x14ac:dyDescent="0.25"/>
    <row r="6129" ht="11.25" hidden="1" customHeight="1" x14ac:dyDescent="0.25"/>
    <row r="6130" ht="11.25" hidden="1" customHeight="1" x14ac:dyDescent="0.25"/>
    <row r="6131" ht="11.25" hidden="1" customHeight="1" x14ac:dyDescent="0.25"/>
    <row r="6132" ht="11.25" hidden="1" customHeight="1" x14ac:dyDescent="0.25"/>
    <row r="6133" ht="11.25" hidden="1" customHeight="1" x14ac:dyDescent="0.25"/>
    <row r="6134" ht="11.25" hidden="1" customHeight="1" x14ac:dyDescent="0.25"/>
    <row r="6135" ht="11.25" hidden="1" customHeight="1" x14ac:dyDescent="0.25"/>
    <row r="6136" ht="11.25" hidden="1" customHeight="1" x14ac:dyDescent="0.25"/>
    <row r="6137" ht="11.25" hidden="1" customHeight="1" x14ac:dyDescent="0.25"/>
    <row r="6138" ht="11.25" hidden="1" customHeight="1" x14ac:dyDescent="0.25"/>
    <row r="6139" ht="11.25" hidden="1" customHeight="1" x14ac:dyDescent="0.25"/>
    <row r="6140" ht="11.25" hidden="1" customHeight="1" x14ac:dyDescent="0.25"/>
    <row r="6141" ht="11.25" hidden="1" customHeight="1" x14ac:dyDescent="0.25"/>
    <row r="6142" ht="11.25" hidden="1" customHeight="1" x14ac:dyDescent="0.25"/>
    <row r="6143" ht="11.25" hidden="1" customHeight="1" x14ac:dyDescent="0.25"/>
    <row r="6144" ht="11.25" hidden="1" customHeight="1" x14ac:dyDescent="0.25"/>
    <row r="6145" ht="11.25" hidden="1" customHeight="1" x14ac:dyDescent="0.25"/>
    <row r="6146" ht="11.25" hidden="1" customHeight="1" x14ac:dyDescent="0.25"/>
    <row r="6147" ht="11.25" hidden="1" customHeight="1" x14ac:dyDescent="0.25"/>
    <row r="6148" ht="11.25" hidden="1" customHeight="1" x14ac:dyDescent="0.25"/>
    <row r="6149" ht="11.25" hidden="1" customHeight="1" x14ac:dyDescent="0.25"/>
    <row r="6150" ht="11.25" hidden="1" customHeight="1" x14ac:dyDescent="0.25"/>
    <row r="6151" ht="11.25" hidden="1" customHeight="1" x14ac:dyDescent="0.25"/>
    <row r="6152" ht="11.25" hidden="1" customHeight="1" x14ac:dyDescent="0.25"/>
    <row r="6153" ht="11.25" hidden="1" customHeight="1" x14ac:dyDescent="0.25"/>
    <row r="6154" ht="11.25" hidden="1" customHeight="1" x14ac:dyDescent="0.25"/>
    <row r="6155" ht="11.25" hidden="1" customHeight="1" x14ac:dyDescent="0.25"/>
    <row r="6156" ht="11.25" hidden="1" customHeight="1" x14ac:dyDescent="0.25"/>
    <row r="6157" ht="11.25" hidden="1" customHeight="1" x14ac:dyDescent="0.25"/>
    <row r="6158" ht="11.25" hidden="1" customHeight="1" x14ac:dyDescent="0.25"/>
    <row r="6159" ht="11.25" hidden="1" customHeight="1" x14ac:dyDescent="0.25"/>
    <row r="6160" ht="11.25" hidden="1" customHeight="1" x14ac:dyDescent="0.25"/>
    <row r="6161" ht="11.25" hidden="1" customHeight="1" x14ac:dyDescent="0.25"/>
    <row r="6162" ht="11.25" hidden="1" customHeight="1" x14ac:dyDescent="0.25"/>
    <row r="6163" ht="11.25" hidden="1" customHeight="1" x14ac:dyDescent="0.25"/>
    <row r="6164" ht="11.25" hidden="1" customHeight="1" x14ac:dyDescent="0.25"/>
    <row r="6165" ht="11.25" hidden="1" customHeight="1" x14ac:dyDescent="0.25"/>
    <row r="6166" ht="11.25" hidden="1" customHeight="1" x14ac:dyDescent="0.25"/>
    <row r="6167" ht="11.25" hidden="1" customHeight="1" x14ac:dyDescent="0.25"/>
    <row r="6168" ht="11.25" hidden="1" customHeight="1" x14ac:dyDescent="0.25"/>
    <row r="6169" ht="11.25" hidden="1" customHeight="1" x14ac:dyDescent="0.25"/>
    <row r="6170" ht="11.25" hidden="1" customHeight="1" x14ac:dyDescent="0.25"/>
    <row r="6171" ht="11.25" hidden="1" customHeight="1" x14ac:dyDescent="0.25"/>
    <row r="6172" ht="11.25" hidden="1" customHeight="1" x14ac:dyDescent="0.25"/>
    <row r="6173" ht="11.25" hidden="1" customHeight="1" x14ac:dyDescent="0.25"/>
    <row r="6174" ht="11.25" hidden="1" customHeight="1" x14ac:dyDescent="0.25"/>
    <row r="6175" ht="11.25" hidden="1" customHeight="1" x14ac:dyDescent="0.25"/>
    <row r="6176" ht="11.25" hidden="1" customHeight="1" x14ac:dyDescent="0.25"/>
    <row r="6177" ht="11.25" hidden="1" customHeight="1" x14ac:dyDescent="0.25"/>
    <row r="6178" ht="11.25" hidden="1" customHeight="1" x14ac:dyDescent="0.25"/>
    <row r="6179" ht="11.25" hidden="1" customHeight="1" x14ac:dyDescent="0.25"/>
    <row r="6180" ht="11.25" hidden="1" customHeight="1" x14ac:dyDescent="0.25"/>
    <row r="6181" ht="11.25" hidden="1" customHeight="1" x14ac:dyDescent="0.25"/>
    <row r="6182" ht="11.25" hidden="1" customHeight="1" x14ac:dyDescent="0.25"/>
    <row r="6183" ht="11.25" hidden="1" customHeight="1" x14ac:dyDescent="0.25"/>
    <row r="6184" ht="11.25" hidden="1" customHeight="1" x14ac:dyDescent="0.25"/>
    <row r="6185" ht="11.25" hidden="1" customHeight="1" x14ac:dyDescent="0.25"/>
    <row r="6186" ht="11.25" hidden="1" customHeight="1" x14ac:dyDescent="0.25"/>
    <row r="6187" ht="11.25" hidden="1" customHeight="1" x14ac:dyDescent="0.25"/>
    <row r="6188" ht="11.25" hidden="1" customHeight="1" x14ac:dyDescent="0.25"/>
    <row r="6189" ht="11.25" hidden="1" customHeight="1" x14ac:dyDescent="0.25"/>
    <row r="6190" ht="11.25" hidden="1" customHeight="1" x14ac:dyDescent="0.25"/>
    <row r="6191" ht="11.25" hidden="1" customHeight="1" x14ac:dyDescent="0.25"/>
    <row r="6192" ht="11.25" hidden="1" customHeight="1" x14ac:dyDescent="0.25"/>
    <row r="6193" ht="11.25" hidden="1" customHeight="1" x14ac:dyDescent="0.25"/>
    <row r="6194" ht="11.25" hidden="1" customHeight="1" x14ac:dyDescent="0.25"/>
    <row r="6195" ht="11.25" hidden="1" customHeight="1" x14ac:dyDescent="0.25"/>
    <row r="6196" ht="11.25" hidden="1" customHeight="1" x14ac:dyDescent="0.25"/>
    <row r="6197" ht="11.25" hidden="1" customHeight="1" x14ac:dyDescent="0.25"/>
    <row r="6198" ht="11.25" hidden="1" customHeight="1" x14ac:dyDescent="0.25"/>
    <row r="6199" ht="11.25" hidden="1" customHeight="1" x14ac:dyDescent="0.25"/>
    <row r="6200" ht="11.25" hidden="1" customHeight="1" x14ac:dyDescent="0.25"/>
    <row r="6201" ht="11.25" hidden="1" customHeight="1" x14ac:dyDescent="0.25"/>
    <row r="6202" ht="11.25" hidden="1" customHeight="1" x14ac:dyDescent="0.25"/>
    <row r="6203" ht="11.25" hidden="1" customHeight="1" x14ac:dyDescent="0.25"/>
    <row r="6204" ht="11.25" hidden="1" customHeight="1" x14ac:dyDescent="0.25"/>
    <row r="6205" ht="11.25" hidden="1" customHeight="1" x14ac:dyDescent="0.25"/>
    <row r="6206" ht="11.25" hidden="1" customHeight="1" x14ac:dyDescent="0.25"/>
    <row r="6207" ht="11.25" hidden="1" customHeight="1" x14ac:dyDescent="0.25"/>
    <row r="6208" ht="11.25" hidden="1" customHeight="1" x14ac:dyDescent="0.25"/>
    <row r="6209" ht="11.25" hidden="1" customHeight="1" x14ac:dyDescent="0.25"/>
    <row r="6210" ht="11.25" hidden="1" customHeight="1" x14ac:dyDescent="0.25"/>
    <row r="6211" ht="11.25" hidden="1" customHeight="1" x14ac:dyDescent="0.25"/>
    <row r="6212" ht="11.25" hidden="1" customHeight="1" x14ac:dyDescent="0.25"/>
    <row r="6213" ht="11.25" hidden="1" customHeight="1" x14ac:dyDescent="0.25"/>
    <row r="6214" ht="11.25" hidden="1" customHeight="1" x14ac:dyDescent="0.25"/>
    <row r="6215" ht="11.25" hidden="1" customHeight="1" x14ac:dyDescent="0.25"/>
    <row r="6216" ht="11.25" hidden="1" customHeight="1" x14ac:dyDescent="0.25"/>
    <row r="6217" ht="11.25" hidden="1" customHeight="1" x14ac:dyDescent="0.25"/>
    <row r="6218" ht="11.25" hidden="1" customHeight="1" x14ac:dyDescent="0.25"/>
    <row r="6219" ht="11.25" hidden="1" customHeight="1" x14ac:dyDescent="0.25"/>
    <row r="6220" ht="11.25" hidden="1" customHeight="1" x14ac:dyDescent="0.25"/>
    <row r="6221" ht="11.25" hidden="1" customHeight="1" x14ac:dyDescent="0.25"/>
    <row r="6222" ht="11.25" hidden="1" customHeight="1" x14ac:dyDescent="0.25"/>
    <row r="6223" ht="11.25" hidden="1" customHeight="1" x14ac:dyDescent="0.25"/>
    <row r="6224" ht="11.25" hidden="1" customHeight="1" x14ac:dyDescent="0.25"/>
    <row r="6225" ht="11.25" hidden="1" customHeight="1" x14ac:dyDescent="0.25"/>
    <row r="6226" ht="11.25" hidden="1" customHeight="1" x14ac:dyDescent="0.25"/>
    <row r="6227" ht="11.25" hidden="1" customHeight="1" x14ac:dyDescent="0.25"/>
    <row r="6228" ht="11.25" hidden="1" customHeight="1" x14ac:dyDescent="0.25"/>
    <row r="6229" ht="11.25" hidden="1" customHeight="1" x14ac:dyDescent="0.25"/>
    <row r="6230" ht="11.25" hidden="1" customHeight="1" x14ac:dyDescent="0.25"/>
    <row r="6231" ht="11.25" hidden="1" customHeight="1" x14ac:dyDescent="0.25"/>
    <row r="6232" ht="11.25" hidden="1" customHeight="1" x14ac:dyDescent="0.25"/>
    <row r="6233" ht="11.25" hidden="1" customHeight="1" x14ac:dyDescent="0.25"/>
    <row r="6234" ht="11.25" hidden="1" customHeight="1" x14ac:dyDescent="0.25"/>
    <row r="6235" ht="11.25" hidden="1" customHeight="1" x14ac:dyDescent="0.25"/>
    <row r="6236" ht="11.25" hidden="1" customHeight="1" x14ac:dyDescent="0.25"/>
    <row r="6237" ht="11.25" hidden="1" customHeight="1" x14ac:dyDescent="0.25"/>
    <row r="6238" ht="11.25" hidden="1" customHeight="1" x14ac:dyDescent="0.25"/>
    <row r="6239" ht="11.25" hidden="1" customHeight="1" x14ac:dyDescent="0.25"/>
    <row r="6240" ht="11.25" hidden="1" customHeight="1" x14ac:dyDescent="0.25"/>
    <row r="6241" ht="11.25" hidden="1" customHeight="1" x14ac:dyDescent="0.25"/>
    <row r="6242" ht="11.25" hidden="1" customHeight="1" x14ac:dyDescent="0.25"/>
    <row r="6243" ht="11.25" hidden="1" customHeight="1" x14ac:dyDescent="0.25"/>
    <row r="6244" ht="11.25" hidden="1" customHeight="1" x14ac:dyDescent="0.25"/>
    <row r="6245" ht="11.25" hidden="1" customHeight="1" x14ac:dyDescent="0.25"/>
    <row r="6246" ht="11.25" hidden="1" customHeight="1" x14ac:dyDescent="0.25"/>
    <row r="6247" ht="11.25" hidden="1" customHeight="1" x14ac:dyDescent="0.25"/>
    <row r="6248" ht="11.25" hidden="1" customHeight="1" x14ac:dyDescent="0.25"/>
    <row r="6249" ht="11.25" hidden="1" customHeight="1" x14ac:dyDescent="0.25"/>
    <row r="6250" ht="11.25" hidden="1" customHeight="1" x14ac:dyDescent="0.25"/>
    <row r="6251" ht="11.25" hidden="1" customHeight="1" x14ac:dyDescent="0.25"/>
    <row r="6252" ht="11.25" hidden="1" customHeight="1" x14ac:dyDescent="0.25"/>
    <row r="6253" ht="11.25" hidden="1" customHeight="1" x14ac:dyDescent="0.25"/>
    <row r="6254" ht="11.25" hidden="1" customHeight="1" x14ac:dyDescent="0.25"/>
    <row r="6255" ht="11.25" hidden="1" customHeight="1" x14ac:dyDescent="0.25"/>
    <row r="6256" ht="11.25" hidden="1" customHeight="1" x14ac:dyDescent="0.25"/>
    <row r="6257" ht="11.25" hidden="1" customHeight="1" x14ac:dyDescent="0.25"/>
    <row r="6258" ht="11.25" hidden="1" customHeight="1" x14ac:dyDescent="0.25"/>
    <row r="6259" ht="11.25" hidden="1" customHeight="1" x14ac:dyDescent="0.25"/>
    <row r="6260" ht="11.25" hidden="1" customHeight="1" x14ac:dyDescent="0.25"/>
    <row r="6261" ht="11.25" hidden="1" customHeight="1" x14ac:dyDescent="0.25"/>
    <row r="6262" ht="11.25" hidden="1" customHeight="1" x14ac:dyDescent="0.25"/>
    <row r="6263" ht="11.25" hidden="1" customHeight="1" x14ac:dyDescent="0.25"/>
    <row r="6264" ht="11.25" hidden="1" customHeight="1" x14ac:dyDescent="0.25"/>
    <row r="6265" ht="11.25" hidden="1" customHeight="1" x14ac:dyDescent="0.25"/>
    <row r="6266" ht="11.25" hidden="1" customHeight="1" x14ac:dyDescent="0.25"/>
    <row r="6267" ht="11.25" hidden="1" customHeight="1" x14ac:dyDescent="0.25"/>
    <row r="6268" ht="11.25" hidden="1" customHeight="1" x14ac:dyDescent="0.25"/>
    <row r="6269" ht="11.25" hidden="1" customHeight="1" x14ac:dyDescent="0.25"/>
    <row r="6270" ht="11.25" hidden="1" customHeight="1" x14ac:dyDescent="0.25"/>
    <row r="6271" ht="11.25" hidden="1" customHeight="1" x14ac:dyDescent="0.25"/>
    <row r="6272" ht="11.25" hidden="1" customHeight="1" x14ac:dyDescent="0.25"/>
    <row r="6273" ht="11.25" hidden="1" customHeight="1" x14ac:dyDescent="0.25"/>
    <row r="6274" ht="11.25" hidden="1" customHeight="1" x14ac:dyDescent="0.25"/>
    <row r="6275" ht="11.25" hidden="1" customHeight="1" x14ac:dyDescent="0.25"/>
    <row r="6276" ht="11.25" hidden="1" customHeight="1" x14ac:dyDescent="0.25"/>
    <row r="6277" ht="11.25" hidden="1" customHeight="1" x14ac:dyDescent="0.25"/>
    <row r="6278" ht="11.25" hidden="1" customHeight="1" x14ac:dyDescent="0.25"/>
    <row r="6279" ht="11.25" hidden="1" customHeight="1" x14ac:dyDescent="0.25"/>
    <row r="6280" ht="11.25" hidden="1" customHeight="1" x14ac:dyDescent="0.25"/>
    <row r="6281" ht="11.25" hidden="1" customHeight="1" x14ac:dyDescent="0.25"/>
    <row r="6282" ht="11.25" hidden="1" customHeight="1" x14ac:dyDescent="0.25"/>
    <row r="6283" ht="11.25" hidden="1" customHeight="1" x14ac:dyDescent="0.25"/>
    <row r="6284" ht="11.25" hidden="1" customHeight="1" x14ac:dyDescent="0.25"/>
    <row r="6285" ht="11.25" hidden="1" customHeight="1" x14ac:dyDescent="0.25"/>
    <row r="6286" ht="11.25" hidden="1" customHeight="1" x14ac:dyDescent="0.25"/>
    <row r="6287" ht="11.25" hidden="1" customHeight="1" x14ac:dyDescent="0.25"/>
    <row r="6288" ht="11.25" hidden="1" customHeight="1" x14ac:dyDescent="0.25"/>
    <row r="6289" ht="11.25" hidden="1" customHeight="1" x14ac:dyDescent="0.25"/>
    <row r="6290" ht="11.25" hidden="1" customHeight="1" x14ac:dyDescent="0.25"/>
    <row r="6291" ht="11.25" hidden="1" customHeight="1" x14ac:dyDescent="0.25"/>
    <row r="6292" ht="11.25" hidden="1" customHeight="1" x14ac:dyDescent="0.25"/>
    <row r="6293" ht="11.25" hidden="1" customHeight="1" x14ac:dyDescent="0.25"/>
    <row r="6294" ht="11.25" hidden="1" customHeight="1" x14ac:dyDescent="0.25"/>
    <row r="6295" ht="11.25" hidden="1" customHeight="1" x14ac:dyDescent="0.25"/>
    <row r="6296" ht="11.25" hidden="1" customHeight="1" x14ac:dyDescent="0.25"/>
    <row r="6297" ht="11.25" hidden="1" customHeight="1" x14ac:dyDescent="0.25"/>
    <row r="6298" ht="11.25" hidden="1" customHeight="1" x14ac:dyDescent="0.25"/>
    <row r="6299" ht="11.25" hidden="1" customHeight="1" x14ac:dyDescent="0.25"/>
    <row r="6300" ht="11.25" hidden="1" customHeight="1" x14ac:dyDescent="0.25"/>
    <row r="6301" ht="11.25" hidden="1" customHeight="1" x14ac:dyDescent="0.25"/>
    <row r="6302" ht="11.25" hidden="1" customHeight="1" x14ac:dyDescent="0.25"/>
    <row r="6303" ht="11.25" hidden="1" customHeight="1" x14ac:dyDescent="0.25"/>
    <row r="6304" ht="11.25" hidden="1" customHeight="1" x14ac:dyDescent="0.25"/>
    <row r="6305" ht="11.25" hidden="1" customHeight="1" x14ac:dyDescent="0.25"/>
    <row r="6306" ht="11.25" hidden="1" customHeight="1" x14ac:dyDescent="0.25"/>
    <row r="6307" ht="11.25" hidden="1" customHeight="1" x14ac:dyDescent="0.25"/>
    <row r="6308" ht="11.25" hidden="1" customHeight="1" x14ac:dyDescent="0.25"/>
    <row r="6309" ht="11.25" hidden="1" customHeight="1" x14ac:dyDescent="0.25"/>
    <row r="6310" ht="11.25" hidden="1" customHeight="1" x14ac:dyDescent="0.25"/>
    <row r="6311" ht="11.25" hidden="1" customHeight="1" x14ac:dyDescent="0.25"/>
    <row r="6312" ht="11.25" hidden="1" customHeight="1" x14ac:dyDescent="0.25"/>
    <row r="6313" ht="11.25" hidden="1" customHeight="1" x14ac:dyDescent="0.25"/>
    <row r="6314" ht="11.25" hidden="1" customHeight="1" x14ac:dyDescent="0.25"/>
    <row r="6315" ht="11.25" hidden="1" customHeight="1" x14ac:dyDescent="0.25"/>
    <row r="6316" ht="11.25" hidden="1" customHeight="1" x14ac:dyDescent="0.25"/>
    <row r="6317" ht="11.25" hidden="1" customHeight="1" x14ac:dyDescent="0.25"/>
    <row r="6318" ht="11.25" hidden="1" customHeight="1" x14ac:dyDescent="0.25"/>
    <row r="6319" ht="11.25" hidden="1" customHeight="1" x14ac:dyDescent="0.25"/>
    <row r="6320" ht="11.25" hidden="1" customHeight="1" x14ac:dyDescent="0.25"/>
    <row r="6321" ht="11.25" hidden="1" customHeight="1" x14ac:dyDescent="0.25"/>
    <row r="6322" ht="11.25" hidden="1" customHeight="1" x14ac:dyDescent="0.25"/>
    <row r="6323" ht="11.25" hidden="1" customHeight="1" x14ac:dyDescent="0.25"/>
    <row r="6324" ht="11.25" hidden="1" customHeight="1" x14ac:dyDescent="0.25"/>
    <row r="6325" ht="11.25" hidden="1" customHeight="1" x14ac:dyDescent="0.25"/>
    <row r="6326" ht="11.25" hidden="1" customHeight="1" x14ac:dyDescent="0.25"/>
    <row r="6327" ht="11.25" hidden="1" customHeight="1" x14ac:dyDescent="0.25"/>
    <row r="6328" ht="11.25" hidden="1" customHeight="1" x14ac:dyDescent="0.25"/>
    <row r="6329" ht="11.25" hidden="1" customHeight="1" x14ac:dyDescent="0.25"/>
    <row r="6330" ht="11.25" hidden="1" customHeight="1" x14ac:dyDescent="0.25"/>
    <row r="6331" ht="11.25" hidden="1" customHeight="1" x14ac:dyDescent="0.25"/>
    <row r="6332" ht="11.25" hidden="1" customHeight="1" x14ac:dyDescent="0.25"/>
    <row r="6333" ht="11.25" hidden="1" customHeight="1" x14ac:dyDescent="0.25"/>
    <row r="6334" ht="11.25" hidden="1" customHeight="1" x14ac:dyDescent="0.25"/>
    <row r="6335" ht="11.25" hidden="1" customHeight="1" x14ac:dyDescent="0.25"/>
    <row r="6336" ht="11.25" hidden="1" customHeight="1" x14ac:dyDescent="0.25"/>
    <row r="6337" ht="11.25" hidden="1" customHeight="1" x14ac:dyDescent="0.25"/>
    <row r="6338" ht="11.25" hidden="1" customHeight="1" x14ac:dyDescent="0.25"/>
    <row r="6339" ht="11.25" hidden="1" customHeight="1" x14ac:dyDescent="0.25"/>
    <row r="6340" ht="11.25" hidden="1" customHeight="1" x14ac:dyDescent="0.25"/>
    <row r="6341" ht="11.25" hidden="1" customHeight="1" x14ac:dyDescent="0.25"/>
    <row r="6342" ht="11.25" hidden="1" customHeight="1" x14ac:dyDescent="0.25"/>
    <row r="6343" ht="11.25" hidden="1" customHeight="1" x14ac:dyDescent="0.25"/>
    <row r="6344" ht="11.25" hidden="1" customHeight="1" x14ac:dyDescent="0.25"/>
    <row r="6345" ht="11.25" hidden="1" customHeight="1" x14ac:dyDescent="0.25"/>
    <row r="6346" ht="11.25" hidden="1" customHeight="1" x14ac:dyDescent="0.25"/>
    <row r="6347" ht="11.25" hidden="1" customHeight="1" x14ac:dyDescent="0.25"/>
    <row r="6348" ht="11.25" hidden="1" customHeight="1" x14ac:dyDescent="0.25"/>
    <row r="6349" ht="11.25" hidden="1" customHeight="1" x14ac:dyDescent="0.25"/>
    <row r="6350" ht="11.25" hidden="1" customHeight="1" x14ac:dyDescent="0.25"/>
    <row r="6351" ht="11.25" hidden="1" customHeight="1" x14ac:dyDescent="0.25"/>
    <row r="6352" ht="11.25" hidden="1" customHeight="1" x14ac:dyDescent="0.25"/>
    <row r="6353" ht="11.25" hidden="1" customHeight="1" x14ac:dyDescent="0.25"/>
    <row r="6354" ht="11.25" hidden="1" customHeight="1" x14ac:dyDescent="0.25"/>
    <row r="6355" ht="11.25" hidden="1" customHeight="1" x14ac:dyDescent="0.25"/>
    <row r="6356" ht="11.25" hidden="1" customHeight="1" x14ac:dyDescent="0.25"/>
    <row r="6357" ht="11.25" hidden="1" customHeight="1" x14ac:dyDescent="0.25"/>
    <row r="6358" ht="11.25" hidden="1" customHeight="1" x14ac:dyDescent="0.25"/>
    <row r="6359" ht="11.25" hidden="1" customHeight="1" x14ac:dyDescent="0.25"/>
    <row r="6360" ht="11.25" hidden="1" customHeight="1" x14ac:dyDescent="0.25"/>
    <row r="6361" ht="11.25" hidden="1" customHeight="1" x14ac:dyDescent="0.25"/>
    <row r="6362" ht="11.25" hidden="1" customHeight="1" x14ac:dyDescent="0.25"/>
    <row r="6363" ht="11.25" hidden="1" customHeight="1" x14ac:dyDescent="0.25"/>
    <row r="6364" ht="11.25" hidden="1" customHeight="1" x14ac:dyDescent="0.25"/>
    <row r="6365" ht="11.25" hidden="1" customHeight="1" x14ac:dyDescent="0.25"/>
    <row r="6366" ht="11.25" hidden="1" customHeight="1" x14ac:dyDescent="0.25"/>
    <row r="6367" ht="11.25" hidden="1" customHeight="1" x14ac:dyDescent="0.25"/>
    <row r="6368" ht="11.25" hidden="1" customHeight="1" x14ac:dyDescent="0.25"/>
    <row r="6369" ht="11.25" hidden="1" customHeight="1" x14ac:dyDescent="0.25"/>
    <row r="6370" ht="11.25" hidden="1" customHeight="1" x14ac:dyDescent="0.25"/>
    <row r="6371" ht="11.25" hidden="1" customHeight="1" x14ac:dyDescent="0.25"/>
    <row r="6372" ht="11.25" hidden="1" customHeight="1" x14ac:dyDescent="0.25"/>
    <row r="6373" ht="11.25" hidden="1" customHeight="1" x14ac:dyDescent="0.25"/>
    <row r="6374" ht="11.25" hidden="1" customHeight="1" x14ac:dyDescent="0.25"/>
    <row r="6375" ht="11.25" hidden="1" customHeight="1" x14ac:dyDescent="0.25"/>
    <row r="6376" ht="11.25" hidden="1" customHeight="1" x14ac:dyDescent="0.25"/>
    <row r="6377" ht="11.25" hidden="1" customHeight="1" x14ac:dyDescent="0.25"/>
    <row r="6378" ht="11.25" hidden="1" customHeight="1" x14ac:dyDescent="0.25"/>
    <row r="6379" ht="11.25" hidden="1" customHeight="1" x14ac:dyDescent="0.25"/>
    <row r="6380" ht="11.25" hidden="1" customHeight="1" x14ac:dyDescent="0.25"/>
    <row r="6381" ht="11.25" hidden="1" customHeight="1" x14ac:dyDescent="0.25"/>
    <row r="6382" ht="11.25" hidden="1" customHeight="1" x14ac:dyDescent="0.25"/>
    <row r="6383" ht="11.25" hidden="1" customHeight="1" x14ac:dyDescent="0.25"/>
    <row r="6384" ht="11.25" hidden="1" customHeight="1" x14ac:dyDescent="0.25"/>
    <row r="6385" ht="11.25" hidden="1" customHeight="1" x14ac:dyDescent="0.25"/>
    <row r="6386" ht="11.25" hidden="1" customHeight="1" x14ac:dyDescent="0.25"/>
    <row r="6387" ht="11.25" hidden="1" customHeight="1" x14ac:dyDescent="0.25"/>
    <row r="6388" ht="11.25" hidden="1" customHeight="1" x14ac:dyDescent="0.25"/>
    <row r="6389" ht="11.25" hidden="1" customHeight="1" x14ac:dyDescent="0.25"/>
    <row r="6390" ht="11.25" hidden="1" customHeight="1" x14ac:dyDescent="0.25"/>
    <row r="6391" ht="11.25" hidden="1" customHeight="1" x14ac:dyDescent="0.25"/>
    <row r="6392" ht="11.25" hidden="1" customHeight="1" x14ac:dyDescent="0.25"/>
    <row r="6393" ht="11.25" hidden="1" customHeight="1" x14ac:dyDescent="0.25"/>
    <row r="6394" ht="11.25" hidden="1" customHeight="1" x14ac:dyDescent="0.25"/>
    <row r="6395" ht="11.25" hidden="1" customHeight="1" x14ac:dyDescent="0.25"/>
    <row r="6396" ht="11.25" hidden="1" customHeight="1" x14ac:dyDescent="0.25"/>
    <row r="6397" ht="11.25" hidden="1" customHeight="1" x14ac:dyDescent="0.25"/>
    <row r="6398" ht="11.25" hidden="1" customHeight="1" x14ac:dyDescent="0.25"/>
    <row r="6399" ht="11.25" hidden="1" customHeight="1" x14ac:dyDescent="0.25"/>
    <row r="6400" ht="11.25" hidden="1" customHeight="1" x14ac:dyDescent="0.25"/>
    <row r="6401" ht="11.25" hidden="1" customHeight="1" x14ac:dyDescent="0.25"/>
    <row r="6402" ht="11.25" hidden="1" customHeight="1" x14ac:dyDescent="0.25"/>
    <row r="6403" ht="11.25" hidden="1" customHeight="1" x14ac:dyDescent="0.25"/>
    <row r="6404" ht="11.25" hidden="1" customHeight="1" x14ac:dyDescent="0.25"/>
    <row r="6405" ht="11.25" hidden="1" customHeight="1" x14ac:dyDescent="0.25"/>
    <row r="6406" ht="11.25" hidden="1" customHeight="1" x14ac:dyDescent="0.25"/>
    <row r="6407" ht="11.25" hidden="1" customHeight="1" x14ac:dyDescent="0.25"/>
    <row r="6408" ht="11.25" hidden="1" customHeight="1" x14ac:dyDescent="0.25"/>
    <row r="6409" ht="11.25" hidden="1" customHeight="1" x14ac:dyDescent="0.25"/>
    <row r="6410" ht="11.25" hidden="1" customHeight="1" x14ac:dyDescent="0.25"/>
    <row r="6411" ht="11.25" hidden="1" customHeight="1" x14ac:dyDescent="0.25"/>
    <row r="6412" ht="11.25" hidden="1" customHeight="1" x14ac:dyDescent="0.25"/>
    <row r="6413" ht="11.25" hidden="1" customHeight="1" x14ac:dyDescent="0.25"/>
    <row r="6414" ht="11.25" hidden="1" customHeight="1" x14ac:dyDescent="0.25"/>
    <row r="6415" ht="11.25" hidden="1" customHeight="1" x14ac:dyDescent="0.25"/>
    <row r="6416" ht="11.25" hidden="1" customHeight="1" x14ac:dyDescent="0.25"/>
    <row r="6417" ht="11.25" hidden="1" customHeight="1" x14ac:dyDescent="0.25"/>
    <row r="6418" ht="11.25" hidden="1" customHeight="1" x14ac:dyDescent="0.25"/>
    <row r="6419" ht="11.25" hidden="1" customHeight="1" x14ac:dyDescent="0.25"/>
    <row r="6420" ht="11.25" hidden="1" customHeight="1" x14ac:dyDescent="0.25"/>
    <row r="6421" ht="11.25" hidden="1" customHeight="1" x14ac:dyDescent="0.25"/>
    <row r="6422" ht="11.25" hidden="1" customHeight="1" x14ac:dyDescent="0.25"/>
    <row r="6423" ht="11.25" hidden="1" customHeight="1" x14ac:dyDescent="0.25"/>
    <row r="6424" ht="11.25" hidden="1" customHeight="1" x14ac:dyDescent="0.25"/>
    <row r="6425" ht="11.25" hidden="1" customHeight="1" x14ac:dyDescent="0.25"/>
    <row r="6426" ht="11.25" hidden="1" customHeight="1" x14ac:dyDescent="0.25"/>
    <row r="6427" ht="11.25" hidden="1" customHeight="1" x14ac:dyDescent="0.25"/>
    <row r="6428" ht="11.25" hidden="1" customHeight="1" x14ac:dyDescent="0.25"/>
    <row r="6429" ht="11.25" hidden="1" customHeight="1" x14ac:dyDescent="0.25"/>
    <row r="6430" ht="11.25" hidden="1" customHeight="1" x14ac:dyDescent="0.25"/>
    <row r="6431" ht="11.25" hidden="1" customHeight="1" x14ac:dyDescent="0.25"/>
    <row r="6432" ht="11.25" hidden="1" customHeight="1" x14ac:dyDescent="0.25"/>
    <row r="6433" ht="11.25" hidden="1" customHeight="1" x14ac:dyDescent="0.25"/>
    <row r="6434" ht="11.25" hidden="1" customHeight="1" x14ac:dyDescent="0.25"/>
    <row r="6435" ht="11.25" hidden="1" customHeight="1" x14ac:dyDescent="0.25"/>
    <row r="6436" ht="11.25" hidden="1" customHeight="1" x14ac:dyDescent="0.25"/>
    <row r="6437" ht="11.25" hidden="1" customHeight="1" x14ac:dyDescent="0.25"/>
    <row r="6438" ht="11.25" hidden="1" customHeight="1" x14ac:dyDescent="0.25"/>
    <row r="6439" ht="11.25" hidden="1" customHeight="1" x14ac:dyDescent="0.25"/>
    <row r="6440" ht="11.25" hidden="1" customHeight="1" x14ac:dyDescent="0.25"/>
    <row r="6441" ht="11.25" hidden="1" customHeight="1" x14ac:dyDescent="0.25"/>
    <row r="6442" ht="11.25" hidden="1" customHeight="1" x14ac:dyDescent="0.25"/>
    <row r="6443" ht="11.25" hidden="1" customHeight="1" x14ac:dyDescent="0.25"/>
    <row r="6444" ht="11.25" hidden="1" customHeight="1" x14ac:dyDescent="0.25"/>
    <row r="6445" ht="11.25" hidden="1" customHeight="1" x14ac:dyDescent="0.25"/>
    <row r="6446" ht="11.25" hidden="1" customHeight="1" x14ac:dyDescent="0.25"/>
    <row r="6447" ht="11.25" hidden="1" customHeight="1" x14ac:dyDescent="0.25"/>
    <row r="6448" ht="11.25" hidden="1" customHeight="1" x14ac:dyDescent="0.25"/>
    <row r="6449" ht="11.25" hidden="1" customHeight="1" x14ac:dyDescent="0.25"/>
    <row r="6450" ht="11.25" hidden="1" customHeight="1" x14ac:dyDescent="0.25"/>
    <row r="6451" ht="11.25" hidden="1" customHeight="1" x14ac:dyDescent="0.25"/>
    <row r="6452" ht="11.25" hidden="1" customHeight="1" x14ac:dyDescent="0.25"/>
    <row r="6453" ht="11.25" hidden="1" customHeight="1" x14ac:dyDescent="0.25"/>
    <row r="6454" ht="11.25" hidden="1" customHeight="1" x14ac:dyDescent="0.25"/>
    <row r="6455" ht="11.25" hidden="1" customHeight="1" x14ac:dyDescent="0.25"/>
    <row r="6456" ht="11.25" hidden="1" customHeight="1" x14ac:dyDescent="0.25"/>
    <row r="6457" ht="11.25" hidden="1" customHeight="1" x14ac:dyDescent="0.25"/>
    <row r="6458" ht="11.25" hidden="1" customHeight="1" x14ac:dyDescent="0.25"/>
    <row r="6459" ht="11.25" hidden="1" customHeight="1" x14ac:dyDescent="0.25"/>
    <row r="6460" ht="11.25" hidden="1" customHeight="1" x14ac:dyDescent="0.25"/>
    <row r="6461" ht="11.25" hidden="1" customHeight="1" x14ac:dyDescent="0.25"/>
    <row r="6462" ht="11.25" hidden="1" customHeight="1" x14ac:dyDescent="0.25"/>
    <row r="6463" ht="11.25" hidden="1" customHeight="1" x14ac:dyDescent="0.25"/>
    <row r="6464" ht="11.25" hidden="1" customHeight="1" x14ac:dyDescent="0.25"/>
    <row r="6465" ht="11.25" hidden="1" customHeight="1" x14ac:dyDescent="0.25"/>
    <row r="6466" ht="11.25" hidden="1" customHeight="1" x14ac:dyDescent="0.25"/>
    <row r="6467" ht="11.25" hidden="1" customHeight="1" x14ac:dyDescent="0.25"/>
    <row r="6468" ht="11.25" hidden="1" customHeight="1" x14ac:dyDescent="0.25"/>
    <row r="6469" ht="11.25" hidden="1" customHeight="1" x14ac:dyDescent="0.25"/>
    <row r="6470" ht="11.25" hidden="1" customHeight="1" x14ac:dyDescent="0.25"/>
    <row r="6471" ht="11.25" hidden="1" customHeight="1" x14ac:dyDescent="0.25"/>
    <row r="6472" ht="11.25" hidden="1" customHeight="1" x14ac:dyDescent="0.25"/>
    <row r="6473" ht="11.25" hidden="1" customHeight="1" x14ac:dyDescent="0.25"/>
    <row r="6474" ht="11.25" hidden="1" customHeight="1" x14ac:dyDescent="0.25"/>
    <row r="6475" ht="11.25" hidden="1" customHeight="1" x14ac:dyDescent="0.25"/>
    <row r="6476" ht="11.25" hidden="1" customHeight="1" x14ac:dyDescent="0.25"/>
    <row r="6477" ht="11.25" hidden="1" customHeight="1" x14ac:dyDescent="0.25"/>
    <row r="6478" ht="11.25" hidden="1" customHeight="1" x14ac:dyDescent="0.25"/>
    <row r="6479" ht="11.25" hidden="1" customHeight="1" x14ac:dyDescent="0.25"/>
    <row r="6480" ht="11.25" hidden="1" customHeight="1" x14ac:dyDescent="0.25"/>
    <row r="6481" ht="11.25" hidden="1" customHeight="1" x14ac:dyDescent="0.25"/>
    <row r="6482" ht="11.25" hidden="1" customHeight="1" x14ac:dyDescent="0.25"/>
    <row r="6483" ht="11.25" hidden="1" customHeight="1" x14ac:dyDescent="0.25"/>
    <row r="6484" ht="11.25" hidden="1" customHeight="1" x14ac:dyDescent="0.25"/>
    <row r="6485" ht="11.25" hidden="1" customHeight="1" x14ac:dyDescent="0.25"/>
    <row r="6486" ht="11.25" hidden="1" customHeight="1" x14ac:dyDescent="0.25"/>
    <row r="6487" ht="11.25" hidden="1" customHeight="1" x14ac:dyDescent="0.25"/>
    <row r="6488" ht="11.25" hidden="1" customHeight="1" x14ac:dyDescent="0.25"/>
    <row r="6489" ht="11.25" hidden="1" customHeight="1" x14ac:dyDescent="0.25"/>
    <row r="6490" ht="11.25" hidden="1" customHeight="1" x14ac:dyDescent="0.25"/>
    <row r="6491" ht="11.25" hidden="1" customHeight="1" x14ac:dyDescent="0.25"/>
    <row r="6492" ht="11.25" hidden="1" customHeight="1" x14ac:dyDescent="0.25"/>
    <row r="6493" ht="11.25" hidden="1" customHeight="1" x14ac:dyDescent="0.25"/>
    <row r="6494" ht="11.25" hidden="1" customHeight="1" x14ac:dyDescent="0.25"/>
    <row r="6495" ht="11.25" hidden="1" customHeight="1" x14ac:dyDescent="0.25"/>
    <row r="6496" ht="11.25" hidden="1" customHeight="1" x14ac:dyDescent="0.25"/>
    <row r="6497" ht="11.25" hidden="1" customHeight="1" x14ac:dyDescent="0.25"/>
    <row r="6498" ht="11.25" hidden="1" customHeight="1" x14ac:dyDescent="0.25"/>
    <row r="6499" ht="11.25" hidden="1" customHeight="1" x14ac:dyDescent="0.25"/>
    <row r="6500" ht="11.25" hidden="1" customHeight="1" x14ac:dyDescent="0.25"/>
    <row r="6501" ht="11.25" hidden="1" customHeight="1" x14ac:dyDescent="0.25"/>
    <row r="6502" ht="11.25" hidden="1" customHeight="1" x14ac:dyDescent="0.25"/>
    <row r="6503" ht="11.25" hidden="1" customHeight="1" x14ac:dyDescent="0.25"/>
    <row r="6504" ht="11.25" hidden="1" customHeight="1" x14ac:dyDescent="0.25"/>
    <row r="6505" ht="11.25" hidden="1" customHeight="1" x14ac:dyDescent="0.25"/>
    <row r="6506" ht="11.25" hidden="1" customHeight="1" x14ac:dyDescent="0.25"/>
    <row r="6507" ht="11.25" hidden="1" customHeight="1" x14ac:dyDescent="0.25"/>
    <row r="6508" ht="11.25" hidden="1" customHeight="1" x14ac:dyDescent="0.25"/>
    <row r="6509" ht="11.25" hidden="1" customHeight="1" x14ac:dyDescent="0.25"/>
    <row r="6510" ht="11.25" hidden="1" customHeight="1" x14ac:dyDescent="0.25"/>
    <row r="6511" ht="11.25" hidden="1" customHeight="1" x14ac:dyDescent="0.25"/>
    <row r="6512" ht="11.25" hidden="1" customHeight="1" x14ac:dyDescent="0.25"/>
    <row r="6513" ht="11.25" hidden="1" customHeight="1" x14ac:dyDescent="0.25"/>
    <row r="6514" ht="11.25" hidden="1" customHeight="1" x14ac:dyDescent="0.25"/>
    <row r="6515" ht="11.25" hidden="1" customHeight="1" x14ac:dyDescent="0.25"/>
    <row r="6516" ht="11.25" hidden="1" customHeight="1" x14ac:dyDescent="0.25"/>
    <row r="6517" ht="11.25" hidden="1" customHeight="1" x14ac:dyDescent="0.25"/>
    <row r="6518" ht="11.25" hidden="1" customHeight="1" x14ac:dyDescent="0.25"/>
    <row r="6519" ht="11.25" hidden="1" customHeight="1" x14ac:dyDescent="0.25"/>
    <row r="6520" ht="11.25" hidden="1" customHeight="1" x14ac:dyDescent="0.25"/>
    <row r="6521" ht="11.25" hidden="1" customHeight="1" x14ac:dyDescent="0.25"/>
    <row r="6522" ht="11.25" hidden="1" customHeight="1" x14ac:dyDescent="0.25"/>
    <row r="6523" ht="11.25" hidden="1" customHeight="1" x14ac:dyDescent="0.25"/>
    <row r="6524" ht="11.25" hidden="1" customHeight="1" x14ac:dyDescent="0.25"/>
    <row r="6525" ht="11.25" hidden="1" customHeight="1" x14ac:dyDescent="0.25"/>
    <row r="6526" ht="11.25" hidden="1" customHeight="1" x14ac:dyDescent="0.25"/>
    <row r="6527" ht="11.25" hidden="1" customHeight="1" x14ac:dyDescent="0.25"/>
    <row r="6528" ht="11.25" hidden="1" customHeight="1" x14ac:dyDescent="0.25"/>
    <row r="6529" ht="11.25" hidden="1" customHeight="1" x14ac:dyDescent="0.25"/>
    <row r="6530" ht="11.25" hidden="1" customHeight="1" x14ac:dyDescent="0.25"/>
    <row r="6531" ht="11.25" hidden="1" customHeight="1" x14ac:dyDescent="0.25"/>
    <row r="6532" ht="11.25" hidden="1" customHeight="1" x14ac:dyDescent="0.25"/>
    <row r="6533" ht="11.25" hidden="1" customHeight="1" x14ac:dyDescent="0.25"/>
    <row r="6534" ht="11.25" hidden="1" customHeight="1" x14ac:dyDescent="0.25"/>
    <row r="6535" ht="11.25" hidden="1" customHeight="1" x14ac:dyDescent="0.25"/>
    <row r="6536" ht="11.25" hidden="1" customHeight="1" x14ac:dyDescent="0.25"/>
    <row r="6537" ht="11.25" hidden="1" customHeight="1" x14ac:dyDescent="0.25"/>
    <row r="6538" ht="11.25" hidden="1" customHeight="1" x14ac:dyDescent="0.25"/>
    <row r="6539" ht="11.25" hidden="1" customHeight="1" x14ac:dyDescent="0.25"/>
    <row r="6540" ht="11.25" hidden="1" customHeight="1" x14ac:dyDescent="0.25"/>
    <row r="6541" ht="11.25" hidden="1" customHeight="1" x14ac:dyDescent="0.25"/>
    <row r="6542" ht="11.25" hidden="1" customHeight="1" x14ac:dyDescent="0.25"/>
    <row r="6543" ht="11.25" hidden="1" customHeight="1" x14ac:dyDescent="0.25"/>
    <row r="6544" ht="11.25" hidden="1" customHeight="1" x14ac:dyDescent="0.25"/>
    <row r="6545" ht="11.25" hidden="1" customHeight="1" x14ac:dyDescent="0.25"/>
    <row r="6546" ht="11.25" hidden="1" customHeight="1" x14ac:dyDescent="0.25"/>
    <row r="6547" ht="11.25" hidden="1" customHeight="1" x14ac:dyDescent="0.25"/>
    <row r="6548" ht="11.25" hidden="1" customHeight="1" x14ac:dyDescent="0.25"/>
    <row r="6549" ht="11.25" hidden="1" customHeight="1" x14ac:dyDescent="0.25"/>
    <row r="6550" ht="11.25" hidden="1" customHeight="1" x14ac:dyDescent="0.25"/>
    <row r="6551" ht="11.25" hidden="1" customHeight="1" x14ac:dyDescent="0.25"/>
    <row r="6552" ht="11.25" hidden="1" customHeight="1" x14ac:dyDescent="0.25"/>
    <row r="6553" ht="11.25" hidden="1" customHeight="1" x14ac:dyDescent="0.25"/>
    <row r="6554" ht="11.25" hidden="1" customHeight="1" x14ac:dyDescent="0.25"/>
    <row r="6555" ht="11.25" hidden="1" customHeight="1" x14ac:dyDescent="0.25"/>
    <row r="6556" ht="11.25" hidden="1" customHeight="1" x14ac:dyDescent="0.25"/>
    <row r="6557" ht="11.25" hidden="1" customHeight="1" x14ac:dyDescent="0.25"/>
    <row r="6558" ht="11.25" hidden="1" customHeight="1" x14ac:dyDescent="0.25"/>
    <row r="6559" ht="11.25" hidden="1" customHeight="1" x14ac:dyDescent="0.25"/>
    <row r="6560" ht="11.25" hidden="1" customHeight="1" x14ac:dyDescent="0.25"/>
    <row r="6561" ht="11.25" hidden="1" customHeight="1" x14ac:dyDescent="0.25"/>
    <row r="6562" ht="11.25" hidden="1" customHeight="1" x14ac:dyDescent="0.25"/>
    <row r="6563" ht="11.25" hidden="1" customHeight="1" x14ac:dyDescent="0.25"/>
    <row r="6564" ht="11.25" hidden="1" customHeight="1" x14ac:dyDescent="0.25"/>
    <row r="6565" ht="11.25" hidden="1" customHeight="1" x14ac:dyDescent="0.25"/>
    <row r="6566" ht="11.25" hidden="1" customHeight="1" x14ac:dyDescent="0.25"/>
    <row r="6567" ht="11.25" hidden="1" customHeight="1" x14ac:dyDescent="0.25"/>
    <row r="6568" ht="11.25" hidden="1" customHeight="1" x14ac:dyDescent="0.25"/>
    <row r="6569" ht="11.25" hidden="1" customHeight="1" x14ac:dyDescent="0.25"/>
    <row r="6570" ht="11.25" hidden="1" customHeight="1" x14ac:dyDescent="0.25"/>
    <row r="6571" ht="11.25" hidden="1" customHeight="1" x14ac:dyDescent="0.25"/>
    <row r="6572" ht="11.25" hidden="1" customHeight="1" x14ac:dyDescent="0.25"/>
    <row r="6573" ht="11.25" hidden="1" customHeight="1" x14ac:dyDescent="0.25"/>
    <row r="6574" ht="11.25" hidden="1" customHeight="1" x14ac:dyDescent="0.25"/>
    <row r="6575" ht="11.25" hidden="1" customHeight="1" x14ac:dyDescent="0.25"/>
    <row r="6576" ht="11.25" hidden="1" customHeight="1" x14ac:dyDescent="0.25"/>
    <row r="6577" ht="11.25" hidden="1" customHeight="1" x14ac:dyDescent="0.25"/>
    <row r="6578" ht="11.25" hidden="1" customHeight="1" x14ac:dyDescent="0.25"/>
    <row r="6579" ht="11.25" hidden="1" customHeight="1" x14ac:dyDescent="0.25"/>
    <row r="6580" ht="11.25" hidden="1" customHeight="1" x14ac:dyDescent="0.25"/>
    <row r="6581" ht="11.25" hidden="1" customHeight="1" x14ac:dyDescent="0.25"/>
    <row r="6582" ht="11.25" hidden="1" customHeight="1" x14ac:dyDescent="0.25"/>
    <row r="6583" ht="11.25" hidden="1" customHeight="1" x14ac:dyDescent="0.25"/>
    <row r="6584" ht="11.25" hidden="1" customHeight="1" x14ac:dyDescent="0.25"/>
    <row r="6585" ht="11.25" hidden="1" customHeight="1" x14ac:dyDescent="0.25"/>
    <row r="6586" ht="11.25" hidden="1" customHeight="1" x14ac:dyDescent="0.25"/>
    <row r="6587" ht="11.25" hidden="1" customHeight="1" x14ac:dyDescent="0.25"/>
    <row r="6588" ht="11.25" hidden="1" customHeight="1" x14ac:dyDescent="0.25"/>
    <row r="6589" ht="11.25" hidden="1" customHeight="1" x14ac:dyDescent="0.25"/>
    <row r="6590" ht="11.25" hidden="1" customHeight="1" x14ac:dyDescent="0.25"/>
    <row r="6591" ht="11.25" hidden="1" customHeight="1" x14ac:dyDescent="0.25"/>
    <row r="6592" ht="11.25" hidden="1" customHeight="1" x14ac:dyDescent="0.25"/>
    <row r="6593" ht="11.25" hidden="1" customHeight="1" x14ac:dyDescent="0.25"/>
    <row r="6594" ht="11.25" hidden="1" customHeight="1" x14ac:dyDescent="0.25"/>
    <row r="6595" ht="11.25" hidden="1" customHeight="1" x14ac:dyDescent="0.25"/>
    <row r="6596" ht="11.25" hidden="1" customHeight="1" x14ac:dyDescent="0.25"/>
    <row r="6597" ht="11.25" hidden="1" customHeight="1" x14ac:dyDescent="0.25"/>
    <row r="6598" ht="11.25" hidden="1" customHeight="1" x14ac:dyDescent="0.25"/>
    <row r="6599" ht="11.25" hidden="1" customHeight="1" x14ac:dyDescent="0.25"/>
    <row r="6600" ht="11.25" hidden="1" customHeight="1" x14ac:dyDescent="0.25"/>
    <row r="6601" ht="11.25" hidden="1" customHeight="1" x14ac:dyDescent="0.25"/>
    <row r="6602" ht="11.25" hidden="1" customHeight="1" x14ac:dyDescent="0.25"/>
    <row r="6603" ht="11.25" hidden="1" customHeight="1" x14ac:dyDescent="0.25"/>
    <row r="6604" ht="11.25" hidden="1" customHeight="1" x14ac:dyDescent="0.25"/>
    <row r="6605" ht="11.25" hidden="1" customHeight="1" x14ac:dyDescent="0.25"/>
    <row r="6606" ht="11.25" hidden="1" customHeight="1" x14ac:dyDescent="0.25"/>
    <row r="6607" ht="11.25" hidden="1" customHeight="1" x14ac:dyDescent="0.25"/>
    <row r="6608" ht="11.25" hidden="1" customHeight="1" x14ac:dyDescent="0.25"/>
    <row r="6609" ht="11.25" hidden="1" customHeight="1" x14ac:dyDescent="0.25"/>
    <row r="6610" ht="11.25" hidden="1" customHeight="1" x14ac:dyDescent="0.25"/>
    <row r="6611" ht="11.25" hidden="1" customHeight="1" x14ac:dyDescent="0.25"/>
    <row r="6612" ht="11.25" hidden="1" customHeight="1" x14ac:dyDescent="0.25"/>
    <row r="6613" ht="11.25" hidden="1" customHeight="1" x14ac:dyDescent="0.25"/>
    <row r="6614" ht="11.25" hidden="1" customHeight="1" x14ac:dyDescent="0.25"/>
    <row r="6615" ht="11.25" hidden="1" customHeight="1" x14ac:dyDescent="0.25"/>
    <row r="6616" ht="11.25" hidden="1" customHeight="1" x14ac:dyDescent="0.25"/>
    <row r="6617" ht="11.25" hidden="1" customHeight="1" x14ac:dyDescent="0.25"/>
    <row r="6618" ht="11.25" hidden="1" customHeight="1" x14ac:dyDescent="0.25"/>
    <row r="6619" ht="11.25" hidden="1" customHeight="1" x14ac:dyDescent="0.25"/>
    <row r="6620" ht="11.25" hidden="1" customHeight="1" x14ac:dyDescent="0.25"/>
    <row r="6621" ht="11.25" hidden="1" customHeight="1" x14ac:dyDescent="0.25"/>
    <row r="6622" ht="11.25" hidden="1" customHeight="1" x14ac:dyDescent="0.25"/>
    <row r="6623" ht="11.25" hidden="1" customHeight="1" x14ac:dyDescent="0.25"/>
    <row r="6624" ht="11.25" hidden="1" customHeight="1" x14ac:dyDescent="0.25"/>
    <row r="6625" ht="11.25" hidden="1" customHeight="1" x14ac:dyDescent="0.25"/>
    <row r="6626" ht="11.25" hidden="1" customHeight="1" x14ac:dyDescent="0.25"/>
    <row r="6627" ht="11.25" hidden="1" customHeight="1" x14ac:dyDescent="0.25"/>
    <row r="6628" ht="11.25" hidden="1" customHeight="1" x14ac:dyDescent="0.25"/>
    <row r="6629" ht="11.25" hidden="1" customHeight="1" x14ac:dyDescent="0.25"/>
    <row r="6630" ht="11.25" hidden="1" customHeight="1" x14ac:dyDescent="0.25"/>
    <row r="6631" ht="11.25" hidden="1" customHeight="1" x14ac:dyDescent="0.25"/>
    <row r="6632" ht="11.25" hidden="1" customHeight="1" x14ac:dyDescent="0.25"/>
    <row r="6633" ht="11.25" hidden="1" customHeight="1" x14ac:dyDescent="0.25"/>
    <row r="6634" ht="11.25" hidden="1" customHeight="1" x14ac:dyDescent="0.25"/>
    <row r="6635" ht="11.25" hidden="1" customHeight="1" x14ac:dyDescent="0.25"/>
    <row r="6636" ht="11.25" hidden="1" customHeight="1" x14ac:dyDescent="0.25"/>
    <row r="6637" ht="11.25" hidden="1" customHeight="1" x14ac:dyDescent="0.25"/>
    <row r="6638" ht="11.25" hidden="1" customHeight="1" x14ac:dyDescent="0.25"/>
    <row r="6639" ht="11.25" hidden="1" customHeight="1" x14ac:dyDescent="0.25"/>
    <row r="6640" ht="11.25" hidden="1" customHeight="1" x14ac:dyDescent="0.25"/>
    <row r="6641" ht="11.25" hidden="1" customHeight="1" x14ac:dyDescent="0.25"/>
    <row r="6642" ht="11.25" hidden="1" customHeight="1" x14ac:dyDescent="0.25"/>
    <row r="6643" ht="11.25" hidden="1" customHeight="1" x14ac:dyDescent="0.25"/>
    <row r="6644" ht="11.25" hidden="1" customHeight="1" x14ac:dyDescent="0.25"/>
    <row r="6645" ht="11.25" hidden="1" customHeight="1" x14ac:dyDescent="0.25"/>
    <row r="6646" ht="11.25" hidden="1" customHeight="1" x14ac:dyDescent="0.25"/>
    <row r="6647" ht="11.25" hidden="1" customHeight="1" x14ac:dyDescent="0.25"/>
    <row r="6648" ht="11.25" hidden="1" customHeight="1" x14ac:dyDescent="0.25"/>
    <row r="6649" ht="11.25" hidden="1" customHeight="1" x14ac:dyDescent="0.25"/>
    <row r="6650" ht="11.25" hidden="1" customHeight="1" x14ac:dyDescent="0.25"/>
    <row r="6651" ht="11.25" hidden="1" customHeight="1" x14ac:dyDescent="0.25"/>
    <row r="6652" ht="11.25" hidden="1" customHeight="1" x14ac:dyDescent="0.25"/>
    <row r="6653" ht="11.25" hidden="1" customHeight="1" x14ac:dyDescent="0.25"/>
    <row r="6654" ht="11.25" hidden="1" customHeight="1" x14ac:dyDescent="0.25"/>
    <row r="6655" ht="11.25" hidden="1" customHeight="1" x14ac:dyDescent="0.25"/>
    <row r="6656" ht="11.25" hidden="1" customHeight="1" x14ac:dyDescent="0.25"/>
    <row r="6657" ht="11.25" hidden="1" customHeight="1" x14ac:dyDescent="0.25"/>
    <row r="6658" ht="11.25" hidden="1" customHeight="1" x14ac:dyDescent="0.25"/>
    <row r="6659" ht="11.25" hidden="1" customHeight="1" x14ac:dyDescent="0.25"/>
    <row r="6660" ht="11.25" hidden="1" customHeight="1" x14ac:dyDescent="0.25"/>
    <row r="6661" ht="11.25" hidden="1" customHeight="1" x14ac:dyDescent="0.25"/>
    <row r="6662" ht="11.25" hidden="1" customHeight="1" x14ac:dyDescent="0.25"/>
    <row r="6663" ht="11.25" hidden="1" customHeight="1" x14ac:dyDescent="0.25"/>
    <row r="6664" ht="11.25" hidden="1" customHeight="1" x14ac:dyDescent="0.25"/>
    <row r="6665" ht="11.25" hidden="1" customHeight="1" x14ac:dyDescent="0.25"/>
    <row r="6666" ht="11.25" hidden="1" customHeight="1" x14ac:dyDescent="0.25"/>
    <row r="6667" ht="11.25" hidden="1" customHeight="1" x14ac:dyDescent="0.25"/>
    <row r="6668" ht="11.25" hidden="1" customHeight="1" x14ac:dyDescent="0.25"/>
    <row r="6669" ht="11.25" hidden="1" customHeight="1" x14ac:dyDescent="0.25"/>
    <row r="6670" ht="11.25" hidden="1" customHeight="1" x14ac:dyDescent="0.25"/>
    <row r="6671" ht="11.25" hidden="1" customHeight="1" x14ac:dyDescent="0.25"/>
    <row r="6672" ht="11.25" hidden="1" customHeight="1" x14ac:dyDescent="0.25"/>
    <row r="6673" ht="11.25" hidden="1" customHeight="1" x14ac:dyDescent="0.25"/>
    <row r="6674" ht="11.25" hidden="1" customHeight="1" x14ac:dyDescent="0.25"/>
    <row r="6675" ht="11.25" hidden="1" customHeight="1" x14ac:dyDescent="0.25"/>
    <row r="6676" ht="11.25" hidden="1" customHeight="1" x14ac:dyDescent="0.25"/>
    <row r="6677" ht="11.25" hidden="1" customHeight="1" x14ac:dyDescent="0.25"/>
    <row r="6678" ht="11.25" hidden="1" customHeight="1" x14ac:dyDescent="0.25"/>
    <row r="6679" ht="11.25" hidden="1" customHeight="1" x14ac:dyDescent="0.25"/>
    <row r="6680" ht="11.25" hidden="1" customHeight="1" x14ac:dyDescent="0.25"/>
    <row r="6681" ht="11.25" hidden="1" customHeight="1" x14ac:dyDescent="0.25"/>
    <row r="6682" ht="11.25" hidden="1" customHeight="1" x14ac:dyDescent="0.25"/>
    <row r="6683" ht="11.25" hidden="1" customHeight="1" x14ac:dyDescent="0.25"/>
    <row r="6684" ht="11.25" hidden="1" customHeight="1" x14ac:dyDescent="0.25"/>
    <row r="6685" ht="11.25" hidden="1" customHeight="1" x14ac:dyDescent="0.25"/>
    <row r="6686" ht="11.25" hidden="1" customHeight="1" x14ac:dyDescent="0.25"/>
    <row r="6687" ht="11.25" hidden="1" customHeight="1" x14ac:dyDescent="0.25"/>
    <row r="6688" ht="11.25" hidden="1" customHeight="1" x14ac:dyDescent="0.25"/>
    <row r="6689" ht="11.25" hidden="1" customHeight="1" x14ac:dyDescent="0.25"/>
    <row r="6690" ht="11.25" hidden="1" customHeight="1" x14ac:dyDescent="0.25"/>
    <row r="6691" ht="11.25" hidden="1" customHeight="1" x14ac:dyDescent="0.25"/>
    <row r="6692" ht="11.25" hidden="1" customHeight="1" x14ac:dyDescent="0.25"/>
    <row r="6693" ht="11.25" hidden="1" customHeight="1" x14ac:dyDescent="0.25"/>
    <row r="6694" ht="11.25" hidden="1" customHeight="1" x14ac:dyDescent="0.25"/>
    <row r="6695" ht="11.25" hidden="1" customHeight="1" x14ac:dyDescent="0.25"/>
    <row r="6696" ht="11.25" hidden="1" customHeight="1" x14ac:dyDescent="0.25"/>
    <row r="6697" ht="11.25" hidden="1" customHeight="1" x14ac:dyDescent="0.25"/>
    <row r="6698" ht="11.25" hidden="1" customHeight="1" x14ac:dyDescent="0.25"/>
    <row r="6699" ht="11.25" hidden="1" customHeight="1" x14ac:dyDescent="0.25"/>
    <row r="6700" ht="11.25" hidden="1" customHeight="1" x14ac:dyDescent="0.25"/>
    <row r="6701" ht="11.25" hidden="1" customHeight="1" x14ac:dyDescent="0.25"/>
    <row r="6702" ht="11.25" hidden="1" customHeight="1" x14ac:dyDescent="0.25"/>
    <row r="6703" ht="11.25" hidden="1" customHeight="1" x14ac:dyDescent="0.25"/>
    <row r="6704" ht="11.25" hidden="1" customHeight="1" x14ac:dyDescent="0.25"/>
    <row r="6705" ht="11.25" hidden="1" customHeight="1" x14ac:dyDescent="0.25"/>
    <row r="6706" ht="11.25" hidden="1" customHeight="1" x14ac:dyDescent="0.25"/>
    <row r="6707" ht="11.25" hidden="1" customHeight="1" x14ac:dyDescent="0.25"/>
    <row r="6708" ht="11.25" hidden="1" customHeight="1" x14ac:dyDescent="0.25"/>
    <row r="6709" ht="11.25" hidden="1" customHeight="1" x14ac:dyDescent="0.25"/>
    <row r="6710" ht="11.25" hidden="1" customHeight="1" x14ac:dyDescent="0.25"/>
    <row r="6711" ht="11.25" hidden="1" customHeight="1" x14ac:dyDescent="0.25"/>
    <row r="6712" ht="11.25" hidden="1" customHeight="1" x14ac:dyDescent="0.25"/>
    <row r="6713" ht="11.25" hidden="1" customHeight="1" x14ac:dyDescent="0.25"/>
    <row r="6714" ht="11.25" hidden="1" customHeight="1" x14ac:dyDescent="0.25"/>
    <row r="6715" ht="11.25" hidden="1" customHeight="1" x14ac:dyDescent="0.25"/>
    <row r="6716" ht="11.25" hidden="1" customHeight="1" x14ac:dyDescent="0.25"/>
    <row r="6717" ht="11.25" hidden="1" customHeight="1" x14ac:dyDescent="0.25"/>
    <row r="6718" ht="11.25" hidden="1" customHeight="1" x14ac:dyDescent="0.25"/>
    <row r="6719" ht="11.25" hidden="1" customHeight="1" x14ac:dyDescent="0.25"/>
    <row r="6720" ht="11.25" hidden="1" customHeight="1" x14ac:dyDescent="0.25"/>
    <row r="6721" ht="11.25" hidden="1" customHeight="1" x14ac:dyDescent="0.25"/>
    <row r="6722" ht="11.25" hidden="1" customHeight="1" x14ac:dyDescent="0.25"/>
    <row r="6723" ht="11.25" hidden="1" customHeight="1" x14ac:dyDescent="0.25"/>
    <row r="6724" ht="11.25" hidden="1" customHeight="1" x14ac:dyDescent="0.25"/>
    <row r="6725" ht="11.25" hidden="1" customHeight="1" x14ac:dyDescent="0.25"/>
    <row r="6726" ht="11.25" hidden="1" customHeight="1" x14ac:dyDescent="0.25"/>
    <row r="6727" ht="11.25" hidden="1" customHeight="1" x14ac:dyDescent="0.25"/>
    <row r="6728" ht="11.25" hidden="1" customHeight="1" x14ac:dyDescent="0.25"/>
    <row r="6729" ht="11.25" hidden="1" customHeight="1" x14ac:dyDescent="0.25"/>
    <row r="6730" ht="11.25" hidden="1" customHeight="1" x14ac:dyDescent="0.25"/>
    <row r="6731" ht="11.25" hidden="1" customHeight="1" x14ac:dyDescent="0.25"/>
    <row r="6732" ht="11.25" hidden="1" customHeight="1" x14ac:dyDescent="0.25"/>
    <row r="6733" ht="11.25" hidden="1" customHeight="1" x14ac:dyDescent="0.25"/>
    <row r="6734" ht="11.25" hidden="1" customHeight="1" x14ac:dyDescent="0.25"/>
    <row r="6735" ht="11.25" hidden="1" customHeight="1" x14ac:dyDescent="0.25"/>
    <row r="6736" ht="11.25" hidden="1" customHeight="1" x14ac:dyDescent="0.25"/>
    <row r="6737" ht="11.25" hidden="1" customHeight="1" x14ac:dyDescent="0.25"/>
    <row r="6738" ht="11.25" hidden="1" customHeight="1" x14ac:dyDescent="0.25"/>
    <row r="6739" ht="11.25" hidden="1" customHeight="1" x14ac:dyDescent="0.25"/>
    <row r="6740" ht="11.25" hidden="1" customHeight="1" x14ac:dyDescent="0.25"/>
    <row r="6741" ht="11.25" hidden="1" customHeight="1" x14ac:dyDescent="0.25"/>
    <row r="6742" ht="11.25" hidden="1" customHeight="1" x14ac:dyDescent="0.25"/>
    <row r="6743" ht="11.25" hidden="1" customHeight="1" x14ac:dyDescent="0.25"/>
    <row r="6744" ht="11.25" hidden="1" customHeight="1" x14ac:dyDescent="0.25"/>
    <row r="6745" ht="11.25" hidden="1" customHeight="1" x14ac:dyDescent="0.25"/>
    <row r="6746" ht="11.25" hidden="1" customHeight="1" x14ac:dyDescent="0.25"/>
    <row r="6747" ht="11.25" hidden="1" customHeight="1" x14ac:dyDescent="0.25"/>
    <row r="6748" ht="11.25" hidden="1" customHeight="1" x14ac:dyDescent="0.25"/>
    <row r="6749" ht="11.25" hidden="1" customHeight="1" x14ac:dyDescent="0.25"/>
    <row r="6750" ht="11.25" hidden="1" customHeight="1" x14ac:dyDescent="0.25"/>
    <row r="6751" ht="11.25" hidden="1" customHeight="1" x14ac:dyDescent="0.25"/>
    <row r="6752" ht="11.25" hidden="1" customHeight="1" x14ac:dyDescent="0.25"/>
    <row r="6753" ht="11.25" hidden="1" customHeight="1" x14ac:dyDescent="0.25"/>
    <row r="6754" ht="11.25" hidden="1" customHeight="1" x14ac:dyDescent="0.25"/>
    <row r="6755" ht="11.25" hidden="1" customHeight="1" x14ac:dyDescent="0.25"/>
    <row r="6756" ht="11.25" hidden="1" customHeight="1" x14ac:dyDescent="0.25"/>
    <row r="6757" ht="11.25" hidden="1" customHeight="1" x14ac:dyDescent="0.25"/>
    <row r="6758" ht="11.25" hidden="1" customHeight="1" x14ac:dyDescent="0.25"/>
    <row r="6759" ht="11.25" hidden="1" customHeight="1" x14ac:dyDescent="0.25"/>
    <row r="6760" ht="11.25" hidden="1" customHeight="1" x14ac:dyDescent="0.25"/>
    <row r="6761" ht="11.25" hidden="1" customHeight="1" x14ac:dyDescent="0.25"/>
    <row r="6762" ht="11.25" hidden="1" customHeight="1" x14ac:dyDescent="0.25"/>
    <row r="6763" ht="11.25" hidden="1" customHeight="1" x14ac:dyDescent="0.25"/>
    <row r="6764" ht="11.25" hidden="1" customHeight="1" x14ac:dyDescent="0.25"/>
    <row r="6765" ht="11.25" hidden="1" customHeight="1" x14ac:dyDescent="0.25"/>
    <row r="6766" ht="11.25" hidden="1" customHeight="1" x14ac:dyDescent="0.25"/>
    <row r="6767" ht="11.25" hidden="1" customHeight="1" x14ac:dyDescent="0.25"/>
    <row r="6768" ht="11.25" hidden="1" customHeight="1" x14ac:dyDescent="0.25"/>
    <row r="6769" ht="11.25" hidden="1" customHeight="1" x14ac:dyDescent="0.25"/>
    <row r="6770" ht="11.25" hidden="1" customHeight="1" x14ac:dyDescent="0.25"/>
    <row r="6771" ht="11.25" hidden="1" customHeight="1" x14ac:dyDescent="0.25"/>
    <row r="6772" ht="11.25" hidden="1" customHeight="1" x14ac:dyDescent="0.25"/>
    <row r="6773" ht="11.25" hidden="1" customHeight="1" x14ac:dyDescent="0.25"/>
    <row r="6774" ht="11.25" hidden="1" customHeight="1" x14ac:dyDescent="0.25"/>
    <row r="6775" ht="11.25" hidden="1" customHeight="1" x14ac:dyDescent="0.25"/>
    <row r="6776" ht="11.25" hidden="1" customHeight="1" x14ac:dyDescent="0.25"/>
    <row r="6777" ht="11.25" hidden="1" customHeight="1" x14ac:dyDescent="0.25"/>
    <row r="6778" ht="11.25" hidden="1" customHeight="1" x14ac:dyDescent="0.25"/>
    <row r="6779" ht="11.25" hidden="1" customHeight="1" x14ac:dyDescent="0.25"/>
    <row r="6780" ht="11.25" hidden="1" customHeight="1" x14ac:dyDescent="0.25"/>
    <row r="6781" ht="11.25" hidden="1" customHeight="1" x14ac:dyDescent="0.25"/>
    <row r="6782" ht="11.25" hidden="1" customHeight="1" x14ac:dyDescent="0.25"/>
    <row r="6783" ht="11.25" hidden="1" customHeight="1" x14ac:dyDescent="0.25"/>
    <row r="6784" ht="11.25" hidden="1" customHeight="1" x14ac:dyDescent="0.25"/>
    <row r="6785" ht="11.25" hidden="1" customHeight="1" x14ac:dyDescent="0.25"/>
    <row r="6786" ht="11.25" hidden="1" customHeight="1" x14ac:dyDescent="0.25"/>
    <row r="6787" ht="11.25" hidden="1" customHeight="1" x14ac:dyDescent="0.25"/>
    <row r="6788" ht="11.25" hidden="1" customHeight="1" x14ac:dyDescent="0.25"/>
    <row r="6789" ht="11.25" hidden="1" customHeight="1" x14ac:dyDescent="0.25"/>
    <row r="6790" ht="11.25" hidden="1" customHeight="1" x14ac:dyDescent="0.25"/>
    <row r="6791" ht="11.25" hidden="1" customHeight="1" x14ac:dyDescent="0.25"/>
    <row r="6792" ht="11.25" hidden="1" customHeight="1" x14ac:dyDescent="0.25"/>
    <row r="6793" ht="11.25" hidden="1" customHeight="1" x14ac:dyDescent="0.25"/>
    <row r="6794" ht="11.25" hidden="1" customHeight="1" x14ac:dyDescent="0.25"/>
    <row r="6795" ht="11.25" hidden="1" customHeight="1" x14ac:dyDescent="0.25"/>
    <row r="6796" ht="11.25" hidden="1" customHeight="1" x14ac:dyDescent="0.25"/>
    <row r="6797" ht="11.25" hidden="1" customHeight="1" x14ac:dyDescent="0.25"/>
    <row r="6798" ht="11.25" hidden="1" customHeight="1" x14ac:dyDescent="0.25"/>
    <row r="6799" ht="11.25" hidden="1" customHeight="1" x14ac:dyDescent="0.25"/>
    <row r="6800" ht="11.25" hidden="1" customHeight="1" x14ac:dyDescent="0.25"/>
    <row r="6801" ht="11.25" hidden="1" customHeight="1" x14ac:dyDescent="0.25"/>
    <row r="6802" ht="11.25" hidden="1" customHeight="1" x14ac:dyDescent="0.25"/>
    <row r="6803" ht="11.25" hidden="1" customHeight="1" x14ac:dyDescent="0.25"/>
    <row r="6804" ht="11.25" hidden="1" customHeight="1" x14ac:dyDescent="0.25"/>
    <row r="6805" ht="11.25" hidden="1" customHeight="1" x14ac:dyDescent="0.25"/>
    <row r="6806" ht="11.25" hidden="1" customHeight="1" x14ac:dyDescent="0.25"/>
    <row r="6807" ht="11.25" hidden="1" customHeight="1" x14ac:dyDescent="0.25"/>
    <row r="6808" ht="11.25" hidden="1" customHeight="1" x14ac:dyDescent="0.25"/>
    <row r="6809" ht="11.25" hidden="1" customHeight="1" x14ac:dyDescent="0.25"/>
    <row r="6810" ht="11.25" hidden="1" customHeight="1" x14ac:dyDescent="0.25"/>
    <row r="6811" ht="11.25" hidden="1" customHeight="1" x14ac:dyDescent="0.25"/>
    <row r="6812" ht="11.25" hidden="1" customHeight="1" x14ac:dyDescent="0.25"/>
    <row r="6813" ht="11.25" hidden="1" customHeight="1" x14ac:dyDescent="0.25"/>
    <row r="6814" ht="11.25" hidden="1" customHeight="1" x14ac:dyDescent="0.25"/>
    <row r="6815" ht="11.25" hidden="1" customHeight="1" x14ac:dyDescent="0.25"/>
    <row r="6816" ht="11.25" hidden="1" customHeight="1" x14ac:dyDescent="0.25"/>
    <row r="6817" ht="11.25" hidden="1" customHeight="1" x14ac:dyDescent="0.25"/>
    <row r="6818" ht="11.25" hidden="1" customHeight="1" x14ac:dyDescent="0.25"/>
    <row r="6819" ht="11.25" hidden="1" customHeight="1" x14ac:dyDescent="0.25"/>
    <row r="6820" ht="11.25" hidden="1" customHeight="1" x14ac:dyDescent="0.25"/>
    <row r="6821" ht="11.25" hidden="1" customHeight="1" x14ac:dyDescent="0.25"/>
    <row r="6822" ht="11.25" hidden="1" customHeight="1" x14ac:dyDescent="0.25"/>
    <row r="6823" ht="11.25" hidden="1" customHeight="1" x14ac:dyDescent="0.25"/>
    <row r="6824" ht="11.25" hidden="1" customHeight="1" x14ac:dyDescent="0.25"/>
    <row r="6825" ht="11.25" hidden="1" customHeight="1" x14ac:dyDescent="0.25"/>
    <row r="6826" ht="11.25" hidden="1" customHeight="1" x14ac:dyDescent="0.25"/>
    <row r="6827" ht="11.25" hidden="1" customHeight="1" x14ac:dyDescent="0.25"/>
    <row r="6828" ht="11.25" hidden="1" customHeight="1" x14ac:dyDescent="0.25"/>
    <row r="6829" ht="11.25" hidden="1" customHeight="1" x14ac:dyDescent="0.25"/>
    <row r="6830" ht="11.25" hidden="1" customHeight="1" x14ac:dyDescent="0.25"/>
    <row r="6831" ht="11.25" hidden="1" customHeight="1" x14ac:dyDescent="0.25"/>
    <row r="6832" ht="11.25" hidden="1" customHeight="1" x14ac:dyDescent="0.25"/>
    <row r="6833" ht="11.25" hidden="1" customHeight="1" x14ac:dyDescent="0.25"/>
    <row r="6834" ht="11.25" hidden="1" customHeight="1" x14ac:dyDescent="0.25"/>
    <row r="6835" ht="11.25" hidden="1" customHeight="1" x14ac:dyDescent="0.25"/>
    <row r="6836" ht="11.25" hidden="1" customHeight="1" x14ac:dyDescent="0.25"/>
    <row r="6837" ht="11.25" hidden="1" customHeight="1" x14ac:dyDescent="0.25"/>
    <row r="6838" ht="11.25" hidden="1" customHeight="1" x14ac:dyDescent="0.25"/>
    <row r="6839" ht="11.25" hidden="1" customHeight="1" x14ac:dyDescent="0.25"/>
    <row r="6840" ht="11.25" hidden="1" customHeight="1" x14ac:dyDescent="0.25"/>
    <row r="6841" ht="11.25" hidden="1" customHeight="1" x14ac:dyDescent="0.25"/>
    <row r="6842" ht="11.25" hidden="1" customHeight="1" x14ac:dyDescent="0.25"/>
    <row r="6843" ht="11.25" hidden="1" customHeight="1" x14ac:dyDescent="0.25"/>
    <row r="6844" ht="11.25" hidden="1" customHeight="1" x14ac:dyDescent="0.25"/>
    <row r="6845" ht="11.25" hidden="1" customHeight="1" x14ac:dyDescent="0.25"/>
    <row r="6846" ht="11.25" hidden="1" customHeight="1" x14ac:dyDescent="0.25"/>
    <row r="6847" ht="11.25" hidden="1" customHeight="1" x14ac:dyDescent="0.25"/>
    <row r="6848" ht="11.25" hidden="1" customHeight="1" x14ac:dyDescent="0.25"/>
    <row r="6849" ht="11.25" hidden="1" customHeight="1" x14ac:dyDescent="0.25"/>
    <row r="6850" ht="11.25" hidden="1" customHeight="1" x14ac:dyDescent="0.25"/>
    <row r="6851" ht="11.25" hidden="1" customHeight="1" x14ac:dyDescent="0.25"/>
    <row r="6852" ht="11.25" hidden="1" customHeight="1" x14ac:dyDescent="0.25"/>
    <row r="6853" ht="11.25" hidden="1" customHeight="1" x14ac:dyDescent="0.25"/>
    <row r="6854" ht="11.25" hidden="1" customHeight="1" x14ac:dyDescent="0.25"/>
    <row r="6855" ht="11.25" hidden="1" customHeight="1" x14ac:dyDescent="0.25"/>
    <row r="6856" ht="11.25" hidden="1" customHeight="1" x14ac:dyDescent="0.25"/>
    <row r="6857" ht="11.25" hidden="1" customHeight="1" x14ac:dyDescent="0.25"/>
    <row r="6858" ht="11.25" hidden="1" customHeight="1" x14ac:dyDescent="0.25"/>
    <row r="6859" ht="11.25" hidden="1" customHeight="1" x14ac:dyDescent="0.25"/>
    <row r="6860" ht="11.25" hidden="1" customHeight="1" x14ac:dyDescent="0.25"/>
    <row r="6861" ht="11.25" hidden="1" customHeight="1" x14ac:dyDescent="0.25"/>
    <row r="6862" ht="11.25" hidden="1" customHeight="1" x14ac:dyDescent="0.25"/>
    <row r="6863" ht="11.25" hidden="1" customHeight="1" x14ac:dyDescent="0.25"/>
    <row r="6864" ht="11.25" hidden="1" customHeight="1" x14ac:dyDescent="0.25"/>
    <row r="6865" ht="11.25" hidden="1" customHeight="1" x14ac:dyDescent="0.25"/>
    <row r="6866" ht="11.25" hidden="1" customHeight="1" x14ac:dyDescent="0.25"/>
    <row r="6867" ht="11.25" hidden="1" customHeight="1" x14ac:dyDescent="0.25"/>
    <row r="6868" ht="11.25" hidden="1" customHeight="1" x14ac:dyDescent="0.25"/>
    <row r="6869" ht="11.25" hidden="1" customHeight="1" x14ac:dyDescent="0.25"/>
    <row r="6870" ht="11.25" hidden="1" customHeight="1" x14ac:dyDescent="0.25"/>
    <row r="6871" ht="11.25" hidden="1" customHeight="1" x14ac:dyDescent="0.25"/>
    <row r="6872" ht="11.25" hidden="1" customHeight="1" x14ac:dyDescent="0.25"/>
    <row r="6873" ht="11.25" hidden="1" customHeight="1" x14ac:dyDescent="0.25"/>
    <row r="6874" ht="11.25" hidden="1" customHeight="1" x14ac:dyDescent="0.25"/>
    <row r="6875" ht="11.25" hidden="1" customHeight="1" x14ac:dyDescent="0.25"/>
    <row r="6876" ht="11.25" hidden="1" customHeight="1" x14ac:dyDescent="0.25"/>
    <row r="6877" ht="11.25" hidden="1" customHeight="1" x14ac:dyDescent="0.25"/>
    <row r="6878" ht="11.25" hidden="1" customHeight="1" x14ac:dyDescent="0.25"/>
    <row r="6879" ht="11.25" hidden="1" customHeight="1" x14ac:dyDescent="0.25"/>
    <row r="6880" ht="11.25" hidden="1" customHeight="1" x14ac:dyDescent="0.25"/>
    <row r="6881" ht="11.25" hidden="1" customHeight="1" x14ac:dyDescent="0.25"/>
    <row r="6882" ht="11.25" hidden="1" customHeight="1" x14ac:dyDescent="0.25"/>
    <row r="6883" ht="11.25" hidden="1" customHeight="1" x14ac:dyDescent="0.25"/>
    <row r="6884" ht="11.25" hidden="1" customHeight="1" x14ac:dyDescent="0.25"/>
    <row r="6885" ht="11.25" hidden="1" customHeight="1" x14ac:dyDescent="0.25"/>
    <row r="6886" ht="11.25" hidden="1" customHeight="1" x14ac:dyDescent="0.25"/>
    <row r="6887" ht="11.25" hidden="1" customHeight="1" x14ac:dyDescent="0.25"/>
    <row r="6888" ht="11.25" hidden="1" customHeight="1" x14ac:dyDescent="0.25"/>
    <row r="6889" ht="11.25" hidden="1" customHeight="1" x14ac:dyDescent="0.25"/>
    <row r="6890" ht="11.25" hidden="1" customHeight="1" x14ac:dyDescent="0.25"/>
    <row r="6891" ht="11.25" hidden="1" customHeight="1" x14ac:dyDescent="0.25"/>
    <row r="6892" ht="11.25" hidden="1" customHeight="1" x14ac:dyDescent="0.25"/>
    <row r="6893" ht="11.25" hidden="1" customHeight="1" x14ac:dyDescent="0.25"/>
    <row r="6894" ht="11.25" hidden="1" customHeight="1" x14ac:dyDescent="0.25"/>
    <row r="6895" ht="11.25" hidden="1" customHeight="1" x14ac:dyDescent="0.25"/>
    <row r="6896" ht="11.25" hidden="1" customHeight="1" x14ac:dyDescent="0.25"/>
    <row r="6897" ht="11.25" hidden="1" customHeight="1" x14ac:dyDescent="0.25"/>
    <row r="6898" ht="11.25" hidden="1" customHeight="1" x14ac:dyDescent="0.25"/>
    <row r="6899" ht="11.25" hidden="1" customHeight="1" x14ac:dyDescent="0.25"/>
    <row r="6900" ht="11.25" hidden="1" customHeight="1" x14ac:dyDescent="0.25"/>
    <row r="6901" ht="11.25" hidden="1" customHeight="1" x14ac:dyDescent="0.25"/>
    <row r="6902" ht="11.25" hidden="1" customHeight="1" x14ac:dyDescent="0.25"/>
    <row r="6903" ht="11.25" hidden="1" customHeight="1" x14ac:dyDescent="0.25"/>
    <row r="6904" ht="11.25" hidden="1" customHeight="1" x14ac:dyDescent="0.25"/>
    <row r="6905" ht="11.25" hidden="1" customHeight="1" x14ac:dyDescent="0.25"/>
    <row r="6906" ht="11.25" hidden="1" customHeight="1" x14ac:dyDescent="0.25"/>
    <row r="6907" ht="11.25" hidden="1" customHeight="1" x14ac:dyDescent="0.25"/>
    <row r="6908" ht="11.25" hidden="1" customHeight="1" x14ac:dyDescent="0.25"/>
    <row r="6909" ht="11.25" hidden="1" customHeight="1" x14ac:dyDescent="0.25"/>
    <row r="6910" ht="11.25" hidden="1" customHeight="1" x14ac:dyDescent="0.25"/>
    <row r="6911" ht="11.25" hidden="1" customHeight="1" x14ac:dyDescent="0.25"/>
    <row r="6912" ht="11.25" hidden="1" customHeight="1" x14ac:dyDescent="0.25"/>
    <row r="6913" ht="11.25" hidden="1" customHeight="1" x14ac:dyDescent="0.25"/>
    <row r="6914" ht="11.25" hidden="1" customHeight="1" x14ac:dyDescent="0.25"/>
    <row r="6915" ht="11.25" hidden="1" customHeight="1" x14ac:dyDescent="0.25"/>
    <row r="6916" ht="11.25" hidden="1" customHeight="1" x14ac:dyDescent="0.25"/>
    <row r="6917" ht="11.25" hidden="1" customHeight="1" x14ac:dyDescent="0.25"/>
    <row r="6918" ht="11.25" hidden="1" customHeight="1" x14ac:dyDescent="0.25"/>
    <row r="6919" ht="11.25" hidden="1" customHeight="1" x14ac:dyDescent="0.25"/>
    <row r="6920" ht="11.25" hidden="1" customHeight="1" x14ac:dyDescent="0.25"/>
    <row r="6921" ht="11.25" hidden="1" customHeight="1" x14ac:dyDescent="0.25"/>
    <row r="6922" ht="11.25" hidden="1" customHeight="1" x14ac:dyDescent="0.25"/>
    <row r="6923" ht="11.25" hidden="1" customHeight="1" x14ac:dyDescent="0.25"/>
    <row r="6924" ht="11.25" hidden="1" customHeight="1" x14ac:dyDescent="0.25"/>
    <row r="6925" ht="11.25" hidden="1" customHeight="1" x14ac:dyDescent="0.25"/>
    <row r="6926" ht="11.25" hidden="1" customHeight="1" x14ac:dyDescent="0.25"/>
    <row r="6927" ht="11.25" hidden="1" customHeight="1" x14ac:dyDescent="0.25"/>
    <row r="6928" ht="11.25" hidden="1" customHeight="1" x14ac:dyDescent="0.25"/>
    <row r="6929" ht="11.25" hidden="1" customHeight="1" x14ac:dyDescent="0.25"/>
    <row r="6930" ht="11.25" hidden="1" customHeight="1" x14ac:dyDescent="0.25"/>
    <row r="6931" ht="11.25" hidden="1" customHeight="1" x14ac:dyDescent="0.25"/>
    <row r="6932" ht="11.25" hidden="1" customHeight="1" x14ac:dyDescent="0.25"/>
    <row r="6933" ht="11.25" hidden="1" customHeight="1" x14ac:dyDescent="0.25"/>
    <row r="6934" ht="11.25" hidden="1" customHeight="1" x14ac:dyDescent="0.25"/>
    <row r="6935" ht="11.25" hidden="1" customHeight="1" x14ac:dyDescent="0.25"/>
    <row r="6936" ht="11.25" hidden="1" customHeight="1" x14ac:dyDescent="0.25"/>
    <row r="6937" ht="11.25" hidden="1" customHeight="1" x14ac:dyDescent="0.25"/>
    <row r="6938" ht="11.25" hidden="1" customHeight="1" x14ac:dyDescent="0.25"/>
    <row r="6939" ht="11.25" hidden="1" customHeight="1" x14ac:dyDescent="0.25"/>
    <row r="6940" ht="11.25" hidden="1" customHeight="1" x14ac:dyDescent="0.25"/>
    <row r="6941" ht="11.25" hidden="1" customHeight="1" x14ac:dyDescent="0.25"/>
    <row r="6942" ht="11.25" hidden="1" customHeight="1" x14ac:dyDescent="0.25"/>
    <row r="6943" ht="11.25" hidden="1" customHeight="1" x14ac:dyDescent="0.25"/>
    <row r="6944" ht="11.25" hidden="1" customHeight="1" x14ac:dyDescent="0.25"/>
    <row r="6945" ht="11.25" hidden="1" customHeight="1" x14ac:dyDescent="0.25"/>
    <row r="6946" ht="11.25" hidden="1" customHeight="1" x14ac:dyDescent="0.25"/>
    <row r="6947" ht="11.25" hidden="1" customHeight="1" x14ac:dyDescent="0.25"/>
    <row r="6948" ht="11.25" hidden="1" customHeight="1" x14ac:dyDescent="0.25"/>
    <row r="6949" ht="11.25" hidden="1" customHeight="1" x14ac:dyDescent="0.25"/>
    <row r="6950" ht="11.25" hidden="1" customHeight="1" x14ac:dyDescent="0.25"/>
    <row r="6951" ht="11.25" hidden="1" customHeight="1" x14ac:dyDescent="0.25"/>
    <row r="6952" ht="11.25" hidden="1" customHeight="1" x14ac:dyDescent="0.25"/>
    <row r="6953" ht="11.25" hidden="1" customHeight="1" x14ac:dyDescent="0.25"/>
    <row r="6954" ht="11.25" hidden="1" customHeight="1" x14ac:dyDescent="0.25"/>
    <row r="6955" ht="11.25" hidden="1" customHeight="1" x14ac:dyDescent="0.25"/>
    <row r="6956" ht="11.25" hidden="1" customHeight="1" x14ac:dyDescent="0.25"/>
    <row r="6957" ht="11.25" hidden="1" customHeight="1" x14ac:dyDescent="0.25"/>
    <row r="6958" ht="11.25" hidden="1" customHeight="1" x14ac:dyDescent="0.25"/>
    <row r="6959" ht="11.25" hidden="1" customHeight="1" x14ac:dyDescent="0.25"/>
    <row r="6960" ht="11.25" hidden="1" customHeight="1" x14ac:dyDescent="0.25"/>
    <row r="6961" ht="11.25" hidden="1" customHeight="1" x14ac:dyDescent="0.25"/>
    <row r="6962" ht="11.25" hidden="1" customHeight="1" x14ac:dyDescent="0.25"/>
    <row r="6963" ht="11.25" hidden="1" customHeight="1" x14ac:dyDescent="0.25"/>
    <row r="6964" ht="11.25" hidden="1" customHeight="1" x14ac:dyDescent="0.25"/>
    <row r="6965" ht="11.25" hidden="1" customHeight="1" x14ac:dyDescent="0.25"/>
    <row r="6966" ht="11.25" hidden="1" customHeight="1" x14ac:dyDescent="0.25"/>
    <row r="6967" ht="11.25" hidden="1" customHeight="1" x14ac:dyDescent="0.25"/>
    <row r="6968" ht="11.25" hidden="1" customHeight="1" x14ac:dyDescent="0.25"/>
    <row r="6969" ht="11.25" hidden="1" customHeight="1" x14ac:dyDescent="0.25"/>
    <row r="6970" ht="11.25" hidden="1" customHeight="1" x14ac:dyDescent="0.25"/>
    <row r="6971" ht="11.25" hidden="1" customHeight="1" x14ac:dyDescent="0.25"/>
    <row r="6972" ht="11.25" hidden="1" customHeight="1" x14ac:dyDescent="0.25"/>
    <row r="6973" ht="11.25" hidden="1" customHeight="1" x14ac:dyDescent="0.25"/>
    <row r="6974" ht="11.25" hidden="1" customHeight="1" x14ac:dyDescent="0.25"/>
    <row r="6975" ht="11.25" hidden="1" customHeight="1" x14ac:dyDescent="0.25"/>
    <row r="6976" ht="11.25" hidden="1" customHeight="1" x14ac:dyDescent="0.25"/>
    <row r="6977" ht="11.25" hidden="1" customHeight="1" x14ac:dyDescent="0.25"/>
    <row r="6978" ht="11.25" hidden="1" customHeight="1" x14ac:dyDescent="0.25"/>
    <row r="6979" ht="11.25" hidden="1" customHeight="1" x14ac:dyDescent="0.25"/>
    <row r="6980" ht="11.25" hidden="1" customHeight="1" x14ac:dyDescent="0.25"/>
    <row r="6981" ht="11.25" hidden="1" customHeight="1" x14ac:dyDescent="0.25"/>
    <row r="6982" ht="11.25" hidden="1" customHeight="1" x14ac:dyDescent="0.25"/>
    <row r="6983" ht="11.25" hidden="1" customHeight="1" x14ac:dyDescent="0.25"/>
    <row r="6984" ht="11.25" hidden="1" customHeight="1" x14ac:dyDescent="0.25"/>
    <row r="6985" ht="11.25" hidden="1" customHeight="1" x14ac:dyDescent="0.25"/>
    <row r="6986" ht="11.25" hidden="1" customHeight="1" x14ac:dyDescent="0.25"/>
    <row r="6987" ht="11.25" hidden="1" customHeight="1" x14ac:dyDescent="0.25"/>
    <row r="6988" ht="11.25" hidden="1" customHeight="1" x14ac:dyDescent="0.25"/>
    <row r="6989" ht="11.25" hidden="1" customHeight="1" x14ac:dyDescent="0.25"/>
    <row r="6990" ht="11.25" hidden="1" customHeight="1" x14ac:dyDescent="0.25"/>
    <row r="6991" ht="11.25" hidden="1" customHeight="1" x14ac:dyDescent="0.25"/>
    <row r="6992" ht="11.25" hidden="1" customHeight="1" x14ac:dyDescent="0.25"/>
    <row r="6993" ht="11.25" hidden="1" customHeight="1" x14ac:dyDescent="0.25"/>
    <row r="6994" ht="11.25" hidden="1" customHeight="1" x14ac:dyDescent="0.25"/>
    <row r="6995" ht="11.25" hidden="1" customHeight="1" x14ac:dyDescent="0.25"/>
    <row r="6996" ht="11.25" hidden="1" customHeight="1" x14ac:dyDescent="0.25"/>
    <row r="6997" ht="11.25" hidden="1" customHeight="1" x14ac:dyDescent="0.25"/>
    <row r="6998" ht="11.25" hidden="1" customHeight="1" x14ac:dyDescent="0.25"/>
    <row r="6999" ht="11.25" hidden="1" customHeight="1" x14ac:dyDescent="0.25"/>
    <row r="7000" ht="11.25" hidden="1" customHeight="1" x14ac:dyDescent="0.25"/>
    <row r="7001" ht="11.25" hidden="1" customHeight="1" x14ac:dyDescent="0.25"/>
    <row r="7002" ht="11.25" hidden="1" customHeight="1" x14ac:dyDescent="0.25"/>
    <row r="7003" ht="11.25" hidden="1" customHeight="1" x14ac:dyDescent="0.25"/>
    <row r="7004" ht="11.25" hidden="1" customHeight="1" x14ac:dyDescent="0.25"/>
    <row r="7005" ht="11.25" hidden="1" customHeight="1" x14ac:dyDescent="0.25"/>
    <row r="7006" ht="11.25" hidden="1" customHeight="1" x14ac:dyDescent="0.25"/>
    <row r="7007" ht="11.25" hidden="1" customHeight="1" x14ac:dyDescent="0.25"/>
    <row r="7008" ht="11.25" hidden="1" customHeight="1" x14ac:dyDescent="0.25"/>
    <row r="7009" ht="11.25" hidden="1" customHeight="1" x14ac:dyDescent="0.25"/>
    <row r="7010" ht="11.25" hidden="1" customHeight="1" x14ac:dyDescent="0.25"/>
    <row r="7011" ht="11.25" hidden="1" customHeight="1" x14ac:dyDescent="0.25"/>
    <row r="7012" ht="11.25" hidden="1" customHeight="1" x14ac:dyDescent="0.25"/>
    <row r="7013" ht="11.25" hidden="1" customHeight="1" x14ac:dyDescent="0.25"/>
    <row r="7014" ht="11.25" hidden="1" customHeight="1" x14ac:dyDescent="0.25"/>
    <row r="7015" ht="11.25" hidden="1" customHeight="1" x14ac:dyDescent="0.25"/>
    <row r="7016" ht="11.25" hidden="1" customHeight="1" x14ac:dyDescent="0.25"/>
    <row r="7017" ht="11.25" hidden="1" customHeight="1" x14ac:dyDescent="0.25"/>
    <row r="7018" ht="11.25" hidden="1" customHeight="1" x14ac:dyDescent="0.25"/>
    <row r="7019" ht="11.25" hidden="1" customHeight="1" x14ac:dyDescent="0.25"/>
    <row r="7020" ht="11.25" hidden="1" customHeight="1" x14ac:dyDescent="0.25"/>
    <row r="7021" ht="11.25" hidden="1" customHeight="1" x14ac:dyDescent="0.25"/>
    <row r="7022" ht="11.25" hidden="1" customHeight="1" x14ac:dyDescent="0.25"/>
    <row r="7023" ht="11.25" hidden="1" customHeight="1" x14ac:dyDescent="0.25"/>
    <row r="7024" ht="11.25" hidden="1" customHeight="1" x14ac:dyDescent="0.25"/>
    <row r="7025" ht="11.25" hidden="1" customHeight="1" x14ac:dyDescent="0.25"/>
    <row r="7026" ht="11.25" hidden="1" customHeight="1" x14ac:dyDescent="0.25"/>
    <row r="7027" ht="11.25" hidden="1" customHeight="1" x14ac:dyDescent="0.25"/>
    <row r="7028" ht="11.25" hidden="1" customHeight="1" x14ac:dyDescent="0.25"/>
    <row r="7029" ht="11.25" hidden="1" customHeight="1" x14ac:dyDescent="0.25"/>
    <row r="7030" ht="11.25" hidden="1" customHeight="1" x14ac:dyDescent="0.25"/>
    <row r="7031" ht="11.25" hidden="1" customHeight="1" x14ac:dyDescent="0.25"/>
    <row r="7032" ht="11.25" hidden="1" customHeight="1" x14ac:dyDescent="0.25"/>
    <row r="7033" ht="11.25" hidden="1" customHeight="1" x14ac:dyDescent="0.25"/>
    <row r="7034" ht="11.25" hidden="1" customHeight="1" x14ac:dyDescent="0.25"/>
    <row r="7035" ht="11.25" hidden="1" customHeight="1" x14ac:dyDescent="0.25"/>
    <row r="7036" ht="11.25" hidden="1" customHeight="1" x14ac:dyDescent="0.25"/>
    <row r="7037" ht="11.25" hidden="1" customHeight="1" x14ac:dyDescent="0.25"/>
    <row r="7038" ht="11.25" hidden="1" customHeight="1" x14ac:dyDescent="0.25"/>
    <row r="7039" ht="11.25" hidden="1" customHeight="1" x14ac:dyDescent="0.25"/>
    <row r="7040" ht="11.25" hidden="1" customHeight="1" x14ac:dyDescent="0.25"/>
    <row r="7041" ht="11.25" hidden="1" customHeight="1" x14ac:dyDescent="0.25"/>
    <row r="7042" ht="11.25" hidden="1" customHeight="1" x14ac:dyDescent="0.25"/>
    <row r="7043" ht="11.25" hidden="1" customHeight="1" x14ac:dyDescent="0.25"/>
    <row r="7044" ht="11.25" hidden="1" customHeight="1" x14ac:dyDescent="0.25"/>
    <row r="7045" ht="11.25" hidden="1" customHeight="1" x14ac:dyDescent="0.25"/>
    <row r="7046" ht="11.25" hidden="1" customHeight="1" x14ac:dyDescent="0.25"/>
    <row r="7047" ht="11.25" hidden="1" customHeight="1" x14ac:dyDescent="0.25"/>
    <row r="7048" ht="11.25" hidden="1" customHeight="1" x14ac:dyDescent="0.25"/>
    <row r="7049" ht="11.25" hidden="1" customHeight="1" x14ac:dyDescent="0.25"/>
    <row r="7050" ht="11.25" hidden="1" customHeight="1" x14ac:dyDescent="0.25"/>
    <row r="7051" ht="11.25" hidden="1" customHeight="1" x14ac:dyDescent="0.25"/>
    <row r="7052" ht="11.25" hidden="1" customHeight="1" x14ac:dyDescent="0.25"/>
    <row r="7053" ht="11.25" hidden="1" customHeight="1" x14ac:dyDescent="0.25"/>
    <row r="7054" ht="11.25" hidden="1" customHeight="1" x14ac:dyDescent="0.25"/>
    <row r="7055" ht="11.25" hidden="1" customHeight="1" x14ac:dyDescent="0.25"/>
    <row r="7056" ht="11.25" hidden="1" customHeight="1" x14ac:dyDescent="0.25"/>
    <row r="7057" ht="11.25" hidden="1" customHeight="1" x14ac:dyDescent="0.25"/>
    <row r="7058" ht="11.25" hidden="1" customHeight="1" x14ac:dyDescent="0.25"/>
    <row r="7059" ht="11.25" hidden="1" customHeight="1" x14ac:dyDescent="0.25"/>
    <row r="7060" ht="11.25" hidden="1" customHeight="1" x14ac:dyDescent="0.25"/>
    <row r="7061" ht="11.25" hidden="1" customHeight="1" x14ac:dyDescent="0.25"/>
    <row r="7062" ht="11.25" hidden="1" customHeight="1" x14ac:dyDescent="0.25"/>
    <row r="7063" ht="11.25" hidden="1" customHeight="1" x14ac:dyDescent="0.25"/>
    <row r="7064" ht="11.25" hidden="1" customHeight="1" x14ac:dyDescent="0.25"/>
    <row r="7065" ht="11.25" hidden="1" customHeight="1" x14ac:dyDescent="0.25"/>
    <row r="7066" ht="11.25" hidden="1" customHeight="1" x14ac:dyDescent="0.25"/>
    <row r="7067" ht="11.25" hidden="1" customHeight="1" x14ac:dyDescent="0.25"/>
    <row r="7068" ht="11.25" hidden="1" customHeight="1" x14ac:dyDescent="0.25"/>
    <row r="7069" ht="11.25" hidden="1" customHeight="1" x14ac:dyDescent="0.25"/>
    <row r="7070" ht="11.25" hidden="1" customHeight="1" x14ac:dyDescent="0.25"/>
    <row r="7071" ht="11.25" hidden="1" customHeight="1" x14ac:dyDescent="0.25"/>
    <row r="7072" ht="11.25" hidden="1" customHeight="1" x14ac:dyDescent="0.25"/>
    <row r="7073" ht="11.25" hidden="1" customHeight="1" x14ac:dyDescent="0.25"/>
    <row r="7074" ht="11.25" hidden="1" customHeight="1" x14ac:dyDescent="0.25"/>
    <row r="7075" ht="11.25" hidden="1" customHeight="1" x14ac:dyDescent="0.25"/>
    <row r="7076" ht="11.25" hidden="1" customHeight="1" x14ac:dyDescent="0.25"/>
    <row r="7077" ht="11.25" hidden="1" customHeight="1" x14ac:dyDescent="0.25"/>
    <row r="7078" ht="11.25" hidden="1" customHeight="1" x14ac:dyDescent="0.25"/>
    <row r="7079" ht="11.25" hidden="1" customHeight="1" x14ac:dyDescent="0.25"/>
    <row r="7080" ht="11.25" hidden="1" customHeight="1" x14ac:dyDescent="0.25"/>
    <row r="7081" ht="11.25" hidden="1" customHeight="1" x14ac:dyDescent="0.25"/>
    <row r="7082" ht="11.25" hidden="1" customHeight="1" x14ac:dyDescent="0.25"/>
    <row r="7083" ht="11.25" hidden="1" customHeight="1" x14ac:dyDescent="0.25"/>
    <row r="7084" ht="11.25" hidden="1" customHeight="1" x14ac:dyDescent="0.25"/>
    <row r="7085" ht="11.25" hidden="1" customHeight="1" x14ac:dyDescent="0.25"/>
    <row r="7086" ht="11.25" hidden="1" customHeight="1" x14ac:dyDescent="0.25"/>
    <row r="7087" ht="11.25" hidden="1" customHeight="1" x14ac:dyDescent="0.25"/>
    <row r="7088" ht="11.25" hidden="1" customHeight="1" x14ac:dyDescent="0.25"/>
    <row r="7089" ht="11.25" hidden="1" customHeight="1" x14ac:dyDescent="0.25"/>
    <row r="7090" ht="11.25" hidden="1" customHeight="1" x14ac:dyDescent="0.25"/>
    <row r="7091" ht="11.25" hidden="1" customHeight="1" x14ac:dyDescent="0.25"/>
    <row r="7092" ht="11.25" hidden="1" customHeight="1" x14ac:dyDescent="0.25"/>
    <row r="7093" ht="11.25" hidden="1" customHeight="1" x14ac:dyDescent="0.25"/>
    <row r="7094" ht="11.25" hidden="1" customHeight="1" x14ac:dyDescent="0.25"/>
    <row r="7095" ht="11.25" hidden="1" customHeight="1" x14ac:dyDescent="0.25"/>
    <row r="7096" ht="11.25" hidden="1" customHeight="1" x14ac:dyDescent="0.25"/>
    <row r="7097" ht="11.25" hidden="1" customHeight="1" x14ac:dyDescent="0.25"/>
    <row r="7098" ht="11.25" hidden="1" customHeight="1" x14ac:dyDescent="0.25"/>
    <row r="7099" ht="11.25" hidden="1" customHeight="1" x14ac:dyDescent="0.25"/>
    <row r="7100" ht="11.25" hidden="1" customHeight="1" x14ac:dyDescent="0.25"/>
    <row r="7101" ht="11.25" hidden="1" customHeight="1" x14ac:dyDescent="0.25"/>
    <row r="7102" ht="11.25" hidden="1" customHeight="1" x14ac:dyDescent="0.25"/>
    <row r="7103" ht="11.25" hidden="1" customHeight="1" x14ac:dyDescent="0.25"/>
    <row r="7104" ht="11.25" hidden="1" customHeight="1" x14ac:dyDescent="0.25"/>
    <row r="7105" ht="11.25" hidden="1" customHeight="1" x14ac:dyDescent="0.25"/>
    <row r="7106" ht="11.25" hidden="1" customHeight="1" x14ac:dyDescent="0.25"/>
    <row r="7107" ht="11.25" hidden="1" customHeight="1" x14ac:dyDescent="0.25"/>
    <row r="7108" ht="11.25" hidden="1" customHeight="1" x14ac:dyDescent="0.25"/>
    <row r="7109" ht="11.25" hidden="1" customHeight="1" x14ac:dyDescent="0.25"/>
    <row r="7110" ht="11.25" hidden="1" customHeight="1" x14ac:dyDescent="0.25"/>
    <row r="7111" ht="11.25" hidden="1" customHeight="1" x14ac:dyDescent="0.25"/>
    <row r="7112" ht="11.25" hidden="1" customHeight="1" x14ac:dyDescent="0.25"/>
    <row r="7113" ht="11.25" hidden="1" customHeight="1" x14ac:dyDescent="0.25"/>
    <row r="7114" ht="11.25" hidden="1" customHeight="1" x14ac:dyDescent="0.25"/>
    <row r="7115" ht="11.25" hidden="1" customHeight="1" x14ac:dyDescent="0.25"/>
    <row r="7116" ht="11.25" hidden="1" customHeight="1" x14ac:dyDescent="0.25"/>
    <row r="7117" ht="11.25" hidden="1" customHeight="1" x14ac:dyDescent="0.25"/>
    <row r="7118" ht="11.25" hidden="1" customHeight="1" x14ac:dyDescent="0.25"/>
    <row r="7119" ht="11.25" hidden="1" customHeight="1" x14ac:dyDescent="0.25"/>
    <row r="7120" ht="11.25" hidden="1" customHeight="1" x14ac:dyDescent="0.25"/>
    <row r="7121" ht="11.25" hidden="1" customHeight="1" x14ac:dyDescent="0.25"/>
    <row r="7122" ht="11.25" hidden="1" customHeight="1" x14ac:dyDescent="0.25"/>
    <row r="7123" ht="11.25" hidden="1" customHeight="1" x14ac:dyDescent="0.25"/>
    <row r="7124" ht="11.25" hidden="1" customHeight="1" x14ac:dyDescent="0.25"/>
    <row r="7125" ht="11.25" hidden="1" customHeight="1" x14ac:dyDescent="0.25"/>
    <row r="7126" ht="11.25" hidden="1" customHeight="1" x14ac:dyDescent="0.25"/>
    <row r="7127" ht="11.25" hidden="1" customHeight="1" x14ac:dyDescent="0.25"/>
    <row r="7128" ht="11.25" hidden="1" customHeight="1" x14ac:dyDescent="0.25"/>
    <row r="7129" ht="11.25" hidden="1" customHeight="1" x14ac:dyDescent="0.25"/>
    <row r="7130" ht="11.25" hidden="1" customHeight="1" x14ac:dyDescent="0.25"/>
    <row r="7131" ht="11.25" hidden="1" customHeight="1" x14ac:dyDescent="0.25"/>
    <row r="7132" ht="11.25" hidden="1" customHeight="1" x14ac:dyDescent="0.25"/>
    <row r="7133" ht="11.25" hidden="1" customHeight="1" x14ac:dyDescent="0.25"/>
    <row r="7134" ht="11.25" hidden="1" customHeight="1" x14ac:dyDescent="0.25"/>
    <row r="7135" ht="11.25" hidden="1" customHeight="1" x14ac:dyDescent="0.25"/>
    <row r="7136" ht="11.25" hidden="1" customHeight="1" x14ac:dyDescent="0.25"/>
    <row r="7137" ht="11.25" hidden="1" customHeight="1" x14ac:dyDescent="0.25"/>
    <row r="7138" ht="11.25" hidden="1" customHeight="1" x14ac:dyDescent="0.25"/>
    <row r="7139" ht="11.25" hidden="1" customHeight="1" x14ac:dyDescent="0.25"/>
    <row r="7140" ht="11.25" hidden="1" customHeight="1" x14ac:dyDescent="0.25"/>
    <row r="7141" ht="11.25" hidden="1" customHeight="1" x14ac:dyDescent="0.25"/>
    <row r="7142" ht="11.25" hidden="1" customHeight="1" x14ac:dyDescent="0.25"/>
    <row r="7143" ht="11.25" hidden="1" customHeight="1" x14ac:dyDescent="0.25"/>
    <row r="7144" ht="11.25" hidden="1" customHeight="1" x14ac:dyDescent="0.25"/>
    <row r="7145" ht="11.25" hidden="1" customHeight="1" x14ac:dyDescent="0.25"/>
    <row r="7146" ht="11.25" hidden="1" customHeight="1" x14ac:dyDescent="0.25"/>
    <row r="7147" ht="11.25" hidden="1" customHeight="1" x14ac:dyDescent="0.25"/>
    <row r="7148" ht="11.25" hidden="1" customHeight="1" x14ac:dyDescent="0.25"/>
    <row r="7149" ht="11.25" hidden="1" customHeight="1" x14ac:dyDescent="0.25"/>
    <row r="7150" ht="11.25" hidden="1" customHeight="1" x14ac:dyDescent="0.25"/>
    <row r="7151" ht="11.25" hidden="1" customHeight="1" x14ac:dyDescent="0.25"/>
    <row r="7152" ht="11.25" hidden="1" customHeight="1" x14ac:dyDescent="0.25"/>
    <row r="7153" ht="11.25" hidden="1" customHeight="1" x14ac:dyDescent="0.25"/>
    <row r="7154" ht="11.25" hidden="1" customHeight="1" x14ac:dyDescent="0.25"/>
    <row r="7155" ht="11.25" hidden="1" customHeight="1" x14ac:dyDescent="0.25"/>
    <row r="7156" ht="11.25" hidden="1" customHeight="1" x14ac:dyDescent="0.25"/>
    <row r="7157" ht="11.25" hidden="1" customHeight="1" x14ac:dyDescent="0.25"/>
    <row r="7158" ht="11.25" hidden="1" customHeight="1" x14ac:dyDescent="0.25"/>
    <row r="7159" ht="11.25" hidden="1" customHeight="1" x14ac:dyDescent="0.25"/>
    <row r="7160" ht="11.25" hidden="1" customHeight="1" x14ac:dyDescent="0.25"/>
    <row r="7161" ht="11.25" hidden="1" customHeight="1" x14ac:dyDescent="0.25"/>
    <row r="7162" ht="11.25" hidden="1" customHeight="1" x14ac:dyDescent="0.25"/>
    <row r="7163" ht="11.25" hidden="1" customHeight="1" x14ac:dyDescent="0.25"/>
    <row r="7164" ht="11.25" hidden="1" customHeight="1" x14ac:dyDescent="0.25"/>
    <row r="7165" ht="11.25" hidden="1" customHeight="1" x14ac:dyDescent="0.25"/>
    <row r="7166" ht="11.25" hidden="1" customHeight="1" x14ac:dyDescent="0.25"/>
    <row r="7167" ht="11.25" hidden="1" customHeight="1" x14ac:dyDescent="0.25"/>
    <row r="7168" ht="11.25" hidden="1" customHeight="1" x14ac:dyDescent="0.25"/>
    <row r="7169" ht="11.25" hidden="1" customHeight="1" x14ac:dyDescent="0.25"/>
    <row r="7170" ht="11.25" hidden="1" customHeight="1" x14ac:dyDescent="0.25"/>
    <row r="7171" ht="11.25" hidden="1" customHeight="1" x14ac:dyDescent="0.25"/>
    <row r="7172" ht="11.25" hidden="1" customHeight="1" x14ac:dyDescent="0.25"/>
    <row r="7173" ht="11.25" hidden="1" customHeight="1" x14ac:dyDescent="0.25"/>
    <row r="7174" ht="11.25" hidden="1" customHeight="1" x14ac:dyDescent="0.25"/>
    <row r="7175" ht="11.25" hidden="1" customHeight="1" x14ac:dyDescent="0.25"/>
    <row r="7176" ht="11.25" hidden="1" customHeight="1" x14ac:dyDescent="0.25"/>
    <row r="7177" ht="11.25" hidden="1" customHeight="1" x14ac:dyDescent="0.25"/>
    <row r="7178" ht="11.25" hidden="1" customHeight="1" x14ac:dyDescent="0.25"/>
    <row r="7179" ht="11.25" hidden="1" customHeight="1" x14ac:dyDescent="0.25"/>
    <row r="7180" ht="11.25" hidden="1" customHeight="1" x14ac:dyDescent="0.25"/>
    <row r="7181" ht="11.25" hidden="1" customHeight="1" x14ac:dyDescent="0.25"/>
    <row r="7182" ht="11.25" hidden="1" customHeight="1" x14ac:dyDescent="0.25"/>
    <row r="7183" ht="11.25" hidden="1" customHeight="1" x14ac:dyDescent="0.25"/>
    <row r="7184" ht="11.25" hidden="1" customHeight="1" x14ac:dyDescent="0.25"/>
    <row r="7185" ht="11.25" hidden="1" customHeight="1" x14ac:dyDescent="0.25"/>
    <row r="7186" ht="11.25" hidden="1" customHeight="1" x14ac:dyDescent="0.25"/>
    <row r="7187" ht="11.25" hidden="1" customHeight="1" x14ac:dyDescent="0.25"/>
    <row r="7188" ht="11.25" hidden="1" customHeight="1" x14ac:dyDescent="0.25"/>
    <row r="7189" ht="11.25" hidden="1" customHeight="1" x14ac:dyDescent="0.25"/>
    <row r="7190" ht="11.25" hidden="1" customHeight="1" x14ac:dyDescent="0.25"/>
    <row r="7191" ht="11.25" hidden="1" customHeight="1" x14ac:dyDescent="0.25"/>
    <row r="7192" ht="11.25" hidden="1" customHeight="1" x14ac:dyDescent="0.25"/>
    <row r="7193" ht="11.25" hidden="1" customHeight="1" x14ac:dyDescent="0.25"/>
    <row r="7194" ht="11.25" hidden="1" customHeight="1" x14ac:dyDescent="0.25"/>
    <row r="7195" ht="11.25" hidden="1" customHeight="1" x14ac:dyDescent="0.25"/>
    <row r="7196" ht="11.25" hidden="1" customHeight="1" x14ac:dyDescent="0.25"/>
    <row r="7197" ht="11.25" hidden="1" customHeight="1" x14ac:dyDescent="0.25"/>
    <row r="7198" ht="11.25" hidden="1" customHeight="1" x14ac:dyDescent="0.25"/>
    <row r="7199" ht="11.25" hidden="1" customHeight="1" x14ac:dyDescent="0.25"/>
    <row r="7200" ht="11.25" hidden="1" customHeight="1" x14ac:dyDescent="0.25"/>
    <row r="7201" ht="11.25" hidden="1" customHeight="1" x14ac:dyDescent="0.25"/>
    <row r="7202" ht="11.25" hidden="1" customHeight="1" x14ac:dyDescent="0.25"/>
    <row r="7203" ht="11.25" hidden="1" customHeight="1" x14ac:dyDescent="0.25"/>
    <row r="7204" ht="11.25" hidden="1" customHeight="1" x14ac:dyDescent="0.25"/>
    <row r="7205" ht="11.25" hidden="1" customHeight="1" x14ac:dyDescent="0.25"/>
    <row r="7206" ht="11.25" hidden="1" customHeight="1" x14ac:dyDescent="0.25"/>
    <row r="7207" ht="11.25" hidden="1" customHeight="1" x14ac:dyDescent="0.25"/>
    <row r="7208" ht="11.25" hidden="1" customHeight="1" x14ac:dyDescent="0.25"/>
    <row r="7209" ht="11.25" hidden="1" customHeight="1" x14ac:dyDescent="0.25"/>
    <row r="7210" ht="11.25" hidden="1" customHeight="1" x14ac:dyDescent="0.25"/>
    <row r="7211" ht="11.25" hidden="1" customHeight="1" x14ac:dyDescent="0.25"/>
    <row r="7212" ht="11.25" hidden="1" customHeight="1" x14ac:dyDescent="0.25"/>
    <row r="7213" ht="11.25" hidden="1" customHeight="1" x14ac:dyDescent="0.25"/>
    <row r="7214" ht="11.25" hidden="1" customHeight="1" x14ac:dyDescent="0.25"/>
    <row r="7215" ht="11.25" hidden="1" customHeight="1" x14ac:dyDescent="0.25"/>
    <row r="7216" ht="11.25" hidden="1" customHeight="1" x14ac:dyDescent="0.25"/>
    <row r="7217" ht="11.25" hidden="1" customHeight="1" x14ac:dyDescent="0.25"/>
    <row r="7218" ht="11.25" hidden="1" customHeight="1" x14ac:dyDescent="0.25"/>
    <row r="7219" ht="11.25" hidden="1" customHeight="1" x14ac:dyDescent="0.25"/>
    <row r="7220" ht="11.25" hidden="1" customHeight="1" x14ac:dyDescent="0.25"/>
    <row r="7221" ht="11.25" hidden="1" customHeight="1" x14ac:dyDescent="0.25"/>
    <row r="7222" ht="11.25" hidden="1" customHeight="1" x14ac:dyDescent="0.25"/>
    <row r="7223" ht="11.25" hidden="1" customHeight="1" x14ac:dyDescent="0.25"/>
    <row r="7224" ht="11.25" hidden="1" customHeight="1" x14ac:dyDescent="0.25"/>
    <row r="7225" ht="11.25" hidden="1" customHeight="1" x14ac:dyDescent="0.25"/>
    <row r="7226" ht="11.25" hidden="1" customHeight="1" x14ac:dyDescent="0.25"/>
    <row r="7227" ht="11.25" hidden="1" customHeight="1" x14ac:dyDescent="0.25"/>
    <row r="7228" ht="11.25" hidden="1" customHeight="1" x14ac:dyDescent="0.25"/>
    <row r="7229" ht="11.25" hidden="1" customHeight="1" x14ac:dyDescent="0.25"/>
    <row r="7230" ht="11.25" hidden="1" customHeight="1" x14ac:dyDescent="0.25"/>
    <row r="7231" ht="11.25" hidden="1" customHeight="1" x14ac:dyDescent="0.25"/>
    <row r="7232" ht="11.25" hidden="1" customHeight="1" x14ac:dyDescent="0.25"/>
    <row r="7233" ht="11.25" hidden="1" customHeight="1" x14ac:dyDescent="0.25"/>
    <row r="7234" ht="11.25" hidden="1" customHeight="1" x14ac:dyDescent="0.25"/>
    <row r="7235" ht="11.25" hidden="1" customHeight="1" x14ac:dyDescent="0.25"/>
    <row r="7236" ht="11.25" hidden="1" customHeight="1" x14ac:dyDescent="0.25"/>
    <row r="7237" ht="11.25" hidden="1" customHeight="1" x14ac:dyDescent="0.25"/>
    <row r="7238" ht="11.25" hidden="1" customHeight="1" x14ac:dyDescent="0.25"/>
    <row r="7239" ht="11.25" hidden="1" customHeight="1" x14ac:dyDescent="0.25"/>
    <row r="7240" ht="11.25" hidden="1" customHeight="1" x14ac:dyDescent="0.25"/>
    <row r="7241" ht="11.25" hidden="1" customHeight="1" x14ac:dyDescent="0.25"/>
    <row r="7242" ht="11.25" hidden="1" customHeight="1" x14ac:dyDescent="0.25"/>
    <row r="7243" ht="11.25" hidden="1" customHeight="1" x14ac:dyDescent="0.25"/>
    <row r="7244" ht="11.25" hidden="1" customHeight="1" x14ac:dyDescent="0.25"/>
    <row r="7245" ht="11.25" hidden="1" customHeight="1" x14ac:dyDescent="0.25"/>
    <row r="7246" ht="11.25" hidden="1" customHeight="1" x14ac:dyDescent="0.25"/>
    <row r="7247" ht="11.25" hidden="1" customHeight="1" x14ac:dyDescent="0.25"/>
    <row r="7248" ht="11.25" hidden="1" customHeight="1" x14ac:dyDescent="0.25"/>
    <row r="7249" ht="11.25" hidden="1" customHeight="1" x14ac:dyDescent="0.25"/>
    <row r="7250" ht="11.25" hidden="1" customHeight="1" x14ac:dyDescent="0.25"/>
    <row r="7251" ht="11.25" hidden="1" customHeight="1" x14ac:dyDescent="0.25"/>
    <row r="7252" ht="11.25" hidden="1" customHeight="1" x14ac:dyDescent="0.25"/>
    <row r="7253" ht="11.25" hidden="1" customHeight="1" x14ac:dyDescent="0.25"/>
    <row r="7254" ht="11.25" hidden="1" customHeight="1" x14ac:dyDescent="0.25"/>
    <row r="7255" ht="11.25" hidden="1" customHeight="1" x14ac:dyDescent="0.25"/>
    <row r="7256" ht="11.25" hidden="1" customHeight="1" x14ac:dyDescent="0.25"/>
    <row r="7257" ht="11.25" hidden="1" customHeight="1" x14ac:dyDescent="0.25"/>
    <row r="7258" ht="11.25" hidden="1" customHeight="1" x14ac:dyDescent="0.25"/>
    <row r="7259" ht="11.25" hidden="1" customHeight="1" x14ac:dyDescent="0.25"/>
    <row r="7260" ht="11.25" hidden="1" customHeight="1" x14ac:dyDescent="0.25"/>
    <row r="7261" ht="11.25" hidden="1" customHeight="1" x14ac:dyDescent="0.25"/>
    <row r="7262" ht="11.25" hidden="1" customHeight="1" x14ac:dyDescent="0.25"/>
    <row r="7263" ht="11.25" hidden="1" customHeight="1" x14ac:dyDescent="0.25"/>
    <row r="7264" ht="11.25" hidden="1" customHeight="1" x14ac:dyDescent="0.25"/>
    <row r="7265" ht="11.25" hidden="1" customHeight="1" x14ac:dyDescent="0.25"/>
    <row r="7266" ht="11.25" hidden="1" customHeight="1" x14ac:dyDescent="0.25"/>
    <row r="7267" ht="11.25" hidden="1" customHeight="1" x14ac:dyDescent="0.25"/>
    <row r="7268" ht="11.25" hidden="1" customHeight="1" x14ac:dyDescent="0.25"/>
    <row r="7269" ht="11.25" hidden="1" customHeight="1" x14ac:dyDescent="0.25"/>
    <row r="7270" ht="11.25" hidden="1" customHeight="1" x14ac:dyDescent="0.25"/>
    <row r="7271" ht="11.25" hidden="1" customHeight="1" x14ac:dyDescent="0.25"/>
    <row r="7272" ht="11.25" hidden="1" customHeight="1" x14ac:dyDescent="0.25"/>
    <row r="7273" ht="11.25" hidden="1" customHeight="1" x14ac:dyDescent="0.25"/>
    <row r="7274" ht="11.25" hidden="1" customHeight="1" x14ac:dyDescent="0.25"/>
    <row r="7275" ht="11.25" hidden="1" customHeight="1" x14ac:dyDescent="0.25"/>
    <row r="7276" ht="11.25" hidden="1" customHeight="1" x14ac:dyDescent="0.25"/>
    <row r="7277" ht="11.25" hidden="1" customHeight="1" x14ac:dyDescent="0.25"/>
    <row r="7278" ht="11.25" hidden="1" customHeight="1" x14ac:dyDescent="0.25"/>
    <row r="7279" ht="11.25" hidden="1" customHeight="1" x14ac:dyDescent="0.25"/>
    <row r="7280" ht="11.25" hidden="1" customHeight="1" x14ac:dyDescent="0.25"/>
    <row r="7281" ht="11.25" hidden="1" customHeight="1" x14ac:dyDescent="0.25"/>
    <row r="7282" ht="11.25" hidden="1" customHeight="1" x14ac:dyDescent="0.25"/>
    <row r="7283" ht="11.25" hidden="1" customHeight="1" x14ac:dyDescent="0.25"/>
    <row r="7284" ht="11.25" hidden="1" customHeight="1" x14ac:dyDescent="0.25"/>
    <row r="7285" ht="11.25" hidden="1" customHeight="1" x14ac:dyDescent="0.25"/>
    <row r="7286" ht="11.25" hidden="1" customHeight="1" x14ac:dyDescent="0.25"/>
    <row r="7287" ht="11.25" hidden="1" customHeight="1" x14ac:dyDescent="0.25"/>
    <row r="7288" ht="11.25" hidden="1" customHeight="1" x14ac:dyDescent="0.25"/>
    <row r="7289" ht="11.25" hidden="1" customHeight="1" x14ac:dyDescent="0.25"/>
    <row r="7290" ht="11.25" hidden="1" customHeight="1" x14ac:dyDescent="0.25"/>
    <row r="7291" ht="11.25" hidden="1" customHeight="1" x14ac:dyDescent="0.25"/>
    <row r="7292" ht="11.25" hidden="1" customHeight="1" x14ac:dyDescent="0.25"/>
    <row r="7293" ht="11.25" hidden="1" customHeight="1" x14ac:dyDescent="0.25"/>
    <row r="7294" ht="11.25" hidden="1" customHeight="1" x14ac:dyDescent="0.25"/>
    <row r="7295" ht="11.25" hidden="1" customHeight="1" x14ac:dyDescent="0.25"/>
    <row r="7296" ht="11.25" hidden="1" customHeight="1" x14ac:dyDescent="0.25"/>
    <row r="7297" ht="11.25" hidden="1" customHeight="1" x14ac:dyDescent="0.25"/>
    <row r="7298" ht="11.25" hidden="1" customHeight="1" x14ac:dyDescent="0.25"/>
    <row r="7299" ht="11.25" hidden="1" customHeight="1" x14ac:dyDescent="0.25"/>
    <row r="7300" ht="11.25" hidden="1" customHeight="1" x14ac:dyDescent="0.25"/>
    <row r="7301" ht="11.25" hidden="1" customHeight="1" x14ac:dyDescent="0.25"/>
    <row r="7302" ht="11.25" hidden="1" customHeight="1" x14ac:dyDescent="0.25"/>
    <row r="7303" ht="11.25" hidden="1" customHeight="1" x14ac:dyDescent="0.25"/>
    <row r="7304" ht="11.25" hidden="1" customHeight="1" x14ac:dyDescent="0.25"/>
    <row r="7305" ht="11.25" hidden="1" customHeight="1" x14ac:dyDescent="0.25"/>
    <row r="7306" ht="11.25" hidden="1" customHeight="1" x14ac:dyDescent="0.25"/>
    <row r="7307" ht="11.25" hidden="1" customHeight="1" x14ac:dyDescent="0.25"/>
    <row r="7308" ht="11.25" hidden="1" customHeight="1" x14ac:dyDescent="0.25"/>
    <row r="7309" ht="11.25" hidden="1" customHeight="1" x14ac:dyDescent="0.25"/>
    <row r="7310" ht="11.25" hidden="1" customHeight="1" x14ac:dyDescent="0.25"/>
    <row r="7311" ht="11.25" hidden="1" customHeight="1" x14ac:dyDescent="0.25"/>
    <row r="7312" ht="11.25" hidden="1" customHeight="1" x14ac:dyDescent="0.25"/>
    <row r="7313" ht="11.25" hidden="1" customHeight="1" x14ac:dyDescent="0.25"/>
    <row r="7314" ht="11.25" hidden="1" customHeight="1" x14ac:dyDescent="0.25"/>
    <row r="7315" ht="11.25" hidden="1" customHeight="1" x14ac:dyDescent="0.25"/>
    <row r="7316" ht="11.25" hidden="1" customHeight="1" x14ac:dyDescent="0.25"/>
    <row r="7317" ht="11.25" hidden="1" customHeight="1" x14ac:dyDescent="0.25"/>
    <row r="7318" ht="11.25" hidden="1" customHeight="1" x14ac:dyDescent="0.25"/>
    <row r="7319" ht="11.25" hidden="1" customHeight="1" x14ac:dyDescent="0.25"/>
    <row r="7320" ht="11.25" hidden="1" customHeight="1" x14ac:dyDescent="0.25"/>
    <row r="7321" ht="11.25" hidden="1" customHeight="1" x14ac:dyDescent="0.25"/>
    <row r="7322" ht="11.25" hidden="1" customHeight="1" x14ac:dyDescent="0.25"/>
    <row r="7323" ht="11.25" hidden="1" customHeight="1" x14ac:dyDescent="0.25"/>
    <row r="7324" ht="11.25" hidden="1" customHeight="1" x14ac:dyDescent="0.25"/>
    <row r="7325" ht="11.25" hidden="1" customHeight="1" x14ac:dyDescent="0.25"/>
    <row r="7326" ht="11.25" hidden="1" customHeight="1" x14ac:dyDescent="0.25"/>
    <row r="7327" ht="11.25" hidden="1" customHeight="1" x14ac:dyDescent="0.25"/>
    <row r="7328" ht="11.25" hidden="1" customHeight="1" x14ac:dyDescent="0.25"/>
    <row r="7329" ht="11.25" hidden="1" customHeight="1" x14ac:dyDescent="0.25"/>
    <row r="7330" ht="11.25" hidden="1" customHeight="1" x14ac:dyDescent="0.25"/>
    <row r="7331" ht="11.25" hidden="1" customHeight="1" x14ac:dyDescent="0.25"/>
    <row r="7332" ht="11.25" hidden="1" customHeight="1" x14ac:dyDescent="0.25"/>
    <row r="7333" ht="11.25" hidden="1" customHeight="1" x14ac:dyDescent="0.25"/>
    <row r="7334" ht="11.25" hidden="1" customHeight="1" x14ac:dyDescent="0.25"/>
    <row r="7335" ht="11.25" hidden="1" customHeight="1" x14ac:dyDescent="0.25"/>
    <row r="7336" ht="11.25" hidden="1" customHeight="1" x14ac:dyDescent="0.25"/>
    <row r="7337" ht="11.25" hidden="1" customHeight="1" x14ac:dyDescent="0.25"/>
    <row r="7338" ht="11.25" hidden="1" customHeight="1" x14ac:dyDescent="0.25"/>
    <row r="7339" ht="11.25" hidden="1" customHeight="1" x14ac:dyDescent="0.25"/>
    <row r="7340" ht="11.25" hidden="1" customHeight="1" x14ac:dyDescent="0.25"/>
    <row r="7341" ht="11.25" hidden="1" customHeight="1" x14ac:dyDescent="0.25"/>
    <row r="7342" ht="11.25" hidden="1" customHeight="1" x14ac:dyDescent="0.25"/>
    <row r="7343" ht="11.25" hidden="1" customHeight="1" x14ac:dyDescent="0.25"/>
    <row r="7344" ht="11.25" hidden="1" customHeight="1" x14ac:dyDescent="0.25"/>
    <row r="7345" ht="11.25" hidden="1" customHeight="1" x14ac:dyDescent="0.25"/>
    <row r="7346" ht="11.25" hidden="1" customHeight="1" x14ac:dyDescent="0.25"/>
    <row r="7347" ht="11.25" hidden="1" customHeight="1" x14ac:dyDescent="0.25"/>
    <row r="7348" ht="11.25" hidden="1" customHeight="1" x14ac:dyDescent="0.25"/>
    <row r="7349" ht="11.25" hidden="1" customHeight="1" x14ac:dyDescent="0.25"/>
    <row r="7350" ht="11.25" hidden="1" customHeight="1" x14ac:dyDescent="0.25"/>
    <row r="7351" ht="11.25" hidden="1" customHeight="1" x14ac:dyDescent="0.25"/>
    <row r="7352" ht="11.25" hidden="1" customHeight="1" x14ac:dyDescent="0.25"/>
    <row r="7353" ht="11.25" hidden="1" customHeight="1" x14ac:dyDescent="0.25"/>
    <row r="7354" ht="11.25" hidden="1" customHeight="1" x14ac:dyDescent="0.25"/>
    <row r="7355" ht="11.25" hidden="1" customHeight="1" x14ac:dyDescent="0.25"/>
    <row r="7356" ht="11.25" hidden="1" customHeight="1" x14ac:dyDescent="0.25"/>
    <row r="7357" ht="11.25" hidden="1" customHeight="1" x14ac:dyDescent="0.25"/>
    <row r="7358" ht="11.25" hidden="1" customHeight="1" x14ac:dyDescent="0.25"/>
    <row r="7359" ht="11.25" hidden="1" customHeight="1" x14ac:dyDescent="0.25"/>
    <row r="7360" ht="11.25" hidden="1" customHeight="1" x14ac:dyDescent="0.25"/>
    <row r="7361" ht="11.25" hidden="1" customHeight="1" x14ac:dyDescent="0.25"/>
    <row r="7362" ht="11.25" hidden="1" customHeight="1" x14ac:dyDescent="0.25"/>
    <row r="7363" ht="11.25" hidden="1" customHeight="1" x14ac:dyDescent="0.25"/>
    <row r="7364" ht="11.25" hidden="1" customHeight="1" x14ac:dyDescent="0.25"/>
    <row r="7365" ht="11.25" hidden="1" customHeight="1" x14ac:dyDescent="0.25"/>
    <row r="7366" ht="11.25" hidden="1" customHeight="1" x14ac:dyDescent="0.25"/>
    <row r="7367" ht="11.25" hidden="1" customHeight="1" x14ac:dyDescent="0.25"/>
    <row r="7368" ht="11.25" hidden="1" customHeight="1" x14ac:dyDescent="0.25"/>
    <row r="7369" ht="11.25" hidden="1" customHeight="1" x14ac:dyDescent="0.25"/>
    <row r="7370" ht="11.25" hidden="1" customHeight="1" x14ac:dyDescent="0.25"/>
    <row r="7371" ht="11.25" hidden="1" customHeight="1" x14ac:dyDescent="0.25"/>
    <row r="7372" ht="11.25" hidden="1" customHeight="1" x14ac:dyDescent="0.25"/>
    <row r="7373" ht="11.25" hidden="1" customHeight="1" x14ac:dyDescent="0.25"/>
    <row r="7374" ht="11.25" hidden="1" customHeight="1" x14ac:dyDescent="0.25"/>
    <row r="7375" ht="11.25" hidden="1" customHeight="1" x14ac:dyDescent="0.25"/>
    <row r="7376" ht="11.25" hidden="1" customHeight="1" x14ac:dyDescent="0.25"/>
    <row r="7377" ht="11.25" hidden="1" customHeight="1" x14ac:dyDescent="0.25"/>
    <row r="7378" ht="11.25" hidden="1" customHeight="1" x14ac:dyDescent="0.25"/>
    <row r="7379" ht="11.25" hidden="1" customHeight="1" x14ac:dyDescent="0.25"/>
    <row r="7380" ht="11.25" hidden="1" customHeight="1" x14ac:dyDescent="0.25"/>
    <row r="7381" ht="11.25" hidden="1" customHeight="1" x14ac:dyDescent="0.25"/>
    <row r="7382" ht="11.25" hidden="1" customHeight="1" x14ac:dyDescent="0.25"/>
    <row r="7383" ht="11.25" hidden="1" customHeight="1" x14ac:dyDescent="0.25"/>
    <row r="7384" ht="11.25" hidden="1" customHeight="1" x14ac:dyDescent="0.25"/>
    <row r="7385" ht="11.25" hidden="1" customHeight="1" x14ac:dyDescent="0.25"/>
    <row r="7386" ht="11.25" hidden="1" customHeight="1" x14ac:dyDescent="0.25"/>
    <row r="7387" ht="11.25" hidden="1" customHeight="1" x14ac:dyDescent="0.25"/>
    <row r="7388" ht="11.25" hidden="1" customHeight="1" x14ac:dyDescent="0.25"/>
    <row r="7389" ht="11.25" hidden="1" customHeight="1" x14ac:dyDescent="0.25"/>
    <row r="7390" ht="11.25" hidden="1" customHeight="1" x14ac:dyDescent="0.25"/>
    <row r="7391" ht="11.25" hidden="1" customHeight="1" x14ac:dyDescent="0.25"/>
    <row r="7392" ht="11.25" hidden="1" customHeight="1" x14ac:dyDescent="0.25"/>
    <row r="7393" ht="11.25" hidden="1" customHeight="1" x14ac:dyDescent="0.25"/>
    <row r="7394" ht="11.25" hidden="1" customHeight="1" x14ac:dyDescent="0.25"/>
    <row r="7395" ht="11.25" hidden="1" customHeight="1" x14ac:dyDescent="0.25"/>
    <row r="7396" ht="11.25" hidden="1" customHeight="1" x14ac:dyDescent="0.25"/>
    <row r="7397" ht="11.25" hidden="1" customHeight="1" x14ac:dyDescent="0.25"/>
    <row r="7398" ht="11.25" hidden="1" customHeight="1" x14ac:dyDescent="0.25"/>
    <row r="7399" ht="11.25" hidden="1" customHeight="1" x14ac:dyDescent="0.25"/>
    <row r="7400" ht="11.25" hidden="1" customHeight="1" x14ac:dyDescent="0.25"/>
    <row r="7401" ht="11.25" hidden="1" customHeight="1" x14ac:dyDescent="0.25"/>
    <row r="7402" ht="11.25" hidden="1" customHeight="1" x14ac:dyDescent="0.25"/>
    <row r="7403" ht="11.25" hidden="1" customHeight="1" x14ac:dyDescent="0.25"/>
    <row r="7404" ht="11.25" hidden="1" customHeight="1" x14ac:dyDescent="0.25"/>
    <row r="7405" ht="11.25" hidden="1" customHeight="1" x14ac:dyDescent="0.25"/>
    <row r="7406" ht="11.25" hidden="1" customHeight="1" x14ac:dyDescent="0.25"/>
    <row r="7407" ht="11.25" hidden="1" customHeight="1" x14ac:dyDescent="0.25"/>
    <row r="7408" ht="11.25" hidden="1" customHeight="1" x14ac:dyDescent="0.25"/>
    <row r="7409" ht="11.25" hidden="1" customHeight="1" x14ac:dyDescent="0.25"/>
    <row r="7410" ht="11.25" hidden="1" customHeight="1" x14ac:dyDescent="0.25"/>
    <row r="7411" ht="11.25" hidden="1" customHeight="1" x14ac:dyDescent="0.25"/>
    <row r="7412" ht="11.25" hidden="1" customHeight="1" x14ac:dyDescent="0.25"/>
    <row r="7413" ht="11.25" hidden="1" customHeight="1" x14ac:dyDescent="0.25"/>
    <row r="7414" ht="11.25" hidden="1" customHeight="1" x14ac:dyDescent="0.25"/>
    <row r="7415" ht="11.25" hidden="1" customHeight="1" x14ac:dyDescent="0.25"/>
    <row r="7416" ht="11.25" hidden="1" customHeight="1" x14ac:dyDescent="0.25"/>
    <row r="7417" ht="11.25" hidden="1" customHeight="1" x14ac:dyDescent="0.25"/>
    <row r="7418" ht="11.25" hidden="1" customHeight="1" x14ac:dyDescent="0.25"/>
    <row r="7419" ht="11.25" hidden="1" customHeight="1" x14ac:dyDescent="0.25"/>
    <row r="7420" ht="11.25" hidden="1" customHeight="1" x14ac:dyDescent="0.25"/>
    <row r="7421" ht="11.25" hidden="1" customHeight="1" x14ac:dyDescent="0.25"/>
    <row r="7422" ht="11.25" hidden="1" customHeight="1" x14ac:dyDescent="0.25"/>
    <row r="7423" ht="11.25" hidden="1" customHeight="1" x14ac:dyDescent="0.25"/>
    <row r="7424" ht="11.25" hidden="1" customHeight="1" x14ac:dyDescent="0.25"/>
    <row r="7425" ht="11.25" hidden="1" customHeight="1" x14ac:dyDescent="0.25"/>
    <row r="7426" ht="11.25" hidden="1" customHeight="1" x14ac:dyDescent="0.25"/>
    <row r="7427" ht="11.25" hidden="1" customHeight="1" x14ac:dyDescent="0.25"/>
    <row r="7428" ht="11.25" hidden="1" customHeight="1" x14ac:dyDescent="0.25"/>
    <row r="7429" ht="11.25" hidden="1" customHeight="1" x14ac:dyDescent="0.25"/>
    <row r="7430" ht="11.25" hidden="1" customHeight="1" x14ac:dyDescent="0.25"/>
    <row r="7431" ht="11.25" hidden="1" customHeight="1" x14ac:dyDescent="0.25"/>
    <row r="7432" ht="11.25" hidden="1" customHeight="1" x14ac:dyDescent="0.25"/>
    <row r="7433" ht="11.25" hidden="1" customHeight="1" x14ac:dyDescent="0.25"/>
    <row r="7434" ht="11.25" hidden="1" customHeight="1" x14ac:dyDescent="0.25"/>
    <row r="7435" ht="11.25" hidden="1" customHeight="1" x14ac:dyDescent="0.25"/>
    <row r="7436" ht="11.25" hidden="1" customHeight="1" x14ac:dyDescent="0.25"/>
    <row r="7437" ht="11.25" hidden="1" customHeight="1" x14ac:dyDescent="0.25"/>
    <row r="7438" ht="11.25" hidden="1" customHeight="1" x14ac:dyDescent="0.25"/>
    <row r="7439" ht="11.25" hidden="1" customHeight="1" x14ac:dyDescent="0.25"/>
    <row r="7440" ht="11.25" hidden="1" customHeight="1" x14ac:dyDescent="0.25"/>
    <row r="7441" ht="11.25" hidden="1" customHeight="1" x14ac:dyDescent="0.25"/>
    <row r="7442" ht="11.25" hidden="1" customHeight="1" x14ac:dyDescent="0.25"/>
    <row r="7443" ht="11.25" hidden="1" customHeight="1" x14ac:dyDescent="0.25"/>
    <row r="7444" ht="11.25" hidden="1" customHeight="1" x14ac:dyDescent="0.25"/>
    <row r="7445" ht="11.25" hidden="1" customHeight="1" x14ac:dyDescent="0.25"/>
    <row r="7446" ht="11.25" hidden="1" customHeight="1" x14ac:dyDescent="0.25"/>
    <row r="7447" ht="11.25" hidden="1" customHeight="1" x14ac:dyDescent="0.25"/>
    <row r="7448" ht="11.25" hidden="1" customHeight="1" x14ac:dyDescent="0.25"/>
    <row r="7449" ht="11.25" hidden="1" customHeight="1" x14ac:dyDescent="0.25"/>
    <row r="7450" ht="11.25" hidden="1" customHeight="1" x14ac:dyDescent="0.25"/>
    <row r="7451" ht="11.25" hidden="1" customHeight="1" x14ac:dyDescent="0.25"/>
    <row r="7452" ht="11.25" hidden="1" customHeight="1" x14ac:dyDescent="0.25"/>
    <row r="7453" ht="11.25" hidden="1" customHeight="1" x14ac:dyDescent="0.25"/>
    <row r="7454" ht="11.25" hidden="1" customHeight="1" x14ac:dyDescent="0.25"/>
    <row r="7455" ht="11.25" hidden="1" customHeight="1" x14ac:dyDescent="0.25"/>
    <row r="7456" ht="11.25" hidden="1" customHeight="1" x14ac:dyDescent="0.25"/>
    <row r="7457" ht="11.25" hidden="1" customHeight="1" x14ac:dyDescent="0.25"/>
    <row r="7458" ht="11.25" hidden="1" customHeight="1" x14ac:dyDescent="0.25"/>
    <row r="7459" ht="11.25" hidden="1" customHeight="1" x14ac:dyDescent="0.25"/>
    <row r="7460" ht="11.25" hidden="1" customHeight="1" x14ac:dyDescent="0.25"/>
    <row r="7461" ht="11.25" hidden="1" customHeight="1" x14ac:dyDescent="0.25"/>
    <row r="7462" ht="11.25" hidden="1" customHeight="1" x14ac:dyDescent="0.25"/>
    <row r="7463" ht="11.25" hidden="1" customHeight="1" x14ac:dyDescent="0.25"/>
    <row r="7464" ht="11.25" hidden="1" customHeight="1" x14ac:dyDescent="0.25"/>
    <row r="7465" ht="11.25" hidden="1" customHeight="1" x14ac:dyDescent="0.25"/>
    <row r="7466" ht="11.25" hidden="1" customHeight="1" x14ac:dyDescent="0.25"/>
    <row r="7467" ht="11.25" hidden="1" customHeight="1" x14ac:dyDescent="0.25"/>
    <row r="7468" ht="11.25" hidden="1" customHeight="1" x14ac:dyDescent="0.25"/>
    <row r="7469" ht="11.25" hidden="1" customHeight="1" x14ac:dyDescent="0.25"/>
    <row r="7470" ht="11.25" hidden="1" customHeight="1" x14ac:dyDescent="0.25"/>
    <row r="7471" ht="11.25" hidden="1" customHeight="1" x14ac:dyDescent="0.25"/>
    <row r="7472" ht="11.25" hidden="1" customHeight="1" x14ac:dyDescent="0.25"/>
    <row r="7473" ht="11.25" hidden="1" customHeight="1" x14ac:dyDescent="0.25"/>
    <row r="7474" ht="11.25" hidden="1" customHeight="1" x14ac:dyDescent="0.25"/>
    <row r="7475" ht="11.25" hidden="1" customHeight="1" x14ac:dyDescent="0.25"/>
    <row r="7476" ht="11.25" hidden="1" customHeight="1" x14ac:dyDescent="0.25"/>
    <row r="7477" ht="11.25" hidden="1" customHeight="1" x14ac:dyDescent="0.25"/>
    <row r="7478" ht="11.25" hidden="1" customHeight="1" x14ac:dyDescent="0.25"/>
    <row r="7479" ht="11.25" hidden="1" customHeight="1" x14ac:dyDescent="0.25"/>
    <row r="7480" ht="11.25" hidden="1" customHeight="1" x14ac:dyDescent="0.25"/>
    <row r="7481" ht="11.25" hidden="1" customHeight="1" x14ac:dyDescent="0.25"/>
    <row r="7482" ht="11.25" hidden="1" customHeight="1" x14ac:dyDescent="0.25"/>
    <row r="7483" ht="11.25" hidden="1" customHeight="1" x14ac:dyDescent="0.25"/>
    <row r="7484" ht="11.25" hidden="1" customHeight="1" x14ac:dyDescent="0.25"/>
    <row r="7485" ht="11.25" hidden="1" customHeight="1" x14ac:dyDescent="0.25"/>
    <row r="7486" ht="11.25" hidden="1" customHeight="1" x14ac:dyDescent="0.25"/>
    <row r="7487" ht="11.25" hidden="1" customHeight="1" x14ac:dyDescent="0.25"/>
    <row r="7488" ht="11.25" hidden="1" customHeight="1" x14ac:dyDescent="0.25"/>
    <row r="7489" ht="11.25" hidden="1" customHeight="1" x14ac:dyDescent="0.25"/>
    <row r="7490" ht="11.25" hidden="1" customHeight="1" x14ac:dyDescent="0.25"/>
    <row r="7491" ht="11.25" hidden="1" customHeight="1" x14ac:dyDescent="0.25"/>
    <row r="7492" ht="11.25" hidden="1" customHeight="1" x14ac:dyDescent="0.25"/>
    <row r="7493" ht="11.25" hidden="1" customHeight="1" x14ac:dyDescent="0.25"/>
    <row r="7494" ht="11.25" hidden="1" customHeight="1" x14ac:dyDescent="0.25"/>
    <row r="7495" ht="11.25" hidden="1" customHeight="1" x14ac:dyDescent="0.25"/>
    <row r="7496" ht="11.25" hidden="1" customHeight="1" x14ac:dyDescent="0.25"/>
    <row r="7497" ht="11.25" hidden="1" customHeight="1" x14ac:dyDescent="0.25"/>
    <row r="7498" ht="11.25" hidden="1" customHeight="1" x14ac:dyDescent="0.25"/>
    <row r="7499" ht="11.25" hidden="1" customHeight="1" x14ac:dyDescent="0.25"/>
    <row r="7500" ht="11.25" hidden="1" customHeight="1" x14ac:dyDescent="0.25"/>
    <row r="7501" ht="11.25" hidden="1" customHeight="1" x14ac:dyDescent="0.25"/>
    <row r="7502" ht="11.25" hidden="1" customHeight="1" x14ac:dyDescent="0.25"/>
    <row r="7503" ht="11.25" hidden="1" customHeight="1" x14ac:dyDescent="0.25"/>
    <row r="7504" ht="11.25" hidden="1" customHeight="1" x14ac:dyDescent="0.25"/>
    <row r="7505" ht="11.25" hidden="1" customHeight="1" x14ac:dyDescent="0.25"/>
    <row r="7506" ht="11.25" hidden="1" customHeight="1" x14ac:dyDescent="0.25"/>
    <row r="7507" ht="11.25" hidden="1" customHeight="1" x14ac:dyDescent="0.25"/>
    <row r="7508" ht="11.25" hidden="1" customHeight="1" x14ac:dyDescent="0.25"/>
    <row r="7509" ht="11.25" hidden="1" customHeight="1" x14ac:dyDescent="0.25"/>
    <row r="7510" ht="11.25" hidden="1" customHeight="1" x14ac:dyDescent="0.25"/>
    <row r="7511" ht="11.25" hidden="1" customHeight="1" x14ac:dyDescent="0.25"/>
    <row r="7512" ht="11.25" hidden="1" customHeight="1" x14ac:dyDescent="0.25"/>
    <row r="7513" ht="11.25" hidden="1" customHeight="1" x14ac:dyDescent="0.25"/>
    <row r="7514" ht="11.25" hidden="1" customHeight="1" x14ac:dyDescent="0.25"/>
    <row r="7515" ht="11.25" hidden="1" customHeight="1" x14ac:dyDescent="0.25"/>
    <row r="7516" ht="11.25" hidden="1" customHeight="1" x14ac:dyDescent="0.25"/>
    <row r="7517" ht="11.25" hidden="1" customHeight="1" x14ac:dyDescent="0.25"/>
    <row r="7518" ht="11.25" hidden="1" customHeight="1" x14ac:dyDescent="0.25"/>
    <row r="7519" ht="11.25" hidden="1" customHeight="1" x14ac:dyDescent="0.25"/>
    <row r="7520" ht="11.25" hidden="1" customHeight="1" x14ac:dyDescent="0.25"/>
    <row r="7521" ht="11.25" hidden="1" customHeight="1" x14ac:dyDescent="0.25"/>
    <row r="7522" ht="11.25" hidden="1" customHeight="1" x14ac:dyDescent="0.25"/>
    <row r="7523" ht="11.25" hidden="1" customHeight="1" x14ac:dyDescent="0.25"/>
    <row r="7524" ht="11.25" hidden="1" customHeight="1" x14ac:dyDescent="0.25"/>
    <row r="7525" ht="11.25" hidden="1" customHeight="1" x14ac:dyDescent="0.25"/>
    <row r="7526" ht="11.25" hidden="1" customHeight="1" x14ac:dyDescent="0.25"/>
    <row r="7527" ht="11.25" hidden="1" customHeight="1" x14ac:dyDescent="0.25"/>
    <row r="7528" ht="11.25" hidden="1" customHeight="1" x14ac:dyDescent="0.25"/>
    <row r="7529" ht="11.25" hidden="1" customHeight="1" x14ac:dyDescent="0.25"/>
    <row r="7530" ht="11.25" hidden="1" customHeight="1" x14ac:dyDescent="0.25"/>
    <row r="7531" ht="11.25" hidden="1" customHeight="1" x14ac:dyDescent="0.25"/>
    <row r="7532" ht="11.25" hidden="1" customHeight="1" x14ac:dyDescent="0.25"/>
    <row r="7533" ht="11.25" hidden="1" customHeight="1" x14ac:dyDescent="0.25"/>
    <row r="7534" ht="11.25" hidden="1" customHeight="1" x14ac:dyDescent="0.25"/>
    <row r="7535" ht="11.25" hidden="1" customHeight="1" x14ac:dyDescent="0.25"/>
    <row r="7536" ht="11.25" hidden="1" customHeight="1" x14ac:dyDescent="0.25"/>
    <row r="7537" ht="11.25" hidden="1" customHeight="1" x14ac:dyDescent="0.25"/>
    <row r="7538" ht="11.25" hidden="1" customHeight="1" x14ac:dyDescent="0.25"/>
    <row r="7539" ht="11.25" hidden="1" customHeight="1" x14ac:dyDescent="0.25"/>
    <row r="7540" ht="11.25" hidden="1" customHeight="1" x14ac:dyDescent="0.25"/>
    <row r="7541" ht="11.25" hidden="1" customHeight="1" x14ac:dyDescent="0.25"/>
    <row r="7542" ht="11.25" hidden="1" customHeight="1" x14ac:dyDescent="0.25"/>
    <row r="7543" ht="11.25" hidden="1" customHeight="1" x14ac:dyDescent="0.25"/>
    <row r="7544" ht="11.25" hidden="1" customHeight="1" x14ac:dyDescent="0.25"/>
    <row r="7545" ht="11.25" hidden="1" customHeight="1" x14ac:dyDescent="0.25"/>
    <row r="7546" ht="11.25" hidden="1" customHeight="1" x14ac:dyDescent="0.25"/>
    <row r="7547" ht="11.25" hidden="1" customHeight="1" x14ac:dyDescent="0.25"/>
    <row r="7548" ht="11.25" hidden="1" customHeight="1" x14ac:dyDescent="0.25"/>
    <row r="7549" ht="11.25" hidden="1" customHeight="1" x14ac:dyDescent="0.25"/>
    <row r="7550" ht="11.25" hidden="1" customHeight="1" x14ac:dyDescent="0.25"/>
    <row r="7551" ht="11.25" hidden="1" customHeight="1" x14ac:dyDescent="0.25"/>
    <row r="7552" ht="11.25" hidden="1" customHeight="1" x14ac:dyDescent="0.25"/>
    <row r="7553" ht="11.25" hidden="1" customHeight="1" x14ac:dyDescent="0.25"/>
    <row r="7554" ht="11.25" hidden="1" customHeight="1" x14ac:dyDescent="0.25"/>
    <row r="7555" ht="11.25" hidden="1" customHeight="1" x14ac:dyDescent="0.25"/>
    <row r="7556" ht="11.25" hidden="1" customHeight="1" x14ac:dyDescent="0.25"/>
    <row r="7557" ht="11.25" hidden="1" customHeight="1" x14ac:dyDescent="0.25"/>
    <row r="7558" ht="11.25" hidden="1" customHeight="1" x14ac:dyDescent="0.25"/>
    <row r="7559" ht="11.25" hidden="1" customHeight="1" x14ac:dyDescent="0.25"/>
    <row r="7560" ht="11.25" hidden="1" customHeight="1" x14ac:dyDescent="0.25"/>
    <row r="7561" ht="11.25" hidden="1" customHeight="1" x14ac:dyDescent="0.25"/>
    <row r="7562" ht="11.25" hidden="1" customHeight="1" x14ac:dyDescent="0.25"/>
    <row r="7563" ht="11.25" hidden="1" customHeight="1" x14ac:dyDescent="0.25"/>
    <row r="7564" ht="11.25" hidden="1" customHeight="1" x14ac:dyDescent="0.25"/>
    <row r="7565" ht="11.25" hidden="1" customHeight="1" x14ac:dyDescent="0.25"/>
    <row r="7566" ht="11.25" hidden="1" customHeight="1" x14ac:dyDescent="0.25"/>
    <row r="7567" ht="11.25" hidden="1" customHeight="1" x14ac:dyDescent="0.25"/>
    <row r="7568" ht="11.25" hidden="1" customHeight="1" x14ac:dyDescent="0.25"/>
    <row r="7569" ht="11.25" hidden="1" customHeight="1" x14ac:dyDescent="0.25"/>
    <row r="7570" ht="11.25" hidden="1" customHeight="1" x14ac:dyDescent="0.25"/>
    <row r="7571" ht="11.25" hidden="1" customHeight="1" x14ac:dyDescent="0.25"/>
    <row r="7572" ht="11.25" hidden="1" customHeight="1" x14ac:dyDescent="0.25"/>
    <row r="7573" ht="11.25" hidden="1" customHeight="1" x14ac:dyDescent="0.25"/>
    <row r="7574" ht="11.25" hidden="1" customHeight="1" x14ac:dyDescent="0.25"/>
    <row r="7575" ht="11.25" hidden="1" customHeight="1" x14ac:dyDescent="0.25"/>
    <row r="7576" ht="11.25" hidden="1" customHeight="1" x14ac:dyDescent="0.25"/>
    <row r="7577" ht="11.25" hidden="1" customHeight="1" x14ac:dyDescent="0.25"/>
    <row r="7578" ht="11.25" hidden="1" customHeight="1" x14ac:dyDescent="0.25"/>
    <row r="7579" ht="11.25" hidden="1" customHeight="1" x14ac:dyDescent="0.25"/>
    <row r="7580" ht="11.25" hidden="1" customHeight="1" x14ac:dyDescent="0.25"/>
    <row r="7581" ht="11.25" hidden="1" customHeight="1" x14ac:dyDescent="0.25"/>
    <row r="7582" ht="11.25" hidden="1" customHeight="1" x14ac:dyDescent="0.25"/>
    <row r="7583" ht="11.25" hidden="1" customHeight="1" x14ac:dyDescent="0.25"/>
    <row r="7584" ht="11.25" hidden="1" customHeight="1" x14ac:dyDescent="0.25"/>
    <row r="7585" ht="11.25" hidden="1" customHeight="1" x14ac:dyDescent="0.25"/>
    <row r="7586" ht="11.25" hidden="1" customHeight="1" x14ac:dyDescent="0.25"/>
    <row r="7587" ht="11.25" hidden="1" customHeight="1" x14ac:dyDescent="0.25"/>
    <row r="7588" ht="11.25" hidden="1" customHeight="1" x14ac:dyDescent="0.25"/>
    <row r="7589" ht="11.25" hidden="1" customHeight="1" x14ac:dyDescent="0.25"/>
    <row r="7590" ht="11.25" hidden="1" customHeight="1" x14ac:dyDescent="0.25"/>
    <row r="7591" ht="11.25" hidden="1" customHeight="1" x14ac:dyDescent="0.25"/>
    <row r="7592" ht="11.25" hidden="1" customHeight="1" x14ac:dyDescent="0.25"/>
    <row r="7593" ht="11.25" hidden="1" customHeight="1" x14ac:dyDescent="0.25"/>
    <row r="7594" ht="11.25" hidden="1" customHeight="1" x14ac:dyDescent="0.25"/>
    <row r="7595" ht="11.25" hidden="1" customHeight="1" x14ac:dyDescent="0.25"/>
    <row r="7596" ht="11.25" hidden="1" customHeight="1" x14ac:dyDescent="0.25"/>
    <row r="7597" ht="11.25" hidden="1" customHeight="1" x14ac:dyDescent="0.25"/>
    <row r="7598" ht="11.25" hidden="1" customHeight="1" x14ac:dyDescent="0.25"/>
    <row r="7599" ht="11.25" hidden="1" customHeight="1" x14ac:dyDescent="0.25"/>
    <row r="7600" ht="11.25" hidden="1" customHeight="1" x14ac:dyDescent="0.25"/>
    <row r="7601" ht="11.25" hidden="1" customHeight="1" x14ac:dyDescent="0.25"/>
    <row r="7602" ht="11.25" hidden="1" customHeight="1" x14ac:dyDescent="0.25"/>
    <row r="7603" ht="11.25" hidden="1" customHeight="1" x14ac:dyDescent="0.25"/>
    <row r="7604" ht="11.25" hidden="1" customHeight="1" x14ac:dyDescent="0.25"/>
    <row r="7605" ht="11.25" hidden="1" customHeight="1" x14ac:dyDescent="0.25"/>
    <row r="7606" ht="11.25" hidden="1" customHeight="1" x14ac:dyDescent="0.25"/>
    <row r="7607" ht="11.25" hidden="1" customHeight="1" x14ac:dyDescent="0.25"/>
    <row r="7608" ht="11.25" hidden="1" customHeight="1" x14ac:dyDescent="0.25"/>
    <row r="7609" ht="11.25" hidden="1" customHeight="1" x14ac:dyDescent="0.25"/>
    <row r="7610" ht="11.25" hidden="1" customHeight="1" x14ac:dyDescent="0.25"/>
    <row r="7611" ht="11.25" hidden="1" customHeight="1" x14ac:dyDescent="0.25"/>
    <row r="7612" ht="11.25" hidden="1" customHeight="1" x14ac:dyDescent="0.25"/>
    <row r="7613" ht="11.25" hidden="1" customHeight="1" x14ac:dyDescent="0.25"/>
    <row r="7614" ht="11.25" hidden="1" customHeight="1" x14ac:dyDescent="0.25"/>
    <row r="7615" ht="11.25" hidden="1" customHeight="1" x14ac:dyDescent="0.25"/>
    <row r="7616" ht="11.25" hidden="1" customHeight="1" x14ac:dyDescent="0.25"/>
    <row r="7617" ht="11.25" hidden="1" customHeight="1" x14ac:dyDescent="0.25"/>
    <row r="7618" ht="11.25" hidden="1" customHeight="1" x14ac:dyDescent="0.25"/>
    <row r="7619" ht="11.25" hidden="1" customHeight="1" x14ac:dyDescent="0.25"/>
    <row r="7620" ht="11.25" hidden="1" customHeight="1" x14ac:dyDescent="0.25"/>
    <row r="7621" ht="11.25" hidden="1" customHeight="1" x14ac:dyDescent="0.25"/>
    <row r="7622" ht="11.25" hidden="1" customHeight="1" x14ac:dyDescent="0.25"/>
    <row r="7623" ht="11.25" hidden="1" customHeight="1" x14ac:dyDescent="0.25"/>
    <row r="7624" ht="11.25" hidden="1" customHeight="1" x14ac:dyDescent="0.25"/>
    <row r="7625" ht="11.25" hidden="1" customHeight="1" x14ac:dyDescent="0.25"/>
    <row r="7626" ht="11.25" hidden="1" customHeight="1" x14ac:dyDescent="0.25"/>
    <row r="7627" ht="11.25" hidden="1" customHeight="1" x14ac:dyDescent="0.25"/>
    <row r="7628" ht="11.25" hidden="1" customHeight="1" x14ac:dyDescent="0.25"/>
    <row r="7629" ht="11.25" hidden="1" customHeight="1" x14ac:dyDescent="0.25"/>
    <row r="7630" ht="11.25" hidden="1" customHeight="1" x14ac:dyDescent="0.25"/>
    <row r="7631" ht="11.25" hidden="1" customHeight="1" x14ac:dyDescent="0.25"/>
    <row r="7632" ht="11.25" hidden="1" customHeight="1" x14ac:dyDescent="0.25"/>
    <row r="7633" ht="11.25" hidden="1" customHeight="1" x14ac:dyDescent="0.25"/>
    <row r="7634" ht="11.25" hidden="1" customHeight="1" x14ac:dyDescent="0.25"/>
    <row r="7635" ht="11.25" hidden="1" customHeight="1" x14ac:dyDescent="0.25"/>
    <row r="7636" ht="11.25" hidden="1" customHeight="1" x14ac:dyDescent="0.25"/>
    <row r="7637" ht="11.25" hidden="1" customHeight="1" x14ac:dyDescent="0.25"/>
    <row r="7638" ht="11.25" hidden="1" customHeight="1" x14ac:dyDescent="0.25"/>
    <row r="7639" ht="11.25" hidden="1" customHeight="1" x14ac:dyDescent="0.25"/>
    <row r="7640" ht="11.25" hidden="1" customHeight="1" x14ac:dyDescent="0.25"/>
    <row r="7641" ht="11.25" hidden="1" customHeight="1" x14ac:dyDescent="0.25"/>
    <row r="7642" ht="11.25" hidden="1" customHeight="1" x14ac:dyDescent="0.25"/>
    <row r="7643" ht="11.25" hidden="1" customHeight="1" x14ac:dyDescent="0.25"/>
    <row r="7644" ht="11.25" hidden="1" customHeight="1" x14ac:dyDescent="0.25"/>
    <row r="7645" ht="11.25" hidden="1" customHeight="1" x14ac:dyDescent="0.25"/>
    <row r="7646" ht="11.25" hidden="1" customHeight="1" x14ac:dyDescent="0.25"/>
    <row r="7647" ht="11.25" hidden="1" customHeight="1" x14ac:dyDescent="0.25"/>
    <row r="7648" ht="11.25" hidden="1" customHeight="1" x14ac:dyDescent="0.25"/>
    <row r="7649" ht="11.25" hidden="1" customHeight="1" x14ac:dyDescent="0.25"/>
    <row r="7650" ht="11.25" hidden="1" customHeight="1" x14ac:dyDescent="0.25"/>
    <row r="7651" ht="11.25" hidden="1" customHeight="1" x14ac:dyDescent="0.25"/>
    <row r="7652" ht="11.25" hidden="1" customHeight="1" x14ac:dyDescent="0.25"/>
    <row r="7653" ht="11.25" hidden="1" customHeight="1" x14ac:dyDescent="0.25"/>
    <row r="7654" ht="11.25" hidden="1" customHeight="1" x14ac:dyDescent="0.25"/>
    <row r="7655" ht="11.25" hidden="1" customHeight="1" x14ac:dyDescent="0.25"/>
    <row r="7656" ht="11.25" hidden="1" customHeight="1" x14ac:dyDescent="0.25"/>
    <row r="7657" ht="11.25" hidden="1" customHeight="1" x14ac:dyDescent="0.25"/>
    <row r="7658" ht="11.25" hidden="1" customHeight="1" x14ac:dyDescent="0.25"/>
    <row r="7659" ht="11.25" hidden="1" customHeight="1" x14ac:dyDescent="0.25"/>
    <row r="7660" ht="11.25" hidden="1" customHeight="1" x14ac:dyDescent="0.25"/>
    <row r="7661" ht="11.25" hidden="1" customHeight="1" x14ac:dyDescent="0.25"/>
    <row r="7662" ht="11.25" hidden="1" customHeight="1" x14ac:dyDescent="0.25"/>
    <row r="7663" ht="11.25" hidden="1" customHeight="1" x14ac:dyDescent="0.25"/>
    <row r="7664" ht="11.25" hidden="1" customHeight="1" x14ac:dyDescent="0.25"/>
    <row r="7665" ht="11.25" hidden="1" customHeight="1" x14ac:dyDescent="0.25"/>
    <row r="7666" ht="11.25" hidden="1" customHeight="1" x14ac:dyDescent="0.25"/>
    <row r="7667" ht="11.25" hidden="1" customHeight="1" x14ac:dyDescent="0.25"/>
    <row r="7668" ht="11.25" hidden="1" customHeight="1" x14ac:dyDescent="0.25"/>
    <row r="7669" ht="11.25" hidden="1" customHeight="1" x14ac:dyDescent="0.25"/>
    <row r="7670" ht="11.25" hidden="1" customHeight="1" x14ac:dyDescent="0.25"/>
    <row r="7671" ht="11.25" hidden="1" customHeight="1" x14ac:dyDescent="0.25"/>
    <row r="7672" ht="11.25" hidden="1" customHeight="1" x14ac:dyDescent="0.25"/>
    <row r="7673" ht="11.25" hidden="1" customHeight="1" x14ac:dyDescent="0.25"/>
    <row r="7674" ht="11.25" hidden="1" customHeight="1" x14ac:dyDescent="0.25"/>
    <row r="7675" ht="11.25" hidden="1" customHeight="1" x14ac:dyDescent="0.25"/>
    <row r="7676" ht="11.25" hidden="1" customHeight="1" x14ac:dyDescent="0.25"/>
    <row r="7677" ht="11.25" hidden="1" customHeight="1" x14ac:dyDescent="0.25"/>
    <row r="7678" ht="11.25" hidden="1" customHeight="1" x14ac:dyDescent="0.25"/>
    <row r="7679" ht="11.25" hidden="1" customHeight="1" x14ac:dyDescent="0.25"/>
    <row r="7680" ht="11.25" hidden="1" customHeight="1" x14ac:dyDescent="0.25"/>
    <row r="7681" ht="11.25" hidden="1" customHeight="1" x14ac:dyDescent="0.25"/>
    <row r="7682" ht="11.25" hidden="1" customHeight="1" x14ac:dyDescent="0.25"/>
    <row r="7683" ht="11.25" hidden="1" customHeight="1" x14ac:dyDescent="0.25"/>
    <row r="7684" ht="11.25" hidden="1" customHeight="1" x14ac:dyDescent="0.25"/>
    <row r="7685" ht="11.25" hidden="1" customHeight="1" x14ac:dyDescent="0.25"/>
    <row r="7686" ht="11.25" hidden="1" customHeight="1" x14ac:dyDescent="0.25"/>
    <row r="7687" ht="11.25" hidden="1" customHeight="1" x14ac:dyDescent="0.25"/>
    <row r="7688" ht="11.25" hidden="1" customHeight="1" x14ac:dyDescent="0.25"/>
    <row r="7689" ht="11.25" hidden="1" customHeight="1" x14ac:dyDescent="0.25"/>
    <row r="7690" ht="11.25" hidden="1" customHeight="1" x14ac:dyDescent="0.25"/>
    <row r="7691" ht="11.25" hidden="1" customHeight="1" x14ac:dyDescent="0.25"/>
    <row r="7692" ht="11.25" hidden="1" customHeight="1" x14ac:dyDescent="0.25"/>
    <row r="7693" ht="11.25" hidden="1" customHeight="1" x14ac:dyDescent="0.25"/>
    <row r="7694" ht="11.25" hidden="1" customHeight="1" x14ac:dyDescent="0.25"/>
    <row r="7695" ht="11.25" hidden="1" customHeight="1" x14ac:dyDescent="0.25"/>
    <row r="7696" ht="11.25" hidden="1" customHeight="1" x14ac:dyDescent="0.25"/>
    <row r="7697" ht="11.25" hidden="1" customHeight="1" x14ac:dyDescent="0.25"/>
    <row r="7698" ht="11.25" hidden="1" customHeight="1" x14ac:dyDescent="0.25"/>
    <row r="7699" ht="11.25" hidden="1" customHeight="1" x14ac:dyDescent="0.25"/>
    <row r="7700" ht="11.25" hidden="1" customHeight="1" x14ac:dyDescent="0.25"/>
    <row r="7701" ht="11.25" hidden="1" customHeight="1" x14ac:dyDescent="0.25"/>
    <row r="7702" ht="11.25" hidden="1" customHeight="1" x14ac:dyDescent="0.25"/>
    <row r="7703" ht="11.25" hidden="1" customHeight="1" x14ac:dyDescent="0.25"/>
    <row r="7704" ht="11.25" hidden="1" customHeight="1" x14ac:dyDescent="0.25"/>
    <row r="7705" ht="11.25" hidden="1" customHeight="1" x14ac:dyDescent="0.25"/>
    <row r="7706" ht="11.25" hidden="1" customHeight="1" x14ac:dyDescent="0.25"/>
    <row r="7707" ht="11.25" hidden="1" customHeight="1" x14ac:dyDescent="0.25"/>
    <row r="7708" ht="11.25" hidden="1" customHeight="1" x14ac:dyDescent="0.25"/>
    <row r="7709" ht="11.25" hidden="1" customHeight="1" x14ac:dyDescent="0.25"/>
    <row r="7710" ht="11.25" hidden="1" customHeight="1" x14ac:dyDescent="0.25"/>
    <row r="7711" ht="11.25" hidden="1" customHeight="1" x14ac:dyDescent="0.25"/>
    <row r="7712" ht="11.25" hidden="1" customHeight="1" x14ac:dyDescent="0.25"/>
    <row r="7713" ht="11.25" hidden="1" customHeight="1" x14ac:dyDescent="0.25"/>
    <row r="7714" ht="11.25" hidden="1" customHeight="1" x14ac:dyDescent="0.25"/>
    <row r="7715" ht="11.25" hidden="1" customHeight="1" x14ac:dyDescent="0.25"/>
    <row r="7716" ht="11.25" hidden="1" customHeight="1" x14ac:dyDescent="0.25"/>
    <row r="7717" ht="11.25" hidden="1" customHeight="1" x14ac:dyDescent="0.25"/>
    <row r="7718" ht="11.25" hidden="1" customHeight="1" x14ac:dyDescent="0.25"/>
    <row r="7719" ht="11.25" hidden="1" customHeight="1" x14ac:dyDescent="0.25"/>
    <row r="7720" ht="11.25" hidden="1" customHeight="1" x14ac:dyDescent="0.25"/>
    <row r="7721" ht="11.25" hidden="1" customHeight="1" x14ac:dyDescent="0.25"/>
    <row r="7722" ht="11.25" hidden="1" customHeight="1" x14ac:dyDescent="0.25"/>
    <row r="7723" ht="11.25" hidden="1" customHeight="1" x14ac:dyDescent="0.25"/>
    <row r="7724" ht="11.25" hidden="1" customHeight="1" x14ac:dyDescent="0.25"/>
    <row r="7725" ht="11.25" hidden="1" customHeight="1" x14ac:dyDescent="0.25"/>
    <row r="7726" ht="11.25" hidden="1" customHeight="1" x14ac:dyDescent="0.25"/>
    <row r="7727" ht="11.25" hidden="1" customHeight="1" x14ac:dyDescent="0.25"/>
    <row r="7728" ht="11.25" hidden="1" customHeight="1" x14ac:dyDescent="0.25"/>
    <row r="7729" ht="11.25" hidden="1" customHeight="1" x14ac:dyDescent="0.25"/>
    <row r="7730" ht="11.25" hidden="1" customHeight="1" x14ac:dyDescent="0.25"/>
    <row r="7731" ht="11.25" hidden="1" customHeight="1" x14ac:dyDescent="0.25"/>
    <row r="7732" ht="11.25" hidden="1" customHeight="1" x14ac:dyDescent="0.25"/>
    <row r="7733" ht="11.25" hidden="1" customHeight="1" x14ac:dyDescent="0.25"/>
    <row r="7734" ht="11.25" hidden="1" customHeight="1" x14ac:dyDescent="0.25"/>
    <row r="7735" ht="11.25" hidden="1" customHeight="1" x14ac:dyDescent="0.25"/>
    <row r="7736" ht="11.25" hidden="1" customHeight="1" x14ac:dyDescent="0.25"/>
    <row r="7737" ht="11.25" hidden="1" customHeight="1" x14ac:dyDescent="0.25"/>
    <row r="7738" ht="11.25" hidden="1" customHeight="1" x14ac:dyDescent="0.25"/>
    <row r="7739" ht="11.25" hidden="1" customHeight="1" x14ac:dyDescent="0.25"/>
    <row r="7740" ht="11.25" hidden="1" customHeight="1" x14ac:dyDescent="0.25"/>
    <row r="7741" ht="11.25" hidden="1" customHeight="1" x14ac:dyDescent="0.25"/>
    <row r="7742" ht="11.25" hidden="1" customHeight="1" x14ac:dyDescent="0.25"/>
    <row r="7743" ht="11.25" hidden="1" customHeight="1" x14ac:dyDescent="0.25"/>
    <row r="7744" ht="11.25" hidden="1" customHeight="1" x14ac:dyDescent="0.25"/>
    <row r="7745" ht="11.25" hidden="1" customHeight="1" x14ac:dyDescent="0.25"/>
    <row r="7746" ht="11.25" hidden="1" customHeight="1" x14ac:dyDescent="0.25"/>
    <row r="7747" ht="11.25" hidden="1" customHeight="1" x14ac:dyDescent="0.25"/>
    <row r="7748" ht="11.25" hidden="1" customHeight="1" x14ac:dyDescent="0.25"/>
    <row r="7749" ht="11.25" hidden="1" customHeight="1" x14ac:dyDescent="0.25"/>
    <row r="7750" ht="11.25" hidden="1" customHeight="1" x14ac:dyDescent="0.25"/>
    <row r="7751" ht="11.25" hidden="1" customHeight="1" x14ac:dyDescent="0.25"/>
    <row r="7752" ht="11.25" hidden="1" customHeight="1" x14ac:dyDescent="0.25"/>
    <row r="7753" ht="11.25" hidden="1" customHeight="1" x14ac:dyDescent="0.25"/>
    <row r="7754" ht="11.25" hidden="1" customHeight="1" x14ac:dyDescent="0.25"/>
    <row r="7755" ht="11.25" hidden="1" customHeight="1" x14ac:dyDescent="0.25"/>
    <row r="7756" ht="11.25" hidden="1" customHeight="1" x14ac:dyDescent="0.25"/>
    <row r="7757" ht="11.25" hidden="1" customHeight="1" x14ac:dyDescent="0.25"/>
    <row r="7758" ht="11.25" hidden="1" customHeight="1" x14ac:dyDescent="0.25"/>
    <row r="7759" ht="11.25" hidden="1" customHeight="1" x14ac:dyDescent="0.25"/>
    <row r="7760" ht="11.25" hidden="1" customHeight="1" x14ac:dyDescent="0.25"/>
    <row r="7761" ht="11.25" hidden="1" customHeight="1" x14ac:dyDescent="0.25"/>
    <row r="7762" ht="11.25" hidden="1" customHeight="1" x14ac:dyDescent="0.25"/>
    <row r="7763" ht="11.25" hidden="1" customHeight="1" x14ac:dyDescent="0.25"/>
    <row r="7764" ht="11.25" hidden="1" customHeight="1" x14ac:dyDescent="0.25"/>
    <row r="7765" ht="11.25" hidden="1" customHeight="1" x14ac:dyDescent="0.25"/>
    <row r="7766" ht="11.25" hidden="1" customHeight="1" x14ac:dyDescent="0.25"/>
    <row r="7767" ht="11.25" hidden="1" customHeight="1" x14ac:dyDescent="0.25"/>
    <row r="7768" ht="11.25" hidden="1" customHeight="1" x14ac:dyDescent="0.25"/>
    <row r="7769" ht="11.25" hidden="1" customHeight="1" x14ac:dyDescent="0.25"/>
    <row r="7770" ht="11.25" hidden="1" customHeight="1" x14ac:dyDescent="0.25"/>
    <row r="7771" ht="11.25" hidden="1" customHeight="1" x14ac:dyDescent="0.25"/>
    <row r="7772" ht="11.25" hidden="1" customHeight="1" x14ac:dyDescent="0.25"/>
    <row r="7773" ht="11.25" hidden="1" customHeight="1" x14ac:dyDescent="0.25"/>
    <row r="7774" ht="11.25" hidden="1" customHeight="1" x14ac:dyDescent="0.25"/>
    <row r="7775" ht="11.25" hidden="1" customHeight="1" x14ac:dyDescent="0.25"/>
    <row r="7776" ht="11.25" hidden="1" customHeight="1" x14ac:dyDescent="0.25"/>
    <row r="7777" ht="11.25" hidden="1" customHeight="1" x14ac:dyDescent="0.25"/>
    <row r="7778" ht="11.25" hidden="1" customHeight="1" x14ac:dyDescent="0.25"/>
    <row r="7779" ht="11.25" hidden="1" customHeight="1" x14ac:dyDescent="0.25"/>
    <row r="7780" ht="11.25" hidden="1" customHeight="1" x14ac:dyDescent="0.25"/>
    <row r="7781" ht="11.25" hidden="1" customHeight="1" x14ac:dyDescent="0.25"/>
    <row r="7782" ht="11.25" hidden="1" customHeight="1" x14ac:dyDescent="0.25"/>
    <row r="7783" ht="11.25" hidden="1" customHeight="1" x14ac:dyDescent="0.25"/>
    <row r="7784" ht="11.25" hidden="1" customHeight="1" x14ac:dyDescent="0.25"/>
    <row r="7785" ht="11.25" hidden="1" customHeight="1" x14ac:dyDescent="0.25"/>
    <row r="7786" ht="11.25" hidden="1" customHeight="1" x14ac:dyDescent="0.25"/>
    <row r="7787" ht="11.25" hidden="1" customHeight="1" x14ac:dyDescent="0.25"/>
    <row r="7788" ht="11.25" hidden="1" customHeight="1" x14ac:dyDescent="0.25"/>
    <row r="7789" ht="11.25" hidden="1" customHeight="1" x14ac:dyDescent="0.25"/>
    <row r="7790" ht="11.25" hidden="1" customHeight="1" x14ac:dyDescent="0.25"/>
    <row r="7791" ht="11.25" hidden="1" customHeight="1" x14ac:dyDescent="0.25"/>
    <row r="7792" ht="11.25" hidden="1" customHeight="1" x14ac:dyDescent="0.25"/>
    <row r="7793" ht="11.25" hidden="1" customHeight="1" x14ac:dyDescent="0.25"/>
    <row r="7794" ht="11.25" hidden="1" customHeight="1" x14ac:dyDescent="0.25"/>
    <row r="7795" ht="11.25" hidden="1" customHeight="1" x14ac:dyDescent="0.25"/>
    <row r="7796" ht="11.25" hidden="1" customHeight="1" x14ac:dyDescent="0.25"/>
    <row r="7797" ht="11.25" hidden="1" customHeight="1" x14ac:dyDescent="0.25"/>
    <row r="7798" ht="11.25" hidden="1" customHeight="1" x14ac:dyDescent="0.25"/>
    <row r="7799" ht="11.25" hidden="1" customHeight="1" x14ac:dyDescent="0.25"/>
    <row r="7800" ht="11.25" hidden="1" customHeight="1" x14ac:dyDescent="0.25"/>
    <row r="7801" ht="11.25" hidden="1" customHeight="1" x14ac:dyDescent="0.25"/>
    <row r="7802" ht="11.25" hidden="1" customHeight="1" x14ac:dyDescent="0.25"/>
    <row r="7803" ht="11.25" hidden="1" customHeight="1" x14ac:dyDescent="0.25"/>
    <row r="7804" ht="11.25" hidden="1" customHeight="1" x14ac:dyDescent="0.25"/>
    <row r="7805" ht="11.25" hidden="1" customHeight="1" x14ac:dyDescent="0.25"/>
    <row r="7806" ht="11.25" hidden="1" customHeight="1" x14ac:dyDescent="0.25"/>
    <row r="7807" ht="11.25" hidden="1" customHeight="1" x14ac:dyDescent="0.25"/>
    <row r="7808" ht="11.25" hidden="1" customHeight="1" x14ac:dyDescent="0.25"/>
    <row r="7809" ht="11.25" hidden="1" customHeight="1" x14ac:dyDescent="0.25"/>
    <row r="7810" ht="11.25" hidden="1" customHeight="1" x14ac:dyDescent="0.25"/>
    <row r="7811" ht="11.25" hidden="1" customHeight="1" x14ac:dyDescent="0.25"/>
    <row r="7812" ht="11.25" hidden="1" customHeight="1" x14ac:dyDescent="0.25"/>
    <row r="7813" ht="11.25" hidden="1" customHeight="1" x14ac:dyDescent="0.25"/>
    <row r="7814" ht="11.25" hidden="1" customHeight="1" x14ac:dyDescent="0.25"/>
    <row r="7815" ht="11.25" hidden="1" customHeight="1" x14ac:dyDescent="0.25"/>
    <row r="7816" ht="11.25" hidden="1" customHeight="1" x14ac:dyDescent="0.25"/>
    <row r="7817" ht="11.25" hidden="1" customHeight="1" x14ac:dyDescent="0.25"/>
    <row r="7818" ht="11.25" hidden="1" customHeight="1" x14ac:dyDescent="0.25"/>
    <row r="7819" ht="11.25" hidden="1" customHeight="1" x14ac:dyDescent="0.25"/>
    <row r="7820" ht="11.25" hidden="1" customHeight="1" x14ac:dyDescent="0.25"/>
    <row r="7821" ht="11.25" hidden="1" customHeight="1" x14ac:dyDescent="0.25"/>
    <row r="7822" ht="11.25" hidden="1" customHeight="1" x14ac:dyDescent="0.25"/>
    <row r="7823" ht="11.25" hidden="1" customHeight="1" x14ac:dyDescent="0.25"/>
    <row r="7824" ht="11.25" hidden="1" customHeight="1" x14ac:dyDescent="0.25"/>
    <row r="7825" ht="11.25" hidden="1" customHeight="1" x14ac:dyDescent="0.25"/>
    <row r="7826" ht="11.25" hidden="1" customHeight="1" x14ac:dyDescent="0.25"/>
    <row r="7827" ht="11.25" hidden="1" customHeight="1" x14ac:dyDescent="0.25"/>
    <row r="7828" ht="11.25" hidden="1" customHeight="1" x14ac:dyDescent="0.25"/>
    <row r="7829" ht="11.25" hidden="1" customHeight="1" x14ac:dyDescent="0.25"/>
    <row r="7830" ht="11.25" hidden="1" customHeight="1" x14ac:dyDescent="0.25"/>
    <row r="7831" ht="11.25" hidden="1" customHeight="1" x14ac:dyDescent="0.25"/>
    <row r="7832" ht="11.25" hidden="1" customHeight="1" x14ac:dyDescent="0.25"/>
    <row r="7833" ht="11.25" hidden="1" customHeight="1" x14ac:dyDescent="0.25"/>
    <row r="7834" ht="11.25" hidden="1" customHeight="1" x14ac:dyDescent="0.25"/>
    <row r="7835" ht="11.25" hidden="1" customHeight="1" x14ac:dyDescent="0.25"/>
    <row r="7836" ht="11.25" hidden="1" customHeight="1" x14ac:dyDescent="0.25"/>
    <row r="7837" ht="11.25" hidden="1" customHeight="1" x14ac:dyDescent="0.25"/>
    <row r="7838" ht="11.25" hidden="1" customHeight="1" x14ac:dyDescent="0.25"/>
    <row r="7839" ht="11.25" hidden="1" customHeight="1" x14ac:dyDescent="0.25"/>
    <row r="7840" ht="11.25" hidden="1" customHeight="1" x14ac:dyDescent="0.25"/>
    <row r="7841" ht="11.25" hidden="1" customHeight="1" x14ac:dyDescent="0.25"/>
    <row r="7842" ht="11.25" hidden="1" customHeight="1" x14ac:dyDescent="0.25"/>
    <row r="7843" ht="11.25" hidden="1" customHeight="1" x14ac:dyDescent="0.25"/>
    <row r="7844" ht="11.25" hidden="1" customHeight="1" x14ac:dyDescent="0.25"/>
    <row r="7845" ht="11.25" hidden="1" customHeight="1" x14ac:dyDescent="0.25"/>
    <row r="7846" ht="11.25" hidden="1" customHeight="1" x14ac:dyDescent="0.25"/>
    <row r="7847" ht="11.25" hidden="1" customHeight="1" x14ac:dyDescent="0.25"/>
    <row r="7848" ht="11.25" hidden="1" customHeight="1" x14ac:dyDescent="0.25"/>
    <row r="7849" ht="11.25" hidden="1" customHeight="1" x14ac:dyDescent="0.25"/>
    <row r="7850" ht="11.25" hidden="1" customHeight="1" x14ac:dyDescent="0.25"/>
    <row r="7851" ht="11.25" hidden="1" customHeight="1" x14ac:dyDescent="0.25"/>
    <row r="7852" ht="11.25" hidden="1" customHeight="1" x14ac:dyDescent="0.25"/>
    <row r="7853" ht="11.25" hidden="1" customHeight="1" x14ac:dyDescent="0.25"/>
    <row r="7854" ht="11.25" hidden="1" customHeight="1" x14ac:dyDescent="0.25"/>
    <row r="7855" ht="11.25" hidden="1" customHeight="1" x14ac:dyDescent="0.25"/>
    <row r="7856" ht="11.25" hidden="1" customHeight="1" x14ac:dyDescent="0.25"/>
    <row r="7857" ht="11.25" hidden="1" customHeight="1" x14ac:dyDescent="0.25"/>
    <row r="7858" ht="11.25" hidden="1" customHeight="1" x14ac:dyDescent="0.25"/>
    <row r="7859" ht="11.25" hidden="1" customHeight="1" x14ac:dyDescent="0.25"/>
    <row r="7860" ht="11.25" hidden="1" customHeight="1" x14ac:dyDescent="0.25"/>
    <row r="7861" ht="11.25" hidden="1" customHeight="1" x14ac:dyDescent="0.25"/>
    <row r="7862" ht="11.25" hidden="1" customHeight="1" x14ac:dyDescent="0.25"/>
    <row r="7863" ht="11.25" hidden="1" customHeight="1" x14ac:dyDescent="0.25"/>
    <row r="7864" ht="11.25" hidden="1" customHeight="1" x14ac:dyDescent="0.25"/>
    <row r="7865" ht="11.25" hidden="1" customHeight="1" x14ac:dyDescent="0.25"/>
    <row r="7866" ht="11.25" hidden="1" customHeight="1" x14ac:dyDescent="0.25"/>
    <row r="7867" ht="11.25" hidden="1" customHeight="1" x14ac:dyDescent="0.25"/>
    <row r="7868" ht="11.25" hidden="1" customHeight="1" x14ac:dyDescent="0.25"/>
    <row r="7869" ht="11.25" hidden="1" customHeight="1" x14ac:dyDescent="0.25"/>
    <row r="7870" ht="11.25" hidden="1" customHeight="1" x14ac:dyDescent="0.25"/>
    <row r="7871" ht="11.25" hidden="1" customHeight="1" x14ac:dyDescent="0.25"/>
    <row r="7872" ht="11.25" hidden="1" customHeight="1" x14ac:dyDescent="0.25"/>
    <row r="7873" ht="11.25" hidden="1" customHeight="1" x14ac:dyDescent="0.25"/>
    <row r="7874" ht="11.25" hidden="1" customHeight="1" x14ac:dyDescent="0.25"/>
    <row r="7875" ht="11.25" hidden="1" customHeight="1" x14ac:dyDescent="0.25"/>
    <row r="7876" ht="11.25" hidden="1" customHeight="1" x14ac:dyDescent="0.25"/>
    <row r="7877" ht="11.25" hidden="1" customHeight="1" x14ac:dyDescent="0.25"/>
    <row r="7878" ht="11.25" hidden="1" customHeight="1" x14ac:dyDescent="0.25"/>
    <row r="7879" ht="11.25" hidden="1" customHeight="1" x14ac:dyDescent="0.25"/>
    <row r="7880" ht="11.25" hidden="1" customHeight="1" x14ac:dyDescent="0.25"/>
    <row r="7881" ht="11.25" hidden="1" customHeight="1" x14ac:dyDescent="0.25"/>
    <row r="7882" ht="11.25" hidden="1" customHeight="1" x14ac:dyDescent="0.25"/>
    <row r="7883" ht="11.25" hidden="1" customHeight="1" x14ac:dyDescent="0.25"/>
    <row r="7884" ht="11.25" hidden="1" customHeight="1" x14ac:dyDescent="0.25"/>
    <row r="7885" ht="11.25" hidden="1" customHeight="1" x14ac:dyDescent="0.25"/>
    <row r="7886" ht="11.25" hidden="1" customHeight="1" x14ac:dyDescent="0.25"/>
    <row r="7887" ht="11.25" hidden="1" customHeight="1" x14ac:dyDescent="0.25"/>
    <row r="7888" ht="11.25" hidden="1" customHeight="1" x14ac:dyDescent="0.25"/>
    <row r="7889" ht="11.25" hidden="1" customHeight="1" x14ac:dyDescent="0.25"/>
    <row r="7890" ht="11.25" hidden="1" customHeight="1" x14ac:dyDescent="0.25"/>
    <row r="7891" ht="11.25" hidden="1" customHeight="1" x14ac:dyDescent="0.25"/>
    <row r="7892" ht="11.25" hidden="1" customHeight="1" x14ac:dyDescent="0.25"/>
    <row r="7893" ht="11.25" hidden="1" customHeight="1" x14ac:dyDescent="0.25"/>
    <row r="7894" ht="11.25" hidden="1" customHeight="1" x14ac:dyDescent="0.25"/>
    <row r="7895" ht="11.25" hidden="1" customHeight="1" x14ac:dyDescent="0.25"/>
    <row r="7896" ht="11.25" hidden="1" customHeight="1" x14ac:dyDescent="0.25"/>
    <row r="7897" ht="11.25" hidden="1" customHeight="1" x14ac:dyDescent="0.25"/>
    <row r="7898" ht="11.25" hidden="1" customHeight="1" x14ac:dyDescent="0.25"/>
    <row r="7899" ht="11.25" hidden="1" customHeight="1" x14ac:dyDescent="0.25"/>
    <row r="7900" ht="11.25" hidden="1" customHeight="1" x14ac:dyDescent="0.25"/>
    <row r="7901" ht="11.25" hidden="1" customHeight="1" x14ac:dyDescent="0.25"/>
    <row r="7902" ht="11.25" hidden="1" customHeight="1" x14ac:dyDescent="0.25"/>
    <row r="7903" ht="11.25" hidden="1" customHeight="1" x14ac:dyDescent="0.25"/>
    <row r="7904" ht="11.25" hidden="1" customHeight="1" x14ac:dyDescent="0.25"/>
    <row r="7905" ht="11.25" hidden="1" customHeight="1" x14ac:dyDescent="0.25"/>
    <row r="7906" ht="11.25" hidden="1" customHeight="1" x14ac:dyDescent="0.25"/>
    <row r="7907" ht="11.25" hidden="1" customHeight="1" x14ac:dyDescent="0.25"/>
    <row r="7908" ht="11.25" hidden="1" customHeight="1" x14ac:dyDescent="0.25"/>
    <row r="7909" ht="11.25" hidden="1" customHeight="1" x14ac:dyDescent="0.25"/>
    <row r="7910" ht="11.25" hidden="1" customHeight="1" x14ac:dyDescent="0.25"/>
    <row r="7911" ht="11.25" hidden="1" customHeight="1" x14ac:dyDescent="0.25"/>
    <row r="7912" ht="11.25" hidden="1" customHeight="1" x14ac:dyDescent="0.25"/>
    <row r="7913" ht="11.25" hidden="1" customHeight="1" x14ac:dyDescent="0.25"/>
    <row r="7914" ht="11.25" hidden="1" customHeight="1" x14ac:dyDescent="0.25"/>
    <row r="7915" ht="11.25" hidden="1" customHeight="1" x14ac:dyDescent="0.25"/>
    <row r="7916" ht="11.25" hidden="1" customHeight="1" x14ac:dyDescent="0.25"/>
    <row r="7917" ht="11.25" hidden="1" customHeight="1" x14ac:dyDescent="0.25"/>
    <row r="7918" ht="11.25" hidden="1" customHeight="1" x14ac:dyDescent="0.25"/>
    <row r="7919" ht="11.25" hidden="1" customHeight="1" x14ac:dyDescent="0.25"/>
    <row r="7920" ht="11.25" hidden="1" customHeight="1" x14ac:dyDescent="0.25"/>
    <row r="7921" ht="11.25" hidden="1" customHeight="1" x14ac:dyDescent="0.25"/>
    <row r="7922" ht="11.25" hidden="1" customHeight="1" x14ac:dyDescent="0.25"/>
    <row r="7923" ht="11.25" hidden="1" customHeight="1" x14ac:dyDescent="0.25"/>
    <row r="7924" ht="11.25" hidden="1" customHeight="1" x14ac:dyDescent="0.25"/>
    <row r="7925" ht="11.25" hidden="1" customHeight="1" x14ac:dyDescent="0.25"/>
    <row r="7926" ht="11.25" hidden="1" customHeight="1" x14ac:dyDescent="0.25"/>
    <row r="7927" ht="11.25" hidden="1" customHeight="1" x14ac:dyDescent="0.25"/>
    <row r="7928" ht="11.25" hidden="1" customHeight="1" x14ac:dyDescent="0.25"/>
    <row r="7929" ht="11.25" hidden="1" customHeight="1" x14ac:dyDescent="0.25"/>
    <row r="7930" ht="11.25" hidden="1" customHeight="1" x14ac:dyDescent="0.25"/>
    <row r="7931" ht="11.25" hidden="1" customHeight="1" x14ac:dyDescent="0.25"/>
    <row r="7932" ht="11.25" hidden="1" customHeight="1" x14ac:dyDescent="0.25"/>
    <row r="7933" ht="11.25" hidden="1" customHeight="1" x14ac:dyDescent="0.25"/>
    <row r="7934" ht="11.25" hidden="1" customHeight="1" x14ac:dyDescent="0.25"/>
    <row r="7935" ht="11.25" hidden="1" customHeight="1" x14ac:dyDescent="0.25"/>
    <row r="7936" ht="11.25" hidden="1" customHeight="1" x14ac:dyDescent="0.25"/>
    <row r="7937" ht="11.25" hidden="1" customHeight="1" x14ac:dyDescent="0.25"/>
    <row r="7938" ht="11.25" hidden="1" customHeight="1" x14ac:dyDescent="0.25"/>
    <row r="7939" ht="11.25" hidden="1" customHeight="1" x14ac:dyDescent="0.25"/>
    <row r="7940" ht="11.25" hidden="1" customHeight="1" x14ac:dyDescent="0.25"/>
    <row r="7941" ht="11.25" hidden="1" customHeight="1" x14ac:dyDescent="0.25"/>
    <row r="7942" ht="11.25" hidden="1" customHeight="1" x14ac:dyDescent="0.25"/>
    <row r="7943" ht="11.25" hidden="1" customHeight="1" x14ac:dyDescent="0.25"/>
    <row r="7944" ht="11.25" hidden="1" customHeight="1" x14ac:dyDescent="0.25"/>
    <row r="7945" ht="11.25" hidden="1" customHeight="1" x14ac:dyDescent="0.25"/>
    <row r="7946" ht="11.25" hidden="1" customHeight="1" x14ac:dyDescent="0.25"/>
    <row r="7947" ht="11.25" hidden="1" customHeight="1" x14ac:dyDescent="0.25"/>
    <row r="7948" ht="11.25" hidden="1" customHeight="1" x14ac:dyDescent="0.25"/>
    <row r="7949" ht="11.25" hidden="1" customHeight="1" x14ac:dyDescent="0.25"/>
    <row r="7950" ht="11.25" hidden="1" customHeight="1" x14ac:dyDescent="0.25"/>
    <row r="7951" ht="11.25" hidden="1" customHeight="1" x14ac:dyDescent="0.25"/>
    <row r="7952" ht="11.25" hidden="1" customHeight="1" x14ac:dyDescent="0.25"/>
    <row r="7953" ht="11.25" hidden="1" customHeight="1" x14ac:dyDescent="0.25"/>
    <row r="7954" ht="11.25" hidden="1" customHeight="1" x14ac:dyDescent="0.25"/>
    <row r="7955" ht="11.25" hidden="1" customHeight="1" x14ac:dyDescent="0.25"/>
    <row r="7956" ht="11.25" hidden="1" customHeight="1" x14ac:dyDescent="0.25"/>
    <row r="7957" ht="11.25" hidden="1" customHeight="1" x14ac:dyDescent="0.25"/>
    <row r="7958" ht="11.25" hidden="1" customHeight="1" x14ac:dyDescent="0.25"/>
    <row r="7959" ht="11.25" hidden="1" customHeight="1" x14ac:dyDescent="0.25"/>
    <row r="7960" ht="11.25" hidden="1" customHeight="1" x14ac:dyDescent="0.25"/>
    <row r="7961" ht="11.25" hidden="1" customHeight="1" x14ac:dyDescent="0.25"/>
    <row r="7962" ht="11.25" hidden="1" customHeight="1" x14ac:dyDescent="0.25"/>
    <row r="7963" ht="11.25" hidden="1" customHeight="1" x14ac:dyDescent="0.25"/>
    <row r="7964" ht="11.25" hidden="1" customHeight="1" x14ac:dyDescent="0.25"/>
    <row r="7965" ht="11.25" hidden="1" customHeight="1" x14ac:dyDescent="0.25"/>
    <row r="7966" ht="11.25" hidden="1" customHeight="1" x14ac:dyDescent="0.25"/>
    <row r="7967" ht="11.25" hidden="1" customHeight="1" x14ac:dyDescent="0.25"/>
    <row r="7968" ht="11.25" hidden="1" customHeight="1" x14ac:dyDescent="0.25"/>
    <row r="7969" ht="11.25" hidden="1" customHeight="1" x14ac:dyDescent="0.25"/>
    <row r="7970" ht="11.25" hidden="1" customHeight="1" x14ac:dyDescent="0.25"/>
    <row r="7971" ht="11.25" hidden="1" customHeight="1" x14ac:dyDescent="0.25"/>
    <row r="7972" ht="11.25" hidden="1" customHeight="1" x14ac:dyDescent="0.25"/>
    <row r="7973" ht="11.25" hidden="1" customHeight="1" x14ac:dyDescent="0.25"/>
    <row r="7974" ht="11.25" hidden="1" customHeight="1" x14ac:dyDescent="0.25"/>
    <row r="7975" ht="11.25" hidden="1" customHeight="1" x14ac:dyDescent="0.25"/>
    <row r="7976" ht="11.25" hidden="1" customHeight="1" x14ac:dyDescent="0.25"/>
    <row r="7977" ht="11.25" hidden="1" customHeight="1" x14ac:dyDescent="0.25"/>
    <row r="7978" ht="11.25" hidden="1" customHeight="1" x14ac:dyDescent="0.25"/>
    <row r="7979" ht="11.25" hidden="1" customHeight="1" x14ac:dyDescent="0.25"/>
    <row r="7980" ht="11.25" hidden="1" customHeight="1" x14ac:dyDescent="0.25"/>
    <row r="7981" ht="11.25" hidden="1" customHeight="1" x14ac:dyDescent="0.25"/>
    <row r="7982" ht="11.25" hidden="1" customHeight="1" x14ac:dyDescent="0.25"/>
    <row r="7983" ht="11.25" hidden="1" customHeight="1" x14ac:dyDescent="0.25"/>
    <row r="7984" ht="11.25" hidden="1" customHeight="1" x14ac:dyDescent="0.25"/>
    <row r="7985" ht="11.25" hidden="1" customHeight="1" x14ac:dyDescent="0.25"/>
    <row r="7986" ht="11.25" hidden="1" customHeight="1" x14ac:dyDescent="0.25"/>
    <row r="7987" ht="11.25" hidden="1" customHeight="1" x14ac:dyDescent="0.25"/>
    <row r="7988" ht="11.25" hidden="1" customHeight="1" x14ac:dyDescent="0.25"/>
    <row r="7989" ht="11.25" hidden="1" customHeight="1" x14ac:dyDescent="0.25"/>
    <row r="7990" ht="11.25" hidden="1" customHeight="1" x14ac:dyDescent="0.25"/>
    <row r="7991" ht="11.25" hidden="1" customHeight="1" x14ac:dyDescent="0.25"/>
    <row r="7992" ht="11.25" hidden="1" customHeight="1" x14ac:dyDescent="0.25"/>
    <row r="7993" ht="11.25" hidden="1" customHeight="1" x14ac:dyDescent="0.25"/>
    <row r="7994" ht="11.25" hidden="1" customHeight="1" x14ac:dyDescent="0.25"/>
    <row r="7995" ht="11.25" hidden="1" customHeight="1" x14ac:dyDescent="0.25"/>
    <row r="7996" ht="11.25" hidden="1" customHeight="1" x14ac:dyDescent="0.25"/>
    <row r="7997" ht="11.25" hidden="1" customHeight="1" x14ac:dyDescent="0.25"/>
    <row r="7998" ht="11.25" hidden="1" customHeight="1" x14ac:dyDescent="0.25"/>
    <row r="7999" ht="11.25" hidden="1" customHeight="1" x14ac:dyDescent="0.25"/>
    <row r="8000" ht="11.25" hidden="1" customHeight="1" x14ac:dyDescent="0.25"/>
    <row r="8001" ht="11.25" hidden="1" customHeight="1" x14ac:dyDescent="0.25"/>
    <row r="8002" ht="11.25" hidden="1" customHeight="1" x14ac:dyDescent="0.25"/>
    <row r="8003" ht="11.25" hidden="1" customHeight="1" x14ac:dyDescent="0.25"/>
    <row r="8004" ht="11.25" hidden="1" customHeight="1" x14ac:dyDescent="0.25"/>
    <row r="8005" ht="11.25" hidden="1" customHeight="1" x14ac:dyDescent="0.25"/>
    <row r="8006" ht="11.25" hidden="1" customHeight="1" x14ac:dyDescent="0.25"/>
    <row r="8007" ht="11.25" hidden="1" customHeight="1" x14ac:dyDescent="0.25"/>
    <row r="8008" ht="11.25" hidden="1" customHeight="1" x14ac:dyDescent="0.25"/>
    <row r="8009" ht="11.25" hidden="1" customHeight="1" x14ac:dyDescent="0.25"/>
    <row r="8010" ht="11.25" hidden="1" customHeight="1" x14ac:dyDescent="0.25"/>
    <row r="8011" ht="11.25" hidden="1" customHeight="1" x14ac:dyDescent="0.25"/>
    <row r="8012" ht="11.25" hidden="1" customHeight="1" x14ac:dyDescent="0.25"/>
    <row r="8013" ht="11.25" hidden="1" customHeight="1" x14ac:dyDescent="0.25"/>
    <row r="8014" ht="11.25" hidden="1" customHeight="1" x14ac:dyDescent="0.25"/>
    <row r="8015" ht="11.25" hidden="1" customHeight="1" x14ac:dyDescent="0.25"/>
    <row r="8016" ht="11.25" hidden="1" customHeight="1" x14ac:dyDescent="0.25"/>
    <row r="8017" ht="11.25" hidden="1" customHeight="1" x14ac:dyDescent="0.25"/>
    <row r="8018" ht="11.25" hidden="1" customHeight="1" x14ac:dyDescent="0.25"/>
    <row r="8019" ht="11.25" hidden="1" customHeight="1" x14ac:dyDescent="0.25"/>
    <row r="8020" ht="11.25" hidden="1" customHeight="1" x14ac:dyDescent="0.25"/>
    <row r="8021" ht="11.25" hidden="1" customHeight="1" x14ac:dyDescent="0.25"/>
    <row r="8022" ht="11.25" hidden="1" customHeight="1" x14ac:dyDescent="0.25"/>
    <row r="8023" ht="11.25" hidden="1" customHeight="1" x14ac:dyDescent="0.25"/>
    <row r="8024" ht="11.25" hidden="1" customHeight="1" x14ac:dyDescent="0.25"/>
    <row r="8025" ht="11.25" hidden="1" customHeight="1" x14ac:dyDescent="0.25"/>
    <row r="8026" ht="11.25" hidden="1" customHeight="1" x14ac:dyDescent="0.25"/>
    <row r="8027" ht="11.25" hidden="1" customHeight="1" x14ac:dyDescent="0.25"/>
    <row r="8028" ht="11.25" hidden="1" customHeight="1" x14ac:dyDescent="0.25"/>
    <row r="8029" ht="11.25" hidden="1" customHeight="1" x14ac:dyDescent="0.25"/>
    <row r="8030" ht="11.25" hidden="1" customHeight="1" x14ac:dyDescent="0.25"/>
    <row r="8031" ht="11.25" hidden="1" customHeight="1" x14ac:dyDescent="0.25"/>
    <row r="8032" ht="11.25" hidden="1" customHeight="1" x14ac:dyDescent="0.25"/>
    <row r="8033" ht="11.25" hidden="1" customHeight="1" x14ac:dyDescent="0.25"/>
    <row r="8034" ht="11.25" hidden="1" customHeight="1" x14ac:dyDescent="0.25"/>
    <row r="8035" ht="11.25" hidden="1" customHeight="1" x14ac:dyDescent="0.25"/>
    <row r="8036" ht="11.25" hidden="1" customHeight="1" x14ac:dyDescent="0.25"/>
    <row r="8037" ht="11.25" hidden="1" customHeight="1" x14ac:dyDescent="0.25"/>
    <row r="8038" ht="11.25" hidden="1" customHeight="1" x14ac:dyDescent="0.25"/>
    <row r="8039" ht="11.25" hidden="1" customHeight="1" x14ac:dyDescent="0.25"/>
    <row r="8040" ht="11.25" hidden="1" customHeight="1" x14ac:dyDescent="0.25"/>
    <row r="8041" ht="11.25" hidden="1" customHeight="1" x14ac:dyDescent="0.25"/>
    <row r="8042" ht="11.25" hidden="1" customHeight="1" x14ac:dyDescent="0.25"/>
    <row r="8043" ht="11.25" hidden="1" customHeight="1" x14ac:dyDescent="0.25"/>
    <row r="8044" ht="11.25" hidden="1" customHeight="1" x14ac:dyDescent="0.25"/>
    <row r="8045" ht="11.25" hidden="1" customHeight="1" x14ac:dyDescent="0.25"/>
    <row r="8046" ht="11.25" hidden="1" customHeight="1" x14ac:dyDescent="0.25"/>
    <row r="8047" ht="11.25" hidden="1" customHeight="1" x14ac:dyDescent="0.25"/>
    <row r="8048" ht="11.25" hidden="1" customHeight="1" x14ac:dyDescent="0.25"/>
    <row r="8049" ht="11.25" hidden="1" customHeight="1" x14ac:dyDescent="0.25"/>
    <row r="8050" ht="11.25" hidden="1" customHeight="1" x14ac:dyDescent="0.25"/>
    <row r="8051" ht="11.25" hidden="1" customHeight="1" x14ac:dyDescent="0.25"/>
    <row r="8052" ht="11.25" hidden="1" customHeight="1" x14ac:dyDescent="0.25"/>
    <row r="8053" ht="11.25" hidden="1" customHeight="1" x14ac:dyDescent="0.25"/>
    <row r="8054" ht="11.25" hidden="1" customHeight="1" x14ac:dyDescent="0.25"/>
    <row r="8055" ht="11.25" hidden="1" customHeight="1" x14ac:dyDescent="0.25"/>
    <row r="8056" ht="11.25" hidden="1" customHeight="1" x14ac:dyDescent="0.25"/>
    <row r="8057" ht="11.25" hidden="1" customHeight="1" x14ac:dyDescent="0.25"/>
    <row r="8058" ht="11.25" hidden="1" customHeight="1" x14ac:dyDescent="0.25"/>
    <row r="8059" ht="11.25" hidden="1" customHeight="1" x14ac:dyDescent="0.25"/>
    <row r="8060" ht="11.25" hidden="1" customHeight="1" x14ac:dyDescent="0.25"/>
    <row r="8061" ht="11.25" hidden="1" customHeight="1" x14ac:dyDescent="0.25"/>
    <row r="8062" ht="11.25" hidden="1" customHeight="1" x14ac:dyDescent="0.25"/>
    <row r="8063" ht="11.25" hidden="1" customHeight="1" x14ac:dyDescent="0.25"/>
    <row r="8064" ht="11.25" hidden="1" customHeight="1" x14ac:dyDescent="0.25"/>
    <row r="8065" ht="11.25" hidden="1" customHeight="1" x14ac:dyDescent="0.25"/>
    <row r="8066" ht="11.25" hidden="1" customHeight="1" x14ac:dyDescent="0.25"/>
    <row r="8067" ht="11.25" hidden="1" customHeight="1" x14ac:dyDescent="0.25"/>
    <row r="8068" ht="11.25" hidden="1" customHeight="1" x14ac:dyDescent="0.25"/>
    <row r="8069" ht="11.25" hidden="1" customHeight="1" x14ac:dyDescent="0.25"/>
    <row r="8070" ht="11.25" hidden="1" customHeight="1" x14ac:dyDescent="0.25"/>
    <row r="8071" ht="11.25" hidden="1" customHeight="1" x14ac:dyDescent="0.25"/>
    <row r="8072" ht="11.25" hidden="1" customHeight="1" x14ac:dyDescent="0.25"/>
    <row r="8073" ht="11.25" hidden="1" customHeight="1" x14ac:dyDescent="0.25"/>
    <row r="8074" ht="11.25" hidden="1" customHeight="1" x14ac:dyDescent="0.25"/>
    <row r="8075" ht="11.25" hidden="1" customHeight="1" x14ac:dyDescent="0.25"/>
    <row r="8076" ht="11.25" hidden="1" customHeight="1" x14ac:dyDescent="0.25"/>
    <row r="8077" ht="11.25" hidden="1" customHeight="1" x14ac:dyDescent="0.25"/>
    <row r="8078" ht="11.25" hidden="1" customHeight="1" x14ac:dyDescent="0.25"/>
    <row r="8079" ht="11.25" hidden="1" customHeight="1" x14ac:dyDescent="0.25"/>
    <row r="8080" ht="11.25" hidden="1" customHeight="1" x14ac:dyDescent="0.25"/>
    <row r="8081" ht="11.25" hidden="1" customHeight="1" x14ac:dyDescent="0.25"/>
    <row r="8082" ht="11.25" hidden="1" customHeight="1" x14ac:dyDescent="0.25"/>
    <row r="8083" ht="11.25" hidden="1" customHeight="1" x14ac:dyDescent="0.25"/>
    <row r="8084" ht="11.25" hidden="1" customHeight="1" x14ac:dyDescent="0.25"/>
    <row r="8085" ht="11.25" hidden="1" customHeight="1" x14ac:dyDescent="0.25"/>
    <row r="8086" ht="11.25" hidden="1" customHeight="1" x14ac:dyDescent="0.25"/>
    <row r="8087" ht="11.25" hidden="1" customHeight="1" x14ac:dyDescent="0.25"/>
    <row r="8088" ht="11.25" hidden="1" customHeight="1" x14ac:dyDescent="0.25"/>
    <row r="8089" ht="11.25" hidden="1" customHeight="1" x14ac:dyDescent="0.25"/>
    <row r="8090" ht="11.25" hidden="1" customHeight="1" x14ac:dyDescent="0.25"/>
    <row r="8091" ht="11.25" hidden="1" customHeight="1" x14ac:dyDescent="0.25"/>
    <row r="8092" ht="11.25" hidden="1" customHeight="1" x14ac:dyDescent="0.25"/>
    <row r="8093" ht="11.25" hidden="1" customHeight="1" x14ac:dyDescent="0.25"/>
    <row r="8094" ht="11.25" hidden="1" customHeight="1" x14ac:dyDescent="0.25"/>
    <row r="8095" ht="11.25" hidden="1" customHeight="1" x14ac:dyDescent="0.25"/>
    <row r="8096" ht="11.25" hidden="1" customHeight="1" x14ac:dyDescent="0.25"/>
    <row r="8097" ht="11.25" hidden="1" customHeight="1" x14ac:dyDescent="0.25"/>
    <row r="8098" ht="11.25" hidden="1" customHeight="1" x14ac:dyDescent="0.25"/>
    <row r="8099" ht="11.25" hidden="1" customHeight="1" x14ac:dyDescent="0.25"/>
    <row r="8100" ht="11.25" hidden="1" customHeight="1" x14ac:dyDescent="0.25"/>
    <row r="8101" ht="11.25" hidden="1" customHeight="1" x14ac:dyDescent="0.25"/>
    <row r="8102" ht="11.25" hidden="1" customHeight="1" x14ac:dyDescent="0.25"/>
    <row r="8103" ht="11.25" hidden="1" customHeight="1" x14ac:dyDescent="0.25"/>
    <row r="8104" ht="11.25" hidden="1" customHeight="1" x14ac:dyDescent="0.25"/>
    <row r="8105" ht="11.25" hidden="1" customHeight="1" x14ac:dyDescent="0.25"/>
    <row r="8106" ht="11.25" hidden="1" customHeight="1" x14ac:dyDescent="0.25"/>
    <row r="8107" ht="11.25" hidden="1" customHeight="1" x14ac:dyDescent="0.25"/>
    <row r="8108" ht="11.25" hidden="1" customHeight="1" x14ac:dyDescent="0.25"/>
    <row r="8109" ht="11.25" hidden="1" customHeight="1" x14ac:dyDescent="0.25"/>
    <row r="8110" ht="11.25" hidden="1" customHeight="1" x14ac:dyDescent="0.25"/>
    <row r="8111" ht="11.25" hidden="1" customHeight="1" x14ac:dyDescent="0.25"/>
    <row r="8112" ht="11.25" hidden="1" customHeight="1" x14ac:dyDescent="0.25"/>
    <row r="8113" ht="11.25" hidden="1" customHeight="1" x14ac:dyDescent="0.25"/>
    <row r="8114" ht="11.25" hidden="1" customHeight="1" x14ac:dyDescent="0.25"/>
    <row r="8115" ht="11.25" hidden="1" customHeight="1" x14ac:dyDescent="0.25"/>
    <row r="8116" ht="11.25" hidden="1" customHeight="1" x14ac:dyDescent="0.25"/>
    <row r="8117" ht="11.25" hidden="1" customHeight="1" x14ac:dyDescent="0.25"/>
    <row r="8118" ht="11.25" hidden="1" customHeight="1" x14ac:dyDescent="0.25"/>
    <row r="8119" ht="11.25" hidden="1" customHeight="1" x14ac:dyDescent="0.25"/>
    <row r="8120" ht="11.25" hidden="1" customHeight="1" x14ac:dyDescent="0.25"/>
    <row r="8121" ht="11.25" hidden="1" customHeight="1" x14ac:dyDescent="0.25"/>
    <row r="8122" ht="11.25" hidden="1" customHeight="1" x14ac:dyDescent="0.25"/>
    <row r="8123" ht="11.25" hidden="1" customHeight="1" x14ac:dyDescent="0.25"/>
    <row r="8124" ht="11.25" hidden="1" customHeight="1" x14ac:dyDescent="0.25"/>
    <row r="8125" ht="11.25" hidden="1" customHeight="1" x14ac:dyDescent="0.25"/>
    <row r="8126" ht="11.25" hidden="1" customHeight="1" x14ac:dyDescent="0.25"/>
    <row r="8127" ht="11.25" hidden="1" customHeight="1" x14ac:dyDescent="0.25"/>
    <row r="8128" ht="11.25" hidden="1" customHeight="1" x14ac:dyDescent="0.25"/>
    <row r="8129" ht="11.25" hidden="1" customHeight="1" x14ac:dyDescent="0.25"/>
    <row r="8130" ht="11.25" hidden="1" customHeight="1" x14ac:dyDescent="0.25"/>
    <row r="8131" ht="11.25" hidden="1" customHeight="1" x14ac:dyDescent="0.25"/>
    <row r="8132" ht="11.25" hidden="1" customHeight="1" x14ac:dyDescent="0.25"/>
    <row r="8133" ht="11.25" hidden="1" customHeight="1" x14ac:dyDescent="0.25"/>
    <row r="8134" ht="11.25" hidden="1" customHeight="1" x14ac:dyDescent="0.25"/>
    <row r="8135" ht="11.25" hidden="1" customHeight="1" x14ac:dyDescent="0.25"/>
    <row r="8136" ht="11.25" hidden="1" customHeight="1" x14ac:dyDescent="0.25"/>
    <row r="8137" ht="11.25" hidden="1" customHeight="1" x14ac:dyDescent="0.25"/>
    <row r="8138" ht="11.25" hidden="1" customHeight="1" x14ac:dyDescent="0.25"/>
    <row r="8139" ht="11.25" hidden="1" customHeight="1" x14ac:dyDescent="0.25"/>
    <row r="8140" ht="11.25" hidden="1" customHeight="1" x14ac:dyDescent="0.25"/>
    <row r="8141" ht="11.25" hidden="1" customHeight="1" x14ac:dyDescent="0.25"/>
    <row r="8142" ht="11.25" hidden="1" customHeight="1" x14ac:dyDescent="0.25"/>
    <row r="8143" ht="11.25" hidden="1" customHeight="1" x14ac:dyDescent="0.25"/>
    <row r="8144" ht="11.25" hidden="1" customHeight="1" x14ac:dyDescent="0.25"/>
    <row r="8145" ht="11.25" hidden="1" customHeight="1" x14ac:dyDescent="0.25"/>
    <row r="8146" ht="11.25" hidden="1" customHeight="1" x14ac:dyDescent="0.25"/>
    <row r="8147" ht="11.25" hidden="1" customHeight="1" x14ac:dyDescent="0.25"/>
    <row r="8148" ht="11.25" hidden="1" customHeight="1" x14ac:dyDescent="0.25"/>
    <row r="8149" ht="11.25" hidden="1" customHeight="1" x14ac:dyDescent="0.25"/>
    <row r="8150" ht="11.25" hidden="1" customHeight="1" x14ac:dyDescent="0.25"/>
    <row r="8151" ht="11.25" hidden="1" customHeight="1" x14ac:dyDescent="0.25"/>
    <row r="8152" ht="11.25" hidden="1" customHeight="1" x14ac:dyDescent="0.25"/>
    <row r="8153" ht="11.25" hidden="1" customHeight="1" x14ac:dyDescent="0.25"/>
    <row r="8154" ht="11.25" hidden="1" customHeight="1" x14ac:dyDescent="0.25"/>
    <row r="8155" ht="11.25" hidden="1" customHeight="1" x14ac:dyDescent="0.25"/>
    <row r="8156" ht="11.25" hidden="1" customHeight="1" x14ac:dyDescent="0.25"/>
    <row r="8157" ht="11.25" hidden="1" customHeight="1" x14ac:dyDescent="0.25"/>
    <row r="8158" ht="11.25" hidden="1" customHeight="1" x14ac:dyDescent="0.25"/>
    <row r="8159" ht="11.25" hidden="1" customHeight="1" x14ac:dyDescent="0.25"/>
    <row r="8160" ht="11.25" hidden="1" customHeight="1" x14ac:dyDescent="0.25"/>
    <row r="8161" ht="11.25" hidden="1" customHeight="1" x14ac:dyDescent="0.25"/>
    <row r="8162" ht="11.25" hidden="1" customHeight="1" x14ac:dyDescent="0.25"/>
    <row r="8163" ht="11.25" hidden="1" customHeight="1" x14ac:dyDescent="0.25"/>
    <row r="8164" ht="11.25" hidden="1" customHeight="1" x14ac:dyDescent="0.25"/>
    <row r="8165" ht="11.25" hidden="1" customHeight="1" x14ac:dyDescent="0.25"/>
    <row r="8166" ht="11.25" hidden="1" customHeight="1" x14ac:dyDescent="0.25"/>
    <row r="8167" ht="11.25" hidden="1" customHeight="1" x14ac:dyDescent="0.25"/>
    <row r="8168" ht="11.25" hidden="1" customHeight="1" x14ac:dyDescent="0.25"/>
    <row r="8169" ht="11.25" hidden="1" customHeight="1" x14ac:dyDescent="0.25"/>
    <row r="8170" ht="11.25" hidden="1" customHeight="1" x14ac:dyDescent="0.25"/>
    <row r="8171" ht="11.25" hidden="1" customHeight="1" x14ac:dyDescent="0.25"/>
    <row r="8172" ht="11.25" hidden="1" customHeight="1" x14ac:dyDescent="0.25"/>
    <row r="8173" ht="11.25" hidden="1" customHeight="1" x14ac:dyDescent="0.25"/>
    <row r="8174" ht="11.25" hidden="1" customHeight="1" x14ac:dyDescent="0.25"/>
    <row r="8175" ht="11.25" hidden="1" customHeight="1" x14ac:dyDescent="0.25"/>
    <row r="8176" ht="11.25" hidden="1" customHeight="1" x14ac:dyDescent="0.25"/>
    <row r="8177" ht="11.25" hidden="1" customHeight="1" x14ac:dyDescent="0.25"/>
    <row r="8178" ht="11.25" hidden="1" customHeight="1" x14ac:dyDescent="0.25"/>
    <row r="8179" ht="11.25" hidden="1" customHeight="1" x14ac:dyDescent="0.25"/>
    <row r="8180" ht="11.25" hidden="1" customHeight="1" x14ac:dyDescent="0.25"/>
    <row r="8181" ht="11.25" hidden="1" customHeight="1" x14ac:dyDescent="0.25"/>
    <row r="8182" ht="11.25" hidden="1" customHeight="1" x14ac:dyDescent="0.25"/>
    <row r="8183" ht="11.25" hidden="1" customHeight="1" x14ac:dyDescent="0.25"/>
    <row r="8184" ht="11.25" hidden="1" customHeight="1" x14ac:dyDescent="0.25"/>
    <row r="8185" ht="11.25" hidden="1" customHeight="1" x14ac:dyDescent="0.25"/>
    <row r="8186" ht="11.25" hidden="1" customHeight="1" x14ac:dyDescent="0.25"/>
    <row r="8187" ht="11.25" hidden="1" customHeight="1" x14ac:dyDescent="0.25"/>
    <row r="8188" ht="11.25" hidden="1" customHeight="1" x14ac:dyDescent="0.25"/>
    <row r="8189" ht="11.25" hidden="1" customHeight="1" x14ac:dyDescent="0.25"/>
    <row r="8190" ht="11.25" hidden="1" customHeight="1" x14ac:dyDescent="0.25"/>
    <row r="8191" ht="11.25" hidden="1" customHeight="1" x14ac:dyDescent="0.25"/>
    <row r="8192" ht="11.25" hidden="1" customHeight="1" x14ac:dyDescent="0.25"/>
    <row r="8193" ht="11.25" hidden="1" customHeight="1" x14ac:dyDescent="0.25"/>
    <row r="8194" ht="11.25" hidden="1" customHeight="1" x14ac:dyDescent="0.25"/>
    <row r="8195" ht="11.25" hidden="1" customHeight="1" x14ac:dyDescent="0.25"/>
    <row r="8196" ht="11.25" hidden="1" customHeight="1" x14ac:dyDescent="0.25"/>
    <row r="8197" ht="11.25" hidden="1" customHeight="1" x14ac:dyDescent="0.25"/>
    <row r="8198" ht="11.25" hidden="1" customHeight="1" x14ac:dyDescent="0.25"/>
    <row r="8199" ht="11.25" hidden="1" customHeight="1" x14ac:dyDescent="0.25"/>
    <row r="8200" ht="11.25" hidden="1" customHeight="1" x14ac:dyDescent="0.25"/>
    <row r="8201" ht="11.25" hidden="1" customHeight="1" x14ac:dyDescent="0.25"/>
    <row r="8202" ht="11.25" hidden="1" customHeight="1" x14ac:dyDescent="0.25"/>
    <row r="8203" ht="11.25" hidden="1" customHeight="1" x14ac:dyDescent="0.25"/>
    <row r="8204" ht="11.25" hidden="1" customHeight="1" x14ac:dyDescent="0.25"/>
    <row r="8205" ht="11.25" hidden="1" customHeight="1" x14ac:dyDescent="0.25"/>
    <row r="8206" ht="11.25" hidden="1" customHeight="1" x14ac:dyDescent="0.25"/>
    <row r="8207" ht="11.25" hidden="1" customHeight="1" x14ac:dyDescent="0.25"/>
    <row r="8208" ht="11.25" hidden="1" customHeight="1" x14ac:dyDescent="0.25"/>
    <row r="8209" ht="11.25" hidden="1" customHeight="1" x14ac:dyDescent="0.25"/>
    <row r="8210" ht="11.25" hidden="1" customHeight="1" x14ac:dyDescent="0.25"/>
    <row r="8211" ht="11.25" hidden="1" customHeight="1" x14ac:dyDescent="0.25"/>
    <row r="8212" ht="11.25" hidden="1" customHeight="1" x14ac:dyDescent="0.25"/>
    <row r="8213" ht="11.25" hidden="1" customHeight="1" x14ac:dyDescent="0.25"/>
    <row r="8214" ht="11.25" hidden="1" customHeight="1" x14ac:dyDescent="0.25"/>
    <row r="8215" ht="11.25" hidden="1" customHeight="1" x14ac:dyDescent="0.25"/>
    <row r="8216" ht="11.25" hidden="1" customHeight="1" x14ac:dyDescent="0.25"/>
    <row r="8217" ht="11.25" hidden="1" customHeight="1" x14ac:dyDescent="0.25"/>
    <row r="8218" ht="11.25" hidden="1" customHeight="1" x14ac:dyDescent="0.25"/>
    <row r="8219" ht="11.25" hidden="1" customHeight="1" x14ac:dyDescent="0.25"/>
    <row r="8220" ht="11.25" hidden="1" customHeight="1" x14ac:dyDescent="0.25"/>
    <row r="8221" ht="11.25" hidden="1" customHeight="1" x14ac:dyDescent="0.25"/>
    <row r="8222" ht="11.25" hidden="1" customHeight="1" x14ac:dyDescent="0.25"/>
    <row r="8223" ht="11.25" hidden="1" customHeight="1" x14ac:dyDescent="0.25"/>
    <row r="8224" ht="11.25" hidden="1" customHeight="1" x14ac:dyDescent="0.25"/>
    <row r="8225" ht="11.25" hidden="1" customHeight="1" x14ac:dyDescent="0.25"/>
    <row r="8226" ht="11.25" hidden="1" customHeight="1" x14ac:dyDescent="0.25"/>
    <row r="8227" ht="11.25" hidden="1" customHeight="1" x14ac:dyDescent="0.25"/>
    <row r="8228" ht="11.25" hidden="1" customHeight="1" x14ac:dyDescent="0.25"/>
    <row r="8229" ht="11.25" hidden="1" customHeight="1" x14ac:dyDescent="0.25"/>
    <row r="8230" ht="11.25" hidden="1" customHeight="1" x14ac:dyDescent="0.25"/>
    <row r="8231" ht="11.25" hidden="1" customHeight="1" x14ac:dyDescent="0.25"/>
    <row r="8232" ht="11.25" hidden="1" customHeight="1" x14ac:dyDescent="0.25"/>
    <row r="8233" ht="11.25" hidden="1" customHeight="1" x14ac:dyDescent="0.25"/>
    <row r="8234" ht="11.25" hidden="1" customHeight="1" x14ac:dyDescent="0.25"/>
    <row r="8235" ht="11.25" hidden="1" customHeight="1" x14ac:dyDescent="0.25"/>
    <row r="8236" ht="11.25" hidden="1" customHeight="1" x14ac:dyDescent="0.25"/>
    <row r="8237" ht="11.25" hidden="1" customHeight="1" x14ac:dyDescent="0.25"/>
    <row r="8238" ht="11.25" hidden="1" customHeight="1" x14ac:dyDescent="0.25"/>
    <row r="8239" ht="11.25" hidden="1" customHeight="1" x14ac:dyDescent="0.25"/>
    <row r="8240" ht="11.25" hidden="1" customHeight="1" x14ac:dyDescent="0.25"/>
    <row r="8241" ht="11.25" hidden="1" customHeight="1" x14ac:dyDescent="0.25"/>
    <row r="8242" ht="11.25" hidden="1" customHeight="1" x14ac:dyDescent="0.25"/>
    <row r="8243" ht="11.25" hidden="1" customHeight="1" x14ac:dyDescent="0.25"/>
    <row r="8244" ht="11.25" hidden="1" customHeight="1" x14ac:dyDescent="0.25"/>
    <row r="8245" ht="11.25" hidden="1" customHeight="1" x14ac:dyDescent="0.25"/>
    <row r="8246" ht="11.25" hidden="1" customHeight="1" x14ac:dyDescent="0.25"/>
    <row r="8247" ht="11.25" hidden="1" customHeight="1" x14ac:dyDescent="0.25"/>
    <row r="8248" ht="11.25" hidden="1" customHeight="1" x14ac:dyDescent="0.25"/>
    <row r="8249" ht="11.25" hidden="1" customHeight="1" x14ac:dyDescent="0.25"/>
    <row r="8250" ht="11.25" hidden="1" customHeight="1" x14ac:dyDescent="0.25"/>
    <row r="8251" ht="11.25" hidden="1" customHeight="1" x14ac:dyDescent="0.25"/>
    <row r="8252" ht="11.25" hidden="1" customHeight="1" x14ac:dyDescent="0.25"/>
    <row r="8253" ht="11.25" hidden="1" customHeight="1" x14ac:dyDescent="0.25"/>
    <row r="8254" ht="11.25" hidden="1" customHeight="1" x14ac:dyDescent="0.25"/>
    <row r="8255" ht="11.25" hidden="1" customHeight="1" x14ac:dyDescent="0.25"/>
    <row r="8256" ht="11.25" hidden="1" customHeight="1" x14ac:dyDescent="0.25"/>
    <row r="8257" ht="11.25" hidden="1" customHeight="1" x14ac:dyDescent="0.25"/>
    <row r="8258" ht="11.25" hidden="1" customHeight="1" x14ac:dyDescent="0.25"/>
    <row r="8259" ht="11.25" hidden="1" customHeight="1" x14ac:dyDescent="0.25"/>
    <row r="8260" ht="11.25" hidden="1" customHeight="1" x14ac:dyDescent="0.25"/>
    <row r="8261" ht="11.25" hidden="1" customHeight="1" x14ac:dyDescent="0.25"/>
    <row r="8262" ht="11.25" hidden="1" customHeight="1" x14ac:dyDescent="0.25"/>
    <row r="8263" ht="11.25" hidden="1" customHeight="1" x14ac:dyDescent="0.25"/>
    <row r="8264" ht="11.25" hidden="1" customHeight="1" x14ac:dyDescent="0.25"/>
    <row r="8265" ht="11.25" hidden="1" customHeight="1" x14ac:dyDescent="0.25"/>
    <row r="8266" ht="11.25" hidden="1" customHeight="1" x14ac:dyDescent="0.25"/>
    <row r="8267" ht="11.25" hidden="1" customHeight="1" x14ac:dyDescent="0.25"/>
    <row r="8268" ht="11.25" hidden="1" customHeight="1" x14ac:dyDescent="0.25"/>
    <row r="8269" ht="11.25" hidden="1" customHeight="1" x14ac:dyDescent="0.25"/>
    <row r="8270" ht="11.25" hidden="1" customHeight="1" x14ac:dyDescent="0.25"/>
    <row r="8271" ht="11.25" hidden="1" customHeight="1" x14ac:dyDescent="0.25"/>
    <row r="8272" ht="11.25" hidden="1" customHeight="1" x14ac:dyDescent="0.25"/>
    <row r="8273" ht="11.25" hidden="1" customHeight="1" x14ac:dyDescent="0.25"/>
    <row r="8274" ht="11.25" hidden="1" customHeight="1" x14ac:dyDescent="0.25"/>
    <row r="8275" ht="11.25" hidden="1" customHeight="1" x14ac:dyDescent="0.25"/>
    <row r="8276" ht="11.25" hidden="1" customHeight="1" x14ac:dyDescent="0.25"/>
    <row r="8277" ht="11.25" hidden="1" customHeight="1" x14ac:dyDescent="0.25"/>
    <row r="8278" ht="11.25" hidden="1" customHeight="1" x14ac:dyDescent="0.25"/>
    <row r="8279" ht="11.25" hidden="1" customHeight="1" x14ac:dyDescent="0.25"/>
    <row r="8280" ht="11.25" hidden="1" customHeight="1" x14ac:dyDescent="0.25"/>
    <row r="8281" ht="11.25" hidden="1" customHeight="1" x14ac:dyDescent="0.25"/>
    <row r="8282" ht="11.25" hidden="1" customHeight="1" x14ac:dyDescent="0.25"/>
    <row r="8283" ht="11.25" hidden="1" customHeight="1" x14ac:dyDescent="0.25"/>
    <row r="8284" ht="11.25" hidden="1" customHeight="1" x14ac:dyDescent="0.25"/>
    <row r="8285" ht="11.25" hidden="1" customHeight="1" x14ac:dyDescent="0.25"/>
    <row r="8286" ht="11.25" hidden="1" customHeight="1" x14ac:dyDescent="0.25"/>
    <row r="8287" ht="11.25" hidden="1" customHeight="1" x14ac:dyDescent="0.25"/>
    <row r="8288" ht="11.25" hidden="1" customHeight="1" x14ac:dyDescent="0.25"/>
    <row r="8289" ht="11.25" hidden="1" customHeight="1" x14ac:dyDescent="0.25"/>
    <row r="8290" ht="11.25" hidden="1" customHeight="1" x14ac:dyDescent="0.25"/>
    <row r="8291" ht="11.25" hidden="1" customHeight="1" x14ac:dyDescent="0.25"/>
    <row r="8292" ht="11.25" hidden="1" customHeight="1" x14ac:dyDescent="0.25"/>
    <row r="8293" ht="11.25" hidden="1" customHeight="1" x14ac:dyDescent="0.25"/>
    <row r="8294" ht="11.25" hidden="1" customHeight="1" x14ac:dyDescent="0.25"/>
    <row r="8295" ht="11.25" hidden="1" customHeight="1" x14ac:dyDescent="0.25"/>
    <row r="8296" ht="11.25" hidden="1" customHeight="1" x14ac:dyDescent="0.25"/>
    <row r="8297" ht="11.25" hidden="1" customHeight="1" x14ac:dyDescent="0.25"/>
    <row r="8298" ht="11.25" hidden="1" customHeight="1" x14ac:dyDescent="0.25"/>
    <row r="8299" ht="11.25" hidden="1" customHeight="1" x14ac:dyDescent="0.25"/>
    <row r="8300" ht="11.25" hidden="1" customHeight="1" x14ac:dyDescent="0.25"/>
    <row r="8301" ht="11.25" hidden="1" customHeight="1" x14ac:dyDescent="0.25"/>
    <row r="8302" ht="11.25" hidden="1" customHeight="1" x14ac:dyDescent="0.25"/>
    <row r="8303" ht="11.25" hidden="1" customHeight="1" x14ac:dyDescent="0.25"/>
    <row r="8304" ht="11.25" hidden="1" customHeight="1" x14ac:dyDescent="0.25"/>
    <row r="8305" ht="11.25" hidden="1" customHeight="1" x14ac:dyDescent="0.25"/>
    <row r="8306" ht="11.25" hidden="1" customHeight="1" x14ac:dyDescent="0.25"/>
    <row r="8307" ht="11.25" hidden="1" customHeight="1" x14ac:dyDescent="0.25"/>
    <row r="8308" ht="11.25" hidden="1" customHeight="1" x14ac:dyDescent="0.25"/>
    <row r="8309" ht="11.25" hidden="1" customHeight="1" x14ac:dyDescent="0.25"/>
    <row r="8310" ht="11.25" hidden="1" customHeight="1" x14ac:dyDescent="0.25"/>
    <row r="8311" ht="11.25" hidden="1" customHeight="1" x14ac:dyDescent="0.25"/>
    <row r="8312" ht="11.25" hidden="1" customHeight="1" x14ac:dyDescent="0.25"/>
    <row r="8313" ht="11.25" hidden="1" customHeight="1" x14ac:dyDescent="0.25"/>
    <row r="8314" ht="11.25" hidden="1" customHeight="1" x14ac:dyDescent="0.25"/>
    <row r="8315" ht="11.25" hidden="1" customHeight="1" x14ac:dyDescent="0.25"/>
    <row r="8316" ht="11.25" hidden="1" customHeight="1" x14ac:dyDescent="0.25"/>
    <row r="8317" ht="11.25" hidden="1" customHeight="1" x14ac:dyDescent="0.25"/>
    <row r="8318" ht="11.25" hidden="1" customHeight="1" x14ac:dyDescent="0.25"/>
    <row r="8319" ht="11.25" hidden="1" customHeight="1" x14ac:dyDescent="0.25"/>
    <row r="8320" ht="11.25" hidden="1" customHeight="1" x14ac:dyDescent="0.25"/>
    <row r="8321" ht="11.25" hidden="1" customHeight="1" x14ac:dyDescent="0.25"/>
    <row r="8322" ht="11.25" hidden="1" customHeight="1" x14ac:dyDescent="0.25"/>
    <row r="8323" ht="11.25" hidden="1" customHeight="1" x14ac:dyDescent="0.25"/>
    <row r="8324" ht="11.25" hidden="1" customHeight="1" x14ac:dyDescent="0.25"/>
    <row r="8325" ht="11.25" hidden="1" customHeight="1" x14ac:dyDescent="0.25"/>
    <row r="8326" ht="11.25" hidden="1" customHeight="1" x14ac:dyDescent="0.25"/>
    <row r="8327" ht="11.25" hidden="1" customHeight="1" x14ac:dyDescent="0.25"/>
    <row r="8328" ht="11.25" hidden="1" customHeight="1" x14ac:dyDescent="0.25"/>
    <row r="8329" ht="11.25" hidden="1" customHeight="1" x14ac:dyDescent="0.25"/>
    <row r="8330" ht="11.25" hidden="1" customHeight="1" x14ac:dyDescent="0.25"/>
    <row r="8331" ht="11.25" hidden="1" customHeight="1" x14ac:dyDescent="0.25"/>
    <row r="8332" ht="11.25" hidden="1" customHeight="1" x14ac:dyDescent="0.25"/>
    <row r="8333" ht="11.25" hidden="1" customHeight="1" x14ac:dyDescent="0.25"/>
    <row r="8334" ht="11.25" hidden="1" customHeight="1" x14ac:dyDescent="0.25"/>
    <row r="8335" ht="11.25" hidden="1" customHeight="1" x14ac:dyDescent="0.25"/>
    <row r="8336" ht="11.25" hidden="1" customHeight="1" x14ac:dyDescent="0.25"/>
    <row r="8337" ht="11.25" hidden="1" customHeight="1" x14ac:dyDescent="0.25"/>
    <row r="8338" ht="11.25" hidden="1" customHeight="1" x14ac:dyDescent="0.25"/>
    <row r="8339" ht="11.25" hidden="1" customHeight="1" x14ac:dyDescent="0.25"/>
    <row r="8340" ht="11.25" hidden="1" customHeight="1" x14ac:dyDescent="0.25"/>
    <row r="8341" ht="11.25" hidden="1" customHeight="1" x14ac:dyDescent="0.25"/>
    <row r="8342" ht="11.25" hidden="1" customHeight="1" x14ac:dyDescent="0.25"/>
    <row r="8343" ht="11.25" hidden="1" customHeight="1" x14ac:dyDescent="0.25"/>
    <row r="8344" ht="11.25" hidden="1" customHeight="1" x14ac:dyDescent="0.25"/>
    <row r="8345" ht="11.25" hidden="1" customHeight="1" x14ac:dyDescent="0.25"/>
    <row r="8346" ht="11.25" hidden="1" customHeight="1" x14ac:dyDescent="0.25"/>
    <row r="8347" ht="11.25" hidden="1" customHeight="1" x14ac:dyDescent="0.25"/>
    <row r="8348" ht="11.25" hidden="1" customHeight="1" x14ac:dyDescent="0.25"/>
    <row r="8349" ht="11.25" hidden="1" customHeight="1" x14ac:dyDescent="0.25"/>
    <row r="8350" ht="11.25" hidden="1" customHeight="1" x14ac:dyDescent="0.25"/>
    <row r="8351" ht="11.25" hidden="1" customHeight="1" x14ac:dyDescent="0.25"/>
    <row r="8352" ht="11.25" hidden="1" customHeight="1" x14ac:dyDescent="0.25"/>
    <row r="8353" ht="11.25" hidden="1" customHeight="1" x14ac:dyDescent="0.25"/>
    <row r="8354" ht="11.25" hidden="1" customHeight="1" x14ac:dyDescent="0.25"/>
    <row r="8355" ht="11.25" hidden="1" customHeight="1" x14ac:dyDescent="0.25"/>
    <row r="8356" ht="11.25" hidden="1" customHeight="1" x14ac:dyDescent="0.25"/>
    <row r="8357" ht="11.25" hidden="1" customHeight="1" x14ac:dyDescent="0.25"/>
    <row r="8358" ht="11.25" hidden="1" customHeight="1" x14ac:dyDescent="0.25"/>
    <row r="8359" ht="11.25" hidden="1" customHeight="1" x14ac:dyDescent="0.25"/>
    <row r="8360" ht="11.25" hidden="1" customHeight="1" x14ac:dyDescent="0.25"/>
    <row r="8361" ht="11.25" hidden="1" customHeight="1" x14ac:dyDescent="0.25"/>
    <row r="8362" ht="11.25" hidden="1" customHeight="1" x14ac:dyDescent="0.25"/>
    <row r="8363" ht="11.25" hidden="1" customHeight="1" x14ac:dyDescent="0.25"/>
    <row r="8364" ht="11.25" hidden="1" customHeight="1" x14ac:dyDescent="0.25"/>
    <row r="8365" ht="11.25" hidden="1" customHeight="1" x14ac:dyDescent="0.25"/>
    <row r="8366" ht="11.25" hidden="1" customHeight="1" x14ac:dyDescent="0.25"/>
    <row r="8367" ht="11.25" hidden="1" customHeight="1" x14ac:dyDescent="0.25"/>
    <row r="8368" ht="11.25" hidden="1" customHeight="1" x14ac:dyDescent="0.25"/>
    <row r="8369" ht="11.25" hidden="1" customHeight="1" x14ac:dyDescent="0.25"/>
    <row r="8370" ht="11.25" hidden="1" customHeight="1" x14ac:dyDescent="0.25"/>
    <row r="8371" ht="11.25" hidden="1" customHeight="1" x14ac:dyDescent="0.25"/>
    <row r="8372" ht="11.25" hidden="1" customHeight="1" x14ac:dyDescent="0.25"/>
    <row r="8373" ht="11.25" hidden="1" customHeight="1" x14ac:dyDescent="0.25"/>
    <row r="8374" ht="11.25" hidden="1" customHeight="1" x14ac:dyDescent="0.25"/>
    <row r="8375" ht="11.25" hidden="1" customHeight="1" x14ac:dyDescent="0.25"/>
    <row r="8376" ht="11.25" hidden="1" customHeight="1" x14ac:dyDescent="0.25"/>
    <row r="8377" ht="11.25" hidden="1" customHeight="1" x14ac:dyDescent="0.25"/>
    <row r="8378" ht="11.25" hidden="1" customHeight="1" x14ac:dyDescent="0.25"/>
    <row r="8379" ht="11.25" hidden="1" customHeight="1" x14ac:dyDescent="0.25"/>
    <row r="8380" ht="11.25" hidden="1" customHeight="1" x14ac:dyDescent="0.25"/>
    <row r="8381" ht="11.25" hidden="1" customHeight="1" x14ac:dyDescent="0.25"/>
    <row r="8382" ht="11.25" hidden="1" customHeight="1" x14ac:dyDescent="0.25"/>
    <row r="8383" ht="11.25" hidden="1" customHeight="1" x14ac:dyDescent="0.25"/>
    <row r="8384" ht="11.25" hidden="1" customHeight="1" x14ac:dyDescent="0.25"/>
    <row r="8385" ht="11.25" hidden="1" customHeight="1" x14ac:dyDescent="0.25"/>
    <row r="8386" ht="11.25" hidden="1" customHeight="1" x14ac:dyDescent="0.25"/>
    <row r="8387" ht="11.25" hidden="1" customHeight="1" x14ac:dyDescent="0.25"/>
    <row r="8388" ht="11.25" hidden="1" customHeight="1" x14ac:dyDescent="0.25"/>
    <row r="8389" ht="11.25" hidden="1" customHeight="1" x14ac:dyDescent="0.25"/>
    <row r="8390" ht="11.25" hidden="1" customHeight="1" x14ac:dyDescent="0.25"/>
    <row r="8391" ht="11.25" hidden="1" customHeight="1" x14ac:dyDescent="0.25"/>
    <row r="8392" ht="11.25" hidden="1" customHeight="1" x14ac:dyDescent="0.25"/>
    <row r="8393" ht="11.25" hidden="1" customHeight="1" x14ac:dyDescent="0.25"/>
    <row r="8394" ht="11.25" hidden="1" customHeight="1" x14ac:dyDescent="0.25"/>
    <row r="8395" ht="11.25" hidden="1" customHeight="1" x14ac:dyDescent="0.25"/>
    <row r="8396" ht="11.25" hidden="1" customHeight="1" x14ac:dyDescent="0.25"/>
    <row r="8397" ht="11.25" hidden="1" customHeight="1" x14ac:dyDescent="0.25"/>
    <row r="8398" ht="11.25" hidden="1" customHeight="1" x14ac:dyDescent="0.25"/>
    <row r="8399" ht="11.25" hidden="1" customHeight="1" x14ac:dyDescent="0.25"/>
    <row r="8400" ht="11.25" hidden="1" customHeight="1" x14ac:dyDescent="0.25"/>
    <row r="8401" ht="11.25" hidden="1" customHeight="1" x14ac:dyDescent="0.25"/>
    <row r="8402" ht="11.25" hidden="1" customHeight="1" x14ac:dyDescent="0.25"/>
    <row r="8403" ht="11.25" hidden="1" customHeight="1" x14ac:dyDescent="0.25"/>
    <row r="8404" ht="11.25" hidden="1" customHeight="1" x14ac:dyDescent="0.25"/>
    <row r="8405" ht="11.25" hidden="1" customHeight="1" x14ac:dyDescent="0.25"/>
    <row r="8406" ht="11.25" hidden="1" customHeight="1" x14ac:dyDescent="0.25"/>
    <row r="8407" ht="11.25" hidden="1" customHeight="1" x14ac:dyDescent="0.25"/>
    <row r="8408" ht="11.25" hidden="1" customHeight="1" x14ac:dyDescent="0.25"/>
    <row r="8409" ht="11.25" hidden="1" customHeight="1" x14ac:dyDescent="0.25"/>
    <row r="8410" ht="11.25" hidden="1" customHeight="1" x14ac:dyDescent="0.25"/>
    <row r="8411" ht="11.25" hidden="1" customHeight="1" x14ac:dyDescent="0.25"/>
    <row r="8412" ht="11.25" hidden="1" customHeight="1" x14ac:dyDescent="0.25"/>
    <row r="8413" ht="11.25" hidden="1" customHeight="1" x14ac:dyDescent="0.25"/>
    <row r="8414" ht="11.25" hidden="1" customHeight="1" x14ac:dyDescent="0.25"/>
    <row r="8415" ht="11.25" hidden="1" customHeight="1" x14ac:dyDescent="0.25"/>
    <row r="8416" ht="11.25" hidden="1" customHeight="1" x14ac:dyDescent="0.25"/>
    <row r="8417" ht="11.25" hidden="1" customHeight="1" x14ac:dyDescent="0.25"/>
    <row r="8418" ht="11.25" hidden="1" customHeight="1" x14ac:dyDescent="0.25"/>
    <row r="8419" ht="11.25" hidden="1" customHeight="1" x14ac:dyDescent="0.25"/>
    <row r="8420" ht="11.25" hidden="1" customHeight="1" x14ac:dyDescent="0.25"/>
    <row r="8421" ht="11.25" hidden="1" customHeight="1" x14ac:dyDescent="0.25"/>
    <row r="8422" ht="11.25" hidden="1" customHeight="1" x14ac:dyDescent="0.25"/>
    <row r="8423" ht="11.25" hidden="1" customHeight="1" x14ac:dyDescent="0.25"/>
    <row r="8424" ht="11.25" hidden="1" customHeight="1" x14ac:dyDescent="0.25"/>
    <row r="8425" ht="11.25" hidden="1" customHeight="1" x14ac:dyDescent="0.25"/>
    <row r="8426" ht="11.25" hidden="1" customHeight="1" x14ac:dyDescent="0.25"/>
    <row r="8427" ht="11.25" hidden="1" customHeight="1" x14ac:dyDescent="0.25"/>
    <row r="8428" ht="11.25" hidden="1" customHeight="1" x14ac:dyDescent="0.25"/>
    <row r="8429" ht="11.25" hidden="1" customHeight="1" x14ac:dyDescent="0.25"/>
    <row r="8430" ht="11.25" hidden="1" customHeight="1" x14ac:dyDescent="0.25"/>
    <row r="8431" ht="11.25" hidden="1" customHeight="1" x14ac:dyDescent="0.25"/>
    <row r="8432" ht="11.25" hidden="1" customHeight="1" x14ac:dyDescent="0.25"/>
    <row r="8433" ht="11.25" hidden="1" customHeight="1" x14ac:dyDescent="0.25"/>
    <row r="8434" ht="11.25" hidden="1" customHeight="1" x14ac:dyDescent="0.25"/>
    <row r="8435" ht="11.25" hidden="1" customHeight="1" x14ac:dyDescent="0.25"/>
    <row r="8436" ht="11.25" hidden="1" customHeight="1" x14ac:dyDescent="0.25"/>
    <row r="8437" ht="11.25" hidden="1" customHeight="1" x14ac:dyDescent="0.25"/>
    <row r="8438" ht="11.25" hidden="1" customHeight="1" x14ac:dyDescent="0.25"/>
    <row r="8439" ht="11.25" hidden="1" customHeight="1" x14ac:dyDescent="0.25"/>
    <row r="8440" ht="11.25" hidden="1" customHeight="1" x14ac:dyDescent="0.25"/>
    <row r="8441" ht="11.25" hidden="1" customHeight="1" x14ac:dyDescent="0.25"/>
    <row r="8442" ht="11.25" hidden="1" customHeight="1" x14ac:dyDescent="0.25"/>
    <row r="8443" ht="11.25" hidden="1" customHeight="1" x14ac:dyDescent="0.25"/>
    <row r="8444" ht="11.25" hidden="1" customHeight="1" x14ac:dyDescent="0.25"/>
    <row r="8445" ht="11.25" hidden="1" customHeight="1" x14ac:dyDescent="0.25"/>
    <row r="8446" ht="11.25" hidden="1" customHeight="1" x14ac:dyDescent="0.25"/>
    <row r="8447" ht="11.25" hidden="1" customHeight="1" x14ac:dyDescent="0.25"/>
    <row r="8448" ht="11.25" hidden="1" customHeight="1" x14ac:dyDescent="0.25"/>
    <row r="8449" ht="11.25" hidden="1" customHeight="1" x14ac:dyDescent="0.25"/>
    <row r="8450" ht="11.25" hidden="1" customHeight="1" x14ac:dyDescent="0.25"/>
    <row r="8451" ht="11.25" hidden="1" customHeight="1" x14ac:dyDescent="0.25"/>
    <row r="8452" ht="11.25" hidden="1" customHeight="1" x14ac:dyDescent="0.25"/>
    <row r="8453" ht="11.25" hidden="1" customHeight="1" x14ac:dyDescent="0.25"/>
    <row r="8454" ht="11.25" hidden="1" customHeight="1" x14ac:dyDescent="0.25"/>
    <row r="8455" ht="11.25" hidden="1" customHeight="1" x14ac:dyDescent="0.25"/>
    <row r="8456" ht="11.25" hidden="1" customHeight="1" x14ac:dyDescent="0.25"/>
    <row r="8457" ht="11.25" hidden="1" customHeight="1" x14ac:dyDescent="0.25"/>
    <row r="8458" ht="11.25" hidden="1" customHeight="1" x14ac:dyDescent="0.25"/>
    <row r="8459" ht="11.25" hidden="1" customHeight="1" x14ac:dyDescent="0.25"/>
    <row r="8460" ht="11.25" hidden="1" customHeight="1" x14ac:dyDescent="0.25"/>
    <row r="8461" ht="11.25" hidden="1" customHeight="1" x14ac:dyDescent="0.25"/>
    <row r="8462" ht="11.25" hidden="1" customHeight="1" x14ac:dyDescent="0.25"/>
    <row r="8463" ht="11.25" hidden="1" customHeight="1" x14ac:dyDescent="0.25"/>
    <row r="8464" ht="11.25" hidden="1" customHeight="1" x14ac:dyDescent="0.25"/>
    <row r="8465" ht="11.25" hidden="1" customHeight="1" x14ac:dyDescent="0.25"/>
    <row r="8466" ht="11.25" hidden="1" customHeight="1" x14ac:dyDescent="0.25"/>
    <row r="8467" ht="11.25" hidden="1" customHeight="1" x14ac:dyDescent="0.25"/>
    <row r="8468" ht="11.25" hidden="1" customHeight="1" x14ac:dyDescent="0.25"/>
    <row r="8469" ht="11.25" hidden="1" customHeight="1" x14ac:dyDescent="0.25"/>
    <row r="8470" ht="11.25" hidden="1" customHeight="1" x14ac:dyDescent="0.25"/>
    <row r="8471" ht="11.25" hidden="1" customHeight="1" x14ac:dyDescent="0.25"/>
    <row r="8472" ht="11.25" hidden="1" customHeight="1" x14ac:dyDescent="0.25"/>
    <row r="8473" ht="11.25" hidden="1" customHeight="1" x14ac:dyDescent="0.25"/>
    <row r="8474" ht="11.25" hidden="1" customHeight="1" x14ac:dyDescent="0.25"/>
    <row r="8475" ht="11.25" hidden="1" customHeight="1" x14ac:dyDescent="0.25"/>
    <row r="8476" ht="11.25" hidden="1" customHeight="1" x14ac:dyDescent="0.25"/>
    <row r="8477" ht="11.25" hidden="1" customHeight="1" x14ac:dyDescent="0.25"/>
    <row r="8478" ht="11.25" hidden="1" customHeight="1" x14ac:dyDescent="0.25"/>
    <row r="8479" ht="11.25" hidden="1" customHeight="1" x14ac:dyDescent="0.25"/>
    <row r="8480" ht="11.25" hidden="1" customHeight="1" x14ac:dyDescent="0.25"/>
    <row r="8481" ht="11.25" hidden="1" customHeight="1" x14ac:dyDescent="0.25"/>
    <row r="8482" ht="11.25" hidden="1" customHeight="1" x14ac:dyDescent="0.25"/>
    <row r="8483" ht="11.25" hidden="1" customHeight="1" x14ac:dyDescent="0.25"/>
    <row r="8484" ht="11.25" hidden="1" customHeight="1" x14ac:dyDescent="0.25"/>
    <row r="8485" ht="11.25" hidden="1" customHeight="1" x14ac:dyDescent="0.25"/>
    <row r="8486" ht="11.25" hidden="1" customHeight="1" x14ac:dyDescent="0.25"/>
    <row r="8487" ht="11.25" hidden="1" customHeight="1" x14ac:dyDescent="0.25"/>
    <row r="8488" ht="11.25" hidden="1" customHeight="1" x14ac:dyDescent="0.25"/>
    <row r="8489" ht="11.25" hidden="1" customHeight="1" x14ac:dyDescent="0.25"/>
    <row r="8490" ht="11.25" hidden="1" customHeight="1" x14ac:dyDescent="0.25"/>
    <row r="8491" ht="11.25" hidden="1" customHeight="1" x14ac:dyDescent="0.25"/>
    <row r="8492" ht="11.25" hidden="1" customHeight="1" x14ac:dyDescent="0.25"/>
    <row r="8493" ht="11.25" hidden="1" customHeight="1" x14ac:dyDescent="0.25"/>
    <row r="8494" ht="11.25" hidden="1" customHeight="1" x14ac:dyDescent="0.25"/>
    <row r="8495" ht="11.25" hidden="1" customHeight="1" x14ac:dyDescent="0.25"/>
    <row r="8496" ht="11.25" hidden="1" customHeight="1" x14ac:dyDescent="0.25"/>
    <row r="8497" ht="11.25" hidden="1" customHeight="1" x14ac:dyDescent="0.25"/>
    <row r="8498" ht="11.25" hidden="1" customHeight="1" x14ac:dyDescent="0.25"/>
    <row r="8499" ht="11.25" hidden="1" customHeight="1" x14ac:dyDescent="0.25"/>
    <row r="8500" ht="11.25" hidden="1" customHeight="1" x14ac:dyDescent="0.25"/>
    <row r="8501" ht="11.25" hidden="1" customHeight="1" x14ac:dyDescent="0.25"/>
    <row r="8502" ht="11.25" hidden="1" customHeight="1" x14ac:dyDescent="0.25"/>
    <row r="8503" ht="11.25" hidden="1" customHeight="1" x14ac:dyDescent="0.25"/>
    <row r="8504" ht="11.25" hidden="1" customHeight="1" x14ac:dyDescent="0.25"/>
    <row r="8505" ht="11.25" hidden="1" customHeight="1" x14ac:dyDescent="0.25"/>
    <row r="8506" ht="11.25" hidden="1" customHeight="1" x14ac:dyDescent="0.25"/>
    <row r="8507" ht="11.25" hidden="1" customHeight="1" x14ac:dyDescent="0.25"/>
    <row r="8508" ht="11.25" hidden="1" customHeight="1" x14ac:dyDescent="0.25"/>
    <row r="8509" ht="11.25" hidden="1" customHeight="1" x14ac:dyDescent="0.25"/>
    <row r="8510" ht="11.25" hidden="1" customHeight="1" x14ac:dyDescent="0.25"/>
    <row r="8511" ht="11.25" hidden="1" customHeight="1" x14ac:dyDescent="0.25"/>
    <row r="8512" ht="11.25" hidden="1" customHeight="1" x14ac:dyDescent="0.25"/>
    <row r="8513" ht="11.25" hidden="1" customHeight="1" x14ac:dyDescent="0.25"/>
    <row r="8514" ht="11.25" hidden="1" customHeight="1" x14ac:dyDescent="0.25"/>
    <row r="8515" ht="11.25" hidden="1" customHeight="1" x14ac:dyDescent="0.25"/>
    <row r="8516" ht="11.25" hidden="1" customHeight="1" x14ac:dyDescent="0.25"/>
    <row r="8517" ht="11.25" hidden="1" customHeight="1" x14ac:dyDescent="0.25"/>
    <row r="8518" ht="11.25" hidden="1" customHeight="1" x14ac:dyDescent="0.25"/>
    <row r="8519" ht="11.25" hidden="1" customHeight="1" x14ac:dyDescent="0.25"/>
    <row r="8520" ht="11.25" hidden="1" customHeight="1" x14ac:dyDescent="0.25"/>
    <row r="8521" ht="11.25" hidden="1" customHeight="1" x14ac:dyDescent="0.25"/>
    <row r="8522" ht="11.25" hidden="1" customHeight="1" x14ac:dyDescent="0.25"/>
    <row r="8523" ht="11.25" hidden="1" customHeight="1" x14ac:dyDescent="0.25"/>
    <row r="8524" ht="11.25" hidden="1" customHeight="1" x14ac:dyDescent="0.25"/>
    <row r="8525" ht="11.25" hidden="1" customHeight="1" x14ac:dyDescent="0.25"/>
    <row r="8526" ht="11.25" hidden="1" customHeight="1" x14ac:dyDescent="0.25"/>
    <row r="8527" ht="11.25" hidden="1" customHeight="1" x14ac:dyDescent="0.25"/>
    <row r="8528" ht="11.25" hidden="1" customHeight="1" x14ac:dyDescent="0.25"/>
    <row r="8529" ht="11.25" hidden="1" customHeight="1" x14ac:dyDescent="0.25"/>
    <row r="8530" ht="11.25" hidden="1" customHeight="1" x14ac:dyDescent="0.25"/>
    <row r="8531" ht="11.25" hidden="1" customHeight="1" x14ac:dyDescent="0.25"/>
    <row r="8532" ht="11.25" hidden="1" customHeight="1" x14ac:dyDescent="0.25"/>
    <row r="8533" ht="11.25" hidden="1" customHeight="1" x14ac:dyDescent="0.25"/>
    <row r="8534" ht="11.25" hidden="1" customHeight="1" x14ac:dyDescent="0.25"/>
    <row r="8535" ht="11.25" hidden="1" customHeight="1" x14ac:dyDescent="0.25"/>
    <row r="8536" ht="11.25" hidden="1" customHeight="1" x14ac:dyDescent="0.25"/>
    <row r="8537" ht="11.25" hidden="1" customHeight="1" x14ac:dyDescent="0.25"/>
    <row r="8538" ht="11.25" hidden="1" customHeight="1" x14ac:dyDescent="0.25"/>
    <row r="8539" ht="11.25" hidden="1" customHeight="1" x14ac:dyDescent="0.25"/>
    <row r="8540" ht="11.25" hidden="1" customHeight="1" x14ac:dyDescent="0.25"/>
    <row r="8541" ht="11.25" hidden="1" customHeight="1" x14ac:dyDescent="0.25"/>
    <row r="8542" ht="11.25" hidden="1" customHeight="1" x14ac:dyDescent="0.25"/>
    <row r="8543" ht="11.25" hidden="1" customHeight="1" x14ac:dyDescent="0.25"/>
    <row r="8544" ht="11.25" hidden="1" customHeight="1" x14ac:dyDescent="0.25"/>
    <row r="8545" ht="11.25" hidden="1" customHeight="1" x14ac:dyDescent="0.25"/>
    <row r="8546" ht="11.25" hidden="1" customHeight="1" x14ac:dyDescent="0.25"/>
    <row r="8547" ht="11.25" hidden="1" customHeight="1" x14ac:dyDescent="0.25"/>
    <row r="8548" ht="11.25" hidden="1" customHeight="1" x14ac:dyDescent="0.25"/>
    <row r="8549" ht="11.25" hidden="1" customHeight="1" x14ac:dyDescent="0.25"/>
    <row r="8550" ht="11.25" hidden="1" customHeight="1" x14ac:dyDescent="0.25"/>
    <row r="8551" ht="11.25" hidden="1" customHeight="1" x14ac:dyDescent="0.25"/>
    <row r="8552" ht="11.25" hidden="1" customHeight="1" x14ac:dyDescent="0.25"/>
    <row r="8553" ht="11.25" hidden="1" customHeight="1" x14ac:dyDescent="0.25"/>
    <row r="8554" ht="11.25" hidden="1" customHeight="1" x14ac:dyDescent="0.25"/>
    <row r="8555" ht="11.25" hidden="1" customHeight="1" x14ac:dyDescent="0.25"/>
    <row r="8556" ht="11.25" hidden="1" customHeight="1" x14ac:dyDescent="0.25"/>
    <row r="8557" ht="11.25" hidden="1" customHeight="1" x14ac:dyDescent="0.25"/>
    <row r="8558" ht="11.25" hidden="1" customHeight="1" x14ac:dyDescent="0.25"/>
    <row r="8559" ht="11.25" hidden="1" customHeight="1" x14ac:dyDescent="0.25"/>
    <row r="8560" ht="11.25" hidden="1" customHeight="1" x14ac:dyDescent="0.25"/>
    <row r="8561" ht="11.25" hidden="1" customHeight="1" x14ac:dyDescent="0.25"/>
    <row r="8562" ht="11.25" hidden="1" customHeight="1" x14ac:dyDescent="0.25"/>
    <row r="8563" ht="11.25" hidden="1" customHeight="1" x14ac:dyDescent="0.25"/>
    <row r="8564" ht="11.25" hidden="1" customHeight="1" x14ac:dyDescent="0.25"/>
    <row r="8565" ht="11.25" hidden="1" customHeight="1" x14ac:dyDescent="0.25"/>
    <row r="8566" ht="11.25" hidden="1" customHeight="1" x14ac:dyDescent="0.25"/>
    <row r="8567" ht="11.25" hidden="1" customHeight="1" x14ac:dyDescent="0.25"/>
    <row r="8568" ht="11.25" hidden="1" customHeight="1" x14ac:dyDescent="0.25"/>
    <row r="8569" ht="11.25" hidden="1" customHeight="1" x14ac:dyDescent="0.25"/>
    <row r="8570" ht="11.25" hidden="1" customHeight="1" x14ac:dyDescent="0.25"/>
    <row r="8571" ht="11.25" hidden="1" customHeight="1" x14ac:dyDescent="0.25"/>
    <row r="8572" ht="11.25" hidden="1" customHeight="1" x14ac:dyDescent="0.25"/>
    <row r="8573" ht="11.25" hidden="1" customHeight="1" x14ac:dyDescent="0.25"/>
    <row r="8574" ht="11.25" hidden="1" customHeight="1" x14ac:dyDescent="0.25"/>
    <row r="8575" ht="11.25" hidden="1" customHeight="1" x14ac:dyDescent="0.25"/>
    <row r="8576" ht="11.25" hidden="1" customHeight="1" x14ac:dyDescent="0.25"/>
    <row r="8577" ht="11.25" hidden="1" customHeight="1" x14ac:dyDescent="0.25"/>
    <row r="8578" ht="11.25" hidden="1" customHeight="1" x14ac:dyDescent="0.25"/>
    <row r="8579" ht="11.25" hidden="1" customHeight="1" x14ac:dyDescent="0.25"/>
    <row r="8580" ht="11.25" hidden="1" customHeight="1" x14ac:dyDescent="0.25"/>
    <row r="8581" ht="11.25" hidden="1" customHeight="1" x14ac:dyDescent="0.25"/>
    <row r="8582" ht="11.25" hidden="1" customHeight="1" x14ac:dyDescent="0.25"/>
    <row r="8583" ht="11.25" hidden="1" customHeight="1" x14ac:dyDescent="0.25"/>
    <row r="8584" ht="11.25" hidden="1" customHeight="1" x14ac:dyDescent="0.25"/>
    <row r="8585" ht="11.25" hidden="1" customHeight="1" x14ac:dyDescent="0.25"/>
    <row r="8586" ht="11.25" hidden="1" customHeight="1" x14ac:dyDescent="0.25"/>
    <row r="8587" ht="11.25" hidden="1" customHeight="1" x14ac:dyDescent="0.25"/>
    <row r="8588" ht="11.25" hidden="1" customHeight="1" x14ac:dyDescent="0.25"/>
    <row r="8589" ht="11.25" hidden="1" customHeight="1" x14ac:dyDescent="0.25"/>
    <row r="8590" ht="11.25" hidden="1" customHeight="1" x14ac:dyDescent="0.25"/>
    <row r="8591" ht="11.25" hidden="1" customHeight="1" x14ac:dyDescent="0.25"/>
    <row r="8592" ht="11.25" hidden="1" customHeight="1" x14ac:dyDescent="0.25"/>
    <row r="8593" ht="11.25" hidden="1" customHeight="1" x14ac:dyDescent="0.25"/>
    <row r="8594" ht="11.25" hidden="1" customHeight="1" x14ac:dyDescent="0.25"/>
    <row r="8595" ht="11.25" hidden="1" customHeight="1" x14ac:dyDescent="0.25"/>
    <row r="8596" ht="11.25" hidden="1" customHeight="1" x14ac:dyDescent="0.25"/>
    <row r="8597" ht="11.25" hidden="1" customHeight="1" x14ac:dyDescent="0.25"/>
    <row r="8598" ht="11.25" hidden="1" customHeight="1" x14ac:dyDescent="0.25"/>
    <row r="8599" ht="11.25" hidden="1" customHeight="1" x14ac:dyDescent="0.25"/>
    <row r="8600" ht="11.25" hidden="1" customHeight="1" x14ac:dyDescent="0.25"/>
    <row r="8601" ht="11.25" hidden="1" customHeight="1" x14ac:dyDescent="0.25"/>
    <row r="8602" ht="11.25" hidden="1" customHeight="1" x14ac:dyDescent="0.25"/>
    <row r="8603" ht="11.25" hidden="1" customHeight="1" x14ac:dyDescent="0.25"/>
    <row r="8604" ht="11.25" hidden="1" customHeight="1" x14ac:dyDescent="0.25"/>
    <row r="8605" ht="11.25" hidden="1" customHeight="1" x14ac:dyDescent="0.25"/>
    <row r="8606" ht="11.25" hidden="1" customHeight="1" x14ac:dyDescent="0.25"/>
    <row r="8607" ht="11.25" hidden="1" customHeight="1" x14ac:dyDescent="0.25"/>
    <row r="8608" ht="11.25" hidden="1" customHeight="1" x14ac:dyDescent="0.25"/>
    <row r="8609" ht="11.25" hidden="1" customHeight="1" x14ac:dyDescent="0.25"/>
    <row r="8610" ht="11.25" hidden="1" customHeight="1" x14ac:dyDescent="0.25"/>
    <row r="8611" ht="11.25" hidden="1" customHeight="1" x14ac:dyDescent="0.25"/>
    <row r="8612" ht="11.25" hidden="1" customHeight="1" x14ac:dyDescent="0.25"/>
    <row r="8613" ht="11.25" hidden="1" customHeight="1" x14ac:dyDescent="0.25"/>
    <row r="8614" ht="11.25" hidden="1" customHeight="1" x14ac:dyDescent="0.25"/>
    <row r="8615" ht="11.25" hidden="1" customHeight="1" x14ac:dyDescent="0.25"/>
    <row r="8616" ht="11.25" hidden="1" customHeight="1" x14ac:dyDescent="0.25"/>
    <row r="8617" ht="11.25" hidden="1" customHeight="1" x14ac:dyDescent="0.25"/>
    <row r="8618" ht="11.25" hidden="1" customHeight="1" x14ac:dyDescent="0.25"/>
    <row r="8619" ht="11.25" hidden="1" customHeight="1" x14ac:dyDescent="0.25"/>
    <row r="8620" ht="11.25" hidden="1" customHeight="1" x14ac:dyDescent="0.25"/>
    <row r="8621" ht="11.25" hidden="1" customHeight="1" x14ac:dyDescent="0.25"/>
    <row r="8622" ht="11.25" hidden="1" customHeight="1" x14ac:dyDescent="0.25"/>
    <row r="8623" ht="11.25" hidden="1" customHeight="1" x14ac:dyDescent="0.25"/>
    <row r="8624" ht="11.25" hidden="1" customHeight="1" x14ac:dyDescent="0.25"/>
    <row r="8625" ht="11.25" hidden="1" customHeight="1" x14ac:dyDescent="0.25"/>
    <row r="8626" ht="11.25" hidden="1" customHeight="1" x14ac:dyDescent="0.25"/>
    <row r="8627" ht="11.25" hidden="1" customHeight="1" x14ac:dyDescent="0.25"/>
    <row r="8628" ht="11.25" hidden="1" customHeight="1" x14ac:dyDescent="0.25"/>
    <row r="8629" ht="11.25" hidden="1" customHeight="1" x14ac:dyDescent="0.25"/>
    <row r="8630" ht="11.25" hidden="1" customHeight="1" x14ac:dyDescent="0.25"/>
    <row r="8631" ht="11.25" hidden="1" customHeight="1" x14ac:dyDescent="0.25"/>
    <row r="8632" ht="11.25" hidden="1" customHeight="1" x14ac:dyDescent="0.25"/>
    <row r="8633" ht="11.25" hidden="1" customHeight="1" x14ac:dyDescent="0.25"/>
    <row r="8634" ht="11.25" hidden="1" customHeight="1" x14ac:dyDescent="0.25"/>
    <row r="8635" ht="11.25" hidden="1" customHeight="1" x14ac:dyDescent="0.25"/>
    <row r="8636" ht="11.25" hidden="1" customHeight="1" x14ac:dyDescent="0.25"/>
    <row r="8637" ht="11.25" hidden="1" customHeight="1" x14ac:dyDescent="0.25"/>
    <row r="8638" ht="11.25" hidden="1" customHeight="1" x14ac:dyDescent="0.25"/>
    <row r="8639" ht="11.25" hidden="1" customHeight="1" x14ac:dyDescent="0.25"/>
    <row r="8640" ht="11.25" hidden="1" customHeight="1" x14ac:dyDescent="0.25"/>
    <row r="8641" ht="11.25" hidden="1" customHeight="1" x14ac:dyDescent="0.25"/>
    <row r="8642" ht="11.25" hidden="1" customHeight="1" x14ac:dyDescent="0.25"/>
    <row r="8643" ht="11.25" hidden="1" customHeight="1" x14ac:dyDescent="0.25"/>
    <row r="8644" ht="11.25" hidden="1" customHeight="1" x14ac:dyDescent="0.25"/>
    <row r="8645" ht="11.25" hidden="1" customHeight="1" x14ac:dyDescent="0.25"/>
    <row r="8646" ht="11.25" hidden="1" customHeight="1" x14ac:dyDescent="0.25"/>
    <row r="8647" ht="11.25" hidden="1" customHeight="1" x14ac:dyDescent="0.25"/>
    <row r="8648" ht="11.25" hidden="1" customHeight="1" x14ac:dyDescent="0.25"/>
    <row r="8649" ht="11.25" hidden="1" customHeight="1" x14ac:dyDescent="0.25"/>
    <row r="8650" ht="11.25" hidden="1" customHeight="1" x14ac:dyDescent="0.25"/>
    <row r="8651" ht="11.25" hidden="1" customHeight="1" x14ac:dyDescent="0.25"/>
    <row r="8652" ht="11.25" hidden="1" customHeight="1" x14ac:dyDescent="0.25"/>
    <row r="8653" ht="11.25" hidden="1" customHeight="1" x14ac:dyDescent="0.25"/>
    <row r="8654" ht="11.25" hidden="1" customHeight="1" x14ac:dyDescent="0.25"/>
    <row r="8655" ht="11.25" hidden="1" customHeight="1" x14ac:dyDescent="0.25"/>
    <row r="8656" ht="11.25" hidden="1" customHeight="1" x14ac:dyDescent="0.25"/>
    <row r="8657" ht="11.25" hidden="1" customHeight="1" x14ac:dyDescent="0.25"/>
    <row r="8658" ht="11.25" hidden="1" customHeight="1" x14ac:dyDescent="0.25"/>
    <row r="8659" ht="11.25" hidden="1" customHeight="1" x14ac:dyDescent="0.25"/>
    <row r="8660" ht="11.25" hidden="1" customHeight="1" x14ac:dyDescent="0.25"/>
    <row r="8661" ht="11.25" hidden="1" customHeight="1" x14ac:dyDescent="0.25"/>
    <row r="8662" ht="11.25" hidden="1" customHeight="1" x14ac:dyDescent="0.25"/>
    <row r="8663" ht="11.25" hidden="1" customHeight="1" x14ac:dyDescent="0.25"/>
    <row r="8664" ht="11.25" hidden="1" customHeight="1" x14ac:dyDescent="0.25"/>
    <row r="8665" ht="11.25" hidden="1" customHeight="1" x14ac:dyDescent="0.25"/>
    <row r="8666" ht="11.25" hidden="1" customHeight="1" x14ac:dyDescent="0.25"/>
    <row r="8667" ht="11.25" hidden="1" customHeight="1" x14ac:dyDescent="0.25"/>
    <row r="8668" ht="11.25" hidden="1" customHeight="1" x14ac:dyDescent="0.25"/>
    <row r="8669" ht="11.25" hidden="1" customHeight="1" x14ac:dyDescent="0.25"/>
    <row r="8670" ht="11.25" hidden="1" customHeight="1" x14ac:dyDescent="0.25"/>
    <row r="8671" ht="11.25" hidden="1" customHeight="1" x14ac:dyDescent="0.25"/>
    <row r="8672" ht="11.25" hidden="1" customHeight="1" x14ac:dyDescent="0.25"/>
    <row r="8673" ht="11.25" hidden="1" customHeight="1" x14ac:dyDescent="0.25"/>
    <row r="8674" ht="11.25" hidden="1" customHeight="1" x14ac:dyDescent="0.25"/>
    <row r="8675" ht="11.25" hidden="1" customHeight="1" x14ac:dyDescent="0.25"/>
    <row r="8676" ht="11.25" hidden="1" customHeight="1" x14ac:dyDescent="0.25"/>
    <row r="8677" ht="11.25" hidden="1" customHeight="1" x14ac:dyDescent="0.25"/>
    <row r="8678" ht="11.25" hidden="1" customHeight="1" x14ac:dyDescent="0.25"/>
    <row r="8679" ht="11.25" hidden="1" customHeight="1" x14ac:dyDescent="0.25"/>
    <row r="8680" ht="11.25" hidden="1" customHeight="1" x14ac:dyDescent="0.25"/>
    <row r="8681" ht="11.25" hidden="1" customHeight="1" x14ac:dyDescent="0.25"/>
    <row r="8682" ht="11.25" hidden="1" customHeight="1" x14ac:dyDescent="0.25"/>
    <row r="8683" ht="11.25" hidden="1" customHeight="1" x14ac:dyDescent="0.25"/>
    <row r="8684" ht="11.25" hidden="1" customHeight="1" x14ac:dyDescent="0.25"/>
    <row r="8685" ht="11.25" hidden="1" customHeight="1" x14ac:dyDescent="0.25"/>
    <row r="8686" ht="11.25" hidden="1" customHeight="1" x14ac:dyDescent="0.25"/>
    <row r="8687" ht="11.25" hidden="1" customHeight="1" x14ac:dyDescent="0.25"/>
    <row r="8688" ht="11.25" hidden="1" customHeight="1" x14ac:dyDescent="0.25"/>
    <row r="8689" ht="11.25" hidden="1" customHeight="1" x14ac:dyDescent="0.25"/>
    <row r="8690" ht="11.25" hidden="1" customHeight="1" x14ac:dyDescent="0.25"/>
    <row r="8691" ht="11.25" hidden="1" customHeight="1" x14ac:dyDescent="0.25"/>
    <row r="8692" ht="11.25" hidden="1" customHeight="1" x14ac:dyDescent="0.25"/>
    <row r="8693" ht="11.25" hidden="1" customHeight="1" x14ac:dyDescent="0.25"/>
    <row r="8694" ht="11.25" hidden="1" customHeight="1" x14ac:dyDescent="0.25"/>
    <row r="8695" ht="11.25" hidden="1" customHeight="1" x14ac:dyDescent="0.25"/>
    <row r="8696" ht="11.25" hidden="1" customHeight="1" x14ac:dyDescent="0.25"/>
    <row r="8697" ht="11.25" hidden="1" customHeight="1" x14ac:dyDescent="0.25"/>
    <row r="8698" ht="11.25" hidden="1" customHeight="1" x14ac:dyDescent="0.25"/>
    <row r="8699" ht="11.25" hidden="1" customHeight="1" x14ac:dyDescent="0.25"/>
    <row r="8700" ht="11.25" hidden="1" customHeight="1" x14ac:dyDescent="0.25"/>
    <row r="8701" ht="11.25" hidden="1" customHeight="1" x14ac:dyDescent="0.25"/>
    <row r="8702" ht="11.25" hidden="1" customHeight="1" x14ac:dyDescent="0.25"/>
    <row r="8703" ht="11.25" hidden="1" customHeight="1" x14ac:dyDescent="0.25"/>
    <row r="8704" ht="11.25" hidden="1" customHeight="1" x14ac:dyDescent="0.25"/>
    <row r="8705" ht="11.25" hidden="1" customHeight="1" x14ac:dyDescent="0.25"/>
    <row r="8706" ht="11.25" hidden="1" customHeight="1" x14ac:dyDescent="0.25"/>
    <row r="8707" ht="11.25" hidden="1" customHeight="1" x14ac:dyDescent="0.25"/>
    <row r="8708" ht="11.25" hidden="1" customHeight="1" x14ac:dyDescent="0.25"/>
    <row r="8709" ht="11.25" hidden="1" customHeight="1" x14ac:dyDescent="0.25"/>
    <row r="8710" ht="11.25" hidden="1" customHeight="1" x14ac:dyDescent="0.25"/>
    <row r="8711" ht="11.25" hidden="1" customHeight="1" x14ac:dyDescent="0.25"/>
    <row r="8712" ht="11.25" hidden="1" customHeight="1" x14ac:dyDescent="0.25"/>
    <row r="8713" ht="11.25" hidden="1" customHeight="1" x14ac:dyDescent="0.25"/>
    <row r="8714" ht="11.25" hidden="1" customHeight="1" x14ac:dyDescent="0.25"/>
    <row r="8715" ht="11.25" hidden="1" customHeight="1" x14ac:dyDescent="0.25"/>
    <row r="8716" ht="11.25" hidden="1" customHeight="1" x14ac:dyDescent="0.25"/>
    <row r="8717" ht="11.25" hidden="1" customHeight="1" x14ac:dyDescent="0.25"/>
    <row r="8718" ht="11.25" hidden="1" customHeight="1" x14ac:dyDescent="0.25"/>
    <row r="8719" ht="11.25" hidden="1" customHeight="1" x14ac:dyDescent="0.25"/>
    <row r="8720" ht="11.25" hidden="1" customHeight="1" x14ac:dyDescent="0.25"/>
    <row r="8721" ht="11.25" hidden="1" customHeight="1" x14ac:dyDescent="0.25"/>
    <row r="8722" ht="11.25" hidden="1" customHeight="1" x14ac:dyDescent="0.25"/>
    <row r="8723" ht="11.25" hidden="1" customHeight="1" x14ac:dyDescent="0.25"/>
    <row r="8724" ht="11.25" hidden="1" customHeight="1" x14ac:dyDescent="0.25"/>
    <row r="8725" ht="11.25" hidden="1" customHeight="1" x14ac:dyDescent="0.25"/>
    <row r="8726" ht="11.25" hidden="1" customHeight="1" x14ac:dyDescent="0.25"/>
    <row r="8727" ht="11.25" hidden="1" customHeight="1" x14ac:dyDescent="0.25"/>
    <row r="8728" ht="11.25" hidden="1" customHeight="1" x14ac:dyDescent="0.25"/>
    <row r="8729" ht="11.25" hidden="1" customHeight="1" x14ac:dyDescent="0.25"/>
    <row r="8730" ht="11.25" hidden="1" customHeight="1" x14ac:dyDescent="0.25"/>
    <row r="8731" ht="11.25" hidden="1" customHeight="1" x14ac:dyDescent="0.25"/>
    <row r="8732" ht="11.25" hidden="1" customHeight="1" x14ac:dyDescent="0.25"/>
    <row r="8733" ht="11.25" hidden="1" customHeight="1" x14ac:dyDescent="0.25"/>
    <row r="8734" ht="11.25" hidden="1" customHeight="1" x14ac:dyDescent="0.25"/>
    <row r="8735" ht="11.25" hidden="1" customHeight="1" x14ac:dyDescent="0.25"/>
    <row r="8736" ht="11.25" hidden="1" customHeight="1" x14ac:dyDescent="0.25"/>
    <row r="8737" ht="11.25" hidden="1" customHeight="1" x14ac:dyDescent="0.25"/>
    <row r="8738" ht="11.25" hidden="1" customHeight="1" x14ac:dyDescent="0.25"/>
    <row r="8739" ht="11.25" hidden="1" customHeight="1" x14ac:dyDescent="0.25"/>
    <row r="8740" ht="11.25" hidden="1" customHeight="1" x14ac:dyDescent="0.25"/>
    <row r="8741" ht="11.25" hidden="1" customHeight="1" x14ac:dyDescent="0.25"/>
    <row r="8742" ht="11.25" hidden="1" customHeight="1" x14ac:dyDescent="0.25"/>
    <row r="8743" ht="11.25" hidden="1" customHeight="1" x14ac:dyDescent="0.25"/>
    <row r="8744" ht="11.25" hidden="1" customHeight="1" x14ac:dyDescent="0.25"/>
    <row r="8745" ht="11.25" hidden="1" customHeight="1" x14ac:dyDescent="0.25"/>
    <row r="8746" ht="11.25" hidden="1" customHeight="1" x14ac:dyDescent="0.25"/>
    <row r="8747" ht="11.25" hidden="1" customHeight="1" x14ac:dyDescent="0.25"/>
    <row r="8748" ht="11.25" hidden="1" customHeight="1" x14ac:dyDescent="0.25"/>
    <row r="8749" ht="11.25" hidden="1" customHeight="1" x14ac:dyDescent="0.25"/>
    <row r="8750" ht="11.25" hidden="1" customHeight="1" x14ac:dyDescent="0.25"/>
    <row r="8751" ht="11.25" hidden="1" customHeight="1" x14ac:dyDescent="0.25"/>
    <row r="8752" ht="11.25" hidden="1" customHeight="1" x14ac:dyDescent="0.25"/>
    <row r="8753" ht="11.25" hidden="1" customHeight="1" x14ac:dyDescent="0.25"/>
    <row r="8754" ht="11.25" hidden="1" customHeight="1" x14ac:dyDescent="0.25"/>
    <row r="8755" ht="11.25" hidden="1" customHeight="1" x14ac:dyDescent="0.25"/>
    <row r="8756" ht="11.25" hidden="1" customHeight="1" x14ac:dyDescent="0.25"/>
    <row r="8757" ht="11.25" hidden="1" customHeight="1" x14ac:dyDescent="0.25"/>
    <row r="8758" ht="11.25" hidden="1" customHeight="1" x14ac:dyDescent="0.25"/>
    <row r="8759" ht="11.25" hidden="1" customHeight="1" x14ac:dyDescent="0.25"/>
    <row r="8760" ht="11.25" hidden="1" customHeight="1" x14ac:dyDescent="0.25"/>
    <row r="8761" ht="11.25" hidden="1" customHeight="1" x14ac:dyDescent="0.25"/>
    <row r="8762" ht="11.25" hidden="1" customHeight="1" x14ac:dyDescent="0.25"/>
    <row r="8763" ht="11.25" hidden="1" customHeight="1" x14ac:dyDescent="0.25"/>
    <row r="8764" ht="11.25" hidden="1" customHeight="1" x14ac:dyDescent="0.25"/>
    <row r="8765" ht="11.25" hidden="1" customHeight="1" x14ac:dyDescent="0.25"/>
    <row r="8766" ht="11.25" hidden="1" customHeight="1" x14ac:dyDescent="0.25"/>
    <row r="8767" ht="11.25" hidden="1" customHeight="1" x14ac:dyDescent="0.25"/>
    <row r="8768" ht="11.25" hidden="1" customHeight="1" x14ac:dyDescent="0.25"/>
    <row r="8769" ht="11.25" hidden="1" customHeight="1" x14ac:dyDescent="0.25"/>
    <row r="8770" ht="11.25" hidden="1" customHeight="1" x14ac:dyDescent="0.25"/>
    <row r="8771" ht="11.25" hidden="1" customHeight="1" x14ac:dyDescent="0.25"/>
    <row r="8772" ht="11.25" hidden="1" customHeight="1" x14ac:dyDescent="0.25"/>
    <row r="8773" ht="11.25" hidden="1" customHeight="1" x14ac:dyDescent="0.25"/>
    <row r="8774" ht="11.25" hidden="1" customHeight="1" x14ac:dyDescent="0.25"/>
    <row r="8775" ht="11.25" hidden="1" customHeight="1" x14ac:dyDescent="0.25"/>
    <row r="8776" ht="11.25" hidden="1" customHeight="1" x14ac:dyDescent="0.25"/>
    <row r="8777" ht="11.25" hidden="1" customHeight="1" x14ac:dyDescent="0.25"/>
    <row r="8778" ht="11.25" hidden="1" customHeight="1" x14ac:dyDescent="0.25"/>
    <row r="8779" ht="11.25" hidden="1" customHeight="1" x14ac:dyDescent="0.25"/>
    <row r="8780" ht="11.25" hidden="1" customHeight="1" x14ac:dyDescent="0.25"/>
    <row r="8781" ht="11.25" hidden="1" customHeight="1" x14ac:dyDescent="0.25"/>
    <row r="8782" ht="11.25" hidden="1" customHeight="1" x14ac:dyDescent="0.25"/>
    <row r="8783" ht="11.25" hidden="1" customHeight="1" x14ac:dyDescent="0.25"/>
    <row r="8784" ht="11.25" hidden="1" customHeight="1" x14ac:dyDescent="0.25"/>
    <row r="8785" ht="11.25" hidden="1" customHeight="1" x14ac:dyDescent="0.25"/>
    <row r="8786" ht="11.25" hidden="1" customHeight="1" x14ac:dyDescent="0.25"/>
    <row r="8787" ht="11.25" hidden="1" customHeight="1" x14ac:dyDescent="0.25"/>
    <row r="8788" ht="11.25" hidden="1" customHeight="1" x14ac:dyDescent="0.25"/>
    <row r="8789" ht="11.25" hidden="1" customHeight="1" x14ac:dyDescent="0.25"/>
    <row r="8790" ht="11.25" hidden="1" customHeight="1" x14ac:dyDescent="0.25"/>
    <row r="8791" ht="11.25" hidden="1" customHeight="1" x14ac:dyDescent="0.25"/>
    <row r="8792" ht="11.25" hidden="1" customHeight="1" x14ac:dyDescent="0.25"/>
    <row r="8793" ht="11.25" hidden="1" customHeight="1" x14ac:dyDescent="0.25"/>
    <row r="8794" ht="11.25" hidden="1" customHeight="1" x14ac:dyDescent="0.25"/>
    <row r="8795" ht="11.25" hidden="1" customHeight="1" x14ac:dyDescent="0.25"/>
    <row r="8796" ht="11.25" hidden="1" customHeight="1" x14ac:dyDescent="0.25"/>
    <row r="8797" ht="11.25" hidden="1" customHeight="1" x14ac:dyDescent="0.25"/>
    <row r="8798" ht="11.25" hidden="1" customHeight="1" x14ac:dyDescent="0.25"/>
    <row r="8799" ht="11.25" hidden="1" customHeight="1" x14ac:dyDescent="0.25"/>
    <row r="8800" ht="11.25" hidden="1" customHeight="1" x14ac:dyDescent="0.25"/>
    <row r="8801" ht="11.25" hidden="1" customHeight="1" x14ac:dyDescent="0.25"/>
    <row r="8802" ht="11.25" hidden="1" customHeight="1" x14ac:dyDescent="0.25"/>
    <row r="8803" ht="11.25" hidden="1" customHeight="1" x14ac:dyDescent="0.25"/>
    <row r="8804" ht="11.25" hidden="1" customHeight="1" x14ac:dyDescent="0.25"/>
    <row r="8805" ht="11.25" hidden="1" customHeight="1" x14ac:dyDescent="0.25"/>
    <row r="8806" ht="11.25" hidden="1" customHeight="1" x14ac:dyDescent="0.25"/>
    <row r="8807" ht="11.25" hidden="1" customHeight="1" x14ac:dyDescent="0.25"/>
    <row r="8808" ht="11.25" hidden="1" customHeight="1" x14ac:dyDescent="0.25"/>
    <row r="8809" ht="11.25" hidden="1" customHeight="1" x14ac:dyDescent="0.25"/>
    <row r="8810" ht="11.25" hidden="1" customHeight="1" x14ac:dyDescent="0.25"/>
    <row r="8811" ht="11.25" hidden="1" customHeight="1" x14ac:dyDescent="0.25"/>
    <row r="8812" ht="11.25" hidden="1" customHeight="1" x14ac:dyDescent="0.25"/>
    <row r="8813" ht="11.25" hidden="1" customHeight="1" x14ac:dyDescent="0.25"/>
    <row r="8814" ht="11.25" hidden="1" customHeight="1" x14ac:dyDescent="0.25"/>
    <row r="8815" ht="11.25" hidden="1" customHeight="1" x14ac:dyDescent="0.25"/>
    <row r="8816" ht="11.25" hidden="1" customHeight="1" x14ac:dyDescent="0.25"/>
    <row r="8817" ht="11.25" hidden="1" customHeight="1" x14ac:dyDescent="0.25"/>
    <row r="8818" ht="11.25" hidden="1" customHeight="1" x14ac:dyDescent="0.25"/>
    <row r="8819" ht="11.25" hidden="1" customHeight="1" x14ac:dyDescent="0.25"/>
    <row r="8820" ht="11.25" hidden="1" customHeight="1" x14ac:dyDescent="0.25"/>
    <row r="8821" ht="11.25" hidden="1" customHeight="1" x14ac:dyDescent="0.25"/>
    <row r="8822" ht="11.25" hidden="1" customHeight="1" x14ac:dyDescent="0.25"/>
    <row r="8823" ht="11.25" hidden="1" customHeight="1" x14ac:dyDescent="0.25"/>
    <row r="8824" ht="11.25" hidden="1" customHeight="1" x14ac:dyDescent="0.25"/>
    <row r="8825" ht="11.25" hidden="1" customHeight="1" x14ac:dyDescent="0.25"/>
    <row r="8826" ht="11.25" hidden="1" customHeight="1" x14ac:dyDescent="0.25"/>
    <row r="8827" ht="11.25" hidden="1" customHeight="1" x14ac:dyDescent="0.25"/>
    <row r="8828" ht="11.25" hidden="1" customHeight="1" x14ac:dyDescent="0.25"/>
    <row r="8829" ht="11.25" hidden="1" customHeight="1" x14ac:dyDescent="0.25"/>
    <row r="8830" ht="11.25" hidden="1" customHeight="1" x14ac:dyDescent="0.25"/>
    <row r="8831" ht="11.25" hidden="1" customHeight="1" x14ac:dyDescent="0.25"/>
    <row r="8832" ht="11.25" hidden="1" customHeight="1" x14ac:dyDescent="0.25"/>
    <row r="8833" ht="11.25" hidden="1" customHeight="1" x14ac:dyDescent="0.25"/>
    <row r="8834" ht="11.25" hidden="1" customHeight="1" x14ac:dyDescent="0.25"/>
    <row r="8835" ht="11.25" hidden="1" customHeight="1" x14ac:dyDescent="0.25"/>
    <row r="8836" ht="11.25" hidden="1" customHeight="1" x14ac:dyDescent="0.25"/>
    <row r="8837" ht="11.25" hidden="1" customHeight="1" x14ac:dyDescent="0.25"/>
    <row r="8838" ht="11.25" hidden="1" customHeight="1" x14ac:dyDescent="0.25"/>
    <row r="8839" ht="11.25" hidden="1" customHeight="1" x14ac:dyDescent="0.25"/>
    <row r="8840" ht="11.25" hidden="1" customHeight="1" x14ac:dyDescent="0.25"/>
    <row r="8841" ht="11.25" hidden="1" customHeight="1" x14ac:dyDescent="0.25"/>
    <row r="8842" ht="11.25" hidden="1" customHeight="1" x14ac:dyDescent="0.25"/>
    <row r="8843" ht="11.25" hidden="1" customHeight="1" x14ac:dyDescent="0.25"/>
    <row r="8844" ht="11.25" hidden="1" customHeight="1" x14ac:dyDescent="0.25"/>
    <row r="8845" ht="11.25" hidden="1" customHeight="1" x14ac:dyDescent="0.25"/>
    <row r="8846" ht="11.25" hidden="1" customHeight="1" x14ac:dyDescent="0.25"/>
    <row r="8847" ht="11.25" hidden="1" customHeight="1" x14ac:dyDescent="0.25"/>
    <row r="8848" ht="11.25" hidden="1" customHeight="1" x14ac:dyDescent="0.25"/>
    <row r="8849" ht="11.25" hidden="1" customHeight="1" x14ac:dyDescent="0.25"/>
    <row r="8850" ht="11.25" hidden="1" customHeight="1" x14ac:dyDescent="0.25"/>
    <row r="8851" ht="11.25" hidden="1" customHeight="1" x14ac:dyDescent="0.25"/>
    <row r="8852" ht="11.25" hidden="1" customHeight="1" x14ac:dyDescent="0.25"/>
    <row r="8853" ht="11.25" hidden="1" customHeight="1" x14ac:dyDescent="0.25"/>
    <row r="8854" ht="11.25" hidden="1" customHeight="1" x14ac:dyDescent="0.25"/>
    <row r="8855" ht="11.25" hidden="1" customHeight="1" x14ac:dyDescent="0.25"/>
    <row r="8856" ht="11.25" hidden="1" customHeight="1" x14ac:dyDescent="0.25"/>
    <row r="8857" ht="11.25" hidden="1" customHeight="1" x14ac:dyDescent="0.25"/>
    <row r="8858" ht="11.25" hidden="1" customHeight="1" x14ac:dyDescent="0.25"/>
    <row r="8859" ht="11.25" hidden="1" customHeight="1" x14ac:dyDescent="0.25"/>
    <row r="8860" ht="11.25" hidden="1" customHeight="1" x14ac:dyDescent="0.25"/>
    <row r="8861" ht="11.25" hidden="1" customHeight="1" x14ac:dyDescent="0.25"/>
    <row r="8862" ht="11.25" hidden="1" customHeight="1" x14ac:dyDescent="0.25"/>
    <row r="8863" ht="11.25" hidden="1" customHeight="1" x14ac:dyDescent="0.25"/>
    <row r="8864" ht="11.25" hidden="1" customHeight="1" x14ac:dyDescent="0.25"/>
    <row r="8865" ht="11.25" hidden="1" customHeight="1" x14ac:dyDescent="0.25"/>
    <row r="8866" ht="11.25" hidden="1" customHeight="1" x14ac:dyDescent="0.25"/>
    <row r="8867" ht="11.25" hidden="1" customHeight="1" x14ac:dyDescent="0.25"/>
    <row r="8868" ht="11.25" hidden="1" customHeight="1" x14ac:dyDescent="0.25"/>
    <row r="8869" ht="11.25" hidden="1" customHeight="1" x14ac:dyDescent="0.25"/>
    <row r="8870" ht="11.25" hidden="1" customHeight="1" x14ac:dyDescent="0.25"/>
    <row r="8871" ht="11.25" hidden="1" customHeight="1" x14ac:dyDescent="0.25"/>
    <row r="8872" ht="11.25" hidden="1" customHeight="1" x14ac:dyDescent="0.25"/>
    <row r="8873" ht="11.25" hidden="1" customHeight="1" x14ac:dyDescent="0.25"/>
    <row r="8874" ht="11.25" hidden="1" customHeight="1" x14ac:dyDescent="0.25"/>
    <row r="8875" ht="11.25" hidden="1" customHeight="1" x14ac:dyDescent="0.25"/>
    <row r="8876" ht="11.25" hidden="1" customHeight="1" x14ac:dyDescent="0.25"/>
    <row r="8877" ht="11.25" hidden="1" customHeight="1" x14ac:dyDescent="0.25"/>
    <row r="8878" ht="11.25" hidden="1" customHeight="1" x14ac:dyDescent="0.25"/>
    <row r="8879" ht="11.25" hidden="1" customHeight="1" x14ac:dyDescent="0.25"/>
    <row r="8880" ht="11.25" hidden="1" customHeight="1" x14ac:dyDescent="0.25"/>
    <row r="8881" ht="11.25" hidden="1" customHeight="1" x14ac:dyDescent="0.25"/>
    <row r="8882" ht="11.25" hidden="1" customHeight="1" x14ac:dyDescent="0.25"/>
    <row r="8883" ht="11.25" hidden="1" customHeight="1" x14ac:dyDescent="0.25"/>
    <row r="8884" ht="11.25" hidden="1" customHeight="1" x14ac:dyDescent="0.25"/>
    <row r="8885" ht="11.25" hidden="1" customHeight="1" x14ac:dyDescent="0.25"/>
    <row r="8886" ht="11.25" hidden="1" customHeight="1" x14ac:dyDescent="0.25"/>
    <row r="8887" ht="11.25" hidden="1" customHeight="1" x14ac:dyDescent="0.25"/>
    <row r="8888" ht="11.25" hidden="1" customHeight="1" x14ac:dyDescent="0.25"/>
    <row r="8889" ht="11.25" hidden="1" customHeight="1" x14ac:dyDescent="0.25"/>
    <row r="8890" ht="11.25" hidden="1" customHeight="1" x14ac:dyDescent="0.25"/>
    <row r="8891" ht="11.25" hidden="1" customHeight="1" x14ac:dyDescent="0.25"/>
    <row r="8892" ht="11.25" hidden="1" customHeight="1" x14ac:dyDescent="0.25"/>
    <row r="8893" ht="11.25" hidden="1" customHeight="1" x14ac:dyDescent="0.25"/>
    <row r="8894" ht="11.25" hidden="1" customHeight="1" x14ac:dyDescent="0.25"/>
    <row r="8895" ht="11.25" hidden="1" customHeight="1" x14ac:dyDescent="0.25"/>
    <row r="8896" ht="11.25" hidden="1" customHeight="1" x14ac:dyDescent="0.25"/>
    <row r="8897" ht="11.25" hidden="1" customHeight="1" x14ac:dyDescent="0.25"/>
    <row r="8898" ht="11.25" hidden="1" customHeight="1" x14ac:dyDescent="0.25"/>
    <row r="8899" ht="11.25" hidden="1" customHeight="1" x14ac:dyDescent="0.25"/>
    <row r="8900" ht="11.25" hidden="1" customHeight="1" x14ac:dyDescent="0.25"/>
    <row r="8901" ht="11.25" hidden="1" customHeight="1" x14ac:dyDescent="0.25"/>
    <row r="8902" ht="11.25" hidden="1" customHeight="1" x14ac:dyDescent="0.25"/>
    <row r="8903" ht="11.25" hidden="1" customHeight="1" x14ac:dyDescent="0.25"/>
    <row r="8904" ht="11.25" hidden="1" customHeight="1" x14ac:dyDescent="0.25"/>
    <row r="8905" ht="11.25" hidden="1" customHeight="1" x14ac:dyDescent="0.25"/>
    <row r="8906" ht="11.25" hidden="1" customHeight="1" x14ac:dyDescent="0.25"/>
    <row r="8907" ht="11.25" hidden="1" customHeight="1" x14ac:dyDescent="0.25"/>
    <row r="8908" ht="11.25" hidden="1" customHeight="1" x14ac:dyDescent="0.25"/>
    <row r="8909" ht="11.25" hidden="1" customHeight="1" x14ac:dyDescent="0.25"/>
    <row r="8910" ht="11.25" hidden="1" customHeight="1" x14ac:dyDescent="0.25"/>
    <row r="8911" ht="11.25" hidden="1" customHeight="1" x14ac:dyDescent="0.25"/>
    <row r="8912" ht="11.25" hidden="1" customHeight="1" x14ac:dyDescent="0.25"/>
    <row r="8913" ht="11.25" hidden="1" customHeight="1" x14ac:dyDescent="0.25"/>
    <row r="8914" ht="11.25" hidden="1" customHeight="1" x14ac:dyDescent="0.25"/>
    <row r="8915" ht="11.25" hidden="1" customHeight="1" x14ac:dyDescent="0.25"/>
    <row r="8916" ht="11.25" hidden="1" customHeight="1" x14ac:dyDescent="0.25"/>
    <row r="8917" ht="11.25" hidden="1" customHeight="1" x14ac:dyDescent="0.25"/>
    <row r="8918" ht="11.25" hidden="1" customHeight="1" x14ac:dyDescent="0.25"/>
    <row r="8919" ht="11.25" hidden="1" customHeight="1" x14ac:dyDescent="0.25"/>
    <row r="8920" ht="11.25" hidden="1" customHeight="1" x14ac:dyDescent="0.25"/>
    <row r="8921" ht="11.25" hidden="1" customHeight="1" x14ac:dyDescent="0.25"/>
    <row r="8922" ht="11.25" hidden="1" customHeight="1" x14ac:dyDescent="0.25"/>
    <row r="8923" ht="11.25" hidden="1" customHeight="1" x14ac:dyDescent="0.25"/>
    <row r="8924" ht="11.25" hidden="1" customHeight="1" x14ac:dyDescent="0.25"/>
    <row r="8925" ht="11.25" hidden="1" customHeight="1" x14ac:dyDescent="0.25"/>
    <row r="8926" ht="11.25" hidden="1" customHeight="1" x14ac:dyDescent="0.25"/>
    <row r="8927" ht="11.25" hidden="1" customHeight="1" x14ac:dyDescent="0.25"/>
    <row r="8928" ht="11.25" hidden="1" customHeight="1" x14ac:dyDescent="0.25"/>
    <row r="8929" ht="11.25" hidden="1" customHeight="1" x14ac:dyDescent="0.25"/>
    <row r="8930" ht="11.25" hidden="1" customHeight="1" x14ac:dyDescent="0.25"/>
    <row r="8931" ht="11.25" hidden="1" customHeight="1" x14ac:dyDescent="0.25"/>
    <row r="8932" ht="11.25" hidden="1" customHeight="1" x14ac:dyDescent="0.25"/>
    <row r="8933" ht="11.25" hidden="1" customHeight="1" x14ac:dyDescent="0.25"/>
    <row r="8934" ht="11.25" hidden="1" customHeight="1" x14ac:dyDescent="0.25"/>
    <row r="8935" ht="11.25" hidden="1" customHeight="1" x14ac:dyDescent="0.25"/>
    <row r="8936" ht="11.25" hidden="1" customHeight="1" x14ac:dyDescent="0.25"/>
    <row r="8937" ht="11.25" hidden="1" customHeight="1" x14ac:dyDescent="0.25"/>
    <row r="8938" ht="11.25" hidden="1" customHeight="1" x14ac:dyDescent="0.25"/>
    <row r="8939" ht="11.25" hidden="1" customHeight="1" x14ac:dyDescent="0.25"/>
    <row r="8940" ht="11.25" hidden="1" customHeight="1" x14ac:dyDescent="0.25"/>
    <row r="8941" ht="11.25" hidden="1" customHeight="1" x14ac:dyDescent="0.25"/>
    <row r="8942" ht="11.25" hidden="1" customHeight="1" x14ac:dyDescent="0.25"/>
    <row r="8943" ht="11.25" hidden="1" customHeight="1" x14ac:dyDescent="0.25"/>
    <row r="8944" ht="11.25" hidden="1" customHeight="1" x14ac:dyDescent="0.25"/>
    <row r="8945" ht="11.25" hidden="1" customHeight="1" x14ac:dyDescent="0.25"/>
    <row r="8946" ht="11.25" hidden="1" customHeight="1" x14ac:dyDescent="0.25"/>
    <row r="8947" ht="11.25" hidden="1" customHeight="1" x14ac:dyDescent="0.25"/>
    <row r="8948" ht="11.25" hidden="1" customHeight="1" x14ac:dyDescent="0.25"/>
    <row r="8949" ht="11.25" hidden="1" customHeight="1" x14ac:dyDescent="0.25"/>
    <row r="8950" ht="11.25" hidden="1" customHeight="1" x14ac:dyDescent="0.25"/>
    <row r="8951" ht="11.25" hidden="1" customHeight="1" x14ac:dyDescent="0.25"/>
    <row r="8952" ht="11.25" hidden="1" customHeight="1" x14ac:dyDescent="0.25"/>
    <row r="8953" ht="11.25" hidden="1" customHeight="1" x14ac:dyDescent="0.25"/>
    <row r="8954" ht="11.25" hidden="1" customHeight="1" x14ac:dyDescent="0.25"/>
    <row r="8955" ht="11.25" hidden="1" customHeight="1" x14ac:dyDescent="0.25"/>
    <row r="8956" ht="11.25" hidden="1" customHeight="1" x14ac:dyDescent="0.25"/>
    <row r="8957" ht="11.25" hidden="1" customHeight="1" x14ac:dyDescent="0.25"/>
    <row r="8958" ht="11.25" hidden="1" customHeight="1" x14ac:dyDescent="0.25"/>
    <row r="8959" ht="11.25" hidden="1" customHeight="1" x14ac:dyDescent="0.25"/>
    <row r="8960" ht="11.25" hidden="1" customHeight="1" x14ac:dyDescent="0.25"/>
    <row r="8961" ht="11.25" hidden="1" customHeight="1" x14ac:dyDescent="0.25"/>
    <row r="8962" ht="11.25" hidden="1" customHeight="1" x14ac:dyDescent="0.25"/>
    <row r="8963" ht="11.25" hidden="1" customHeight="1" x14ac:dyDescent="0.25"/>
    <row r="8964" ht="11.25" hidden="1" customHeight="1" x14ac:dyDescent="0.25"/>
    <row r="8965" ht="11.25" hidden="1" customHeight="1" x14ac:dyDescent="0.25"/>
    <row r="8966" ht="11.25" hidden="1" customHeight="1" x14ac:dyDescent="0.25"/>
    <row r="8967" ht="11.25" hidden="1" customHeight="1" x14ac:dyDescent="0.25"/>
    <row r="8968" ht="11.25" hidden="1" customHeight="1" x14ac:dyDescent="0.25"/>
    <row r="8969" ht="11.25" hidden="1" customHeight="1" x14ac:dyDescent="0.25"/>
    <row r="8970" ht="11.25" hidden="1" customHeight="1" x14ac:dyDescent="0.25"/>
    <row r="8971" ht="11.25" hidden="1" customHeight="1" x14ac:dyDescent="0.25"/>
    <row r="8972" ht="11.25" hidden="1" customHeight="1" x14ac:dyDescent="0.25"/>
    <row r="8973" ht="11.25" hidden="1" customHeight="1" x14ac:dyDescent="0.25"/>
    <row r="8974" ht="11.25" hidden="1" customHeight="1" x14ac:dyDescent="0.25"/>
    <row r="8975" ht="11.25" hidden="1" customHeight="1" x14ac:dyDescent="0.25"/>
    <row r="8976" ht="11.25" hidden="1" customHeight="1" x14ac:dyDescent="0.25"/>
    <row r="8977" ht="11.25" hidden="1" customHeight="1" x14ac:dyDescent="0.25"/>
    <row r="8978" ht="11.25" hidden="1" customHeight="1" x14ac:dyDescent="0.25"/>
    <row r="8979" ht="11.25" hidden="1" customHeight="1" x14ac:dyDescent="0.25"/>
    <row r="8980" ht="11.25" hidden="1" customHeight="1" x14ac:dyDescent="0.25"/>
    <row r="8981" ht="11.25" hidden="1" customHeight="1" x14ac:dyDescent="0.25"/>
    <row r="8982" ht="11.25" hidden="1" customHeight="1" x14ac:dyDescent="0.25"/>
    <row r="8983" ht="11.25" hidden="1" customHeight="1" x14ac:dyDescent="0.25"/>
    <row r="8984" ht="11.25" hidden="1" customHeight="1" x14ac:dyDescent="0.25"/>
    <row r="8985" ht="11.25" hidden="1" customHeight="1" x14ac:dyDescent="0.25"/>
    <row r="8986" ht="11.25" hidden="1" customHeight="1" x14ac:dyDescent="0.25"/>
    <row r="8987" ht="11.25" hidden="1" customHeight="1" x14ac:dyDescent="0.25"/>
    <row r="8988" ht="11.25" hidden="1" customHeight="1" x14ac:dyDescent="0.25"/>
    <row r="8989" ht="11.25" hidden="1" customHeight="1" x14ac:dyDescent="0.25"/>
    <row r="8990" ht="11.25" hidden="1" customHeight="1" x14ac:dyDescent="0.25"/>
    <row r="8991" ht="11.25" hidden="1" customHeight="1" x14ac:dyDescent="0.25"/>
    <row r="8992" ht="11.25" hidden="1" customHeight="1" x14ac:dyDescent="0.25"/>
    <row r="8993" ht="11.25" hidden="1" customHeight="1" x14ac:dyDescent="0.25"/>
    <row r="8994" ht="11.25" hidden="1" customHeight="1" x14ac:dyDescent="0.25"/>
    <row r="8995" ht="11.25" hidden="1" customHeight="1" x14ac:dyDescent="0.25"/>
    <row r="8996" ht="11.25" hidden="1" customHeight="1" x14ac:dyDescent="0.25"/>
    <row r="8997" ht="11.25" hidden="1" customHeight="1" x14ac:dyDescent="0.25"/>
    <row r="8998" ht="11.25" hidden="1" customHeight="1" x14ac:dyDescent="0.25"/>
    <row r="8999" ht="11.25" hidden="1" customHeight="1" x14ac:dyDescent="0.25"/>
    <row r="9000" ht="11.25" hidden="1" customHeight="1" x14ac:dyDescent="0.25"/>
    <row r="9001" ht="11.25" hidden="1" customHeight="1" x14ac:dyDescent="0.25"/>
    <row r="9002" ht="11.25" hidden="1" customHeight="1" x14ac:dyDescent="0.25"/>
    <row r="9003" ht="11.25" hidden="1" customHeight="1" x14ac:dyDescent="0.25"/>
    <row r="9004" ht="11.25" hidden="1" customHeight="1" x14ac:dyDescent="0.25"/>
    <row r="9005" ht="11.25" hidden="1" customHeight="1" x14ac:dyDescent="0.25"/>
    <row r="9006" ht="11.25" hidden="1" customHeight="1" x14ac:dyDescent="0.25"/>
    <row r="9007" ht="11.25" hidden="1" customHeight="1" x14ac:dyDescent="0.25"/>
    <row r="9008" ht="11.25" hidden="1" customHeight="1" x14ac:dyDescent="0.25"/>
    <row r="9009" ht="11.25" hidden="1" customHeight="1" x14ac:dyDescent="0.25"/>
    <row r="9010" ht="11.25" hidden="1" customHeight="1" x14ac:dyDescent="0.25"/>
    <row r="9011" ht="11.25" hidden="1" customHeight="1" x14ac:dyDescent="0.25"/>
    <row r="9012" ht="11.25" hidden="1" customHeight="1" x14ac:dyDescent="0.25"/>
    <row r="9013" ht="11.25" hidden="1" customHeight="1" x14ac:dyDescent="0.25"/>
    <row r="9014" ht="11.25" hidden="1" customHeight="1" x14ac:dyDescent="0.25"/>
    <row r="9015" ht="11.25" hidden="1" customHeight="1" x14ac:dyDescent="0.25"/>
    <row r="9016" ht="11.25" hidden="1" customHeight="1" x14ac:dyDescent="0.25"/>
    <row r="9017" ht="11.25" hidden="1" customHeight="1" x14ac:dyDescent="0.25"/>
    <row r="9018" ht="11.25" hidden="1" customHeight="1" x14ac:dyDescent="0.25"/>
    <row r="9019" ht="11.25" hidden="1" customHeight="1" x14ac:dyDescent="0.25"/>
    <row r="9020" ht="11.25" hidden="1" customHeight="1" x14ac:dyDescent="0.25"/>
    <row r="9021" ht="11.25" hidden="1" customHeight="1" x14ac:dyDescent="0.25"/>
    <row r="9022" ht="11.25" hidden="1" customHeight="1" x14ac:dyDescent="0.25"/>
    <row r="9023" ht="11.25" hidden="1" customHeight="1" x14ac:dyDescent="0.25"/>
    <row r="9024" ht="11.25" hidden="1" customHeight="1" x14ac:dyDescent="0.25"/>
    <row r="9025" ht="11.25" hidden="1" customHeight="1" x14ac:dyDescent="0.25"/>
    <row r="9026" ht="11.25" hidden="1" customHeight="1" x14ac:dyDescent="0.25"/>
    <row r="9027" ht="11.25" hidden="1" customHeight="1" x14ac:dyDescent="0.25"/>
    <row r="9028" ht="11.25" hidden="1" customHeight="1" x14ac:dyDescent="0.25"/>
    <row r="9029" ht="11.25" hidden="1" customHeight="1" x14ac:dyDescent="0.25"/>
    <row r="9030" ht="11.25" hidden="1" customHeight="1" x14ac:dyDescent="0.25"/>
    <row r="9031" ht="11.25" hidden="1" customHeight="1" x14ac:dyDescent="0.25"/>
    <row r="9032" ht="11.25" hidden="1" customHeight="1" x14ac:dyDescent="0.25"/>
    <row r="9033" ht="11.25" hidden="1" customHeight="1" x14ac:dyDescent="0.25"/>
    <row r="9034" ht="11.25" hidden="1" customHeight="1" x14ac:dyDescent="0.25"/>
    <row r="9035" ht="11.25" hidden="1" customHeight="1" x14ac:dyDescent="0.25"/>
    <row r="9036" ht="11.25" hidden="1" customHeight="1" x14ac:dyDescent="0.25"/>
    <row r="9037" ht="11.25" hidden="1" customHeight="1" x14ac:dyDescent="0.25"/>
    <row r="9038" ht="11.25" hidden="1" customHeight="1" x14ac:dyDescent="0.25"/>
    <row r="9039" ht="11.25" hidden="1" customHeight="1" x14ac:dyDescent="0.25"/>
    <row r="9040" ht="11.25" hidden="1" customHeight="1" x14ac:dyDescent="0.25"/>
    <row r="9041" ht="11.25" hidden="1" customHeight="1" x14ac:dyDescent="0.25"/>
    <row r="9042" ht="11.25" hidden="1" customHeight="1" x14ac:dyDescent="0.25"/>
    <row r="9043" ht="11.25" hidden="1" customHeight="1" x14ac:dyDescent="0.25"/>
    <row r="9044" ht="11.25" hidden="1" customHeight="1" x14ac:dyDescent="0.25"/>
    <row r="9045" ht="11.25" hidden="1" customHeight="1" x14ac:dyDescent="0.25"/>
    <row r="9046" ht="11.25" hidden="1" customHeight="1" x14ac:dyDescent="0.25"/>
    <row r="9047" ht="11.25" hidden="1" customHeight="1" x14ac:dyDescent="0.25"/>
    <row r="9048" ht="11.25" hidden="1" customHeight="1" x14ac:dyDescent="0.25"/>
    <row r="9049" ht="11.25" hidden="1" customHeight="1" x14ac:dyDescent="0.25"/>
    <row r="9050" ht="11.25" hidden="1" customHeight="1" x14ac:dyDescent="0.25"/>
    <row r="9051" ht="11.25" hidden="1" customHeight="1" x14ac:dyDescent="0.25"/>
    <row r="9052" ht="11.25" hidden="1" customHeight="1" x14ac:dyDescent="0.25"/>
    <row r="9053" ht="11.25" hidden="1" customHeight="1" x14ac:dyDescent="0.25"/>
    <row r="9054" ht="11.25" hidden="1" customHeight="1" x14ac:dyDescent="0.25"/>
    <row r="9055" ht="11.25" hidden="1" customHeight="1" x14ac:dyDescent="0.25"/>
    <row r="9056" ht="11.25" hidden="1" customHeight="1" x14ac:dyDescent="0.25"/>
    <row r="9057" ht="11.25" hidden="1" customHeight="1" x14ac:dyDescent="0.25"/>
    <row r="9058" ht="11.25" hidden="1" customHeight="1" x14ac:dyDescent="0.25"/>
    <row r="9059" ht="11.25" hidden="1" customHeight="1" x14ac:dyDescent="0.25"/>
    <row r="9060" ht="11.25" hidden="1" customHeight="1" x14ac:dyDescent="0.25"/>
    <row r="9061" ht="11.25" hidden="1" customHeight="1" x14ac:dyDescent="0.25"/>
    <row r="9062" ht="11.25" hidden="1" customHeight="1" x14ac:dyDescent="0.25"/>
    <row r="9063" ht="11.25" hidden="1" customHeight="1" x14ac:dyDescent="0.25"/>
    <row r="9064" ht="11.25" hidden="1" customHeight="1" x14ac:dyDescent="0.25"/>
    <row r="9065" ht="11.25" hidden="1" customHeight="1" x14ac:dyDescent="0.25"/>
    <row r="9066" ht="11.25" hidden="1" customHeight="1" x14ac:dyDescent="0.25"/>
    <row r="9067" ht="11.25" hidden="1" customHeight="1" x14ac:dyDescent="0.25"/>
    <row r="9068" ht="11.25" hidden="1" customHeight="1" x14ac:dyDescent="0.25"/>
    <row r="9069" ht="11.25" hidden="1" customHeight="1" x14ac:dyDescent="0.25"/>
    <row r="9070" ht="11.25" hidden="1" customHeight="1" x14ac:dyDescent="0.25"/>
    <row r="9071" ht="11.25" hidden="1" customHeight="1" x14ac:dyDescent="0.25"/>
    <row r="9072" ht="11.25" hidden="1" customHeight="1" x14ac:dyDescent="0.25"/>
    <row r="9073" ht="11.25" hidden="1" customHeight="1" x14ac:dyDescent="0.25"/>
    <row r="9074" ht="11.25" hidden="1" customHeight="1" x14ac:dyDescent="0.25"/>
    <row r="9075" ht="11.25" hidden="1" customHeight="1" x14ac:dyDescent="0.25"/>
    <row r="9076" ht="11.25" hidden="1" customHeight="1" x14ac:dyDescent="0.25"/>
    <row r="9077" ht="11.25" hidden="1" customHeight="1" x14ac:dyDescent="0.25"/>
    <row r="9078" ht="11.25" hidden="1" customHeight="1" x14ac:dyDescent="0.25"/>
    <row r="9079" ht="11.25" hidden="1" customHeight="1" x14ac:dyDescent="0.25"/>
    <row r="9080" ht="11.25" hidden="1" customHeight="1" x14ac:dyDescent="0.25"/>
    <row r="9081" ht="11.25" hidden="1" customHeight="1" x14ac:dyDescent="0.25"/>
    <row r="9082" ht="11.25" hidden="1" customHeight="1" x14ac:dyDescent="0.25"/>
    <row r="9083" ht="11.25" hidden="1" customHeight="1" x14ac:dyDescent="0.25"/>
    <row r="9084" ht="11.25" hidden="1" customHeight="1" x14ac:dyDescent="0.25"/>
    <row r="9085" ht="11.25" hidden="1" customHeight="1" x14ac:dyDescent="0.25"/>
    <row r="9086" ht="11.25" hidden="1" customHeight="1" x14ac:dyDescent="0.25"/>
    <row r="9087" ht="11.25" hidden="1" customHeight="1" x14ac:dyDescent="0.25"/>
    <row r="9088" ht="11.25" hidden="1" customHeight="1" x14ac:dyDescent="0.25"/>
    <row r="9089" ht="11.25" hidden="1" customHeight="1" x14ac:dyDescent="0.25"/>
    <row r="9090" ht="11.25" hidden="1" customHeight="1" x14ac:dyDescent="0.25"/>
    <row r="9091" ht="11.25" hidden="1" customHeight="1" x14ac:dyDescent="0.25"/>
    <row r="9092" ht="11.25" hidden="1" customHeight="1" x14ac:dyDescent="0.25"/>
    <row r="9093" ht="11.25" hidden="1" customHeight="1" x14ac:dyDescent="0.25"/>
    <row r="9094" ht="11.25" hidden="1" customHeight="1" x14ac:dyDescent="0.25"/>
    <row r="9095" ht="11.25" hidden="1" customHeight="1" x14ac:dyDescent="0.25"/>
    <row r="9096" ht="11.25" hidden="1" customHeight="1" x14ac:dyDescent="0.25"/>
    <row r="9097" ht="11.25" hidden="1" customHeight="1" x14ac:dyDescent="0.25"/>
    <row r="9098" ht="11.25" hidden="1" customHeight="1" x14ac:dyDescent="0.25"/>
    <row r="9099" ht="11.25" hidden="1" customHeight="1" x14ac:dyDescent="0.25"/>
    <row r="9100" ht="11.25" hidden="1" customHeight="1" x14ac:dyDescent="0.25"/>
    <row r="9101" ht="11.25" hidden="1" customHeight="1" x14ac:dyDescent="0.25"/>
    <row r="9102" ht="11.25" hidden="1" customHeight="1" x14ac:dyDescent="0.25"/>
    <row r="9103" ht="11.25" hidden="1" customHeight="1" x14ac:dyDescent="0.25"/>
    <row r="9104" ht="11.25" hidden="1" customHeight="1" x14ac:dyDescent="0.25"/>
    <row r="9105" ht="11.25" hidden="1" customHeight="1" x14ac:dyDescent="0.25"/>
    <row r="9106" ht="11.25" hidden="1" customHeight="1" x14ac:dyDescent="0.25"/>
    <row r="9107" ht="11.25" hidden="1" customHeight="1" x14ac:dyDescent="0.25"/>
    <row r="9108" ht="11.25" hidden="1" customHeight="1" x14ac:dyDescent="0.25"/>
    <row r="9109" ht="11.25" hidden="1" customHeight="1" x14ac:dyDescent="0.25"/>
    <row r="9110" ht="11.25" hidden="1" customHeight="1" x14ac:dyDescent="0.25"/>
    <row r="9111" ht="11.25" hidden="1" customHeight="1" x14ac:dyDescent="0.25"/>
    <row r="9112" ht="11.25" hidden="1" customHeight="1" x14ac:dyDescent="0.25"/>
    <row r="9113" ht="11.25" hidden="1" customHeight="1" x14ac:dyDescent="0.25"/>
    <row r="9114" ht="11.25" hidden="1" customHeight="1" x14ac:dyDescent="0.25"/>
    <row r="9115" ht="11.25" hidden="1" customHeight="1" x14ac:dyDescent="0.25"/>
    <row r="9116" ht="11.25" hidden="1" customHeight="1" x14ac:dyDescent="0.25"/>
    <row r="9117" ht="11.25" hidden="1" customHeight="1" x14ac:dyDescent="0.25"/>
    <row r="9118" ht="11.25" hidden="1" customHeight="1" x14ac:dyDescent="0.25"/>
    <row r="9119" ht="11.25" hidden="1" customHeight="1" x14ac:dyDescent="0.25"/>
    <row r="9120" ht="11.25" hidden="1" customHeight="1" x14ac:dyDescent="0.25"/>
    <row r="9121" ht="11.25" hidden="1" customHeight="1" x14ac:dyDescent="0.25"/>
    <row r="9122" ht="11.25" hidden="1" customHeight="1" x14ac:dyDescent="0.25"/>
    <row r="9123" ht="11.25" hidden="1" customHeight="1" x14ac:dyDescent="0.25"/>
    <row r="9124" ht="11.25" hidden="1" customHeight="1" x14ac:dyDescent="0.25"/>
    <row r="9125" ht="11.25" hidden="1" customHeight="1" x14ac:dyDescent="0.25"/>
    <row r="9126" ht="11.25" hidden="1" customHeight="1" x14ac:dyDescent="0.25"/>
    <row r="9127" ht="11.25" hidden="1" customHeight="1" x14ac:dyDescent="0.25"/>
    <row r="9128" ht="11.25" hidden="1" customHeight="1" x14ac:dyDescent="0.25"/>
    <row r="9129" ht="11.25" hidden="1" customHeight="1" x14ac:dyDescent="0.25"/>
    <row r="9130" ht="11.25" hidden="1" customHeight="1" x14ac:dyDescent="0.25"/>
    <row r="9131" ht="11.25" hidden="1" customHeight="1" x14ac:dyDescent="0.25"/>
    <row r="9132" ht="11.25" hidden="1" customHeight="1" x14ac:dyDescent="0.25"/>
    <row r="9133" ht="11.25" hidden="1" customHeight="1" x14ac:dyDescent="0.25"/>
    <row r="9134" ht="11.25" hidden="1" customHeight="1" x14ac:dyDescent="0.25"/>
    <row r="9135" ht="11.25" hidden="1" customHeight="1" x14ac:dyDescent="0.25"/>
    <row r="9136" ht="11.25" hidden="1" customHeight="1" x14ac:dyDescent="0.25"/>
    <row r="9137" ht="11.25" hidden="1" customHeight="1" x14ac:dyDescent="0.25"/>
    <row r="9138" ht="11.25" hidden="1" customHeight="1" x14ac:dyDescent="0.25"/>
    <row r="9139" ht="11.25" hidden="1" customHeight="1" x14ac:dyDescent="0.25"/>
    <row r="9140" ht="11.25" hidden="1" customHeight="1" x14ac:dyDescent="0.25"/>
    <row r="9141" ht="11.25" hidden="1" customHeight="1" x14ac:dyDescent="0.25"/>
    <row r="9142" ht="11.25" hidden="1" customHeight="1" x14ac:dyDescent="0.25"/>
    <row r="9143" ht="11.25" hidden="1" customHeight="1" x14ac:dyDescent="0.25"/>
    <row r="9144" ht="11.25" hidden="1" customHeight="1" x14ac:dyDescent="0.25"/>
    <row r="9145" ht="11.25" hidden="1" customHeight="1" x14ac:dyDescent="0.25"/>
    <row r="9146" ht="11.25" hidden="1" customHeight="1" x14ac:dyDescent="0.25"/>
    <row r="9147" ht="11.25" hidden="1" customHeight="1" x14ac:dyDescent="0.25"/>
    <row r="9148" ht="11.25" hidden="1" customHeight="1" x14ac:dyDescent="0.25"/>
    <row r="9149" ht="11.25" hidden="1" customHeight="1" x14ac:dyDescent="0.25"/>
    <row r="9150" ht="11.25" hidden="1" customHeight="1" x14ac:dyDescent="0.25"/>
    <row r="9151" ht="11.25" hidden="1" customHeight="1" x14ac:dyDescent="0.25"/>
    <row r="9152" ht="11.25" hidden="1" customHeight="1" x14ac:dyDescent="0.25"/>
    <row r="9153" ht="11.25" hidden="1" customHeight="1" x14ac:dyDescent="0.25"/>
    <row r="9154" ht="11.25" hidden="1" customHeight="1" x14ac:dyDescent="0.25"/>
    <row r="9155" ht="11.25" hidden="1" customHeight="1" x14ac:dyDescent="0.25"/>
    <row r="9156" ht="11.25" hidden="1" customHeight="1" x14ac:dyDescent="0.25"/>
    <row r="9157" ht="11.25" hidden="1" customHeight="1" x14ac:dyDescent="0.25"/>
    <row r="9158" ht="11.25" hidden="1" customHeight="1" x14ac:dyDescent="0.25"/>
    <row r="9159" ht="11.25" hidden="1" customHeight="1" x14ac:dyDescent="0.25"/>
    <row r="9160" ht="11.25" hidden="1" customHeight="1" x14ac:dyDescent="0.25"/>
    <row r="9161" ht="11.25" hidden="1" customHeight="1" x14ac:dyDescent="0.25"/>
    <row r="9162" ht="11.25" hidden="1" customHeight="1" x14ac:dyDescent="0.25"/>
    <row r="9163" ht="11.25" hidden="1" customHeight="1" x14ac:dyDescent="0.25"/>
    <row r="9164" ht="11.25" hidden="1" customHeight="1" x14ac:dyDescent="0.25"/>
    <row r="9165" ht="11.25" hidden="1" customHeight="1" x14ac:dyDescent="0.25"/>
    <row r="9166" ht="11.25" hidden="1" customHeight="1" x14ac:dyDescent="0.25"/>
    <row r="9167" ht="11.25" hidden="1" customHeight="1" x14ac:dyDescent="0.25"/>
    <row r="9168" ht="11.25" hidden="1" customHeight="1" x14ac:dyDescent="0.25"/>
    <row r="9169" ht="11.25" hidden="1" customHeight="1" x14ac:dyDescent="0.25"/>
    <row r="9170" ht="11.25" hidden="1" customHeight="1" x14ac:dyDescent="0.25"/>
    <row r="9171" ht="11.25" hidden="1" customHeight="1" x14ac:dyDescent="0.25"/>
    <row r="9172" ht="11.25" hidden="1" customHeight="1" x14ac:dyDescent="0.25"/>
    <row r="9173" ht="11.25" hidden="1" customHeight="1" x14ac:dyDescent="0.25"/>
    <row r="9174" ht="11.25" hidden="1" customHeight="1" x14ac:dyDescent="0.25"/>
    <row r="9175" ht="11.25" hidden="1" customHeight="1" x14ac:dyDescent="0.25"/>
    <row r="9176" ht="11.25" hidden="1" customHeight="1" x14ac:dyDescent="0.25"/>
    <row r="9177" ht="11.25" hidden="1" customHeight="1" x14ac:dyDescent="0.25"/>
    <row r="9178" ht="11.25" hidden="1" customHeight="1" x14ac:dyDescent="0.25"/>
    <row r="9179" ht="11.25" hidden="1" customHeight="1" x14ac:dyDescent="0.25"/>
    <row r="9180" ht="11.25" hidden="1" customHeight="1" x14ac:dyDescent="0.25"/>
    <row r="9181" ht="11.25" hidden="1" customHeight="1" x14ac:dyDescent="0.25"/>
    <row r="9182" ht="11.25" hidden="1" customHeight="1" x14ac:dyDescent="0.25"/>
    <row r="9183" ht="11.25" hidden="1" customHeight="1" x14ac:dyDescent="0.25"/>
    <row r="9184" ht="11.25" hidden="1" customHeight="1" x14ac:dyDescent="0.25"/>
    <row r="9185" ht="11.25" hidden="1" customHeight="1" x14ac:dyDescent="0.25"/>
    <row r="9186" ht="11.25" hidden="1" customHeight="1" x14ac:dyDescent="0.25"/>
    <row r="9187" ht="11.25" hidden="1" customHeight="1" x14ac:dyDescent="0.25"/>
    <row r="9188" ht="11.25" hidden="1" customHeight="1" x14ac:dyDescent="0.25"/>
    <row r="9189" ht="11.25" hidden="1" customHeight="1" x14ac:dyDescent="0.25"/>
    <row r="9190" ht="11.25" hidden="1" customHeight="1" x14ac:dyDescent="0.25"/>
    <row r="9191" ht="11.25" hidden="1" customHeight="1" x14ac:dyDescent="0.25"/>
    <row r="9192" ht="11.25" hidden="1" customHeight="1" x14ac:dyDescent="0.25"/>
    <row r="9193" ht="11.25" hidden="1" customHeight="1" x14ac:dyDescent="0.25"/>
    <row r="9194" ht="11.25" hidden="1" customHeight="1" x14ac:dyDescent="0.25"/>
    <row r="9195" ht="11.25" hidden="1" customHeight="1" x14ac:dyDescent="0.25"/>
    <row r="9196" ht="11.25" hidden="1" customHeight="1" x14ac:dyDescent="0.25"/>
    <row r="9197" ht="11.25" hidden="1" customHeight="1" x14ac:dyDescent="0.25"/>
    <row r="9198" ht="11.25" hidden="1" customHeight="1" x14ac:dyDescent="0.25"/>
    <row r="9199" ht="11.25" hidden="1" customHeight="1" x14ac:dyDescent="0.25"/>
    <row r="9200" ht="11.25" hidden="1" customHeight="1" x14ac:dyDescent="0.25"/>
    <row r="9201" ht="11.25" hidden="1" customHeight="1" x14ac:dyDescent="0.25"/>
    <row r="9202" ht="11.25" hidden="1" customHeight="1" x14ac:dyDescent="0.25"/>
    <row r="9203" ht="11.25" hidden="1" customHeight="1" x14ac:dyDescent="0.25"/>
    <row r="9204" ht="11.25" hidden="1" customHeight="1" x14ac:dyDescent="0.25"/>
    <row r="9205" ht="11.25" hidden="1" customHeight="1" x14ac:dyDescent="0.25"/>
    <row r="9206" ht="11.25" hidden="1" customHeight="1" x14ac:dyDescent="0.25"/>
    <row r="9207" ht="11.25" hidden="1" customHeight="1" x14ac:dyDescent="0.25"/>
    <row r="9208" ht="11.25" hidden="1" customHeight="1" x14ac:dyDescent="0.25"/>
    <row r="9209" ht="11.25" hidden="1" customHeight="1" x14ac:dyDescent="0.25"/>
    <row r="9210" ht="11.25" hidden="1" customHeight="1" x14ac:dyDescent="0.25"/>
    <row r="9211" ht="11.25" hidden="1" customHeight="1" x14ac:dyDescent="0.25"/>
    <row r="9212" ht="11.25" hidden="1" customHeight="1" x14ac:dyDescent="0.25"/>
    <row r="9213" ht="11.25" hidden="1" customHeight="1" x14ac:dyDescent="0.25"/>
    <row r="9214" ht="11.25" hidden="1" customHeight="1" x14ac:dyDescent="0.25"/>
    <row r="9215" ht="11.25" hidden="1" customHeight="1" x14ac:dyDescent="0.25"/>
    <row r="9216" ht="11.25" hidden="1" customHeight="1" x14ac:dyDescent="0.25"/>
    <row r="9217" ht="11.25" hidden="1" customHeight="1" x14ac:dyDescent="0.25"/>
    <row r="9218" ht="11.25" hidden="1" customHeight="1" x14ac:dyDescent="0.25"/>
    <row r="9219" ht="11.25" hidden="1" customHeight="1" x14ac:dyDescent="0.25"/>
    <row r="9220" ht="11.25" hidden="1" customHeight="1" x14ac:dyDescent="0.25"/>
    <row r="9221" ht="11.25" hidden="1" customHeight="1" x14ac:dyDescent="0.25"/>
    <row r="9222" ht="11.25" hidden="1" customHeight="1" x14ac:dyDescent="0.25"/>
    <row r="9223" ht="11.25" hidden="1" customHeight="1" x14ac:dyDescent="0.25"/>
    <row r="9224" ht="11.25" hidden="1" customHeight="1" x14ac:dyDescent="0.25"/>
    <row r="9225" ht="11.25" hidden="1" customHeight="1" x14ac:dyDescent="0.25"/>
    <row r="9226" ht="11.25" hidden="1" customHeight="1" x14ac:dyDescent="0.25"/>
    <row r="9227" ht="11.25" hidden="1" customHeight="1" x14ac:dyDescent="0.25"/>
    <row r="9228" ht="11.25" hidden="1" customHeight="1" x14ac:dyDescent="0.25"/>
    <row r="9229" ht="11.25" hidden="1" customHeight="1" x14ac:dyDescent="0.25"/>
    <row r="9230" ht="11.25" hidden="1" customHeight="1" x14ac:dyDescent="0.25"/>
    <row r="9231" ht="11.25" hidden="1" customHeight="1" x14ac:dyDescent="0.25"/>
    <row r="9232" ht="11.25" hidden="1" customHeight="1" x14ac:dyDescent="0.25"/>
    <row r="9233" ht="11.25" hidden="1" customHeight="1" x14ac:dyDescent="0.25"/>
    <row r="9234" ht="11.25" hidden="1" customHeight="1" x14ac:dyDescent="0.25"/>
    <row r="9235" ht="11.25" hidden="1" customHeight="1" x14ac:dyDescent="0.25"/>
    <row r="9236" ht="11.25" hidden="1" customHeight="1" x14ac:dyDescent="0.25"/>
    <row r="9237" ht="11.25" hidden="1" customHeight="1" x14ac:dyDescent="0.25"/>
    <row r="9238" ht="11.25" hidden="1" customHeight="1" x14ac:dyDescent="0.25"/>
    <row r="9239" ht="11.25" hidden="1" customHeight="1" x14ac:dyDescent="0.25"/>
    <row r="9240" ht="11.25" hidden="1" customHeight="1" x14ac:dyDescent="0.25"/>
    <row r="9241" ht="11.25" hidden="1" customHeight="1" x14ac:dyDescent="0.25"/>
    <row r="9242" ht="11.25" hidden="1" customHeight="1" x14ac:dyDescent="0.25"/>
    <row r="9243" ht="11.25" hidden="1" customHeight="1" x14ac:dyDescent="0.25"/>
    <row r="9244" ht="11.25" hidden="1" customHeight="1" x14ac:dyDescent="0.25"/>
    <row r="9245" ht="11.25" hidden="1" customHeight="1" x14ac:dyDescent="0.25"/>
    <row r="9246" ht="11.25" hidden="1" customHeight="1" x14ac:dyDescent="0.25"/>
    <row r="9247" ht="11.25" hidden="1" customHeight="1" x14ac:dyDescent="0.25"/>
    <row r="9248" ht="11.25" hidden="1" customHeight="1" x14ac:dyDescent="0.25"/>
    <row r="9249" ht="11.25" hidden="1" customHeight="1" x14ac:dyDescent="0.25"/>
    <row r="9250" ht="11.25" hidden="1" customHeight="1" x14ac:dyDescent="0.25"/>
    <row r="9251" ht="11.25" hidden="1" customHeight="1" x14ac:dyDescent="0.25"/>
    <row r="9252" ht="11.25" hidden="1" customHeight="1" x14ac:dyDescent="0.25"/>
    <row r="9253" ht="11.25" hidden="1" customHeight="1" x14ac:dyDescent="0.25"/>
    <row r="9254" ht="11.25" hidden="1" customHeight="1" x14ac:dyDescent="0.25"/>
    <row r="9255" ht="11.25" hidden="1" customHeight="1" x14ac:dyDescent="0.25"/>
    <row r="9256" ht="11.25" hidden="1" customHeight="1" x14ac:dyDescent="0.25"/>
    <row r="9257" ht="11.25" hidden="1" customHeight="1" x14ac:dyDescent="0.25"/>
    <row r="9258" ht="11.25" hidden="1" customHeight="1" x14ac:dyDescent="0.25"/>
    <row r="9259" ht="11.25" hidden="1" customHeight="1" x14ac:dyDescent="0.25"/>
    <row r="9260" ht="11.25" hidden="1" customHeight="1" x14ac:dyDescent="0.25"/>
    <row r="9261" ht="11.25" hidden="1" customHeight="1" x14ac:dyDescent="0.25"/>
    <row r="9262" ht="11.25" hidden="1" customHeight="1" x14ac:dyDescent="0.25"/>
    <row r="9263" ht="11.25" hidden="1" customHeight="1" x14ac:dyDescent="0.25"/>
    <row r="9264" ht="11.25" hidden="1" customHeight="1" x14ac:dyDescent="0.25"/>
    <row r="9265" ht="11.25" hidden="1" customHeight="1" x14ac:dyDescent="0.25"/>
    <row r="9266" ht="11.25" hidden="1" customHeight="1" x14ac:dyDescent="0.25"/>
    <row r="9267" ht="11.25" hidden="1" customHeight="1" x14ac:dyDescent="0.25"/>
    <row r="9268" ht="11.25" hidden="1" customHeight="1" x14ac:dyDescent="0.25"/>
    <row r="9269" ht="11.25" hidden="1" customHeight="1" x14ac:dyDescent="0.25"/>
    <row r="9270" ht="11.25" hidden="1" customHeight="1" x14ac:dyDescent="0.25"/>
    <row r="9271" ht="11.25" hidden="1" customHeight="1" x14ac:dyDescent="0.25"/>
    <row r="9272" ht="11.25" hidden="1" customHeight="1" x14ac:dyDescent="0.25"/>
    <row r="9273" ht="11.25" hidden="1" customHeight="1" x14ac:dyDescent="0.25"/>
    <row r="9274" ht="11.25" hidden="1" customHeight="1" x14ac:dyDescent="0.25"/>
    <row r="9275" ht="11.25" hidden="1" customHeight="1" x14ac:dyDescent="0.25"/>
    <row r="9276" ht="11.25" hidden="1" customHeight="1" x14ac:dyDescent="0.25"/>
    <row r="9277" ht="11.25" hidden="1" customHeight="1" x14ac:dyDescent="0.25"/>
    <row r="9278" ht="11.25" hidden="1" customHeight="1" x14ac:dyDescent="0.25"/>
    <row r="9279" ht="11.25" hidden="1" customHeight="1" x14ac:dyDescent="0.25"/>
    <row r="9280" ht="11.25" hidden="1" customHeight="1" x14ac:dyDescent="0.25"/>
    <row r="9281" ht="11.25" hidden="1" customHeight="1" x14ac:dyDescent="0.25"/>
    <row r="9282" ht="11.25" hidden="1" customHeight="1" x14ac:dyDescent="0.25"/>
    <row r="9283" ht="11.25" hidden="1" customHeight="1" x14ac:dyDescent="0.25"/>
    <row r="9284" ht="11.25" hidden="1" customHeight="1" x14ac:dyDescent="0.25"/>
    <row r="9285" ht="11.25" hidden="1" customHeight="1" x14ac:dyDescent="0.25"/>
    <row r="9286" ht="11.25" hidden="1" customHeight="1" x14ac:dyDescent="0.25"/>
    <row r="9287" ht="11.25" hidden="1" customHeight="1" x14ac:dyDescent="0.25"/>
    <row r="9288" ht="11.25" hidden="1" customHeight="1" x14ac:dyDescent="0.25"/>
    <row r="9289" ht="11.25" hidden="1" customHeight="1" x14ac:dyDescent="0.25"/>
    <row r="9290" ht="11.25" hidden="1" customHeight="1" x14ac:dyDescent="0.25"/>
    <row r="9291" ht="11.25" hidden="1" customHeight="1" x14ac:dyDescent="0.25"/>
    <row r="9292" ht="11.25" hidden="1" customHeight="1" x14ac:dyDescent="0.25"/>
    <row r="9293" ht="11.25" hidden="1" customHeight="1" x14ac:dyDescent="0.25"/>
    <row r="9294" ht="11.25" hidden="1" customHeight="1" x14ac:dyDescent="0.25"/>
    <row r="9295" ht="11.25" hidden="1" customHeight="1" x14ac:dyDescent="0.25"/>
    <row r="9296" ht="11.25" hidden="1" customHeight="1" x14ac:dyDescent="0.25"/>
    <row r="9297" ht="11.25" hidden="1" customHeight="1" x14ac:dyDescent="0.25"/>
    <row r="9298" ht="11.25" hidden="1" customHeight="1" x14ac:dyDescent="0.25"/>
    <row r="9299" ht="11.25" hidden="1" customHeight="1" x14ac:dyDescent="0.25"/>
    <row r="9300" ht="11.25" hidden="1" customHeight="1" x14ac:dyDescent="0.25"/>
    <row r="9301" ht="11.25" hidden="1" customHeight="1" x14ac:dyDescent="0.25"/>
    <row r="9302" ht="11.25" hidden="1" customHeight="1" x14ac:dyDescent="0.25"/>
    <row r="9303" ht="11.25" hidden="1" customHeight="1" x14ac:dyDescent="0.25"/>
    <row r="9304" ht="11.25" hidden="1" customHeight="1" x14ac:dyDescent="0.25"/>
    <row r="9305" ht="11.25" hidden="1" customHeight="1" x14ac:dyDescent="0.25"/>
    <row r="9306" ht="11.25" hidden="1" customHeight="1" x14ac:dyDescent="0.25"/>
    <row r="9307" ht="11.25" hidden="1" customHeight="1" x14ac:dyDescent="0.25"/>
    <row r="9308" ht="11.25" hidden="1" customHeight="1" x14ac:dyDescent="0.25"/>
    <row r="9309" ht="11.25" hidden="1" customHeight="1" x14ac:dyDescent="0.25"/>
    <row r="9310" ht="11.25" hidden="1" customHeight="1" x14ac:dyDescent="0.25"/>
    <row r="9311" ht="11.25" hidden="1" customHeight="1" x14ac:dyDescent="0.25"/>
    <row r="9312" ht="11.25" hidden="1" customHeight="1" x14ac:dyDescent="0.25"/>
    <row r="9313" ht="11.25" hidden="1" customHeight="1" x14ac:dyDescent="0.25"/>
    <row r="9314" ht="11.25" hidden="1" customHeight="1" x14ac:dyDescent="0.25"/>
    <row r="9315" ht="11.25" hidden="1" customHeight="1" x14ac:dyDescent="0.25"/>
    <row r="9316" ht="11.25" hidden="1" customHeight="1" x14ac:dyDescent="0.25"/>
    <row r="9317" ht="11.25" hidden="1" customHeight="1" x14ac:dyDescent="0.25"/>
    <row r="9318" ht="11.25" hidden="1" customHeight="1" x14ac:dyDescent="0.25"/>
    <row r="9319" ht="11.25" hidden="1" customHeight="1" x14ac:dyDescent="0.25"/>
    <row r="9320" ht="11.25" hidden="1" customHeight="1" x14ac:dyDescent="0.25"/>
    <row r="9321" ht="11.25" hidden="1" customHeight="1" x14ac:dyDescent="0.25"/>
    <row r="9322" ht="11.25" hidden="1" customHeight="1" x14ac:dyDescent="0.25"/>
    <row r="9323" ht="11.25" hidden="1" customHeight="1" x14ac:dyDescent="0.25"/>
    <row r="9324" ht="12" hidden="1" customHeight="1" x14ac:dyDescent="0.25"/>
  </sheetData>
  <sheetProtection sheet="1" objects="1" scenarios="1"/>
  <mergeCells count="8">
    <mergeCell ref="J1:K1"/>
    <mergeCell ref="A5:A6"/>
    <mergeCell ref="D5:D6"/>
    <mergeCell ref="G5:G6"/>
    <mergeCell ref="H5:H6"/>
    <mergeCell ref="I5:I6"/>
    <mergeCell ref="J5:J6"/>
    <mergeCell ref="K5:K6"/>
  </mergeCells>
  <hyperlinks>
    <hyperlink ref="J1" location="Índice!A1" display="Índice!A1"/>
    <hyperlink ref="J1:K1" location="Índice!A1" tooltip="Ir a Índice" display="Índice!A1"/>
  </hyperlinks>
  <printOptions horizontalCentered="1" verticalCentered="1" gridLinesSet="0"/>
  <pageMargins left="0.39370078740157483" right="0.39370078740157483" top="0.39370078740157483" bottom="0.39370078740157483" header="0.39370078740157483" footer="0.39370078740157483"/>
  <pageSetup orientation="portrait" r:id="rId1"/>
  <headerFooter>
    <oddHeader>&amp;L&amp;"Arial,Normal"&amp;10&amp;K000080INEGI. Anuario estadístico y geográfico por entidad federativa 2019.</oddHeader>
  </headerFooter>
  <rowBreaks count="9" manualBreakCount="9">
    <brk id="71" max="11" man="1"/>
    <brk id="135" max="11" man="1"/>
    <brk id="201" max="10" man="1"/>
    <brk id="271" max="10" man="1"/>
    <brk id="341" max="10" man="1"/>
    <brk id="411" max="10" man="1"/>
    <brk id="481" max="10" man="1"/>
    <brk id="553" max="10" man="1"/>
    <brk id="661" max="10" man="1"/>
  </rowBreak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843"/>
  <sheetViews>
    <sheetView showGridLines="0" showRowColHeaders="0" zoomScale="130" zoomScaleNormal="130" workbookViewId="0">
      <pane xSplit="1" ySplit="10" topLeftCell="B11" activePane="bottomRight" state="frozen"/>
      <selection activeCell="B5" sqref="B5"/>
      <selection pane="topRight" activeCell="B5" sqref="B5"/>
      <selection pane="bottomLeft" activeCell="B5" sqref="B5"/>
      <selection pane="bottomRight"/>
    </sheetView>
  </sheetViews>
  <sheetFormatPr baseColWidth="10" defaultColWidth="0" defaultRowHeight="11.25" customHeight="1" zeroHeight="1" x14ac:dyDescent="0.25"/>
  <cols>
    <col min="1" max="1" width="20" style="131" customWidth="1"/>
    <col min="2" max="2" width="10.28515625" style="131" customWidth="1"/>
    <col min="3" max="3" width="8.5703125" style="131" customWidth="1"/>
    <col min="4" max="4" width="7.85546875" style="131" customWidth="1"/>
    <col min="5" max="5" width="7.7109375" style="131" customWidth="1"/>
    <col min="6" max="7" width="7.28515625" style="131" customWidth="1"/>
    <col min="8" max="8" width="7.140625" style="131" customWidth="1"/>
    <col min="9" max="9" width="7" style="131" customWidth="1"/>
    <col min="10" max="10" width="7.7109375" style="131" customWidth="1"/>
    <col min="11" max="11" width="0.85546875" style="131" customWidth="1"/>
    <col min="12" max="16384" width="11.42578125" style="131" hidden="1"/>
  </cols>
  <sheetData>
    <row r="1" spans="1:12" s="124" customFormat="1" ht="12" customHeight="1" x14ac:dyDescent="0.2">
      <c r="A1" s="121" t="s">
        <v>112</v>
      </c>
      <c r="B1" s="122"/>
      <c r="C1" s="123"/>
      <c r="D1" s="123"/>
      <c r="E1" s="123"/>
      <c r="F1" s="123"/>
      <c r="G1" s="123"/>
      <c r="H1" s="123"/>
      <c r="I1" s="850" t="s">
        <v>113</v>
      </c>
      <c r="J1" s="850"/>
    </row>
    <row r="2" spans="1:12" s="124" customFormat="1" ht="12" customHeight="1" x14ac:dyDescent="0.2">
      <c r="A2" s="121" t="s">
        <v>114</v>
      </c>
      <c r="B2" s="122"/>
      <c r="C2" s="123"/>
      <c r="D2" s="123"/>
      <c r="E2" s="123"/>
      <c r="F2" s="123"/>
      <c r="G2" s="123"/>
      <c r="H2" s="123"/>
      <c r="I2" s="123"/>
      <c r="J2" s="125"/>
    </row>
    <row r="3" spans="1:12" s="124" customFormat="1" ht="12" customHeight="1" x14ac:dyDescent="0.25">
      <c r="A3" s="126" t="s">
        <v>115</v>
      </c>
      <c r="B3" s="127"/>
      <c r="C3" s="123"/>
      <c r="D3" s="123"/>
      <c r="E3" s="123"/>
      <c r="F3" s="123"/>
      <c r="G3" s="123"/>
      <c r="H3" s="123"/>
      <c r="I3" s="123"/>
      <c r="J3" s="128"/>
    </row>
    <row r="4" spans="1:12" ht="3" customHeight="1" x14ac:dyDescent="0.25">
      <c r="A4" s="129"/>
      <c r="B4" s="129"/>
      <c r="C4" s="129"/>
      <c r="D4" s="129"/>
      <c r="E4" s="129"/>
      <c r="F4" s="129"/>
      <c r="G4" s="129"/>
      <c r="H4" s="129"/>
      <c r="I4" s="129"/>
      <c r="J4" s="129"/>
      <c r="K4" s="130"/>
      <c r="L4" s="130"/>
    </row>
    <row r="5" spans="1:12" ht="3" customHeight="1" x14ac:dyDescent="0.25">
      <c r="A5" s="130"/>
      <c r="B5" s="130"/>
      <c r="C5" s="130"/>
      <c r="D5" s="130"/>
      <c r="E5" s="130"/>
      <c r="F5" s="130"/>
      <c r="G5" s="130"/>
      <c r="H5" s="130"/>
      <c r="I5" s="130"/>
      <c r="J5" s="130"/>
    </row>
    <row r="6" spans="1:12" s="133" customFormat="1" ht="8.25" customHeight="1" x14ac:dyDescent="0.25">
      <c r="A6" s="860" t="s">
        <v>116</v>
      </c>
      <c r="B6" s="862" t="s">
        <v>117</v>
      </c>
      <c r="C6" s="772" t="s">
        <v>118</v>
      </c>
      <c r="D6" s="864" t="s">
        <v>119</v>
      </c>
      <c r="E6" s="862" t="s">
        <v>120</v>
      </c>
      <c r="F6" s="132" t="s">
        <v>121</v>
      </c>
      <c r="G6" s="864" t="s">
        <v>122</v>
      </c>
      <c r="H6" s="132" t="s">
        <v>123</v>
      </c>
      <c r="I6" s="864" t="s">
        <v>124</v>
      </c>
      <c r="J6" s="862" t="s">
        <v>125</v>
      </c>
    </row>
    <row r="7" spans="1:12" s="133" customFormat="1" ht="8.25" customHeight="1" x14ac:dyDescent="0.25">
      <c r="A7" s="861"/>
      <c r="B7" s="863"/>
      <c r="C7" s="774"/>
      <c r="D7" s="864"/>
      <c r="E7" s="862"/>
      <c r="F7" s="773"/>
      <c r="G7" s="864"/>
      <c r="H7" s="132"/>
      <c r="I7" s="864"/>
      <c r="J7" s="863"/>
    </row>
    <row r="8" spans="1:12" s="133" customFormat="1" ht="8.25" customHeight="1" x14ac:dyDescent="0.25">
      <c r="A8" s="861"/>
      <c r="B8" s="863"/>
      <c r="C8" s="774"/>
      <c r="D8" s="773"/>
      <c r="E8" s="862"/>
      <c r="F8" s="773"/>
      <c r="G8" s="864"/>
      <c r="H8" s="132"/>
      <c r="I8" s="773"/>
      <c r="J8" s="863"/>
    </row>
    <row r="9" spans="1:12" s="133" customFormat="1" ht="9.6" customHeight="1" x14ac:dyDescent="0.15">
      <c r="A9" s="861"/>
      <c r="B9" s="863"/>
      <c r="D9" s="134"/>
      <c r="E9" s="862"/>
      <c r="F9" s="773"/>
      <c r="G9" s="864"/>
      <c r="H9" s="134"/>
      <c r="J9" s="863"/>
    </row>
    <row r="10" spans="1:12" ht="3" customHeight="1" x14ac:dyDescent="0.25">
      <c r="A10" s="129"/>
      <c r="B10" s="129"/>
      <c r="C10" s="129"/>
      <c r="D10" s="129"/>
      <c r="E10" s="129"/>
      <c r="F10" s="129"/>
      <c r="G10" s="129"/>
      <c r="H10" s="129"/>
      <c r="I10" s="129"/>
      <c r="J10" s="129"/>
    </row>
    <row r="11" spans="1:12" ht="3" customHeight="1" x14ac:dyDescent="0.25">
      <c r="A11" s="130"/>
      <c r="B11" s="130"/>
      <c r="C11" s="130"/>
      <c r="D11" s="130"/>
      <c r="E11" s="130"/>
      <c r="F11" s="130"/>
      <c r="G11" s="130"/>
      <c r="H11" s="130"/>
      <c r="I11" s="130"/>
      <c r="J11" s="130"/>
    </row>
    <row r="12" spans="1:12" s="136" customFormat="1" ht="8.25" customHeight="1" x14ac:dyDescent="0.25">
      <c r="A12" s="135">
        <v>1997</v>
      </c>
      <c r="I12" s="137"/>
      <c r="J12" s="137"/>
    </row>
    <row r="13" spans="1:12" s="136" customFormat="1" ht="8.25" customHeight="1" x14ac:dyDescent="0.25">
      <c r="A13" s="138" t="s">
        <v>13</v>
      </c>
      <c r="B13" s="139">
        <f t="shared" ref="B13:J13" si="0">SUM(B15:B46)</f>
        <v>1389</v>
      </c>
      <c r="C13" s="139">
        <f t="shared" si="0"/>
        <v>523</v>
      </c>
      <c r="D13" s="139">
        <f t="shared" si="0"/>
        <v>284</v>
      </c>
      <c r="E13" s="139">
        <f t="shared" si="0"/>
        <v>155</v>
      </c>
      <c r="F13" s="139">
        <f t="shared" si="0"/>
        <v>149</v>
      </c>
      <c r="G13" s="139">
        <f t="shared" si="0"/>
        <v>87</v>
      </c>
      <c r="H13" s="139">
        <f t="shared" si="0"/>
        <v>74</v>
      </c>
      <c r="I13" s="139">
        <f t="shared" si="0"/>
        <v>16</v>
      </c>
      <c r="J13" s="139">
        <f t="shared" si="0"/>
        <v>4</v>
      </c>
    </row>
    <row r="14" spans="1:12" s="136" customFormat="1" ht="3.95" customHeight="1" x14ac:dyDescent="0.25">
      <c r="A14" s="138"/>
      <c r="B14" s="139"/>
      <c r="C14" s="139"/>
      <c r="D14" s="139"/>
      <c r="E14" s="139"/>
      <c r="F14" s="139"/>
      <c r="G14" s="139"/>
      <c r="H14" s="139"/>
      <c r="I14" s="139"/>
      <c r="J14" s="139"/>
    </row>
    <row r="15" spans="1:12" s="136" customFormat="1" ht="9" customHeight="1" x14ac:dyDescent="0.25">
      <c r="A15" s="140" t="s">
        <v>23</v>
      </c>
      <c r="B15" s="136">
        <v>19</v>
      </c>
      <c r="C15" s="136">
        <v>6</v>
      </c>
      <c r="D15" s="136">
        <v>2</v>
      </c>
      <c r="E15" s="136">
        <v>2</v>
      </c>
      <c r="F15" s="136">
        <v>1</v>
      </c>
      <c r="G15" s="136">
        <v>3</v>
      </c>
      <c r="H15" s="136">
        <v>1</v>
      </c>
      <c r="I15" s="137">
        <v>0</v>
      </c>
      <c r="J15" s="137">
        <v>0</v>
      </c>
    </row>
    <row r="16" spans="1:12" s="136" customFormat="1" ht="9" customHeight="1" x14ac:dyDescent="0.25">
      <c r="A16" s="140" t="s">
        <v>24</v>
      </c>
      <c r="B16" s="136">
        <v>39</v>
      </c>
      <c r="C16" s="136">
        <v>30</v>
      </c>
      <c r="D16" s="136">
        <v>4</v>
      </c>
      <c r="E16" s="136">
        <v>3</v>
      </c>
      <c r="F16" s="136">
        <v>4</v>
      </c>
      <c r="G16" s="136">
        <v>1</v>
      </c>
      <c r="H16" s="136">
        <v>3</v>
      </c>
      <c r="I16" s="137">
        <v>0</v>
      </c>
      <c r="J16" s="137">
        <v>0</v>
      </c>
    </row>
    <row r="17" spans="1:10" s="136" customFormat="1" ht="9" customHeight="1" x14ac:dyDescent="0.25">
      <c r="A17" s="140" t="s">
        <v>25</v>
      </c>
      <c r="B17" s="136">
        <v>28</v>
      </c>
      <c r="C17" s="136">
        <v>8</v>
      </c>
      <c r="D17" s="136">
        <v>5</v>
      </c>
      <c r="E17" s="136">
        <v>1</v>
      </c>
      <c r="F17" s="136">
        <v>1</v>
      </c>
      <c r="G17" s="136">
        <v>0</v>
      </c>
      <c r="H17" s="136">
        <v>1</v>
      </c>
      <c r="I17" s="137">
        <v>0</v>
      </c>
      <c r="J17" s="137">
        <v>0</v>
      </c>
    </row>
    <row r="18" spans="1:10" s="136" customFormat="1" ht="9" customHeight="1" x14ac:dyDescent="0.25">
      <c r="A18" s="141" t="s">
        <v>26</v>
      </c>
      <c r="B18" s="142">
        <v>13</v>
      </c>
      <c r="C18" s="142">
        <v>6</v>
      </c>
      <c r="D18" s="142">
        <v>2</v>
      </c>
      <c r="E18" s="142">
        <v>3</v>
      </c>
      <c r="F18" s="142">
        <v>3</v>
      </c>
      <c r="G18" s="142">
        <v>0</v>
      </c>
      <c r="H18" s="142">
        <v>2</v>
      </c>
      <c r="I18" s="143">
        <v>0</v>
      </c>
      <c r="J18" s="143">
        <v>0</v>
      </c>
    </row>
    <row r="19" spans="1:10" s="136" customFormat="1" ht="9" customHeight="1" x14ac:dyDescent="0.25">
      <c r="A19" s="140" t="s">
        <v>126</v>
      </c>
      <c r="B19" s="136">
        <v>53</v>
      </c>
      <c r="C19" s="136">
        <v>18</v>
      </c>
      <c r="D19" s="136">
        <v>12</v>
      </c>
      <c r="E19" s="136">
        <v>6</v>
      </c>
      <c r="F19" s="136">
        <v>6</v>
      </c>
      <c r="G19" s="136">
        <v>0</v>
      </c>
      <c r="H19" s="136">
        <v>3</v>
      </c>
      <c r="I19" s="136">
        <v>1</v>
      </c>
      <c r="J19" s="137">
        <v>0</v>
      </c>
    </row>
    <row r="20" spans="1:10" s="136" customFormat="1" ht="9" customHeight="1" x14ac:dyDescent="0.25">
      <c r="A20" s="140" t="s">
        <v>28</v>
      </c>
      <c r="B20" s="136">
        <v>19</v>
      </c>
      <c r="C20" s="136">
        <v>10</v>
      </c>
      <c r="D20" s="136">
        <v>1</v>
      </c>
      <c r="E20" s="136">
        <v>3</v>
      </c>
      <c r="F20" s="136">
        <v>3</v>
      </c>
      <c r="G20" s="136">
        <v>0</v>
      </c>
      <c r="H20" s="136">
        <v>2</v>
      </c>
      <c r="I20" s="137">
        <v>0</v>
      </c>
      <c r="J20" s="137">
        <v>0</v>
      </c>
    </row>
    <row r="21" spans="1:10" s="136" customFormat="1" ht="9" customHeight="1" x14ac:dyDescent="0.25">
      <c r="A21" s="140" t="s">
        <v>29</v>
      </c>
      <c r="B21" s="136">
        <v>13</v>
      </c>
      <c r="C21" s="136">
        <v>8</v>
      </c>
      <c r="D21" s="136">
        <v>2</v>
      </c>
      <c r="E21" s="136">
        <v>3</v>
      </c>
      <c r="F21" s="137">
        <v>4</v>
      </c>
      <c r="G21" s="136">
        <v>4</v>
      </c>
      <c r="H21" s="137">
        <v>0</v>
      </c>
      <c r="I21" s="136">
        <v>1</v>
      </c>
      <c r="J21" s="137">
        <v>0</v>
      </c>
    </row>
    <row r="22" spans="1:10" s="136" customFormat="1" ht="9" customHeight="1" x14ac:dyDescent="0.25">
      <c r="A22" s="141" t="s">
        <v>30</v>
      </c>
      <c r="B22" s="142">
        <v>34</v>
      </c>
      <c r="C22" s="142">
        <v>43</v>
      </c>
      <c r="D22" s="142">
        <v>8</v>
      </c>
      <c r="E22" s="142">
        <v>4</v>
      </c>
      <c r="F22" s="142">
        <v>6</v>
      </c>
      <c r="G22" s="142">
        <v>4</v>
      </c>
      <c r="H22" s="142">
        <v>1</v>
      </c>
      <c r="I22" s="142">
        <v>2</v>
      </c>
      <c r="J22" s="143">
        <v>0</v>
      </c>
    </row>
    <row r="23" spans="1:10" s="136" customFormat="1" ht="9" customHeight="1" x14ac:dyDescent="0.25">
      <c r="A23" s="140" t="s">
        <v>127</v>
      </c>
      <c r="B23" s="136">
        <v>167</v>
      </c>
      <c r="C23" s="136">
        <v>58</v>
      </c>
      <c r="D23" s="136">
        <v>51</v>
      </c>
      <c r="E23" s="136">
        <v>23</v>
      </c>
      <c r="F23" s="136">
        <v>7</v>
      </c>
      <c r="G23" s="136">
        <v>4</v>
      </c>
      <c r="H23" s="136">
        <v>11</v>
      </c>
      <c r="I23" s="136">
        <v>1</v>
      </c>
      <c r="J23" s="137">
        <v>0</v>
      </c>
    </row>
    <row r="24" spans="1:10" s="136" customFormat="1" ht="9" customHeight="1" x14ac:dyDescent="0.25">
      <c r="A24" s="140" t="s">
        <v>31</v>
      </c>
      <c r="B24" s="136">
        <v>34</v>
      </c>
      <c r="C24" s="136">
        <v>9</v>
      </c>
      <c r="D24" s="136">
        <v>2</v>
      </c>
      <c r="E24" s="136">
        <v>3</v>
      </c>
      <c r="F24" s="136">
        <v>2</v>
      </c>
      <c r="G24" s="136">
        <v>2</v>
      </c>
      <c r="H24" s="136">
        <v>1</v>
      </c>
      <c r="I24" s="137">
        <v>0</v>
      </c>
      <c r="J24" s="137">
        <v>0</v>
      </c>
    </row>
    <row r="25" spans="1:10" s="136" customFormat="1" ht="9" customHeight="1" x14ac:dyDescent="0.25">
      <c r="A25" s="140" t="s">
        <v>32</v>
      </c>
      <c r="B25" s="136">
        <v>21</v>
      </c>
      <c r="C25" s="136">
        <v>11</v>
      </c>
      <c r="D25" s="136">
        <v>9</v>
      </c>
      <c r="E25" s="136">
        <v>3</v>
      </c>
      <c r="F25" s="136">
        <v>4</v>
      </c>
      <c r="G25" s="136">
        <v>3</v>
      </c>
      <c r="H25" s="136">
        <v>1</v>
      </c>
      <c r="I25" s="137">
        <v>0</v>
      </c>
      <c r="J25" s="137">
        <v>0</v>
      </c>
    </row>
    <row r="26" spans="1:10" s="136" customFormat="1" ht="9" customHeight="1" x14ac:dyDescent="0.25">
      <c r="A26" s="141" t="s">
        <v>33</v>
      </c>
      <c r="B26" s="142">
        <v>26</v>
      </c>
      <c r="C26" s="142">
        <v>11</v>
      </c>
      <c r="D26" s="142">
        <v>4</v>
      </c>
      <c r="E26" s="142">
        <v>5</v>
      </c>
      <c r="F26" s="142">
        <v>5</v>
      </c>
      <c r="G26" s="142">
        <v>1</v>
      </c>
      <c r="H26" s="142">
        <v>4</v>
      </c>
      <c r="I26" s="143">
        <v>0</v>
      </c>
      <c r="J26" s="143">
        <v>0</v>
      </c>
    </row>
    <row r="27" spans="1:10" s="136" customFormat="1" ht="9" customHeight="1" x14ac:dyDescent="0.25">
      <c r="A27" s="140" t="s">
        <v>34</v>
      </c>
      <c r="B27" s="136">
        <v>16</v>
      </c>
      <c r="C27" s="136">
        <v>13</v>
      </c>
      <c r="D27" s="136">
        <v>3</v>
      </c>
      <c r="E27" s="136">
        <v>4</v>
      </c>
      <c r="F27" s="136">
        <v>5</v>
      </c>
      <c r="G27" s="136">
        <v>9</v>
      </c>
      <c r="H27" s="136">
        <v>1</v>
      </c>
      <c r="I27" s="136">
        <v>1</v>
      </c>
      <c r="J27" s="137">
        <v>0</v>
      </c>
    </row>
    <row r="28" spans="1:10" s="136" customFormat="1" ht="9" customHeight="1" x14ac:dyDescent="0.25">
      <c r="A28" s="140" t="s">
        <v>35</v>
      </c>
      <c r="B28" s="136">
        <v>76</v>
      </c>
      <c r="C28" s="136">
        <v>27</v>
      </c>
      <c r="D28" s="136">
        <v>12</v>
      </c>
      <c r="E28" s="136">
        <v>4</v>
      </c>
      <c r="F28" s="136">
        <v>10</v>
      </c>
      <c r="G28" s="136">
        <v>1</v>
      </c>
      <c r="H28" s="136">
        <v>3</v>
      </c>
      <c r="I28" s="136">
        <v>1</v>
      </c>
      <c r="J28" s="137">
        <v>0</v>
      </c>
    </row>
    <row r="29" spans="1:10" s="136" customFormat="1" ht="9" customHeight="1" x14ac:dyDescent="0.25">
      <c r="A29" s="140" t="s">
        <v>128</v>
      </c>
      <c r="B29" s="136">
        <v>96</v>
      </c>
      <c r="C29" s="136">
        <v>18</v>
      </c>
      <c r="D29" s="136">
        <v>34</v>
      </c>
      <c r="E29" s="136">
        <v>14</v>
      </c>
      <c r="F29" s="136">
        <v>4</v>
      </c>
      <c r="G29" s="136">
        <v>4</v>
      </c>
      <c r="H29" s="136">
        <v>2</v>
      </c>
      <c r="I29" s="136">
        <v>2</v>
      </c>
      <c r="J29" s="137">
        <v>0</v>
      </c>
    </row>
    <row r="30" spans="1:10" s="136" customFormat="1" ht="9" customHeight="1" x14ac:dyDescent="0.25">
      <c r="A30" s="141" t="s">
        <v>129</v>
      </c>
      <c r="B30" s="142">
        <v>36</v>
      </c>
      <c r="C30" s="142">
        <v>16</v>
      </c>
      <c r="D30" s="142">
        <v>4</v>
      </c>
      <c r="E30" s="142">
        <v>5</v>
      </c>
      <c r="F30" s="142">
        <v>6</v>
      </c>
      <c r="G30" s="142">
        <v>2</v>
      </c>
      <c r="H30" s="142">
        <v>1</v>
      </c>
      <c r="I30" s="143">
        <v>0</v>
      </c>
      <c r="J30" s="143">
        <v>0</v>
      </c>
    </row>
    <row r="31" spans="1:10" s="136" customFormat="1" ht="9" customHeight="1" x14ac:dyDescent="0.25">
      <c r="A31" s="140" t="s">
        <v>38</v>
      </c>
      <c r="B31" s="136">
        <v>73</v>
      </c>
      <c r="C31" s="136">
        <v>12</v>
      </c>
      <c r="D31" s="136">
        <v>9</v>
      </c>
      <c r="E31" s="136">
        <v>12</v>
      </c>
      <c r="F31" s="136">
        <v>3</v>
      </c>
      <c r="G31" s="136">
        <v>1</v>
      </c>
      <c r="H31" s="136">
        <v>9</v>
      </c>
      <c r="I31" s="137">
        <v>0</v>
      </c>
      <c r="J31" s="137">
        <v>1</v>
      </c>
    </row>
    <row r="32" spans="1:10" s="136" customFormat="1" ht="9" customHeight="1" x14ac:dyDescent="0.25">
      <c r="A32" s="140" t="s">
        <v>39</v>
      </c>
      <c r="B32" s="136">
        <v>12</v>
      </c>
      <c r="C32" s="136">
        <v>10</v>
      </c>
      <c r="D32" s="136">
        <v>9</v>
      </c>
      <c r="E32" s="136">
        <v>2</v>
      </c>
      <c r="F32" s="136">
        <v>5</v>
      </c>
      <c r="G32" s="136">
        <v>3</v>
      </c>
      <c r="H32" s="136">
        <v>1</v>
      </c>
      <c r="I32" s="137">
        <v>0</v>
      </c>
      <c r="J32" s="137">
        <v>0</v>
      </c>
    </row>
    <row r="33" spans="1:10" s="136" customFormat="1" ht="9" customHeight="1" x14ac:dyDescent="0.25">
      <c r="A33" s="140" t="s">
        <v>40</v>
      </c>
      <c r="B33" s="136">
        <v>45</v>
      </c>
      <c r="C33" s="136">
        <v>19</v>
      </c>
      <c r="D33" s="136">
        <v>11</v>
      </c>
      <c r="E33" s="136">
        <v>9</v>
      </c>
      <c r="F33" s="136">
        <v>8</v>
      </c>
      <c r="G33" s="136">
        <v>2</v>
      </c>
      <c r="H33" s="136">
        <v>5</v>
      </c>
      <c r="I33" s="136">
        <v>1</v>
      </c>
      <c r="J33" s="137">
        <v>0</v>
      </c>
    </row>
    <row r="34" spans="1:10" s="136" customFormat="1" ht="9" customHeight="1" x14ac:dyDescent="0.25">
      <c r="A34" s="141" t="s">
        <v>41</v>
      </c>
      <c r="B34" s="142">
        <v>18</v>
      </c>
      <c r="C34" s="142">
        <v>10</v>
      </c>
      <c r="D34" s="142">
        <v>9</v>
      </c>
      <c r="E34" s="142">
        <v>1</v>
      </c>
      <c r="F34" s="143">
        <v>8</v>
      </c>
      <c r="G34" s="142">
        <v>7</v>
      </c>
      <c r="H34" s="143">
        <v>0</v>
      </c>
      <c r="I34" s="142">
        <v>1</v>
      </c>
      <c r="J34" s="143">
        <v>0</v>
      </c>
    </row>
    <row r="35" spans="1:10" s="136" customFormat="1" ht="9" customHeight="1" x14ac:dyDescent="0.25">
      <c r="A35" s="140" t="s">
        <v>42</v>
      </c>
      <c r="B35" s="136">
        <v>45</v>
      </c>
      <c r="C35" s="136">
        <v>10</v>
      </c>
      <c r="D35" s="136">
        <v>11</v>
      </c>
      <c r="E35" s="136">
        <v>3</v>
      </c>
      <c r="F35" s="136">
        <v>3</v>
      </c>
      <c r="G35" s="136">
        <v>3</v>
      </c>
      <c r="H35" s="136">
        <v>1</v>
      </c>
      <c r="I35" s="136">
        <v>1</v>
      </c>
      <c r="J35" s="137">
        <v>1</v>
      </c>
    </row>
    <row r="36" spans="1:10" s="136" customFormat="1" ht="9" customHeight="1" x14ac:dyDescent="0.25">
      <c r="A36" s="140" t="s">
        <v>43</v>
      </c>
      <c r="B36" s="136">
        <v>18</v>
      </c>
      <c r="C36" s="136">
        <v>11</v>
      </c>
      <c r="D36" s="136">
        <v>12</v>
      </c>
      <c r="E36" s="136">
        <v>3</v>
      </c>
      <c r="F36" s="137">
        <v>2</v>
      </c>
      <c r="G36" s="136">
        <v>1</v>
      </c>
      <c r="H36" s="137">
        <v>1</v>
      </c>
      <c r="I36" s="136">
        <v>1</v>
      </c>
      <c r="J36" s="137">
        <v>0</v>
      </c>
    </row>
    <row r="37" spans="1:10" s="136" customFormat="1" ht="9" customHeight="1" x14ac:dyDescent="0.25">
      <c r="A37" s="140" t="s">
        <v>44</v>
      </c>
      <c r="B37" s="136">
        <v>22</v>
      </c>
      <c r="C37" s="136">
        <v>10</v>
      </c>
      <c r="D37" s="136">
        <v>2</v>
      </c>
      <c r="E37" s="136">
        <v>1</v>
      </c>
      <c r="F37" s="136">
        <v>3</v>
      </c>
      <c r="G37" s="136">
        <v>1</v>
      </c>
      <c r="H37" s="136">
        <v>1</v>
      </c>
      <c r="I37" s="137">
        <v>0</v>
      </c>
      <c r="J37" s="137">
        <v>0</v>
      </c>
    </row>
    <row r="38" spans="1:10" s="136" customFormat="1" ht="9" customHeight="1" x14ac:dyDescent="0.25">
      <c r="A38" s="141" t="s">
        <v>45</v>
      </c>
      <c r="B38" s="142">
        <v>13</v>
      </c>
      <c r="C38" s="142">
        <v>10</v>
      </c>
      <c r="D38" s="142">
        <v>3</v>
      </c>
      <c r="E38" s="142">
        <v>2</v>
      </c>
      <c r="F38" s="142">
        <v>2</v>
      </c>
      <c r="G38" s="142">
        <v>3</v>
      </c>
      <c r="H38" s="142">
        <v>1</v>
      </c>
      <c r="I38" s="142">
        <v>1</v>
      </c>
      <c r="J38" s="143">
        <v>0</v>
      </c>
    </row>
    <row r="39" spans="1:10" s="136" customFormat="1" ht="9" customHeight="1" x14ac:dyDescent="0.25">
      <c r="A39" s="140" t="s">
        <v>46</v>
      </c>
      <c r="B39" s="136">
        <v>145</v>
      </c>
      <c r="C39" s="136">
        <v>22</v>
      </c>
      <c r="D39" s="136">
        <v>12</v>
      </c>
      <c r="E39" s="136">
        <v>8</v>
      </c>
      <c r="F39" s="136">
        <v>7</v>
      </c>
      <c r="G39" s="136">
        <v>4</v>
      </c>
      <c r="H39" s="136">
        <v>6</v>
      </c>
      <c r="I39" s="137">
        <v>0</v>
      </c>
      <c r="J39" s="137">
        <v>0</v>
      </c>
    </row>
    <row r="40" spans="1:10" s="136" customFormat="1" ht="9" customHeight="1" x14ac:dyDescent="0.25">
      <c r="A40" s="140" t="s">
        <v>47</v>
      </c>
      <c r="B40" s="136">
        <v>46</v>
      </c>
      <c r="C40" s="136">
        <v>28</v>
      </c>
      <c r="D40" s="136">
        <v>7</v>
      </c>
      <c r="E40" s="136">
        <v>5</v>
      </c>
      <c r="F40" s="136">
        <v>9</v>
      </c>
      <c r="G40" s="136">
        <v>0</v>
      </c>
      <c r="H40" s="136">
        <v>2</v>
      </c>
      <c r="I40" s="137">
        <v>0</v>
      </c>
      <c r="J40" s="137">
        <v>0</v>
      </c>
    </row>
    <row r="41" spans="1:10" s="136" customFormat="1" ht="9" customHeight="1" x14ac:dyDescent="0.25">
      <c r="A41" s="140" t="s">
        <v>48</v>
      </c>
      <c r="B41" s="136">
        <v>10</v>
      </c>
      <c r="C41" s="136">
        <v>7</v>
      </c>
      <c r="D41" s="136">
        <v>4</v>
      </c>
      <c r="E41" s="136">
        <v>2</v>
      </c>
      <c r="F41" s="136">
        <v>2</v>
      </c>
      <c r="G41" s="136">
        <v>2</v>
      </c>
      <c r="H41" s="136">
        <v>1</v>
      </c>
      <c r="I41" s="137">
        <v>0</v>
      </c>
      <c r="J41" s="137">
        <v>0</v>
      </c>
    </row>
    <row r="42" spans="1:10" s="136" customFormat="1" ht="9" customHeight="1" x14ac:dyDescent="0.25">
      <c r="A42" s="141" t="s">
        <v>49</v>
      </c>
      <c r="B42" s="142">
        <v>44</v>
      </c>
      <c r="C42" s="142">
        <v>21</v>
      </c>
      <c r="D42" s="142">
        <v>11</v>
      </c>
      <c r="E42" s="142">
        <v>7</v>
      </c>
      <c r="F42" s="142">
        <v>4</v>
      </c>
      <c r="G42" s="142">
        <v>2</v>
      </c>
      <c r="H42" s="142">
        <v>2</v>
      </c>
      <c r="I42" s="143">
        <v>0</v>
      </c>
      <c r="J42" s="143">
        <v>0</v>
      </c>
    </row>
    <row r="43" spans="1:10" s="136" customFormat="1" ht="9" customHeight="1" x14ac:dyDescent="0.25">
      <c r="A43" s="140" t="s">
        <v>50</v>
      </c>
      <c r="B43" s="136">
        <v>21</v>
      </c>
      <c r="C43" s="136">
        <v>8</v>
      </c>
      <c r="D43" s="136">
        <v>12</v>
      </c>
      <c r="E43" s="136">
        <v>2</v>
      </c>
      <c r="F43" s="136">
        <v>1</v>
      </c>
      <c r="G43" s="136">
        <v>5</v>
      </c>
      <c r="H43" s="136">
        <v>1</v>
      </c>
      <c r="I43" s="137">
        <v>0</v>
      </c>
      <c r="J43" s="137">
        <v>2</v>
      </c>
    </row>
    <row r="44" spans="1:10" s="136" customFormat="1" ht="9" customHeight="1" x14ac:dyDescent="0.25">
      <c r="A44" s="140" t="s">
        <v>130</v>
      </c>
      <c r="B44" s="136">
        <v>142</v>
      </c>
      <c r="C44" s="136">
        <v>28</v>
      </c>
      <c r="D44" s="136">
        <v>11</v>
      </c>
      <c r="E44" s="136">
        <v>9</v>
      </c>
      <c r="F44" s="136">
        <v>11</v>
      </c>
      <c r="G44" s="136">
        <v>7</v>
      </c>
      <c r="H44" s="136">
        <v>4</v>
      </c>
      <c r="I44" s="136">
        <v>1</v>
      </c>
      <c r="J44" s="137">
        <v>0</v>
      </c>
    </row>
    <row r="45" spans="1:10" s="136" customFormat="1" ht="9" customHeight="1" x14ac:dyDescent="0.25">
      <c r="A45" s="140" t="s">
        <v>52</v>
      </c>
      <c r="B45" s="136">
        <v>34</v>
      </c>
      <c r="C45" s="136">
        <v>18</v>
      </c>
      <c r="D45" s="136">
        <v>3</v>
      </c>
      <c r="E45" s="136">
        <v>1</v>
      </c>
      <c r="F45" s="136">
        <v>3</v>
      </c>
      <c r="G45" s="136">
        <v>3</v>
      </c>
      <c r="H45" s="136">
        <v>1</v>
      </c>
      <c r="I45" s="136">
        <v>1</v>
      </c>
      <c r="J45" s="137">
        <v>0</v>
      </c>
    </row>
    <row r="46" spans="1:10" s="136" customFormat="1" ht="9" customHeight="1" x14ac:dyDescent="0.25">
      <c r="A46" s="141" t="s">
        <v>53</v>
      </c>
      <c r="B46" s="142">
        <v>11</v>
      </c>
      <c r="C46" s="142">
        <v>7</v>
      </c>
      <c r="D46" s="142">
        <v>3</v>
      </c>
      <c r="E46" s="141">
        <v>2</v>
      </c>
      <c r="F46" s="142">
        <v>7</v>
      </c>
      <c r="G46" s="141">
        <v>5</v>
      </c>
      <c r="H46" s="142">
        <v>1</v>
      </c>
      <c r="I46" s="143">
        <v>0</v>
      </c>
      <c r="J46" s="143">
        <v>0</v>
      </c>
    </row>
    <row r="47" spans="1:10" s="136" customFormat="1" ht="9" customHeight="1" x14ac:dyDescent="0.25">
      <c r="A47" s="144"/>
      <c r="B47" s="145"/>
      <c r="C47" s="145"/>
      <c r="D47" s="145"/>
      <c r="E47" s="144"/>
      <c r="F47" s="145"/>
      <c r="G47" s="144"/>
      <c r="H47" s="145"/>
      <c r="I47" s="146"/>
      <c r="J47" s="146"/>
    </row>
    <row r="48" spans="1:10" s="136" customFormat="1" ht="9" customHeight="1" x14ac:dyDescent="0.25">
      <c r="A48" s="135">
        <v>1998</v>
      </c>
      <c r="B48" s="140"/>
      <c r="C48" s="147"/>
      <c r="D48" s="147"/>
      <c r="E48" s="140"/>
      <c r="F48" s="140"/>
      <c r="G48" s="140"/>
      <c r="H48" s="140"/>
      <c r="I48" s="140"/>
      <c r="J48" s="140"/>
    </row>
    <row r="49" spans="1:10" s="136" customFormat="1" ht="9" customHeight="1" x14ac:dyDescent="0.25">
      <c r="A49" s="138" t="s">
        <v>13</v>
      </c>
      <c r="B49" s="148">
        <f t="shared" ref="B49:J49" si="1">SUM(B51:B82)</f>
        <v>1441</v>
      </c>
      <c r="C49" s="148">
        <f t="shared" si="1"/>
        <v>582</v>
      </c>
      <c r="D49" s="148">
        <f t="shared" si="1"/>
        <v>296</v>
      </c>
      <c r="E49" s="148">
        <f t="shared" si="1"/>
        <v>156</v>
      </c>
      <c r="F49" s="148">
        <f t="shared" si="1"/>
        <v>149</v>
      </c>
      <c r="G49" s="148">
        <f t="shared" si="1"/>
        <v>77</v>
      </c>
      <c r="H49" s="148">
        <f t="shared" si="1"/>
        <v>74</v>
      </c>
      <c r="I49" s="148">
        <f t="shared" si="1"/>
        <v>15</v>
      </c>
      <c r="J49" s="148">
        <f t="shared" si="1"/>
        <v>4</v>
      </c>
    </row>
    <row r="50" spans="1:10" s="136" customFormat="1" ht="3.95" customHeight="1" x14ac:dyDescent="0.25">
      <c r="A50" s="138"/>
      <c r="B50" s="148"/>
      <c r="C50" s="148"/>
      <c r="D50" s="148"/>
      <c r="E50" s="148"/>
      <c r="F50" s="148"/>
      <c r="G50" s="148"/>
      <c r="H50" s="148"/>
      <c r="I50" s="148"/>
      <c r="J50" s="148"/>
    </row>
    <row r="51" spans="1:10" s="136" customFormat="1" ht="9" customHeight="1" x14ac:dyDescent="0.25">
      <c r="A51" s="140" t="s">
        <v>23</v>
      </c>
      <c r="B51" s="147">
        <v>17</v>
      </c>
      <c r="C51" s="147">
        <v>8</v>
      </c>
      <c r="D51" s="147">
        <v>2</v>
      </c>
      <c r="E51" s="147">
        <v>2</v>
      </c>
      <c r="F51" s="147">
        <v>1</v>
      </c>
      <c r="G51" s="147">
        <v>0</v>
      </c>
      <c r="H51" s="147">
        <v>1</v>
      </c>
      <c r="I51" s="149">
        <v>0</v>
      </c>
      <c r="J51" s="149">
        <v>0</v>
      </c>
    </row>
    <row r="52" spans="1:10" s="136" customFormat="1" ht="9" customHeight="1" x14ac:dyDescent="0.25">
      <c r="A52" s="140" t="s">
        <v>24</v>
      </c>
      <c r="B52" s="147">
        <v>33</v>
      </c>
      <c r="C52" s="147">
        <v>33</v>
      </c>
      <c r="D52" s="147">
        <v>4</v>
      </c>
      <c r="E52" s="147">
        <v>3</v>
      </c>
      <c r="F52" s="147">
        <v>4</v>
      </c>
      <c r="G52" s="147">
        <v>1</v>
      </c>
      <c r="H52" s="147">
        <v>3</v>
      </c>
      <c r="I52" s="149">
        <v>0</v>
      </c>
      <c r="J52" s="149">
        <v>0</v>
      </c>
    </row>
    <row r="53" spans="1:10" s="136" customFormat="1" ht="9" customHeight="1" x14ac:dyDescent="0.25">
      <c r="A53" s="140" t="s">
        <v>25</v>
      </c>
      <c r="B53" s="147">
        <v>28</v>
      </c>
      <c r="C53" s="147">
        <v>8</v>
      </c>
      <c r="D53" s="147">
        <v>5</v>
      </c>
      <c r="E53" s="147">
        <v>1</v>
      </c>
      <c r="F53" s="147">
        <v>1</v>
      </c>
      <c r="G53" s="147">
        <v>0</v>
      </c>
      <c r="H53" s="147">
        <v>1</v>
      </c>
      <c r="I53" s="149">
        <v>0</v>
      </c>
      <c r="J53" s="149">
        <v>0</v>
      </c>
    </row>
    <row r="54" spans="1:10" s="136" customFormat="1" ht="9" customHeight="1" x14ac:dyDescent="0.25">
      <c r="A54" s="141" t="s">
        <v>26</v>
      </c>
      <c r="B54" s="150">
        <v>14</v>
      </c>
      <c r="C54" s="150">
        <v>6</v>
      </c>
      <c r="D54" s="150">
        <v>3</v>
      </c>
      <c r="E54" s="150">
        <v>3</v>
      </c>
      <c r="F54" s="150">
        <v>3</v>
      </c>
      <c r="G54" s="150">
        <v>0</v>
      </c>
      <c r="H54" s="150">
        <v>2</v>
      </c>
      <c r="I54" s="151">
        <v>0</v>
      </c>
      <c r="J54" s="151">
        <v>0</v>
      </c>
    </row>
    <row r="55" spans="1:10" s="136" customFormat="1" ht="9" customHeight="1" x14ac:dyDescent="0.25">
      <c r="A55" s="140" t="s">
        <v>126</v>
      </c>
      <c r="B55" s="147">
        <v>65</v>
      </c>
      <c r="C55" s="147">
        <v>22</v>
      </c>
      <c r="D55" s="147">
        <v>18</v>
      </c>
      <c r="E55" s="147">
        <v>4</v>
      </c>
      <c r="F55" s="147">
        <v>6</v>
      </c>
      <c r="G55" s="147">
        <v>0</v>
      </c>
      <c r="H55" s="147">
        <v>3</v>
      </c>
      <c r="I55" s="147">
        <v>1</v>
      </c>
      <c r="J55" s="149">
        <v>0</v>
      </c>
    </row>
    <row r="56" spans="1:10" s="136" customFormat="1" ht="9" customHeight="1" x14ac:dyDescent="0.25">
      <c r="A56" s="140" t="s">
        <v>28</v>
      </c>
      <c r="B56" s="147">
        <v>24</v>
      </c>
      <c r="C56" s="136">
        <v>11</v>
      </c>
      <c r="D56" s="136">
        <v>3</v>
      </c>
      <c r="E56" s="147">
        <v>4</v>
      </c>
      <c r="F56" s="147">
        <v>3</v>
      </c>
      <c r="G56" s="147">
        <v>0</v>
      </c>
      <c r="H56" s="147">
        <v>2</v>
      </c>
      <c r="I56" s="149">
        <v>0</v>
      </c>
      <c r="J56" s="149">
        <v>0</v>
      </c>
    </row>
    <row r="57" spans="1:10" s="136" customFormat="1" ht="9" customHeight="1" x14ac:dyDescent="0.25">
      <c r="A57" s="140" t="s">
        <v>29</v>
      </c>
      <c r="B57" s="147">
        <v>16</v>
      </c>
      <c r="C57" s="147">
        <v>8</v>
      </c>
      <c r="D57" s="147">
        <v>3</v>
      </c>
      <c r="E57" s="147">
        <v>2</v>
      </c>
      <c r="F57" s="149">
        <v>4</v>
      </c>
      <c r="G57" s="147">
        <v>4</v>
      </c>
      <c r="H57" s="149">
        <v>0</v>
      </c>
      <c r="I57" s="147">
        <v>1</v>
      </c>
      <c r="J57" s="149">
        <v>0</v>
      </c>
    </row>
    <row r="58" spans="1:10" s="136" customFormat="1" ht="9" customHeight="1" x14ac:dyDescent="0.25">
      <c r="A58" s="141" t="s">
        <v>30</v>
      </c>
      <c r="B58" s="150">
        <v>34</v>
      </c>
      <c r="C58" s="150">
        <v>46</v>
      </c>
      <c r="D58" s="150">
        <v>9</v>
      </c>
      <c r="E58" s="150">
        <v>4</v>
      </c>
      <c r="F58" s="150">
        <v>6</v>
      </c>
      <c r="G58" s="150">
        <v>2</v>
      </c>
      <c r="H58" s="150">
        <v>1</v>
      </c>
      <c r="I58" s="150">
        <v>2</v>
      </c>
      <c r="J58" s="151">
        <v>0</v>
      </c>
    </row>
    <row r="59" spans="1:10" s="136" customFormat="1" ht="9" customHeight="1" x14ac:dyDescent="0.25">
      <c r="A59" s="140" t="s">
        <v>127</v>
      </c>
      <c r="B59" s="147">
        <v>190</v>
      </c>
      <c r="C59" s="147">
        <v>61</v>
      </c>
      <c r="D59" s="147">
        <v>42</v>
      </c>
      <c r="E59" s="147">
        <v>23</v>
      </c>
      <c r="F59" s="147">
        <v>7</v>
      </c>
      <c r="G59" s="147">
        <v>4</v>
      </c>
      <c r="H59" s="147">
        <v>11</v>
      </c>
      <c r="I59" s="147">
        <v>1</v>
      </c>
      <c r="J59" s="149">
        <v>0</v>
      </c>
    </row>
    <row r="60" spans="1:10" s="136" customFormat="1" ht="9" customHeight="1" x14ac:dyDescent="0.25">
      <c r="A60" s="140" t="s">
        <v>31</v>
      </c>
      <c r="B60" s="147">
        <v>36</v>
      </c>
      <c r="C60" s="147">
        <v>10</v>
      </c>
      <c r="D60" s="147">
        <v>2</v>
      </c>
      <c r="E60" s="147">
        <v>3</v>
      </c>
      <c r="F60" s="147">
        <v>2</v>
      </c>
      <c r="G60" s="147">
        <v>2</v>
      </c>
      <c r="H60" s="147">
        <v>1</v>
      </c>
      <c r="I60" s="149">
        <v>0</v>
      </c>
      <c r="J60" s="149">
        <v>0</v>
      </c>
    </row>
    <row r="61" spans="1:10" s="136" customFormat="1" ht="9" customHeight="1" x14ac:dyDescent="0.25">
      <c r="A61" s="140" t="s">
        <v>32</v>
      </c>
      <c r="B61" s="147">
        <v>18</v>
      </c>
      <c r="C61" s="147">
        <v>13</v>
      </c>
      <c r="D61" s="147">
        <v>7</v>
      </c>
      <c r="E61" s="147">
        <v>3</v>
      </c>
      <c r="F61" s="147">
        <v>5</v>
      </c>
      <c r="G61" s="147">
        <v>4</v>
      </c>
      <c r="H61" s="147">
        <v>1</v>
      </c>
      <c r="I61" s="149">
        <v>0</v>
      </c>
      <c r="J61" s="149">
        <v>0</v>
      </c>
    </row>
    <row r="62" spans="1:10" s="136" customFormat="1" ht="9" customHeight="1" x14ac:dyDescent="0.25">
      <c r="A62" s="141" t="s">
        <v>33</v>
      </c>
      <c r="B62" s="150">
        <v>29</v>
      </c>
      <c r="C62" s="150">
        <v>11</v>
      </c>
      <c r="D62" s="150">
        <v>3</v>
      </c>
      <c r="E62" s="150">
        <v>5</v>
      </c>
      <c r="F62" s="150">
        <v>5</v>
      </c>
      <c r="G62" s="150">
        <v>1</v>
      </c>
      <c r="H62" s="150">
        <v>4</v>
      </c>
      <c r="I62" s="151">
        <v>0</v>
      </c>
      <c r="J62" s="151">
        <v>0</v>
      </c>
    </row>
    <row r="63" spans="1:10" s="136" customFormat="1" ht="9" customHeight="1" x14ac:dyDescent="0.25">
      <c r="A63" s="140" t="s">
        <v>34</v>
      </c>
      <c r="B63" s="147">
        <v>14</v>
      </c>
      <c r="C63" s="147">
        <v>14</v>
      </c>
      <c r="D63" s="147">
        <v>3</v>
      </c>
      <c r="E63" s="147">
        <v>5</v>
      </c>
      <c r="F63" s="147">
        <v>5</v>
      </c>
      <c r="G63" s="147">
        <v>9</v>
      </c>
      <c r="H63" s="147">
        <v>1</v>
      </c>
      <c r="I63" s="147">
        <v>1</v>
      </c>
      <c r="J63" s="149">
        <v>0</v>
      </c>
    </row>
    <row r="64" spans="1:10" s="136" customFormat="1" ht="9" customHeight="1" x14ac:dyDescent="0.25">
      <c r="A64" s="140" t="s">
        <v>35</v>
      </c>
      <c r="B64" s="147">
        <v>70</v>
      </c>
      <c r="C64" s="147">
        <v>28</v>
      </c>
      <c r="D64" s="147">
        <v>10</v>
      </c>
      <c r="E64" s="147">
        <v>4</v>
      </c>
      <c r="F64" s="147">
        <v>10</v>
      </c>
      <c r="G64" s="147">
        <v>1</v>
      </c>
      <c r="H64" s="147">
        <v>3</v>
      </c>
      <c r="I64" s="147">
        <v>1</v>
      </c>
      <c r="J64" s="149">
        <v>0</v>
      </c>
    </row>
    <row r="65" spans="1:10" s="136" customFormat="1" ht="9" customHeight="1" x14ac:dyDescent="0.25">
      <c r="A65" s="140" t="s">
        <v>128</v>
      </c>
      <c r="B65" s="147">
        <v>107</v>
      </c>
      <c r="C65" s="147">
        <v>19</v>
      </c>
      <c r="D65" s="147">
        <v>29</v>
      </c>
      <c r="E65" s="147">
        <v>16</v>
      </c>
      <c r="F65" s="147">
        <v>4</v>
      </c>
      <c r="G65" s="147">
        <v>4</v>
      </c>
      <c r="H65" s="147">
        <v>2</v>
      </c>
      <c r="I65" s="147">
        <v>2</v>
      </c>
      <c r="J65" s="149">
        <v>0</v>
      </c>
    </row>
    <row r="66" spans="1:10" s="136" customFormat="1" ht="9" customHeight="1" x14ac:dyDescent="0.25">
      <c r="A66" s="141" t="s">
        <v>129</v>
      </c>
      <c r="B66" s="150">
        <v>43</v>
      </c>
      <c r="C66" s="150">
        <v>17</v>
      </c>
      <c r="D66" s="150">
        <v>9</v>
      </c>
      <c r="E66" s="150">
        <v>6</v>
      </c>
      <c r="F66" s="150">
        <v>6</v>
      </c>
      <c r="G66" s="150">
        <v>2</v>
      </c>
      <c r="H66" s="150">
        <v>1</v>
      </c>
      <c r="I66" s="151">
        <v>0</v>
      </c>
      <c r="J66" s="151">
        <v>0</v>
      </c>
    </row>
    <row r="67" spans="1:10" s="136" customFormat="1" ht="9" customHeight="1" x14ac:dyDescent="0.25">
      <c r="A67" s="140" t="s">
        <v>38</v>
      </c>
      <c r="B67" s="147">
        <v>72</v>
      </c>
      <c r="C67" s="147">
        <v>14</v>
      </c>
      <c r="D67" s="147">
        <v>10</v>
      </c>
      <c r="E67" s="147">
        <v>12</v>
      </c>
      <c r="F67" s="147">
        <v>3</v>
      </c>
      <c r="G67" s="147">
        <v>1</v>
      </c>
      <c r="H67" s="147">
        <v>9</v>
      </c>
      <c r="I67" s="149">
        <v>0</v>
      </c>
      <c r="J67" s="147">
        <v>1</v>
      </c>
    </row>
    <row r="68" spans="1:10" s="136" customFormat="1" ht="9" customHeight="1" x14ac:dyDescent="0.25">
      <c r="A68" s="140" t="s">
        <v>39</v>
      </c>
      <c r="B68" s="147">
        <v>10</v>
      </c>
      <c r="C68" s="147">
        <v>10</v>
      </c>
      <c r="D68" s="147">
        <v>7</v>
      </c>
      <c r="E68" s="147">
        <v>2</v>
      </c>
      <c r="F68" s="147">
        <v>4</v>
      </c>
      <c r="G68" s="147">
        <v>3</v>
      </c>
      <c r="H68" s="147">
        <v>1</v>
      </c>
      <c r="I68" s="149">
        <v>0</v>
      </c>
      <c r="J68" s="149">
        <v>0</v>
      </c>
    </row>
    <row r="69" spans="1:10" s="136" customFormat="1" ht="9" customHeight="1" x14ac:dyDescent="0.25">
      <c r="A69" s="140" t="s">
        <v>40</v>
      </c>
      <c r="B69" s="147">
        <v>69</v>
      </c>
      <c r="C69" s="147">
        <v>27</v>
      </c>
      <c r="D69" s="147">
        <v>12</v>
      </c>
      <c r="E69" s="147">
        <v>10</v>
      </c>
      <c r="F69" s="147">
        <v>8</v>
      </c>
      <c r="G69" s="147">
        <v>1</v>
      </c>
      <c r="H69" s="147">
        <v>5</v>
      </c>
      <c r="I69" s="149">
        <v>0</v>
      </c>
      <c r="J69" s="149">
        <v>0</v>
      </c>
    </row>
    <row r="70" spans="1:10" s="136" customFormat="1" ht="9" customHeight="1" x14ac:dyDescent="0.25">
      <c r="A70" s="141" t="s">
        <v>41</v>
      </c>
      <c r="B70" s="150">
        <v>25</v>
      </c>
      <c r="C70" s="150">
        <v>10</v>
      </c>
      <c r="D70" s="150">
        <v>9</v>
      </c>
      <c r="E70" s="150">
        <v>1</v>
      </c>
      <c r="F70" s="151">
        <v>8</v>
      </c>
      <c r="G70" s="150">
        <v>7</v>
      </c>
      <c r="H70" s="151">
        <v>0</v>
      </c>
      <c r="I70" s="150">
        <v>1</v>
      </c>
      <c r="J70" s="151">
        <v>0</v>
      </c>
    </row>
    <row r="71" spans="1:10" s="136" customFormat="1" ht="9" customHeight="1" x14ac:dyDescent="0.25">
      <c r="A71" s="140" t="s">
        <v>42</v>
      </c>
      <c r="B71" s="147">
        <v>47</v>
      </c>
      <c r="C71" s="147">
        <v>11</v>
      </c>
      <c r="D71" s="147">
        <v>11</v>
      </c>
      <c r="E71" s="147">
        <v>3</v>
      </c>
      <c r="F71" s="147">
        <v>3</v>
      </c>
      <c r="G71" s="147">
        <v>0</v>
      </c>
      <c r="H71" s="147">
        <v>1</v>
      </c>
      <c r="I71" s="147">
        <v>1</v>
      </c>
      <c r="J71" s="149">
        <v>1</v>
      </c>
    </row>
    <row r="72" spans="1:10" s="136" customFormat="1" ht="9" customHeight="1" x14ac:dyDescent="0.25">
      <c r="A72" s="140" t="s">
        <v>43</v>
      </c>
      <c r="B72" s="147">
        <v>21</v>
      </c>
      <c r="C72" s="147">
        <v>12</v>
      </c>
      <c r="D72" s="147">
        <v>11</v>
      </c>
      <c r="E72" s="147">
        <v>2</v>
      </c>
      <c r="F72" s="147">
        <v>2</v>
      </c>
      <c r="G72" s="147">
        <v>1</v>
      </c>
      <c r="H72" s="147">
        <v>1</v>
      </c>
      <c r="I72" s="147">
        <v>1</v>
      </c>
      <c r="J72" s="149">
        <v>0</v>
      </c>
    </row>
    <row r="73" spans="1:10" s="136" customFormat="1" ht="9" customHeight="1" x14ac:dyDescent="0.25">
      <c r="A73" s="140" t="s">
        <v>44</v>
      </c>
      <c r="B73" s="147">
        <v>19</v>
      </c>
      <c r="C73" s="147">
        <v>11</v>
      </c>
      <c r="D73" s="147">
        <v>3</v>
      </c>
      <c r="E73" s="147">
        <v>1</v>
      </c>
      <c r="F73" s="147">
        <v>3</v>
      </c>
      <c r="G73" s="147">
        <v>1</v>
      </c>
      <c r="H73" s="147">
        <v>1</v>
      </c>
      <c r="I73" s="149">
        <v>0</v>
      </c>
      <c r="J73" s="149">
        <v>0</v>
      </c>
    </row>
    <row r="74" spans="1:10" s="136" customFormat="1" ht="9" customHeight="1" x14ac:dyDescent="0.25">
      <c r="A74" s="141" t="s">
        <v>45</v>
      </c>
      <c r="B74" s="150">
        <v>13</v>
      </c>
      <c r="C74" s="150">
        <v>13</v>
      </c>
      <c r="D74" s="150">
        <v>4</v>
      </c>
      <c r="E74" s="150">
        <v>2</v>
      </c>
      <c r="F74" s="150">
        <v>2</v>
      </c>
      <c r="G74" s="150">
        <v>3</v>
      </c>
      <c r="H74" s="150">
        <v>1</v>
      </c>
      <c r="I74" s="150">
        <v>1</v>
      </c>
      <c r="J74" s="151">
        <v>0</v>
      </c>
    </row>
    <row r="75" spans="1:10" s="136" customFormat="1" ht="9" customHeight="1" x14ac:dyDescent="0.25">
      <c r="A75" s="140" t="s">
        <v>46</v>
      </c>
      <c r="B75" s="147">
        <v>123</v>
      </c>
      <c r="C75" s="147">
        <v>22</v>
      </c>
      <c r="D75" s="147">
        <v>17</v>
      </c>
      <c r="E75" s="147">
        <v>8</v>
      </c>
      <c r="F75" s="147">
        <v>7</v>
      </c>
      <c r="G75" s="147">
        <v>4</v>
      </c>
      <c r="H75" s="147">
        <v>6</v>
      </c>
      <c r="I75" s="149">
        <v>0</v>
      </c>
      <c r="J75" s="149">
        <v>0</v>
      </c>
    </row>
    <row r="76" spans="1:10" s="136" customFormat="1" ht="9" customHeight="1" x14ac:dyDescent="0.25">
      <c r="A76" s="140" t="s">
        <v>47</v>
      </c>
      <c r="B76" s="147">
        <v>49</v>
      </c>
      <c r="C76" s="147">
        <v>37</v>
      </c>
      <c r="D76" s="147">
        <v>9</v>
      </c>
      <c r="E76" s="147">
        <v>5</v>
      </c>
      <c r="F76" s="147">
        <v>9</v>
      </c>
      <c r="G76" s="147">
        <v>0</v>
      </c>
      <c r="H76" s="147">
        <v>2</v>
      </c>
      <c r="I76" s="149">
        <v>0</v>
      </c>
      <c r="J76" s="149">
        <v>0</v>
      </c>
    </row>
    <row r="77" spans="1:10" s="136" customFormat="1" ht="9" customHeight="1" x14ac:dyDescent="0.25">
      <c r="A77" s="140" t="s">
        <v>48</v>
      </c>
      <c r="B77" s="147">
        <v>8</v>
      </c>
      <c r="C77" s="147">
        <v>8</v>
      </c>
      <c r="D77" s="147">
        <v>2</v>
      </c>
      <c r="E77" s="147">
        <v>2</v>
      </c>
      <c r="F77" s="147">
        <v>2</v>
      </c>
      <c r="G77" s="147">
        <v>0</v>
      </c>
      <c r="H77" s="147">
        <v>1</v>
      </c>
      <c r="I77" s="149">
        <v>0</v>
      </c>
      <c r="J77" s="149">
        <v>0</v>
      </c>
    </row>
    <row r="78" spans="1:10" s="136" customFormat="1" ht="9" customHeight="1" x14ac:dyDescent="0.25">
      <c r="A78" s="141" t="s">
        <v>49</v>
      </c>
      <c r="B78" s="150">
        <v>36</v>
      </c>
      <c r="C78" s="150">
        <v>24</v>
      </c>
      <c r="D78" s="150">
        <v>18</v>
      </c>
      <c r="E78" s="150">
        <v>6</v>
      </c>
      <c r="F78" s="150">
        <v>4</v>
      </c>
      <c r="G78" s="150">
        <v>2</v>
      </c>
      <c r="H78" s="150">
        <v>2</v>
      </c>
      <c r="I78" s="151">
        <v>0</v>
      </c>
      <c r="J78" s="151">
        <v>0</v>
      </c>
    </row>
    <row r="79" spans="1:10" s="136" customFormat="1" ht="9" customHeight="1" x14ac:dyDescent="0.25">
      <c r="A79" s="140" t="s">
        <v>50</v>
      </c>
      <c r="B79" s="147">
        <v>27</v>
      </c>
      <c r="C79" s="147">
        <v>8</v>
      </c>
      <c r="D79" s="147">
        <v>11</v>
      </c>
      <c r="E79" s="147">
        <v>2</v>
      </c>
      <c r="F79" s="147">
        <v>1</v>
      </c>
      <c r="G79" s="147">
        <v>5</v>
      </c>
      <c r="H79" s="147">
        <v>1</v>
      </c>
      <c r="I79" s="149">
        <v>0</v>
      </c>
      <c r="J79" s="147">
        <v>2</v>
      </c>
    </row>
    <row r="80" spans="1:10" s="136" customFormat="1" ht="9" customHeight="1" x14ac:dyDescent="0.25">
      <c r="A80" s="140" t="s">
        <v>130</v>
      </c>
      <c r="B80" s="147">
        <v>149</v>
      </c>
      <c r="C80" s="147">
        <v>33</v>
      </c>
      <c r="D80" s="147">
        <v>11</v>
      </c>
      <c r="E80" s="147">
        <v>9</v>
      </c>
      <c r="F80" s="147">
        <v>11</v>
      </c>
      <c r="G80" s="147">
        <v>7</v>
      </c>
      <c r="H80" s="147">
        <v>4</v>
      </c>
      <c r="I80" s="147">
        <v>1</v>
      </c>
      <c r="J80" s="149">
        <v>0</v>
      </c>
    </row>
    <row r="81" spans="1:10" s="136" customFormat="1" ht="9" customHeight="1" x14ac:dyDescent="0.25">
      <c r="A81" s="140" t="s">
        <v>52</v>
      </c>
      <c r="B81" s="147">
        <v>19</v>
      </c>
      <c r="C81" s="147">
        <v>18</v>
      </c>
      <c r="D81" s="147">
        <v>3</v>
      </c>
      <c r="E81" s="147">
        <v>1</v>
      </c>
      <c r="F81" s="147">
        <v>3</v>
      </c>
      <c r="G81" s="147">
        <v>3</v>
      </c>
      <c r="H81" s="147">
        <v>1</v>
      </c>
      <c r="I81" s="147">
        <v>1</v>
      </c>
      <c r="J81" s="149">
        <v>0</v>
      </c>
    </row>
    <row r="82" spans="1:10" s="136" customFormat="1" ht="9" customHeight="1" x14ac:dyDescent="0.25">
      <c r="A82" s="141" t="s">
        <v>53</v>
      </c>
      <c r="B82" s="150">
        <v>16</v>
      </c>
      <c r="C82" s="150">
        <v>9</v>
      </c>
      <c r="D82" s="150">
        <v>6</v>
      </c>
      <c r="E82" s="150">
        <v>2</v>
      </c>
      <c r="F82" s="150">
        <v>7</v>
      </c>
      <c r="G82" s="150">
        <v>5</v>
      </c>
      <c r="H82" s="150">
        <v>1</v>
      </c>
      <c r="I82" s="151">
        <v>0</v>
      </c>
      <c r="J82" s="151">
        <v>0</v>
      </c>
    </row>
    <row r="83" spans="1:10" s="136" customFormat="1" ht="9" customHeight="1" x14ac:dyDescent="0.25">
      <c r="A83" s="140"/>
      <c r="B83" s="147"/>
      <c r="C83" s="147"/>
      <c r="D83" s="147"/>
      <c r="E83" s="147"/>
      <c r="F83" s="147"/>
      <c r="G83" s="147"/>
      <c r="H83" s="147"/>
      <c r="I83" s="149"/>
      <c r="J83" s="149"/>
    </row>
    <row r="84" spans="1:10" s="136" customFormat="1" ht="9" customHeight="1" x14ac:dyDescent="0.25">
      <c r="A84" s="135">
        <v>1999</v>
      </c>
      <c r="B84" s="140"/>
      <c r="C84" s="147"/>
      <c r="D84" s="147"/>
      <c r="E84" s="140"/>
      <c r="F84" s="140"/>
      <c r="G84" s="140"/>
      <c r="H84" s="140"/>
      <c r="I84" s="140"/>
      <c r="J84" s="140"/>
    </row>
    <row r="85" spans="1:10" s="136" customFormat="1" ht="9" customHeight="1" x14ac:dyDescent="0.25">
      <c r="A85" s="138" t="s">
        <v>13</v>
      </c>
      <c r="B85" s="148">
        <f t="shared" ref="B85:J85" si="2">SUM(B87:B118)</f>
        <v>1502</v>
      </c>
      <c r="C85" s="148">
        <f t="shared" si="2"/>
        <v>692</v>
      </c>
      <c r="D85" s="148">
        <f t="shared" si="2"/>
        <v>305</v>
      </c>
      <c r="E85" s="148">
        <f t="shared" si="2"/>
        <v>159</v>
      </c>
      <c r="F85" s="148">
        <f t="shared" si="2"/>
        <v>149</v>
      </c>
      <c r="G85" s="148">
        <f t="shared" si="2"/>
        <v>81</v>
      </c>
      <c r="H85" s="148">
        <f t="shared" si="2"/>
        <v>75</v>
      </c>
      <c r="I85" s="148">
        <f t="shared" si="2"/>
        <v>15</v>
      </c>
      <c r="J85" s="148">
        <f t="shared" si="2"/>
        <v>4</v>
      </c>
    </row>
    <row r="86" spans="1:10" s="136" customFormat="1" ht="3.95" customHeight="1" x14ac:dyDescent="0.25">
      <c r="A86" s="138"/>
      <c r="B86" s="148"/>
      <c r="C86" s="148"/>
      <c r="D86" s="148"/>
      <c r="E86" s="148"/>
      <c r="F86" s="148"/>
      <c r="G86" s="148"/>
      <c r="H86" s="148"/>
      <c r="I86" s="148"/>
      <c r="J86" s="148"/>
    </row>
    <row r="87" spans="1:10" s="136" customFormat="1" ht="9" customHeight="1" x14ac:dyDescent="0.25">
      <c r="A87" s="140" t="s">
        <v>23</v>
      </c>
      <c r="B87" s="147">
        <v>11</v>
      </c>
      <c r="C87" s="147">
        <v>9</v>
      </c>
      <c r="D87" s="147">
        <v>2</v>
      </c>
      <c r="E87" s="147">
        <v>2</v>
      </c>
      <c r="F87" s="147">
        <v>1</v>
      </c>
      <c r="G87" s="147">
        <v>0</v>
      </c>
      <c r="H87" s="147">
        <v>1</v>
      </c>
      <c r="I87" s="149">
        <v>0</v>
      </c>
      <c r="J87" s="149">
        <v>0</v>
      </c>
    </row>
    <row r="88" spans="1:10" s="136" customFormat="1" ht="9" customHeight="1" x14ac:dyDescent="0.25">
      <c r="A88" s="140" t="s">
        <v>24</v>
      </c>
      <c r="B88" s="147">
        <v>52</v>
      </c>
      <c r="C88" s="147">
        <v>43</v>
      </c>
      <c r="D88" s="147">
        <v>4</v>
      </c>
      <c r="E88" s="147">
        <v>3</v>
      </c>
      <c r="F88" s="147">
        <v>4</v>
      </c>
      <c r="G88" s="147">
        <v>0</v>
      </c>
      <c r="H88" s="147">
        <v>3</v>
      </c>
      <c r="I88" s="149">
        <v>0</v>
      </c>
      <c r="J88" s="149">
        <v>0</v>
      </c>
    </row>
    <row r="89" spans="1:10" s="136" customFormat="1" ht="9" customHeight="1" x14ac:dyDescent="0.25">
      <c r="A89" s="140" t="s">
        <v>25</v>
      </c>
      <c r="B89" s="147">
        <v>23</v>
      </c>
      <c r="C89" s="147">
        <v>9</v>
      </c>
      <c r="D89" s="147">
        <v>5</v>
      </c>
      <c r="E89" s="147">
        <v>1</v>
      </c>
      <c r="F89" s="147">
        <v>1</v>
      </c>
      <c r="G89" s="147">
        <v>0</v>
      </c>
      <c r="H89" s="147">
        <v>1</v>
      </c>
      <c r="I89" s="149">
        <v>0</v>
      </c>
      <c r="J89" s="149">
        <v>0</v>
      </c>
    </row>
    <row r="90" spans="1:10" s="136" customFormat="1" ht="9" customHeight="1" x14ac:dyDescent="0.25">
      <c r="A90" s="141" t="s">
        <v>26</v>
      </c>
      <c r="B90" s="150">
        <v>15</v>
      </c>
      <c r="C90" s="150">
        <v>8</v>
      </c>
      <c r="D90" s="150">
        <v>3</v>
      </c>
      <c r="E90" s="150">
        <v>3</v>
      </c>
      <c r="F90" s="150">
        <v>3</v>
      </c>
      <c r="G90" s="150">
        <v>0</v>
      </c>
      <c r="H90" s="150">
        <v>2</v>
      </c>
      <c r="I90" s="151">
        <v>0</v>
      </c>
      <c r="J90" s="151">
        <v>0</v>
      </c>
    </row>
    <row r="91" spans="1:10" s="136" customFormat="1" ht="9" customHeight="1" x14ac:dyDescent="0.25">
      <c r="A91" s="140" t="s">
        <v>126</v>
      </c>
      <c r="B91" s="147">
        <v>67</v>
      </c>
      <c r="C91" s="147">
        <v>31</v>
      </c>
      <c r="D91" s="147">
        <v>18</v>
      </c>
      <c r="E91" s="147">
        <v>4</v>
      </c>
      <c r="F91" s="147">
        <v>6</v>
      </c>
      <c r="G91" s="147">
        <v>0</v>
      </c>
      <c r="H91" s="147">
        <v>3</v>
      </c>
      <c r="I91" s="147">
        <v>1</v>
      </c>
      <c r="J91" s="149">
        <v>0</v>
      </c>
    </row>
    <row r="92" spans="1:10" s="136" customFormat="1" ht="9" customHeight="1" x14ac:dyDescent="0.25">
      <c r="A92" s="140" t="s">
        <v>28</v>
      </c>
      <c r="B92" s="147">
        <v>23</v>
      </c>
      <c r="C92" s="136">
        <v>13</v>
      </c>
      <c r="D92" s="136">
        <v>5</v>
      </c>
      <c r="E92" s="147">
        <v>4</v>
      </c>
      <c r="F92" s="147">
        <v>3</v>
      </c>
      <c r="G92" s="147">
        <v>0</v>
      </c>
      <c r="H92" s="147">
        <v>2</v>
      </c>
      <c r="I92" s="149">
        <v>0</v>
      </c>
      <c r="J92" s="149">
        <v>0</v>
      </c>
    </row>
    <row r="93" spans="1:10" s="136" customFormat="1" ht="9" customHeight="1" x14ac:dyDescent="0.25">
      <c r="A93" s="140" t="s">
        <v>29</v>
      </c>
      <c r="B93" s="147">
        <v>13</v>
      </c>
      <c r="C93" s="147">
        <v>10</v>
      </c>
      <c r="D93" s="147">
        <v>3</v>
      </c>
      <c r="E93" s="147">
        <v>2</v>
      </c>
      <c r="F93" s="149">
        <v>4</v>
      </c>
      <c r="G93" s="147">
        <v>4</v>
      </c>
      <c r="H93" s="149">
        <v>0</v>
      </c>
      <c r="I93" s="147">
        <v>1</v>
      </c>
      <c r="J93" s="149">
        <v>0</v>
      </c>
    </row>
    <row r="94" spans="1:10" s="136" customFormat="1" ht="9" customHeight="1" x14ac:dyDescent="0.25">
      <c r="A94" s="141" t="s">
        <v>30</v>
      </c>
      <c r="B94" s="150">
        <v>35</v>
      </c>
      <c r="C94" s="150">
        <v>56</v>
      </c>
      <c r="D94" s="150">
        <v>9</v>
      </c>
      <c r="E94" s="150">
        <v>4</v>
      </c>
      <c r="F94" s="150">
        <v>6</v>
      </c>
      <c r="G94" s="150">
        <v>4</v>
      </c>
      <c r="H94" s="150">
        <v>1</v>
      </c>
      <c r="I94" s="150">
        <v>2</v>
      </c>
      <c r="J94" s="151">
        <v>0</v>
      </c>
    </row>
    <row r="95" spans="1:10" s="136" customFormat="1" ht="9" customHeight="1" x14ac:dyDescent="0.25">
      <c r="A95" s="140" t="s">
        <v>127</v>
      </c>
      <c r="B95" s="147">
        <v>199</v>
      </c>
      <c r="C95" s="147">
        <v>67</v>
      </c>
      <c r="D95" s="147">
        <v>43</v>
      </c>
      <c r="E95" s="147">
        <v>23</v>
      </c>
      <c r="F95" s="147">
        <v>7</v>
      </c>
      <c r="G95" s="147">
        <v>4</v>
      </c>
      <c r="H95" s="147">
        <v>11</v>
      </c>
      <c r="I95" s="147">
        <v>1</v>
      </c>
      <c r="J95" s="149">
        <v>0</v>
      </c>
    </row>
    <row r="96" spans="1:10" s="136" customFormat="1" ht="9" customHeight="1" x14ac:dyDescent="0.25">
      <c r="A96" s="140" t="s">
        <v>31</v>
      </c>
      <c r="B96" s="147">
        <v>37</v>
      </c>
      <c r="C96" s="147">
        <v>11</v>
      </c>
      <c r="D96" s="147">
        <v>2</v>
      </c>
      <c r="E96" s="147">
        <v>3</v>
      </c>
      <c r="F96" s="147">
        <v>2</v>
      </c>
      <c r="G96" s="147">
        <v>2</v>
      </c>
      <c r="H96" s="147">
        <v>1</v>
      </c>
      <c r="I96" s="149">
        <v>0</v>
      </c>
      <c r="J96" s="149">
        <v>0</v>
      </c>
    </row>
    <row r="97" spans="1:10" s="136" customFormat="1" ht="9" customHeight="1" x14ac:dyDescent="0.25">
      <c r="A97" s="140" t="s">
        <v>32</v>
      </c>
      <c r="B97" s="147">
        <v>19</v>
      </c>
      <c r="C97" s="147">
        <v>19</v>
      </c>
      <c r="D97" s="147">
        <v>7</v>
      </c>
      <c r="E97" s="147">
        <v>3</v>
      </c>
      <c r="F97" s="147">
        <v>5</v>
      </c>
      <c r="G97" s="147">
        <v>3</v>
      </c>
      <c r="H97" s="147">
        <v>1</v>
      </c>
      <c r="I97" s="149">
        <v>0</v>
      </c>
      <c r="J97" s="149">
        <v>0</v>
      </c>
    </row>
    <row r="98" spans="1:10" s="136" customFormat="1" ht="9" customHeight="1" x14ac:dyDescent="0.25">
      <c r="A98" s="141" t="s">
        <v>33</v>
      </c>
      <c r="B98" s="150">
        <v>37</v>
      </c>
      <c r="C98" s="150">
        <v>12</v>
      </c>
      <c r="D98" s="150">
        <v>3</v>
      </c>
      <c r="E98" s="150">
        <v>5</v>
      </c>
      <c r="F98" s="150">
        <v>5</v>
      </c>
      <c r="G98" s="150">
        <v>1</v>
      </c>
      <c r="H98" s="150">
        <v>4</v>
      </c>
      <c r="I98" s="151">
        <v>0</v>
      </c>
      <c r="J98" s="151">
        <v>0</v>
      </c>
    </row>
    <row r="99" spans="1:10" s="136" customFormat="1" ht="9" customHeight="1" x14ac:dyDescent="0.25">
      <c r="A99" s="140" t="s">
        <v>34</v>
      </c>
      <c r="B99" s="147">
        <v>16</v>
      </c>
      <c r="C99" s="147">
        <v>15</v>
      </c>
      <c r="D99" s="147">
        <v>3</v>
      </c>
      <c r="E99" s="147">
        <v>6</v>
      </c>
      <c r="F99" s="147">
        <v>5</v>
      </c>
      <c r="G99" s="147">
        <v>9</v>
      </c>
      <c r="H99" s="147">
        <v>1</v>
      </c>
      <c r="I99" s="147">
        <v>1</v>
      </c>
      <c r="J99" s="149">
        <v>0</v>
      </c>
    </row>
    <row r="100" spans="1:10" s="136" customFormat="1" ht="9" customHeight="1" x14ac:dyDescent="0.25">
      <c r="A100" s="140" t="s">
        <v>35</v>
      </c>
      <c r="B100" s="147">
        <v>74</v>
      </c>
      <c r="C100" s="147">
        <v>30</v>
      </c>
      <c r="D100" s="147">
        <v>10</v>
      </c>
      <c r="E100" s="147">
        <v>4</v>
      </c>
      <c r="F100" s="147">
        <v>10</v>
      </c>
      <c r="G100" s="147">
        <v>1</v>
      </c>
      <c r="H100" s="147">
        <v>3</v>
      </c>
      <c r="I100" s="147">
        <v>1</v>
      </c>
      <c r="J100" s="149">
        <v>0</v>
      </c>
    </row>
    <row r="101" spans="1:10" s="136" customFormat="1" ht="9" customHeight="1" x14ac:dyDescent="0.25">
      <c r="A101" s="140" t="s">
        <v>128</v>
      </c>
      <c r="B101" s="147">
        <v>106</v>
      </c>
      <c r="C101" s="147">
        <v>24</v>
      </c>
      <c r="D101" s="147">
        <v>31</v>
      </c>
      <c r="E101" s="147">
        <v>16</v>
      </c>
      <c r="F101" s="147">
        <v>4</v>
      </c>
      <c r="G101" s="147">
        <v>4</v>
      </c>
      <c r="H101" s="147">
        <v>2</v>
      </c>
      <c r="I101" s="147">
        <v>2</v>
      </c>
      <c r="J101" s="149">
        <v>0</v>
      </c>
    </row>
    <row r="102" spans="1:10" s="136" customFormat="1" ht="9" customHeight="1" x14ac:dyDescent="0.25">
      <c r="A102" s="141" t="s">
        <v>129</v>
      </c>
      <c r="B102" s="150">
        <v>33</v>
      </c>
      <c r="C102" s="150">
        <v>19</v>
      </c>
      <c r="D102" s="150">
        <v>9</v>
      </c>
      <c r="E102" s="150">
        <v>6</v>
      </c>
      <c r="F102" s="150">
        <v>6</v>
      </c>
      <c r="G102" s="150">
        <v>2</v>
      </c>
      <c r="H102" s="150">
        <v>1</v>
      </c>
      <c r="I102" s="151">
        <v>0</v>
      </c>
      <c r="J102" s="151">
        <v>0</v>
      </c>
    </row>
    <row r="103" spans="1:10" s="136" customFormat="1" ht="9" customHeight="1" x14ac:dyDescent="0.25">
      <c r="A103" s="140" t="s">
        <v>38</v>
      </c>
      <c r="B103" s="147">
        <v>81</v>
      </c>
      <c r="C103" s="147">
        <v>17</v>
      </c>
      <c r="D103" s="147">
        <v>11</v>
      </c>
      <c r="E103" s="147">
        <v>12</v>
      </c>
      <c r="F103" s="147">
        <v>3</v>
      </c>
      <c r="G103" s="147">
        <v>1</v>
      </c>
      <c r="H103" s="147">
        <v>9</v>
      </c>
      <c r="I103" s="149">
        <v>0</v>
      </c>
      <c r="J103" s="147">
        <v>1</v>
      </c>
    </row>
    <row r="104" spans="1:10" s="136" customFormat="1" ht="9" customHeight="1" x14ac:dyDescent="0.25">
      <c r="A104" s="140" t="s">
        <v>39</v>
      </c>
      <c r="B104" s="147">
        <v>9</v>
      </c>
      <c r="C104" s="147">
        <v>12</v>
      </c>
      <c r="D104" s="147">
        <v>7</v>
      </c>
      <c r="E104" s="147">
        <v>2</v>
      </c>
      <c r="F104" s="147">
        <v>5</v>
      </c>
      <c r="G104" s="147">
        <v>2</v>
      </c>
      <c r="H104" s="147">
        <v>1</v>
      </c>
      <c r="I104" s="149">
        <v>0</v>
      </c>
      <c r="J104" s="149">
        <v>0</v>
      </c>
    </row>
    <row r="105" spans="1:10" s="136" customFormat="1" ht="9" customHeight="1" x14ac:dyDescent="0.25">
      <c r="A105" s="140" t="s">
        <v>40</v>
      </c>
      <c r="B105" s="147">
        <v>83</v>
      </c>
      <c r="C105" s="147">
        <v>34</v>
      </c>
      <c r="D105" s="147">
        <v>13</v>
      </c>
      <c r="E105" s="147">
        <v>10</v>
      </c>
      <c r="F105" s="147">
        <v>8</v>
      </c>
      <c r="G105" s="147">
        <v>1</v>
      </c>
      <c r="H105" s="147">
        <v>5</v>
      </c>
      <c r="I105" s="149">
        <v>0</v>
      </c>
      <c r="J105" s="149">
        <v>0</v>
      </c>
    </row>
    <row r="106" spans="1:10" s="136" customFormat="1" ht="9" customHeight="1" x14ac:dyDescent="0.25">
      <c r="A106" s="141" t="s">
        <v>41</v>
      </c>
      <c r="B106" s="150">
        <v>28</v>
      </c>
      <c r="C106" s="150">
        <v>10</v>
      </c>
      <c r="D106" s="150">
        <v>9</v>
      </c>
      <c r="E106" s="150">
        <v>1</v>
      </c>
      <c r="F106" s="151">
        <v>7</v>
      </c>
      <c r="G106" s="150">
        <v>7</v>
      </c>
      <c r="H106" s="151">
        <v>0</v>
      </c>
      <c r="I106" s="150">
        <v>1</v>
      </c>
      <c r="J106" s="151">
        <v>0</v>
      </c>
    </row>
    <row r="107" spans="1:10" s="136" customFormat="1" ht="9" customHeight="1" x14ac:dyDescent="0.25">
      <c r="A107" s="140" t="s">
        <v>42</v>
      </c>
      <c r="B107" s="147">
        <v>53</v>
      </c>
      <c r="C107" s="147">
        <v>13</v>
      </c>
      <c r="D107" s="147">
        <v>11</v>
      </c>
      <c r="E107" s="147">
        <v>3</v>
      </c>
      <c r="F107" s="147">
        <v>3</v>
      </c>
      <c r="G107" s="147">
        <v>3</v>
      </c>
      <c r="H107" s="147">
        <v>1</v>
      </c>
      <c r="I107" s="147">
        <v>1</v>
      </c>
      <c r="J107" s="149">
        <v>1</v>
      </c>
    </row>
    <row r="108" spans="1:10" s="136" customFormat="1" ht="9" customHeight="1" x14ac:dyDescent="0.25">
      <c r="A108" s="140" t="s">
        <v>43</v>
      </c>
      <c r="B108" s="147">
        <v>17</v>
      </c>
      <c r="C108" s="147">
        <v>16</v>
      </c>
      <c r="D108" s="147">
        <v>11</v>
      </c>
      <c r="E108" s="147">
        <v>3</v>
      </c>
      <c r="F108" s="147">
        <v>2</v>
      </c>
      <c r="G108" s="147">
        <v>1</v>
      </c>
      <c r="H108" s="147">
        <v>1</v>
      </c>
      <c r="I108" s="147">
        <v>1</v>
      </c>
      <c r="J108" s="149">
        <v>0</v>
      </c>
    </row>
    <row r="109" spans="1:10" s="136" customFormat="1" ht="9" customHeight="1" x14ac:dyDescent="0.25">
      <c r="A109" s="140" t="s">
        <v>44</v>
      </c>
      <c r="B109" s="147">
        <v>17</v>
      </c>
      <c r="C109" s="147">
        <v>11</v>
      </c>
      <c r="D109" s="147">
        <v>3</v>
      </c>
      <c r="E109" s="147">
        <v>1</v>
      </c>
      <c r="F109" s="147">
        <v>3</v>
      </c>
      <c r="G109" s="147">
        <v>1</v>
      </c>
      <c r="H109" s="147">
        <v>1</v>
      </c>
      <c r="I109" s="149">
        <v>0</v>
      </c>
      <c r="J109" s="149">
        <v>0</v>
      </c>
    </row>
    <row r="110" spans="1:10" s="136" customFormat="1" ht="9" customHeight="1" x14ac:dyDescent="0.25">
      <c r="A110" s="141" t="s">
        <v>45</v>
      </c>
      <c r="B110" s="150">
        <v>11</v>
      </c>
      <c r="C110" s="150">
        <v>16</v>
      </c>
      <c r="D110" s="150">
        <v>4</v>
      </c>
      <c r="E110" s="150">
        <v>2</v>
      </c>
      <c r="F110" s="150">
        <v>2</v>
      </c>
      <c r="G110" s="150">
        <v>3</v>
      </c>
      <c r="H110" s="150">
        <v>1</v>
      </c>
      <c r="I110" s="150">
        <v>1</v>
      </c>
      <c r="J110" s="151">
        <v>0</v>
      </c>
    </row>
    <row r="111" spans="1:10" s="136" customFormat="1" ht="9" customHeight="1" x14ac:dyDescent="0.25">
      <c r="A111" s="140" t="s">
        <v>46</v>
      </c>
      <c r="B111" s="147">
        <v>120</v>
      </c>
      <c r="C111" s="147">
        <v>24</v>
      </c>
      <c r="D111" s="147">
        <v>17</v>
      </c>
      <c r="E111" s="147">
        <v>8</v>
      </c>
      <c r="F111" s="147">
        <v>7</v>
      </c>
      <c r="G111" s="147">
        <v>4</v>
      </c>
      <c r="H111" s="147">
        <v>7</v>
      </c>
      <c r="I111" s="149">
        <v>0</v>
      </c>
      <c r="J111" s="149">
        <v>0</v>
      </c>
    </row>
    <row r="112" spans="1:10" s="136" customFormat="1" ht="9" customHeight="1" x14ac:dyDescent="0.25">
      <c r="A112" s="140" t="s">
        <v>47</v>
      </c>
      <c r="B112" s="147">
        <v>61</v>
      </c>
      <c r="C112" s="147">
        <v>43</v>
      </c>
      <c r="D112" s="147">
        <v>9</v>
      </c>
      <c r="E112" s="147">
        <v>5</v>
      </c>
      <c r="F112" s="147">
        <v>9</v>
      </c>
      <c r="G112" s="147">
        <v>0</v>
      </c>
      <c r="H112" s="147">
        <v>2</v>
      </c>
      <c r="I112" s="149">
        <v>0</v>
      </c>
      <c r="J112" s="149">
        <v>0</v>
      </c>
    </row>
    <row r="113" spans="1:10" s="136" customFormat="1" ht="9" customHeight="1" x14ac:dyDescent="0.25">
      <c r="A113" s="140" t="s">
        <v>48</v>
      </c>
      <c r="B113" s="147">
        <v>12</v>
      </c>
      <c r="C113" s="147">
        <v>8</v>
      </c>
      <c r="D113" s="147">
        <v>2</v>
      </c>
      <c r="E113" s="147">
        <v>2</v>
      </c>
      <c r="F113" s="147">
        <v>2</v>
      </c>
      <c r="G113" s="147">
        <v>2</v>
      </c>
      <c r="H113" s="147">
        <v>1</v>
      </c>
      <c r="I113" s="149">
        <v>0</v>
      </c>
      <c r="J113" s="149">
        <v>0</v>
      </c>
    </row>
    <row r="114" spans="1:10" s="136" customFormat="1" ht="9" customHeight="1" x14ac:dyDescent="0.25">
      <c r="A114" s="141" t="s">
        <v>49</v>
      </c>
      <c r="B114" s="150">
        <v>23</v>
      </c>
      <c r="C114" s="150">
        <v>29</v>
      </c>
      <c r="D114" s="150">
        <v>18</v>
      </c>
      <c r="E114" s="150">
        <v>7</v>
      </c>
      <c r="F114" s="150">
        <v>4</v>
      </c>
      <c r="G114" s="150">
        <v>2</v>
      </c>
      <c r="H114" s="150">
        <v>2</v>
      </c>
      <c r="I114" s="151">
        <v>0</v>
      </c>
      <c r="J114" s="151">
        <v>0</v>
      </c>
    </row>
    <row r="115" spans="1:10" s="136" customFormat="1" ht="9" customHeight="1" x14ac:dyDescent="0.25">
      <c r="A115" s="140" t="s">
        <v>50</v>
      </c>
      <c r="B115" s="147">
        <v>29</v>
      </c>
      <c r="C115" s="147">
        <v>8</v>
      </c>
      <c r="D115" s="147">
        <v>11</v>
      </c>
      <c r="E115" s="147">
        <v>2</v>
      </c>
      <c r="F115" s="147">
        <v>1</v>
      </c>
      <c r="G115" s="147">
        <v>5</v>
      </c>
      <c r="H115" s="147">
        <v>1</v>
      </c>
      <c r="I115" s="149">
        <v>0</v>
      </c>
      <c r="J115" s="147">
        <v>2</v>
      </c>
    </row>
    <row r="116" spans="1:10" s="136" customFormat="1" ht="9" customHeight="1" x14ac:dyDescent="0.25">
      <c r="A116" s="140" t="s">
        <v>130</v>
      </c>
      <c r="B116" s="147">
        <v>164</v>
      </c>
      <c r="C116" s="147">
        <v>39</v>
      </c>
      <c r="D116" s="147">
        <v>11</v>
      </c>
      <c r="E116" s="147">
        <v>9</v>
      </c>
      <c r="F116" s="147">
        <v>11</v>
      </c>
      <c r="G116" s="147">
        <v>7</v>
      </c>
      <c r="H116" s="147">
        <v>4</v>
      </c>
      <c r="I116" s="147">
        <v>1</v>
      </c>
      <c r="J116" s="149">
        <v>0</v>
      </c>
    </row>
    <row r="117" spans="1:10" s="136" customFormat="1" ht="9" customHeight="1" x14ac:dyDescent="0.25">
      <c r="A117" s="140" t="s">
        <v>52</v>
      </c>
      <c r="B117" s="147">
        <v>18</v>
      </c>
      <c r="C117" s="147">
        <v>25</v>
      </c>
      <c r="D117" s="147">
        <v>3</v>
      </c>
      <c r="E117" s="147">
        <v>1</v>
      </c>
      <c r="F117" s="147">
        <v>3</v>
      </c>
      <c r="G117" s="147">
        <v>2</v>
      </c>
      <c r="H117" s="147">
        <v>1</v>
      </c>
      <c r="I117" s="147">
        <v>1</v>
      </c>
      <c r="J117" s="149">
        <v>0</v>
      </c>
    </row>
    <row r="118" spans="1:10" s="136" customFormat="1" ht="9" customHeight="1" x14ac:dyDescent="0.25">
      <c r="A118" s="141" t="s">
        <v>53</v>
      </c>
      <c r="B118" s="150">
        <v>16</v>
      </c>
      <c r="C118" s="150">
        <v>11</v>
      </c>
      <c r="D118" s="150">
        <v>8</v>
      </c>
      <c r="E118" s="150">
        <v>2</v>
      </c>
      <c r="F118" s="150">
        <v>7</v>
      </c>
      <c r="G118" s="150">
        <v>6</v>
      </c>
      <c r="H118" s="150">
        <v>1</v>
      </c>
      <c r="I118" s="151">
        <v>0</v>
      </c>
      <c r="J118" s="151">
        <v>0</v>
      </c>
    </row>
    <row r="119" spans="1:10" s="145" customFormat="1" ht="9" customHeight="1" x14ac:dyDescent="0.25">
      <c r="A119" s="144"/>
      <c r="B119" s="152"/>
      <c r="C119" s="152"/>
      <c r="D119" s="152"/>
      <c r="E119" s="152"/>
      <c r="F119" s="152"/>
      <c r="G119" s="152"/>
      <c r="H119" s="152"/>
      <c r="I119" s="153"/>
      <c r="J119" s="153"/>
    </row>
    <row r="120" spans="1:10" s="136" customFormat="1" ht="9" customHeight="1" x14ac:dyDescent="0.25">
      <c r="A120" s="135">
        <v>2000</v>
      </c>
      <c r="B120" s="140"/>
      <c r="C120" s="147"/>
      <c r="D120" s="147"/>
      <c r="E120" s="140"/>
      <c r="F120" s="140"/>
      <c r="G120" s="140"/>
      <c r="H120" s="140"/>
      <c r="I120" s="140"/>
      <c r="J120" s="140"/>
    </row>
    <row r="121" spans="1:10" s="136" customFormat="1" ht="9" customHeight="1" x14ac:dyDescent="0.25">
      <c r="A121" s="138" t="s">
        <v>13</v>
      </c>
      <c r="B121" s="148">
        <f t="shared" ref="B121:J121" si="3">SUM(B123:B154)</f>
        <v>1582</v>
      </c>
      <c r="C121" s="148">
        <f t="shared" si="3"/>
        <v>899</v>
      </c>
      <c r="D121" s="148">
        <f t="shared" si="3"/>
        <v>308</v>
      </c>
      <c r="E121" s="148">
        <f t="shared" si="3"/>
        <v>159</v>
      </c>
      <c r="F121" s="148">
        <f t="shared" si="3"/>
        <v>146</v>
      </c>
      <c r="G121" s="148">
        <f t="shared" si="3"/>
        <v>81</v>
      </c>
      <c r="H121" s="148">
        <f t="shared" si="3"/>
        <v>75</v>
      </c>
      <c r="I121" s="148">
        <f t="shared" si="3"/>
        <v>16</v>
      </c>
      <c r="J121" s="148">
        <f t="shared" si="3"/>
        <v>4</v>
      </c>
    </row>
    <row r="122" spans="1:10" s="136" customFormat="1" ht="3.95" customHeight="1" x14ac:dyDescent="0.25">
      <c r="A122" s="138"/>
      <c r="B122" s="148"/>
      <c r="C122" s="148"/>
      <c r="D122" s="148"/>
      <c r="E122" s="148"/>
      <c r="F122" s="148"/>
      <c r="G122" s="148"/>
      <c r="H122" s="148"/>
      <c r="I122" s="148"/>
      <c r="J122" s="148"/>
    </row>
    <row r="123" spans="1:10" s="136" customFormat="1" ht="9" customHeight="1" x14ac:dyDescent="0.25">
      <c r="A123" s="140" t="s">
        <v>23</v>
      </c>
      <c r="B123" s="147">
        <v>7</v>
      </c>
      <c r="C123" s="147">
        <v>14</v>
      </c>
      <c r="D123" s="147">
        <v>2</v>
      </c>
      <c r="E123" s="147">
        <v>2</v>
      </c>
      <c r="F123" s="147">
        <v>1</v>
      </c>
      <c r="G123" s="147">
        <v>0</v>
      </c>
      <c r="H123" s="147">
        <v>1</v>
      </c>
      <c r="I123" s="149">
        <v>0</v>
      </c>
      <c r="J123" s="149">
        <v>0</v>
      </c>
    </row>
    <row r="124" spans="1:10" s="136" customFormat="1" ht="9" customHeight="1" x14ac:dyDescent="0.25">
      <c r="A124" s="140" t="s">
        <v>24</v>
      </c>
      <c r="B124" s="147">
        <v>57</v>
      </c>
      <c r="C124" s="147">
        <v>66</v>
      </c>
      <c r="D124" s="147">
        <v>4</v>
      </c>
      <c r="E124" s="147">
        <v>3</v>
      </c>
      <c r="F124" s="147">
        <v>4</v>
      </c>
      <c r="G124" s="147">
        <v>0</v>
      </c>
      <c r="H124" s="147">
        <v>3</v>
      </c>
      <c r="I124" s="149">
        <v>0</v>
      </c>
      <c r="J124" s="149">
        <v>0</v>
      </c>
    </row>
    <row r="125" spans="1:10" s="136" customFormat="1" ht="9" customHeight="1" x14ac:dyDescent="0.25">
      <c r="A125" s="140" t="s">
        <v>25</v>
      </c>
      <c r="B125" s="147">
        <v>23</v>
      </c>
      <c r="C125" s="147">
        <v>11</v>
      </c>
      <c r="D125" s="147">
        <v>5</v>
      </c>
      <c r="E125" s="147">
        <v>1</v>
      </c>
      <c r="F125" s="147">
        <v>1</v>
      </c>
      <c r="G125" s="147">
        <v>0</v>
      </c>
      <c r="H125" s="147">
        <v>1</v>
      </c>
      <c r="I125" s="149">
        <v>0</v>
      </c>
      <c r="J125" s="149">
        <v>0</v>
      </c>
    </row>
    <row r="126" spans="1:10" s="136" customFormat="1" ht="9" customHeight="1" x14ac:dyDescent="0.25">
      <c r="A126" s="141" t="s">
        <v>26</v>
      </c>
      <c r="B126" s="150">
        <v>19</v>
      </c>
      <c r="C126" s="150">
        <v>8</v>
      </c>
      <c r="D126" s="150">
        <v>3</v>
      </c>
      <c r="E126" s="150">
        <v>3</v>
      </c>
      <c r="F126" s="150">
        <v>3</v>
      </c>
      <c r="G126" s="150">
        <v>0</v>
      </c>
      <c r="H126" s="150">
        <v>2</v>
      </c>
      <c r="I126" s="151">
        <v>0</v>
      </c>
      <c r="J126" s="151">
        <v>0</v>
      </c>
    </row>
    <row r="127" spans="1:10" s="136" customFormat="1" ht="9" customHeight="1" x14ac:dyDescent="0.25">
      <c r="A127" s="140" t="s">
        <v>126</v>
      </c>
      <c r="B127" s="147">
        <v>74</v>
      </c>
      <c r="C127" s="147">
        <v>39</v>
      </c>
      <c r="D127" s="147">
        <v>15</v>
      </c>
      <c r="E127" s="147">
        <v>4</v>
      </c>
      <c r="F127" s="147">
        <v>6</v>
      </c>
      <c r="G127" s="147">
        <v>0</v>
      </c>
      <c r="H127" s="147">
        <v>3</v>
      </c>
      <c r="I127" s="147">
        <v>1</v>
      </c>
      <c r="J127" s="149">
        <v>0</v>
      </c>
    </row>
    <row r="128" spans="1:10" s="136" customFormat="1" ht="9" customHeight="1" x14ac:dyDescent="0.25">
      <c r="A128" s="140" t="s">
        <v>28</v>
      </c>
      <c r="B128" s="147">
        <v>21</v>
      </c>
      <c r="C128" s="136">
        <v>17</v>
      </c>
      <c r="D128" s="136">
        <v>5</v>
      </c>
      <c r="E128" s="147">
        <v>4</v>
      </c>
      <c r="F128" s="147">
        <v>3</v>
      </c>
      <c r="G128" s="147">
        <v>0</v>
      </c>
      <c r="H128" s="147">
        <v>1</v>
      </c>
      <c r="I128" s="149">
        <v>0</v>
      </c>
      <c r="J128" s="149">
        <v>0</v>
      </c>
    </row>
    <row r="129" spans="1:10" s="136" customFormat="1" ht="9" customHeight="1" x14ac:dyDescent="0.25">
      <c r="A129" s="140" t="s">
        <v>29</v>
      </c>
      <c r="B129" s="147">
        <v>16</v>
      </c>
      <c r="C129" s="147">
        <v>12</v>
      </c>
      <c r="D129" s="147">
        <v>3</v>
      </c>
      <c r="E129" s="147">
        <v>2</v>
      </c>
      <c r="F129" s="149">
        <v>4</v>
      </c>
      <c r="G129" s="147">
        <v>4</v>
      </c>
      <c r="H129" s="149">
        <v>0</v>
      </c>
      <c r="I129" s="147">
        <v>1</v>
      </c>
      <c r="J129" s="149">
        <v>0</v>
      </c>
    </row>
    <row r="130" spans="1:10" s="136" customFormat="1" ht="9" customHeight="1" x14ac:dyDescent="0.25">
      <c r="A130" s="141" t="s">
        <v>30</v>
      </c>
      <c r="B130" s="150">
        <v>46</v>
      </c>
      <c r="C130" s="150">
        <v>68</v>
      </c>
      <c r="D130" s="150">
        <v>8</v>
      </c>
      <c r="E130" s="150">
        <v>4</v>
      </c>
      <c r="F130" s="150">
        <v>6</v>
      </c>
      <c r="G130" s="150">
        <v>4</v>
      </c>
      <c r="H130" s="150">
        <v>1</v>
      </c>
      <c r="I130" s="150">
        <v>2</v>
      </c>
      <c r="J130" s="151">
        <v>0</v>
      </c>
    </row>
    <row r="131" spans="1:10" s="136" customFormat="1" ht="9" customHeight="1" x14ac:dyDescent="0.25">
      <c r="A131" s="140" t="s">
        <v>127</v>
      </c>
      <c r="B131" s="147">
        <v>216</v>
      </c>
      <c r="C131" s="147">
        <v>84</v>
      </c>
      <c r="D131" s="147">
        <v>53</v>
      </c>
      <c r="E131" s="147">
        <v>23</v>
      </c>
      <c r="F131" s="147">
        <v>7</v>
      </c>
      <c r="G131" s="147">
        <v>4</v>
      </c>
      <c r="H131" s="147">
        <v>11</v>
      </c>
      <c r="I131" s="147">
        <v>1</v>
      </c>
      <c r="J131" s="149">
        <v>0</v>
      </c>
    </row>
    <row r="132" spans="1:10" s="136" customFormat="1" ht="9" customHeight="1" x14ac:dyDescent="0.25">
      <c r="A132" s="140" t="s">
        <v>31</v>
      </c>
      <c r="B132" s="147">
        <v>37</v>
      </c>
      <c r="C132" s="147">
        <v>12</v>
      </c>
      <c r="D132" s="147">
        <v>2</v>
      </c>
      <c r="E132" s="147">
        <v>3</v>
      </c>
      <c r="F132" s="147">
        <v>2</v>
      </c>
      <c r="G132" s="147">
        <v>2</v>
      </c>
      <c r="H132" s="147">
        <v>1</v>
      </c>
      <c r="I132" s="149">
        <v>0</v>
      </c>
      <c r="J132" s="149">
        <v>0</v>
      </c>
    </row>
    <row r="133" spans="1:10" s="136" customFormat="1" ht="9" customHeight="1" x14ac:dyDescent="0.25">
      <c r="A133" s="140" t="s">
        <v>32</v>
      </c>
      <c r="B133" s="147">
        <v>14</v>
      </c>
      <c r="C133" s="147">
        <v>23</v>
      </c>
      <c r="D133" s="147">
        <v>5</v>
      </c>
      <c r="E133" s="147">
        <v>3</v>
      </c>
      <c r="F133" s="147">
        <v>5</v>
      </c>
      <c r="G133" s="147">
        <v>3</v>
      </c>
      <c r="H133" s="147">
        <v>1</v>
      </c>
      <c r="I133" s="149">
        <v>0</v>
      </c>
      <c r="J133" s="149">
        <v>0</v>
      </c>
    </row>
    <row r="134" spans="1:10" s="136" customFormat="1" ht="9" customHeight="1" x14ac:dyDescent="0.25">
      <c r="A134" s="141" t="s">
        <v>33</v>
      </c>
      <c r="B134" s="150">
        <v>23</v>
      </c>
      <c r="C134" s="150">
        <v>14</v>
      </c>
      <c r="D134" s="150">
        <v>4</v>
      </c>
      <c r="E134" s="150">
        <v>5</v>
      </c>
      <c r="F134" s="150">
        <v>5</v>
      </c>
      <c r="G134" s="150">
        <v>1</v>
      </c>
      <c r="H134" s="150">
        <v>4</v>
      </c>
      <c r="I134" s="151">
        <v>0</v>
      </c>
      <c r="J134" s="151">
        <v>0</v>
      </c>
    </row>
    <row r="135" spans="1:10" s="136" customFormat="1" ht="9" customHeight="1" x14ac:dyDescent="0.25">
      <c r="A135" s="140" t="s">
        <v>34</v>
      </c>
      <c r="B135" s="147">
        <v>19</v>
      </c>
      <c r="C135" s="147">
        <v>19</v>
      </c>
      <c r="D135" s="147">
        <v>6</v>
      </c>
      <c r="E135" s="147">
        <v>6</v>
      </c>
      <c r="F135" s="147">
        <v>5</v>
      </c>
      <c r="G135" s="147">
        <v>9</v>
      </c>
      <c r="H135" s="147">
        <v>1</v>
      </c>
      <c r="I135" s="147">
        <v>1</v>
      </c>
      <c r="J135" s="149">
        <v>0</v>
      </c>
    </row>
    <row r="136" spans="1:10" s="136" customFormat="1" ht="9" customHeight="1" x14ac:dyDescent="0.25">
      <c r="A136" s="140" t="s">
        <v>35</v>
      </c>
      <c r="B136" s="147">
        <v>73</v>
      </c>
      <c r="C136" s="147">
        <v>39</v>
      </c>
      <c r="D136" s="147">
        <v>10</v>
      </c>
      <c r="E136" s="147">
        <v>4</v>
      </c>
      <c r="F136" s="147">
        <v>9</v>
      </c>
      <c r="G136" s="147">
        <v>1</v>
      </c>
      <c r="H136" s="147">
        <v>3</v>
      </c>
      <c r="I136" s="147">
        <v>1</v>
      </c>
      <c r="J136" s="149">
        <v>0</v>
      </c>
    </row>
    <row r="137" spans="1:10" s="136" customFormat="1" ht="9" customHeight="1" x14ac:dyDescent="0.25">
      <c r="A137" s="140" t="s">
        <v>128</v>
      </c>
      <c r="B137" s="147">
        <v>102</v>
      </c>
      <c r="C137" s="147">
        <v>43</v>
      </c>
      <c r="D137" s="147">
        <v>26</v>
      </c>
      <c r="E137" s="147">
        <v>16</v>
      </c>
      <c r="F137" s="147">
        <v>4</v>
      </c>
      <c r="G137" s="147">
        <v>4</v>
      </c>
      <c r="H137" s="147">
        <v>4</v>
      </c>
      <c r="I137" s="147">
        <v>2</v>
      </c>
      <c r="J137" s="149">
        <v>0</v>
      </c>
    </row>
    <row r="138" spans="1:10" s="136" customFormat="1" ht="9" customHeight="1" x14ac:dyDescent="0.25">
      <c r="A138" s="141" t="s">
        <v>129</v>
      </c>
      <c r="B138" s="150">
        <v>32</v>
      </c>
      <c r="C138" s="150">
        <v>23</v>
      </c>
      <c r="D138" s="150">
        <v>4</v>
      </c>
      <c r="E138" s="150">
        <v>6</v>
      </c>
      <c r="F138" s="150">
        <v>6</v>
      </c>
      <c r="G138" s="150">
        <v>2</v>
      </c>
      <c r="H138" s="150">
        <v>1</v>
      </c>
      <c r="I138" s="151">
        <v>0</v>
      </c>
      <c r="J138" s="151">
        <v>0</v>
      </c>
    </row>
    <row r="139" spans="1:10" s="136" customFormat="1" ht="9" customHeight="1" x14ac:dyDescent="0.25">
      <c r="A139" s="140" t="s">
        <v>38</v>
      </c>
      <c r="B139" s="147">
        <v>74</v>
      </c>
      <c r="C139" s="147">
        <v>23</v>
      </c>
      <c r="D139" s="147">
        <v>9</v>
      </c>
      <c r="E139" s="147">
        <v>12</v>
      </c>
      <c r="F139" s="147">
        <v>3</v>
      </c>
      <c r="G139" s="147">
        <v>1</v>
      </c>
      <c r="H139" s="147">
        <v>9</v>
      </c>
      <c r="I139" s="149">
        <v>0</v>
      </c>
      <c r="J139" s="147">
        <v>1</v>
      </c>
    </row>
    <row r="140" spans="1:10" s="136" customFormat="1" ht="9" customHeight="1" x14ac:dyDescent="0.25">
      <c r="A140" s="140" t="s">
        <v>39</v>
      </c>
      <c r="B140" s="147">
        <v>13</v>
      </c>
      <c r="C140" s="147">
        <v>13</v>
      </c>
      <c r="D140" s="147">
        <v>10</v>
      </c>
      <c r="E140" s="147">
        <v>2</v>
      </c>
      <c r="F140" s="147">
        <v>5</v>
      </c>
      <c r="G140" s="147">
        <v>2</v>
      </c>
      <c r="H140" s="147">
        <v>1</v>
      </c>
      <c r="I140" s="149">
        <v>0</v>
      </c>
      <c r="J140" s="149">
        <v>0</v>
      </c>
    </row>
    <row r="141" spans="1:10" s="136" customFormat="1" ht="9" customHeight="1" x14ac:dyDescent="0.25">
      <c r="A141" s="140" t="s">
        <v>40</v>
      </c>
      <c r="B141" s="147">
        <v>113</v>
      </c>
      <c r="C141" s="147">
        <v>58</v>
      </c>
      <c r="D141" s="147">
        <v>9</v>
      </c>
      <c r="E141" s="147">
        <v>10</v>
      </c>
      <c r="F141" s="147">
        <v>7</v>
      </c>
      <c r="G141" s="147">
        <v>1</v>
      </c>
      <c r="H141" s="147">
        <v>5</v>
      </c>
      <c r="I141" s="149">
        <v>1</v>
      </c>
      <c r="J141" s="149">
        <v>0</v>
      </c>
    </row>
    <row r="142" spans="1:10" s="136" customFormat="1" ht="9" customHeight="1" x14ac:dyDescent="0.25">
      <c r="A142" s="141" t="s">
        <v>41</v>
      </c>
      <c r="B142" s="150">
        <v>31</v>
      </c>
      <c r="C142" s="150">
        <v>14</v>
      </c>
      <c r="D142" s="150">
        <v>11</v>
      </c>
      <c r="E142" s="150">
        <v>1</v>
      </c>
      <c r="F142" s="151">
        <v>7</v>
      </c>
      <c r="G142" s="150">
        <v>7</v>
      </c>
      <c r="H142" s="151">
        <v>0</v>
      </c>
      <c r="I142" s="150">
        <v>1</v>
      </c>
      <c r="J142" s="151">
        <v>0</v>
      </c>
    </row>
    <row r="143" spans="1:10" s="136" customFormat="1" ht="9" customHeight="1" x14ac:dyDescent="0.25">
      <c r="A143" s="140" t="s">
        <v>42</v>
      </c>
      <c r="B143" s="147">
        <v>54</v>
      </c>
      <c r="C143" s="147">
        <v>27</v>
      </c>
      <c r="D143" s="147">
        <v>14</v>
      </c>
      <c r="E143" s="147">
        <v>3</v>
      </c>
      <c r="F143" s="147">
        <v>3</v>
      </c>
      <c r="G143" s="147">
        <v>3</v>
      </c>
      <c r="H143" s="147">
        <v>1</v>
      </c>
      <c r="I143" s="147">
        <v>1</v>
      </c>
      <c r="J143" s="149">
        <v>1</v>
      </c>
    </row>
    <row r="144" spans="1:10" s="136" customFormat="1" ht="9" customHeight="1" x14ac:dyDescent="0.25">
      <c r="A144" s="140" t="s">
        <v>43</v>
      </c>
      <c r="B144" s="147">
        <v>15</v>
      </c>
      <c r="C144" s="147">
        <v>17</v>
      </c>
      <c r="D144" s="147">
        <v>12</v>
      </c>
      <c r="E144" s="147">
        <v>3</v>
      </c>
      <c r="F144" s="147">
        <v>2</v>
      </c>
      <c r="G144" s="147">
        <v>1</v>
      </c>
      <c r="H144" s="147">
        <v>1</v>
      </c>
      <c r="I144" s="147">
        <v>1</v>
      </c>
      <c r="J144" s="149">
        <v>0</v>
      </c>
    </row>
    <row r="145" spans="1:10" s="136" customFormat="1" ht="9" customHeight="1" x14ac:dyDescent="0.25">
      <c r="A145" s="140" t="s">
        <v>44</v>
      </c>
      <c r="B145" s="147">
        <v>18</v>
      </c>
      <c r="C145" s="147">
        <v>12</v>
      </c>
      <c r="D145" s="147">
        <v>3</v>
      </c>
      <c r="E145" s="147">
        <v>1</v>
      </c>
      <c r="F145" s="147">
        <v>3</v>
      </c>
      <c r="G145" s="147">
        <v>1</v>
      </c>
      <c r="H145" s="147">
        <v>1</v>
      </c>
      <c r="I145" s="149">
        <v>0</v>
      </c>
      <c r="J145" s="149">
        <v>0</v>
      </c>
    </row>
    <row r="146" spans="1:10" s="136" customFormat="1" ht="9" customHeight="1" x14ac:dyDescent="0.25">
      <c r="A146" s="141" t="s">
        <v>45</v>
      </c>
      <c r="B146" s="150">
        <v>17</v>
      </c>
      <c r="C146" s="150">
        <v>18</v>
      </c>
      <c r="D146" s="150">
        <v>4</v>
      </c>
      <c r="E146" s="150">
        <v>2</v>
      </c>
      <c r="F146" s="150">
        <v>2</v>
      </c>
      <c r="G146" s="150">
        <v>3</v>
      </c>
      <c r="H146" s="150">
        <v>1</v>
      </c>
      <c r="I146" s="150">
        <v>1</v>
      </c>
      <c r="J146" s="151">
        <v>0</v>
      </c>
    </row>
    <row r="147" spans="1:10" s="136" customFormat="1" ht="9" customHeight="1" x14ac:dyDescent="0.25">
      <c r="A147" s="140" t="s">
        <v>46</v>
      </c>
      <c r="B147" s="147">
        <v>156</v>
      </c>
      <c r="C147" s="147">
        <v>29</v>
      </c>
      <c r="D147" s="147">
        <v>13</v>
      </c>
      <c r="E147" s="147">
        <v>8</v>
      </c>
      <c r="F147" s="147">
        <v>7</v>
      </c>
      <c r="G147" s="147">
        <v>4</v>
      </c>
      <c r="H147" s="147">
        <v>6</v>
      </c>
      <c r="I147" s="149">
        <v>0</v>
      </c>
      <c r="J147" s="149">
        <v>0</v>
      </c>
    </row>
    <row r="148" spans="1:10" s="136" customFormat="1" ht="9" customHeight="1" x14ac:dyDescent="0.25">
      <c r="A148" s="140" t="s">
        <v>47</v>
      </c>
      <c r="B148" s="147">
        <v>71</v>
      </c>
      <c r="C148" s="147">
        <v>53</v>
      </c>
      <c r="D148" s="147">
        <v>12</v>
      </c>
      <c r="E148" s="147">
        <v>5</v>
      </c>
      <c r="F148" s="147">
        <v>9</v>
      </c>
      <c r="G148" s="147">
        <v>0</v>
      </c>
      <c r="H148" s="147">
        <v>2</v>
      </c>
      <c r="I148" s="149">
        <v>0</v>
      </c>
      <c r="J148" s="149">
        <v>0</v>
      </c>
    </row>
    <row r="149" spans="1:10" s="136" customFormat="1" ht="9" customHeight="1" x14ac:dyDescent="0.25">
      <c r="A149" s="140" t="s">
        <v>48</v>
      </c>
      <c r="B149" s="147">
        <v>9</v>
      </c>
      <c r="C149" s="147">
        <v>10</v>
      </c>
      <c r="D149" s="147">
        <v>2</v>
      </c>
      <c r="E149" s="147">
        <v>2</v>
      </c>
      <c r="F149" s="147">
        <v>2</v>
      </c>
      <c r="G149" s="147">
        <v>2</v>
      </c>
      <c r="H149" s="147">
        <v>1</v>
      </c>
      <c r="I149" s="149">
        <v>0</v>
      </c>
      <c r="J149" s="149">
        <v>0</v>
      </c>
    </row>
    <row r="150" spans="1:10" s="136" customFormat="1" ht="9" customHeight="1" x14ac:dyDescent="0.25">
      <c r="A150" s="141" t="s">
        <v>49</v>
      </c>
      <c r="B150" s="150">
        <v>25</v>
      </c>
      <c r="C150" s="150">
        <v>35</v>
      </c>
      <c r="D150" s="150">
        <v>12</v>
      </c>
      <c r="E150" s="150">
        <v>7</v>
      </c>
      <c r="F150" s="150">
        <v>4</v>
      </c>
      <c r="G150" s="150">
        <v>2</v>
      </c>
      <c r="H150" s="150">
        <v>2</v>
      </c>
      <c r="I150" s="151">
        <v>0</v>
      </c>
      <c r="J150" s="151">
        <v>0</v>
      </c>
    </row>
    <row r="151" spans="1:10" s="136" customFormat="1" ht="9" customHeight="1" x14ac:dyDescent="0.25">
      <c r="A151" s="140" t="s">
        <v>50</v>
      </c>
      <c r="B151" s="147">
        <v>31</v>
      </c>
      <c r="C151" s="147">
        <v>9</v>
      </c>
      <c r="D151" s="147">
        <v>13</v>
      </c>
      <c r="E151" s="147">
        <v>2</v>
      </c>
      <c r="F151" s="147">
        <v>1</v>
      </c>
      <c r="G151" s="147">
        <v>5</v>
      </c>
      <c r="H151" s="147">
        <v>1</v>
      </c>
      <c r="I151" s="149">
        <v>0</v>
      </c>
      <c r="J151" s="149">
        <v>2</v>
      </c>
    </row>
    <row r="152" spans="1:10" s="136" customFormat="1" ht="9" customHeight="1" x14ac:dyDescent="0.25">
      <c r="A152" s="140" t="s">
        <v>130</v>
      </c>
      <c r="B152" s="147">
        <v>142</v>
      </c>
      <c r="C152" s="147">
        <v>45</v>
      </c>
      <c r="D152" s="147">
        <v>17</v>
      </c>
      <c r="E152" s="147">
        <v>9</v>
      </c>
      <c r="F152" s="147">
        <v>11</v>
      </c>
      <c r="G152" s="147">
        <v>7</v>
      </c>
      <c r="H152" s="147">
        <v>4</v>
      </c>
      <c r="I152" s="147">
        <v>1</v>
      </c>
      <c r="J152" s="147">
        <v>0</v>
      </c>
    </row>
    <row r="153" spans="1:10" s="136" customFormat="1" ht="9" customHeight="1" x14ac:dyDescent="0.25">
      <c r="A153" s="140" t="s">
        <v>52</v>
      </c>
      <c r="B153" s="147">
        <v>22</v>
      </c>
      <c r="C153" s="147">
        <v>28</v>
      </c>
      <c r="D153" s="147">
        <v>4</v>
      </c>
      <c r="E153" s="147">
        <v>1</v>
      </c>
      <c r="F153" s="147">
        <v>2</v>
      </c>
      <c r="G153" s="147">
        <v>2</v>
      </c>
      <c r="H153" s="147">
        <v>1</v>
      </c>
      <c r="I153" s="147">
        <v>1</v>
      </c>
      <c r="J153" s="149">
        <v>0</v>
      </c>
    </row>
    <row r="154" spans="1:10" s="136" customFormat="1" ht="9" customHeight="1" x14ac:dyDescent="0.25">
      <c r="A154" s="141" t="s">
        <v>53</v>
      </c>
      <c r="B154" s="150">
        <v>12</v>
      </c>
      <c r="C154" s="150">
        <v>16</v>
      </c>
      <c r="D154" s="150">
        <v>8</v>
      </c>
      <c r="E154" s="150">
        <v>2</v>
      </c>
      <c r="F154" s="150">
        <v>7</v>
      </c>
      <c r="G154" s="150">
        <v>6</v>
      </c>
      <c r="H154" s="150">
        <v>1</v>
      </c>
      <c r="I154" s="151">
        <v>0</v>
      </c>
      <c r="J154" s="151">
        <v>0</v>
      </c>
    </row>
    <row r="155" spans="1:10" s="124" customFormat="1" ht="9" customHeight="1" x14ac:dyDescent="0.25">
      <c r="A155" s="154"/>
      <c r="B155" s="122"/>
      <c r="C155" s="123"/>
      <c r="D155" s="123"/>
      <c r="E155" s="123"/>
      <c r="F155" s="123"/>
      <c r="G155" s="123"/>
      <c r="H155" s="123"/>
      <c r="I155" s="123"/>
      <c r="J155" s="155"/>
    </row>
    <row r="156" spans="1:10" s="136" customFormat="1" ht="9" customHeight="1" x14ac:dyDescent="0.25">
      <c r="A156" s="135">
        <v>2001</v>
      </c>
      <c r="B156" s="140"/>
      <c r="C156" s="147"/>
      <c r="D156" s="147"/>
      <c r="E156" s="140"/>
      <c r="F156" s="140"/>
      <c r="G156" s="140"/>
      <c r="H156" s="140"/>
      <c r="I156" s="140"/>
      <c r="J156" s="140"/>
    </row>
    <row r="157" spans="1:10" s="136" customFormat="1" ht="9" customHeight="1" x14ac:dyDescent="0.25">
      <c r="A157" s="138" t="s">
        <v>13</v>
      </c>
      <c r="B157" s="148">
        <f t="shared" ref="B157:J157" si="4">SUM(B159:B190)</f>
        <v>1686</v>
      </c>
      <c r="C157" s="148">
        <f t="shared" si="4"/>
        <v>1175</v>
      </c>
      <c r="D157" s="148">
        <f t="shared" si="4"/>
        <v>289</v>
      </c>
      <c r="E157" s="148">
        <f t="shared" si="4"/>
        <v>145</v>
      </c>
      <c r="F157" s="148">
        <f t="shared" si="4"/>
        <v>145</v>
      </c>
      <c r="G157" s="148">
        <f t="shared" si="4"/>
        <v>78</v>
      </c>
      <c r="H157" s="148">
        <f t="shared" si="4"/>
        <v>75</v>
      </c>
      <c r="I157" s="148">
        <f t="shared" si="4"/>
        <v>16</v>
      </c>
      <c r="J157" s="148">
        <f t="shared" si="4"/>
        <v>4</v>
      </c>
    </row>
    <row r="158" spans="1:10" s="136" customFormat="1" ht="3.95" customHeight="1" x14ac:dyDescent="0.25">
      <c r="A158" s="138"/>
      <c r="B158" s="148"/>
      <c r="C158" s="148"/>
      <c r="D158" s="148"/>
      <c r="E158" s="148"/>
      <c r="F158" s="148"/>
      <c r="G158" s="148"/>
      <c r="H158" s="148"/>
      <c r="I158" s="148"/>
      <c r="J158" s="148"/>
    </row>
    <row r="159" spans="1:10" s="136" customFormat="1" ht="9" customHeight="1" x14ac:dyDescent="0.25">
      <c r="A159" s="140" t="s">
        <v>23</v>
      </c>
      <c r="B159" s="147">
        <v>11</v>
      </c>
      <c r="C159" s="147">
        <v>20</v>
      </c>
      <c r="D159" s="147">
        <v>0</v>
      </c>
      <c r="E159" s="147">
        <v>3</v>
      </c>
      <c r="F159" s="147">
        <v>1</v>
      </c>
      <c r="G159" s="147">
        <v>0</v>
      </c>
      <c r="H159" s="147">
        <v>1</v>
      </c>
      <c r="I159" s="149">
        <v>0</v>
      </c>
      <c r="J159" s="149">
        <v>0</v>
      </c>
    </row>
    <row r="160" spans="1:10" s="136" customFormat="1" ht="9" customHeight="1" x14ac:dyDescent="0.25">
      <c r="A160" s="140" t="s">
        <v>24</v>
      </c>
      <c r="B160" s="147">
        <v>60</v>
      </c>
      <c r="C160" s="147">
        <v>77</v>
      </c>
      <c r="D160" s="147">
        <v>11</v>
      </c>
      <c r="E160" s="147">
        <v>3</v>
      </c>
      <c r="F160" s="147">
        <v>4</v>
      </c>
      <c r="G160" s="147">
        <v>0</v>
      </c>
      <c r="H160" s="147">
        <v>3</v>
      </c>
      <c r="I160" s="149">
        <v>0</v>
      </c>
      <c r="J160" s="149">
        <v>0</v>
      </c>
    </row>
    <row r="161" spans="1:10" s="136" customFormat="1" ht="9" customHeight="1" x14ac:dyDescent="0.25">
      <c r="A161" s="140" t="s">
        <v>25</v>
      </c>
      <c r="B161" s="147">
        <v>31</v>
      </c>
      <c r="C161" s="147">
        <v>13</v>
      </c>
      <c r="D161" s="147">
        <v>0</v>
      </c>
      <c r="E161" s="147">
        <v>1</v>
      </c>
      <c r="F161" s="147">
        <v>1</v>
      </c>
      <c r="G161" s="147">
        <v>0</v>
      </c>
      <c r="H161" s="147">
        <v>1</v>
      </c>
      <c r="I161" s="149">
        <v>0</v>
      </c>
      <c r="J161" s="149">
        <v>0</v>
      </c>
    </row>
    <row r="162" spans="1:10" s="136" customFormat="1" ht="9" customHeight="1" x14ac:dyDescent="0.25">
      <c r="A162" s="141" t="s">
        <v>26</v>
      </c>
      <c r="B162" s="150">
        <v>21</v>
      </c>
      <c r="C162" s="150">
        <v>10</v>
      </c>
      <c r="D162" s="150">
        <v>4</v>
      </c>
      <c r="E162" s="150">
        <v>3</v>
      </c>
      <c r="F162" s="150">
        <v>3</v>
      </c>
      <c r="G162" s="150">
        <v>0</v>
      </c>
      <c r="H162" s="150">
        <v>2</v>
      </c>
      <c r="I162" s="151">
        <v>0</v>
      </c>
      <c r="J162" s="151">
        <v>0</v>
      </c>
    </row>
    <row r="163" spans="1:10" s="136" customFormat="1" ht="9" customHeight="1" x14ac:dyDescent="0.25">
      <c r="A163" s="140" t="s">
        <v>126</v>
      </c>
      <c r="B163" s="147">
        <v>63</v>
      </c>
      <c r="C163" s="147">
        <v>52</v>
      </c>
      <c r="D163" s="147">
        <v>15</v>
      </c>
      <c r="E163" s="147">
        <v>4</v>
      </c>
      <c r="F163" s="147">
        <v>6</v>
      </c>
      <c r="G163" s="147">
        <v>0</v>
      </c>
      <c r="H163" s="147">
        <v>3</v>
      </c>
      <c r="I163" s="147">
        <v>1</v>
      </c>
      <c r="J163" s="149">
        <v>0</v>
      </c>
    </row>
    <row r="164" spans="1:10" s="136" customFormat="1" ht="9" customHeight="1" x14ac:dyDescent="0.25">
      <c r="A164" s="140" t="s">
        <v>28</v>
      </c>
      <c r="B164" s="147">
        <v>25</v>
      </c>
      <c r="C164" s="136">
        <v>20</v>
      </c>
      <c r="D164" s="136">
        <v>6</v>
      </c>
      <c r="E164" s="147">
        <v>3</v>
      </c>
      <c r="F164" s="147">
        <v>3</v>
      </c>
      <c r="G164" s="147">
        <v>0</v>
      </c>
      <c r="H164" s="147">
        <v>1</v>
      </c>
      <c r="I164" s="149">
        <v>0</v>
      </c>
      <c r="J164" s="149">
        <v>0</v>
      </c>
    </row>
    <row r="165" spans="1:10" s="136" customFormat="1" ht="9" customHeight="1" x14ac:dyDescent="0.25">
      <c r="A165" s="140" t="s">
        <v>29</v>
      </c>
      <c r="B165" s="147">
        <v>17</v>
      </c>
      <c r="C165" s="147">
        <v>14</v>
      </c>
      <c r="D165" s="147">
        <v>5</v>
      </c>
      <c r="E165" s="147">
        <v>2</v>
      </c>
      <c r="F165" s="149">
        <v>4</v>
      </c>
      <c r="G165" s="147">
        <v>4</v>
      </c>
      <c r="H165" s="149">
        <v>0</v>
      </c>
      <c r="I165" s="147">
        <v>1</v>
      </c>
      <c r="J165" s="149">
        <v>0</v>
      </c>
    </row>
    <row r="166" spans="1:10" s="136" customFormat="1" ht="9" customHeight="1" x14ac:dyDescent="0.25">
      <c r="A166" s="141" t="s">
        <v>30</v>
      </c>
      <c r="B166" s="150">
        <v>32</v>
      </c>
      <c r="C166" s="150">
        <v>93</v>
      </c>
      <c r="D166" s="150">
        <v>6</v>
      </c>
      <c r="E166" s="150">
        <v>4</v>
      </c>
      <c r="F166" s="150">
        <v>6</v>
      </c>
      <c r="G166" s="150">
        <v>3</v>
      </c>
      <c r="H166" s="150">
        <v>1</v>
      </c>
      <c r="I166" s="150">
        <v>2</v>
      </c>
      <c r="J166" s="151">
        <v>0</v>
      </c>
    </row>
    <row r="167" spans="1:10" s="136" customFormat="1" ht="9" customHeight="1" x14ac:dyDescent="0.25">
      <c r="A167" s="140" t="s">
        <v>127</v>
      </c>
      <c r="B167" s="147">
        <v>231</v>
      </c>
      <c r="C167" s="147">
        <v>112</v>
      </c>
      <c r="D167" s="147">
        <v>64</v>
      </c>
      <c r="E167" s="147">
        <v>23</v>
      </c>
      <c r="F167" s="147">
        <v>7</v>
      </c>
      <c r="G167" s="147">
        <v>4</v>
      </c>
      <c r="H167" s="147">
        <v>11</v>
      </c>
      <c r="I167" s="147">
        <v>1</v>
      </c>
      <c r="J167" s="149">
        <v>0</v>
      </c>
    </row>
    <row r="168" spans="1:10" s="136" customFormat="1" ht="9" customHeight="1" x14ac:dyDescent="0.25">
      <c r="A168" s="140" t="s">
        <v>31</v>
      </c>
      <c r="B168" s="147">
        <v>39</v>
      </c>
      <c r="C168" s="147">
        <v>15</v>
      </c>
      <c r="D168" s="147">
        <v>5</v>
      </c>
      <c r="E168" s="147">
        <v>2</v>
      </c>
      <c r="F168" s="147">
        <v>2</v>
      </c>
      <c r="G168" s="147">
        <v>2</v>
      </c>
      <c r="H168" s="147">
        <v>1</v>
      </c>
      <c r="I168" s="149">
        <v>0</v>
      </c>
      <c r="J168" s="149">
        <v>0</v>
      </c>
    </row>
    <row r="169" spans="1:10" s="136" customFormat="1" ht="9" customHeight="1" x14ac:dyDescent="0.25">
      <c r="A169" s="140" t="s">
        <v>32</v>
      </c>
      <c r="B169" s="147">
        <v>15</v>
      </c>
      <c r="C169" s="147">
        <v>34</v>
      </c>
      <c r="D169" s="147">
        <v>5</v>
      </c>
      <c r="E169" s="147">
        <v>2</v>
      </c>
      <c r="F169" s="147">
        <v>5</v>
      </c>
      <c r="G169" s="147">
        <v>3</v>
      </c>
      <c r="H169" s="147">
        <v>1</v>
      </c>
      <c r="I169" s="149">
        <v>0</v>
      </c>
      <c r="J169" s="149">
        <v>0</v>
      </c>
    </row>
    <row r="170" spans="1:10" s="136" customFormat="1" ht="9" customHeight="1" x14ac:dyDescent="0.25">
      <c r="A170" s="141" t="s">
        <v>33</v>
      </c>
      <c r="B170" s="150">
        <v>27</v>
      </c>
      <c r="C170" s="150">
        <v>17</v>
      </c>
      <c r="D170" s="150">
        <v>2</v>
      </c>
      <c r="E170" s="150">
        <v>5</v>
      </c>
      <c r="F170" s="150">
        <v>5</v>
      </c>
      <c r="G170" s="150">
        <v>1</v>
      </c>
      <c r="H170" s="150">
        <v>4</v>
      </c>
      <c r="I170" s="151">
        <v>0</v>
      </c>
      <c r="J170" s="151">
        <v>0</v>
      </c>
    </row>
    <row r="171" spans="1:10" s="136" customFormat="1" ht="9" customHeight="1" x14ac:dyDescent="0.25">
      <c r="A171" s="140" t="s">
        <v>34</v>
      </c>
      <c r="B171" s="147">
        <v>24</v>
      </c>
      <c r="C171" s="147">
        <v>22</v>
      </c>
      <c r="D171" s="147">
        <v>7</v>
      </c>
      <c r="E171" s="147">
        <v>4</v>
      </c>
      <c r="F171" s="147">
        <v>5</v>
      </c>
      <c r="G171" s="147">
        <v>9</v>
      </c>
      <c r="H171" s="147">
        <v>1</v>
      </c>
      <c r="I171" s="147">
        <v>1</v>
      </c>
      <c r="J171" s="149">
        <v>0</v>
      </c>
    </row>
    <row r="172" spans="1:10" s="136" customFormat="1" ht="9" customHeight="1" x14ac:dyDescent="0.25">
      <c r="A172" s="140" t="s">
        <v>35</v>
      </c>
      <c r="B172" s="147">
        <v>88</v>
      </c>
      <c r="C172" s="147">
        <v>58</v>
      </c>
      <c r="D172" s="147">
        <v>10</v>
      </c>
      <c r="E172" s="147">
        <v>4</v>
      </c>
      <c r="F172" s="147">
        <v>9</v>
      </c>
      <c r="G172" s="147">
        <v>1</v>
      </c>
      <c r="H172" s="147">
        <v>3</v>
      </c>
      <c r="I172" s="147">
        <v>1</v>
      </c>
      <c r="J172" s="149">
        <v>0</v>
      </c>
    </row>
    <row r="173" spans="1:10" s="136" customFormat="1" ht="9" customHeight="1" x14ac:dyDescent="0.25">
      <c r="A173" s="140" t="s">
        <v>128</v>
      </c>
      <c r="B173" s="147">
        <v>98</v>
      </c>
      <c r="C173" s="147">
        <v>73</v>
      </c>
      <c r="D173" s="147">
        <v>30</v>
      </c>
      <c r="E173" s="147">
        <v>14</v>
      </c>
      <c r="F173" s="147">
        <v>4</v>
      </c>
      <c r="G173" s="147">
        <v>4</v>
      </c>
      <c r="H173" s="147">
        <v>4</v>
      </c>
      <c r="I173" s="147">
        <v>2</v>
      </c>
      <c r="J173" s="149">
        <v>0</v>
      </c>
    </row>
    <row r="174" spans="1:10" s="136" customFormat="1" ht="9" customHeight="1" x14ac:dyDescent="0.25">
      <c r="A174" s="141" t="s">
        <v>129</v>
      </c>
      <c r="B174" s="150">
        <v>32</v>
      </c>
      <c r="C174" s="150">
        <v>29</v>
      </c>
      <c r="D174" s="150">
        <v>1</v>
      </c>
      <c r="E174" s="150">
        <v>4</v>
      </c>
      <c r="F174" s="150">
        <v>6</v>
      </c>
      <c r="G174" s="150">
        <v>1</v>
      </c>
      <c r="H174" s="150">
        <v>1</v>
      </c>
      <c r="I174" s="151">
        <v>0</v>
      </c>
      <c r="J174" s="151">
        <v>0</v>
      </c>
    </row>
    <row r="175" spans="1:10" s="136" customFormat="1" ht="9" customHeight="1" x14ac:dyDescent="0.25">
      <c r="A175" s="140" t="s">
        <v>38</v>
      </c>
      <c r="B175" s="147">
        <v>87</v>
      </c>
      <c r="C175" s="147">
        <v>33</v>
      </c>
      <c r="D175" s="147">
        <v>5</v>
      </c>
      <c r="E175" s="147">
        <v>11</v>
      </c>
      <c r="F175" s="147">
        <v>3</v>
      </c>
      <c r="G175" s="147">
        <v>1</v>
      </c>
      <c r="H175" s="147">
        <v>9</v>
      </c>
      <c r="I175" s="149">
        <v>0</v>
      </c>
      <c r="J175" s="147">
        <v>1</v>
      </c>
    </row>
    <row r="176" spans="1:10" s="136" customFormat="1" ht="9" customHeight="1" x14ac:dyDescent="0.25">
      <c r="A176" s="140" t="s">
        <v>39</v>
      </c>
      <c r="B176" s="147">
        <v>12</v>
      </c>
      <c r="C176" s="147">
        <v>17</v>
      </c>
      <c r="D176" s="147">
        <v>1</v>
      </c>
      <c r="E176" s="147">
        <v>2</v>
      </c>
      <c r="F176" s="147">
        <v>5</v>
      </c>
      <c r="G176" s="147">
        <v>2</v>
      </c>
      <c r="H176" s="147">
        <v>1</v>
      </c>
      <c r="I176" s="149">
        <v>0</v>
      </c>
      <c r="J176" s="149">
        <v>0</v>
      </c>
    </row>
    <row r="177" spans="1:10" s="136" customFormat="1" ht="9" customHeight="1" x14ac:dyDescent="0.25">
      <c r="A177" s="140" t="s">
        <v>40</v>
      </c>
      <c r="B177" s="147">
        <v>158</v>
      </c>
      <c r="C177" s="147">
        <v>76</v>
      </c>
      <c r="D177" s="147">
        <v>20</v>
      </c>
      <c r="E177" s="147">
        <v>9</v>
      </c>
      <c r="F177" s="147">
        <v>7</v>
      </c>
      <c r="G177" s="147">
        <v>1</v>
      </c>
      <c r="H177" s="147">
        <v>5</v>
      </c>
      <c r="I177" s="149">
        <v>1</v>
      </c>
      <c r="J177" s="149">
        <v>0</v>
      </c>
    </row>
    <row r="178" spans="1:10" s="136" customFormat="1" ht="9" customHeight="1" x14ac:dyDescent="0.25">
      <c r="A178" s="141" t="s">
        <v>41</v>
      </c>
      <c r="B178" s="150">
        <v>36</v>
      </c>
      <c r="C178" s="150">
        <v>15</v>
      </c>
      <c r="D178" s="150">
        <v>14</v>
      </c>
      <c r="E178" s="150">
        <v>1</v>
      </c>
      <c r="F178" s="151">
        <v>7</v>
      </c>
      <c r="G178" s="150">
        <v>6</v>
      </c>
      <c r="H178" s="151">
        <v>0</v>
      </c>
      <c r="I178" s="150">
        <v>1</v>
      </c>
      <c r="J178" s="151">
        <v>0</v>
      </c>
    </row>
    <row r="179" spans="1:10" s="136" customFormat="1" ht="9" customHeight="1" x14ac:dyDescent="0.25">
      <c r="A179" s="140" t="s">
        <v>42</v>
      </c>
      <c r="B179" s="147">
        <v>59</v>
      </c>
      <c r="C179" s="147">
        <v>32</v>
      </c>
      <c r="D179" s="147">
        <v>16</v>
      </c>
      <c r="E179" s="147">
        <v>3</v>
      </c>
      <c r="F179" s="147">
        <v>3</v>
      </c>
      <c r="G179" s="147">
        <v>3</v>
      </c>
      <c r="H179" s="147">
        <v>1</v>
      </c>
      <c r="I179" s="147">
        <v>1</v>
      </c>
      <c r="J179" s="149">
        <v>1</v>
      </c>
    </row>
    <row r="180" spans="1:10" s="136" customFormat="1" ht="9" customHeight="1" x14ac:dyDescent="0.25">
      <c r="A180" s="140" t="s">
        <v>43</v>
      </c>
      <c r="B180" s="147">
        <v>20</v>
      </c>
      <c r="C180" s="147">
        <v>21</v>
      </c>
      <c r="D180" s="147">
        <v>1</v>
      </c>
      <c r="E180" s="147">
        <v>3</v>
      </c>
      <c r="F180" s="147">
        <v>2</v>
      </c>
      <c r="G180" s="147">
        <v>1</v>
      </c>
      <c r="H180" s="147">
        <v>1</v>
      </c>
      <c r="I180" s="147">
        <v>1</v>
      </c>
      <c r="J180" s="149">
        <v>0</v>
      </c>
    </row>
    <row r="181" spans="1:10" s="136" customFormat="1" ht="9" customHeight="1" x14ac:dyDescent="0.25">
      <c r="A181" s="140" t="s">
        <v>44</v>
      </c>
      <c r="B181" s="147">
        <v>17</v>
      </c>
      <c r="C181" s="147">
        <v>15</v>
      </c>
      <c r="D181" s="147">
        <v>3</v>
      </c>
      <c r="E181" s="147">
        <v>1</v>
      </c>
      <c r="F181" s="147">
        <v>3</v>
      </c>
      <c r="G181" s="147">
        <v>1</v>
      </c>
      <c r="H181" s="147">
        <v>1</v>
      </c>
      <c r="I181" s="149">
        <v>0</v>
      </c>
      <c r="J181" s="149">
        <v>0</v>
      </c>
    </row>
    <row r="182" spans="1:10" s="136" customFormat="1" ht="9" customHeight="1" x14ac:dyDescent="0.25">
      <c r="A182" s="141" t="s">
        <v>45</v>
      </c>
      <c r="B182" s="150">
        <v>17</v>
      </c>
      <c r="C182" s="150">
        <v>23</v>
      </c>
      <c r="D182" s="150">
        <v>6</v>
      </c>
      <c r="E182" s="150">
        <v>2</v>
      </c>
      <c r="F182" s="150">
        <v>2</v>
      </c>
      <c r="G182" s="150">
        <v>3</v>
      </c>
      <c r="H182" s="150">
        <v>1</v>
      </c>
      <c r="I182" s="150">
        <v>1</v>
      </c>
      <c r="J182" s="151">
        <v>0</v>
      </c>
    </row>
    <row r="183" spans="1:10" s="136" customFormat="1" ht="9" customHeight="1" x14ac:dyDescent="0.25">
      <c r="A183" s="140" t="s">
        <v>46</v>
      </c>
      <c r="B183" s="147">
        <v>126</v>
      </c>
      <c r="C183" s="147">
        <v>37</v>
      </c>
      <c r="D183" s="147">
        <v>1</v>
      </c>
      <c r="E183" s="147">
        <v>8</v>
      </c>
      <c r="F183" s="147">
        <v>7</v>
      </c>
      <c r="G183" s="147">
        <v>4</v>
      </c>
      <c r="H183" s="147">
        <v>6</v>
      </c>
      <c r="I183" s="149">
        <v>0</v>
      </c>
      <c r="J183" s="149">
        <v>0</v>
      </c>
    </row>
    <row r="184" spans="1:10" s="136" customFormat="1" ht="9" customHeight="1" x14ac:dyDescent="0.25">
      <c r="A184" s="140" t="s">
        <v>47</v>
      </c>
      <c r="B184" s="147">
        <v>87</v>
      </c>
      <c r="C184" s="147">
        <v>75</v>
      </c>
      <c r="D184" s="147">
        <v>11</v>
      </c>
      <c r="E184" s="147">
        <v>5</v>
      </c>
      <c r="F184" s="147">
        <v>9</v>
      </c>
      <c r="G184" s="147">
        <v>0</v>
      </c>
      <c r="H184" s="147">
        <v>2</v>
      </c>
      <c r="I184" s="149">
        <v>0</v>
      </c>
      <c r="J184" s="149">
        <v>0</v>
      </c>
    </row>
    <row r="185" spans="1:10" s="136" customFormat="1" ht="9" customHeight="1" x14ac:dyDescent="0.25">
      <c r="A185" s="140" t="s">
        <v>48</v>
      </c>
      <c r="B185" s="147">
        <v>5</v>
      </c>
      <c r="C185" s="147">
        <v>10</v>
      </c>
      <c r="D185" s="147">
        <v>0</v>
      </c>
      <c r="E185" s="147">
        <v>1</v>
      </c>
      <c r="F185" s="147">
        <v>2</v>
      </c>
      <c r="G185" s="147">
        <v>2</v>
      </c>
      <c r="H185" s="147">
        <v>1</v>
      </c>
      <c r="I185" s="149">
        <v>0</v>
      </c>
      <c r="J185" s="149">
        <v>0</v>
      </c>
    </row>
    <row r="186" spans="1:10" s="136" customFormat="1" ht="9" customHeight="1" x14ac:dyDescent="0.25">
      <c r="A186" s="141" t="s">
        <v>49</v>
      </c>
      <c r="B186" s="150">
        <v>19</v>
      </c>
      <c r="C186" s="150">
        <v>45</v>
      </c>
      <c r="D186" s="150">
        <v>0</v>
      </c>
      <c r="E186" s="150">
        <v>6</v>
      </c>
      <c r="F186" s="150">
        <v>3</v>
      </c>
      <c r="G186" s="150">
        <v>2</v>
      </c>
      <c r="H186" s="150">
        <v>2</v>
      </c>
      <c r="I186" s="151">
        <v>0</v>
      </c>
      <c r="J186" s="151">
        <v>0</v>
      </c>
    </row>
    <row r="187" spans="1:10" s="136" customFormat="1" ht="9" customHeight="1" x14ac:dyDescent="0.25">
      <c r="A187" s="140" t="s">
        <v>50</v>
      </c>
      <c r="B187" s="147">
        <v>34</v>
      </c>
      <c r="C187" s="147">
        <v>10</v>
      </c>
      <c r="D187" s="147">
        <v>16</v>
      </c>
      <c r="E187" s="147">
        <v>2</v>
      </c>
      <c r="F187" s="147">
        <v>1</v>
      </c>
      <c r="G187" s="147">
        <v>5</v>
      </c>
      <c r="H187" s="147">
        <v>1</v>
      </c>
      <c r="I187" s="149">
        <v>0</v>
      </c>
      <c r="J187" s="149">
        <v>2</v>
      </c>
    </row>
    <row r="188" spans="1:10" s="136" customFormat="1" ht="9" customHeight="1" x14ac:dyDescent="0.25">
      <c r="A188" s="140" t="s">
        <v>130</v>
      </c>
      <c r="B188" s="147">
        <v>156</v>
      </c>
      <c r="C188" s="147">
        <v>57</v>
      </c>
      <c r="D188" s="147">
        <v>16</v>
      </c>
      <c r="E188" s="147">
        <v>7</v>
      </c>
      <c r="F188" s="147">
        <v>11</v>
      </c>
      <c r="G188" s="147">
        <v>7</v>
      </c>
      <c r="H188" s="147">
        <v>4</v>
      </c>
      <c r="I188" s="147">
        <v>1</v>
      </c>
      <c r="J188" s="147">
        <v>0</v>
      </c>
    </row>
    <row r="189" spans="1:10" s="136" customFormat="1" ht="9" customHeight="1" x14ac:dyDescent="0.25">
      <c r="A189" s="140" t="s">
        <v>52</v>
      </c>
      <c r="B189" s="147">
        <v>18</v>
      </c>
      <c r="C189" s="147">
        <v>29</v>
      </c>
      <c r="D189" s="147">
        <v>0</v>
      </c>
      <c r="E189" s="147">
        <v>1</v>
      </c>
      <c r="F189" s="147">
        <v>2</v>
      </c>
      <c r="G189" s="147">
        <v>2</v>
      </c>
      <c r="H189" s="147">
        <v>1</v>
      </c>
      <c r="I189" s="147">
        <v>1</v>
      </c>
      <c r="J189" s="149">
        <v>0</v>
      </c>
    </row>
    <row r="190" spans="1:10" s="136" customFormat="1" ht="9" customHeight="1" x14ac:dyDescent="0.25">
      <c r="A190" s="141" t="s">
        <v>53</v>
      </c>
      <c r="B190" s="150">
        <v>21</v>
      </c>
      <c r="C190" s="150">
        <v>21</v>
      </c>
      <c r="D190" s="150">
        <v>8</v>
      </c>
      <c r="E190" s="150">
        <v>2</v>
      </c>
      <c r="F190" s="150">
        <v>7</v>
      </c>
      <c r="G190" s="150">
        <v>6</v>
      </c>
      <c r="H190" s="150">
        <v>1</v>
      </c>
      <c r="I190" s="151">
        <v>0</v>
      </c>
      <c r="J190" s="151">
        <v>0</v>
      </c>
    </row>
    <row r="191" spans="1:10" s="136" customFormat="1" ht="9" customHeight="1" x14ac:dyDescent="0.25">
      <c r="B191" s="140"/>
      <c r="C191" s="147"/>
      <c r="D191" s="147"/>
      <c r="E191" s="140"/>
      <c r="F191" s="140"/>
      <c r="G191" s="140"/>
      <c r="H191" s="140"/>
      <c r="I191" s="140"/>
      <c r="J191" s="140"/>
    </row>
    <row r="192" spans="1:10" s="136" customFormat="1" ht="9" customHeight="1" x14ac:dyDescent="0.25">
      <c r="A192" s="135">
        <v>2002</v>
      </c>
      <c r="B192" s="140"/>
      <c r="C192" s="147"/>
      <c r="D192" s="147"/>
      <c r="E192" s="140"/>
      <c r="F192" s="140"/>
      <c r="G192" s="140"/>
      <c r="H192" s="140"/>
      <c r="I192" s="140"/>
      <c r="J192" s="140"/>
    </row>
    <row r="193" spans="1:10" s="136" customFormat="1" ht="9" customHeight="1" x14ac:dyDescent="0.25">
      <c r="A193" s="138" t="s">
        <v>13</v>
      </c>
      <c r="B193" s="148">
        <f t="shared" ref="B193:J193" si="5">SUM(B195:B226)</f>
        <v>1617</v>
      </c>
      <c r="C193" s="148">
        <f t="shared" si="5"/>
        <v>1163</v>
      </c>
      <c r="D193" s="148">
        <f t="shared" si="5"/>
        <v>260</v>
      </c>
      <c r="E193" s="148">
        <f t="shared" si="5"/>
        <v>145</v>
      </c>
      <c r="F193" s="148">
        <f t="shared" si="5"/>
        <v>145</v>
      </c>
      <c r="G193" s="148">
        <f t="shared" si="5"/>
        <v>76</v>
      </c>
      <c r="H193" s="148">
        <f t="shared" si="5"/>
        <v>75</v>
      </c>
      <c r="I193" s="148">
        <f t="shared" si="5"/>
        <v>16</v>
      </c>
      <c r="J193" s="148">
        <f t="shared" si="5"/>
        <v>4</v>
      </c>
    </row>
    <row r="194" spans="1:10" s="136" customFormat="1" ht="3.95" customHeight="1" x14ac:dyDescent="0.25">
      <c r="A194" s="138"/>
      <c r="B194" s="148"/>
      <c r="C194" s="148"/>
      <c r="D194" s="148"/>
      <c r="E194" s="148"/>
      <c r="F194" s="148"/>
      <c r="G194" s="148"/>
      <c r="H194" s="148"/>
      <c r="I194" s="148"/>
      <c r="J194" s="148"/>
    </row>
    <row r="195" spans="1:10" s="136" customFormat="1" ht="9" customHeight="1" x14ac:dyDescent="0.25">
      <c r="A195" s="140" t="s">
        <v>23</v>
      </c>
      <c r="B195" s="147">
        <v>8</v>
      </c>
      <c r="C195" s="147">
        <v>20</v>
      </c>
      <c r="D195" s="147">
        <v>1</v>
      </c>
      <c r="E195" s="147">
        <v>3</v>
      </c>
      <c r="F195" s="147">
        <v>1</v>
      </c>
      <c r="G195" s="147">
        <v>0</v>
      </c>
      <c r="H195" s="147">
        <v>1</v>
      </c>
      <c r="I195" s="149">
        <v>0</v>
      </c>
      <c r="J195" s="149">
        <v>0</v>
      </c>
    </row>
    <row r="196" spans="1:10" s="136" customFormat="1" ht="9" customHeight="1" x14ac:dyDescent="0.25">
      <c r="A196" s="140" t="s">
        <v>24</v>
      </c>
      <c r="B196" s="147">
        <v>70</v>
      </c>
      <c r="C196" s="147">
        <v>78</v>
      </c>
      <c r="D196" s="147">
        <v>11</v>
      </c>
      <c r="E196" s="147">
        <v>3</v>
      </c>
      <c r="F196" s="147">
        <v>4</v>
      </c>
      <c r="G196" s="147">
        <v>0</v>
      </c>
      <c r="H196" s="147">
        <v>3</v>
      </c>
      <c r="I196" s="149">
        <v>0</v>
      </c>
      <c r="J196" s="149">
        <v>0</v>
      </c>
    </row>
    <row r="197" spans="1:10" s="136" customFormat="1" ht="9" customHeight="1" x14ac:dyDescent="0.25">
      <c r="A197" s="140" t="s">
        <v>25</v>
      </c>
      <c r="B197" s="147">
        <v>30</v>
      </c>
      <c r="C197" s="147">
        <v>12</v>
      </c>
      <c r="D197" s="147">
        <v>0</v>
      </c>
      <c r="E197" s="147">
        <v>1</v>
      </c>
      <c r="F197" s="147">
        <v>1</v>
      </c>
      <c r="G197" s="147">
        <v>0</v>
      </c>
      <c r="H197" s="147">
        <v>1</v>
      </c>
      <c r="I197" s="149">
        <v>0</v>
      </c>
      <c r="J197" s="149">
        <v>0</v>
      </c>
    </row>
    <row r="198" spans="1:10" s="136" customFormat="1" ht="9" customHeight="1" x14ac:dyDescent="0.25">
      <c r="A198" s="141" t="s">
        <v>26</v>
      </c>
      <c r="B198" s="150">
        <v>18</v>
      </c>
      <c r="C198" s="150">
        <v>10</v>
      </c>
      <c r="D198" s="150">
        <v>3</v>
      </c>
      <c r="E198" s="150">
        <v>3</v>
      </c>
      <c r="F198" s="150">
        <v>3</v>
      </c>
      <c r="G198" s="150">
        <v>0</v>
      </c>
      <c r="H198" s="150">
        <v>2</v>
      </c>
      <c r="I198" s="151">
        <v>0</v>
      </c>
      <c r="J198" s="151">
        <v>0</v>
      </c>
    </row>
    <row r="199" spans="1:10" s="136" customFormat="1" ht="9" customHeight="1" x14ac:dyDescent="0.25">
      <c r="A199" s="140" t="s">
        <v>126</v>
      </c>
      <c r="B199" s="147">
        <v>62</v>
      </c>
      <c r="C199" s="147">
        <v>52</v>
      </c>
      <c r="D199" s="147">
        <v>12</v>
      </c>
      <c r="E199" s="147">
        <v>4</v>
      </c>
      <c r="F199" s="147">
        <v>6</v>
      </c>
      <c r="G199" s="147">
        <v>0</v>
      </c>
      <c r="H199" s="147">
        <v>3</v>
      </c>
      <c r="I199" s="147">
        <v>1</v>
      </c>
      <c r="J199" s="149">
        <v>0</v>
      </c>
    </row>
    <row r="200" spans="1:10" s="136" customFormat="1" ht="9" customHeight="1" x14ac:dyDescent="0.25">
      <c r="A200" s="140" t="s">
        <v>28</v>
      </c>
      <c r="B200" s="147">
        <v>22</v>
      </c>
      <c r="C200" s="136">
        <v>19</v>
      </c>
      <c r="D200" s="147">
        <v>2</v>
      </c>
      <c r="E200" s="147">
        <v>3</v>
      </c>
      <c r="F200" s="147">
        <v>3</v>
      </c>
      <c r="G200" s="147">
        <v>0</v>
      </c>
      <c r="H200" s="147">
        <v>1</v>
      </c>
      <c r="I200" s="149">
        <v>0</v>
      </c>
      <c r="J200" s="149">
        <v>0</v>
      </c>
    </row>
    <row r="201" spans="1:10" s="136" customFormat="1" ht="9" customHeight="1" x14ac:dyDescent="0.25">
      <c r="A201" s="140" t="s">
        <v>29</v>
      </c>
      <c r="B201" s="147">
        <v>9</v>
      </c>
      <c r="C201" s="147">
        <v>14</v>
      </c>
      <c r="D201" s="147">
        <v>1</v>
      </c>
      <c r="E201" s="147">
        <v>2</v>
      </c>
      <c r="F201" s="149">
        <v>4</v>
      </c>
      <c r="G201" s="147">
        <v>4</v>
      </c>
      <c r="H201" s="149">
        <v>0</v>
      </c>
      <c r="I201" s="147">
        <v>1</v>
      </c>
      <c r="J201" s="149">
        <v>0</v>
      </c>
    </row>
    <row r="202" spans="1:10" s="136" customFormat="1" ht="9" customHeight="1" x14ac:dyDescent="0.25">
      <c r="A202" s="141" t="s">
        <v>30</v>
      </c>
      <c r="B202" s="150">
        <v>37</v>
      </c>
      <c r="C202" s="150">
        <v>89</v>
      </c>
      <c r="D202" s="150">
        <v>12</v>
      </c>
      <c r="E202" s="150">
        <v>4</v>
      </c>
      <c r="F202" s="150">
        <v>6</v>
      </c>
      <c r="G202" s="150">
        <v>3</v>
      </c>
      <c r="H202" s="150">
        <v>1</v>
      </c>
      <c r="I202" s="150">
        <v>2</v>
      </c>
      <c r="J202" s="151">
        <v>0</v>
      </c>
    </row>
    <row r="203" spans="1:10" s="136" customFormat="1" ht="9" customHeight="1" x14ac:dyDescent="0.25">
      <c r="A203" s="140" t="s">
        <v>127</v>
      </c>
      <c r="B203" s="147">
        <v>245</v>
      </c>
      <c r="C203" s="147">
        <v>110</v>
      </c>
      <c r="D203" s="147">
        <v>67</v>
      </c>
      <c r="E203" s="147">
        <v>23</v>
      </c>
      <c r="F203" s="147">
        <v>7</v>
      </c>
      <c r="G203" s="147">
        <v>3</v>
      </c>
      <c r="H203" s="147">
        <v>11</v>
      </c>
      <c r="I203" s="147">
        <v>1</v>
      </c>
      <c r="J203" s="149">
        <v>0</v>
      </c>
    </row>
    <row r="204" spans="1:10" s="136" customFormat="1" ht="9" customHeight="1" x14ac:dyDescent="0.25">
      <c r="A204" s="140" t="s">
        <v>31</v>
      </c>
      <c r="B204" s="147">
        <v>36</v>
      </c>
      <c r="C204" s="147">
        <v>15</v>
      </c>
      <c r="D204" s="147">
        <v>4</v>
      </c>
      <c r="E204" s="147">
        <v>2</v>
      </c>
      <c r="F204" s="147">
        <v>2</v>
      </c>
      <c r="G204" s="147">
        <v>2</v>
      </c>
      <c r="H204" s="147">
        <v>1</v>
      </c>
      <c r="I204" s="149">
        <v>0</v>
      </c>
      <c r="J204" s="149">
        <v>0</v>
      </c>
    </row>
    <row r="205" spans="1:10" s="136" customFormat="1" ht="9" customHeight="1" x14ac:dyDescent="0.25">
      <c r="A205" s="140" t="s">
        <v>32</v>
      </c>
      <c r="B205" s="147">
        <v>15</v>
      </c>
      <c r="C205" s="147">
        <v>34</v>
      </c>
      <c r="D205" s="147">
        <v>2</v>
      </c>
      <c r="E205" s="147">
        <v>2</v>
      </c>
      <c r="F205" s="147">
        <v>5</v>
      </c>
      <c r="G205" s="147">
        <v>3</v>
      </c>
      <c r="H205" s="147">
        <v>1</v>
      </c>
      <c r="I205" s="149">
        <v>0</v>
      </c>
      <c r="J205" s="149">
        <v>0</v>
      </c>
    </row>
    <row r="206" spans="1:10" s="136" customFormat="1" ht="9" customHeight="1" x14ac:dyDescent="0.25">
      <c r="A206" s="141" t="s">
        <v>33</v>
      </c>
      <c r="B206" s="150">
        <v>19</v>
      </c>
      <c r="C206" s="150">
        <v>16</v>
      </c>
      <c r="D206" s="150">
        <v>1</v>
      </c>
      <c r="E206" s="150">
        <v>5</v>
      </c>
      <c r="F206" s="150">
        <v>5</v>
      </c>
      <c r="G206" s="150">
        <v>1</v>
      </c>
      <c r="H206" s="150">
        <v>4</v>
      </c>
      <c r="I206" s="151">
        <v>0</v>
      </c>
      <c r="J206" s="151">
        <v>0</v>
      </c>
    </row>
    <row r="207" spans="1:10" s="136" customFormat="1" ht="9" customHeight="1" x14ac:dyDescent="0.25">
      <c r="A207" s="140" t="s">
        <v>34</v>
      </c>
      <c r="B207" s="147">
        <v>18</v>
      </c>
      <c r="C207" s="147">
        <v>22</v>
      </c>
      <c r="D207" s="147">
        <v>7</v>
      </c>
      <c r="E207" s="147">
        <v>4</v>
      </c>
      <c r="F207" s="147">
        <v>5</v>
      </c>
      <c r="G207" s="147">
        <v>9</v>
      </c>
      <c r="H207" s="147">
        <v>1</v>
      </c>
      <c r="I207" s="147">
        <v>1</v>
      </c>
      <c r="J207" s="149">
        <v>0</v>
      </c>
    </row>
    <row r="208" spans="1:10" s="136" customFormat="1" ht="9" customHeight="1" x14ac:dyDescent="0.25">
      <c r="A208" s="140" t="s">
        <v>35</v>
      </c>
      <c r="B208" s="147">
        <v>78</v>
      </c>
      <c r="C208" s="147">
        <v>57</v>
      </c>
      <c r="D208" s="147">
        <v>7</v>
      </c>
      <c r="E208" s="147">
        <v>4</v>
      </c>
      <c r="F208" s="147">
        <v>8</v>
      </c>
      <c r="G208" s="147">
        <v>1</v>
      </c>
      <c r="H208" s="147">
        <v>3</v>
      </c>
      <c r="I208" s="147">
        <v>1</v>
      </c>
      <c r="J208" s="149">
        <v>0</v>
      </c>
    </row>
    <row r="209" spans="1:10" s="136" customFormat="1" ht="9" customHeight="1" x14ac:dyDescent="0.25">
      <c r="A209" s="140" t="s">
        <v>128</v>
      </c>
      <c r="B209" s="147">
        <v>79</v>
      </c>
      <c r="C209" s="147">
        <v>72</v>
      </c>
      <c r="D209" s="147">
        <v>23</v>
      </c>
      <c r="E209" s="147">
        <v>14</v>
      </c>
      <c r="F209" s="147">
        <v>4</v>
      </c>
      <c r="G209" s="147">
        <v>4</v>
      </c>
      <c r="H209" s="147">
        <v>4</v>
      </c>
      <c r="I209" s="147">
        <v>2</v>
      </c>
      <c r="J209" s="149">
        <v>0</v>
      </c>
    </row>
    <row r="210" spans="1:10" s="136" customFormat="1" ht="9" customHeight="1" x14ac:dyDescent="0.25">
      <c r="A210" s="141" t="s">
        <v>129</v>
      </c>
      <c r="B210" s="150">
        <v>30</v>
      </c>
      <c r="C210" s="150">
        <v>29</v>
      </c>
      <c r="D210" s="150">
        <v>1</v>
      </c>
      <c r="E210" s="150">
        <v>4</v>
      </c>
      <c r="F210" s="150">
        <v>6</v>
      </c>
      <c r="G210" s="150">
        <v>1</v>
      </c>
      <c r="H210" s="150">
        <v>1</v>
      </c>
      <c r="I210" s="151">
        <v>0</v>
      </c>
      <c r="J210" s="151">
        <v>0</v>
      </c>
    </row>
    <row r="211" spans="1:10" s="136" customFormat="1" ht="9" customHeight="1" x14ac:dyDescent="0.25">
      <c r="A211" s="140" t="s">
        <v>38</v>
      </c>
      <c r="B211" s="147">
        <v>72</v>
      </c>
      <c r="C211" s="147">
        <v>32</v>
      </c>
      <c r="D211" s="147">
        <v>3</v>
      </c>
      <c r="E211" s="147">
        <v>11</v>
      </c>
      <c r="F211" s="147">
        <v>3</v>
      </c>
      <c r="G211" s="147">
        <v>1</v>
      </c>
      <c r="H211" s="147">
        <v>9</v>
      </c>
      <c r="I211" s="149">
        <v>0</v>
      </c>
      <c r="J211" s="147">
        <v>1</v>
      </c>
    </row>
    <row r="212" spans="1:10" s="136" customFormat="1" ht="9" customHeight="1" x14ac:dyDescent="0.25">
      <c r="A212" s="140" t="s">
        <v>39</v>
      </c>
      <c r="B212" s="147">
        <v>8</v>
      </c>
      <c r="C212" s="147">
        <v>17</v>
      </c>
      <c r="D212" s="147">
        <v>1</v>
      </c>
      <c r="E212" s="147">
        <v>2</v>
      </c>
      <c r="F212" s="147">
        <v>5</v>
      </c>
      <c r="G212" s="147">
        <v>2</v>
      </c>
      <c r="H212" s="147">
        <v>1</v>
      </c>
      <c r="I212" s="149">
        <v>0</v>
      </c>
      <c r="J212" s="149">
        <v>0</v>
      </c>
    </row>
    <row r="213" spans="1:10" s="136" customFormat="1" ht="9" customHeight="1" x14ac:dyDescent="0.25">
      <c r="A213" s="140" t="s">
        <v>40</v>
      </c>
      <c r="B213" s="147">
        <v>180</v>
      </c>
      <c r="C213" s="147">
        <v>78</v>
      </c>
      <c r="D213" s="147">
        <v>18</v>
      </c>
      <c r="E213" s="147">
        <v>9</v>
      </c>
      <c r="F213" s="147">
        <v>7</v>
      </c>
      <c r="G213" s="147">
        <v>1</v>
      </c>
      <c r="H213" s="147">
        <v>5</v>
      </c>
      <c r="I213" s="149">
        <v>1</v>
      </c>
      <c r="J213" s="149">
        <v>0</v>
      </c>
    </row>
    <row r="214" spans="1:10" s="136" customFormat="1" ht="9" customHeight="1" x14ac:dyDescent="0.25">
      <c r="A214" s="141" t="s">
        <v>41</v>
      </c>
      <c r="B214" s="150">
        <v>28</v>
      </c>
      <c r="C214" s="150">
        <v>15</v>
      </c>
      <c r="D214" s="150">
        <v>11</v>
      </c>
      <c r="E214" s="150">
        <v>1</v>
      </c>
      <c r="F214" s="151">
        <v>7</v>
      </c>
      <c r="G214" s="150">
        <v>6</v>
      </c>
      <c r="H214" s="151">
        <v>0</v>
      </c>
      <c r="I214" s="150">
        <v>1</v>
      </c>
      <c r="J214" s="151">
        <v>0</v>
      </c>
    </row>
    <row r="215" spans="1:10" s="136" customFormat="1" ht="9" customHeight="1" x14ac:dyDescent="0.25">
      <c r="A215" s="140" t="s">
        <v>42</v>
      </c>
      <c r="B215" s="147">
        <v>51</v>
      </c>
      <c r="C215" s="147">
        <v>32</v>
      </c>
      <c r="D215" s="147">
        <v>14</v>
      </c>
      <c r="E215" s="147">
        <v>3</v>
      </c>
      <c r="F215" s="147">
        <v>3</v>
      </c>
      <c r="G215" s="147">
        <v>3</v>
      </c>
      <c r="H215" s="147">
        <v>1</v>
      </c>
      <c r="I215" s="147">
        <v>1</v>
      </c>
      <c r="J215" s="149">
        <v>1</v>
      </c>
    </row>
    <row r="216" spans="1:10" s="136" customFormat="1" ht="9" customHeight="1" x14ac:dyDescent="0.25">
      <c r="A216" s="140" t="s">
        <v>43</v>
      </c>
      <c r="B216" s="147">
        <v>14</v>
      </c>
      <c r="C216" s="147">
        <v>21</v>
      </c>
      <c r="D216" s="147">
        <v>2</v>
      </c>
      <c r="E216" s="147">
        <v>3</v>
      </c>
      <c r="F216" s="147">
        <v>2</v>
      </c>
      <c r="G216" s="147">
        <v>0</v>
      </c>
      <c r="H216" s="147">
        <v>1</v>
      </c>
      <c r="I216" s="147">
        <v>1</v>
      </c>
      <c r="J216" s="149">
        <v>0</v>
      </c>
    </row>
    <row r="217" spans="1:10" s="136" customFormat="1" ht="9" customHeight="1" x14ac:dyDescent="0.25">
      <c r="A217" s="140" t="s">
        <v>44</v>
      </c>
      <c r="B217" s="147">
        <v>15</v>
      </c>
      <c r="C217" s="147">
        <v>15</v>
      </c>
      <c r="D217" s="147">
        <v>3</v>
      </c>
      <c r="E217" s="147">
        <v>1</v>
      </c>
      <c r="F217" s="147">
        <v>3</v>
      </c>
      <c r="G217" s="147">
        <v>1</v>
      </c>
      <c r="H217" s="147">
        <v>1</v>
      </c>
      <c r="I217" s="149">
        <v>0</v>
      </c>
      <c r="J217" s="149">
        <v>0</v>
      </c>
    </row>
    <row r="218" spans="1:10" s="136" customFormat="1" ht="9" customHeight="1" x14ac:dyDescent="0.25">
      <c r="A218" s="141" t="s">
        <v>45</v>
      </c>
      <c r="B218" s="150">
        <v>16</v>
      </c>
      <c r="C218" s="150">
        <v>23</v>
      </c>
      <c r="D218" s="150">
        <v>4</v>
      </c>
      <c r="E218" s="150">
        <v>2</v>
      </c>
      <c r="F218" s="150">
        <v>2</v>
      </c>
      <c r="G218" s="150">
        <v>3</v>
      </c>
      <c r="H218" s="150">
        <v>1</v>
      </c>
      <c r="I218" s="150">
        <v>1</v>
      </c>
      <c r="J218" s="151">
        <v>0</v>
      </c>
    </row>
    <row r="219" spans="1:10" s="136" customFormat="1" ht="9" customHeight="1" x14ac:dyDescent="0.25">
      <c r="A219" s="140" t="s">
        <v>46</v>
      </c>
      <c r="B219" s="147">
        <v>118</v>
      </c>
      <c r="C219" s="147">
        <v>37</v>
      </c>
      <c r="D219" s="147">
        <v>4</v>
      </c>
      <c r="E219" s="147">
        <v>8</v>
      </c>
      <c r="F219" s="147">
        <v>7</v>
      </c>
      <c r="G219" s="147">
        <v>4</v>
      </c>
      <c r="H219" s="147">
        <v>6</v>
      </c>
      <c r="I219" s="149">
        <v>0</v>
      </c>
      <c r="J219" s="149">
        <v>0</v>
      </c>
    </row>
    <row r="220" spans="1:10" s="136" customFormat="1" ht="9" customHeight="1" x14ac:dyDescent="0.25">
      <c r="A220" s="140" t="s">
        <v>47</v>
      </c>
      <c r="B220" s="147">
        <v>67</v>
      </c>
      <c r="C220" s="147">
        <v>73</v>
      </c>
      <c r="D220" s="147">
        <v>4</v>
      </c>
      <c r="E220" s="147">
        <v>5</v>
      </c>
      <c r="F220" s="147">
        <v>9</v>
      </c>
      <c r="G220" s="147">
        <v>0</v>
      </c>
      <c r="H220" s="147">
        <v>2</v>
      </c>
      <c r="I220" s="149">
        <v>0</v>
      </c>
      <c r="J220" s="149">
        <v>0</v>
      </c>
    </row>
    <row r="221" spans="1:10" s="136" customFormat="1" ht="9" customHeight="1" x14ac:dyDescent="0.25">
      <c r="A221" s="140" t="s">
        <v>48</v>
      </c>
      <c r="B221" s="147">
        <v>5</v>
      </c>
      <c r="C221" s="147">
        <v>9</v>
      </c>
      <c r="D221" s="147">
        <v>0</v>
      </c>
      <c r="E221" s="147">
        <v>1</v>
      </c>
      <c r="F221" s="147">
        <v>2</v>
      </c>
      <c r="G221" s="147">
        <v>2</v>
      </c>
      <c r="H221" s="147">
        <v>1</v>
      </c>
      <c r="I221" s="149">
        <v>0</v>
      </c>
      <c r="J221" s="149">
        <v>0</v>
      </c>
    </row>
    <row r="222" spans="1:10" s="136" customFormat="1" ht="9" customHeight="1" x14ac:dyDescent="0.25">
      <c r="A222" s="141" t="s">
        <v>49</v>
      </c>
      <c r="B222" s="150">
        <v>23</v>
      </c>
      <c r="C222" s="150">
        <v>45</v>
      </c>
      <c r="D222" s="150">
        <v>0</v>
      </c>
      <c r="E222" s="150">
        <v>6</v>
      </c>
      <c r="F222" s="150">
        <v>4</v>
      </c>
      <c r="G222" s="150">
        <v>2</v>
      </c>
      <c r="H222" s="150">
        <v>2</v>
      </c>
      <c r="I222" s="151">
        <v>0</v>
      </c>
      <c r="J222" s="151">
        <v>0</v>
      </c>
    </row>
    <row r="223" spans="1:10" s="136" customFormat="1" ht="9" customHeight="1" x14ac:dyDescent="0.25">
      <c r="A223" s="140" t="s">
        <v>50</v>
      </c>
      <c r="B223" s="147">
        <v>30</v>
      </c>
      <c r="C223" s="147">
        <v>10</v>
      </c>
      <c r="D223" s="147">
        <v>16</v>
      </c>
      <c r="E223" s="147">
        <v>2</v>
      </c>
      <c r="F223" s="147">
        <v>1</v>
      </c>
      <c r="G223" s="147">
        <v>5</v>
      </c>
      <c r="H223" s="147">
        <v>1</v>
      </c>
      <c r="I223" s="149">
        <v>0</v>
      </c>
      <c r="J223" s="149">
        <v>2</v>
      </c>
    </row>
    <row r="224" spans="1:10" s="136" customFormat="1" ht="9" customHeight="1" x14ac:dyDescent="0.25">
      <c r="A224" s="140" t="s">
        <v>130</v>
      </c>
      <c r="B224" s="147">
        <v>174</v>
      </c>
      <c r="C224" s="147">
        <v>57</v>
      </c>
      <c r="D224" s="147">
        <v>19</v>
      </c>
      <c r="E224" s="147">
        <v>7</v>
      </c>
      <c r="F224" s="147">
        <v>11</v>
      </c>
      <c r="G224" s="147">
        <v>7</v>
      </c>
      <c r="H224" s="147">
        <v>4</v>
      </c>
      <c r="I224" s="147">
        <v>1</v>
      </c>
      <c r="J224" s="147">
        <v>0</v>
      </c>
    </row>
    <row r="225" spans="1:10" s="136" customFormat="1" ht="9" customHeight="1" x14ac:dyDescent="0.25">
      <c r="A225" s="140" t="s">
        <v>52</v>
      </c>
      <c r="B225" s="147">
        <v>21</v>
      </c>
      <c r="C225" s="147">
        <v>29</v>
      </c>
      <c r="D225" s="147">
        <v>0</v>
      </c>
      <c r="E225" s="147">
        <v>1</v>
      </c>
      <c r="F225" s="147">
        <v>2</v>
      </c>
      <c r="G225" s="147">
        <v>2</v>
      </c>
      <c r="H225" s="147">
        <v>1</v>
      </c>
      <c r="I225" s="147">
        <v>1</v>
      </c>
      <c r="J225" s="149">
        <v>0</v>
      </c>
    </row>
    <row r="226" spans="1:10" s="136" customFormat="1" ht="9" customHeight="1" x14ac:dyDescent="0.25">
      <c r="A226" s="141" t="s">
        <v>53</v>
      </c>
      <c r="B226" s="150">
        <v>19</v>
      </c>
      <c r="C226" s="150">
        <v>21</v>
      </c>
      <c r="D226" s="150">
        <v>7</v>
      </c>
      <c r="E226" s="150">
        <v>2</v>
      </c>
      <c r="F226" s="150">
        <v>7</v>
      </c>
      <c r="G226" s="150">
        <v>6</v>
      </c>
      <c r="H226" s="150">
        <v>1</v>
      </c>
      <c r="I226" s="151">
        <v>0</v>
      </c>
      <c r="J226" s="151">
        <v>0</v>
      </c>
    </row>
    <row r="227" spans="1:10" s="136" customFormat="1" ht="9" customHeight="1" x14ac:dyDescent="0.25">
      <c r="B227" s="140"/>
      <c r="C227" s="147"/>
      <c r="D227" s="147"/>
      <c r="E227" s="140"/>
      <c r="F227" s="140"/>
      <c r="G227" s="140"/>
      <c r="H227" s="140"/>
      <c r="I227" s="140"/>
      <c r="J227" s="140"/>
    </row>
    <row r="228" spans="1:10" s="136" customFormat="1" ht="9" customHeight="1" x14ac:dyDescent="0.25">
      <c r="A228" s="135">
        <v>2003</v>
      </c>
      <c r="B228" s="140"/>
      <c r="C228" s="147"/>
      <c r="D228" s="147"/>
      <c r="E228" s="140"/>
      <c r="F228" s="140"/>
      <c r="G228" s="140"/>
      <c r="H228" s="140"/>
      <c r="I228" s="140"/>
      <c r="J228" s="140"/>
    </row>
    <row r="229" spans="1:10" s="136" customFormat="1" ht="9" customHeight="1" x14ac:dyDescent="0.25">
      <c r="A229" s="138" t="s">
        <v>13</v>
      </c>
      <c r="B229" s="148">
        <f t="shared" ref="B229:J229" si="6">SUM(B231:B262)</f>
        <v>1347</v>
      </c>
      <c r="C229" s="148">
        <f t="shared" si="6"/>
        <v>1323</v>
      </c>
      <c r="D229" s="148">
        <f t="shared" si="6"/>
        <v>230</v>
      </c>
      <c r="E229" s="148">
        <f t="shared" si="6"/>
        <v>145</v>
      </c>
      <c r="F229" s="148">
        <f t="shared" si="6"/>
        <v>144</v>
      </c>
      <c r="G229" s="148">
        <f t="shared" si="6"/>
        <v>77</v>
      </c>
      <c r="H229" s="148">
        <f t="shared" si="6"/>
        <v>74</v>
      </c>
      <c r="I229" s="148">
        <f t="shared" si="6"/>
        <v>16</v>
      </c>
      <c r="J229" s="148">
        <f t="shared" si="6"/>
        <v>4</v>
      </c>
    </row>
    <row r="230" spans="1:10" s="136" customFormat="1" ht="3.95" customHeight="1" x14ac:dyDescent="0.25">
      <c r="A230" s="138"/>
      <c r="B230" s="148"/>
      <c r="C230" s="148"/>
      <c r="D230" s="148"/>
      <c r="E230" s="148"/>
      <c r="F230" s="148"/>
      <c r="G230" s="148"/>
      <c r="H230" s="148"/>
      <c r="I230" s="148"/>
      <c r="J230" s="148"/>
    </row>
    <row r="231" spans="1:10" s="136" customFormat="1" ht="9" customHeight="1" x14ac:dyDescent="0.25">
      <c r="A231" s="140" t="s">
        <v>23</v>
      </c>
      <c r="B231" s="147">
        <v>8</v>
      </c>
      <c r="C231" s="147">
        <v>20</v>
      </c>
      <c r="D231" s="147">
        <v>0</v>
      </c>
      <c r="E231" s="147">
        <v>3</v>
      </c>
      <c r="F231" s="147">
        <v>1</v>
      </c>
      <c r="G231" s="147">
        <v>0</v>
      </c>
      <c r="H231" s="147">
        <v>1</v>
      </c>
      <c r="I231" s="149">
        <v>0</v>
      </c>
      <c r="J231" s="149">
        <v>0</v>
      </c>
    </row>
    <row r="232" spans="1:10" s="136" customFormat="1" ht="9" customHeight="1" x14ac:dyDescent="0.25">
      <c r="A232" s="140" t="s">
        <v>24</v>
      </c>
      <c r="B232" s="147">
        <v>70</v>
      </c>
      <c r="C232" s="147">
        <v>88</v>
      </c>
      <c r="D232" s="147">
        <v>7</v>
      </c>
      <c r="E232" s="147">
        <v>3</v>
      </c>
      <c r="F232" s="147">
        <v>4</v>
      </c>
      <c r="G232" s="147">
        <v>0</v>
      </c>
      <c r="H232" s="147">
        <v>3</v>
      </c>
      <c r="I232" s="149">
        <v>0</v>
      </c>
      <c r="J232" s="149">
        <v>0</v>
      </c>
    </row>
    <row r="233" spans="1:10" s="136" customFormat="1" ht="9" customHeight="1" x14ac:dyDescent="0.25">
      <c r="A233" s="140" t="s">
        <v>25</v>
      </c>
      <c r="B233" s="147">
        <v>26</v>
      </c>
      <c r="C233" s="147">
        <v>14</v>
      </c>
      <c r="D233" s="147">
        <v>0</v>
      </c>
      <c r="E233" s="147">
        <v>1</v>
      </c>
      <c r="F233" s="147">
        <v>1</v>
      </c>
      <c r="G233" s="147">
        <v>0</v>
      </c>
      <c r="H233" s="147">
        <v>1</v>
      </c>
      <c r="I233" s="149">
        <v>0</v>
      </c>
      <c r="J233" s="149">
        <v>0</v>
      </c>
    </row>
    <row r="234" spans="1:10" s="136" customFormat="1" ht="9" customHeight="1" x14ac:dyDescent="0.25">
      <c r="A234" s="141" t="s">
        <v>26</v>
      </c>
      <c r="B234" s="150">
        <v>17</v>
      </c>
      <c r="C234" s="150">
        <v>12</v>
      </c>
      <c r="D234" s="150">
        <v>3</v>
      </c>
      <c r="E234" s="150">
        <v>3</v>
      </c>
      <c r="F234" s="150">
        <v>3</v>
      </c>
      <c r="G234" s="150">
        <v>0</v>
      </c>
      <c r="H234" s="150">
        <v>1</v>
      </c>
      <c r="I234" s="151">
        <v>0</v>
      </c>
      <c r="J234" s="151">
        <v>0</v>
      </c>
    </row>
    <row r="235" spans="1:10" s="136" customFormat="1" ht="9" customHeight="1" x14ac:dyDescent="0.25">
      <c r="A235" s="140" t="s">
        <v>126</v>
      </c>
      <c r="B235" s="147">
        <v>46</v>
      </c>
      <c r="C235" s="147">
        <v>64</v>
      </c>
      <c r="D235" s="147">
        <v>10</v>
      </c>
      <c r="E235" s="147">
        <v>4</v>
      </c>
      <c r="F235" s="147">
        <v>6</v>
      </c>
      <c r="G235" s="147">
        <v>0</v>
      </c>
      <c r="H235" s="147">
        <v>3</v>
      </c>
      <c r="I235" s="147">
        <v>1</v>
      </c>
      <c r="J235" s="149">
        <v>0</v>
      </c>
    </row>
    <row r="236" spans="1:10" s="136" customFormat="1" ht="9" customHeight="1" x14ac:dyDescent="0.25">
      <c r="A236" s="140" t="s">
        <v>28</v>
      </c>
      <c r="B236" s="147">
        <v>16</v>
      </c>
      <c r="C236" s="136">
        <v>21</v>
      </c>
      <c r="D236" s="147">
        <v>1</v>
      </c>
      <c r="E236" s="147">
        <v>3</v>
      </c>
      <c r="F236" s="147">
        <v>3</v>
      </c>
      <c r="G236" s="147">
        <v>0</v>
      </c>
      <c r="H236" s="147">
        <v>1</v>
      </c>
      <c r="I236" s="149">
        <v>0</v>
      </c>
      <c r="J236" s="149">
        <v>0</v>
      </c>
    </row>
    <row r="237" spans="1:10" s="136" customFormat="1" ht="9" customHeight="1" x14ac:dyDescent="0.25">
      <c r="A237" s="140" t="s">
        <v>29</v>
      </c>
      <c r="B237" s="147">
        <v>11</v>
      </c>
      <c r="C237" s="147">
        <v>19</v>
      </c>
      <c r="D237" s="147">
        <v>1</v>
      </c>
      <c r="E237" s="147">
        <v>2</v>
      </c>
      <c r="F237" s="149">
        <v>4</v>
      </c>
      <c r="G237" s="147">
        <v>4</v>
      </c>
      <c r="H237" s="149">
        <v>0</v>
      </c>
      <c r="I237" s="147">
        <v>1</v>
      </c>
      <c r="J237" s="149">
        <v>0</v>
      </c>
    </row>
    <row r="238" spans="1:10" s="136" customFormat="1" ht="9" customHeight="1" x14ac:dyDescent="0.25">
      <c r="A238" s="141" t="s">
        <v>30</v>
      </c>
      <c r="B238" s="150">
        <v>54</v>
      </c>
      <c r="C238" s="150">
        <v>92</v>
      </c>
      <c r="D238" s="150">
        <v>13</v>
      </c>
      <c r="E238" s="150">
        <v>4</v>
      </c>
      <c r="F238" s="150">
        <v>6</v>
      </c>
      <c r="G238" s="150">
        <v>3</v>
      </c>
      <c r="H238" s="150">
        <v>1</v>
      </c>
      <c r="I238" s="150">
        <v>2</v>
      </c>
      <c r="J238" s="151">
        <v>0</v>
      </c>
    </row>
    <row r="239" spans="1:10" s="136" customFormat="1" ht="9" customHeight="1" x14ac:dyDescent="0.25">
      <c r="A239" s="140" t="s">
        <v>127</v>
      </c>
      <c r="B239" s="147">
        <v>207</v>
      </c>
      <c r="C239" s="147">
        <v>133</v>
      </c>
      <c r="D239" s="147">
        <v>65</v>
      </c>
      <c r="E239" s="147">
        <v>23</v>
      </c>
      <c r="F239" s="147">
        <v>7</v>
      </c>
      <c r="G239" s="147">
        <v>3</v>
      </c>
      <c r="H239" s="147">
        <v>11</v>
      </c>
      <c r="I239" s="147">
        <v>1</v>
      </c>
      <c r="J239" s="149">
        <v>0</v>
      </c>
    </row>
    <row r="240" spans="1:10" s="136" customFormat="1" ht="9" customHeight="1" x14ac:dyDescent="0.25">
      <c r="A240" s="140" t="s">
        <v>31</v>
      </c>
      <c r="B240" s="147">
        <v>13</v>
      </c>
      <c r="C240" s="147">
        <v>16</v>
      </c>
      <c r="D240" s="147">
        <v>0</v>
      </c>
      <c r="E240" s="147">
        <v>2</v>
      </c>
      <c r="F240" s="147">
        <v>2</v>
      </c>
      <c r="G240" s="147">
        <v>2</v>
      </c>
      <c r="H240" s="147">
        <v>1</v>
      </c>
      <c r="I240" s="149">
        <v>0</v>
      </c>
      <c r="J240" s="149">
        <v>0</v>
      </c>
    </row>
    <row r="241" spans="1:10" s="136" customFormat="1" ht="9" customHeight="1" x14ac:dyDescent="0.25">
      <c r="A241" s="140" t="s">
        <v>32</v>
      </c>
      <c r="B241" s="147">
        <v>15</v>
      </c>
      <c r="C241" s="147">
        <v>42</v>
      </c>
      <c r="D241" s="147">
        <v>2</v>
      </c>
      <c r="E241" s="147">
        <v>2</v>
      </c>
      <c r="F241" s="147">
        <v>5</v>
      </c>
      <c r="G241" s="147">
        <v>3</v>
      </c>
      <c r="H241" s="147">
        <v>1</v>
      </c>
      <c r="I241" s="149">
        <v>0</v>
      </c>
      <c r="J241" s="149">
        <v>0</v>
      </c>
    </row>
    <row r="242" spans="1:10" s="136" customFormat="1" ht="9" customHeight="1" x14ac:dyDescent="0.25">
      <c r="A242" s="141" t="s">
        <v>33</v>
      </c>
      <c r="B242" s="150">
        <v>19</v>
      </c>
      <c r="C242" s="150">
        <v>16</v>
      </c>
      <c r="D242" s="150">
        <v>1</v>
      </c>
      <c r="E242" s="150">
        <v>5</v>
      </c>
      <c r="F242" s="150">
        <v>5</v>
      </c>
      <c r="G242" s="150">
        <v>1</v>
      </c>
      <c r="H242" s="150">
        <v>4</v>
      </c>
      <c r="I242" s="151">
        <v>0</v>
      </c>
      <c r="J242" s="151">
        <v>0</v>
      </c>
    </row>
    <row r="243" spans="1:10" s="136" customFormat="1" ht="9" customHeight="1" x14ac:dyDescent="0.25">
      <c r="A243" s="140" t="s">
        <v>34</v>
      </c>
      <c r="B243" s="147">
        <v>15</v>
      </c>
      <c r="C243" s="147">
        <v>25</v>
      </c>
      <c r="D243" s="147">
        <v>6</v>
      </c>
      <c r="E243" s="147">
        <v>4</v>
      </c>
      <c r="F243" s="147">
        <v>5</v>
      </c>
      <c r="G243" s="147">
        <v>9</v>
      </c>
      <c r="H243" s="147">
        <v>1</v>
      </c>
      <c r="I243" s="147">
        <v>1</v>
      </c>
      <c r="J243" s="149">
        <v>0</v>
      </c>
    </row>
    <row r="244" spans="1:10" s="136" customFormat="1" ht="9" customHeight="1" x14ac:dyDescent="0.25">
      <c r="A244" s="140" t="s">
        <v>35</v>
      </c>
      <c r="B244" s="147">
        <v>48</v>
      </c>
      <c r="C244" s="147">
        <v>66</v>
      </c>
      <c r="D244" s="147">
        <v>2</v>
      </c>
      <c r="E244" s="147">
        <v>4</v>
      </c>
      <c r="F244" s="147">
        <v>7</v>
      </c>
      <c r="G244" s="147">
        <v>1</v>
      </c>
      <c r="H244" s="147">
        <v>3</v>
      </c>
      <c r="I244" s="147">
        <v>1</v>
      </c>
      <c r="J244" s="149">
        <v>0</v>
      </c>
    </row>
    <row r="245" spans="1:10" s="136" customFormat="1" ht="9" customHeight="1" x14ac:dyDescent="0.25">
      <c r="A245" s="140" t="s">
        <v>128</v>
      </c>
      <c r="B245" s="147">
        <v>80</v>
      </c>
      <c r="C245" s="147">
        <v>87</v>
      </c>
      <c r="D245" s="147">
        <v>25</v>
      </c>
      <c r="E245" s="147">
        <v>14</v>
      </c>
      <c r="F245" s="147">
        <v>4</v>
      </c>
      <c r="G245" s="147">
        <v>4</v>
      </c>
      <c r="H245" s="147">
        <v>4</v>
      </c>
      <c r="I245" s="147">
        <v>2</v>
      </c>
      <c r="J245" s="149">
        <v>0</v>
      </c>
    </row>
    <row r="246" spans="1:10" s="136" customFormat="1" ht="9" customHeight="1" x14ac:dyDescent="0.25">
      <c r="A246" s="141" t="s">
        <v>129</v>
      </c>
      <c r="B246" s="150">
        <v>8</v>
      </c>
      <c r="C246" s="150">
        <v>33</v>
      </c>
      <c r="D246" s="150">
        <v>0</v>
      </c>
      <c r="E246" s="150">
        <v>4</v>
      </c>
      <c r="F246" s="150">
        <v>6</v>
      </c>
      <c r="G246" s="150">
        <v>1</v>
      </c>
      <c r="H246" s="150">
        <v>1</v>
      </c>
      <c r="I246" s="151">
        <v>0</v>
      </c>
      <c r="J246" s="151">
        <v>0</v>
      </c>
    </row>
    <row r="247" spans="1:10" s="136" customFormat="1" ht="9" customHeight="1" x14ac:dyDescent="0.25">
      <c r="A247" s="140" t="s">
        <v>38</v>
      </c>
      <c r="B247" s="147">
        <v>54</v>
      </c>
      <c r="C247" s="147">
        <v>32</v>
      </c>
      <c r="D247" s="147">
        <v>3</v>
      </c>
      <c r="E247" s="147">
        <v>11</v>
      </c>
      <c r="F247" s="147">
        <v>3</v>
      </c>
      <c r="G247" s="147">
        <v>1</v>
      </c>
      <c r="H247" s="147">
        <v>9</v>
      </c>
      <c r="I247" s="149">
        <v>0</v>
      </c>
      <c r="J247" s="147">
        <v>1</v>
      </c>
    </row>
    <row r="248" spans="1:10" s="136" customFormat="1" ht="9" customHeight="1" x14ac:dyDescent="0.25">
      <c r="A248" s="140" t="s">
        <v>39</v>
      </c>
      <c r="B248" s="147">
        <v>12</v>
      </c>
      <c r="C248" s="147">
        <v>18</v>
      </c>
      <c r="D248" s="147">
        <v>1</v>
      </c>
      <c r="E248" s="147">
        <v>2</v>
      </c>
      <c r="F248" s="147">
        <v>5</v>
      </c>
      <c r="G248" s="147">
        <v>2</v>
      </c>
      <c r="H248" s="147">
        <v>1</v>
      </c>
      <c r="I248" s="149">
        <v>0</v>
      </c>
      <c r="J248" s="149">
        <v>0</v>
      </c>
    </row>
    <row r="249" spans="1:10" s="136" customFormat="1" ht="9" customHeight="1" x14ac:dyDescent="0.25">
      <c r="A249" s="140" t="s">
        <v>40</v>
      </c>
      <c r="B249" s="147">
        <v>163</v>
      </c>
      <c r="C249" s="147">
        <v>84</v>
      </c>
      <c r="D249" s="147">
        <v>13</v>
      </c>
      <c r="E249" s="147">
        <v>9</v>
      </c>
      <c r="F249" s="147">
        <v>7</v>
      </c>
      <c r="G249" s="147">
        <v>1</v>
      </c>
      <c r="H249" s="147">
        <v>5</v>
      </c>
      <c r="I249" s="149">
        <v>1</v>
      </c>
      <c r="J249" s="149">
        <v>0</v>
      </c>
    </row>
    <row r="250" spans="1:10" s="136" customFormat="1" ht="9" customHeight="1" x14ac:dyDescent="0.25">
      <c r="A250" s="141" t="s">
        <v>41</v>
      </c>
      <c r="B250" s="150">
        <v>23</v>
      </c>
      <c r="C250" s="150">
        <v>17</v>
      </c>
      <c r="D250" s="150">
        <v>11</v>
      </c>
      <c r="E250" s="150">
        <v>1</v>
      </c>
      <c r="F250" s="151">
        <v>7</v>
      </c>
      <c r="G250" s="150">
        <v>7</v>
      </c>
      <c r="H250" s="151">
        <v>0</v>
      </c>
      <c r="I250" s="150">
        <v>1</v>
      </c>
      <c r="J250" s="151">
        <v>0</v>
      </c>
    </row>
    <row r="251" spans="1:10" s="136" customFormat="1" ht="9" customHeight="1" x14ac:dyDescent="0.25">
      <c r="A251" s="140" t="s">
        <v>42</v>
      </c>
      <c r="B251" s="147">
        <v>36</v>
      </c>
      <c r="C251" s="147">
        <v>41</v>
      </c>
      <c r="D251" s="147">
        <v>16</v>
      </c>
      <c r="E251" s="147">
        <v>3</v>
      </c>
      <c r="F251" s="147">
        <v>3</v>
      </c>
      <c r="G251" s="147">
        <v>3</v>
      </c>
      <c r="H251" s="147">
        <v>1</v>
      </c>
      <c r="I251" s="147">
        <v>1</v>
      </c>
      <c r="J251" s="149">
        <v>1</v>
      </c>
    </row>
    <row r="252" spans="1:10" s="136" customFormat="1" ht="9" customHeight="1" x14ac:dyDescent="0.25">
      <c r="A252" s="140" t="s">
        <v>43</v>
      </c>
      <c r="B252" s="147">
        <v>13</v>
      </c>
      <c r="C252" s="147">
        <v>25</v>
      </c>
      <c r="D252" s="147">
        <v>1</v>
      </c>
      <c r="E252" s="147">
        <v>3</v>
      </c>
      <c r="F252" s="147">
        <v>2</v>
      </c>
      <c r="G252" s="147">
        <v>0</v>
      </c>
      <c r="H252" s="147">
        <v>1</v>
      </c>
      <c r="I252" s="147">
        <v>1</v>
      </c>
      <c r="J252" s="149">
        <v>0</v>
      </c>
    </row>
    <row r="253" spans="1:10" s="136" customFormat="1" ht="9" customHeight="1" x14ac:dyDescent="0.25">
      <c r="A253" s="140" t="s">
        <v>44</v>
      </c>
      <c r="B253" s="147">
        <v>14</v>
      </c>
      <c r="C253" s="147">
        <v>21</v>
      </c>
      <c r="D253" s="147">
        <v>2</v>
      </c>
      <c r="E253" s="147">
        <v>1</v>
      </c>
      <c r="F253" s="147">
        <v>3</v>
      </c>
      <c r="G253" s="147">
        <v>1</v>
      </c>
      <c r="H253" s="147">
        <v>1</v>
      </c>
      <c r="I253" s="149">
        <v>0</v>
      </c>
      <c r="J253" s="149">
        <v>0</v>
      </c>
    </row>
    <row r="254" spans="1:10" s="136" customFormat="1" ht="9" customHeight="1" x14ac:dyDescent="0.25">
      <c r="A254" s="141" t="s">
        <v>45</v>
      </c>
      <c r="B254" s="150">
        <v>14</v>
      </c>
      <c r="C254" s="150">
        <v>26</v>
      </c>
      <c r="D254" s="150">
        <v>3</v>
      </c>
      <c r="E254" s="150">
        <v>2</v>
      </c>
      <c r="F254" s="150">
        <v>2</v>
      </c>
      <c r="G254" s="150">
        <v>3</v>
      </c>
      <c r="H254" s="150">
        <v>1</v>
      </c>
      <c r="I254" s="150">
        <v>1</v>
      </c>
      <c r="J254" s="151">
        <v>0</v>
      </c>
    </row>
    <row r="255" spans="1:10" s="136" customFormat="1" ht="9" customHeight="1" x14ac:dyDescent="0.25">
      <c r="A255" s="140" t="s">
        <v>46</v>
      </c>
      <c r="B255" s="147">
        <v>68</v>
      </c>
      <c r="C255" s="147">
        <v>41</v>
      </c>
      <c r="D255" s="147">
        <v>4</v>
      </c>
      <c r="E255" s="147">
        <v>8</v>
      </c>
      <c r="F255" s="147">
        <v>7</v>
      </c>
      <c r="G255" s="147">
        <v>4</v>
      </c>
      <c r="H255" s="147">
        <v>6</v>
      </c>
      <c r="I255" s="149">
        <v>0</v>
      </c>
      <c r="J255" s="149">
        <v>0</v>
      </c>
    </row>
    <row r="256" spans="1:10" s="136" customFormat="1" ht="9" customHeight="1" x14ac:dyDescent="0.25">
      <c r="A256" s="140" t="s">
        <v>47</v>
      </c>
      <c r="B256" s="147">
        <v>71</v>
      </c>
      <c r="C256" s="147">
        <v>79</v>
      </c>
      <c r="D256" s="147">
        <v>7</v>
      </c>
      <c r="E256" s="147">
        <v>5</v>
      </c>
      <c r="F256" s="147">
        <v>9</v>
      </c>
      <c r="G256" s="147">
        <v>0</v>
      </c>
      <c r="H256" s="147">
        <v>2</v>
      </c>
      <c r="I256" s="149">
        <v>0</v>
      </c>
      <c r="J256" s="149">
        <v>0</v>
      </c>
    </row>
    <row r="257" spans="1:10" s="136" customFormat="1" ht="9" customHeight="1" x14ac:dyDescent="0.25">
      <c r="A257" s="140" t="s">
        <v>48</v>
      </c>
      <c r="B257" s="147">
        <v>3</v>
      </c>
      <c r="C257" s="147">
        <v>10</v>
      </c>
      <c r="D257" s="147">
        <v>0</v>
      </c>
      <c r="E257" s="147">
        <v>1</v>
      </c>
      <c r="F257" s="147">
        <v>2</v>
      </c>
      <c r="G257" s="147">
        <v>2</v>
      </c>
      <c r="H257" s="147">
        <v>1</v>
      </c>
      <c r="I257" s="149">
        <v>0</v>
      </c>
      <c r="J257" s="149">
        <v>0</v>
      </c>
    </row>
    <row r="258" spans="1:10" s="136" customFormat="1" ht="9" customHeight="1" x14ac:dyDescent="0.25">
      <c r="A258" s="141" t="s">
        <v>49</v>
      </c>
      <c r="B258" s="150">
        <v>44</v>
      </c>
      <c r="C258" s="150">
        <v>56</v>
      </c>
      <c r="D258" s="150">
        <v>0</v>
      </c>
      <c r="E258" s="150">
        <v>6</v>
      </c>
      <c r="F258" s="150">
        <v>4</v>
      </c>
      <c r="G258" s="150">
        <v>2</v>
      </c>
      <c r="H258" s="150">
        <v>2</v>
      </c>
      <c r="I258" s="151">
        <v>0</v>
      </c>
      <c r="J258" s="151">
        <v>0</v>
      </c>
    </row>
    <row r="259" spans="1:10" s="136" customFormat="1" ht="9" customHeight="1" x14ac:dyDescent="0.25">
      <c r="A259" s="140" t="s">
        <v>50</v>
      </c>
      <c r="B259" s="147">
        <v>19</v>
      </c>
      <c r="C259" s="147">
        <v>11</v>
      </c>
      <c r="D259" s="147">
        <v>11</v>
      </c>
      <c r="E259" s="147">
        <v>2</v>
      </c>
      <c r="F259" s="147">
        <v>1</v>
      </c>
      <c r="G259" s="147">
        <v>5</v>
      </c>
      <c r="H259" s="147">
        <v>1</v>
      </c>
      <c r="I259" s="149">
        <v>0</v>
      </c>
      <c r="J259" s="149">
        <v>2</v>
      </c>
    </row>
    <row r="260" spans="1:10" s="136" customFormat="1" ht="9" customHeight="1" x14ac:dyDescent="0.25">
      <c r="A260" s="140" t="s">
        <v>130</v>
      </c>
      <c r="B260" s="147">
        <v>127</v>
      </c>
      <c r="C260" s="147">
        <v>59</v>
      </c>
      <c r="D260" s="147">
        <v>14</v>
      </c>
      <c r="E260" s="147">
        <v>7</v>
      </c>
      <c r="F260" s="147">
        <v>11</v>
      </c>
      <c r="G260" s="147">
        <v>7</v>
      </c>
      <c r="H260" s="147">
        <v>4</v>
      </c>
      <c r="I260" s="147">
        <v>1</v>
      </c>
      <c r="J260" s="147">
        <v>0</v>
      </c>
    </row>
    <row r="261" spans="1:10" s="136" customFormat="1" ht="9" customHeight="1" x14ac:dyDescent="0.25">
      <c r="A261" s="140" t="s">
        <v>52</v>
      </c>
      <c r="B261" s="147">
        <v>19</v>
      </c>
      <c r="C261" s="147">
        <v>30</v>
      </c>
      <c r="D261" s="147">
        <v>0</v>
      </c>
      <c r="E261" s="147">
        <v>1</v>
      </c>
      <c r="F261" s="147">
        <v>2</v>
      </c>
      <c r="G261" s="147">
        <v>2</v>
      </c>
      <c r="H261" s="147">
        <v>1</v>
      </c>
      <c r="I261" s="147">
        <v>1</v>
      </c>
      <c r="J261" s="149">
        <v>0</v>
      </c>
    </row>
    <row r="262" spans="1:10" s="136" customFormat="1" ht="9" customHeight="1" x14ac:dyDescent="0.25">
      <c r="A262" s="141" t="s">
        <v>53</v>
      </c>
      <c r="B262" s="150">
        <v>14</v>
      </c>
      <c r="C262" s="150">
        <v>25</v>
      </c>
      <c r="D262" s="150">
        <v>8</v>
      </c>
      <c r="E262" s="150">
        <v>2</v>
      </c>
      <c r="F262" s="150">
        <v>7</v>
      </c>
      <c r="G262" s="150">
        <v>6</v>
      </c>
      <c r="H262" s="150">
        <v>1</v>
      </c>
      <c r="I262" s="151">
        <v>0</v>
      </c>
      <c r="J262" s="151">
        <v>0</v>
      </c>
    </row>
    <row r="263" spans="1:10" s="136" customFormat="1" ht="9" customHeight="1" x14ac:dyDescent="0.25">
      <c r="B263" s="140"/>
      <c r="C263" s="147"/>
      <c r="D263" s="147"/>
      <c r="E263" s="140"/>
      <c r="F263" s="140"/>
      <c r="G263" s="140"/>
      <c r="H263" s="140"/>
      <c r="I263" s="140"/>
      <c r="J263" s="140"/>
    </row>
    <row r="264" spans="1:10" s="136" customFormat="1" ht="9" customHeight="1" x14ac:dyDescent="0.25">
      <c r="A264" s="135">
        <v>2004</v>
      </c>
      <c r="B264" s="140"/>
      <c r="C264" s="147"/>
      <c r="D264" s="147"/>
      <c r="E264" s="140"/>
      <c r="F264" s="140"/>
      <c r="G264" s="140"/>
      <c r="H264" s="140"/>
      <c r="I264" s="140"/>
      <c r="J264" s="140"/>
    </row>
    <row r="265" spans="1:10" s="136" customFormat="1" ht="9" customHeight="1" x14ac:dyDescent="0.25">
      <c r="A265" s="138" t="s">
        <v>13</v>
      </c>
      <c r="B265" s="148">
        <f t="shared" ref="B265:I265" si="7">SUM(B267:B298)</f>
        <v>1326</v>
      </c>
      <c r="C265" s="148">
        <f t="shared" si="7"/>
        <v>1356</v>
      </c>
      <c r="D265" s="148">
        <f t="shared" si="7"/>
        <v>229</v>
      </c>
      <c r="E265" s="148">
        <f t="shared" si="7"/>
        <v>144</v>
      </c>
      <c r="F265" s="148">
        <f t="shared" si="7"/>
        <v>144</v>
      </c>
      <c r="G265" s="148">
        <f t="shared" si="7"/>
        <v>77</v>
      </c>
      <c r="H265" s="148">
        <f t="shared" si="7"/>
        <v>74</v>
      </c>
      <c r="I265" s="148">
        <f t="shared" si="7"/>
        <v>16</v>
      </c>
      <c r="J265" s="148">
        <v>4</v>
      </c>
    </row>
    <row r="266" spans="1:10" s="136" customFormat="1" ht="3.95" customHeight="1" x14ac:dyDescent="0.25">
      <c r="A266" s="138"/>
      <c r="B266" s="148"/>
      <c r="C266" s="148"/>
      <c r="D266" s="148"/>
      <c r="E266" s="148"/>
      <c r="F266" s="148"/>
      <c r="G266" s="148"/>
      <c r="H266" s="148"/>
      <c r="I266" s="148"/>
      <c r="J266" s="148"/>
    </row>
    <row r="267" spans="1:10" s="136" customFormat="1" ht="9" customHeight="1" x14ac:dyDescent="0.25">
      <c r="A267" s="140" t="s">
        <v>23</v>
      </c>
      <c r="B267" s="147">
        <v>11</v>
      </c>
      <c r="C267" s="147">
        <v>20</v>
      </c>
      <c r="D267" s="147">
        <v>0</v>
      </c>
      <c r="E267" s="147">
        <v>3</v>
      </c>
      <c r="F267" s="147">
        <v>1</v>
      </c>
      <c r="G267" s="147">
        <v>0</v>
      </c>
      <c r="H267" s="147">
        <v>1</v>
      </c>
      <c r="I267" s="149">
        <v>0</v>
      </c>
      <c r="J267" s="149">
        <v>0</v>
      </c>
    </row>
    <row r="268" spans="1:10" s="136" customFormat="1" ht="9" customHeight="1" x14ac:dyDescent="0.25">
      <c r="A268" s="140" t="s">
        <v>24</v>
      </c>
      <c r="B268" s="147">
        <v>70</v>
      </c>
      <c r="C268" s="147">
        <v>88</v>
      </c>
      <c r="D268" s="147">
        <v>2</v>
      </c>
      <c r="E268" s="147">
        <v>3</v>
      </c>
      <c r="F268" s="147">
        <v>4</v>
      </c>
      <c r="G268" s="147">
        <v>0</v>
      </c>
      <c r="H268" s="147">
        <v>3</v>
      </c>
      <c r="I268" s="149">
        <v>0</v>
      </c>
      <c r="J268" s="149">
        <v>0</v>
      </c>
    </row>
    <row r="269" spans="1:10" s="136" customFormat="1" ht="9" customHeight="1" x14ac:dyDescent="0.25">
      <c r="A269" s="140" t="s">
        <v>25</v>
      </c>
      <c r="B269" s="147">
        <v>25</v>
      </c>
      <c r="C269" s="147">
        <v>15</v>
      </c>
      <c r="D269" s="147">
        <v>0</v>
      </c>
      <c r="E269" s="147">
        <v>1</v>
      </c>
      <c r="F269" s="147">
        <v>1</v>
      </c>
      <c r="G269" s="147">
        <v>0</v>
      </c>
      <c r="H269" s="147">
        <v>1</v>
      </c>
      <c r="I269" s="149">
        <v>0</v>
      </c>
      <c r="J269" s="149">
        <v>0</v>
      </c>
    </row>
    <row r="270" spans="1:10" s="136" customFormat="1" ht="9" customHeight="1" x14ac:dyDescent="0.25">
      <c r="A270" s="141" t="s">
        <v>26</v>
      </c>
      <c r="B270" s="150">
        <v>15</v>
      </c>
      <c r="C270" s="150">
        <v>12</v>
      </c>
      <c r="D270" s="150">
        <v>3</v>
      </c>
      <c r="E270" s="150">
        <v>3</v>
      </c>
      <c r="F270" s="150">
        <v>3</v>
      </c>
      <c r="G270" s="150">
        <v>0</v>
      </c>
      <c r="H270" s="150">
        <v>1</v>
      </c>
      <c r="I270" s="151">
        <v>0</v>
      </c>
      <c r="J270" s="151">
        <v>0</v>
      </c>
    </row>
    <row r="271" spans="1:10" s="136" customFormat="1" ht="9" customHeight="1" x14ac:dyDescent="0.25">
      <c r="A271" s="140" t="s">
        <v>126</v>
      </c>
      <c r="B271" s="147">
        <v>43</v>
      </c>
      <c r="C271" s="147">
        <v>66</v>
      </c>
      <c r="D271" s="147">
        <v>13</v>
      </c>
      <c r="E271" s="147">
        <v>4</v>
      </c>
      <c r="F271" s="147">
        <v>6</v>
      </c>
      <c r="G271" s="147">
        <v>0</v>
      </c>
      <c r="H271" s="147">
        <v>3</v>
      </c>
      <c r="I271" s="147">
        <v>1</v>
      </c>
      <c r="J271" s="149">
        <v>0</v>
      </c>
    </row>
    <row r="272" spans="1:10" s="136" customFormat="1" ht="9" customHeight="1" x14ac:dyDescent="0.25">
      <c r="A272" s="140" t="s">
        <v>28</v>
      </c>
      <c r="B272" s="147">
        <v>19</v>
      </c>
      <c r="C272" s="136">
        <v>20</v>
      </c>
      <c r="D272" s="147">
        <v>1</v>
      </c>
      <c r="E272" s="147">
        <v>3</v>
      </c>
      <c r="F272" s="147">
        <v>3</v>
      </c>
      <c r="G272" s="147">
        <v>0</v>
      </c>
      <c r="H272" s="147">
        <v>1</v>
      </c>
      <c r="I272" s="149">
        <v>0</v>
      </c>
      <c r="J272" s="149">
        <v>0</v>
      </c>
    </row>
    <row r="273" spans="1:10" s="136" customFormat="1" ht="9" customHeight="1" x14ac:dyDescent="0.25">
      <c r="A273" s="140" t="s">
        <v>29</v>
      </c>
      <c r="B273" s="147">
        <v>12</v>
      </c>
      <c r="C273" s="147">
        <v>19</v>
      </c>
      <c r="D273" s="147">
        <v>2</v>
      </c>
      <c r="E273" s="147">
        <v>2</v>
      </c>
      <c r="F273" s="149">
        <v>4</v>
      </c>
      <c r="G273" s="147">
        <v>4</v>
      </c>
      <c r="H273" s="149">
        <v>0</v>
      </c>
      <c r="I273" s="147">
        <v>1</v>
      </c>
      <c r="J273" s="149">
        <v>0</v>
      </c>
    </row>
    <row r="274" spans="1:10" s="136" customFormat="1" ht="9" customHeight="1" x14ac:dyDescent="0.25">
      <c r="A274" s="141" t="s">
        <v>30</v>
      </c>
      <c r="B274" s="150">
        <v>70</v>
      </c>
      <c r="C274" s="150">
        <v>93</v>
      </c>
      <c r="D274" s="150">
        <v>15</v>
      </c>
      <c r="E274" s="150">
        <v>4</v>
      </c>
      <c r="F274" s="150">
        <v>6</v>
      </c>
      <c r="G274" s="150">
        <v>3</v>
      </c>
      <c r="H274" s="150">
        <v>1</v>
      </c>
      <c r="I274" s="150">
        <v>2</v>
      </c>
      <c r="J274" s="151">
        <v>0</v>
      </c>
    </row>
    <row r="275" spans="1:10" s="136" customFormat="1" ht="9" customHeight="1" x14ac:dyDescent="0.25">
      <c r="A275" s="140" t="s">
        <v>127</v>
      </c>
      <c r="B275" s="147">
        <v>191</v>
      </c>
      <c r="C275" s="147">
        <v>133</v>
      </c>
      <c r="D275" s="147">
        <v>66</v>
      </c>
      <c r="E275" s="147">
        <v>22</v>
      </c>
      <c r="F275" s="147">
        <v>7</v>
      </c>
      <c r="G275" s="147">
        <v>3</v>
      </c>
      <c r="H275" s="147">
        <v>11</v>
      </c>
      <c r="I275" s="147">
        <v>1</v>
      </c>
      <c r="J275" s="149">
        <v>0</v>
      </c>
    </row>
    <row r="276" spans="1:10" s="136" customFormat="1" ht="9" customHeight="1" x14ac:dyDescent="0.25">
      <c r="A276" s="140" t="s">
        <v>31</v>
      </c>
      <c r="B276" s="147">
        <v>26</v>
      </c>
      <c r="C276" s="147">
        <v>16</v>
      </c>
      <c r="D276" s="147">
        <v>0</v>
      </c>
      <c r="E276" s="147">
        <v>2</v>
      </c>
      <c r="F276" s="147">
        <v>2</v>
      </c>
      <c r="G276" s="147">
        <v>2</v>
      </c>
      <c r="H276" s="147">
        <v>1</v>
      </c>
      <c r="I276" s="149">
        <v>0</v>
      </c>
      <c r="J276" s="149">
        <v>0</v>
      </c>
    </row>
    <row r="277" spans="1:10" s="136" customFormat="1" ht="9" customHeight="1" x14ac:dyDescent="0.25">
      <c r="A277" s="140" t="s">
        <v>32</v>
      </c>
      <c r="B277" s="147">
        <v>12</v>
      </c>
      <c r="C277" s="147">
        <v>48</v>
      </c>
      <c r="D277" s="147">
        <v>0</v>
      </c>
      <c r="E277" s="147">
        <v>2</v>
      </c>
      <c r="F277" s="147">
        <v>5</v>
      </c>
      <c r="G277" s="147">
        <v>3</v>
      </c>
      <c r="H277" s="147">
        <v>1</v>
      </c>
      <c r="I277" s="149">
        <v>0</v>
      </c>
      <c r="J277" s="149">
        <v>0</v>
      </c>
    </row>
    <row r="278" spans="1:10" s="136" customFormat="1" ht="9" customHeight="1" x14ac:dyDescent="0.25">
      <c r="A278" s="141" t="s">
        <v>33</v>
      </c>
      <c r="B278" s="150">
        <v>24</v>
      </c>
      <c r="C278" s="150">
        <v>17</v>
      </c>
      <c r="D278" s="150">
        <v>1</v>
      </c>
      <c r="E278" s="150">
        <v>5</v>
      </c>
      <c r="F278" s="150">
        <v>5</v>
      </c>
      <c r="G278" s="150">
        <v>1</v>
      </c>
      <c r="H278" s="150">
        <v>4</v>
      </c>
      <c r="I278" s="151">
        <v>0</v>
      </c>
      <c r="J278" s="151">
        <v>0</v>
      </c>
    </row>
    <row r="279" spans="1:10" s="136" customFormat="1" ht="9" customHeight="1" x14ac:dyDescent="0.25">
      <c r="A279" s="140" t="s">
        <v>34</v>
      </c>
      <c r="B279" s="147">
        <v>15</v>
      </c>
      <c r="C279" s="147">
        <v>24</v>
      </c>
      <c r="D279" s="147">
        <v>3</v>
      </c>
      <c r="E279" s="147">
        <v>4</v>
      </c>
      <c r="F279" s="147">
        <v>5</v>
      </c>
      <c r="G279" s="147">
        <v>9</v>
      </c>
      <c r="H279" s="147">
        <v>1</v>
      </c>
      <c r="I279" s="147">
        <v>1</v>
      </c>
      <c r="J279" s="149">
        <v>0</v>
      </c>
    </row>
    <row r="280" spans="1:10" s="136" customFormat="1" ht="9" customHeight="1" x14ac:dyDescent="0.25">
      <c r="A280" s="140" t="s">
        <v>35</v>
      </c>
      <c r="B280" s="147">
        <v>57</v>
      </c>
      <c r="C280" s="147">
        <v>74</v>
      </c>
      <c r="D280" s="147">
        <v>8</v>
      </c>
      <c r="E280" s="147">
        <v>4</v>
      </c>
      <c r="F280" s="147">
        <v>7</v>
      </c>
      <c r="G280" s="147">
        <v>1</v>
      </c>
      <c r="H280" s="147">
        <v>3</v>
      </c>
      <c r="I280" s="147">
        <v>1</v>
      </c>
      <c r="J280" s="149">
        <v>0</v>
      </c>
    </row>
    <row r="281" spans="1:10" s="136" customFormat="1" ht="9" customHeight="1" x14ac:dyDescent="0.25">
      <c r="A281" s="140" t="s">
        <v>128</v>
      </c>
      <c r="B281" s="147">
        <v>71</v>
      </c>
      <c r="C281" s="147">
        <v>93</v>
      </c>
      <c r="D281" s="147">
        <v>24</v>
      </c>
      <c r="E281" s="147">
        <v>14</v>
      </c>
      <c r="F281" s="147">
        <v>4</v>
      </c>
      <c r="G281" s="147">
        <v>4</v>
      </c>
      <c r="H281" s="147">
        <v>4</v>
      </c>
      <c r="I281" s="147">
        <v>2</v>
      </c>
      <c r="J281" s="149">
        <v>0</v>
      </c>
    </row>
    <row r="282" spans="1:10" s="136" customFormat="1" ht="9" customHeight="1" x14ac:dyDescent="0.25">
      <c r="A282" s="141" t="s">
        <v>129</v>
      </c>
      <c r="B282" s="150">
        <v>3</v>
      </c>
      <c r="C282" s="150">
        <v>32</v>
      </c>
      <c r="D282" s="150">
        <v>0</v>
      </c>
      <c r="E282" s="150">
        <v>4</v>
      </c>
      <c r="F282" s="150">
        <v>6</v>
      </c>
      <c r="G282" s="150">
        <v>1</v>
      </c>
      <c r="H282" s="150">
        <v>1</v>
      </c>
      <c r="I282" s="151">
        <v>0</v>
      </c>
      <c r="J282" s="151">
        <v>0</v>
      </c>
    </row>
    <row r="283" spans="1:10" s="136" customFormat="1" ht="9" customHeight="1" x14ac:dyDescent="0.25">
      <c r="A283" s="140" t="s">
        <v>38</v>
      </c>
      <c r="B283" s="147">
        <v>42</v>
      </c>
      <c r="C283" s="147">
        <v>32</v>
      </c>
      <c r="D283" s="147">
        <v>3</v>
      </c>
      <c r="E283" s="147">
        <v>11</v>
      </c>
      <c r="F283" s="147">
        <v>3</v>
      </c>
      <c r="G283" s="147">
        <v>1</v>
      </c>
      <c r="H283" s="147">
        <v>9</v>
      </c>
      <c r="I283" s="149">
        <v>0</v>
      </c>
      <c r="J283" s="147">
        <v>0</v>
      </c>
    </row>
    <row r="284" spans="1:10" s="136" customFormat="1" ht="9" customHeight="1" x14ac:dyDescent="0.25">
      <c r="A284" s="140" t="s">
        <v>39</v>
      </c>
      <c r="B284" s="147">
        <v>12</v>
      </c>
      <c r="C284" s="147">
        <v>23</v>
      </c>
      <c r="D284" s="147">
        <v>1</v>
      </c>
      <c r="E284" s="147">
        <v>2</v>
      </c>
      <c r="F284" s="147">
        <v>5</v>
      </c>
      <c r="G284" s="147">
        <v>2</v>
      </c>
      <c r="H284" s="147">
        <v>1</v>
      </c>
      <c r="I284" s="149">
        <v>0</v>
      </c>
      <c r="J284" s="149">
        <v>0</v>
      </c>
    </row>
    <row r="285" spans="1:10" s="136" customFormat="1" ht="9" customHeight="1" x14ac:dyDescent="0.25">
      <c r="A285" s="140" t="s">
        <v>40</v>
      </c>
      <c r="B285" s="147">
        <v>144</v>
      </c>
      <c r="C285" s="147">
        <v>88</v>
      </c>
      <c r="D285" s="147">
        <v>14</v>
      </c>
      <c r="E285" s="147">
        <v>9</v>
      </c>
      <c r="F285" s="147">
        <v>7</v>
      </c>
      <c r="G285" s="147">
        <v>1</v>
      </c>
      <c r="H285" s="147">
        <v>5</v>
      </c>
      <c r="I285" s="149">
        <v>1</v>
      </c>
      <c r="J285" s="149">
        <v>0</v>
      </c>
    </row>
    <row r="286" spans="1:10" s="136" customFormat="1" ht="9" customHeight="1" x14ac:dyDescent="0.25">
      <c r="A286" s="141" t="s">
        <v>41</v>
      </c>
      <c r="B286" s="150">
        <v>21</v>
      </c>
      <c r="C286" s="150">
        <v>16</v>
      </c>
      <c r="D286" s="150">
        <v>6</v>
      </c>
      <c r="E286" s="150">
        <v>1</v>
      </c>
      <c r="F286" s="151">
        <v>7</v>
      </c>
      <c r="G286" s="150">
        <v>7</v>
      </c>
      <c r="H286" s="151">
        <v>0</v>
      </c>
      <c r="I286" s="150">
        <v>1</v>
      </c>
      <c r="J286" s="151">
        <v>0</v>
      </c>
    </row>
    <row r="287" spans="1:10" s="136" customFormat="1" ht="9" customHeight="1" x14ac:dyDescent="0.25">
      <c r="A287" s="140" t="s">
        <v>42</v>
      </c>
      <c r="B287" s="147">
        <v>40</v>
      </c>
      <c r="C287" s="147">
        <v>40</v>
      </c>
      <c r="D287" s="147">
        <v>17</v>
      </c>
      <c r="E287" s="147">
        <v>3</v>
      </c>
      <c r="F287" s="147">
        <v>3</v>
      </c>
      <c r="G287" s="147">
        <v>3</v>
      </c>
      <c r="H287" s="147">
        <v>1</v>
      </c>
      <c r="I287" s="147">
        <v>1</v>
      </c>
      <c r="J287" s="149">
        <v>0</v>
      </c>
    </row>
    <row r="288" spans="1:10" s="136" customFormat="1" ht="9" customHeight="1" x14ac:dyDescent="0.25">
      <c r="A288" s="140" t="s">
        <v>43</v>
      </c>
      <c r="B288" s="147">
        <v>10</v>
      </c>
      <c r="C288" s="147">
        <v>26</v>
      </c>
      <c r="D288" s="147">
        <v>1</v>
      </c>
      <c r="E288" s="147">
        <v>3</v>
      </c>
      <c r="F288" s="147">
        <v>2</v>
      </c>
      <c r="G288" s="147">
        <v>0</v>
      </c>
      <c r="H288" s="147">
        <v>1</v>
      </c>
      <c r="I288" s="147">
        <v>1</v>
      </c>
      <c r="J288" s="149">
        <v>0</v>
      </c>
    </row>
    <row r="289" spans="1:10" s="136" customFormat="1" ht="9" customHeight="1" x14ac:dyDescent="0.25">
      <c r="A289" s="140" t="s">
        <v>44</v>
      </c>
      <c r="B289" s="147">
        <v>12</v>
      </c>
      <c r="C289" s="147">
        <v>22</v>
      </c>
      <c r="D289" s="147">
        <v>2</v>
      </c>
      <c r="E289" s="147">
        <v>1</v>
      </c>
      <c r="F289" s="147">
        <v>3</v>
      </c>
      <c r="G289" s="147">
        <v>1</v>
      </c>
      <c r="H289" s="147">
        <v>1</v>
      </c>
      <c r="I289" s="149">
        <v>0</v>
      </c>
      <c r="J289" s="149">
        <v>0</v>
      </c>
    </row>
    <row r="290" spans="1:10" s="136" customFormat="1" ht="9" customHeight="1" x14ac:dyDescent="0.25">
      <c r="A290" s="141" t="s">
        <v>45</v>
      </c>
      <c r="B290" s="150">
        <v>15</v>
      </c>
      <c r="C290" s="150">
        <v>28</v>
      </c>
      <c r="D290" s="150">
        <v>1</v>
      </c>
      <c r="E290" s="150">
        <v>2</v>
      </c>
      <c r="F290" s="150">
        <v>2</v>
      </c>
      <c r="G290" s="150">
        <v>3</v>
      </c>
      <c r="H290" s="150">
        <v>1</v>
      </c>
      <c r="I290" s="150">
        <v>1</v>
      </c>
      <c r="J290" s="151">
        <v>0</v>
      </c>
    </row>
    <row r="291" spans="1:10" s="136" customFormat="1" ht="9" customHeight="1" x14ac:dyDescent="0.25">
      <c r="A291" s="140" t="s">
        <v>46</v>
      </c>
      <c r="B291" s="147">
        <v>63</v>
      </c>
      <c r="C291" s="147">
        <v>37</v>
      </c>
      <c r="D291" s="147">
        <v>4</v>
      </c>
      <c r="E291" s="147">
        <v>8</v>
      </c>
      <c r="F291" s="147">
        <v>7</v>
      </c>
      <c r="G291" s="147">
        <v>4</v>
      </c>
      <c r="H291" s="147">
        <v>6</v>
      </c>
      <c r="I291" s="149">
        <v>0</v>
      </c>
      <c r="J291" s="149">
        <v>0</v>
      </c>
    </row>
    <row r="292" spans="1:10" s="136" customFormat="1" ht="9" customHeight="1" x14ac:dyDescent="0.25">
      <c r="A292" s="140" t="s">
        <v>47</v>
      </c>
      <c r="B292" s="147">
        <v>67</v>
      </c>
      <c r="C292" s="147">
        <v>78</v>
      </c>
      <c r="D292" s="147">
        <v>5</v>
      </c>
      <c r="E292" s="147">
        <v>5</v>
      </c>
      <c r="F292" s="147">
        <v>9</v>
      </c>
      <c r="G292" s="147">
        <v>0</v>
      </c>
      <c r="H292" s="147">
        <v>2</v>
      </c>
      <c r="I292" s="149">
        <v>0</v>
      </c>
      <c r="J292" s="149">
        <v>0</v>
      </c>
    </row>
    <row r="293" spans="1:10" s="136" customFormat="1" ht="9" customHeight="1" x14ac:dyDescent="0.25">
      <c r="A293" s="140" t="s">
        <v>48</v>
      </c>
      <c r="B293" s="147">
        <v>3</v>
      </c>
      <c r="C293" s="147">
        <v>10</v>
      </c>
      <c r="D293" s="147">
        <v>0</v>
      </c>
      <c r="E293" s="147">
        <v>1</v>
      </c>
      <c r="F293" s="147">
        <v>2</v>
      </c>
      <c r="G293" s="147">
        <v>2</v>
      </c>
      <c r="H293" s="147">
        <v>1</v>
      </c>
      <c r="I293" s="149">
        <v>0</v>
      </c>
      <c r="J293" s="149">
        <v>0</v>
      </c>
    </row>
    <row r="294" spans="1:10" s="136" customFormat="1" ht="9" customHeight="1" x14ac:dyDescent="0.25">
      <c r="A294" s="141" t="s">
        <v>49</v>
      </c>
      <c r="B294" s="150">
        <v>40</v>
      </c>
      <c r="C294" s="150">
        <v>59</v>
      </c>
      <c r="D294" s="150">
        <v>0</v>
      </c>
      <c r="E294" s="150">
        <v>6</v>
      </c>
      <c r="F294" s="150">
        <v>4</v>
      </c>
      <c r="G294" s="150">
        <v>2</v>
      </c>
      <c r="H294" s="150">
        <v>2</v>
      </c>
      <c r="I294" s="151">
        <v>0</v>
      </c>
      <c r="J294" s="151">
        <v>0</v>
      </c>
    </row>
    <row r="295" spans="1:10" s="136" customFormat="1" ht="9" customHeight="1" x14ac:dyDescent="0.25">
      <c r="A295" s="140" t="s">
        <v>50</v>
      </c>
      <c r="B295" s="147">
        <v>24</v>
      </c>
      <c r="C295" s="147">
        <v>11</v>
      </c>
      <c r="D295" s="147">
        <v>11</v>
      </c>
      <c r="E295" s="147">
        <v>2</v>
      </c>
      <c r="F295" s="147">
        <v>1</v>
      </c>
      <c r="G295" s="147">
        <v>5</v>
      </c>
      <c r="H295" s="147">
        <v>1</v>
      </c>
      <c r="I295" s="149">
        <v>0</v>
      </c>
      <c r="J295" s="149">
        <v>0</v>
      </c>
    </row>
    <row r="296" spans="1:10" s="136" customFormat="1" ht="9" customHeight="1" x14ac:dyDescent="0.25">
      <c r="A296" s="140" t="s">
        <v>130</v>
      </c>
      <c r="B296" s="147">
        <v>130</v>
      </c>
      <c r="C296" s="147">
        <v>61</v>
      </c>
      <c r="D296" s="147">
        <v>14</v>
      </c>
      <c r="E296" s="147">
        <v>7</v>
      </c>
      <c r="F296" s="147">
        <v>11</v>
      </c>
      <c r="G296" s="147">
        <v>7</v>
      </c>
      <c r="H296" s="147">
        <v>4</v>
      </c>
      <c r="I296" s="147">
        <v>1</v>
      </c>
      <c r="J296" s="147">
        <v>0</v>
      </c>
    </row>
    <row r="297" spans="1:10" s="136" customFormat="1" ht="9" customHeight="1" x14ac:dyDescent="0.25">
      <c r="A297" s="140" t="s">
        <v>52</v>
      </c>
      <c r="B297" s="147">
        <v>17</v>
      </c>
      <c r="C297" s="147">
        <v>30</v>
      </c>
      <c r="D297" s="147">
        <v>0</v>
      </c>
      <c r="E297" s="147">
        <v>1</v>
      </c>
      <c r="F297" s="147">
        <v>2</v>
      </c>
      <c r="G297" s="147">
        <v>2</v>
      </c>
      <c r="H297" s="147">
        <v>1</v>
      </c>
      <c r="I297" s="147">
        <v>1</v>
      </c>
      <c r="J297" s="149">
        <v>0</v>
      </c>
    </row>
    <row r="298" spans="1:10" s="136" customFormat="1" ht="9" customHeight="1" x14ac:dyDescent="0.25">
      <c r="A298" s="141" t="s">
        <v>53</v>
      </c>
      <c r="B298" s="150">
        <v>22</v>
      </c>
      <c r="C298" s="150">
        <v>25</v>
      </c>
      <c r="D298" s="150">
        <v>12</v>
      </c>
      <c r="E298" s="150">
        <v>2</v>
      </c>
      <c r="F298" s="150">
        <v>7</v>
      </c>
      <c r="G298" s="150">
        <v>6</v>
      </c>
      <c r="H298" s="150">
        <v>1</v>
      </c>
      <c r="I298" s="151">
        <v>0</v>
      </c>
      <c r="J298" s="151">
        <v>0</v>
      </c>
    </row>
    <row r="299" spans="1:10" s="136" customFormat="1" ht="9" customHeight="1" x14ac:dyDescent="0.25">
      <c r="B299" s="140"/>
      <c r="C299" s="147"/>
      <c r="D299" s="147"/>
      <c r="E299" s="140"/>
      <c r="F299" s="140"/>
      <c r="G299" s="140"/>
      <c r="H299" s="140"/>
      <c r="I299" s="140"/>
      <c r="J299" s="140"/>
    </row>
    <row r="300" spans="1:10" s="136" customFormat="1" ht="9" customHeight="1" x14ac:dyDescent="0.25">
      <c r="A300" s="135">
        <v>2005</v>
      </c>
      <c r="B300" s="140"/>
      <c r="C300" s="147"/>
      <c r="D300" s="147"/>
      <c r="E300" s="140"/>
      <c r="F300" s="140"/>
      <c r="G300" s="140"/>
      <c r="H300" s="140"/>
      <c r="I300" s="140"/>
      <c r="J300" s="140"/>
    </row>
    <row r="301" spans="1:10" s="136" customFormat="1" ht="9" customHeight="1" x14ac:dyDescent="0.25">
      <c r="A301" s="138" t="s">
        <v>13</v>
      </c>
      <c r="B301" s="148">
        <f t="shared" ref="B301:J301" si="8">SUM(B303:B334)</f>
        <v>1239</v>
      </c>
      <c r="C301" s="148">
        <f t="shared" si="8"/>
        <v>1516</v>
      </c>
      <c r="D301" s="148">
        <f t="shared" si="8"/>
        <v>183</v>
      </c>
      <c r="E301" s="148">
        <f t="shared" si="8"/>
        <v>143</v>
      </c>
      <c r="F301" s="148">
        <f t="shared" si="8"/>
        <v>139</v>
      </c>
      <c r="G301" s="148">
        <f t="shared" si="8"/>
        <v>74</v>
      </c>
      <c r="H301" s="148">
        <f t="shared" si="8"/>
        <v>74</v>
      </c>
      <c r="I301" s="148">
        <f t="shared" si="8"/>
        <v>15</v>
      </c>
      <c r="J301" s="148">
        <f t="shared" si="8"/>
        <v>4</v>
      </c>
    </row>
    <row r="302" spans="1:10" s="136" customFormat="1" ht="3.95" customHeight="1" x14ac:dyDescent="0.25">
      <c r="A302" s="138"/>
      <c r="B302" s="148"/>
      <c r="C302" s="148"/>
      <c r="D302" s="148"/>
      <c r="E302" s="148"/>
      <c r="F302" s="148"/>
      <c r="G302" s="148"/>
      <c r="H302" s="148"/>
      <c r="I302" s="148"/>
      <c r="J302" s="148"/>
    </row>
    <row r="303" spans="1:10" s="136" customFormat="1" ht="9" customHeight="1" x14ac:dyDescent="0.25">
      <c r="A303" s="140" t="s">
        <v>23</v>
      </c>
      <c r="B303" s="147">
        <v>12</v>
      </c>
      <c r="C303" s="147">
        <v>23</v>
      </c>
      <c r="D303" s="149">
        <v>0</v>
      </c>
      <c r="E303" s="149">
        <v>3</v>
      </c>
      <c r="F303" s="149">
        <v>1</v>
      </c>
      <c r="G303" s="149">
        <v>0</v>
      </c>
      <c r="H303" s="149">
        <v>1</v>
      </c>
      <c r="I303" s="149">
        <v>0</v>
      </c>
      <c r="J303" s="149">
        <v>0</v>
      </c>
    </row>
    <row r="304" spans="1:10" s="136" customFormat="1" ht="9" customHeight="1" x14ac:dyDescent="0.25">
      <c r="A304" s="140" t="s">
        <v>24</v>
      </c>
      <c r="B304" s="147">
        <v>53</v>
      </c>
      <c r="C304" s="147">
        <v>88</v>
      </c>
      <c r="D304" s="149">
        <v>2</v>
      </c>
      <c r="E304" s="149">
        <v>3</v>
      </c>
      <c r="F304" s="149">
        <v>4</v>
      </c>
      <c r="G304" s="149">
        <v>0</v>
      </c>
      <c r="H304" s="149">
        <v>3</v>
      </c>
      <c r="I304" s="149">
        <v>0</v>
      </c>
      <c r="J304" s="149">
        <v>0</v>
      </c>
    </row>
    <row r="305" spans="1:10" s="136" customFormat="1" ht="9" customHeight="1" x14ac:dyDescent="0.25">
      <c r="A305" s="140" t="s">
        <v>25</v>
      </c>
      <c r="B305" s="147">
        <v>25</v>
      </c>
      <c r="C305" s="147">
        <v>19</v>
      </c>
      <c r="D305" s="149">
        <v>0</v>
      </c>
      <c r="E305" s="149">
        <v>1</v>
      </c>
      <c r="F305" s="149">
        <v>1</v>
      </c>
      <c r="G305" s="149">
        <v>0</v>
      </c>
      <c r="H305" s="149">
        <v>1</v>
      </c>
      <c r="I305" s="149">
        <v>0</v>
      </c>
      <c r="J305" s="149">
        <v>0</v>
      </c>
    </row>
    <row r="306" spans="1:10" s="136" customFormat="1" ht="9" customHeight="1" x14ac:dyDescent="0.25">
      <c r="A306" s="141" t="s">
        <v>26</v>
      </c>
      <c r="B306" s="150">
        <v>17</v>
      </c>
      <c r="C306" s="150">
        <v>14</v>
      </c>
      <c r="D306" s="151">
        <v>3</v>
      </c>
      <c r="E306" s="151">
        <v>3</v>
      </c>
      <c r="F306" s="151">
        <v>2</v>
      </c>
      <c r="G306" s="151">
        <v>0</v>
      </c>
      <c r="H306" s="151">
        <v>1</v>
      </c>
      <c r="I306" s="151">
        <v>0</v>
      </c>
      <c r="J306" s="151">
        <v>0</v>
      </c>
    </row>
    <row r="307" spans="1:10" s="136" customFormat="1" ht="9" customHeight="1" x14ac:dyDescent="0.25">
      <c r="A307" s="140" t="s">
        <v>126</v>
      </c>
      <c r="B307" s="147">
        <v>43</v>
      </c>
      <c r="C307" s="147">
        <v>76</v>
      </c>
      <c r="D307" s="149">
        <v>10</v>
      </c>
      <c r="E307" s="149">
        <v>4</v>
      </c>
      <c r="F307" s="149">
        <v>6</v>
      </c>
      <c r="G307" s="149">
        <v>0</v>
      </c>
      <c r="H307" s="149">
        <v>3</v>
      </c>
      <c r="I307" s="149">
        <v>1</v>
      </c>
      <c r="J307" s="149">
        <v>0</v>
      </c>
    </row>
    <row r="308" spans="1:10" s="136" customFormat="1" ht="9" customHeight="1" x14ac:dyDescent="0.25">
      <c r="A308" s="140" t="s">
        <v>28</v>
      </c>
      <c r="B308" s="147">
        <v>16</v>
      </c>
      <c r="C308" s="136">
        <v>22</v>
      </c>
      <c r="D308" s="149">
        <v>1</v>
      </c>
      <c r="E308" s="149">
        <v>3</v>
      </c>
      <c r="F308" s="149">
        <v>3</v>
      </c>
      <c r="G308" s="149">
        <v>0</v>
      </c>
      <c r="H308" s="149">
        <v>1</v>
      </c>
      <c r="I308" s="149">
        <v>0</v>
      </c>
      <c r="J308" s="149">
        <v>0</v>
      </c>
    </row>
    <row r="309" spans="1:10" s="136" customFormat="1" ht="9" customHeight="1" x14ac:dyDescent="0.25">
      <c r="A309" s="140" t="s">
        <v>29</v>
      </c>
      <c r="B309" s="147">
        <v>9</v>
      </c>
      <c r="C309" s="147">
        <v>21</v>
      </c>
      <c r="D309" s="149">
        <v>1</v>
      </c>
      <c r="E309" s="149">
        <v>2</v>
      </c>
      <c r="F309" s="149">
        <v>4</v>
      </c>
      <c r="G309" s="149">
        <v>4</v>
      </c>
      <c r="H309" s="149">
        <v>0</v>
      </c>
      <c r="I309" s="149">
        <v>1</v>
      </c>
      <c r="J309" s="149">
        <v>0</v>
      </c>
    </row>
    <row r="310" spans="1:10" s="136" customFormat="1" ht="9" customHeight="1" x14ac:dyDescent="0.25">
      <c r="A310" s="141" t="s">
        <v>30</v>
      </c>
      <c r="B310" s="150">
        <v>55</v>
      </c>
      <c r="C310" s="150">
        <v>102</v>
      </c>
      <c r="D310" s="151">
        <v>13</v>
      </c>
      <c r="E310" s="151">
        <v>4</v>
      </c>
      <c r="F310" s="151">
        <v>6</v>
      </c>
      <c r="G310" s="151">
        <v>3</v>
      </c>
      <c r="H310" s="151">
        <v>1</v>
      </c>
      <c r="I310" s="151">
        <v>2</v>
      </c>
      <c r="J310" s="151">
        <v>0</v>
      </c>
    </row>
    <row r="311" spans="1:10" s="136" customFormat="1" ht="9" customHeight="1" x14ac:dyDescent="0.25">
      <c r="A311" s="140" t="s">
        <v>127</v>
      </c>
      <c r="B311" s="147">
        <v>156</v>
      </c>
      <c r="C311" s="147">
        <v>144</v>
      </c>
      <c r="D311" s="149">
        <v>47</v>
      </c>
      <c r="E311" s="149">
        <v>22</v>
      </c>
      <c r="F311" s="149">
        <v>7</v>
      </c>
      <c r="G311" s="149">
        <v>3</v>
      </c>
      <c r="H311" s="149">
        <v>11</v>
      </c>
      <c r="I311" s="149">
        <v>1</v>
      </c>
      <c r="J311" s="149">
        <v>0</v>
      </c>
    </row>
    <row r="312" spans="1:10" s="136" customFormat="1" ht="9" customHeight="1" x14ac:dyDescent="0.25">
      <c r="A312" s="140" t="s">
        <v>31</v>
      </c>
      <c r="B312" s="147">
        <v>23</v>
      </c>
      <c r="C312" s="147">
        <v>18</v>
      </c>
      <c r="D312" s="149">
        <v>0</v>
      </c>
      <c r="E312" s="149">
        <v>2</v>
      </c>
      <c r="F312" s="149">
        <v>2</v>
      </c>
      <c r="G312" s="149">
        <v>2</v>
      </c>
      <c r="H312" s="149">
        <v>1</v>
      </c>
      <c r="I312" s="149">
        <v>0</v>
      </c>
      <c r="J312" s="149">
        <v>0</v>
      </c>
    </row>
    <row r="313" spans="1:10" s="136" customFormat="1" ht="9" customHeight="1" x14ac:dyDescent="0.25">
      <c r="A313" s="140" t="s">
        <v>32</v>
      </c>
      <c r="B313" s="147">
        <v>6</v>
      </c>
      <c r="C313" s="147">
        <v>61</v>
      </c>
      <c r="D313" s="149">
        <v>0</v>
      </c>
      <c r="E313" s="149">
        <v>2</v>
      </c>
      <c r="F313" s="149">
        <v>5</v>
      </c>
      <c r="G313" s="149">
        <v>3</v>
      </c>
      <c r="H313" s="149">
        <v>1</v>
      </c>
      <c r="I313" s="149">
        <v>0</v>
      </c>
      <c r="J313" s="149">
        <v>0</v>
      </c>
    </row>
    <row r="314" spans="1:10" s="136" customFormat="1" ht="9" customHeight="1" x14ac:dyDescent="0.25">
      <c r="A314" s="141" t="s">
        <v>33</v>
      </c>
      <c r="B314" s="150">
        <v>17</v>
      </c>
      <c r="C314" s="150">
        <v>17</v>
      </c>
      <c r="D314" s="151">
        <v>1</v>
      </c>
      <c r="E314" s="151">
        <v>5</v>
      </c>
      <c r="F314" s="151">
        <v>5</v>
      </c>
      <c r="G314" s="151">
        <v>1</v>
      </c>
      <c r="H314" s="151">
        <v>4</v>
      </c>
      <c r="I314" s="151">
        <v>0</v>
      </c>
      <c r="J314" s="151">
        <v>0</v>
      </c>
    </row>
    <row r="315" spans="1:10" s="136" customFormat="1" ht="9" customHeight="1" x14ac:dyDescent="0.25">
      <c r="A315" s="140" t="s">
        <v>34</v>
      </c>
      <c r="B315" s="147">
        <v>14</v>
      </c>
      <c r="C315" s="147">
        <v>27</v>
      </c>
      <c r="D315" s="149">
        <v>3</v>
      </c>
      <c r="E315" s="149">
        <v>3</v>
      </c>
      <c r="F315" s="149">
        <v>5</v>
      </c>
      <c r="G315" s="149">
        <v>9</v>
      </c>
      <c r="H315" s="149">
        <v>1</v>
      </c>
      <c r="I315" s="149">
        <v>1</v>
      </c>
      <c r="J315" s="149">
        <v>0</v>
      </c>
    </row>
    <row r="316" spans="1:10" s="136" customFormat="1" ht="9" customHeight="1" x14ac:dyDescent="0.25">
      <c r="A316" s="140" t="s">
        <v>35</v>
      </c>
      <c r="B316" s="147">
        <v>56</v>
      </c>
      <c r="C316" s="147">
        <v>90</v>
      </c>
      <c r="D316" s="149">
        <v>8</v>
      </c>
      <c r="E316" s="149">
        <v>4</v>
      </c>
      <c r="F316" s="149">
        <v>8</v>
      </c>
      <c r="G316" s="149">
        <v>1</v>
      </c>
      <c r="H316" s="149">
        <v>3</v>
      </c>
      <c r="I316" s="149">
        <v>1</v>
      </c>
      <c r="J316" s="149">
        <v>0</v>
      </c>
    </row>
    <row r="317" spans="1:10" s="136" customFormat="1" ht="9" customHeight="1" x14ac:dyDescent="0.25">
      <c r="A317" s="140" t="s">
        <v>128</v>
      </c>
      <c r="B317" s="147">
        <v>67</v>
      </c>
      <c r="C317" s="147">
        <v>110</v>
      </c>
      <c r="D317" s="149">
        <v>23</v>
      </c>
      <c r="E317" s="149">
        <v>14</v>
      </c>
      <c r="F317" s="149">
        <v>4</v>
      </c>
      <c r="G317" s="149">
        <v>3</v>
      </c>
      <c r="H317" s="149">
        <v>4</v>
      </c>
      <c r="I317" s="149">
        <v>2</v>
      </c>
      <c r="J317" s="149">
        <v>0</v>
      </c>
    </row>
    <row r="318" spans="1:10" s="136" customFormat="1" ht="9" customHeight="1" x14ac:dyDescent="0.25">
      <c r="A318" s="141" t="s">
        <v>129</v>
      </c>
      <c r="B318" s="150">
        <v>2</v>
      </c>
      <c r="C318" s="150">
        <v>38</v>
      </c>
      <c r="D318" s="151">
        <v>0</v>
      </c>
      <c r="E318" s="151">
        <v>4</v>
      </c>
      <c r="F318" s="151">
        <v>5</v>
      </c>
      <c r="G318" s="151">
        <v>1</v>
      </c>
      <c r="H318" s="151">
        <v>1</v>
      </c>
      <c r="I318" s="151">
        <v>0</v>
      </c>
      <c r="J318" s="151">
        <v>0</v>
      </c>
    </row>
    <row r="319" spans="1:10" s="136" customFormat="1" ht="9" customHeight="1" x14ac:dyDescent="0.25">
      <c r="A319" s="140" t="s">
        <v>38</v>
      </c>
      <c r="B319" s="147">
        <v>52</v>
      </c>
      <c r="C319" s="147">
        <v>35</v>
      </c>
      <c r="D319" s="149">
        <v>3</v>
      </c>
      <c r="E319" s="149">
        <v>11</v>
      </c>
      <c r="F319" s="149">
        <v>3</v>
      </c>
      <c r="G319" s="149">
        <v>1</v>
      </c>
      <c r="H319" s="149">
        <v>9</v>
      </c>
      <c r="I319" s="149">
        <v>0</v>
      </c>
      <c r="J319" s="149">
        <v>1</v>
      </c>
    </row>
    <row r="320" spans="1:10" s="136" customFormat="1" ht="9" customHeight="1" x14ac:dyDescent="0.25">
      <c r="A320" s="140" t="s">
        <v>39</v>
      </c>
      <c r="B320" s="147">
        <v>12</v>
      </c>
      <c r="C320" s="147">
        <v>18</v>
      </c>
      <c r="D320" s="149">
        <v>1</v>
      </c>
      <c r="E320" s="149">
        <v>2</v>
      </c>
      <c r="F320" s="149">
        <v>4</v>
      </c>
      <c r="G320" s="149">
        <v>2</v>
      </c>
      <c r="H320" s="149">
        <v>1</v>
      </c>
      <c r="I320" s="149">
        <v>0</v>
      </c>
      <c r="J320" s="149">
        <v>0</v>
      </c>
    </row>
    <row r="321" spans="1:10" s="136" customFormat="1" ht="9" customHeight="1" x14ac:dyDescent="0.25">
      <c r="A321" s="140" t="s">
        <v>40</v>
      </c>
      <c r="B321" s="147">
        <v>156</v>
      </c>
      <c r="C321" s="147">
        <v>97</v>
      </c>
      <c r="D321" s="149">
        <v>11</v>
      </c>
      <c r="E321" s="149">
        <v>9</v>
      </c>
      <c r="F321" s="149">
        <v>7</v>
      </c>
      <c r="G321" s="149">
        <v>0</v>
      </c>
      <c r="H321" s="149">
        <v>5</v>
      </c>
      <c r="I321" s="149">
        <v>1</v>
      </c>
      <c r="J321" s="149">
        <v>0</v>
      </c>
    </row>
    <row r="322" spans="1:10" s="136" customFormat="1" ht="9" customHeight="1" x14ac:dyDescent="0.25">
      <c r="A322" s="141" t="s">
        <v>41</v>
      </c>
      <c r="B322" s="150">
        <v>15</v>
      </c>
      <c r="C322" s="150">
        <v>18</v>
      </c>
      <c r="D322" s="151">
        <v>1</v>
      </c>
      <c r="E322" s="151">
        <v>1</v>
      </c>
      <c r="F322" s="151">
        <v>7</v>
      </c>
      <c r="G322" s="151">
        <v>7</v>
      </c>
      <c r="H322" s="151">
        <v>0</v>
      </c>
      <c r="I322" s="151">
        <v>0</v>
      </c>
      <c r="J322" s="151">
        <v>0</v>
      </c>
    </row>
    <row r="323" spans="1:10" s="136" customFormat="1" ht="9" customHeight="1" x14ac:dyDescent="0.25">
      <c r="A323" s="140" t="s">
        <v>42</v>
      </c>
      <c r="B323" s="147">
        <v>45</v>
      </c>
      <c r="C323" s="147">
        <v>42</v>
      </c>
      <c r="D323" s="149">
        <v>18</v>
      </c>
      <c r="E323" s="149">
        <v>3</v>
      </c>
      <c r="F323" s="149">
        <v>3</v>
      </c>
      <c r="G323" s="149">
        <v>3</v>
      </c>
      <c r="H323" s="149">
        <v>1</v>
      </c>
      <c r="I323" s="149">
        <v>1</v>
      </c>
      <c r="J323" s="149">
        <v>1</v>
      </c>
    </row>
    <row r="324" spans="1:10" s="136" customFormat="1" ht="9" customHeight="1" x14ac:dyDescent="0.25">
      <c r="A324" s="140" t="s">
        <v>43</v>
      </c>
      <c r="B324" s="147">
        <v>10</v>
      </c>
      <c r="C324" s="147">
        <v>29</v>
      </c>
      <c r="D324" s="149">
        <v>1</v>
      </c>
      <c r="E324" s="149">
        <v>3</v>
      </c>
      <c r="F324" s="149">
        <v>2</v>
      </c>
      <c r="G324" s="149">
        <v>0</v>
      </c>
      <c r="H324" s="149">
        <v>1</v>
      </c>
      <c r="I324" s="149">
        <v>1</v>
      </c>
      <c r="J324" s="149">
        <v>0</v>
      </c>
    </row>
    <row r="325" spans="1:10" s="136" customFormat="1" ht="9" customHeight="1" x14ac:dyDescent="0.25">
      <c r="A325" s="140" t="s">
        <v>44</v>
      </c>
      <c r="B325" s="147">
        <v>13</v>
      </c>
      <c r="C325" s="147">
        <v>23</v>
      </c>
      <c r="D325" s="149">
        <v>3</v>
      </c>
      <c r="E325" s="149">
        <v>1</v>
      </c>
      <c r="F325" s="149">
        <v>1</v>
      </c>
      <c r="G325" s="149">
        <v>1</v>
      </c>
      <c r="H325" s="149">
        <v>1</v>
      </c>
      <c r="I325" s="149">
        <v>0</v>
      </c>
      <c r="J325" s="149">
        <v>0</v>
      </c>
    </row>
    <row r="326" spans="1:10" s="136" customFormat="1" ht="9" customHeight="1" x14ac:dyDescent="0.25">
      <c r="A326" s="141" t="s">
        <v>45</v>
      </c>
      <c r="B326" s="150">
        <v>14</v>
      </c>
      <c r="C326" s="150">
        <v>31</v>
      </c>
      <c r="D326" s="151">
        <v>0</v>
      </c>
      <c r="E326" s="151">
        <v>2</v>
      </c>
      <c r="F326" s="151">
        <v>2</v>
      </c>
      <c r="G326" s="151">
        <v>2</v>
      </c>
      <c r="H326" s="151">
        <v>1</v>
      </c>
      <c r="I326" s="151">
        <v>1</v>
      </c>
      <c r="J326" s="151">
        <v>0</v>
      </c>
    </row>
    <row r="327" spans="1:10" s="136" customFormat="1" ht="9" customHeight="1" x14ac:dyDescent="0.25">
      <c r="A327" s="140" t="s">
        <v>46</v>
      </c>
      <c r="B327" s="147">
        <v>68</v>
      </c>
      <c r="C327" s="147">
        <v>44</v>
      </c>
      <c r="D327" s="149">
        <v>4</v>
      </c>
      <c r="E327" s="149">
        <v>8</v>
      </c>
      <c r="F327" s="149">
        <v>6</v>
      </c>
      <c r="G327" s="149">
        <v>4</v>
      </c>
      <c r="H327" s="149">
        <v>6</v>
      </c>
      <c r="I327" s="149">
        <v>0</v>
      </c>
      <c r="J327" s="149">
        <v>0</v>
      </c>
    </row>
    <row r="328" spans="1:10" s="136" customFormat="1" ht="9" customHeight="1" x14ac:dyDescent="0.25">
      <c r="A328" s="140" t="s">
        <v>47</v>
      </c>
      <c r="B328" s="147">
        <v>67</v>
      </c>
      <c r="C328" s="147">
        <v>88</v>
      </c>
      <c r="D328" s="149">
        <v>5</v>
      </c>
      <c r="E328" s="149">
        <v>5</v>
      </c>
      <c r="F328" s="149">
        <v>9</v>
      </c>
      <c r="G328" s="149">
        <v>0</v>
      </c>
      <c r="H328" s="149">
        <v>2</v>
      </c>
      <c r="I328" s="149">
        <v>0</v>
      </c>
      <c r="J328" s="149">
        <v>0</v>
      </c>
    </row>
    <row r="329" spans="1:10" s="136" customFormat="1" ht="9" customHeight="1" x14ac:dyDescent="0.25">
      <c r="A329" s="140" t="s">
        <v>48</v>
      </c>
      <c r="B329" s="147">
        <v>4</v>
      </c>
      <c r="C329" s="147">
        <v>12</v>
      </c>
      <c r="D329" s="149">
        <v>1</v>
      </c>
      <c r="E329" s="149">
        <v>1</v>
      </c>
      <c r="F329" s="149">
        <v>2</v>
      </c>
      <c r="G329" s="149">
        <v>2</v>
      </c>
      <c r="H329" s="149">
        <v>1</v>
      </c>
      <c r="I329" s="149">
        <v>0</v>
      </c>
      <c r="J329" s="149">
        <v>0</v>
      </c>
    </row>
    <row r="330" spans="1:10" s="136" customFormat="1" ht="9" customHeight="1" x14ac:dyDescent="0.25">
      <c r="A330" s="141" t="s">
        <v>49</v>
      </c>
      <c r="B330" s="150">
        <v>36</v>
      </c>
      <c r="C330" s="150">
        <v>67</v>
      </c>
      <c r="D330" s="151">
        <v>0</v>
      </c>
      <c r="E330" s="151">
        <v>6</v>
      </c>
      <c r="F330" s="151">
        <v>4</v>
      </c>
      <c r="G330" s="151">
        <v>2</v>
      </c>
      <c r="H330" s="151">
        <v>2</v>
      </c>
      <c r="I330" s="151">
        <v>0</v>
      </c>
      <c r="J330" s="151">
        <v>0</v>
      </c>
    </row>
    <row r="331" spans="1:10" s="136" customFormat="1" ht="9" customHeight="1" x14ac:dyDescent="0.25">
      <c r="A331" s="140" t="s">
        <v>50</v>
      </c>
      <c r="B331" s="147">
        <v>19</v>
      </c>
      <c r="C331" s="147">
        <v>11</v>
      </c>
      <c r="D331" s="149">
        <v>9</v>
      </c>
      <c r="E331" s="149">
        <v>2</v>
      </c>
      <c r="F331" s="149">
        <v>1</v>
      </c>
      <c r="G331" s="149">
        <v>5</v>
      </c>
      <c r="H331" s="149">
        <v>1</v>
      </c>
      <c r="I331" s="149">
        <v>0</v>
      </c>
      <c r="J331" s="149">
        <v>2</v>
      </c>
    </row>
    <row r="332" spans="1:10" s="136" customFormat="1" ht="9" customHeight="1" x14ac:dyDescent="0.25">
      <c r="A332" s="140" t="s">
        <v>130</v>
      </c>
      <c r="B332" s="147">
        <v>133</v>
      </c>
      <c r="C332" s="147">
        <v>69</v>
      </c>
      <c r="D332" s="149">
        <v>11</v>
      </c>
      <c r="E332" s="149">
        <v>7</v>
      </c>
      <c r="F332" s="149">
        <v>11</v>
      </c>
      <c r="G332" s="149">
        <v>7</v>
      </c>
      <c r="H332" s="149">
        <v>4</v>
      </c>
      <c r="I332" s="149">
        <v>1</v>
      </c>
      <c r="J332" s="149">
        <v>0</v>
      </c>
    </row>
    <row r="333" spans="1:10" s="136" customFormat="1" ht="9" customHeight="1" x14ac:dyDescent="0.25">
      <c r="A333" s="140" t="s">
        <v>52</v>
      </c>
      <c r="B333" s="147">
        <v>13</v>
      </c>
      <c r="C333" s="147">
        <v>34</v>
      </c>
      <c r="D333" s="149">
        <v>0</v>
      </c>
      <c r="E333" s="149">
        <v>1</v>
      </c>
      <c r="F333" s="149">
        <v>2</v>
      </c>
      <c r="G333" s="149">
        <v>2</v>
      </c>
      <c r="H333" s="149">
        <v>1</v>
      </c>
      <c r="I333" s="149">
        <v>1</v>
      </c>
      <c r="J333" s="149">
        <v>0</v>
      </c>
    </row>
    <row r="334" spans="1:10" s="136" customFormat="1" ht="9" customHeight="1" x14ac:dyDescent="0.25">
      <c r="A334" s="141" t="s">
        <v>53</v>
      </c>
      <c r="B334" s="150">
        <v>11</v>
      </c>
      <c r="C334" s="150">
        <v>28</v>
      </c>
      <c r="D334" s="151">
        <v>3</v>
      </c>
      <c r="E334" s="151">
        <v>2</v>
      </c>
      <c r="F334" s="151">
        <v>7</v>
      </c>
      <c r="G334" s="151">
        <v>6</v>
      </c>
      <c r="H334" s="151">
        <v>1</v>
      </c>
      <c r="I334" s="151">
        <v>0</v>
      </c>
      <c r="J334" s="151">
        <v>0</v>
      </c>
    </row>
    <row r="335" spans="1:10" s="136" customFormat="1" ht="9" customHeight="1" x14ac:dyDescent="0.25">
      <c r="B335" s="140"/>
      <c r="C335" s="147"/>
      <c r="D335" s="147"/>
      <c r="E335" s="140"/>
      <c r="F335" s="140"/>
      <c r="G335" s="140"/>
      <c r="H335" s="140"/>
      <c r="I335" s="140"/>
      <c r="J335" s="140"/>
    </row>
    <row r="336" spans="1:10" s="136" customFormat="1" ht="9" customHeight="1" x14ac:dyDescent="0.25">
      <c r="A336" s="135">
        <v>2006</v>
      </c>
      <c r="B336" s="140"/>
      <c r="C336" s="147"/>
      <c r="D336" s="147"/>
      <c r="E336" s="140"/>
      <c r="F336" s="140"/>
      <c r="G336" s="140"/>
      <c r="H336" s="140"/>
      <c r="I336" s="140"/>
      <c r="J336" s="140"/>
    </row>
    <row r="337" spans="1:10" s="136" customFormat="1" ht="9" customHeight="1" x14ac:dyDescent="0.25">
      <c r="A337" s="138" t="s">
        <v>13</v>
      </c>
      <c r="B337" s="148">
        <f t="shared" ref="B337:J337" si="9">SUM(B339:B370)</f>
        <v>1160</v>
      </c>
      <c r="C337" s="148">
        <f t="shared" si="9"/>
        <v>1561</v>
      </c>
      <c r="D337" s="148">
        <f t="shared" si="9"/>
        <v>122</v>
      </c>
      <c r="E337" s="148">
        <f t="shared" si="9"/>
        <v>143</v>
      </c>
      <c r="F337" s="148">
        <f t="shared" si="9"/>
        <v>136</v>
      </c>
      <c r="G337" s="148">
        <f t="shared" si="9"/>
        <v>74</v>
      </c>
      <c r="H337" s="148">
        <f t="shared" si="9"/>
        <v>74</v>
      </c>
      <c r="I337" s="148">
        <f t="shared" si="9"/>
        <v>15</v>
      </c>
      <c r="J337" s="148">
        <f t="shared" si="9"/>
        <v>4</v>
      </c>
    </row>
    <row r="338" spans="1:10" s="136" customFormat="1" ht="3.95" customHeight="1" x14ac:dyDescent="0.25">
      <c r="A338" s="138"/>
      <c r="B338" s="148"/>
      <c r="C338" s="148"/>
      <c r="D338" s="148"/>
      <c r="E338" s="148"/>
      <c r="F338" s="148"/>
      <c r="G338" s="148"/>
      <c r="H338" s="148"/>
      <c r="I338" s="148"/>
      <c r="J338" s="148"/>
    </row>
    <row r="339" spans="1:10" s="136" customFormat="1" ht="9" customHeight="1" x14ac:dyDescent="0.25">
      <c r="A339" s="140" t="s">
        <v>23</v>
      </c>
      <c r="B339" s="147">
        <v>10</v>
      </c>
      <c r="C339" s="147">
        <v>24</v>
      </c>
      <c r="D339" s="149">
        <v>0</v>
      </c>
      <c r="E339" s="149">
        <v>3</v>
      </c>
      <c r="F339" s="149">
        <v>1</v>
      </c>
      <c r="G339" s="149">
        <v>0</v>
      </c>
      <c r="H339" s="149">
        <v>1</v>
      </c>
      <c r="I339" s="149">
        <v>0</v>
      </c>
      <c r="J339" s="149">
        <v>0</v>
      </c>
    </row>
    <row r="340" spans="1:10" s="136" customFormat="1" ht="9" customHeight="1" x14ac:dyDescent="0.25">
      <c r="A340" s="140" t="s">
        <v>24</v>
      </c>
      <c r="B340" s="147">
        <v>53</v>
      </c>
      <c r="C340" s="147">
        <v>93</v>
      </c>
      <c r="D340" s="149">
        <v>1</v>
      </c>
      <c r="E340" s="149">
        <v>3</v>
      </c>
      <c r="F340" s="149">
        <v>4</v>
      </c>
      <c r="G340" s="149">
        <v>0</v>
      </c>
      <c r="H340" s="149">
        <v>3</v>
      </c>
      <c r="I340" s="149">
        <v>0</v>
      </c>
      <c r="J340" s="149">
        <v>0</v>
      </c>
    </row>
    <row r="341" spans="1:10" s="136" customFormat="1" ht="9" customHeight="1" x14ac:dyDescent="0.25">
      <c r="A341" s="140" t="s">
        <v>25</v>
      </c>
      <c r="B341" s="147">
        <v>23</v>
      </c>
      <c r="C341" s="147">
        <v>19</v>
      </c>
      <c r="D341" s="149">
        <v>0</v>
      </c>
      <c r="E341" s="149">
        <v>1</v>
      </c>
      <c r="F341" s="149">
        <v>1</v>
      </c>
      <c r="G341" s="149">
        <v>0</v>
      </c>
      <c r="H341" s="149">
        <v>1</v>
      </c>
      <c r="I341" s="149">
        <v>0</v>
      </c>
      <c r="J341" s="149">
        <v>0</v>
      </c>
    </row>
    <row r="342" spans="1:10" s="136" customFormat="1" ht="9" customHeight="1" x14ac:dyDescent="0.25">
      <c r="A342" s="141" t="s">
        <v>26</v>
      </c>
      <c r="B342" s="150">
        <v>19</v>
      </c>
      <c r="C342" s="150">
        <v>14</v>
      </c>
      <c r="D342" s="151">
        <v>3</v>
      </c>
      <c r="E342" s="151">
        <v>3</v>
      </c>
      <c r="F342" s="151">
        <v>2</v>
      </c>
      <c r="G342" s="151">
        <v>0</v>
      </c>
      <c r="H342" s="151">
        <v>1</v>
      </c>
      <c r="I342" s="151">
        <v>0</v>
      </c>
      <c r="J342" s="151">
        <v>0</v>
      </c>
    </row>
    <row r="343" spans="1:10" s="136" customFormat="1" ht="9" customHeight="1" x14ac:dyDescent="0.25">
      <c r="A343" s="140" t="s">
        <v>126</v>
      </c>
      <c r="B343" s="147">
        <v>34</v>
      </c>
      <c r="C343" s="147">
        <v>21</v>
      </c>
      <c r="D343" s="149">
        <v>11</v>
      </c>
      <c r="E343" s="149">
        <v>4</v>
      </c>
      <c r="F343" s="149">
        <v>6</v>
      </c>
      <c r="G343" s="149">
        <v>0</v>
      </c>
      <c r="H343" s="149">
        <v>3</v>
      </c>
      <c r="I343" s="149">
        <v>1</v>
      </c>
      <c r="J343" s="149">
        <v>0</v>
      </c>
    </row>
    <row r="344" spans="1:10" s="136" customFormat="1" ht="9" customHeight="1" x14ac:dyDescent="0.25">
      <c r="A344" s="140" t="s">
        <v>28</v>
      </c>
      <c r="B344" s="147">
        <v>16</v>
      </c>
      <c r="C344" s="136">
        <v>101</v>
      </c>
      <c r="D344" s="149">
        <v>1</v>
      </c>
      <c r="E344" s="149">
        <v>3</v>
      </c>
      <c r="F344" s="149">
        <v>3</v>
      </c>
      <c r="G344" s="149">
        <v>0</v>
      </c>
      <c r="H344" s="149">
        <v>1</v>
      </c>
      <c r="I344" s="149">
        <v>0</v>
      </c>
      <c r="J344" s="149">
        <v>0</v>
      </c>
    </row>
    <row r="345" spans="1:10" s="136" customFormat="1" ht="9" customHeight="1" x14ac:dyDescent="0.25">
      <c r="A345" s="140" t="s">
        <v>29</v>
      </c>
      <c r="B345" s="147">
        <v>8</v>
      </c>
      <c r="C345" s="147">
        <v>79</v>
      </c>
      <c r="D345" s="149">
        <v>1</v>
      </c>
      <c r="E345" s="149">
        <v>2</v>
      </c>
      <c r="F345" s="149">
        <v>4</v>
      </c>
      <c r="G345" s="149">
        <v>4</v>
      </c>
      <c r="H345" s="149">
        <v>0</v>
      </c>
      <c r="I345" s="149">
        <v>1</v>
      </c>
      <c r="J345" s="149">
        <v>0</v>
      </c>
    </row>
    <row r="346" spans="1:10" s="136" customFormat="1" ht="9" customHeight="1" x14ac:dyDescent="0.25">
      <c r="A346" s="141" t="s">
        <v>30</v>
      </c>
      <c r="B346" s="150">
        <v>53</v>
      </c>
      <c r="C346" s="150">
        <v>20</v>
      </c>
      <c r="D346" s="151">
        <v>9</v>
      </c>
      <c r="E346" s="151">
        <v>4</v>
      </c>
      <c r="F346" s="151">
        <v>6</v>
      </c>
      <c r="G346" s="151">
        <v>3</v>
      </c>
      <c r="H346" s="151">
        <v>1</v>
      </c>
      <c r="I346" s="151">
        <v>2</v>
      </c>
      <c r="J346" s="151">
        <v>0</v>
      </c>
    </row>
    <row r="347" spans="1:10" s="136" customFormat="1" ht="9" customHeight="1" x14ac:dyDescent="0.25">
      <c r="A347" s="140" t="s">
        <v>127</v>
      </c>
      <c r="B347" s="147">
        <v>170</v>
      </c>
      <c r="C347" s="147">
        <v>147</v>
      </c>
      <c r="D347" s="149">
        <v>18</v>
      </c>
      <c r="E347" s="149">
        <v>22</v>
      </c>
      <c r="F347" s="149">
        <v>6</v>
      </c>
      <c r="G347" s="149">
        <v>3</v>
      </c>
      <c r="H347" s="149">
        <v>11</v>
      </c>
      <c r="I347" s="149">
        <v>1</v>
      </c>
      <c r="J347" s="149">
        <v>0</v>
      </c>
    </row>
    <row r="348" spans="1:10" s="136" customFormat="1" ht="9" customHeight="1" x14ac:dyDescent="0.25">
      <c r="A348" s="140" t="s">
        <v>31</v>
      </c>
      <c r="B348" s="147">
        <v>19</v>
      </c>
      <c r="C348" s="147">
        <v>20</v>
      </c>
      <c r="D348" s="149">
        <v>0</v>
      </c>
      <c r="E348" s="149">
        <v>2</v>
      </c>
      <c r="F348" s="149">
        <v>2</v>
      </c>
      <c r="G348" s="149">
        <v>2</v>
      </c>
      <c r="H348" s="149">
        <v>1</v>
      </c>
      <c r="I348" s="149">
        <v>0</v>
      </c>
      <c r="J348" s="149">
        <v>0</v>
      </c>
    </row>
    <row r="349" spans="1:10" s="136" customFormat="1" ht="9" customHeight="1" x14ac:dyDescent="0.25">
      <c r="A349" s="140" t="s">
        <v>32</v>
      </c>
      <c r="B349" s="147">
        <v>9</v>
      </c>
      <c r="C349" s="147">
        <v>27</v>
      </c>
      <c r="D349" s="149">
        <v>0</v>
      </c>
      <c r="E349" s="149">
        <v>2</v>
      </c>
      <c r="F349" s="149">
        <v>5</v>
      </c>
      <c r="G349" s="149">
        <v>3</v>
      </c>
      <c r="H349" s="149">
        <v>1</v>
      </c>
      <c r="I349" s="149">
        <v>0</v>
      </c>
      <c r="J349" s="149">
        <v>0</v>
      </c>
    </row>
    <row r="350" spans="1:10" s="136" customFormat="1" ht="9" customHeight="1" x14ac:dyDescent="0.25">
      <c r="A350" s="141" t="s">
        <v>33</v>
      </c>
      <c r="B350" s="150">
        <v>21</v>
      </c>
      <c r="C350" s="150">
        <v>94</v>
      </c>
      <c r="D350" s="151">
        <v>2</v>
      </c>
      <c r="E350" s="151">
        <v>5</v>
      </c>
      <c r="F350" s="151">
        <v>4</v>
      </c>
      <c r="G350" s="151">
        <v>1</v>
      </c>
      <c r="H350" s="151">
        <v>4</v>
      </c>
      <c r="I350" s="151">
        <v>0</v>
      </c>
      <c r="J350" s="151">
        <v>0</v>
      </c>
    </row>
    <row r="351" spans="1:10" s="136" customFormat="1" ht="9" customHeight="1" x14ac:dyDescent="0.25">
      <c r="A351" s="140" t="s">
        <v>34</v>
      </c>
      <c r="B351" s="147">
        <v>12</v>
      </c>
      <c r="C351" s="147">
        <v>65</v>
      </c>
      <c r="D351" s="149">
        <v>2</v>
      </c>
      <c r="E351" s="149">
        <v>3</v>
      </c>
      <c r="F351" s="149">
        <v>5</v>
      </c>
      <c r="G351" s="149">
        <v>9</v>
      </c>
      <c r="H351" s="149">
        <v>1</v>
      </c>
      <c r="I351" s="149">
        <v>1</v>
      </c>
      <c r="J351" s="149">
        <v>0</v>
      </c>
    </row>
    <row r="352" spans="1:10" s="136" customFormat="1" ht="9" customHeight="1" x14ac:dyDescent="0.25">
      <c r="A352" s="140" t="s">
        <v>35</v>
      </c>
      <c r="B352" s="147">
        <v>55</v>
      </c>
      <c r="C352" s="147">
        <v>52</v>
      </c>
      <c r="D352" s="149">
        <v>5</v>
      </c>
      <c r="E352" s="149">
        <v>4</v>
      </c>
      <c r="F352" s="149">
        <v>8</v>
      </c>
      <c r="G352" s="149">
        <v>1</v>
      </c>
      <c r="H352" s="149">
        <v>3</v>
      </c>
      <c r="I352" s="149">
        <v>1</v>
      </c>
      <c r="J352" s="149">
        <v>0</v>
      </c>
    </row>
    <row r="353" spans="1:10" s="136" customFormat="1" ht="9" customHeight="1" x14ac:dyDescent="0.25">
      <c r="A353" s="140" t="s">
        <v>128</v>
      </c>
      <c r="B353" s="147">
        <v>63</v>
      </c>
      <c r="C353" s="147">
        <v>80</v>
      </c>
      <c r="D353" s="149">
        <v>20</v>
      </c>
      <c r="E353" s="149">
        <v>14</v>
      </c>
      <c r="F353" s="149">
        <v>4</v>
      </c>
      <c r="G353" s="149">
        <v>3</v>
      </c>
      <c r="H353" s="149">
        <v>4</v>
      </c>
      <c r="I353" s="149">
        <v>2</v>
      </c>
      <c r="J353" s="149">
        <v>0</v>
      </c>
    </row>
    <row r="354" spans="1:10" s="136" customFormat="1" ht="9" customHeight="1" x14ac:dyDescent="0.25">
      <c r="A354" s="141" t="s">
        <v>129</v>
      </c>
      <c r="B354" s="150">
        <v>2</v>
      </c>
      <c r="C354" s="150">
        <v>39</v>
      </c>
      <c r="D354" s="151">
        <v>0</v>
      </c>
      <c r="E354" s="151">
        <v>4</v>
      </c>
      <c r="F354" s="151">
        <v>6</v>
      </c>
      <c r="G354" s="151">
        <v>1</v>
      </c>
      <c r="H354" s="151">
        <v>1</v>
      </c>
      <c r="I354" s="151">
        <v>0</v>
      </c>
      <c r="J354" s="151">
        <v>0</v>
      </c>
    </row>
    <row r="355" spans="1:10" s="136" customFormat="1" ht="9" customHeight="1" x14ac:dyDescent="0.25">
      <c r="A355" s="140" t="s">
        <v>38</v>
      </c>
      <c r="B355" s="147">
        <v>36</v>
      </c>
      <c r="C355" s="147">
        <v>37</v>
      </c>
      <c r="D355" s="149">
        <v>1</v>
      </c>
      <c r="E355" s="149">
        <v>11</v>
      </c>
      <c r="F355" s="149">
        <v>3</v>
      </c>
      <c r="G355" s="149">
        <v>1</v>
      </c>
      <c r="H355" s="149">
        <v>9</v>
      </c>
      <c r="I355" s="149">
        <v>0</v>
      </c>
      <c r="J355" s="149">
        <v>1</v>
      </c>
    </row>
    <row r="356" spans="1:10" s="136" customFormat="1" ht="9" customHeight="1" x14ac:dyDescent="0.25">
      <c r="A356" s="140" t="s">
        <v>39</v>
      </c>
      <c r="B356" s="147">
        <v>10</v>
      </c>
      <c r="C356" s="147">
        <v>18</v>
      </c>
      <c r="D356" s="149">
        <v>1</v>
      </c>
      <c r="E356" s="149">
        <v>2</v>
      </c>
      <c r="F356" s="149">
        <v>4</v>
      </c>
      <c r="G356" s="149">
        <v>2</v>
      </c>
      <c r="H356" s="149">
        <v>1</v>
      </c>
      <c r="I356" s="149">
        <v>0</v>
      </c>
      <c r="J356" s="149">
        <v>0</v>
      </c>
    </row>
    <row r="357" spans="1:10" s="136" customFormat="1" ht="9" customHeight="1" x14ac:dyDescent="0.25">
      <c r="A357" s="140" t="s">
        <v>40</v>
      </c>
      <c r="B357" s="147">
        <v>134</v>
      </c>
      <c r="C357" s="147">
        <v>103</v>
      </c>
      <c r="D357" s="149">
        <v>11</v>
      </c>
      <c r="E357" s="149">
        <v>9</v>
      </c>
      <c r="F357" s="149">
        <v>7</v>
      </c>
      <c r="G357" s="149">
        <v>0</v>
      </c>
      <c r="H357" s="149">
        <v>5</v>
      </c>
      <c r="I357" s="149">
        <v>1</v>
      </c>
      <c r="J357" s="149">
        <v>0</v>
      </c>
    </row>
    <row r="358" spans="1:10" s="136" customFormat="1" ht="9" customHeight="1" x14ac:dyDescent="0.25">
      <c r="A358" s="141" t="s">
        <v>41</v>
      </c>
      <c r="B358" s="150">
        <v>15</v>
      </c>
      <c r="C358" s="150">
        <v>18</v>
      </c>
      <c r="D358" s="151">
        <v>1</v>
      </c>
      <c r="E358" s="151">
        <v>1</v>
      </c>
      <c r="F358" s="151">
        <v>7</v>
      </c>
      <c r="G358" s="151">
        <v>7</v>
      </c>
      <c r="H358" s="151">
        <v>0</v>
      </c>
      <c r="I358" s="151">
        <v>0</v>
      </c>
      <c r="J358" s="151">
        <v>0</v>
      </c>
    </row>
    <row r="359" spans="1:10" s="136" customFormat="1" ht="9" customHeight="1" x14ac:dyDescent="0.25">
      <c r="A359" s="140" t="s">
        <v>42</v>
      </c>
      <c r="B359" s="147">
        <v>37</v>
      </c>
      <c r="C359" s="147">
        <v>42</v>
      </c>
      <c r="D359" s="149">
        <v>14</v>
      </c>
      <c r="E359" s="149">
        <v>3</v>
      </c>
      <c r="F359" s="149">
        <v>3</v>
      </c>
      <c r="G359" s="149">
        <v>3</v>
      </c>
      <c r="H359" s="149">
        <v>1</v>
      </c>
      <c r="I359" s="149">
        <v>1</v>
      </c>
      <c r="J359" s="149">
        <v>1</v>
      </c>
    </row>
    <row r="360" spans="1:10" s="136" customFormat="1" ht="9" customHeight="1" x14ac:dyDescent="0.25">
      <c r="A360" s="140" t="s">
        <v>43</v>
      </c>
      <c r="B360" s="147">
        <v>9</v>
      </c>
      <c r="C360" s="147">
        <v>30</v>
      </c>
      <c r="D360" s="149">
        <v>1</v>
      </c>
      <c r="E360" s="149">
        <v>3</v>
      </c>
      <c r="F360" s="149">
        <v>2</v>
      </c>
      <c r="G360" s="149">
        <v>0</v>
      </c>
      <c r="H360" s="149">
        <v>1</v>
      </c>
      <c r="I360" s="149">
        <v>1</v>
      </c>
      <c r="J360" s="149">
        <v>0</v>
      </c>
    </row>
    <row r="361" spans="1:10" s="136" customFormat="1" ht="9" customHeight="1" x14ac:dyDescent="0.25">
      <c r="A361" s="140" t="s">
        <v>44</v>
      </c>
      <c r="B361" s="147">
        <v>11</v>
      </c>
      <c r="C361" s="147">
        <v>27</v>
      </c>
      <c r="D361" s="149">
        <v>2</v>
      </c>
      <c r="E361" s="149">
        <v>1</v>
      </c>
      <c r="F361" s="149">
        <v>1</v>
      </c>
      <c r="G361" s="149">
        <v>1</v>
      </c>
      <c r="H361" s="149">
        <v>1</v>
      </c>
      <c r="I361" s="149">
        <v>0</v>
      </c>
      <c r="J361" s="149">
        <v>0</v>
      </c>
    </row>
    <row r="362" spans="1:10" s="136" customFormat="1" ht="9" customHeight="1" x14ac:dyDescent="0.25">
      <c r="A362" s="141" t="s">
        <v>45</v>
      </c>
      <c r="B362" s="150">
        <v>16</v>
      </c>
      <c r="C362" s="150">
        <v>31</v>
      </c>
      <c r="D362" s="151">
        <v>0</v>
      </c>
      <c r="E362" s="151">
        <v>2</v>
      </c>
      <c r="F362" s="151">
        <v>2</v>
      </c>
      <c r="G362" s="151">
        <v>2</v>
      </c>
      <c r="H362" s="151">
        <v>1</v>
      </c>
      <c r="I362" s="151">
        <v>1</v>
      </c>
      <c r="J362" s="151">
        <v>0</v>
      </c>
    </row>
    <row r="363" spans="1:10" s="136" customFormat="1" ht="9" customHeight="1" x14ac:dyDescent="0.25">
      <c r="A363" s="140" t="s">
        <v>46</v>
      </c>
      <c r="B363" s="147">
        <v>71</v>
      </c>
      <c r="C363" s="147">
        <v>44</v>
      </c>
      <c r="D363" s="149">
        <v>4</v>
      </c>
      <c r="E363" s="149">
        <v>8</v>
      </c>
      <c r="F363" s="149">
        <v>6</v>
      </c>
      <c r="G363" s="149">
        <v>4</v>
      </c>
      <c r="H363" s="149">
        <v>6</v>
      </c>
      <c r="I363" s="149">
        <v>0</v>
      </c>
      <c r="J363" s="149">
        <v>0</v>
      </c>
    </row>
    <row r="364" spans="1:10" s="136" customFormat="1" ht="9" customHeight="1" x14ac:dyDescent="0.25">
      <c r="A364" s="140" t="s">
        <v>47</v>
      </c>
      <c r="B364" s="147">
        <v>52</v>
      </c>
      <c r="C364" s="147">
        <v>89</v>
      </c>
      <c r="D364" s="149">
        <v>2</v>
      </c>
      <c r="E364" s="149">
        <v>5</v>
      </c>
      <c r="F364" s="149">
        <v>9</v>
      </c>
      <c r="G364" s="149">
        <v>0</v>
      </c>
      <c r="H364" s="149">
        <v>2</v>
      </c>
      <c r="I364" s="149">
        <v>0</v>
      </c>
      <c r="J364" s="149">
        <v>0</v>
      </c>
    </row>
    <row r="365" spans="1:10" s="136" customFormat="1" ht="9" customHeight="1" x14ac:dyDescent="0.25">
      <c r="A365" s="140" t="s">
        <v>48</v>
      </c>
      <c r="B365" s="147">
        <v>4</v>
      </c>
      <c r="C365" s="147">
        <v>12</v>
      </c>
      <c r="D365" s="149">
        <v>1</v>
      </c>
      <c r="E365" s="149">
        <v>1</v>
      </c>
      <c r="F365" s="149">
        <v>2</v>
      </c>
      <c r="G365" s="149">
        <v>2</v>
      </c>
      <c r="H365" s="149">
        <v>1</v>
      </c>
      <c r="I365" s="149">
        <v>0</v>
      </c>
      <c r="J365" s="149">
        <v>0</v>
      </c>
    </row>
    <row r="366" spans="1:10" s="136" customFormat="1" ht="9" customHeight="1" x14ac:dyDescent="0.25">
      <c r="A366" s="141" t="s">
        <v>49</v>
      </c>
      <c r="B366" s="150">
        <v>37</v>
      </c>
      <c r="C366" s="150">
        <v>69</v>
      </c>
      <c r="D366" s="151">
        <v>0</v>
      </c>
      <c r="E366" s="151">
        <v>6</v>
      </c>
      <c r="F366" s="151">
        <v>4</v>
      </c>
      <c r="G366" s="151">
        <v>2</v>
      </c>
      <c r="H366" s="151">
        <v>2</v>
      </c>
      <c r="I366" s="151">
        <v>0</v>
      </c>
      <c r="J366" s="151">
        <v>0</v>
      </c>
    </row>
    <row r="367" spans="1:10" s="136" customFormat="1" ht="9" customHeight="1" x14ac:dyDescent="0.25">
      <c r="A367" s="140" t="s">
        <v>50</v>
      </c>
      <c r="B367" s="147">
        <v>19</v>
      </c>
      <c r="C367" s="147">
        <v>11</v>
      </c>
      <c r="D367" s="149">
        <v>3</v>
      </c>
      <c r="E367" s="149">
        <v>2</v>
      </c>
      <c r="F367" s="149">
        <v>1</v>
      </c>
      <c r="G367" s="149">
        <v>5</v>
      </c>
      <c r="H367" s="149">
        <v>1</v>
      </c>
      <c r="I367" s="149">
        <v>0</v>
      </c>
      <c r="J367" s="149">
        <v>2</v>
      </c>
    </row>
    <row r="368" spans="1:10" s="136" customFormat="1" ht="9" customHeight="1" x14ac:dyDescent="0.25">
      <c r="A368" s="140" t="s">
        <v>130</v>
      </c>
      <c r="B368" s="147">
        <v>122</v>
      </c>
      <c r="C368" s="147">
        <v>72</v>
      </c>
      <c r="D368" s="149">
        <v>7</v>
      </c>
      <c r="E368" s="149">
        <v>7</v>
      </c>
      <c r="F368" s="149">
        <v>9</v>
      </c>
      <c r="G368" s="149">
        <v>7</v>
      </c>
      <c r="H368" s="149">
        <v>4</v>
      </c>
      <c r="I368" s="149">
        <v>1</v>
      </c>
      <c r="J368" s="149">
        <v>0</v>
      </c>
    </row>
    <row r="369" spans="1:10" s="136" customFormat="1" ht="9" customHeight="1" x14ac:dyDescent="0.25">
      <c r="A369" s="140" t="s">
        <v>52</v>
      </c>
      <c r="B369" s="147">
        <v>13</v>
      </c>
      <c r="C369" s="147">
        <v>34</v>
      </c>
      <c r="D369" s="149">
        <v>0</v>
      </c>
      <c r="E369" s="149">
        <v>1</v>
      </c>
      <c r="F369" s="149">
        <v>2</v>
      </c>
      <c r="G369" s="149">
        <v>2</v>
      </c>
      <c r="H369" s="149">
        <v>1</v>
      </c>
      <c r="I369" s="149">
        <v>1</v>
      </c>
      <c r="J369" s="149">
        <v>0</v>
      </c>
    </row>
    <row r="370" spans="1:10" s="136" customFormat="1" ht="9" customHeight="1" x14ac:dyDescent="0.25">
      <c r="A370" s="141" t="s">
        <v>53</v>
      </c>
      <c r="B370" s="150">
        <v>7</v>
      </c>
      <c r="C370" s="150">
        <v>29</v>
      </c>
      <c r="D370" s="151">
        <v>1</v>
      </c>
      <c r="E370" s="151">
        <v>2</v>
      </c>
      <c r="F370" s="151">
        <v>7</v>
      </c>
      <c r="G370" s="151">
        <v>6</v>
      </c>
      <c r="H370" s="151">
        <v>1</v>
      </c>
      <c r="I370" s="151">
        <v>0</v>
      </c>
      <c r="J370" s="151">
        <v>0</v>
      </c>
    </row>
    <row r="371" spans="1:10" s="136" customFormat="1" ht="9" customHeight="1" x14ac:dyDescent="0.25">
      <c r="B371" s="140"/>
      <c r="C371" s="147"/>
      <c r="D371" s="147"/>
      <c r="E371" s="140"/>
      <c r="F371" s="140"/>
      <c r="G371" s="140"/>
      <c r="H371" s="140"/>
      <c r="I371" s="140"/>
      <c r="J371" s="140"/>
    </row>
    <row r="372" spans="1:10" s="136" customFormat="1" ht="9" customHeight="1" x14ac:dyDescent="0.25">
      <c r="A372" s="135">
        <v>2007</v>
      </c>
      <c r="B372" s="140"/>
      <c r="C372" s="147"/>
      <c r="D372" s="147"/>
      <c r="E372" s="140"/>
      <c r="F372" s="140"/>
      <c r="G372" s="140"/>
      <c r="H372" s="140"/>
      <c r="I372" s="140"/>
      <c r="J372" s="140"/>
    </row>
    <row r="373" spans="1:10" s="136" customFormat="1" ht="9" customHeight="1" x14ac:dyDescent="0.25">
      <c r="A373" s="138" t="s">
        <v>13</v>
      </c>
      <c r="B373" s="148">
        <f t="shared" ref="B373:J373" si="10">SUM(B375:B406)</f>
        <v>1241</v>
      </c>
      <c r="C373" s="148">
        <f t="shared" si="10"/>
        <v>1565</v>
      </c>
      <c r="D373" s="148">
        <f t="shared" si="10"/>
        <v>117</v>
      </c>
      <c r="E373" s="148">
        <f t="shared" si="10"/>
        <v>143</v>
      </c>
      <c r="F373" s="148">
        <f t="shared" si="10"/>
        <v>136</v>
      </c>
      <c r="G373" s="148">
        <f t="shared" si="10"/>
        <v>74</v>
      </c>
      <c r="H373" s="148">
        <f t="shared" si="10"/>
        <v>74</v>
      </c>
      <c r="I373" s="148">
        <f t="shared" si="10"/>
        <v>15</v>
      </c>
      <c r="J373" s="148">
        <f t="shared" si="10"/>
        <v>4</v>
      </c>
    </row>
    <row r="374" spans="1:10" s="136" customFormat="1" ht="3.95" customHeight="1" x14ac:dyDescent="0.25">
      <c r="A374" s="138"/>
      <c r="B374" s="148"/>
      <c r="C374" s="148"/>
      <c r="D374" s="148"/>
      <c r="E374" s="148"/>
      <c r="F374" s="148"/>
      <c r="G374" s="148"/>
      <c r="H374" s="148"/>
      <c r="I374" s="148"/>
      <c r="J374" s="148"/>
    </row>
    <row r="375" spans="1:10" s="136" customFormat="1" ht="9" customHeight="1" x14ac:dyDescent="0.25">
      <c r="A375" s="140" t="s">
        <v>23</v>
      </c>
      <c r="B375" s="147">
        <v>10</v>
      </c>
      <c r="C375" s="147">
        <v>24</v>
      </c>
      <c r="D375" s="149">
        <v>0</v>
      </c>
      <c r="E375" s="149">
        <v>3</v>
      </c>
      <c r="F375" s="149">
        <v>1</v>
      </c>
      <c r="G375" s="149">
        <v>0</v>
      </c>
      <c r="H375" s="149">
        <v>1</v>
      </c>
      <c r="I375" s="149">
        <v>0</v>
      </c>
      <c r="J375" s="149">
        <v>0</v>
      </c>
    </row>
    <row r="376" spans="1:10" s="136" customFormat="1" ht="9" customHeight="1" x14ac:dyDescent="0.25">
      <c r="A376" s="140" t="s">
        <v>24</v>
      </c>
      <c r="B376" s="147">
        <v>65</v>
      </c>
      <c r="C376" s="147">
        <v>91</v>
      </c>
      <c r="D376" s="149">
        <v>1</v>
      </c>
      <c r="E376" s="149">
        <v>3</v>
      </c>
      <c r="F376" s="149">
        <v>4</v>
      </c>
      <c r="G376" s="149">
        <v>0</v>
      </c>
      <c r="H376" s="149">
        <v>3</v>
      </c>
      <c r="I376" s="149">
        <v>0</v>
      </c>
      <c r="J376" s="149">
        <v>0</v>
      </c>
    </row>
    <row r="377" spans="1:10" s="136" customFormat="1" ht="9" customHeight="1" x14ac:dyDescent="0.25">
      <c r="A377" s="140" t="s">
        <v>25</v>
      </c>
      <c r="B377" s="147">
        <v>15</v>
      </c>
      <c r="C377" s="147">
        <v>20</v>
      </c>
      <c r="D377" s="149">
        <v>0</v>
      </c>
      <c r="E377" s="149">
        <v>1</v>
      </c>
      <c r="F377" s="149">
        <v>1</v>
      </c>
      <c r="G377" s="149">
        <v>0</v>
      </c>
      <c r="H377" s="149">
        <v>1</v>
      </c>
      <c r="I377" s="149">
        <v>0</v>
      </c>
      <c r="J377" s="149">
        <v>0</v>
      </c>
    </row>
    <row r="378" spans="1:10" s="136" customFormat="1" ht="9" customHeight="1" x14ac:dyDescent="0.25">
      <c r="A378" s="141" t="s">
        <v>26</v>
      </c>
      <c r="B378" s="150">
        <v>19</v>
      </c>
      <c r="C378" s="150">
        <v>14</v>
      </c>
      <c r="D378" s="151">
        <v>3</v>
      </c>
      <c r="E378" s="151">
        <v>3</v>
      </c>
      <c r="F378" s="151">
        <v>2</v>
      </c>
      <c r="G378" s="151">
        <v>0</v>
      </c>
      <c r="H378" s="151">
        <v>1</v>
      </c>
      <c r="I378" s="151">
        <v>0</v>
      </c>
      <c r="J378" s="151">
        <v>0</v>
      </c>
    </row>
    <row r="379" spans="1:10" s="136" customFormat="1" ht="9" customHeight="1" x14ac:dyDescent="0.25">
      <c r="A379" s="140" t="s">
        <v>126</v>
      </c>
      <c r="B379" s="147">
        <v>30</v>
      </c>
      <c r="C379" s="147">
        <v>21</v>
      </c>
      <c r="D379" s="149">
        <v>11</v>
      </c>
      <c r="E379" s="149">
        <v>4</v>
      </c>
      <c r="F379" s="149">
        <v>6</v>
      </c>
      <c r="G379" s="149">
        <v>4</v>
      </c>
      <c r="H379" s="149">
        <v>0</v>
      </c>
      <c r="I379" s="149">
        <v>1</v>
      </c>
      <c r="J379" s="149">
        <v>0</v>
      </c>
    </row>
    <row r="380" spans="1:10" s="136" customFormat="1" ht="9" customHeight="1" x14ac:dyDescent="0.25">
      <c r="A380" s="140" t="s">
        <v>28</v>
      </c>
      <c r="B380" s="147">
        <v>15</v>
      </c>
      <c r="C380" s="136">
        <v>101</v>
      </c>
      <c r="D380" s="149">
        <v>1</v>
      </c>
      <c r="E380" s="149">
        <v>3</v>
      </c>
      <c r="F380" s="149">
        <v>3</v>
      </c>
      <c r="G380" s="149">
        <v>3</v>
      </c>
      <c r="H380" s="149">
        <v>1</v>
      </c>
      <c r="I380" s="149">
        <v>0</v>
      </c>
      <c r="J380" s="149">
        <v>0</v>
      </c>
    </row>
    <row r="381" spans="1:10" s="136" customFormat="1" ht="9" customHeight="1" x14ac:dyDescent="0.25">
      <c r="A381" s="140" t="s">
        <v>29</v>
      </c>
      <c r="B381" s="147">
        <v>9</v>
      </c>
      <c r="C381" s="147">
        <v>79</v>
      </c>
      <c r="D381" s="149">
        <v>1</v>
      </c>
      <c r="E381" s="149">
        <v>2</v>
      </c>
      <c r="F381" s="149">
        <v>4</v>
      </c>
      <c r="G381" s="149">
        <v>0</v>
      </c>
      <c r="H381" s="149">
        <v>3</v>
      </c>
      <c r="I381" s="149">
        <v>1</v>
      </c>
      <c r="J381" s="149">
        <v>0</v>
      </c>
    </row>
    <row r="382" spans="1:10" s="136" customFormat="1" ht="9" customHeight="1" x14ac:dyDescent="0.25">
      <c r="A382" s="141" t="s">
        <v>30</v>
      </c>
      <c r="B382" s="150">
        <v>60</v>
      </c>
      <c r="C382" s="150">
        <v>20</v>
      </c>
      <c r="D382" s="151">
        <v>8</v>
      </c>
      <c r="E382" s="151">
        <v>4</v>
      </c>
      <c r="F382" s="151">
        <v>6</v>
      </c>
      <c r="G382" s="151">
        <v>0</v>
      </c>
      <c r="H382" s="151">
        <v>1</v>
      </c>
      <c r="I382" s="151">
        <v>2</v>
      </c>
      <c r="J382" s="151">
        <v>0</v>
      </c>
    </row>
    <row r="383" spans="1:10" s="136" customFormat="1" ht="9" customHeight="1" x14ac:dyDescent="0.25">
      <c r="A383" s="140" t="s">
        <v>127</v>
      </c>
      <c r="B383" s="147">
        <v>206</v>
      </c>
      <c r="C383" s="147">
        <v>148</v>
      </c>
      <c r="D383" s="149">
        <v>19</v>
      </c>
      <c r="E383" s="149">
        <v>22</v>
      </c>
      <c r="F383" s="149">
        <v>6</v>
      </c>
      <c r="G383" s="149">
        <v>3</v>
      </c>
      <c r="H383" s="149">
        <v>11</v>
      </c>
      <c r="I383" s="149">
        <v>1</v>
      </c>
      <c r="J383" s="149">
        <v>0</v>
      </c>
    </row>
    <row r="384" spans="1:10" s="136" customFormat="1" ht="9" customHeight="1" x14ac:dyDescent="0.25">
      <c r="A384" s="140" t="s">
        <v>31</v>
      </c>
      <c r="B384" s="147">
        <v>37</v>
      </c>
      <c r="C384" s="147">
        <v>20</v>
      </c>
      <c r="D384" s="149">
        <v>0</v>
      </c>
      <c r="E384" s="149">
        <v>2</v>
      </c>
      <c r="F384" s="149">
        <v>2</v>
      </c>
      <c r="G384" s="149">
        <v>2</v>
      </c>
      <c r="H384" s="149">
        <v>1</v>
      </c>
      <c r="I384" s="149">
        <v>0</v>
      </c>
      <c r="J384" s="149">
        <v>0</v>
      </c>
    </row>
    <row r="385" spans="1:10" s="136" customFormat="1" ht="9" customHeight="1" x14ac:dyDescent="0.25">
      <c r="A385" s="140" t="s">
        <v>32</v>
      </c>
      <c r="B385" s="147">
        <v>7</v>
      </c>
      <c r="C385" s="147">
        <v>26</v>
      </c>
      <c r="D385" s="149">
        <v>0</v>
      </c>
      <c r="E385" s="149">
        <v>8</v>
      </c>
      <c r="F385" s="149">
        <v>5</v>
      </c>
      <c r="G385" s="149">
        <v>3</v>
      </c>
      <c r="H385" s="149">
        <v>1</v>
      </c>
      <c r="I385" s="149">
        <v>0</v>
      </c>
      <c r="J385" s="149">
        <v>0</v>
      </c>
    </row>
    <row r="386" spans="1:10" s="136" customFormat="1" ht="9" customHeight="1" x14ac:dyDescent="0.25">
      <c r="A386" s="141" t="s">
        <v>33</v>
      </c>
      <c r="B386" s="150">
        <v>22</v>
      </c>
      <c r="C386" s="150">
        <v>95</v>
      </c>
      <c r="D386" s="151">
        <v>2</v>
      </c>
      <c r="E386" s="151">
        <v>4</v>
      </c>
      <c r="F386" s="151">
        <v>4</v>
      </c>
      <c r="G386" s="151">
        <v>1</v>
      </c>
      <c r="H386" s="151">
        <v>4</v>
      </c>
      <c r="I386" s="151">
        <v>0</v>
      </c>
      <c r="J386" s="151">
        <v>0</v>
      </c>
    </row>
    <row r="387" spans="1:10" s="136" customFormat="1" ht="9" customHeight="1" x14ac:dyDescent="0.25">
      <c r="A387" s="140" t="s">
        <v>34</v>
      </c>
      <c r="B387" s="147">
        <v>14</v>
      </c>
      <c r="C387" s="147">
        <v>65</v>
      </c>
      <c r="D387" s="149">
        <v>3</v>
      </c>
      <c r="E387" s="149">
        <v>1</v>
      </c>
      <c r="F387" s="149">
        <v>5</v>
      </c>
      <c r="G387" s="149">
        <v>9</v>
      </c>
      <c r="H387" s="149">
        <v>1</v>
      </c>
      <c r="I387" s="149">
        <v>1</v>
      </c>
      <c r="J387" s="149">
        <v>0</v>
      </c>
    </row>
    <row r="388" spans="1:10" s="136" customFormat="1" ht="9" customHeight="1" x14ac:dyDescent="0.25">
      <c r="A388" s="140" t="s">
        <v>35</v>
      </c>
      <c r="B388" s="147">
        <v>47</v>
      </c>
      <c r="C388" s="147">
        <v>51</v>
      </c>
      <c r="D388" s="149">
        <v>1</v>
      </c>
      <c r="E388" s="149">
        <v>5</v>
      </c>
      <c r="F388" s="149">
        <v>8</v>
      </c>
      <c r="G388" s="149">
        <v>1</v>
      </c>
      <c r="H388" s="149">
        <v>3</v>
      </c>
      <c r="I388" s="149">
        <v>1</v>
      </c>
      <c r="J388" s="149">
        <v>0</v>
      </c>
    </row>
    <row r="389" spans="1:10" s="136" customFormat="1" ht="9" customHeight="1" x14ac:dyDescent="0.25">
      <c r="A389" s="140" t="s">
        <v>128</v>
      </c>
      <c r="B389" s="147">
        <v>67</v>
      </c>
      <c r="C389" s="147">
        <v>81</v>
      </c>
      <c r="D389" s="149">
        <v>17</v>
      </c>
      <c r="E389" s="149">
        <v>10</v>
      </c>
      <c r="F389" s="149">
        <v>4</v>
      </c>
      <c r="G389" s="149">
        <v>3</v>
      </c>
      <c r="H389" s="149">
        <v>4</v>
      </c>
      <c r="I389" s="149">
        <v>2</v>
      </c>
      <c r="J389" s="149">
        <v>0</v>
      </c>
    </row>
    <row r="390" spans="1:10" s="136" customFormat="1" ht="9" customHeight="1" x14ac:dyDescent="0.25">
      <c r="A390" s="141" t="s">
        <v>129</v>
      </c>
      <c r="B390" s="150">
        <v>5</v>
      </c>
      <c r="C390" s="150">
        <v>39</v>
      </c>
      <c r="D390" s="151">
        <v>0</v>
      </c>
      <c r="E390" s="151">
        <v>4</v>
      </c>
      <c r="F390" s="151">
        <v>6</v>
      </c>
      <c r="G390" s="151">
        <v>1</v>
      </c>
      <c r="H390" s="151">
        <v>1</v>
      </c>
      <c r="I390" s="151">
        <v>0</v>
      </c>
      <c r="J390" s="151">
        <v>0</v>
      </c>
    </row>
    <row r="391" spans="1:10" s="136" customFormat="1" ht="9" customHeight="1" x14ac:dyDescent="0.25">
      <c r="A391" s="140" t="s">
        <v>38</v>
      </c>
      <c r="B391" s="147">
        <v>40</v>
      </c>
      <c r="C391" s="147">
        <v>37</v>
      </c>
      <c r="D391" s="149">
        <v>1</v>
      </c>
      <c r="E391" s="149">
        <v>11</v>
      </c>
      <c r="F391" s="149">
        <v>3</v>
      </c>
      <c r="G391" s="149">
        <v>1</v>
      </c>
      <c r="H391" s="149">
        <v>9</v>
      </c>
      <c r="I391" s="149">
        <v>0</v>
      </c>
      <c r="J391" s="149">
        <v>1</v>
      </c>
    </row>
    <row r="392" spans="1:10" s="136" customFormat="1" ht="9" customHeight="1" x14ac:dyDescent="0.25">
      <c r="A392" s="140" t="s">
        <v>39</v>
      </c>
      <c r="B392" s="147">
        <v>12</v>
      </c>
      <c r="C392" s="147">
        <v>18</v>
      </c>
      <c r="D392" s="149">
        <v>1</v>
      </c>
      <c r="E392" s="149">
        <v>2</v>
      </c>
      <c r="F392" s="149">
        <v>4</v>
      </c>
      <c r="G392" s="149">
        <v>2</v>
      </c>
      <c r="H392" s="149">
        <v>1</v>
      </c>
      <c r="I392" s="149">
        <v>0</v>
      </c>
      <c r="J392" s="149">
        <v>0</v>
      </c>
    </row>
    <row r="393" spans="1:10" s="136" customFormat="1" ht="9" customHeight="1" x14ac:dyDescent="0.25">
      <c r="A393" s="140" t="s">
        <v>40</v>
      </c>
      <c r="B393" s="147">
        <v>145</v>
      </c>
      <c r="C393" s="147">
        <v>102</v>
      </c>
      <c r="D393" s="149">
        <v>8</v>
      </c>
      <c r="E393" s="149">
        <v>9</v>
      </c>
      <c r="F393" s="149">
        <v>7</v>
      </c>
      <c r="G393" s="149">
        <v>0</v>
      </c>
      <c r="H393" s="149">
        <v>5</v>
      </c>
      <c r="I393" s="149">
        <v>1</v>
      </c>
      <c r="J393" s="149">
        <v>0</v>
      </c>
    </row>
    <row r="394" spans="1:10" s="136" customFormat="1" ht="9" customHeight="1" x14ac:dyDescent="0.25">
      <c r="A394" s="141" t="s">
        <v>41</v>
      </c>
      <c r="B394" s="150">
        <v>14</v>
      </c>
      <c r="C394" s="150">
        <v>18</v>
      </c>
      <c r="D394" s="151">
        <v>1</v>
      </c>
      <c r="E394" s="151">
        <v>1</v>
      </c>
      <c r="F394" s="151">
        <v>7</v>
      </c>
      <c r="G394" s="151">
        <v>7</v>
      </c>
      <c r="H394" s="151">
        <v>0</v>
      </c>
      <c r="I394" s="151">
        <v>0</v>
      </c>
      <c r="J394" s="151">
        <v>0</v>
      </c>
    </row>
    <row r="395" spans="1:10" s="136" customFormat="1" ht="9" customHeight="1" x14ac:dyDescent="0.25">
      <c r="A395" s="140" t="s">
        <v>42</v>
      </c>
      <c r="B395" s="147">
        <v>47</v>
      </c>
      <c r="C395" s="147">
        <v>42</v>
      </c>
      <c r="D395" s="149">
        <v>20</v>
      </c>
      <c r="E395" s="149">
        <v>3</v>
      </c>
      <c r="F395" s="149">
        <v>3</v>
      </c>
      <c r="G395" s="149">
        <v>3</v>
      </c>
      <c r="H395" s="149">
        <v>1</v>
      </c>
      <c r="I395" s="149">
        <v>1</v>
      </c>
      <c r="J395" s="149">
        <v>1</v>
      </c>
    </row>
    <row r="396" spans="1:10" s="136" customFormat="1" ht="9" customHeight="1" x14ac:dyDescent="0.25">
      <c r="A396" s="140" t="s">
        <v>43</v>
      </c>
      <c r="B396" s="147">
        <v>9</v>
      </c>
      <c r="C396" s="147">
        <v>30</v>
      </c>
      <c r="D396" s="149">
        <v>1</v>
      </c>
      <c r="E396" s="149">
        <v>3</v>
      </c>
      <c r="F396" s="149">
        <v>2</v>
      </c>
      <c r="G396" s="149">
        <v>0</v>
      </c>
      <c r="H396" s="149">
        <v>1</v>
      </c>
      <c r="I396" s="149">
        <v>1</v>
      </c>
      <c r="J396" s="149">
        <v>0</v>
      </c>
    </row>
    <row r="397" spans="1:10" s="136" customFormat="1" ht="9" customHeight="1" x14ac:dyDescent="0.25">
      <c r="A397" s="140" t="s">
        <v>44</v>
      </c>
      <c r="B397" s="147">
        <v>12</v>
      </c>
      <c r="C397" s="147">
        <v>27</v>
      </c>
      <c r="D397" s="149">
        <v>2</v>
      </c>
      <c r="E397" s="149">
        <v>1</v>
      </c>
      <c r="F397" s="149">
        <v>1</v>
      </c>
      <c r="G397" s="149">
        <v>1</v>
      </c>
      <c r="H397" s="149">
        <v>1</v>
      </c>
      <c r="I397" s="149">
        <v>0</v>
      </c>
      <c r="J397" s="149">
        <v>0</v>
      </c>
    </row>
    <row r="398" spans="1:10" s="136" customFormat="1" ht="9" customHeight="1" x14ac:dyDescent="0.25">
      <c r="A398" s="141" t="s">
        <v>45</v>
      </c>
      <c r="B398" s="150">
        <v>16</v>
      </c>
      <c r="C398" s="150">
        <v>31</v>
      </c>
      <c r="D398" s="151">
        <v>0</v>
      </c>
      <c r="E398" s="151">
        <v>2</v>
      </c>
      <c r="F398" s="151">
        <v>2</v>
      </c>
      <c r="G398" s="151">
        <v>2</v>
      </c>
      <c r="H398" s="151">
        <v>1</v>
      </c>
      <c r="I398" s="151">
        <v>1</v>
      </c>
      <c r="J398" s="151">
        <v>0</v>
      </c>
    </row>
    <row r="399" spans="1:10" s="136" customFormat="1" ht="9" customHeight="1" x14ac:dyDescent="0.25">
      <c r="A399" s="140" t="s">
        <v>46</v>
      </c>
      <c r="B399" s="147">
        <v>72</v>
      </c>
      <c r="C399" s="147">
        <v>49</v>
      </c>
      <c r="D399" s="149">
        <v>6</v>
      </c>
      <c r="E399" s="149">
        <v>8</v>
      </c>
      <c r="F399" s="149">
        <v>6</v>
      </c>
      <c r="G399" s="149">
        <v>4</v>
      </c>
      <c r="H399" s="149">
        <v>6</v>
      </c>
      <c r="I399" s="149">
        <v>0</v>
      </c>
      <c r="J399" s="149">
        <v>0</v>
      </c>
    </row>
    <row r="400" spans="1:10" s="136" customFormat="1" ht="9" customHeight="1" x14ac:dyDescent="0.25">
      <c r="A400" s="140" t="s">
        <v>47</v>
      </c>
      <c r="B400" s="147">
        <v>45</v>
      </c>
      <c r="C400" s="147">
        <v>88</v>
      </c>
      <c r="D400" s="149">
        <v>1</v>
      </c>
      <c r="E400" s="149">
        <v>5</v>
      </c>
      <c r="F400" s="149">
        <v>8</v>
      </c>
      <c r="G400" s="149">
        <v>0</v>
      </c>
      <c r="H400" s="149">
        <v>2</v>
      </c>
      <c r="I400" s="149">
        <v>0</v>
      </c>
      <c r="J400" s="149">
        <v>0</v>
      </c>
    </row>
    <row r="401" spans="1:10" s="136" customFormat="1" ht="9" customHeight="1" x14ac:dyDescent="0.25">
      <c r="A401" s="140" t="s">
        <v>48</v>
      </c>
      <c r="B401" s="147">
        <v>4</v>
      </c>
      <c r="C401" s="147">
        <v>11</v>
      </c>
      <c r="D401" s="149">
        <v>0</v>
      </c>
      <c r="E401" s="149">
        <v>1</v>
      </c>
      <c r="F401" s="149">
        <v>2</v>
      </c>
      <c r="G401" s="149">
        <v>2</v>
      </c>
      <c r="H401" s="149">
        <v>1</v>
      </c>
      <c r="I401" s="149">
        <v>0</v>
      </c>
      <c r="J401" s="149">
        <v>0</v>
      </c>
    </row>
    <row r="402" spans="1:10" s="136" customFormat="1" ht="9" customHeight="1" x14ac:dyDescent="0.25">
      <c r="A402" s="141" t="s">
        <v>49</v>
      </c>
      <c r="B402" s="150">
        <v>33</v>
      </c>
      <c r="C402" s="150">
        <v>70</v>
      </c>
      <c r="D402" s="151">
        <v>0</v>
      </c>
      <c r="E402" s="151">
        <v>6</v>
      </c>
      <c r="F402" s="151">
        <v>4</v>
      </c>
      <c r="G402" s="151">
        <v>2</v>
      </c>
      <c r="H402" s="151">
        <v>2</v>
      </c>
      <c r="I402" s="151">
        <v>0</v>
      </c>
      <c r="J402" s="151">
        <v>0</v>
      </c>
    </row>
    <row r="403" spans="1:10" s="136" customFormat="1" ht="9" customHeight="1" x14ac:dyDescent="0.25">
      <c r="A403" s="140" t="s">
        <v>50</v>
      </c>
      <c r="B403" s="147">
        <v>17</v>
      </c>
      <c r="C403" s="147">
        <v>11</v>
      </c>
      <c r="D403" s="149">
        <v>3</v>
      </c>
      <c r="E403" s="149">
        <v>2</v>
      </c>
      <c r="F403" s="149">
        <v>1</v>
      </c>
      <c r="G403" s="149">
        <v>5</v>
      </c>
      <c r="H403" s="149">
        <v>1</v>
      </c>
      <c r="I403" s="149">
        <v>0</v>
      </c>
      <c r="J403" s="149">
        <v>2</v>
      </c>
    </row>
    <row r="404" spans="1:10" s="136" customFormat="1" ht="9" customHeight="1" x14ac:dyDescent="0.25">
      <c r="A404" s="140" t="s">
        <v>130</v>
      </c>
      <c r="B404" s="147">
        <v>124</v>
      </c>
      <c r="C404" s="147">
        <v>72</v>
      </c>
      <c r="D404" s="149">
        <v>4</v>
      </c>
      <c r="E404" s="149">
        <v>7</v>
      </c>
      <c r="F404" s="149">
        <v>10</v>
      </c>
      <c r="G404" s="149">
        <v>7</v>
      </c>
      <c r="H404" s="149">
        <v>4</v>
      </c>
      <c r="I404" s="149">
        <v>1</v>
      </c>
      <c r="J404" s="149">
        <v>0</v>
      </c>
    </row>
    <row r="405" spans="1:10" s="136" customFormat="1" ht="9" customHeight="1" x14ac:dyDescent="0.25">
      <c r="A405" s="140" t="s">
        <v>52</v>
      </c>
      <c r="B405" s="147">
        <v>16</v>
      </c>
      <c r="C405" s="147">
        <v>35</v>
      </c>
      <c r="D405" s="149">
        <v>1</v>
      </c>
      <c r="E405" s="149">
        <v>1</v>
      </c>
      <c r="F405" s="149">
        <v>2</v>
      </c>
      <c r="G405" s="149">
        <v>2</v>
      </c>
      <c r="H405" s="149">
        <v>1</v>
      </c>
      <c r="I405" s="149">
        <v>1</v>
      </c>
      <c r="J405" s="149">
        <v>0</v>
      </c>
    </row>
    <row r="406" spans="1:10" s="136" customFormat="1" ht="9" customHeight="1" x14ac:dyDescent="0.25">
      <c r="A406" s="141" t="s">
        <v>53</v>
      </c>
      <c r="B406" s="150">
        <v>7</v>
      </c>
      <c r="C406" s="150">
        <v>29</v>
      </c>
      <c r="D406" s="151">
        <v>1</v>
      </c>
      <c r="E406" s="151">
        <v>2</v>
      </c>
      <c r="F406" s="151">
        <v>7</v>
      </c>
      <c r="G406" s="151">
        <v>6</v>
      </c>
      <c r="H406" s="151">
        <v>1</v>
      </c>
      <c r="I406" s="151">
        <v>0</v>
      </c>
      <c r="J406" s="151">
        <v>0</v>
      </c>
    </row>
    <row r="407" spans="1:10" s="136" customFormat="1" ht="9" customHeight="1" x14ac:dyDescent="0.25">
      <c r="B407" s="140"/>
      <c r="C407" s="147"/>
      <c r="D407" s="147"/>
      <c r="E407" s="140"/>
      <c r="F407" s="140"/>
      <c r="G407" s="140"/>
      <c r="H407" s="140"/>
      <c r="I407" s="140"/>
      <c r="J407" s="140"/>
    </row>
    <row r="408" spans="1:10" s="136" customFormat="1" ht="9" customHeight="1" x14ac:dyDescent="0.25">
      <c r="A408" s="135">
        <v>2008</v>
      </c>
      <c r="B408" s="140"/>
      <c r="C408" s="147"/>
      <c r="D408" s="147"/>
      <c r="E408" s="140"/>
      <c r="F408" s="140"/>
      <c r="G408" s="140"/>
      <c r="H408" s="140"/>
      <c r="I408" s="140"/>
      <c r="J408" s="140"/>
    </row>
    <row r="409" spans="1:10" s="136" customFormat="1" ht="9" customHeight="1" x14ac:dyDescent="0.25">
      <c r="A409" s="138" t="s">
        <v>13</v>
      </c>
      <c r="B409" s="148">
        <f t="shared" ref="B409:J409" si="11">SUM(B411:B442)</f>
        <v>1200</v>
      </c>
      <c r="C409" s="148">
        <f t="shared" si="11"/>
        <v>1554</v>
      </c>
      <c r="D409" s="148">
        <f t="shared" si="11"/>
        <v>113</v>
      </c>
      <c r="E409" s="148">
        <f t="shared" si="11"/>
        <v>143</v>
      </c>
      <c r="F409" s="148">
        <f t="shared" si="11"/>
        <v>130</v>
      </c>
      <c r="G409" s="148">
        <f t="shared" si="11"/>
        <v>74</v>
      </c>
      <c r="H409" s="148">
        <f t="shared" si="11"/>
        <v>74</v>
      </c>
      <c r="I409" s="148">
        <f t="shared" si="11"/>
        <v>15</v>
      </c>
      <c r="J409" s="148">
        <f t="shared" si="11"/>
        <v>4</v>
      </c>
    </row>
    <row r="410" spans="1:10" s="136" customFormat="1" ht="3.95" customHeight="1" x14ac:dyDescent="0.25">
      <c r="A410" s="138"/>
      <c r="B410" s="148"/>
      <c r="C410" s="148"/>
      <c r="D410" s="148"/>
      <c r="E410" s="148"/>
      <c r="F410" s="148"/>
      <c r="G410" s="148"/>
      <c r="H410" s="148"/>
      <c r="I410" s="148"/>
      <c r="J410" s="148"/>
    </row>
    <row r="411" spans="1:10" s="136" customFormat="1" ht="9" customHeight="1" x14ac:dyDescent="0.25">
      <c r="A411" s="140" t="s">
        <v>23</v>
      </c>
      <c r="B411" s="147">
        <v>11</v>
      </c>
      <c r="C411" s="147">
        <v>24</v>
      </c>
      <c r="D411" s="149">
        <v>0</v>
      </c>
      <c r="E411" s="149">
        <v>3</v>
      </c>
      <c r="F411" s="149">
        <v>1</v>
      </c>
      <c r="G411" s="149">
        <v>0</v>
      </c>
      <c r="H411" s="149">
        <v>1</v>
      </c>
      <c r="I411" s="149">
        <v>0</v>
      </c>
      <c r="J411" s="149">
        <v>0</v>
      </c>
    </row>
    <row r="412" spans="1:10" s="136" customFormat="1" ht="9" customHeight="1" x14ac:dyDescent="0.25">
      <c r="A412" s="140" t="s">
        <v>24</v>
      </c>
      <c r="B412" s="147">
        <v>46</v>
      </c>
      <c r="C412" s="147">
        <v>91</v>
      </c>
      <c r="D412" s="149">
        <v>0</v>
      </c>
      <c r="E412" s="149">
        <v>3</v>
      </c>
      <c r="F412" s="149">
        <v>4</v>
      </c>
      <c r="G412" s="149">
        <v>0</v>
      </c>
      <c r="H412" s="149">
        <v>3</v>
      </c>
      <c r="I412" s="149">
        <v>0</v>
      </c>
      <c r="J412" s="149">
        <v>0</v>
      </c>
    </row>
    <row r="413" spans="1:10" s="136" customFormat="1" ht="9" customHeight="1" x14ac:dyDescent="0.25">
      <c r="A413" s="140" t="s">
        <v>25</v>
      </c>
      <c r="B413" s="147">
        <v>19</v>
      </c>
      <c r="C413" s="147">
        <v>20</v>
      </c>
      <c r="D413" s="149">
        <v>0</v>
      </c>
      <c r="E413" s="149">
        <v>1</v>
      </c>
      <c r="F413" s="149">
        <v>1</v>
      </c>
      <c r="G413" s="149">
        <v>0</v>
      </c>
      <c r="H413" s="149">
        <v>1</v>
      </c>
      <c r="I413" s="149">
        <v>0</v>
      </c>
      <c r="J413" s="149">
        <v>0</v>
      </c>
    </row>
    <row r="414" spans="1:10" s="136" customFormat="1" ht="9" customHeight="1" x14ac:dyDescent="0.25">
      <c r="A414" s="141" t="s">
        <v>26</v>
      </c>
      <c r="B414" s="150">
        <v>19</v>
      </c>
      <c r="C414" s="150">
        <v>13</v>
      </c>
      <c r="D414" s="151">
        <v>3</v>
      </c>
      <c r="E414" s="151">
        <v>3</v>
      </c>
      <c r="F414" s="151">
        <v>2</v>
      </c>
      <c r="G414" s="151">
        <v>0</v>
      </c>
      <c r="H414" s="151">
        <v>1</v>
      </c>
      <c r="I414" s="151">
        <v>0</v>
      </c>
      <c r="J414" s="151">
        <v>0</v>
      </c>
    </row>
    <row r="415" spans="1:10" s="136" customFormat="1" ht="9" customHeight="1" x14ac:dyDescent="0.25">
      <c r="A415" s="140" t="s">
        <v>126</v>
      </c>
      <c r="B415" s="147">
        <v>27</v>
      </c>
      <c r="C415" s="147">
        <v>21</v>
      </c>
      <c r="D415" s="149">
        <v>9</v>
      </c>
      <c r="E415" s="149">
        <v>4</v>
      </c>
      <c r="F415" s="149">
        <v>6</v>
      </c>
      <c r="G415" s="149">
        <v>4</v>
      </c>
      <c r="H415" s="149">
        <v>0</v>
      </c>
      <c r="I415" s="149">
        <v>1</v>
      </c>
      <c r="J415" s="149">
        <v>0</v>
      </c>
    </row>
    <row r="416" spans="1:10" s="136" customFormat="1" ht="9" customHeight="1" x14ac:dyDescent="0.25">
      <c r="A416" s="140" t="s">
        <v>28</v>
      </c>
      <c r="B416" s="147">
        <v>15</v>
      </c>
      <c r="C416" s="136">
        <v>98</v>
      </c>
      <c r="D416" s="149">
        <v>1</v>
      </c>
      <c r="E416" s="149">
        <v>3</v>
      </c>
      <c r="F416" s="149">
        <v>3</v>
      </c>
      <c r="G416" s="149">
        <v>3</v>
      </c>
      <c r="H416" s="149">
        <v>1</v>
      </c>
      <c r="I416" s="149">
        <v>0</v>
      </c>
      <c r="J416" s="149">
        <v>0</v>
      </c>
    </row>
    <row r="417" spans="1:10" s="136" customFormat="1" ht="9" customHeight="1" x14ac:dyDescent="0.25">
      <c r="A417" s="140" t="s">
        <v>29</v>
      </c>
      <c r="B417" s="147">
        <v>5</v>
      </c>
      <c r="C417" s="147">
        <v>78</v>
      </c>
      <c r="D417" s="149">
        <v>1</v>
      </c>
      <c r="E417" s="149">
        <v>2</v>
      </c>
      <c r="F417" s="149">
        <v>4</v>
      </c>
      <c r="G417" s="149">
        <v>0</v>
      </c>
      <c r="H417" s="149">
        <v>3</v>
      </c>
      <c r="I417" s="149">
        <v>1</v>
      </c>
      <c r="J417" s="149">
        <v>0</v>
      </c>
    </row>
    <row r="418" spans="1:10" s="136" customFormat="1" ht="9" customHeight="1" x14ac:dyDescent="0.25">
      <c r="A418" s="141" t="s">
        <v>30</v>
      </c>
      <c r="B418" s="150">
        <v>62</v>
      </c>
      <c r="C418" s="150">
        <v>20</v>
      </c>
      <c r="D418" s="151">
        <v>7</v>
      </c>
      <c r="E418" s="151">
        <v>4</v>
      </c>
      <c r="F418" s="151">
        <v>6</v>
      </c>
      <c r="G418" s="151">
        <v>0</v>
      </c>
      <c r="H418" s="151">
        <v>1</v>
      </c>
      <c r="I418" s="151">
        <v>2</v>
      </c>
      <c r="J418" s="151">
        <v>0</v>
      </c>
    </row>
    <row r="419" spans="1:10" s="136" customFormat="1" ht="9" customHeight="1" x14ac:dyDescent="0.25">
      <c r="A419" s="140" t="s">
        <v>127</v>
      </c>
      <c r="B419" s="147">
        <v>214</v>
      </c>
      <c r="C419" s="147">
        <v>149</v>
      </c>
      <c r="D419" s="149">
        <v>16</v>
      </c>
      <c r="E419" s="149">
        <v>22</v>
      </c>
      <c r="F419" s="149" t="s">
        <v>22</v>
      </c>
      <c r="G419" s="149">
        <v>3</v>
      </c>
      <c r="H419" s="149">
        <v>11</v>
      </c>
      <c r="I419" s="149">
        <v>1</v>
      </c>
      <c r="J419" s="149">
        <v>0</v>
      </c>
    </row>
    <row r="420" spans="1:10" s="136" customFormat="1" ht="9" customHeight="1" x14ac:dyDescent="0.25">
      <c r="A420" s="140" t="s">
        <v>31</v>
      </c>
      <c r="B420" s="147">
        <v>28</v>
      </c>
      <c r="C420" s="147">
        <v>20</v>
      </c>
      <c r="D420" s="149">
        <v>0</v>
      </c>
      <c r="E420" s="149">
        <v>2</v>
      </c>
      <c r="F420" s="149">
        <v>2</v>
      </c>
      <c r="G420" s="149">
        <v>2</v>
      </c>
      <c r="H420" s="149">
        <v>1</v>
      </c>
      <c r="I420" s="149">
        <v>0</v>
      </c>
      <c r="J420" s="149">
        <v>0</v>
      </c>
    </row>
    <row r="421" spans="1:10" s="136" customFormat="1" ht="9" customHeight="1" x14ac:dyDescent="0.25">
      <c r="A421" s="140" t="s">
        <v>32</v>
      </c>
      <c r="B421" s="147">
        <v>6</v>
      </c>
      <c r="C421" s="147">
        <v>24</v>
      </c>
      <c r="D421" s="149">
        <v>0</v>
      </c>
      <c r="E421" s="149">
        <v>8</v>
      </c>
      <c r="F421" s="149">
        <v>5</v>
      </c>
      <c r="G421" s="149">
        <v>3</v>
      </c>
      <c r="H421" s="149">
        <v>1</v>
      </c>
      <c r="I421" s="149">
        <v>0</v>
      </c>
      <c r="J421" s="149">
        <v>0</v>
      </c>
    </row>
    <row r="422" spans="1:10" s="136" customFormat="1" ht="9" customHeight="1" x14ac:dyDescent="0.25">
      <c r="A422" s="141" t="s">
        <v>33</v>
      </c>
      <c r="B422" s="150">
        <v>32</v>
      </c>
      <c r="C422" s="150">
        <v>95</v>
      </c>
      <c r="D422" s="151">
        <v>2</v>
      </c>
      <c r="E422" s="151">
        <v>4</v>
      </c>
      <c r="F422" s="151">
        <v>4</v>
      </c>
      <c r="G422" s="151">
        <v>1</v>
      </c>
      <c r="H422" s="151">
        <v>4</v>
      </c>
      <c r="I422" s="151">
        <v>0</v>
      </c>
      <c r="J422" s="151">
        <v>0</v>
      </c>
    </row>
    <row r="423" spans="1:10" s="136" customFormat="1" ht="9" customHeight="1" x14ac:dyDescent="0.25">
      <c r="A423" s="140" t="s">
        <v>34</v>
      </c>
      <c r="B423" s="147">
        <v>12</v>
      </c>
      <c r="C423" s="147">
        <v>64</v>
      </c>
      <c r="D423" s="149">
        <v>1</v>
      </c>
      <c r="E423" s="149">
        <v>1</v>
      </c>
      <c r="F423" s="149">
        <v>5</v>
      </c>
      <c r="G423" s="149">
        <v>9</v>
      </c>
      <c r="H423" s="149">
        <v>1</v>
      </c>
      <c r="I423" s="149">
        <v>1</v>
      </c>
      <c r="J423" s="149">
        <v>0</v>
      </c>
    </row>
    <row r="424" spans="1:10" s="136" customFormat="1" ht="9" customHeight="1" x14ac:dyDescent="0.25">
      <c r="A424" s="140" t="s">
        <v>35</v>
      </c>
      <c r="B424" s="147">
        <v>52</v>
      </c>
      <c r="C424" s="147">
        <v>49</v>
      </c>
      <c r="D424" s="149">
        <v>1</v>
      </c>
      <c r="E424" s="149">
        <v>5</v>
      </c>
      <c r="F424" s="149">
        <v>8</v>
      </c>
      <c r="G424" s="149">
        <v>1</v>
      </c>
      <c r="H424" s="149">
        <v>3</v>
      </c>
      <c r="I424" s="149">
        <v>1</v>
      </c>
      <c r="J424" s="149">
        <v>0</v>
      </c>
    </row>
    <row r="425" spans="1:10" s="136" customFormat="1" ht="9" customHeight="1" x14ac:dyDescent="0.25">
      <c r="A425" s="140" t="s">
        <v>128</v>
      </c>
      <c r="B425" s="147">
        <v>63</v>
      </c>
      <c r="C425" s="147">
        <v>81</v>
      </c>
      <c r="D425" s="149">
        <v>16</v>
      </c>
      <c r="E425" s="149">
        <v>10</v>
      </c>
      <c r="F425" s="149">
        <v>4</v>
      </c>
      <c r="G425" s="149">
        <v>3</v>
      </c>
      <c r="H425" s="149">
        <v>4</v>
      </c>
      <c r="I425" s="149">
        <v>2</v>
      </c>
      <c r="J425" s="149">
        <v>0</v>
      </c>
    </row>
    <row r="426" spans="1:10" s="136" customFormat="1" ht="9" customHeight="1" x14ac:dyDescent="0.25">
      <c r="A426" s="141" t="s">
        <v>129</v>
      </c>
      <c r="B426" s="150">
        <v>5</v>
      </c>
      <c r="C426" s="150">
        <v>39</v>
      </c>
      <c r="D426" s="151">
        <v>0</v>
      </c>
      <c r="E426" s="151">
        <v>4</v>
      </c>
      <c r="F426" s="151">
        <v>6</v>
      </c>
      <c r="G426" s="151">
        <v>1</v>
      </c>
      <c r="H426" s="151">
        <v>1</v>
      </c>
      <c r="I426" s="151">
        <v>0</v>
      </c>
      <c r="J426" s="151">
        <v>0</v>
      </c>
    </row>
    <row r="427" spans="1:10" s="136" customFormat="1" ht="9" customHeight="1" x14ac:dyDescent="0.25">
      <c r="A427" s="140" t="s">
        <v>38</v>
      </c>
      <c r="B427" s="147">
        <v>36</v>
      </c>
      <c r="C427" s="147">
        <v>37</v>
      </c>
      <c r="D427" s="149">
        <v>1</v>
      </c>
      <c r="E427" s="149">
        <v>11</v>
      </c>
      <c r="F427" s="149">
        <v>3</v>
      </c>
      <c r="G427" s="149">
        <v>1</v>
      </c>
      <c r="H427" s="149">
        <v>9</v>
      </c>
      <c r="I427" s="149">
        <v>0</v>
      </c>
      <c r="J427" s="149">
        <v>1</v>
      </c>
    </row>
    <row r="428" spans="1:10" s="136" customFormat="1" ht="9" customHeight="1" x14ac:dyDescent="0.25">
      <c r="A428" s="140" t="s">
        <v>39</v>
      </c>
      <c r="B428" s="147">
        <v>12</v>
      </c>
      <c r="C428" s="147">
        <v>18</v>
      </c>
      <c r="D428" s="149">
        <v>1</v>
      </c>
      <c r="E428" s="149">
        <v>2</v>
      </c>
      <c r="F428" s="149">
        <v>4</v>
      </c>
      <c r="G428" s="149">
        <v>2</v>
      </c>
      <c r="H428" s="149">
        <v>1</v>
      </c>
      <c r="I428" s="149">
        <v>0</v>
      </c>
      <c r="J428" s="149">
        <v>0</v>
      </c>
    </row>
    <row r="429" spans="1:10" s="136" customFormat="1" ht="9" customHeight="1" x14ac:dyDescent="0.25">
      <c r="A429" s="140" t="s">
        <v>40</v>
      </c>
      <c r="B429" s="147">
        <v>113</v>
      </c>
      <c r="C429" s="147">
        <v>101</v>
      </c>
      <c r="D429" s="149">
        <v>20</v>
      </c>
      <c r="E429" s="149">
        <v>9</v>
      </c>
      <c r="F429" s="149">
        <v>7</v>
      </c>
      <c r="G429" s="149">
        <v>0</v>
      </c>
      <c r="H429" s="149">
        <v>5</v>
      </c>
      <c r="I429" s="149">
        <v>1</v>
      </c>
      <c r="J429" s="149">
        <v>0</v>
      </c>
    </row>
    <row r="430" spans="1:10" s="136" customFormat="1" ht="9" customHeight="1" x14ac:dyDescent="0.25">
      <c r="A430" s="141" t="s">
        <v>41</v>
      </c>
      <c r="B430" s="150">
        <v>11</v>
      </c>
      <c r="C430" s="150">
        <v>18</v>
      </c>
      <c r="D430" s="151">
        <v>0</v>
      </c>
      <c r="E430" s="151">
        <v>1</v>
      </c>
      <c r="F430" s="151">
        <v>7</v>
      </c>
      <c r="G430" s="151">
        <v>7</v>
      </c>
      <c r="H430" s="151">
        <v>0</v>
      </c>
      <c r="I430" s="151">
        <v>0</v>
      </c>
      <c r="J430" s="151">
        <v>0</v>
      </c>
    </row>
    <row r="431" spans="1:10" s="136" customFormat="1" ht="9" customHeight="1" x14ac:dyDescent="0.25">
      <c r="A431" s="140" t="s">
        <v>42</v>
      </c>
      <c r="B431" s="147">
        <v>57</v>
      </c>
      <c r="C431" s="147">
        <v>42</v>
      </c>
      <c r="D431" s="149">
        <v>14</v>
      </c>
      <c r="E431" s="149">
        <v>3</v>
      </c>
      <c r="F431" s="149">
        <v>3</v>
      </c>
      <c r="G431" s="149">
        <v>3</v>
      </c>
      <c r="H431" s="149">
        <v>1</v>
      </c>
      <c r="I431" s="149">
        <v>1</v>
      </c>
      <c r="J431" s="149">
        <v>1</v>
      </c>
    </row>
    <row r="432" spans="1:10" s="136" customFormat="1" ht="9" customHeight="1" x14ac:dyDescent="0.25">
      <c r="A432" s="140" t="s">
        <v>43</v>
      </c>
      <c r="B432" s="147">
        <v>10</v>
      </c>
      <c r="C432" s="147">
        <v>29</v>
      </c>
      <c r="D432" s="149">
        <v>1</v>
      </c>
      <c r="E432" s="149">
        <v>3</v>
      </c>
      <c r="F432" s="149">
        <v>2</v>
      </c>
      <c r="G432" s="149">
        <v>0</v>
      </c>
      <c r="H432" s="149">
        <v>1</v>
      </c>
      <c r="I432" s="149">
        <v>1</v>
      </c>
      <c r="J432" s="149">
        <v>0</v>
      </c>
    </row>
    <row r="433" spans="1:10" s="136" customFormat="1" ht="9" customHeight="1" x14ac:dyDescent="0.25">
      <c r="A433" s="140" t="s">
        <v>44</v>
      </c>
      <c r="B433" s="147">
        <v>10</v>
      </c>
      <c r="C433" s="147">
        <v>27</v>
      </c>
      <c r="D433" s="149">
        <v>1</v>
      </c>
      <c r="E433" s="149">
        <v>1</v>
      </c>
      <c r="F433" s="149">
        <v>1</v>
      </c>
      <c r="G433" s="149">
        <v>1</v>
      </c>
      <c r="H433" s="149">
        <v>1</v>
      </c>
      <c r="I433" s="149">
        <v>0</v>
      </c>
      <c r="J433" s="149">
        <v>0</v>
      </c>
    </row>
    <row r="434" spans="1:10" s="136" customFormat="1" ht="9" customHeight="1" x14ac:dyDescent="0.25">
      <c r="A434" s="141" t="s">
        <v>45</v>
      </c>
      <c r="B434" s="150">
        <v>17</v>
      </c>
      <c r="C434" s="150">
        <v>31</v>
      </c>
      <c r="D434" s="151">
        <v>0</v>
      </c>
      <c r="E434" s="151">
        <v>2</v>
      </c>
      <c r="F434" s="151">
        <v>2</v>
      </c>
      <c r="G434" s="151">
        <v>2</v>
      </c>
      <c r="H434" s="151">
        <v>1</v>
      </c>
      <c r="I434" s="151">
        <v>1</v>
      </c>
      <c r="J434" s="151">
        <v>0</v>
      </c>
    </row>
    <row r="435" spans="1:10" s="136" customFormat="1" ht="9" customHeight="1" x14ac:dyDescent="0.25">
      <c r="A435" s="140" t="s">
        <v>46</v>
      </c>
      <c r="B435" s="147">
        <v>69</v>
      </c>
      <c r="C435" s="147">
        <v>49</v>
      </c>
      <c r="D435" s="149">
        <v>7</v>
      </c>
      <c r="E435" s="149">
        <v>8</v>
      </c>
      <c r="F435" s="149">
        <v>6</v>
      </c>
      <c r="G435" s="149">
        <v>4</v>
      </c>
      <c r="H435" s="149">
        <v>6</v>
      </c>
      <c r="I435" s="149">
        <v>0</v>
      </c>
      <c r="J435" s="149">
        <v>0</v>
      </c>
    </row>
    <row r="436" spans="1:10" s="136" customFormat="1" ht="9" customHeight="1" x14ac:dyDescent="0.25">
      <c r="A436" s="140" t="s">
        <v>47</v>
      </c>
      <c r="B436" s="147">
        <v>48</v>
      </c>
      <c r="C436" s="147">
        <v>88</v>
      </c>
      <c r="D436" s="149">
        <v>0</v>
      </c>
      <c r="E436" s="149">
        <v>5</v>
      </c>
      <c r="F436" s="149">
        <v>8</v>
      </c>
      <c r="G436" s="149">
        <v>0</v>
      </c>
      <c r="H436" s="149">
        <v>2</v>
      </c>
      <c r="I436" s="149">
        <v>0</v>
      </c>
      <c r="J436" s="149">
        <v>0</v>
      </c>
    </row>
    <row r="437" spans="1:10" s="136" customFormat="1" ht="9" customHeight="1" x14ac:dyDescent="0.25">
      <c r="A437" s="140" t="s">
        <v>48</v>
      </c>
      <c r="B437" s="147">
        <v>5</v>
      </c>
      <c r="C437" s="147">
        <v>11</v>
      </c>
      <c r="D437" s="149">
        <v>3</v>
      </c>
      <c r="E437" s="149">
        <v>1</v>
      </c>
      <c r="F437" s="149">
        <v>2</v>
      </c>
      <c r="G437" s="149">
        <v>2</v>
      </c>
      <c r="H437" s="149">
        <v>1</v>
      </c>
      <c r="I437" s="149">
        <v>0</v>
      </c>
      <c r="J437" s="149">
        <v>0</v>
      </c>
    </row>
    <row r="438" spans="1:10" s="136" customFormat="1" ht="9" customHeight="1" x14ac:dyDescent="0.25">
      <c r="A438" s="141" t="s">
        <v>49</v>
      </c>
      <c r="B438" s="150">
        <v>35</v>
      </c>
      <c r="C438" s="150">
        <v>70</v>
      </c>
      <c r="D438" s="151">
        <v>0</v>
      </c>
      <c r="E438" s="151">
        <v>6</v>
      </c>
      <c r="F438" s="151">
        <v>4</v>
      </c>
      <c r="G438" s="151">
        <v>2</v>
      </c>
      <c r="H438" s="151">
        <v>2</v>
      </c>
      <c r="I438" s="151">
        <v>0</v>
      </c>
      <c r="J438" s="151">
        <v>0</v>
      </c>
    </row>
    <row r="439" spans="1:10" s="136" customFormat="1" ht="9" customHeight="1" x14ac:dyDescent="0.25">
      <c r="A439" s="140" t="s">
        <v>50</v>
      </c>
      <c r="B439" s="147">
        <v>19</v>
      </c>
      <c r="C439" s="147">
        <v>11</v>
      </c>
      <c r="D439" s="149">
        <v>3</v>
      </c>
      <c r="E439" s="149">
        <v>2</v>
      </c>
      <c r="F439" s="149">
        <v>1</v>
      </c>
      <c r="G439" s="149">
        <v>5</v>
      </c>
      <c r="H439" s="149">
        <v>1</v>
      </c>
      <c r="I439" s="149">
        <v>0</v>
      </c>
      <c r="J439" s="149">
        <v>2</v>
      </c>
    </row>
    <row r="440" spans="1:10" s="136" customFormat="1" ht="9" customHeight="1" x14ac:dyDescent="0.25">
      <c r="A440" s="140" t="s">
        <v>130</v>
      </c>
      <c r="B440" s="147">
        <v>106</v>
      </c>
      <c r="C440" s="147">
        <v>72</v>
      </c>
      <c r="D440" s="149">
        <v>4</v>
      </c>
      <c r="E440" s="149">
        <v>7</v>
      </c>
      <c r="F440" s="149">
        <v>10</v>
      </c>
      <c r="G440" s="149">
        <v>7</v>
      </c>
      <c r="H440" s="149">
        <v>4</v>
      </c>
      <c r="I440" s="149">
        <v>1</v>
      </c>
      <c r="J440" s="149">
        <v>0</v>
      </c>
    </row>
    <row r="441" spans="1:10" s="136" customFormat="1" ht="9" customHeight="1" x14ac:dyDescent="0.25">
      <c r="A441" s="140" t="s">
        <v>52</v>
      </c>
      <c r="B441" s="147">
        <v>21</v>
      </c>
      <c r="C441" s="147">
        <v>35</v>
      </c>
      <c r="D441" s="149">
        <v>1</v>
      </c>
      <c r="E441" s="149">
        <v>1</v>
      </c>
      <c r="F441" s="149">
        <v>2</v>
      </c>
      <c r="G441" s="149">
        <v>2</v>
      </c>
      <c r="H441" s="149">
        <v>1</v>
      </c>
      <c r="I441" s="149">
        <v>1</v>
      </c>
      <c r="J441" s="149">
        <v>0</v>
      </c>
    </row>
    <row r="442" spans="1:10" s="136" customFormat="1" ht="9" customHeight="1" x14ac:dyDescent="0.25">
      <c r="A442" s="141" t="s">
        <v>53</v>
      </c>
      <c r="B442" s="150">
        <v>15</v>
      </c>
      <c r="C442" s="150">
        <v>29</v>
      </c>
      <c r="D442" s="151">
        <v>0</v>
      </c>
      <c r="E442" s="151">
        <v>2</v>
      </c>
      <c r="F442" s="151">
        <v>7</v>
      </c>
      <c r="G442" s="151">
        <v>6</v>
      </c>
      <c r="H442" s="151">
        <v>1</v>
      </c>
      <c r="I442" s="151">
        <v>0</v>
      </c>
      <c r="J442" s="151">
        <v>0</v>
      </c>
    </row>
    <row r="443" spans="1:10" s="136" customFormat="1" ht="9" customHeight="1" x14ac:dyDescent="0.25">
      <c r="B443" s="140"/>
      <c r="C443" s="147"/>
      <c r="D443" s="147"/>
      <c r="E443" s="140"/>
      <c r="F443" s="140"/>
      <c r="G443" s="140"/>
      <c r="H443" s="140"/>
      <c r="I443" s="140"/>
      <c r="J443" s="140"/>
    </row>
    <row r="444" spans="1:10" s="136" customFormat="1" ht="9" customHeight="1" x14ac:dyDescent="0.25">
      <c r="A444" s="135">
        <v>2009</v>
      </c>
      <c r="B444" s="140"/>
      <c r="C444" s="147"/>
      <c r="D444" s="147"/>
      <c r="E444" s="140"/>
      <c r="F444" s="140"/>
      <c r="G444" s="140"/>
      <c r="H444" s="140"/>
      <c r="I444" s="140"/>
      <c r="J444" s="140"/>
    </row>
    <row r="445" spans="1:10" s="136" customFormat="1" ht="9" customHeight="1" x14ac:dyDescent="0.25">
      <c r="A445" s="138" t="s">
        <v>13</v>
      </c>
      <c r="B445" s="148">
        <f t="shared" ref="B445:J445" si="12">SUM(B447:B478)</f>
        <v>1170</v>
      </c>
      <c r="C445" s="148">
        <f t="shared" si="12"/>
        <v>1568</v>
      </c>
      <c r="D445" s="148">
        <f t="shared" si="12"/>
        <v>80</v>
      </c>
      <c r="E445" s="148">
        <f t="shared" si="12"/>
        <v>143</v>
      </c>
      <c r="F445" s="148">
        <f t="shared" si="12"/>
        <v>136</v>
      </c>
      <c r="G445" s="148">
        <f t="shared" si="12"/>
        <v>74</v>
      </c>
      <c r="H445" s="148">
        <f t="shared" si="12"/>
        <v>74</v>
      </c>
      <c r="I445" s="148">
        <f t="shared" si="12"/>
        <v>15</v>
      </c>
      <c r="J445" s="148">
        <f t="shared" si="12"/>
        <v>4</v>
      </c>
    </row>
    <row r="446" spans="1:10" s="136" customFormat="1" ht="3.95" customHeight="1" x14ac:dyDescent="0.25">
      <c r="A446" s="138"/>
      <c r="B446" s="148"/>
      <c r="C446" s="148"/>
      <c r="D446" s="148"/>
      <c r="E446" s="148"/>
      <c r="F446" s="148"/>
      <c r="G446" s="148"/>
      <c r="H446" s="148"/>
      <c r="I446" s="148"/>
      <c r="J446" s="148"/>
    </row>
    <row r="447" spans="1:10" s="136" customFormat="1" ht="9" customHeight="1" x14ac:dyDescent="0.25">
      <c r="A447" s="140" t="s">
        <v>23</v>
      </c>
      <c r="B447" s="147">
        <v>11</v>
      </c>
      <c r="C447" s="147">
        <v>24</v>
      </c>
      <c r="D447" s="149">
        <v>0</v>
      </c>
      <c r="E447" s="149">
        <v>3</v>
      </c>
      <c r="F447" s="149">
        <v>1</v>
      </c>
      <c r="G447" s="149">
        <v>0</v>
      </c>
      <c r="H447" s="149">
        <v>1</v>
      </c>
      <c r="I447" s="149">
        <v>0</v>
      </c>
      <c r="J447" s="149">
        <v>0</v>
      </c>
    </row>
    <row r="448" spans="1:10" s="136" customFormat="1" ht="9" customHeight="1" x14ac:dyDescent="0.25">
      <c r="A448" s="140" t="s">
        <v>24</v>
      </c>
      <c r="B448" s="147">
        <v>52</v>
      </c>
      <c r="C448" s="147">
        <v>92</v>
      </c>
      <c r="D448" s="149">
        <v>0</v>
      </c>
      <c r="E448" s="149">
        <v>3</v>
      </c>
      <c r="F448" s="149">
        <v>4</v>
      </c>
      <c r="G448" s="149">
        <v>0</v>
      </c>
      <c r="H448" s="149">
        <v>3</v>
      </c>
      <c r="I448" s="149">
        <v>0</v>
      </c>
      <c r="J448" s="149">
        <v>0</v>
      </c>
    </row>
    <row r="449" spans="1:10" s="136" customFormat="1" ht="9" customHeight="1" x14ac:dyDescent="0.25">
      <c r="A449" s="140" t="s">
        <v>25</v>
      </c>
      <c r="B449" s="147">
        <v>23</v>
      </c>
      <c r="C449" s="147">
        <v>20</v>
      </c>
      <c r="D449" s="149">
        <v>0</v>
      </c>
      <c r="E449" s="149">
        <v>1</v>
      </c>
      <c r="F449" s="149">
        <v>1</v>
      </c>
      <c r="G449" s="149">
        <v>0</v>
      </c>
      <c r="H449" s="149">
        <v>1</v>
      </c>
      <c r="I449" s="149">
        <v>0</v>
      </c>
      <c r="J449" s="149">
        <v>0</v>
      </c>
    </row>
    <row r="450" spans="1:10" s="136" customFormat="1" ht="9" customHeight="1" x14ac:dyDescent="0.25">
      <c r="A450" s="141" t="s">
        <v>26</v>
      </c>
      <c r="B450" s="150">
        <v>20</v>
      </c>
      <c r="C450" s="150">
        <v>13</v>
      </c>
      <c r="D450" s="151">
        <v>3</v>
      </c>
      <c r="E450" s="151">
        <v>3</v>
      </c>
      <c r="F450" s="151">
        <v>2</v>
      </c>
      <c r="G450" s="151">
        <v>0</v>
      </c>
      <c r="H450" s="151">
        <v>1</v>
      </c>
      <c r="I450" s="151">
        <v>0</v>
      </c>
      <c r="J450" s="151">
        <v>0</v>
      </c>
    </row>
    <row r="451" spans="1:10" s="136" customFormat="1" ht="9" customHeight="1" x14ac:dyDescent="0.25">
      <c r="A451" s="140" t="s">
        <v>126</v>
      </c>
      <c r="B451" s="147">
        <v>26</v>
      </c>
      <c r="C451" s="147">
        <v>74</v>
      </c>
      <c r="D451" s="149">
        <v>11</v>
      </c>
      <c r="E451" s="149">
        <v>4</v>
      </c>
      <c r="F451" s="149">
        <v>6</v>
      </c>
      <c r="G451" s="149">
        <v>4</v>
      </c>
      <c r="H451" s="149">
        <v>0</v>
      </c>
      <c r="I451" s="149">
        <v>1</v>
      </c>
      <c r="J451" s="149">
        <v>0</v>
      </c>
    </row>
    <row r="452" spans="1:10" s="136" customFormat="1" ht="9" customHeight="1" x14ac:dyDescent="0.25">
      <c r="A452" s="140" t="s">
        <v>28</v>
      </c>
      <c r="B452" s="147">
        <v>13</v>
      </c>
      <c r="C452" s="136">
        <v>21</v>
      </c>
      <c r="D452" s="149">
        <v>1</v>
      </c>
      <c r="E452" s="149">
        <v>3</v>
      </c>
      <c r="F452" s="149">
        <v>3</v>
      </c>
      <c r="G452" s="149">
        <v>3</v>
      </c>
      <c r="H452" s="149">
        <v>1</v>
      </c>
      <c r="I452" s="149">
        <v>0</v>
      </c>
      <c r="J452" s="149">
        <v>0</v>
      </c>
    </row>
    <row r="453" spans="1:10" s="136" customFormat="1" ht="9" customHeight="1" x14ac:dyDescent="0.25">
      <c r="A453" s="140" t="s">
        <v>29</v>
      </c>
      <c r="B453" s="147">
        <v>7</v>
      </c>
      <c r="C453" s="147">
        <v>21</v>
      </c>
      <c r="D453" s="149">
        <v>1</v>
      </c>
      <c r="E453" s="149">
        <v>2</v>
      </c>
      <c r="F453" s="149">
        <v>4</v>
      </c>
      <c r="G453" s="149">
        <v>0</v>
      </c>
      <c r="H453" s="149">
        <v>3</v>
      </c>
      <c r="I453" s="149">
        <v>1</v>
      </c>
      <c r="J453" s="149">
        <v>0</v>
      </c>
    </row>
    <row r="454" spans="1:10" s="136" customFormat="1" ht="9" customHeight="1" x14ac:dyDescent="0.25">
      <c r="A454" s="141" t="s">
        <v>30</v>
      </c>
      <c r="B454" s="150">
        <v>50</v>
      </c>
      <c r="C454" s="150">
        <v>100</v>
      </c>
      <c r="D454" s="151">
        <v>9</v>
      </c>
      <c r="E454" s="151">
        <v>4</v>
      </c>
      <c r="F454" s="151">
        <v>6</v>
      </c>
      <c r="G454" s="151">
        <v>0</v>
      </c>
      <c r="H454" s="151">
        <v>1</v>
      </c>
      <c r="I454" s="151">
        <v>2</v>
      </c>
      <c r="J454" s="151">
        <v>0</v>
      </c>
    </row>
    <row r="455" spans="1:10" s="136" customFormat="1" ht="9" customHeight="1" x14ac:dyDescent="0.25">
      <c r="A455" s="140" t="s">
        <v>127</v>
      </c>
      <c r="B455" s="147">
        <v>218</v>
      </c>
      <c r="C455" s="147">
        <v>150</v>
      </c>
      <c r="D455" s="149">
        <v>12</v>
      </c>
      <c r="E455" s="149">
        <v>22</v>
      </c>
      <c r="F455" s="149">
        <v>6</v>
      </c>
      <c r="G455" s="149">
        <v>3</v>
      </c>
      <c r="H455" s="149">
        <v>11</v>
      </c>
      <c r="I455" s="149">
        <v>1</v>
      </c>
      <c r="J455" s="149">
        <v>0</v>
      </c>
    </row>
    <row r="456" spans="1:10" s="136" customFormat="1" ht="9" customHeight="1" x14ac:dyDescent="0.25">
      <c r="A456" s="140" t="s">
        <v>31</v>
      </c>
      <c r="B456" s="147">
        <v>28</v>
      </c>
      <c r="C456" s="147">
        <v>20</v>
      </c>
      <c r="D456" s="149">
        <v>0</v>
      </c>
      <c r="E456" s="149">
        <v>2</v>
      </c>
      <c r="F456" s="149">
        <v>2</v>
      </c>
      <c r="G456" s="149">
        <v>2</v>
      </c>
      <c r="H456" s="149">
        <v>1</v>
      </c>
      <c r="I456" s="149">
        <v>0</v>
      </c>
      <c r="J456" s="149">
        <v>0</v>
      </c>
    </row>
    <row r="457" spans="1:10" s="136" customFormat="1" ht="9" customHeight="1" x14ac:dyDescent="0.25">
      <c r="A457" s="140" t="s">
        <v>32</v>
      </c>
      <c r="B457" s="147">
        <v>6</v>
      </c>
      <c r="C457" s="147">
        <v>67</v>
      </c>
      <c r="D457" s="149">
        <v>1</v>
      </c>
      <c r="E457" s="149">
        <v>8</v>
      </c>
      <c r="F457" s="149">
        <v>5</v>
      </c>
      <c r="G457" s="149">
        <v>3</v>
      </c>
      <c r="H457" s="149">
        <v>1</v>
      </c>
      <c r="I457" s="149">
        <v>0</v>
      </c>
      <c r="J457" s="149">
        <v>0</v>
      </c>
    </row>
    <row r="458" spans="1:10" s="136" customFormat="1" ht="9" customHeight="1" x14ac:dyDescent="0.25">
      <c r="A458" s="141" t="s">
        <v>33</v>
      </c>
      <c r="B458" s="150">
        <v>30</v>
      </c>
      <c r="C458" s="150">
        <v>17</v>
      </c>
      <c r="D458" s="151">
        <v>2</v>
      </c>
      <c r="E458" s="151">
        <v>4</v>
      </c>
      <c r="F458" s="151">
        <v>4</v>
      </c>
      <c r="G458" s="151">
        <v>1</v>
      </c>
      <c r="H458" s="151">
        <v>4</v>
      </c>
      <c r="I458" s="151">
        <v>0</v>
      </c>
      <c r="J458" s="151">
        <v>0</v>
      </c>
    </row>
    <row r="459" spans="1:10" s="136" customFormat="1" ht="9" customHeight="1" x14ac:dyDescent="0.25">
      <c r="A459" s="140" t="s">
        <v>34</v>
      </c>
      <c r="B459" s="147">
        <v>10</v>
      </c>
      <c r="C459" s="147">
        <v>24</v>
      </c>
      <c r="D459" s="149">
        <v>0</v>
      </c>
      <c r="E459" s="149">
        <v>1</v>
      </c>
      <c r="F459" s="149">
        <v>5</v>
      </c>
      <c r="G459" s="149">
        <v>9</v>
      </c>
      <c r="H459" s="149">
        <v>1</v>
      </c>
      <c r="I459" s="149">
        <v>1</v>
      </c>
      <c r="J459" s="149">
        <v>0</v>
      </c>
    </row>
    <row r="460" spans="1:10" s="136" customFormat="1" ht="9" customHeight="1" x14ac:dyDescent="0.25">
      <c r="A460" s="140" t="s">
        <v>35</v>
      </c>
      <c r="B460" s="147">
        <v>49</v>
      </c>
      <c r="C460" s="147">
        <v>103</v>
      </c>
      <c r="D460" s="149">
        <v>1</v>
      </c>
      <c r="E460" s="149">
        <v>5</v>
      </c>
      <c r="F460" s="149">
        <v>8</v>
      </c>
      <c r="G460" s="149">
        <v>1</v>
      </c>
      <c r="H460" s="149">
        <v>3</v>
      </c>
      <c r="I460" s="149">
        <v>1</v>
      </c>
      <c r="J460" s="149">
        <v>0</v>
      </c>
    </row>
    <row r="461" spans="1:10" s="136" customFormat="1" ht="9" customHeight="1" x14ac:dyDescent="0.25">
      <c r="A461" s="140" t="s">
        <v>128</v>
      </c>
      <c r="B461" s="147">
        <v>55</v>
      </c>
      <c r="C461" s="147">
        <v>112</v>
      </c>
      <c r="D461" s="149">
        <v>14</v>
      </c>
      <c r="E461" s="149">
        <v>10</v>
      </c>
      <c r="F461" s="149">
        <v>4</v>
      </c>
      <c r="G461" s="149">
        <v>3</v>
      </c>
      <c r="H461" s="149">
        <v>4</v>
      </c>
      <c r="I461" s="149">
        <v>2</v>
      </c>
      <c r="J461" s="149">
        <v>0</v>
      </c>
    </row>
    <row r="462" spans="1:10" s="136" customFormat="1" ht="9" customHeight="1" x14ac:dyDescent="0.25">
      <c r="A462" s="141" t="s">
        <v>129</v>
      </c>
      <c r="B462" s="150">
        <v>3</v>
      </c>
      <c r="C462" s="150">
        <v>40</v>
      </c>
      <c r="D462" s="151">
        <v>0</v>
      </c>
      <c r="E462" s="151">
        <v>4</v>
      </c>
      <c r="F462" s="151">
        <v>6</v>
      </c>
      <c r="G462" s="151">
        <v>1</v>
      </c>
      <c r="H462" s="151">
        <v>1</v>
      </c>
      <c r="I462" s="151">
        <v>0</v>
      </c>
      <c r="J462" s="151">
        <v>0</v>
      </c>
    </row>
    <row r="463" spans="1:10" s="136" customFormat="1" ht="9" customHeight="1" x14ac:dyDescent="0.25">
      <c r="A463" s="140" t="s">
        <v>38</v>
      </c>
      <c r="B463" s="147">
        <v>38</v>
      </c>
      <c r="C463" s="147">
        <v>37</v>
      </c>
      <c r="D463" s="149">
        <v>1</v>
      </c>
      <c r="E463" s="149">
        <v>11</v>
      </c>
      <c r="F463" s="149">
        <v>3</v>
      </c>
      <c r="G463" s="149">
        <v>1</v>
      </c>
      <c r="H463" s="149">
        <v>9</v>
      </c>
      <c r="I463" s="149">
        <v>0</v>
      </c>
      <c r="J463" s="149">
        <v>1</v>
      </c>
    </row>
    <row r="464" spans="1:10" s="136" customFormat="1" ht="9" customHeight="1" x14ac:dyDescent="0.25">
      <c r="A464" s="140" t="s">
        <v>39</v>
      </c>
      <c r="B464" s="147">
        <v>13</v>
      </c>
      <c r="C464" s="147">
        <v>18</v>
      </c>
      <c r="D464" s="149">
        <v>1</v>
      </c>
      <c r="E464" s="149">
        <v>2</v>
      </c>
      <c r="F464" s="149">
        <v>4</v>
      </c>
      <c r="G464" s="149">
        <v>2</v>
      </c>
      <c r="H464" s="149">
        <v>1</v>
      </c>
      <c r="I464" s="149">
        <v>0</v>
      </c>
      <c r="J464" s="149">
        <v>0</v>
      </c>
    </row>
    <row r="465" spans="1:10" s="136" customFormat="1" ht="9" customHeight="1" x14ac:dyDescent="0.25">
      <c r="A465" s="140" t="s">
        <v>40</v>
      </c>
      <c r="B465" s="147">
        <v>115</v>
      </c>
      <c r="C465" s="147">
        <v>100</v>
      </c>
      <c r="D465" s="149">
        <v>7</v>
      </c>
      <c r="E465" s="149">
        <v>9</v>
      </c>
      <c r="F465" s="149">
        <v>7</v>
      </c>
      <c r="G465" s="149">
        <v>0</v>
      </c>
      <c r="H465" s="149">
        <v>5</v>
      </c>
      <c r="I465" s="149">
        <v>1</v>
      </c>
      <c r="J465" s="149">
        <v>0</v>
      </c>
    </row>
    <row r="466" spans="1:10" s="136" customFormat="1" ht="9" customHeight="1" x14ac:dyDescent="0.25">
      <c r="A466" s="141" t="s">
        <v>41</v>
      </c>
      <c r="B466" s="150">
        <v>12</v>
      </c>
      <c r="C466" s="150">
        <v>19</v>
      </c>
      <c r="D466" s="151">
        <v>0</v>
      </c>
      <c r="E466" s="151">
        <v>1</v>
      </c>
      <c r="F466" s="151">
        <v>7</v>
      </c>
      <c r="G466" s="151">
        <v>7</v>
      </c>
      <c r="H466" s="151">
        <v>0</v>
      </c>
      <c r="I466" s="151">
        <v>0</v>
      </c>
      <c r="J466" s="151">
        <v>0</v>
      </c>
    </row>
    <row r="467" spans="1:10" s="136" customFormat="1" ht="9" customHeight="1" x14ac:dyDescent="0.25">
      <c r="A467" s="140" t="s">
        <v>42</v>
      </c>
      <c r="B467" s="147">
        <v>54</v>
      </c>
      <c r="C467" s="147">
        <v>42</v>
      </c>
      <c r="D467" s="149">
        <v>0</v>
      </c>
      <c r="E467" s="149">
        <v>3</v>
      </c>
      <c r="F467" s="149">
        <v>3</v>
      </c>
      <c r="G467" s="149">
        <v>3</v>
      </c>
      <c r="H467" s="149">
        <v>1</v>
      </c>
      <c r="I467" s="149">
        <v>1</v>
      </c>
      <c r="J467" s="149">
        <v>1</v>
      </c>
    </row>
    <row r="468" spans="1:10" s="136" customFormat="1" ht="9" customHeight="1" x14ac:dyDescent="0.25">
      <c r="A468" s="140" t="s">
        <v>43</v>
      </c>
      <c r="B468" s="147">
        <v>10</v>
      </c>
      <c r="C468" s="147">
        <v>31</v>
      </c>
      <c r="D468" s="149">
        <v>1</v>
      </c>
      <c r="E468" s="149">
        <v>3</v>
      </c>
      <c r="F468" s="149">
        <v>2</v>
      </c>
      <c r="G468" s="149">
        <v>0</v>
      </c>
      <c r="H468" s="149">
        <v>1</v>
      </c>
      <c r="I468" s="149">
        <v>1</v>
      </c>
      <c r="J468" s="149">
        <v>0</v>
      </c>
    </row>
    <row r="469" spans="1:10" s="136" customFormat="1" ht="9" customHeight="1" x14ac:dyDescent="0.25">
      <c r="A469" s="140" t="s">
        <v>44</v>
      </c>
      <c r="B469" s="147">
        <v>10</v>
      </c>
      <c r="C469" s="147">
        <v>26</v>
      </c>
      <c r="D469" s="149">
        <v>1</v>
      </c>
      <c r="E469" s="149">
        <v>1</v>
      </c>
      <c r="F469" s="149">
        <v>1</v>
      </c>
      <c r="G469" s="149">
        <v>1</v>
      </c>
      <c r="H469" s="149">
        <v>1</v>
      </c>
      <c r="I469" s="149">
        <v>0</v>
      </c>
      <c r="J469" s="149">
        <v>0</v>
      </c>
    </row>
    <row r="470" spans="1:10" s="136" customFormat="1" ht="9" customHeight="1" x14ac:dyDescent="0.25">
      <c r="A470" s="141" t="s">
        <v>45</v>
      </c>
      <c r="B470" s="150">
        <v>20</v>
      </c>
      <c r="C470" s="150">
        <v>31</v>
      </c>
      <c r="D470" s="151">
        <v>0</v>
      </c>
      <c r="E470" s="151">
        <v>2</v>
      </c>
      <c r="F470" s="151">
        <v>2</v>
      </c>
      <c r="G470" s="151">
        <v>2</v>
      </c>
      <c r="H470" s="151">
        <v>1</v>
      </c>
      <c r="I470" s="151">
        <v>1</v>
      </c>
      <c r="J470" s="151">
        <v>0</v>
      </c>
    </row>
    <row r="471" spans="1:10" s="136" customFormat="1" ht="9" customHeight="1" x14ac:dyDescent="0.25">
      <c r="A471" s="140" t="s">
        <v>46</v>
      </c>
      <c r="B471" s="147">
        <v>62</v>
      </c>
      <c r="C471" s="147">
        <v>49</v>
      </c>
      <c r="D471" s="149">
        <v>5</v>
      </c>
      <c r="E471" s="149">
        <v>8</v>
      </c>
      <c r="F471" s="149">
        <v>6</v>
      </c>
      <c r="G471" s="149">
        <v>4</v>
      </c>
      <c r="H471" s="149">
        <v>6</v>
      </c>
      <c r="I471" s="149">
        <v>0</v>
      </c>
      <c r="J471" s="149">
        <v>0</v>
      </c>
    </row>
    <row r="472" spans="1:10" s="136" customFormat="1" ht="9" customHeight="1" x14ac:dyDescent="0.25">
      <c r="A472" s="140" t="s">
        <v>47</v>
      </c>
      <c r="B472" s="147">
        <v>54</v>
      </c>
      <c r="C472" s="147">
        <v>88</v>
      </c>
      <c r="D472" s="149">
        <v>0</v>
      </c>
      <c r="E472" s="149">
        <v>5</v>
      </c>
      <c r="F472" s="149">
        <v>8</v>
      </c>
      <c r="G472" s="149">
        <v>0</v>
      </c>
      <c r="H472" s="149">
        <v>2</v>
      </c>
      <c r="I472" s="149">
        <v>0</v>
      </c>
      <c r="J472" s="149">
        <v>0</v>
      </c>
    </row>
    <row r="473" spans="1:10" s="136" customFormat="1" ht="9" customHeight="1" x14ac:dyDescent="0.25">
      <c r="A473" s="140" t="s">
        <v>48</v>
      </c>
      <c r="B473" s="147">
        <v>7</v>
      </c>
      <c r="C473" s="147">
        <v>11</v>
      </c>
      <c r="D473" s="149">
        <v>1</v>
      </c>
      <c r="E473" s="149">
        <v>1</v>
      </c>
      <c r="F473" s="149">
        <v>2</v>
      </c>
      <c r="G473" s="149">
        <v>2</v>
      </c>
      <c r="H473" s="149">
        <v>1</v>
      </c>
      <c r="I473" s="149">
        <v>0</v>
      </c>
      <c r="J473" s="149">
        <v>0</v>
      </c>
    </row>
    <row r="474" spans="1:10" s="136" customFormat="1" ht="9" customHeight="1" x14ac:dyDescent="0.25">
      <c r="A474" s="141" t="s">
        <v>49</v>
      </c>
      <c r="B474" s="150">
        <v>28</v>
      </c>
      <c r="C474" s="150">
        <v>74</v>
      </c>
      <c r="D474" s="151">
        <v>0</v>
      </c>
      <c r="E474" s="151">
        <v>6</v>
      </c>
      <c r="F474" s="151">
        <v>4</v>
      </c>
      <c r="G474" s="151">
        <v>2</v>
      </c>
      <c r="H474" s="151">
        <v>2</v>
      </c>
      <c r="I474" s="151">
        <v>0</v>
      </c>
      <c r="J474" s="151">
        <v>0</v>
      </c>
    </row>
    <row r="475" spans="1:10" s="136" customFormat="1" ht="9" customHeight="1" x14ac:dyDescent="0.25">
      <c r="A475" s="140" t="s">
        <v>50</v>
      </c>
      <c r="B475" s="147">
        <v>19</v>
      </c>
      <c r="C475" s="147">
        <v>9</v>
      </c>
      <c r="D475" s="149">
        <v>5</v>
      </c>
      <c r="E475" s="149">
        <v>2</v>
      </c>
      <c r="F475" s="149">
        <v>1</v>
      </c>
      <c r="G475" s="149">
        <v>5</v>
      </c>
      <c r="H475" s="149">
        <v>1</v>
      </c>
      <c r="I475" s="149">
        <v>0</v>
      </c>
      <c r="J475" s="149">
        <v>2</v>
      </c>
    </row>
    <row r="476" spans="1:10" s="136" customFormat="1" ht="9" customHeight="1" x14ac:dyDescent="0.25">
      <c r="A476" s="140" t="s">
        <v>130</v>
      </c>
      <c r="B476" s="147">
        <v>91</v>
      </c>
      <c r="C476" s="147">
        <v>70</v>
      </c>
      <c r="D476" s="149">
        <v>2</v>
      </c>
      <c r="E476" s="149">
        <v>7</v>
      </c>
      <c r="F476" s="149">
        <v>10</v>
      </c>
      <c r="G476" s="149">
        <v>7</v>
      </c>
      <c r="H476" s="149">
        <v>4</v>
      </c>
      <c r="I476" s="149">
        <v>1</v>
      </c>
      <c r="J476" s="149">
        <v>0</v>
      </c>
    </row>
    <row r="477" spans="1:10" s="136" customFormat="1" ht="9" customHeight="1" x14ac:dyDescent="0.25">
      <c r="A477" s="140" t="s">
        <v>52</v>
      </c>
      <c r="B477" s="147">
        <v>20</v>
      </c>
      <c r="C477" s="147">
        <v>36</v>
      </c>
      <c r="D477" s="149">
        <v>1</v>
      </c>
      <c r="E477" s="149">
        <v>1</v>
      </c>
      <c r="F477" s="149">
        <v>2</v>
      </c>
      <c r="G477" s="149">
        <v>2</v>
      </c>
      <c r="H477" s="149">
        <v>1</v>
      </c>
      <c r="I477" s="149">
        <v>1</v>
      </c>
      <c r="J477" s="149">
        <v>0</v>
      </c>
    </row>
    <row r="478" spans="1:10" s="136" customFormat="1" ht="9" customHeight="1" x14ac:dyDescent="0.25">
      <c r="A478" s="141" t="s">
        <v>53</v>
      </c>
      <c r="B478" s="150">
        <v>16</v>
      </c>
      <c r="C478" s="150">
        <v>29</v>
      </c>
      <c r="D478" s="151">
        <v>0</v>
      </c>
      <c r="E478" s="151">
        <v>2</v>
      </c>
      <c r="F478" s="151">
        <v>7</v>
      </c>
      <c r="G478" s="151">
        <v>6</v>
      </c>
      <c r="H478" s="151">
        <v>1</v>
      </c>
      <c r="I478" s="151">
        <v>0</v>
      </c>
      <c r="J478" s="151">
        <v>0</v>
      </c>
    </row>
    <row r="479" spans="1:10" s="159" customFormat="1" ht="9" customHeight="1" x14ac:dyDescent="0.25">
      <c r="A479" s="156"/>
      <c r="B479" s="157"/>
      <c r="C479" s="157"/>
      <c r="D479" s="158"/>
      <c r="E479" s="158"/>
      <c r="F479" s="158"/>
      <c r="G479" s="158"/>
      <c r="H479" s="158"/>
      <c r="I479" s="158"/>
      <c r="J479" s="158"/>
    </row>
    <row r="480" spans="1:10" s="159" customFormat="1" ht="9" customHeight="1" x14ac:dyDescent="0.25">
      <c r="A480" s="135">
        <v>2010</v>
      </c>
      <c r="B480" s="140"/>
      <c r="C480" s="147"/>
      <c r="D480" s="147"/>
      <c r="E480" s="140"/>
      <c r="F480" s="140"/>
      <c r="G480" s="140"/>
      <c r="H480" s="140"/>
      <c r="I480" s="140"/>
      <c r="J480" s="140"/>
    </row>
    <row r="481" spans="1:10" s="159" customFormat="1" ht="9" customHeight="1" x14ac:dyDescent="0.25">
      <c r="A481" s="138" t="s">
        <v>13</v>
      </c>
      <c r="B481" s="148">
        <f>SUM(B483:B514)</f>
        <v>1135</v>
      </c>
      <c r="C481" s="148">
        <f>SUM(C483:C514)</f>
        <v>1459</v>
      </c>
      <c r="D481" s="148">
        <f>SUM(D483:D514)</f>
        <v>70</v>
      </c>
      <c r="E481" s="148">
        <f>SUM(E483:E514)+1</f>
        <v>148</v>
      </c>
      <c r="F481" s="148">
        <f>SUM(F483:F514)</f>
        <v>136</v>
      </c>
      <c r="G481" s="148">
        <f>SUM(G483:G514)</f>
        <v>71</v>
      </c>
      <c r="H481" s="148">
        <f>SUM(H483:H514)</f>
        <v>74</v>
      </c>
      <c r="I481" s="148">
        <f>SUM(I483:I514)</f>
        <v>15</v>
      </c>
      <c r="J481" s="148">
        <f>SUM(J483:J514)</f>
        <v>4</v>
      </c>
    </row>
    <row r="482" spans="1:10" s="159" customFormat="1" ht="3.95" customHeight="1" x14ac:dyDescent="0.25">
      <c r="A482" s="138"/>
      <c r="B482" s="148"/>
      <c r="C482" s="148"/>
      <c r="D482" s="148"/>
      <c r="E482" s="148"/>
      <c r="F482" s="148"/>
      <c r="G482" s="148"/>
      <c r="H482" s="148"/>
      <c r="I482" s="148"/>
      <c r="J482" s="148"/>
    </row>
    <row r="483" spans="1:10" s="159" customFormat="1" ht="9" customHeight="1" x14ac:dyDescent="0.25">
      <c r="A483" s="140" t="s">
        <v>23</v>
      </c>
      <c r="B483" s="147">
        <v>10</v>
      </c>
      <c r="C483" s="147">
        <v>25</v>
      </c>
      <c r="D483" s="149">
        <v>0</v>
      </c>
      <c r="E483" s="149">
        <v>3</v>
      </c>
      <c r="F483" s="149">
        <v>1</v>
      </c>
      <c r="G483" s="149">
        <v>0</v>
      </c>
      <c r="H483" s="149">
        <v>1</v>
      </c>
      <c r="I483" s="149">
        <v>0</v>
      </c>
      <c r="J483" s="149">
        <v>0</v>
      </c>
    </row>
    <row r="484" spans="1:10" s="159" customFormat="1" ht="9" customHeight="1" x14ac:dyDescent="0.25">
      <c r="A484" s="140" t="s">
        <v>24</v>
      </c>
      <c r="B484" s="147">
        <v>51</v>
      </c>
      <c r="C484" s="147">
        <v>87</v>
      </c>
      <c r="D484" s="149">
        <v>0</v>
      </c>
      <c r="E484" s="149">
        <v>3</v>
      </c>
      <c r="F484" s="149">
        <v>4</v>
      </c>
      <c r="G484" s="149">
        <v>0</v>
      </c>
      <c r="H484" s="149">
        <v>3</v>
      </c>
      <c r="I484" s="149">
        <v>0</v>
      </c>
      <c r="J484" s="149">
        <v>0</v>
      </c>
    </row>
    <row r="485" spans="1:10" s="159" customFormat="1" ht="9" customHeight="1" x14ac:dyDescent="0.25">
      <c r="A485" s="140" t="s">
        <v>25</v>
      </c>
      <c r="B485" s="147">
        <v>29</v>
      </c>
      <c r="C485" s="147">
        <v>17</v>
      </c>
      <c r="D485" s="149">
        <v>0</v>
      </c>
      <c r="E485" s="149">
        <v>1</v>
      </c>
      <c r="F485" s="149">
        <v>1</v>
      </c>
      <c r="G485" s="149">
        <v>0</v>
      </c>
      <c r="H485" s="149">
        <v>1</v>
      </c>
      <c r="I485" s="149">
        <v>0</v>
      </c>
      <c r="J485" s="149">
        <v>0</v>
      </c>
    </row>
    <row r="486" spans="1:10" s="159" customFormat="1" ht="9" customHeight="1" x14ac:dyDescent="0.25">
      <c r="A486" s="141" t="s">
        <v>26</v>
      </c>
      <c r="B486" s="150">
        <v>20</v>
      </c>
      <c r="C486" s="150">
        <v>9</v>
      </c>
      <c r="D486" s="151">
        <v>3</v>
      </c>
      <c r="E486" s="151">
        <v>3</v>
      </c>
      <c r="F486" s="151">
        <v>2</v>
      </c>
      <c r="G486" s="151">
        <v>0</v>
      </c>
      <c r="H486" s="151">
        <v>1</v>
      </c>
      <c r="I486" s="151">
        <v>0</v>
      </c>
      <c r="J486" s="151">
        <v>0</v>
      </c>
    </row>
    <row r="487" spans="1:10" s="159" customFormat="1" ht="9" customHeight="1" x14ac:dyDescent="0.25">
      <c r="A487" s="140" t="s">
        <v>126</v>
      </c>
      <c r="B487" s="147">
        <v>34</v>
      </c>
      <c r="C487" s="147">
        <v>65</v>
      </c>
      <c r="D487" s="149">
        <v>11</v>
      </c>
      <c r="E487" s="149">
        <v>4</v>
      </c>
      <c r="F487" s="149">
        <v>6</v>
      </c>
      <c r="G487" s="149">
        <v>4</v>
      </c>
      <c r="H487" s="149">
        <v>0</v>
      </c>
      <c r="I487" s="149">
        <v>1</v>
      </c>
      <c r="J487" s="149">
        <v>0</v>
      </c>
    </row>
    <row r="488" spans="1:10" s="159" customFormat="1" ht="9" customHeight="1" x14ac:dyDescent="0.25">
      <c r="A488" s="140" t="s">
        <v>28</v>
      </c>
      <c r="B488" s="147">
        <v>13</v>
      </c>
      <c r="C488" s="136">
        <v>22</v>
      </c>
      <c r="D488" s="149">
        <v>1</v>
      </c>
      <c r="E488" s="149">
        <v>3</v>
      </c>
      <c r="F488" s="149">
        <v>3</v>
      </c>
      <c r="G488" s="149">
        <v>3</v>
      </c>
      <c r="H488" s="149">
        <v>1</v>
      </c>
      <c r="I488" s="149">
        <v>0</v>
      </c>
      <c r="J488" s="149">
        <v>0</v>
      </c>
    </row>
    <row r="489" spans="1:10" s="159" customFormat="1" ht="9" customHeight="1" x14ac:dyDescent="0.25">
      <c r="A489" s="140" t="s">
        <v>29</v>
      </c>
      <c r="B489" s="147">
        <v>6</v>
      </c>
      <c r="C489" s="147">
        <v>18</v>
      </c>
      <c r="D489" s="149">
        <v>1</v>
      </c>
      <c r="E489" s="149">
        <v>2</v>
      </c>
      <c r="F489" s="149">
        <v>4</v>
      </c>
      <c r="G489" s="149">
        <v>0</v>
      </c>
      <c r="H489" s="149">
        <v>3</v>
      </c>
      <c r="I489" s="149">
        <v>1</v>
      </c>
      <c r="J489" s="149">
        <v>0</v>
      </c>
    </row>
    <row r="490" spans="1:10" s="159" customFormat="1" ht="9" customHeight="1" x14ac:dyDescent="0.25">
      <c r="A490" s="141" t="s">
        <v>30</v>
      </c>
      <c r="B490" s="150">
        <v>38</v>
      </c>
      <c r="C490" s="150">
        <v>94</v>
      </c>
      <c r="D490" s="151">
        <v>7</v>
      </c>
      <c r="E490" s="151">
        <v>4</v>
      </c>
      <c r="F490" s="151">
        <v>6</v>
      </c>
      <c r="G490" s="151">
        <v>0</v>
      </c>
      <c r="H490" s="151">
        <v>1</v>
      </c>
      <c r="I490" s="151">
        <v>2</v>
      </c>
      <c r="J490" s="151">
        <v>0</v>
      </c>
    </row>
    <row r="491" spans="1:10" s="159" customFormat="1" ht="9" customHeight="1" x14ac:dyDescent="0.25">
      <c r="A491" s="140" t="s">
        <v>127</v>
      </c>
      <c r="B491" s="147">
        <v>211</v>
      </c>
      <c r="C491" s="147">
        <v>139</v>
      </c>
      <c r="D491" s="149">
        <v>9</v>
      </c>
      <c r="E491" s="149">
        <v>23</v>
      </c>
      <c r="F491" s="149">
        <v>6</v>
      </c>
      <c r="G491" s="149">
        <v>3</v>
      </c>
      <c r="H491" s="149">
        <v>11</v>
      </c>
      <c r="I491" s="149">
        <v>1</v>
      </c>
      <c r="J491" s="149">
        <v>0</v>
      </c>
    </row>
    <row r="492" spans="1:10" s="159" customFormat="1" ht="9" customHeight="1" x14ac:dyDescent="0.25">
      <c r="A492" s="140" t="s">
        <v>31</v>
      </c>
      <c r="B492" s="147">
        <v>27</v>
      </c>
      <c r="C492" s="147">
        <v>18</v>
      </c>
      <c r="D492" s="149">
        <v>0</v>
      </c>
      <c r="E492" s="149">
        <v>2</v>
      </c>
      <c r="F492" s="149">
        <v>2</v>
      </c>
      <c r="G492" s="149">
        <v>2</v>
      </c>
      <c r="H492" s="149">
        <v>1</v>
      </c>
      <c r="I492" s="149">
        <v>0</v>
      </c>
      <c r="J492" s="149">
        <v>0</v>
      </c>
    </row>
    <row r="493" spans="1:10" s="159" customFormat="1" ht="9" customHeight="1" x14ac:dyDescent="0.25">
      <c r="A493" s="140" t="s">
        <v>32</v>
      </c>
      <c r="B493" s="147">
        <v>9</v>
      </c>
      <c r="C493" s="147">
        <v>62</v>
      </c>
      <c r="D493" s="149">
        <v>1</v>
      </c>
      <c r="E493" s="149">
        <v>8</v>
      </c>
      <c r="F493" s="149">
        <v>5</v>
      </c>
      <c r="G493" s="149">
        <v>3</v>
      </c>
      <c r="H493" s="149">
        <v>1</v>
      </c>
      <c r="I493" s="149">
        <v>0</v>
      </c>
      <c r="J493" s="149">
        <v>0</v>
      </c>
    </row>
    <row r="494" spans="1:10" s="159" customFormat="1" ht="9" customHeight="1" x14ac:dyDescent="0.25">
      <c r="A494" s="141" t="s">
        <v>33</v>
      </c>
      <c r="B494" s="150">
        <v>32</v>
      </c>
      <c r="C494" s="150">
        <v>15</v>
      </c>
      <c r="D494" s="151">
        <v>1</v>
      </c>
      <c r="E494" s="151">
        <v>4</v>
      </c>
      <c r="F494" s="151">
        <v>4</v>
      </c>
      <c r="G494" s="151">
        <v>1</v>
      </c>
      <c r="H494" s="151">
        <v>4</v>
      </c>
      <c r="I494" s="151">
        <v>0</v>
      </c>
      <c r="J494" s="151">
        <v>0</v>
      </c>
    </row>
    <row r="495" spans="1:10" s="159" customFormat="1" ht="9" customHeight="1" x14ac:dyDescent="0.25">
      <c r="A495" s="140" t="s">
        <v>34</v>
      </c>
      <c r="B495" s="147">
        <v>9</v>
      </c>
      <c r="C495" s="147">
        <v>18</v>
      </c>
      <c r="D495" s="149">
        <v>0</v>
      </c>
      <c r="E495" s="149">
        <v>1</v>
      </c>
      <c r="F495" s="149">
        <v>5</v>
      </c>
      <c r="G495" s="149">
        <v>9</v>
      </c>
      <c r="H495" s="149">
        <v>1</v>
      </c>
      <c r="I495" s="149">
        <v>1</v>
      </c>
      <c r="J495" s="149">
        <v>0</v>
      </c>
    </row>
    <row r="496" spans="1:10" s="159" customFormat="1" ht="9" customHeight="1" x14ac:dyDescent="0.25">
      <c r="A496" s="140" t="s">
        <v>35</v>
      </c>
      <c r="B496" s="147">
        <v>50</v>
      </c>
      <c r="C496" s="147">
        <v>96</v>
      </c>
      <c r="D496" s="149">
        <v>3</v>
      </c>
      <c r="E496" s="149">
        <v>5</v>
      </c>
      <c r="F496" s="149">
        <v>8</v>
      </c>
      <c r="G496" s="149">
        <v>1</v>
      </c>
      <c r="H496" s="149">
        <v>3</v>
      </c>
      <c r="I496" s="149">
        <v>1</v>
      </c>
      <c r="J496" s="149">
        <v>0</v>
      </c>
    </row>
    <row r="497" spans="1:10" s="159" customFormat="1" ht="9" customHeight="1" x14ac:dyDescent="0.25">
      <c r="A497" s="140" t="s">
        <v>128</v>
      </c>
      <c r="B497" s="147">
        <v>61</v>
      </c>
      <c r="C497" s="147">
        <v>105</v>
      </c>
      <c r="D497" s="149">
        <v>13</v>
      </c>
      <c r="E497" s="149">
        <v>10</v>
      </c>
      <c r="F497" s="149">
        <v>4</v>
      </c>
      <c r="G497" s="149">
        <v>3</v>
      </c>
      <c r="H497" s="149">
        <v>4</v>
      </c>
      <c r="I497" s="149">
        <v>2</v>
      </c>
      <c r="J497" s="149">
        <v>0</v>
      </c>
    </row>
    <row r="498" spans="1:10" s="159" customFormat="1" ht="9" customHeight="1" x14ac:dyDescent="0.25">
      <c r="A498" s="141" t="s">
        <v>129</v>
      </c>
      <c r="B498" s="150">
        <v>5</v>
      </c>
      <c r="C498" s="150">
        <v>40</v>
      </c>
      <c r="D498" s="151">
        <v>0</v>
      </c>
      <c r="E498" s="151">
        <v>4</v>
      </c>
      <c r="F498" s="151">
        <v>6</v>
      </c>
      <c r="G498" s="151">
        <v>1</v>
      </c>
      <c r="H498" s="151">
        <v>1</v>
      </c>
      <c r="I498" s="151">
        <v>0</v>
      </c>
      <c r="J498" s="151">
        <v>0</v>
      </c>
    </row>
    <row r="499" spans="1:10" s="159" customFormat="1" ht="9" customHeight="1" x14ac:dyDescent="0.25">
      <c r="A499" s="140" t="s">
        <v>38</v>
      </c>
      <c r="B499" s="147">
        <v>37</v>
      </c>
      <c r="C499" s="147">
        <v>32</v>
      </c>
      <c r="D499" s="149">
        <v>1</v>
      </c>
      <c r="E499" s="149">
        <v>11</v>
      </c>
      <c r="F499" s="149">
        <v>3</v>
      </c>
      <c r="G499" s="149">
        <v>1</v>
      </c>
      <c r="H499" s="149">
        <v>9</v>
      </c>
      <c r="I499" s="149">
        <v>0</v>
      </c>
      <c r="J499" s="149">
        <v>1</v>
      </c>
    </row>
    <row r="500" spans="1:10" s="159" customFormat="1" ht="9" customHeight="1" x14ac:dyDescent="0.25">
      <c r="A500" s="140" t="s">
        <v>39</v>
      </c>
      <c r="B500" s="147">
        <v>12</v>
      </c>
      <c r="C500" s="147">
        <v>18</v>
      </c>
      <c r="D500" s="149">
        <v>1</v>
      </c>
      <c r="E500" s="149">
        <v>2</v>
      </c>
      <c r="F500" s="149">
        <v>4</v>
      </c>
      <c r="G500" s="149">
        <v>2</v>
      </c>
      <c r="H500" s="149">
        <v>1</v>
      </c>
      <c r="I500" s="149">
        <v>0</v>
      </c>
      <c r="J500" s="149">
        <v>0</v>
      </c>
    </row>
    <row r="501" spans="1:10" s="159" customFormat="1" ht="9" customHeight="1" x14ac:dyDescent="0.25">
      <c r="A501" s="140" t="s">
        <v>40</v>
      </c>
      <c r="B501" s="147">
        <v>103</v>
      </c>
      <c r="C501" s="147">
        <v>97</v>
      </c>
      <c r="D501" s="149">
        <v>6</v>
      </c>
      <c r="E501" s="149">
        <v>9</v>
      </c>
      <c r="F501" s="149">
        <v>7</v>
      </c>
      <c r="G501" s="149">
        <v>0</v>
      </c>
      <c r="H501" s="149">
        <v>5</v>
      </c>
      <c r="I501" s="149">
        <v>1</v>
      </c>
      <c r="J501" s="149">
        <v>0</v>
      </c>
    </row>
    <row r="502" spans="1:10" s="159" customFormat="1" ht="9" customHeight="1" x14ac:dyDescent="0.25">
      <c r="A502" s="141" t="s">
        <v>41</v>
      </c>
      <c r="B502" s="150">
        <v>11</v>
      </c>
      <c r="C502" s="150">
        <v>18</v>
      </c>
      <c r="D502" s="151">
        <v>0</v>
      </c>
      <c r="E502" s="151">
        <v>1</v>
      </c>
      <c r="F502" s="151">
        <v>6</v>
      </c>
      <c r="G502" s="151">
        <v>7</v>
      </c>
      <c r="H502" s="151">
        <v>0</v>
      </c>
      <c r="I502" s="151">
        <v>0</v>
      </c>
      <c r="J502" s="151">
        <v>0</v>
      </c>
    </row>
    <row r="503" spans="1:10" s="159" customFormat="1" ht="9" customHeight="1" x14ac:dyDescent="0.25">
      <c r="A503" s="140" t="s">
        <v>42</v>
      </c>
      <c r="B503" s="147">
        <v>50</v>
      </c>
      <c r="C503" s="147">
        <v>40</v>
      </c>
      <c r="D503" s="149">
        <v>0</v>
      </c>
      <c r="E503" s="149">
        <v>3</v>
      </c>
      <c r="F503" s="149">
        <v>3</v>
      </c>
      <c r="G503" s="149">
        <v>3</v>
      </c>
      <c r="H503" s="149">
        <v>1</v>
      </c>
      <c r="I503" s="149">
        <v>1</v>
      </c>
      <c r="J503" s="149">
        <v>2</v>
      </c>
    </row>
    <row r="504" spans="1:10" s="159" customFormat="1" ht="9" customHeight="1" x14ac:dyDescent="0.25">
      <c r="A504" s="140" t="s">
        <v>43</v>
      </c>
      <c r="B504" s="147">
        <v>10</v>
      </c>
      <c r="C504" s="147">
        <v>29</v>
      </c>
      <c r="D504" s="149">
        <v>1</v>
      </c>
      <c r="E504" s="149">
        <v>3</v>
      </c>
      <c r="F504" s="149">
        <v>2</v>
      </c>
      <c r="G504" s="149">
        <v>0</v>
      </c>
      <c r="H504" s="149">
        <v>1</v>
      </c>
      <c r="I504" s="149">
        <v>1</v>
      </c>
      <c r="J504" s="149">
        <v>0</v>
      </c>
    </row>
    <row r="505" spans="1:10" s="159" customFormat="1" ht="9" customHeight="1" x14ac:dyDescent="0.25">
      <c r="A505" s="140" t="s">
        <v>44</v>
      </c>
      <c r="B505" s="147">
        <v>9</v>
      </c>
      <c r="C505" s="147">
        <v>22</v>
      </c>
      <c r="D505" s="149">
        <v>1</v>
      </c>
      <c r="E505" s="149">
        <v>1</v>
      </c>
      <c r="F505" s="149">
        <v>1</v>
      </c>
      <c r="G505" s="149">
        <v>1</v>
      </c>
      <c r="H505" s="149">
        <v>1</v>
      </c>
      <c r="I505" s="149">
        <v>0</v>
      </c>
      <c r="J505" s="149">
        <v>0</v>
      </c>
    </row>
    <row r="506" spans="1:10" s="159" customFormat="1" ht="9" customHeight="1" x14ac:dyDescent="0.25">
      <c r="A506" s="141" t="s">
        <v>45</v>
      </c>
      <c r="B506" s="150">
        <v>19</v>
      </c>
      <c r="C506" s="150">
        <v>30</v>
      </c>
      <c r="D506" s="151">
        <v>0</v>
      </c>
      <c r="E506" s="151">
        <v>2</v>
      </c>
      <c r="F506" s="151">
        <v>2</v>
      </c>
      <c r="G506" s="151">
        <v>2</v>
      </c>
      <c r="H506" s="151">
        <v>1</v>
      </c>
      <c r="I506" s="151">
        <v>1</v>
      </c>
      <c r="J506" s="151">
        <v>0</v>
      </c>
    </row>
    <row r="507" spans="1:10" s="159" customFormat="1" ht="9" customHeight="1" x14ac:dyDescent="0.25">
      <c r="A507" s="140" t="s">
        <v>46</v>
      </c>
      <c r="B507" s="147">
        <v>63</v>
      </c>
      <c r="C507" s="147">
        <v>47</v>
      </c>
      <c r="D507" s="149">
        <v>3</v>
      </c>
      <c r="E507" s="149">
        <v>8</v>
      </c>
      <c r="F507" s="149">
        <v>6</v>
      </c>
      <c r="G507" s="149">
        <v>4</v>
      </c>
      <c r="H507" s="149">
        <v>6</v>
      </c>
      <c r="I507" s="149">
        <v>0</v>
      </c>
      <c r="J507" s="149">
        <v>0</v>
      </c>
    </row>
    <row r="508" spans="1:10" s="159" customFormat="1" ht="9" customHeight="1" x14ac:dyDescent="0.25">
      <c r="A508" s="140" t="s">
        <v>47</v>
      </c>
      <c r="B508" s="147">
        <v>38</v>
      </c>
      <c r="C508" s="147">
        <v>77</v>
      </c>
      <c r="D508" s="149">
        <v>0</v>
      </c>
      <c r="E508" s="149">
        <v>5</v>
      </c>
      <c r="F508" s="149">
        <v>9</v>
      </c>
      <c r="G508" s="149">
        <v>0</v>
      </c>
      <c r="H508" s="149">
        <v>2</v>
      </c>
      <c r="I508" s="149">
        <v>0</v>
      </c>
      <c r="J508" s="149">
        <v>0</v>
      </c>
    </row>
    <row r="509" spans="1:10" s="159" customFormat="1" ht="9" customHeight="1" x14ac:dyDescent="0.25">
      <c r="A509" s="140" t="s">
        <v>48</v>
      </c>
      <c r="B509" s="147">
        <v>8</v>
      </c>
      <c r="C509" s="147">
        <v>9</v>
      </c>
      <c r="D509" s="149">
        <v>0</v>
      </c>
      <c r="E509" s="149">
        <v>1</v>
      </c>
      <c r="F509" s="149">
        <v>2</v>
      </c>
      <c r="G509" s="149">
        <v>2</v>
      </c>
      <c r="H509" s="149">
        <v>1</v>
      </c>
      <c r="I509" s="149">
        <v>0</v>
      </c>
      <c r="J509" s="149">
        <v>0</v>
      </c>
    </row>
    <row r="510" spans="1:10" s="159" customFormat="1" ht="9" customHeight="1" x14ac:dyDescent="0.25">
      <c r="A510" s="141" t="s">
        <v>49</v>
      </c>
      <c r="B510" s="150">
        <v>28</v>
      </c>
      <c r="C510" s="150">
        <v>74</v>
      </c>
      <c r="D510" s="151">
        <v>0</v>
      </c>
      <c r="E510" s="151">
        <v>6</v>
      </c>
      <c r="F510" s="151">
        <v>4</v>
      </c>
      <c r="G510" s="151">
        <v>2</v>
      </c>
      <c r="H510" s="151">
        <v>2</v>
      </c>
      <c r="I510" s="151">
        <v>0</v>
      </c>
      <c r="J510" s="151">
        <v>0</v>
      </c>
    </row>
    <row r="511" spans="1:10" s="159" customFormat="1" ht="9" customHeight="1" x14ac:dyDescent="0.25">
      <c r="A511" s="140" t="s">
        <v>50</v>
      </c>
      <c r="B511" s="147">
        <v>20</v>
      </c>
      <c r="C511" s="147">
        <v>6</v>
      </c>
      <c r="D511" s="149">
        <v>5</v>
      </c>
      <c r="E511" s="149">
        <v>2</v>
      </c>
      <c r="F511" s="149">
        <v>1</v>
      </c>
      <c r="G511" s="149">
        <v>5</v>
      </c>
      <c r="H511" s="149">
        <v>1</v>
      </c>
      <c r="I511" s="149">
        <v>0</v>
      </c>
      <c r="J511" s="149">
        <v>1</v>
      </c>
    </row>
    <row r="512" spans="1:10" s="159" customFormat="1" ht="9" customHeight="1" x14ac:dyDescent="0.25">
      <c r="A512" s="140" t="s">
        <v>130</v>
      </c>
      <c r="B512" s="147">
        <v>83</v>
      </c>
      <c r="C512" s="147">
        <v>68</v>
      </c>
      <c r="D512" s="149">
        <v>1</v>
      </c>
      <c r="E512" s="149">
        <v>10</v>
      </c>
      <c r="F512" s="149">
        <v>10</v>
      </c>
      <c r="G512" s="149">
        <v>4</v>
      </c>
      <c r="H512" s="149">
        <v>4</v>
      </c>
      <c r="I512" s="149">
        <v>1</v>
      </c>
      <c r="J512" s="149">
        <v>0</v>
      </c>
    </row>
    <row r="513" spans="1:10" s="159" customFormat="1" ht="9" customHeight="1" x14ac:dyDescent="0.25">
      <c r="A513" s="140" t="s">
        <v>52</v>
      </c>
      <c r="B513" s="147">
        <v>19</v>
      </c>
      <c r="C513" s="147">
        <v>34</v>
      </c>
      <c r="D513" s="149">
        <v>1</v>
      </c>
      <c r="E513" s="149">
        <v>1</v>
      </c>
      <c r="F513" s="149">
        <v>2</v>
      </c>
      <c r="G513" s="149">
        <v>2</v>
      </c>
      <c r="H513" s="149">
        <v>1</v>
      </c>
      <c r="I513" s="149">
        <v>1</v>
      </c>
      <c r="J513" s="149">
        <v>0</v>
      </c>
    </row>
    <row r="514" spans="1:10" s="159" customFormat="1" ht="9" customHeight="1" x14ac:dyDescent="0.25">
      <c r="A514" s="141" t="s">
        <v>53</v>
      </c>
      <c r="B514" s="150">
        <v>20</v>
      </c>
      <c r="C514" s="150">
        <v>28</v>
      </c>
      <c r="D514" s="151">
        <v>0</v>
      </c>
      <c r="E514" s="151">
        <v>2</v>
      </c>
      <c r="F514" s="151">
        <v>7</v>
      </c>
      <c r="G514" s="151">
        <v>6</v>
      </c>
      <c r="H514" s="151">
        <v>1</v>
      </c>
      <c r="I514" s="151">
        <v>0</v>
      </c>
      <c r="J514" s="151">
        <v>0</v>
      </c>
    </row>
    <row r="515" spans="1:10" s="159" customFormat="1" ht="7.9" customHeight="1" x14ac:dyDescent="0.25">
      <c r="A515" s="138"/>
      <c r="B515" s="148"/>
      <c r="C515" s="148"/>
      <c r="D515" s="148"/>
      <c r="E515" s="148"/>
      <c r="F515" s="148"/>
      <c r="G515" s="148"/>
      <c r="H515" s="148"/>
      <c r="I515" s="148"/>
      <c r="J515" s="148"/>
    </row>
    <row r="516" spans="1:10" s="159" customFormat="1" ht="7.9" customHeight="1" x14ac:dyDescent="0.25">
      <c r="A516" s="135">
        <v>2011</v>
      </c>
      <c r="B516" s="140"/>
      <c r="C516" s="147"/>
      <c r="D516" s="147"/>
      <c r="E516" s="140"/>
      <c r="F516" s="140"/>
      <c r="G516" s="140"/>
      <c r="H516" s="140"/>
      <c r="I516" s="140"/>
      <c r="J516" s="140"/>
    </row>
    <row r="517" spans="1:10" s="159" customFormat="1" ht="7.9" customHeight="1" x14ac:dyDescent="0.25">
      <c r="A517" s="138" t="s">
        <v>13</v>
      </c>
      <c r="B517" s="148">
        <f t="shared" ref="B517:J517" si="13">SUM(B519:B550)</f>
        <v>1181</v>
      </c>
      <c r="C517" s="148">
        <f t="shared" si="13"/>
        <v>1453</v>
      </c>
      <c r="D517" s="148">
        <f t="shared" si="13"/>
        <v>70</v>
      </c>
      <c r="E517" s="148">
        <f t="shared" si="13"/>
        <v>147</v>
      </c>
      <c r="F517" s="148">
        <f t="shared" si="13"/>
        <v>136</v>
      </c>
      <c r="G517" s="148">
        <f t="shared" si="13"/>
        <v>71</v>
      </c>
      <c r="H517" s="148">
        <f t="shared" si="13"/>
        <v>74</v>
      </c>
      <c r="I517" s="148">
        <f t="shared" si="13"/>
        <v>15</v>
      </c>
      <c r="J517" s="148">
        <f t="shared" si="13"/>
        <v>4</v>
      </c>
    </row>
    <row r="518" spans="1:10" s="159" customFormat="1" ht="3.95" customHeight="1" x14ac:dyDescent="0.25">
      <c r="A518" s="138"/>
      <c r="B518" s="148"/>
      <c r="C518" s="148"/>
      <c r="D518" s="148"/>
      <c r="E518" s="148"/>
      <c r="F518" s="148"/>
      <c r="G518" s="148"/>
      <c r="H518" s="148"/>
      <c r="I518" s="148"/>
      <c r="J518" s="148"/>
    </row>
    <row r="519" spans="1:10" s="159" customFormat="1" ht="9" customHeight="1" x14ac:dyDescent="0.25">
      <c r="A519" s="140" t="s">
        <v>23</v>
      </c>
      <c r="B519" s="147">
        <v>10</v>
      </c>
      <c r="C519" s="147">
        <v>25</v>
      </c>
      <c r="D519" s="149">
        <v>0</v>
      </c>
      <c r="E519" s="149">
        <v>3</v>
      </c>
      <c r="F519" s="149">
        <v>1</v>
      </c>
      <c r="G519" s="149">
        <v>0</v>
      </c>
      <c r="H519" s="149">
        <v>1</v>
      </c>
      <c r="I519" s="149">
        <v>0</v>
      </c>
      <c r="J519" s="149">
        <v>0</v>
      </c>
    </row>
    <row r="520" spans="1:10" s="159" customFormat="1" ht="9" customHeight="1" x14ac:dyDescent="0.25">
      <c r="A520" s="140" t="s">
        <v>24</v>
      </c>
      <c r="B520" s="147">
        <v>35</v>
      </c>
      <c r="C520" s="147">
        <v>87</v>
      </c>
      <c r="D520" s="149">
        <v>1</v>
      </c>
      <c r="E520" s="149">
        <v>3</v>
      </c>
      <c r="F520" s="149">
        <v>4</v>
      </c>
      <c r="G520" s="149">
        <v>0</v>
      </c>
      <c r="H520" s="149">
        <v>3</v>
      </c>
      <c r="I520" s="149">
        <v>0</v>
      </c>
      <c r="J520" s="149">
        <v>0</v>
      </c>
    </row>
    <row r="521" spans="1:10" s="159" customFormat="1" ht="9" customHeight="1" x14ac:dyDescent="0.25">
      <c r="A521" s="140" t="s">
        <v>25</v>
      </c>
      <c r="B521" s="147">
        <v>27</v>
      </c>
      <c r="C521" s="147">
        <v>17</v>
      </c>
      <c r="D521" s="149">
        <v>0</v>
      </c>
      <c r="E521" s="149">
        <v>1</v>
      </c>
      <c r="F521" s="149">
        <v>1</v>
      </c>
      <c r="G521" s="149">
        <v>0</v>
      </c>
      <c r="H521" s="149">
        <v>1</v>
      </c>
      <c r="I521" s="149">
        <v>0</v>
      </c>
      <c r="J521" s="149">
        <v>0</v>
      </c>
    </row>
    <row r="522" spans="1:10" s="159" customFormat="1" ht="9" customHeight="1" x14ac:dyDescent="0.25">
      <c r="A522" s="141" t="s">
        <v>26</v>
      </c>
      <c r="B522" s="150">
        <v>19</v>
      </c>
      <c r="C522" s="150">
        <v>9</v>
      </c>
      <c r="D522" s="151">
        <v>2</v>
      </c>
      <c r="E522" s="151">
        <v>3</v>
      </c>
      <c r="F522" s="151">
        <v>2</v>
      </c>
      <c r="G522" s="151">
        <v>0</v>
      </c>
      <c r="H522" s="151">
        <v>1</v>
      </c>
      <c r="I522" s="151">
        <v>0</v>
      </c>
      <c r="J522" s="151">
        <v>0</v>
      </c>
    </row>
    <row r="523" spans="1:10" s="159" customFormat="1" ht="9" customHeight="1" x14ac:dyDescent="0.25">
      <c r="A523" s="140" t="s">
        <v>126</v>
      </c>
      <c r="B523" s="147">
        <v>31</v>
      </c>
      <c r="C523" s="147">
        <v>65</v>
      </c>
      <c r="D523" s="149">
        <v>11</v>
      </c>
      <c r="E523" s="149">
        <v>4</v>
      </c>
      <c r="F523" s="149">
        <v>6</v>
      </c>
      <c r="G523" s="149">
        <v>4</v>
      </c>
      <c r="H523" s="149">
        <v>0</v>
      </c>
      <c r="I523" s="149">
        <v>1</v>
      </c>
      <c r="J523" s="149">
        <v>0</v>
      </c>
    </row>
    <row r="524" spans="1:10" s="159" customFormat="1" ht="9" customHeight="1" x14ac:dyDescent="0.25">
      <c r="A524" s="140" t="s">
        <v>28</v>
      </c>
      <c r="B524" s="147">
        <v>16</v>
      </c>
      <c r="C524" s="147">
        <v>22</v>
      </c>
      <c r="D524" s="149">
        <v>1</v>
      </c>
      <c r="E524" s="149">
        <v>3</v>
      </c>
      <c r="F524" s="149">
        <v>3</v>
      </c>
      <c r="G524" s="149">
        <v>3</v>
      </c>
      <c r="H524" s="149">
        <v>1</v>
      </c>
      <c r="I524" s="149">
        <v>0</v>
      </c>
      <c r="J524" s="149">
        <v>0</v>
      </c>
    </row>
    <row r="525" spans="1:10" s="159" customFormat="1" ht="9" customHeight="1" x14ac:dyDescent="0.25">
      <c r="A525" s="140" t="s">
        <v>29</v>
      </c>
      <c r="B525" s="147">
        <v>7</v>
      </c>
      <c r="C525" s="147">
        <v>18</v>
      </c>
      <c r="D525" s="149">
        <v>1</v>
      </c>
      <c r="E525" s="149">
        <v>2</v>
      </c>
      <c r="F525" s="149">
        <v>4</v>
      </c>
      <c r="G525" s="149">
        <v>0</v>
      </c>
      <c r="H525" s="149">
        <v>3</v>
      </c>
      <c r="I525" s="149">
        <v>1</v>
      </c>
      <c r="J525" s="149">
        <v>0</v>
      </c>
    </row>
    <row r="526" spans="1:10" s="159" customFormat="1" ht="9" customHeight="1" x14ac:dyDescent="0.25">
      <c r="A526" s="141" t="s">
        <v>30</v>
      </c>
      <c r="B526" s="150">
        <v>42</v>
      </c>
      <c r="C526" s="150">
        <v>94</v>
      </c>
      <c r="D526" s="151">
        <v>6</v>
      </c>
      <c r="E526" s="151">
        <v>4</v>
      </c>
      <c r="F526" s="151">
        <v>6</v>
      </c>
      <c r="G526" s="151">
        <v>0</v>
      </c>
      <c r="H526" s="151">
        <v>1</v>
      </c>
      <c r="I526" s="151">
        <v>2</v>
      </c>
      <c r="J526" s="151">
        <v>0</v>
      </c>
    </row>
    <row r="527" spans="1:10" s="159" customFormat="1" ht="9" customHeight="1" x14ac:dyDescent="0.25">
      <c r="A527" s="140" t="s">
        <v>127</v>
      </c>
      <c r="B527" s="147">
        <v>226</v>
      </c>
      <c r="C527" s="147">
        <v>137</v>
      </c>
      <c r="D527" s="149">
        <v>1</v>
      </c>
      <c r="E527" s="149">
        <v>24</v>
      </c>
      <c r="F527" s="149">
        <v>6</v>
      </c>
      <c r="G527" s="149">
        <v>3</v>
      </c>
      <c r="H527" s="149">
        <v>11</v>
      </c>
      <c r="I527" s="149">
        <v>1</v>
      </c>
      <c r="J527" s="149">
        <v>0</v>
      </c>
    </row>
    <row r="528" spans="1:10" s="159" customFormat="1" ht="9" customHeight="1" x14ac:dyDescent="0.25">
      <c r="A528" s="140" t="s">
        <v>31</v>
      </c>
      <c r="B528" s="147">
        <v>28</v>
      </c>
      <c r="C528" s="147">
        <v>18</v>
      </c>
      <c r="D528" s="149">
        <v>0</v>
      </c>
      <c r="E528" s="149">
        <v>2</v>
      </c>
      <c r="F528" s="149">
        <v>2</v>
      </c>
      <c r="G528" s="149">
        <v>2</v>
      </c>
      <c r="H528" s="149">
        <v>1</v>
      </c>
      <c r="I528" s="149">
        <v>0</v>
      </c>
      <c r="J528" s="149">
        <v>0</v>
      </c>
    </row>
    <row r="529" spans="1:10" s="159" customFormat="1" ht="9" customHeight="1" x14ac:dyDescent="0.25">
      <c r="A529" s="140" t="s">
        <v>32</v>
      </c>
      <c r="B529" s="147">
        <v>13</v>
      </c>
      <c r="C529" s="147">
        <v>60</v>
      </c>
      <c r="D529" s="149">
        <v>1</v>
      </c>
      <c r="E529" s="149">
        <v>8</v>
      </c>
      <c r="F529" s="149">
        <v>5</v>
      </c>
      <c r="G529" s="149">
        <v>3</v>
      </c>
      <c r="H529" s="149">
        <v>1</v>
      </c>
      <c r="I529" s="149">
        <v>0</v>
      </c>
      <c r="J529" s="149">
        <v>0</v>
      </c>
    </row>
    <row r="530" spans="1:10" s="159" customFormat="1" ht="9" customHeight="1" x14ac:dyDescent="0.25">
      <c r="A530" s="141" t="s">
        <v>33</v>
      </c>
      <c r="B530" s="150">
        <v>34</v>
      </c>
      <c r="C530" s="150">
        <v>15</v>
      </c>
      <c r="D530" s="151">
        <v>1</v>
      </c>
      <c r="E530" s="151">
        <v>4</v>
      </c>
      <c r="F530" s="151">
        <v>4</v>
      </c>
      <c r="G530" s="151">
        <v>1</v>
      </c>
      <c r="H530" s="151">
        <v>4</v>
      </c>
      <c r="I530" s="151">
        <v>0</v>
      </c>
      <c r="J530" s="151">
        <v>0</v>
      </c>
    </row>
    <row r="531" spans="1:10" s="159" customFormat="1" ht="9" customHeight="1" x14ac:dyDescent="0.25">
      <c r="A531" s="140" t="s">
        <v>34</v>
      </c>
      <c r="B531" s="147">
        <v>11</v>
      </c>
      <c r="C531" s="147">
        <v>18</v>
      </c>
      <c r="D531" s="149">
        <v>0</v>
      </c>
      <c r="E531" s="149">
        <v>1</v>
      </c>
      <c r="F531" s="149">
        <v>5</v>
      </c>
      <c r="G531" s="149">
        <v>9</v>
      </c>
      <c r="H531" s="149">
        <v>1</v>
      </c>
      <c r="I531" s="149">
        <v>1</v>
      </c>
      <c r="J531" s="149">
        <v>0</v>
      </c>
    </row>
    <row r="532" spans="1:10" s="159" customFormat="1" ht="9" customHeight="1" x14ac:dyDescent="0.25">
      <c r="A532" s="140" t="s">
        <v>35</v>
      </c>
      <c r="B532" s="147">
        <v>45</v>
      </c>
      <c r="C532" s="136">
        <v>96</v>
      </c>
      <c r="D532" s="149">
        <v>3</v>
      </c>
      <c r="E532" s="149">
        <v>5</v>
      </c>
      <c r="F532" s="149">
        <v>8</v>
      </c>
      <c r="G532" s="149">
        <v>1</v>
      </c>
      <c r="H532" s="149">
        <v>3</v>
      </c>
      <c r="I532" s="149">
        <v>1</v>
      </c>
      <c r="J532" s="149">
        <v>0</v>
      </c>
    </row>
    <row r="533" spans="1:10" s="159" customFormat="1" ht="9" customHeight="1" x14ac:dyDescent="0.25">
      <c r="A533" s="140" t="s">
        <v>128</v>
      </c>
      <c r="B533" s="147">
        <v>60</v>
      </c>
      <c r="C533" s="147">
        <v>106</v>
      </c>
      <c r="D533" s="149">
        <v>12</v>
      </c>
      <c r="E533" s="149">
        <v>10</v>
      </c>
      <c r="F533" s="149">
        <v>4</v>
      </c>
      <c r="G533" s="149">
        <v>3</v>
      </c>
      <c r="H533" s="149">
        <v>4</v>
      </c>
      <c r="I533" s="149">
        <v>2</v>
      </c>
      <c r="J533" s="149">
        <v>0</v>
      </c>
    </row>
    <row r="534" spans="1:10" s="159" customFormat="1" ht="9" customHeight="1" x14ac:dyDescent="0.25">
      <c r="A534" s="141" t="s">
        <v>129</v>
      </c>
      <c r="B534" s="150">
        <v>18</v>
      </c>
      <c r="C534" s="150">
        <v>40</v>
      </c>
      <c r="D534" s="151">
        <v>0</v>
      </c>
      <c r="E534" s="151">
        <v>4</v>
      </c>
      <c r="F534" s="151">
        <v>6</v>
      </c>
      <c r="G534" s="151">
        <v>1</v>
      </c>
      <c r="H534" s="151">
        <v>1</v>
      </c>
      <c r="I534" s="151">
        <v>0</v>
      </c>
      <c r="J534" s="151">
        <v>0</v>
      </c>
    </row>
    <row r="535" spans="1:10" s="159" customFormat="1" ht="9" customHeight="1" x14ac:dyDescent="0.25">
      <c r="A535" s="140" t="s">
        <v>38</v>
      </c>
      <c r="B535" s="147">
        <v>55</v>
      </c>
      <c r="C535" s="147">
        <v>32</v>
      </c>
      <c r="D535" s="149">
        <v>8</v>
      </c>
      <c r="E535" s="149">
        <v>11</v>
      </c>
      <c r="F535" s="149">
        <v>3</v>
      </c>
      <c r="G535" s="149">
        <v>1</v>
      </c>
      <c r="H535" s="149">
        <v>9</v>
      </c>
      <c r="I535" s="149">
        <v>0</v>
      </c>
      <c r="J535" s="149">
        <v>1</v>
      </c>
    </row>
    <row r="536" spans="1:10" s="159" customFormat="1" ht="9" customHeight="1" x14ac:dyDescent="0.25">
      <c r="A536" s="140" t="s">
        <v>39</v>
      </c>
      <c r="B536" s="147">
        <v>15</v>
      </c>
      <c r="C536" s="147">
        <v>18</v>
      </c>
      <c r="D536" s="149">
        <v>1</v>
      </c>
      <c r="E536" s="149">
        <v>2</v>
      </c>
      <c r="F536" s="149">
        <v>4</v>
      </c>
      <c r="G536" s="149">
        <v>2</v>
      </c>
      <c r="H536" s="149">
        <v>1</v>
      </c>
      <c r="I536" s="149">
        <v>0</v>
      </c>
      <c r="J536" s="149">
        <v>0</v>
      </c>
    </row>
    <row r="537" spans="1:10" s="159" customFormat="1" ht="9" customHeight="1" x14ac:dyDescent="0.25">
      <c r="A537" s="140" t="s">
        <v>40</v>
      </c>
      <c r="B537" s="147">
        <v>99</v>
      </c>
      <c r="C537" s="147">
        <v>97</v>
      </c>
      <c r="D537" s="149">
        <v>8</v>
      </c>
      <c r="E537" s="149">
        <v>9</v>
      </c>
      <c r="F537" s="149">
        <v>7</v>
      </c>
      <c r="G537" s="149">
        <v>0</v>
      </c>
      <c r="H537" s="149">
        <v>5</v>
      </c>
      <c r="I537" s="149">
        <v>1</v>
      </c>
      <c r="J537" s="149">
        <v>0</v>
      </c>
    </row>
    <row r="538" spans="1:10" s="159" customFormat="1" ht="9" customHeight="1" x14ac:dyDescent="0.25">
      <c r="A538" s="141" t="s">
        <v>41</v>
      </c>
      <c r="B538" s="150">
        <v>14</v>
      </c>
      <c r="C538" s="150">
        <v>18</v>
      </c>
      <c r="D538" s="151">
        <v>0</v>
      </c>
      <c r="E538" s="151">
        <v>1</v>
      </c>
      <c r="F538" s="151">
        <v>6</v>
      </c>
      <c r="G538" s="151">
        <v>7</v>
      </c>
      <c r="H538" s="151">
        <v>0</v>
      </c>
      <c r="I538" s="151">
        <v>0</v>
      </c>
      <c r="J538" s="151">
        <v>0</v>
      </c>
    </row>
    <row r="539" spans="1:10" s="159" customFormat="1" ht="9" customHeight="1" x14ac:dyDescent="0.25">
      <c r="A539" s="140" t="s">
        <v>42</v>
      </c>
      <c r="B539" s="147">
        <v>49</v>
      </c>
      <c r="C539" s="147">
        <v>40</v>
      </c>
      <c r="D539" s="149">
        <v>0</v>
      </c>
      <c r="E539" s="149">
        <v>3</v>
      </c>
      <c r="F539" s="149">
        <v>3</v>
      </c>
      <c r="G539" s="149">
        <v>3</v>
      </c>
      <c r="H539" s="149">
        <v>1</v>
      </c>
      <c r="I539" s="149">
        <v>1</v>
      </c>
      <c r="J539" s="149">
        <v>2</v>
      </c>
    </row>
    <row r="540" spans="1:10" s="159" customFormat="1" ht="9" customHeight="1" x14ac:dyDescent="0.25">
      <c r="A540" s="140" t="s">
        <v>43</v>
      </c>
      <c r="B540" s="147">
        <v>10</v>
      </c>
      <c r="C540" s="147">
        <v>29</v>
      </c>
      <c r="D540" s="149">
        <v>1</v>
      </c>
      <c r="E540" s="149">
        <v>3</v>
      </c>
      <c r="F540" s="149">
        <v>2</v>
      </c>
      <c r="G540" s="149">
        <v>0</v>
      </c>
      <c r="H540" s="149">
        <v>1</v>
      </c>
      <c r="I540" s="149">
        <v>1</v>
      </c>
      <c r="J540" s="149">
        <v>0</v>
      </c>
    </row>
    <row r="541" spans="1:10" s="159" customFormat="1" ht="9" customHeight="1" x14ac:dyDescent="0.25">
      <c r="A541" s="140" t="s">
        <v>44</v>
      </c>
      <c r="B541" s="147">
        <v>10</v>
      </c>
      <c r="C541" s="147">
        <v>22</v>
      </c>
      <c r="D541" s="149">
        <v>1</v>
      </c>
      <c r="E541" s="149">
        <v>1</v>
      </c>
      <c r="F541" s="149">
        <v>1</v>
      </c>
      <c r="G541" s="149">
        <v>1</v>
      </c>
      <c r="H541" s="149">
        <v>1</v>
      </c>
      <c r="I541" s="149">
        <v>0</v>
      </c>
      <c r="J541" s="149">
        <v>0</v>
      </c>
    </row>
    <row r="542" spans="1:10" s="159" customFormat="1" ht="9" customHeight="1" x14ac:dyDescent="0.25">
      <c r="A542" s="141" t="s">
        <v>45</v>
      </c>
      <c r="B542" s="150">
        <v>20</v>
      </c>
      <c r="C542" s="150">
        <v>30</v>
      </c>
      <c r="D542" s="151">
        <v>0</v>
      </c>
      <c r="E542" s="151">
        <v>2</v>
      </c>
      <c r="F542" s="151">
        <v>2</v>
      </c>
      <c r="G542" s="151">
        <v>2</v>
      </c>
      <c r="H542" s="151">
        <v>1</v>
      </c>
      <c r="I542" s="151">
        <v>1</v>
      </c>
      <c r="J542" s="151">
        <v>0</v>
      </c>
    </row>
    <row r="543" spans="1:10" s="159" customFormat="1" ht="9" customHeight="1" x14ac:dyDescent="0.25">
      <c r="A543" s="140" t="s">
        <v>46</v>
      </c>
      <c r="B543" s="147">
        <v>69</v>
      </c>
      <c r="C543" s="147">
        <v>48</v>
      </c>
      <c r="D543" s="149">
        <v>5</v>
      </c>
      <c r="E543" s="149">
        <v>8</v>
      </c>
      <c r="F543" s="149">
        <v>6</v>
      </c>
      <c r="G543" s="149">
        <v>4</v>
      </c>
      <c r="H543" s="149">
        <v>6</v>
      </c>
      <c r="I543" s="149">
        <v>0</v>
      </c>
      <c r="J543" s="149">
        <v>0</v>
      </c>
    </row>
    <row r="544" spans="1:10" s="159" customFormat="1" ht="9" customHeight="1" x14ac:dyDescent="0.25">
      <c r="A544" s="140" t="s">
        <v>47</v>
      </c>
      <c r="B544" s="147">
        <v>44</v>
      </c>
      <c r="C544" s="147">
        <v>76</v>
      </c>
      <c r="D544" s="149">
        <v>0</v>
      </c>
      <c r="E544" s="149">
        <v>5</v>
      </c>
      <c r="F544" s="149">
        <v>9</v>
      </c>
      <c r="G544" s="149">
        <v>0</v>
      </c>
      <c r="H544" s="149">
        <v>2</v>
      </c>
      <c r="I544" s="149">
        <v>0</v>
      </c>
      <c r="J544" s="149">
        <v>0</v>
      </c>
    </row>
    <row r="545" spans="1:10" s="159" customFormat="1" ht="9" customHeight="1" x14ac:dyDescent="0.25">
      <c r="A545" s="140" t="s">
        <v>48</v>
      </c>
      <c r="B545" s="147">
        <v>7</v>
      </c>
      <c r="C545" s="147">
        <v>8</v>
      </c>
      <c r="D545" s="149">
        <v>0</v>
      </c>
      <c r="E545" s="149">
        <v>1</v>
      </c>
      <c r="F545" s="149">
        <v>2</v>
      </c>
      <c r="G545" s="149">
        <v>2</v>
      </c>
      <c r="H545" s="149">
        <v>1</v>
      </c>
      <c r="I545" s="149">
        <v>0</v>
      </c>
      <c r="J545" s="149">
        <v>0</v>
      </c>
    </row>
    <row r="546" spans="1:10" s="159" customFormat="1" ht="9" customHeight="1" x14ac:dyDescent="0.25">
      <c r="A546" s="141" t="s">
        <v>49</v>
      </c>
      <c r="B546" s="150">
        <v>23</v>
      </c>
      <c r="C546" s="150">
        <v>74</v>
      </c>
      <c r="D546" s="151">
        <v>0</v>
      </c>
      <c r="E546" s="151">
        <v>5</v>
      </c>
      <c r="F546" s="151">
        <v>4</v>
      </c>
      <c r="G546" s="151">
        <v>2</v>
      </c>
      <c r="H546" s="151">
        <v>2</v>
      </c>
      <c r="I546" s="151">
        <v>0</v>
      </c>
      <c r="J546" s="151">
        <v>0</v>
      </c>
    </row>
    <row r="547" spans="1:10" s="159" customFormat="1" ht="9" customHeight="1" x14ac:dyDescent="0.25">
      <c r="A547" s="140" t="s">
        <v>50</v>
      </c>
      <c r="B547" s="147">
        <v>19</v>
      </c>
      <c r="C547" s="147">
        <v>6</v>
      </c>
      <c r="D547" s="149">
        <v>5</v>
      </c>
      <c r="E547" s="149">
        <v>2</v>
      </c>
      <c r="F547" s="149">
        <v>1</v>
      </c>
      <c r="G547" s="149">
        <v>5</v>
      </c>
      <c r="H547" s="149">
        <v>1</v>
      </c>
      <c r="I547" s="149">
        <v>0</v>
      </c>
      <c r="J547" s="149">
        <v>1</v>
      </c>
    </row>
    <row r="548" spans="1:10" s="159" customFormat="1" ht="9" customHeight="1" x14ac:dyDescent="0.25">
      <c r="A548" s="140" t="s">
        <v>130</v>
      </c>
      <c r="B548" s="147">
        <v>85</v>
      </c>
      <c r="C548" s="147">
        <v>66</v>
      </c>
      <c r="D548" s="149">
        <v>1</v>
      </c>
      <c r="E548" s="149">
        <v>10</v>
      </c>
      <c r="F548" s="149">
        <v>10</v>
      </c>
      <c r="G548" s="149">
        <v>4</v>
      </c>
      <c r="H548" s="149">
        <v>4</v>
      </c>
      <c r="I548" s="149">
        <v>1</v>
      </c>
      <c r="J548" s="149">
        <v>0</v>
      </c>
    </row>
    <row r="549" spans="1:10" s="159" customFormat="1" ht="9" customHeight="1" x14ac:dyDescent="0.25">
      <c r="A549" s="140" t="s">
        <v>52</v>
      </c>
      <c r="B549" s="147">
        <v>17</v>
      </c>
      <c r="C549" s="147">
        <v>33</v>
      </c>
      <c r="D549" s="149">
        <v>0</v>
      </c>
      <c r="E549" s="149">
        <v>1</v>
      </c>
      <c r="F549" s="149">
        <v>2</v>
      </c>
      <c r="G549" s="149">
        <v>2</v>
      </c>
      <c r="H549" s="149">
        <v>1</v>
      </c>
      <c r="I549" s="149">
        <v>1</v>
      </c>
      <c r="J549" s="149">
        <v>0</v>
      </c>
    </row>
    <row r="550" spans="1:10" s="159" customFormat="1" ht="9" customHeight="1" x14ac:dyDescent="0.25">
      <c r="A550" s="141" t="s">
        <v>53</v>
      </c>
      <c r="B550" s="150">
        <v>23</v>
      </c>
      <c r="C550" s="150">
        <v>29</v>
      </c>
      <c r="D550" s="151">
        <v>0</v>
      </c>
      <c r="E550" s="151">
        <v>2</v>
      </c>
      <c r="F550" s="151">
        <v>7</v>
      </c>
      <c r="G550" s="151">
        <v>6</v>
      </c>
      <c r="H550" s="151">
        <v>1</v>
      </c>
      <c r="I550" s="151">
        <v>0</v>
      </c>
      <c r="J550" s="151">
        <v>0</v>
      </c>
    </row>
    <row r="551" spans="1:10" s="159" customFormat="1" ht="9" customHeight="1" x14ac:dyDescent="0.25">
      <c r="A551" s="156"/>
      <c r="B551" s="157"/>
      <c r="C551" s="157"/>
      <c r="D551" s="158"/>
      <c r="E551" s="158"/>
      <c r="F551" s="158"/>
      <c r="G551" s="158"/>
      <c r="H551" s="158"/>
      <c r="I551" s="158"/>
      <c r="J551" s="158"/>
    </row>
    <row r="552" spans="1:10" s="136" customFormat="1" ht="9" customHeight="1" x14ac:dyDescent="0.25">
      <c r="A552" s="135">
        <v>2012</v>
      </c>
      <c r="B552" s="140"/>
      <c r="C552" s="147"/>
      <c r="D552" s="147"/>
      <c r="E552" s="140"/>
      <c r="F552" s="140"/>
      <c r="G552" s="140"/>
      <c r="H552" s="140"/>
      <c r="I552" s="140"/>
      <c r="J552" s="140"/>
    </row>
    <row r="553" spans="1:10" s="136" customFormat="1" ht="9" customHeight="1" x14ac:dyDescent="0.25">
      <c r="A553" s="138" t="s">
        <v>13</v>
      </c>
      <c r="B553" s="148">
        <f t="shared" ref="B553:J553" si="14">SUM(B555:B586)</f>
        <v>1164</v>
      </c>
      <c r="C553" s="148">
        <f t="shared" si="14"/>
        <v>1451</v>
      </c>
      <c r="D553" s="148">
        <f t="shared" si="14"/>
        <v>74</v>
      </c>
      <c r="E553" s="148">
        <f t="shared" si="14"/>
        <v>147</v>
      </c>
      <c r="F553" s="148">
        <f t="shared" si="14"/>
        <v>136</v>
      </c>
      <c r="G553" s="148">
        <f t="shared" si="14"/>
        <v>71</v>
      </c>
      <c r="H553" s="148">
        <f t="shared" si="14"/>
        <v>73</v>
      </c>
      <c r="I553" s="148">
        <f t="shared" si="14"/>
        <v>15</v>
      </c>
      <c r="J553" s="148">
        <f t="shared" si="14"/>
        <v>4</v>
      </c>
    </row>
    <row r="554" spans="1:10" s="136" customFormat="1" ht="3.95" customHeight="1" x14ac:dyDescent="0.25">
      <c r="A554" s="138"/>
      <c r="B554" s="148"/>
      <c r="C554" s="148"/>
      <c r="D554" s="148"/>
      <c r="E554" s="148"/>
      <c r="F554" s="148"/>
      <c r="G554" s="148"/>
      <c r="H554" s="148"/>
      <c r="I554" s="148"/>
      <c r="J554" s="148"/>
    </row>
    <row r="555" spans="1:10" s="136" customFormat="1" ht="9" customHeight="1" x14ac:dyDescent="0.25">
      <c r="A555" s="140" t="s">
        <v>23</v>
      </c>
      <c r="B555" s="147">
        <v>11</v>
      </c>
      <c r="C555" s="147">
        <v>25</v>
      </c>
      <c r="D555" s="149">
        <v>4</v>
      </c>
      <c r="E555" s="149">
        <v>3</v>
      </c>
      <c r="F555" s="149">
        <v>1</v>
      </c>
      <c r="G555" s="149">
        <v>0</v>
      </c>
      <c r="H555" s="149">
        <v>1</v>
      </c>
      <c r="I555" s="149">
        <v>0</v>
      </c>
      <c r="J555" s="149">
        <v>0</v>
      </c>
    </row>
    <row r="556" spans="1:10" s="136" customFormat="1" ht="9" customHeight="1" x14ac:dyDescent="0.25">
      <c r="A556" s="140" t="s">
        <v>24</v>
      </c>
      <c r="B556" s="147">
        <v>45</v>
      </c>
      <c r="C556" s="147">
        <v>87</v>
      </c>
      <c r="D556" s="149">
        <v>0</v>
      </c>
      <c r="E556" s="149">
        <v>3</v>
      </c>
      <c r="F556" s="149">
        <v>4</v>
      </c>
      <c r="G556" s="149">
        <v>0</v>
      </c>
      <c r="H556" s="149">
        <v>3</v>
      </c>
      <c r="I556" s="149">
        <v>0</v>
      </c>
      <c r="J556" s="149">
        <v>0</v>
      </c>
    </row>
    <row r="557" spans="1:10" s="136" customFormat="1" ht="9" customHeight="1" x14ac:dyDescent="0.25">
      <c r="A557" s="140" t="s">
        <v>25</v>
      </c>
      <c r="B557" s="147">
        <v>28</v>
      </c>
      <c r="C557" s="147">
        <v>17</v>
      </c>
      <c r="D557" s="149">
        <v>0</v>
      </c>
      <c r="E557" s="149">
        <v>1</v>
      </c>
      <c r="F557" s="149">
        <v>1</v>
      </c>
      <c r="G557" s="149">
        <v>0</v>
      </c>
      <c r="H557" s="149">
        <v>1</v>
      </c>
      <c r="I557" s="149">
        <v>0</v>
      </c>
      <c r="J557" s="149">
        <v>0</v>
      </c>
    </row>
    <row r="558" spans="1:10" s="136" customFormat="1" ht="9" customHeight="1" x14ac:dyDescent="0.25">
      <c r="A558" s="141" t="s">
        <v>26</v>
      </c>
      <c r="B558" s="150">
        <v>17</v>
      </c>
      <c r="C558" s="150">
        <v>9</v>
      </c>
      <c r="D558" s="151">
        <v>0</v>
      </c>
      <c r="E558" s="151">
        <v>3</v>
      </c>
      <c r="F558" s="151">
        <v>2</v>
      </c>
      <c r="G558" s="151">
        <v>0</v>
      </c>
      <c r="H558" s="151">
        <v>1</v>
      </c>
      <c r="I558" s="151">
        <v>0</v>
      </c>
      <c r="J558" s="151">
        <v>0</v>
      </c>
    </row>
    <row r="559" spans="1:10" s="136" customFormat="1" ht="9" customHeight="1" x14ac:dyDescent="0.25">
      <c r="A559" s="140" t="s">
        <v>126</v>
      </c>
      <c r="B559" s="147">
        <v>32</v>
      </c>
      <c r="C559" s="147">
        <v>64</v>
      </c>
      <c r="D559" s="149">
        <v>11</v>
      </c>
      <c r="E559" s="149">
        <v>4</v>
      </c>
      <c r="F559" s="149">
        <v>6</v>
      </c>
      <c r="G559" s="149">
        <v>0</v>
      </c>
      <c r="H559" s="149">
        <v>3</v>
      </c>
      <c r="I559" s="149">
        <v>1</v>
      </c>
      <c r="J559" s="149">
        <v>0</v>
      </c>
    </row>
    <row r="560" spans="1:10" s="136" customFormat="1" ht="9" customHeight="1" x14ac:dyDescent="0.25">
      <c r="A560" s="140" t="s">
        <v>28</v>
      </c>
      <c r="B560" s="147">
        <v>17</v>
      </c>
      <c r="C560" s="147">
        <v>22</v>
      </c>
      <c r="D560" s="149">
        <v>1</v>
      </c>
      <c r="E560" s="149">
        <v>3</v>
      </c>
      <c r="F560" s="149">
        <v>3</v>
      </c>
      <c r="G560" s="149">
        <v>0</v>
      </c>
      <c r="H560" s="149">
        <v>1</v>
      </c>
      <c r="I560" s="149">
        <v>0</v>
      </c>
      <c r="J560" s="149">
        <v>0</v>
      </c>
    </row>
    <row r="561" spans="1:10" s="136" customFormat="1" ht="9" customHeight="1" x14ac:dyDescent="0.25">
      <c r="A561" s="140" t="s">
        <v>29</v>
      </c>
      <c r="B561" s="147">
        <v>11</v>
      </c>
      <c r="C561" s="147">
        <v>18</v>
      </c>
      <c r="D561" s="149">
        <v>1</v>
      </c>
      <c r="E561" s="149">
        <v>2</v>
      </c>
      <c r="F561" s="149">
        <v>4</v>
      </c>
      <c r="G561" s="149">
        <v>4</v>
      </c>
      <c r="H561" s="149">
        <v>0</v>
      </c>
      <c r="I561" s="149">
        <v>1</v>
      </c>
      <c r="J561" s="149">
        <v>0</v>
      </c>
    </row>
    <row r="562" spans="1:10" s="136" customFormat="1" ht="9" customHeight="1" x14ac:dyDescent="0.25">
      <c r="A562" s="141" t="s">
        <v>30</v>
      </c>
      <c r="B562" s="150">
        <v>41</v>
      </c>
      <c r="C562" s="150">
        <v>93</v>
      </c>
      <c r="D562" s="151">
        <v>7</v>
      </c>
      <c r="E562" s="151">
        <v>4</v>
      </c>
      <c r="F562" s="151">
        <v>6</v>
      </c>
      <c r="G562" s="151">
        <v>3</v>
      </c>
      <c r="H562" s="151">
        <v>1</v>
      </c>
      <c r="I562" s="151">
        <v>2</v>
      </c>
      <c r="J562" s="151">
        <v>0</v>
      </c>
    </row>
    <row r="563" spans="1:10" s="136" customFormat="1" ht="9" customHeight="1" x14ac:dyDescent="0.25">
      <c r="A563" s="140" t="s">
        <v>127</v>
      </c>
      <c r="B563" s="147">
        <v>204</v>
      </c>
      <c r="C563" s="147">
        <v>137</v>
      </c>
      <c r="D563" s="149">
        <v>4</v>
      </c>
      <c r="E563" s="149">
        <v>24</v>
      </c>
      <c r="F563" s="149">
        <v>6</v>
      </c>
      <c r="G563" s="149">
        <v>3</v>
      </c>
      <c r="H563" s="149">
        <v>11</v>
      </c>
      <c r="I563" s="149">
        <v>1</v>
      </c>
      <c r="J563" s="149">
        <v>0</v>
      </c>
    </row>
    <row r="564" spans="1:10" s="136" customFormat="1" ht="9" customHeight="1" x14ac:dyDescent="0.25">
      <c r="A564" s="140" t="s">
        <v>31</v>
      </c>
      <c r="B564" s="147">
        <v>28</v>
      </c>
      <c r="C564" s="147">
        <v>18</v>
      </c>
      <c r="D564" s="149">
        <v>0</v>
      </c>
      <c r="E564" s="149">
        <v>2</v>
      </c>
      <c r="F564" s="149">
        <v>2</v>
      </c>
      <c r="G564" s="149">
        <v>2</v>
      </c>
      <c r="H564" s="149">
        <v>1</v>
      </c>
      <c r="I564" s="149">
        <v>0</v>
      </c>
      <c r="J564" s="149">
        <v>0</v>
      </c>
    </row>
    <row r="565" spans="1:10" s="136" customFormat="1" ht="9" customHeight="1" x14ac:dyDescent="0.25">
      <c r="A565" s="140" t="s">
        <v>32</v>
      </c>
      <c r="B565" s="147">
        <v>12</v>
      </c>
      <c r="C565" s="147">
        <v>61</v>
      </c>
      <c r="D565" s="149">
        <v>1</v>
      </c>
      <c r="E565" s="149">
        <v>2</v>
      </c>
      <c r="F565" s="149">
        <v>5</v>
      </c>
      <c r="G565" s="149">
        <v>3</v>
      </c>
      <c r="H565" s="149">
        <v>1</v>
      </c>
      <c r="I565" s="149">
        <v>0</v>
      </c>
      <c r="J565" s="149">
        <v>0</v>
      </c>
    </row>
    <row r="566" spans="1:10" s="136" customFormat="1" ht="9" customHeight="1" x14ac:dyDescent="0.25">
      <c r="A566" s="141" t="s">
        <v>33</v>
      </c>
      <c r="B566" s="150">
        <v>38</v>
      </c>
      <c r="C566" s="150">
        <v>15</v>
      </c>
      <c r="D566" s="151">
        <v>1</v>
      </c>
      <c r="E566" s="151">
        <v>5</v>
      </c>
      <c r="F566" s="151">
        <v>4</v>
      </c>
      <c r="G566" s="151">
        <v>1</v>
      </c>
      <c r="H566" s="151">
        <v>4</v>
      </c>
      <c r="I566" s="151">
        <v>0</v>
      </c>
      <c r="J566" s="151">
        <v>0</v>
      </c>
    </row>
    <row r="567" spans="1:10" s="136" customFormat="1" ht="9" customHeight="1" x14ac:dyDescent="0.25">
      <c r="A567" s="140" t="s">
        <v>34</v>
      </c>
      <c r="B567" s="147">
        <v>11</v>
      </c>
      <c r="C567" s="147">
        <v>18</v>
      </c>
      <c r="D567" s="149">
        <v>0</v>
      </c>
      <c r="E567" s="149">
        <v>3</v>
      </c>
      <c r="F567" s="149">
        <v>5</v>
      </c>
      <c r="G567" s="149">
        <v>9</v>
      </c>
      <c r="H567" s="149">
        <v>1</v>
      </c>
      <c r="I567" s="149">
        <v>1</v>
      </c>
      <c r="J567" s="149">
        <v>0</v>
      </c>
    </row>
    <row r="568" spans="1:10" s="136" customFormat="1" ht="9" customHeight="1" x14ac:dyDescent="0.25">
      <c r="A568" s="140" t="s">
        <v>35</v>
      </c>
      <c r="B568" s="147">
        <v>45</v>
      </c>
      <c r="C568" s="136">
        <v>96</v>
      </c>
      <c r="D568" s="149">
        <v>3</v>
      </c>
      <c r="E568" s="149">
        <v>4</v>
      </c>
      <c r="F568" s="149">
        <v>8</v>
      </c>
      <c r="G568" s="149">
        <v>1</v>
      </c>
      <c r="H568" s="149">
        <v>3</v>
      </c>
      <c r="I568" s="149">
        <v>1</v>
      </c>
      <c r="J568" s="149">
        <v>0</v>
      </c>
    </row>
    <row r="569" spans="1:10" s="136" customFormat="1" ht="9" customHeight="1" x14ac:dyDescent="0.25">
      <c r="A569" s="140" t="s">
        <v>128</v>
      </c>
      <c r="B569" s="147">
        <v>68</v>
      </c>
      <c r="C569" s="147">
        <v>105</v>
      </c>
      <c r="D569" s="149">
        <v>11</v>
      </c>
      <c r="E569" s="149">
        <v>14</v>
      </c>
      <c r="F569" s="149">
        <v>4</v>
      </c>
      <c r="G569" s="149">
        <v>3</v>
      </c>
      <c r="H569" s="149">
        <v>5</v>
      </c>
      <c r="I569" s="149">
        <v>2</v>
      </c>
      <c r="J569" s="149">
        <v>0</v>
      </c>
    </row>
    <row r="570" spans="1:10" s="136" customFormat="1" ht="9" customHeight="1" x14ac:dyDescent="0.25">
      <c r="A570" s="141" t="s">
        <v>129</v>
      </c>
      <c r="B570" s="150">
        <v>17</v>
      </c>
      <c r="C570" s="150">
        <v>40</v>
      </c>
      <c r="D570" s="151">
        <v>0</v>
      </c>
      <c r="E570" s="151">
        <v>4</v>
      </c>
      <c r="F570" s="151">
        <v>6</v>
      </c>
      <c r="G570" s="151">
        <v>1</v>
      </c>
      <c r="H570" s="151">
        <v>1</v>
      </c>
      <c r="I570" s="151">
        <v>0</v>
      </c>
      <c r="J570" s="151">
        <v>0</v>
      </c>
    </row>
    <row r="571" spans="1:10" s="136" customFormat="1" ht="9" customHeight="1" x14ac:dyDescent="0.25">
      <c r="A571" s="140" t="s">
        <v>38</v>
      </c>
      <c r="B571" s="147">
        <v>41</v>
      </c>
      <c r="C571" s="147">
        <v>32</v>
      </c>
      <c r="D571" s="149">
        <v>10</v>
      </c>
      <c r="E571" s="149">
        <v>11</v>
      </c>
      <c r="F571" s="149">
        <v>3</v>
      </c>
      <c r="G571" s="149">
        <v>1</v>
      </c>
      <c r="H571" s="149">
        <v>8</v>
      </c>
      <c r="I571" s="149">
        <v>0</v>
      </c>
      <c r="J571" s="149">
        <v>1</v>
      </c>
    </row>
    <row r="572" spans="1:10" s="136" customFormat="1" ht="9" customHeight="1" x14ac:dyDescent="0.25">
      <c r="A572" s="140" t="s">
        <v>39</v>
      </c>
      <c r="B572" s="147">
        <v>13</v>
      </c>
      <c r="C572" s="147">
        <v>18</v>
      </c>
      <c r="D572" s="149">
        <v>0</v>
      </c>
      <c r="E572" s="149">
        <v>2</v>
      </c>
      <c r="F572" s="149">
        <v>4</v>
      </c>
      <c r="G572" s="149">
        <v>2</v>
      </c>
      <c r="H572" s="149">
        <v>1</v>
      </c>
      <c r="I572" s="149">
        <v>0</v>
      </c>
      <c r="J572" s="149">
        <v>0</v>
      </c>
    </row>
    <row r="573" spans="1:10" s="136" customFormat="1" ht="9" customHeight="1" x14ac:dyDescent="0.25">
      <c r="A573" s="140" t="s">
        <v>40</v>
      </c>
      <c r="B573" s="147">
        <v>103</v>
      </c>
      <c r="C573" s="147">
        <v>97</v>
      </c>
      <c r="D573" s="149">
        <v>7</v>
      </c>
      <c r="E573" s="149">
        <v>9</v>
      </c>
      <c r="F573" s="149">
        <v>7</v>
      </c>
      <c r="G573" s="149">
        <v>0</v>
      </c>
      <c r="H573" s="149">
        <v>4</v>
      </c>
      <c r="I573" s="149">
        <v>1</v>
      </c>
      <c r="J573" s="149">
        <v>0</v>
      </c>
    </row>
    <row r="574" spans="1:10" s="136" customFormat="1" ht="9" customHeight="1" x14ac:dyDescent="0.25">
      <c r="A574" s="141" t="s">
        <v>41</v>
      </c>
      <c r="B574" s="150">
        <v>17</v>
      </c>
      <c r="C574" s="150">
        <v>18</v>
      </c>
      <c r="D574" s="151">
        <v>0</v>
      </c>
      <c r="E574" s="151">
        <v>1</v>
      </c>
      <c r="F574" s="151">
        <v>6</v>
      </c>
      <c r="G574" s="151">
        <v>7</v>
      </c>
      <c r="H574" s="151">
        <v>0</v>
      </c>
      <c r="I574" s="151">
        <v>0</v>
      </c>
      <c r="J574" s="151">
        <v>0</v>
      </c>
    </row>
    <row r="575" spans="1:10" s="136" customFormat="1" ht="9" customHeight="1" x14ac:dyDescent="0.25">
      <c r="A575" s="140" t="s">
        <v>42</v>
      </c>
      <c r="B575" s="147">
        <v>54</v>
      </c>
      <c r="C575" s="147">
        <v>39</v>
      </c>
      <c r="D575" s="149">
        <v>0</v>
      </c>
      <c r="E575" s="149">
        <v>3</v>
      </c>
      <c r="F575" s="149">
        <v>3</v>
      </c>
      <c r="G575" s="149">
        <v>3</v>
      </c>
      <c r="H575" s="149">
        <v>1</v>
      </c>
      <c r="I575" s="149">
        <v>1</v>
      </c>
      <c r="J575" s="149">
        <v>2</v>
      </c>
    </row>
    <row r="576" spans="1:10" s="136" customFormat="1" ht="9" customHeight="1" x14ac:dyDescent="0.25">
      <c r="A576" s="140" t="s">
        <v>43</v>
      </c>
      <c r="B576" s="147">
        <v>11</v>
      </c>
      <c r="C576" s="147">
        <v>29</v>
      </c>
      <c r="D576" s="149">
        <v>1</v>
      </c>
      <c r="E576" s="149">
        <v>3</v>
      </c>
      <c r="F576" s="149">
        <v>2</v>
      </c>
      <c r="G576" s="149">
        <v>0</v>
      </c>
      <c r="H576" s="149">
        <v>1</v>
      </c>
      <c r="I576" s="149">
        <v>1</v>
      </c>
      <c r="J576" s="149">
        <v>0</v>
      </c>
    </row>
    <row r="577" spans="1:10" s="136" customFormat="1" ht="9" customHeight="1" x14ac:dyDescent="0.25">
      <c r="A577" s="140" t="s">
        <v>44</v>
      </c>
      <c r="B577" s="147">
        <v>11</v>
      </c>
      <c r="C577" s="147">
        <v>22</v>
      </c>
      <c r="D577" s="149">
        <v>1</v>
      </c>
      <c r="E577" s="149">
        <v>1</v>
      </c>
      <c r="F577" s="149">
        <v>1</v>
      </c>
      <c r="G577" s="149">
        <v>1</v>
      </c>
      <c r="H577" s="149">
        <v>1</v>
      </c>
      <c r="I577" s="149">
        <v>0</v>
      </c>
      <c r="J577" s="149">
        <v>0</v>
      </c>
    </row>
    <row r="578" spans="1:10" s="136" customFormat="1" ht="9" customHeight="1" x14ac:dyDescent="0.25">
      <c r="A578" s="141" t="s">
        <v>45</v>
      </c>
      <c r="B578" s="150">
        <v>20</v>
      </c>
      <c r="C578" s="150">
        <v>31</v>
      </c>
      <c r="D578" s="151">
        <v>0</v>
      </c>
      <c r="E578" s="151">
        <v>2</v>
      </c>
      <c r="F578" s="151">
        <v>2</v>
      </c>
      <c r="G578" s="151">
        <v>2</v>
      </c>
      <c r="H578" s="151">
        <v>1</v>
      </c>
      <c r="I578" s="151">
        <v>1</v>
      </c>
      <c r="J578" s="151">
        <v>0</v>
      </c>
    </row>
    <row r="579" spans="1:10" s="136" customFormat="1" ht="9" customHeight="1" x14ac:dyDescent="0.25">
      <c r="A579" s="140" t="s">
        <v>46</v>
      </c>
      <c r="B579" s="147">
        <v>69</v>
      </c>
      <c r="C579" s="147">
        <v>49</v>
      </c>
      <c r="D579" s="149">
        <v>4</v>
      </c>
      <c r="E579" s="149">
        <v>8</v>
      </c>
      <c r="F579" s="149">
        <v>6</v>
      </c>
      <c r="G579" s="149">
        <v>4</v>
      </c>
      <c r="H579" s="149">
        <v>6</v>
      </c>
      <c r="I579" s="149">
        <v>0</v>
      </c>
      <c r="J579" s="149">
        <v>0</v>
      </c>
    </row>
    <row r="580" spans="1:10" s="136" customFormat="1" ht="9" customHeight="1" x14ac:dyDescent="0.25">
      <c r="A580" s="140" t="s">
        <v>47</v>
      </c>
      <c r="B580" s="147">
        <v>40</v>
      </c>
      <c r="C580" s="147">
        <v>76</v>
      </c>
      <c r="D580" s="149">
        <v>0</v>
      </c>
      <c r="E580" s="149">
        <v>5</v>
      </c>
      <c r="F580" s="149">
        <v>9</v>
      </c>
      <c r="G580" s="149">
        <v>0</v>
      </c>
      <c r="H580" s="149">
        <v>2</v>
      </c>
      <c r="I580" s="149">
        <v>0</v>
      </c>
      <c r="J580" s="149">
        <v>0</v>
      </c>
    </row>
    <row r="581" spans="1:10" s="136" customFormat="1" ht="9" customHeight="1" x14ac:dyDescent="0.25">
      <c r="A581" s="140" t="s">
        <v>48</v>
      </c>
      <c r="B581" s="147">
        <v>7</v>
      </c>
      <c r="C581" s="147">
        <v>8</v>
      </c>
      <c r="D581" s="149">
        <v>1</v>
      </c>
      <c r="E581" s="149">
        <v>1</v>
      </c>
      <c r="F581" s="149">
        <v>2</v>
      </c>
      <c r="G581" s="149">
        <v>2</v>
      </c>
      <c r="H581" s="149">
        <v>1</v>
      </c>
      <c r="I581" s="149">
        <v>0</v>
      </c>
      <c r="J581" s="149">
        <v>0</v>
      </c>
    </row>
    <row r="582" spans="1:10" s="136" customFormat="1" ht="9" customHeight="1" x14ac:dyDescent="0.25">
      <c r="A582" s="141" t="s">
        <v>49</v>
      </c>
      <c r="B582" s="150">
        <v>13</v>
      </c>
      <c r="C582" s="150">
        <v>74</v>
      </c>
      <c r="D582" s="151">
        <v>0</v>
      </c>
      <c r="E582" s="151">
        <v>5</v>
      </c>
      <c r="F582" s="151">
        <v>4</v>
      </c>
      <c r="G582" s="151">
        <v>2</v>
      </c>
      <c r="H582" s="151">
        <v>2</v>
      </c>
      <c r="I582" s="151">
        <v>0</v>
      </c>
      <c r="J582" s="151">
        <v>0</v>
      </c>
    </row>
    <row r="583" spans="1:10" s="136" customFormat="1" ht="9" customHeight="1" x14ac:dyDescent="0.25">
      <c r="A583" s="140" t="s">
        <v>50</v>
      </c>
      <c r="B583" s="147">
        <v>21</v>
      </c>
      <c r="C583" s="147">
        <v>6</v>
      </c>
      <c r="D583" s="149">
        <v>5</v>
      </c>
      <c r="E583" s="149">
        <v>2</v>
      </c>
      <c r="F583" s="149">
        <v>1</v>
      </c>
      <c r="G583" s="149">
        <v>5</v>
      </c>
      <c r="H583" s="149">
        <v>1</v>
      </c>
      <c r="I583" s="149">
        <v>0</v>
      </c>
      <c r="J583" s="149">
        <v>1</v>
      </c>
    </row>
    <row r="584" spans="1:10" s="136" customFormat="1" ht="9" customHeight="1" x14ac:dyDescent="0.25">
      <c r="A584" s="140" t="s">
        <v>130</v>
      </c>
      <c r="B584" s="147">
        <v>80</v>
      </c>
      <c r="C584" s="147">
        <v>65</v>
      </c>
      <c r="D584" s="149">
        <v>1</v>
      </c>
      <c r="E584" s="149">
        <v>10</v>
      </c>
      <c r="F584" s="149">
        <v>10</v>
      </c>
      <c r="G584" s="149">
        <v>4</v>
      </c>
      <c r="H584" s="149">
        <v>4</v>
      </c>
      <c r="I584" s="149">
        <v>1</v>
      </c>
      <c r="J584" s="149">
        <v>0</v>
      </c>
    </row>
    <row r="585" spans="1:10" s="136" customFormat="1" ht="9" customHeight="1" x14ac:dyDescent="0.25">
      <c r="A585" s="140" t="s">
        <v>52</v>
      </c>
      <c r="B585" s="147">
        <v>21</v>
      </c>
      <c r="C585" s="147">
        <v>33</v>
      </c>
      <c r="D585" s="149">
        <v>0</v>
      </c>
      <c r="E585" s="149">
        <v>1</v>
      </c>
      <c r="F585" s="149">
        <v>2</v>
      </c>
      <c r="G585" s="149">
        <v>2</v>
      </c>
      <c r="H585" s="149">
        <v>1</v>
      </c>
      <c r="I585" s="149">
        <v>1</v>
      </c>
      <c r="J585" s="149">
        <v>0</v>
      </c>
    </row>
    <row r="586" spans="1:10" s="136" customFormat="1" ht="9" customHeight="1" x14ac:dyDescent="0.25">
      <c r="A586" s="141" t="s">
        <v>53</v>
      </c>
      <c r="B586" s="150">
        <v>18</v>
      </c>
      <c r="C586" s="150">
        <v>29</v>
      </c>
      <c r="D586" s="151">
        <v>0</v>
      </c>
      <c r="E586" s="151">
        <v>2</v>
      </c>
      <c r="F586" s="151">
        <v>7</v>
      </c>
      <c r="G586" s="151">
        <v>6</v>
      </c>
      <c r="H586" s="151">
        <v>1</v>
      </c>
      <c r="I586" s="151">
        <v>0</v>
      </c>
      <c r="J586" s="151">
        <v>0</v>
      </c>
    </row>
    <row r="587" spans="1:10" s="159" customFormat="1" ht="9" customHeight="1" x14ac:dyDescent="0.25">
      <c r="A587" s="156"/>
      <c r="B587" s="157"/>
      <c r="C587" s="157"/>
      <c r="D587" s="158"/>
      <c r="E587" s="158"/>
      <c r="F587" s="158"/>
      <c r="G587" s="158"/>
      <c r="H587" s="158"/>
      <c r="I587" s="158"/>
      <c r="J587" s="158"/>
    </row>
    <row r="588" spans="1:10" s="136" customFormat="1" ht="9" customHeight="1" x14ac:dyDescent="0.25">
      <c r="A588" s="135">
        <v>2013</v>
      </c>
      <c r="B588" s="140"/>
      <c r="C588" s="147"/>
      <c r="D588" s="147"/>
      <c r="E588" s="140"/>
      <c r="F588" s="140"/>
      <c r="G588" s="140"/>
      <c r="H588" s="140"/>
      <c r="I588" s="140"/>
      <c r="J588" s="140"/>
    </row>
    <row r="589" spans="1:10" s="136" customFormat="1" ht="9" customHeight="1" x14ac:dyDescent="0.25">
      <c r="A589" s="138" t="s">
        <v>13</v>
      </c>
      <c r="B589" s="148">
        <f t="shared" ref="B589:J589" si="15">SUM(B591:B622)</f>
        <v>1127</v>
      </c>
      <c r="C589" s="148">
        <f t="shared" si="15"/>
        <v>1416</v>
      </c>
      <c r="D589" s="148">
        <f t="shared" si="15"/>
        <v>78</v>
      </c>
      <c r="E589" s="148">
        <f t="shared" si="15"/>
        <v>150</v>
      </c>
      <c r="F589" s="148">
        <f t="shared" si="15"/>
        <v>136</v>
      </c>
      <c r="G589" s="148">
        <f t="shared" si="15"/>
        <v>69</v>
      </c>
      <c r="H589" s="148">
        <f t="shared" si="15"/>
        <v>72</v>
      </c>
      <c r="I589" s="148">
        <f t="shared" si="15"/>
        <v>17</v>
      </c>
      <c r="J589" s="148">
        <f t="shared" si="15"/>
        <v>4</v>
      </c>
    </row>
    <row r="590" spans="1:10" s="136" customFormat="1" ht="2.1" customHeight="1" x14ac:dyDescent="0.25">
      <c r="A590" s="138"/>
      <c r="B590" s="148"/>
      <c r="C590" s="148"/>
      <c r="D590" s="148"/>
      <c r="E590" s="148"/>
      <c r="F590" s="148"/>
      <c r="G590" s="148"/>
      <c r="H590" s="148"/>
      <c r="I590" s="148"/>
      <c r="J590" s="148"/>
    </row>
    <row r="591" spans="1:10" s="136" customFormat="1" ht="9" customHeight="1" x14ac:dyDescent="0.25">
      <c r="A591" s="140" t="s">
        <v>23</v>
      </c>
      <c r="B591" s="147">
        <v>11</v>
      </c>
      <c r="C591" s="147">
        <v>26</v>
      </c>
      <c r="D591" s="149">
        <v>0</v>
      </c>
      <c r="E591" s="149">
        <v>3</v>
      </c>
      <c r="F591" s="149">
        <v>1</v>
      </c>
      <c r="G591" s="149">
        <v>0</v>
      </c>
      <c r="H591" s="149">
        <v>1</v>
      </c>
      <c r="I591" s="149">
        <v>0</v>
      </c>
      <c r="J591" s="149">
        <v>0</v>
      </c>
    </row>
    <row r="592" spans="1:10" s="136" customFormat="1" ht="9" customHeight="1" x14ac:dyDescent="0.25">
      <c r="A592" s="140" t="s">
        <v>24</v>
      </c>
      <c r="B592" s="147">
        <v>42</v>
      </c>
      <c r="C592" s="147">
        <v>82</v>
      </c>
      <c r="D592" s="149">
        <v>6</v>
      </c>
      <c r="E592" s="149">
        <v>3</v>
      </c>
      <c r="F592" s="149">
        <v>4</v>
      </c>
      <c r="G592" s="149">
        <v>0</v>
      </c>
      <c r="H592" s="149">
        <v>3</v>
      </c>
      <c r="I592" s="149">
        <v>0</v>
      </c>
      <c r="J592" s="149">
        <v>0</v>
      </c>
    </row>
    <row r="593" spans="1:10" s="136" customFormat="1" ht="9" customHeight="1" x14ac:dyDescent="0.25">
      <c r="A593" s="140" t="s">
        <v>25</v>
      </c>
      <c r="B593" s="147">
        <v>27</v>
      </c>
      <c r="C593" s="147">
        <v>15</v>
      </c>
      <c r="D593" s="149">
        <v>0</v>
      </c>
      <c r="E593" s="149">
        <v>1</v>
      </c>
      <c r="F593" s="149">
        <v>1</v>
      </c>
      <c r="G593" s="149">
        <v>0</v>
      </c>
      <c r="H593" s="149">
        <v>1</v>
      </c>
      <c r="I593" s="149">
        <v>0</v>
      </c>
      <c r="J593" s="149">
        <v>0</v>
      </c>
    </row>
    <row r="594" spans="1:10" s="136" customFormat="1" ht="9" customHeight="1" x14ac:dyDescent="0.25">
      <c r="A594" s="141" t="s">
        <v>26</v>
      </c>
      <c r="B594" s="150">
        <v>18</v>
      </c>
      <c r="C594" s="150">
        <v>8</v>
      </c>
      <c r="D594" s="151">
        <v>0</v>
      </c>
      <c r="E594" s="151">
        <v>3</v>
      </c>
      <c r="F594" s="151">
        <v>2</v>
      </c>
      <c r="G594" s="151">
        <v>0</v>
      </c>
      <c r="H594" s="151">
        <v>1</v>
      </c>
      <c r="I594" s="151">
        <v>0</v>
      </c>
      <c r="J594" s="151">
        <v>0</v>
      </c>
    </row>
    <row r="595" spans="1:10" s="136" customFormat="1" ht="9" customHeight="1" x14ac:dyDescent="0.25">
      <c r="A595" s="140" t="s">
        <v>126</v>
      </c>
      <c r="B595" s="147">
        <v>33</v>
      </c>
      <c r="C595" s="147">
        <v>62</v>
      </c>
      <c r="D595" s="149">
        <v>11</v>
      </c>
      <c r="E595" s="149">
        <v>4</v>
      </c>
      <c r="F595" s="149">
        <v>6</v>
      </c>
      <c r="G595" s="149">
        <v>0</v>
      </c>
      <c r="H595" s="149">
        <v>3</v>
      </c>
      <c r="I595" s="149">
        <v>1</v>
      </c>
      <c r="J595" s="149">
        <v>0</v>
      </c>
    </row>
    <row r="596" spans="1:10" s="136" customFormat="1" ht="9" customHeight="1" x14ac:dyDescent="0.25">
      <c r="A596" s="140" t="s">
        <v>28</v>
      </c>
      <c r="B596" s="147">
        <v>16</v>
      </c>
      <c r="C596" s="147">
        <v>22</v>
      </c>
      <c r="D596" s="149">
        <v>1</v>
      </c>
      <c r="E596" s="149">
        <v>3</v>
      </c>
      <c r="F596" s="149">
        <v>3</v>
      </c>
      <c r="G596" s="149">
        <v>0</v>
      </c>
      <c r="H596" s="149">
        <v>1</v>
      </c>
      <c r="I596" s="149">
        <v>0</v>
      </c>
      <c r="J596" s="149">
        <v>0</v>
      </c>
    </row>
    <row r="597" spans="1:10" s="136" customFormat="1" ht="9" customHeight="1" x14ac:dyDescent="0.25">
      <c r="A597" s="140" t="s">
        <v>29</v>
      </c>
      <c r="B597" s="147">
        <v>10</v>
      </c>
      <c r="C597" s="147">
        <v>15</v>
      </c>
      <c r="D597" s="149">
        <v>1</v>
      </c>
      <c r="E597" s="149">
        <v>4</v>
      </c>
      <c r="F597" s="149">
        <v>4</v>
      </c>
      <c r="G597" s="149">
        <v>2</v>
      </c>
      <c r="H597" s="149">
        <v>0</v>
      </c>
      <c r="I597" s="149">
        <v>1</v>
      </c>
      <c r="J597" s="149">
        <v>0</v>
      </c>
    </row>
    <row r="598" spans="1:10" s="136" customFormat="1" ht="9" customHeight="1" x14ac:dyDescent="0.25">
      <c r="A598" s="141" t="s">
        <v>30</v>
      </c>
      <c r="B598" s="150">
        <v>35</v>
      </c>
      <c r="C598" s="150">
        <v>90</v>
      </c>
      <c r="D598" s="151">
        <v>6</v>
      </c>
      <c r="E598" s="151">
        <v>5</v>
      </c>
      <c r="F598" s="151">
        <v>6</v>
      </c>
      <c r="G598" s="151">
        <v>3</v>
      </c>
      <c r="H598" s="151">
        <v>1</v>
      </c>
      <c r="I598" s="151">
        <v>2</v>
      </c>
      <c r="J598" s="151">
        <v>0</v>
      </c>
    </row>
    <row r="599" spans="1:10" s="136" customFormat="1" ht="9" customHeight="1" x14ac:dyDescent="0.25">
      <c r="A599" s="140" t="s">
        <v>127</v>
      </c>
      <c r="B599" s="147">
        <v>179</v>
      </c>
      <c r="C599" s="147">
        <v>137</v>
      </c>
      <c r="D599" s="149">
        <v>5</v>
      </c>
      <c r="E599" s="149">
        <v>24</v>
      </c>
      <c r="F599" s="149">
        <v>6</v>
      </c>
      <c r="G599" s="149">
        <v>3</v>
      </c>
      <c r="H599" s="149">
        <v>11</v>
      </c>
      <c r="I599" s="149">
        <v>1</v>
      </c>
      <c r="J599" s="149">
        <v>0</v>
      </c>
    </row>
    <row r="600" spans="1:10" s="136" customFormat="1" ht="9" customHeight="1" x14ac:dyDescent="0.25">
      <c r="A600" s="140" t="s">
        <v>31</v>
      </c>
      <c r="B600" s="147">
        <v>27</v>
      </c>
      <c r="C600" s="147">
        <v>17</v>
      </c>
      <c r="D600" s="149">
        <v>0</v>
      </c>
      <c r="E600" s="149">
        <v>2</v>
      </c>
      <c r="F600" s="149">
        <v>2</v>
      </c>
      <c r="G600" s="149">
        <v>2</v>
      </c>
      <c r="H600" s="149">
        <v>1</v>
      </c>
      <c r="I600" s="149">
        <v>0</v>
      </c>
      <c r="J600" s="149">
        <v>0</v>
      </c>
    </row>
    <row r="601" spans="1:10" s="136" customFormat="1" ht="9" customHeight="1" x14ac:dyDescent="0.25">
      <c r="A601" s="140" t="s">
        <v>32</v>
      </c>
      <c r="B601" s="147">
        <v>11</v>
      </c>
      <c r="C601" s="147">
        <v>60</v>
      </c>
      <c r="D601" s="149">
        <v>1</v>
      </c>
      <c r="E601" s="149">
        <v>2</v>
      </c>
      <c r="F601" s="149">
        <v>5</v>
      </c>
      <c r="G601" s="149">
        <v>3</v>
      </c>
      <c r="H601" s="149">
        <v>1</v>
      </c>
      <c r="I601" s="149">
        <v>0</v>
      </c>
      <c r="J601" s="149">
        <v>0</v>
      </c>
    </row>
    <row r="602" spans="1:10" s="136" customFormat="1" ht="9" customHeight="1" x14ac:dyDescent="0.25">
      <c r="A602" s="141" t="s">
        <v>33</v>
      </c>
      <c r="B602" s="150">
        <v>28</v>
      </c>
      <c r="C602" s="150">
        <v>15</v>
      </c>
      <c r="D602" s="151">
        <v>1</v>
      </c>
      <c r="E602" s="151">
        <v>5</v>
      </c>
      <c r="F602" s="151">
        <v>4</v>
      </c>
      <c r="G602" s="151">
        <v>1</v>
      </c>
      <c r="H602" s="151">
        <v>4</v>
      </c>
      <c r="I602" s="151">
        <v>0</v>
      </c>
      <c r="J602" s="151">
        <v>0</v>
      </c>
    </row>
    <row r="603" spans="1:10" s="136" customFormat="1" ht="9" customHeight="1" x14ac:dyDescent="0.25">
      <c r="A603" s="140" t="s">
        <v>34</v>
      </c>
      <c r="B603" s="147">
        <v>11</v>
      </c>
      <c r="C603" s="147">
        <v>18</v>
      </c>
      <c r="D603" s="149">
        <v>0</v>
      </c>
      <c r="E603" s="149">
        <v>3</v>
      </c>
      <c r="F603" s="149">
        <v>5</v>
      </c>
      <c r="G603" s="149">
        <v>9</v>
      </c>
      <c r="H603" s="149">
        <v>0</v>
      </c>
      <c r="I603" s="149">
        <v>1</v>
      </c>
      <c r="J603" s="149">
        <v>0</v>
      </c>
    </row>
    <row r="604" spans="1:10" s="136" customFormat="1" ht="9" customHeight="1" x14ac:dyDescent="0.25">
      <c r="A604" s="140" t="s">
        <v>35</v>
      </c>
      <c r="B604" s="147">
        <v>50</v>
      </c>
      <c r="C604" s="136">
        <v>95</v>
      </c>
      <c r="D604" s="149">
        <v>4</v>
      </c>
      <c r="E604" s="149">
        <v>4</v>
      </c>
      <c r="F604" s="149">
        <v>8</v>
      </c>
      <c r="G604" s="149">
        <v>1</v>
      </c>
      <c r="H604" s="149">
        <v>3</v>
      </c>
      <c r="I604" s="149">
        <v>1</v>
      </c>
      <c r="J604" s="149">
        <v>0</v>
      </c>
    </row>
    <row r="605" spans="1:10" s="136" customFormat="1" ht="9" customHeight="1" x14ac:dyDescent="0.25">
      <c r="A605" s="140" t="s">
        <v>128</v>
      </c>
      <c r="B605" s="147">
        <v>64</v>
      </c>
      <c r="C605" s="147">
        <v>100</v>
      </c>
      <c r="D605" s="149">
        <v>10</v>
      </c>
      <c r="E605" s="149">
        <v>14</v>
      </c>
      <c r="F605" s="149">
        <v>4</v>
      </c>
      <c r="G605" s="149">
        <v>3</v>
      </c>
      <c r="H605" s="149">
        <v>5</v>
      </c>
      <c r="I605" s="149">
        <v>3</v>
      </c>
      <c r="J605" s="149">
        <v>0</v>
      </c>
    </row>
    <row r="606" spans="1:10" s="136" customFormat="1" ht="9" customHeight="1" x14ac:dyDescent="0.25">
      <c r="A606" s="141" t="s">
        <v>129</v>
      </c>
      <c r="B606" s="150">
        <v>15</v>
      </c>
      <c r="C606" s="150">
        <v>38</v>
      </c>
      <c r="D606" s="151">
        <v>0</v>
      </c>
      <c r="E606" s="151">
        <v>4</v>
      </c>
      <c r="F606" s="151">
        <v>6</v>
      </c>
      <c r="G606" s="151">
        <v>1</v>
      </c>
      <c r="H606" s="151">
        <v>1</v>
      </c>
      <c r="I606" s="151">
        <v>0</v>
      </c>
      <c r="J606" s="151">
        <v>0</v>
      </c>
    </row>
    <row r="607" spans="1:10" s="136" customFormat="1" ht="9" customHeight="1" x14ac:dyDescent="0.25">
      <c r="A607" s="140" t="s">
        <v>38</v>
      </c>
      <c r="B607" s="147">
        <v>39</v>
      </c>
      <c r="C607" s="147">
        <v>31</v>
      </c>
      <c r="D607" s="149">
        <v>10</v>
      </c>
      <c r="E607" s="149">
        <v>11</v>
      </c>
      <c r="F607" s="149">
        <v>3</v>
      </c>
      <c r="G607" s="149">
        <v>1</v>
      </c>
      <c r="H607" s="149">
        <v>8</v>
      </c>
      <c r="I607" s="149">
        <v>0</v>
      </c>
      <c r="J607" s="149">
        <v>1</v>
      </c>
    </row>
    <row r="608" spans="1:10" s="136" customFormat="1" ht="9" customHeight="1" x14ac:dyDescent="0.25">
      <c r="A608" s="140" t="s">
        <v>39</v>
      </c>
      <c r="B608" s="147">
        <v>13</v>
      </c>
      <c r="C608" s="147">
        <v>18</v>
      </c>
      <c r="D608" s="149">
        <v>1</v>
      </c>
      <c r="E608" s="149">
        <v>2</v>
      </c>
      <c r="F608" s="149">
        <v>4</v>
      </c>
      <c r="G608" s="149">
        <v>2</v>
      </c>
      <c r="H608" s="149">
        <v>1</v>
      </c>
      <c r="I608" s="149">
        <v>0</v>
      </c>
      <c r="J608" s="149">
        <v>0</v>
      </c>
    </row>
    <row r="609" spans="1:10" s="136" customFormat="1" ht="9" customHeight="1" x14ac:dyDescent="0.25">
      <c r="A609" s="140" t="s">
        <v>40</v>
      </c>
      <c r="B609" s="147">
        <v>103</v>
      </c>
      <c r="C609" s="147">
        <v>91</v>
      </c>
      <c r="D609" s="149">
        <v>7</v>
      </c>
      <c r="E609" s="149">
        <v>9</v>
      </c>
      <c r="F609" s="149">
        <v>7</v>
      </c>
      <c r="G609" s="149">
        <v>0</v>
      </c>
      <c r="H609" s="149">
        <v>4</v>
      </c>
      <c r="I609" s="149">
        <v>1</v>
      </c>
      <c r="J609" s="149">
        <v>0</v>
      </c>
    </row>
    <row r="610" spans="1:10" s="136" customFormat="1" ht="9" customHeight="1" x14ac:dyDescent="0.25">
      <c r="A610" s="141" t="s">
        <v>41</v>
      </c>
      <c r="B610" s="150">
        <v>17</v>
      </c>
      <c r="C610" s="150">
        <v>18</v>
      </c>
      <c r="D610" s="151">
        <v>0</v>
      </c>
      <c r="E610" s="151">
        <v>1</v>
      </c>
      <c r="F610" s="151">
        <v>6</v>
      </c>
      <c r="G610" s="151">
        <v>7</v>
      </c>
      <c r="H610" s="151">
        <v>0</v>
      </c>
      <c r="I610" s="151">
        <v>0</v>
      </c>
      <c r="J610" s="151">
        <v>0</v>
      </c>
    </row>
    <row r="611" spans="1:10" s="136" customFormat="1" ht="9" customHeight="1" x14ac:dyDescent="0.25">
      <c r="A611" s="140" t="s">
        <v>42</v>
      </c>
      <c r="B611" s="147">
        <v>63</v>
      </c>
      <c r="C611" s="147">
        <v>37</v>
      </c>
      <c r="D611" s="149">
        <v>0</v>
      </c>
      <c r="E611" s="149">
        <v>3</v>
      </c>
      <c r="F611" s="149">
        <v>3</v>
      </c>
      <c r="G611" s="149">
        <v>3</v>
      </c>
      <c r="H611" s="149">
        <v>1</v>
      </c>
      <c r="I611" s="149">
        <v>1</v>
      </c>
      <c r="J611" s="149">
        <v>1</v>
      </c>
    </row>
    <row r="612" spans="1:10" s="136" customFormat="1" ht="9" customHeight="1" x14ac:dyDescent="0.25">
      <c r="A612" s="140" t="s">
        <v>43</v>
      </c>
      <c r="B612" s="147">
        <v>13</v>
      </c>
      <c r="C612" s="147">
        <v>29</v>
      </c>
      <c r="D612" s="149">
        <v>1</v>
      </c>
      <c r="E612" s="149">
        <v>3</v>
      </c>
      <c r="F612" s="149">
        <v>2</v>
      </c>
      <c r="G612" s="149">
        <v>0</v>
      </c>
      <c r="H612" s="149">
        <v>1</v>
      </c>
      <c r="I612" s="149">
        <v>1</v>
      </c>
      <c r="J612" s="149">
        <v>0</v>
      </c>
    </row>
    <row r="613" spans="1:10" s="136" customFormat="1" ht="9" customHeight="1" x14ac:dyDescent="0.25">
      <c r="A613" s="140" t="s">
        <v>44</v>
      </c>
      <c r="B613" s="147">
        <v>13</v>
      </c>
      <c r="C613" s="147">
        <v>22</v>
      </c>
      <c r="D613" s="149">
        <v>2</v>
      </c>
      <c r="E613" s="149">
        <v>1</v>
      </c>
      <c r="F613" s="149">
        <v>1</v>
      </c>
      <c r="G613" s="149">
        <v>1</v>
      </c>
      <c r="H613" s="149">
        <v>1</v>
      </c>
      <c r="I613" s="149">
        <v>0</v>
      </c>
      <c r="J613" s="149">
        <v>0</v>
      </c>
    </row>
    <row r="614" spans="1:10" s="136" customFormat="1" ht="9" customHeight="1" x14ac:dyDescent="0.25">
      <c r="A614" s="141" t="s">
        <v>45</v>
      </c>
      <c r="B614" s="150">
        <v>20</v>
      </c>
      <c r="C614" s="150">
        <v>31</v>
      </c>
      <c r="D614" s="151">
        <v>0</v>
      </c>
      <c r="E614" s="151">
        <v>2</v>
      </c>
      <c r="F614" s="151">
        <v>2</v>
      </c>
      <c r="G614" s="151">
        <v>2</v>
      </c>
      <c r="H614" s="151">
        <v>1</v>
      </c>
      <c r="I614" s="151">
        <v>1</v>
      </c>
      <c r="J614" s="151">
        <v>0</v>
      </c>
    </row>
    <row r="615" spans="1:10" s="136" customFormat="1" ht="9" customHeight="1" x14ac:dyDescent="0.25">
      <c r="A615" s="140" t="s">
        <v>46</v>
      </c>
      <c r="B615" s="147">
        <v>71</v>
      </c>
      <c r="C615" s="147">
        <v>49</v>
      </c>
      <c r="D615" s="149">
        <v>4</v>
      </c>
      <c r="E615" s="149">
        <v>8</v>
      </c>
      <c r="F615" s="149">
        <v>6</v>
      </c>
      <c r="G615" s="149">
        <v>4</v>
      </c>
      <c r="H615" s="149">
        <v>6</v>
      </c>
      <c r="I615" s="149">
        <v>0</v>
      </c>
      <c r="J615" s="149">
        <v>0</v>
      </c>
    </row>
    <row r="616" spans="1:10" s="136" customFormat="1" ht="9" customHeight="1" x14ac:dyDescent="0.25">
      <c r="A616" s="140" t="s">
        <v>47</v>
      </c>
      <c r="B616" s="147">
        <v>38</v>
      </c>
      <c r="C616" s="147">
        <v>75</v>
      </c>
      <c r="D616" s="149">
        <v>0</v>
      </c>
      <c r="E616" s="149">
        <v>5</v>
      </c>
      <c r="F616" s="149">
        <v>9</v>
      </c>
      <c r="G616" s="149">
        <v>0</v>
      </c>
      <c r="H616" s="149">
        <v>2</v>
      </c>
      <c r="I616" s="149">
        <v>0</v>
      </c>
      <c r="J616" s="149">
        <v>0</v>
      </c>
    </row>
    <row r="617" spans="1:10" s="136" customFormat="1" ht="9" customHeight="1" x14ac:dyDescent="0.25">
      <c r="A617" s="140" t="s">
        <v>48</v>
      </c>
      <c r="B617" s="147">
        <v>7</v>
      </c>
      <c r="C617" s="147">
        <v>8</v>
      </c>
      <c r="D617" s="149">
        <v>1</v>
      </c>
      <c r="E617" s="149">
        <v>1</v>
      </c>
      <c r="F617" s="149">
        <v>2</v>
      </c>
      <c r="G617" s="149">
        <v>2</v>
      </c>
      <c r="H617" s="149">
        <v>1</v>
      </c>
      <c r="I617" s="149">
        <v>0</v>
      </c>
      <c r="J617" s="149">
        <v>0</v>
      </c>
    </row>
    <row r="618" spans="1:10" s="136" customFormat="1" ht="9" customHeight="1" x14ac:dyDescent="0.25">
      <c r="A618" s="141" t="s">
        <v>49</v>
      </c>
      <c r="B618" s="150">
        <v>13</v>
      </c>
      <c r="C618" s="150">
        <v>74</v>
      </c>
      <c r="D618" s="151">
        <v>0</v>
      </c>
      <c r="E618" s="151">
        <v>5</v>
      </c>
      <c r="F618" s="151">
        <v>4</v>
      </c>
      <c r="G618" s="151">
        <v>2</v>
      </c>
      <c r="H618" s="151">
        <v>2</v>
      </c>
      <c r="I618" s="151">
        <v>1</v>
      </c>
      <c r="J618" s="151">
        <v>0</v>
      </c>
    </row>
    <row r="619" spans="1:10" s="136" customFormat="1" ht="9" customHeight="1" x14ac:dyDescent="0.25">
      <c r="A619" s="140" t="s">
        <v>50</v>
      </c>
      <c r="B619" s="147">
        <v>22</v>
      </c>
      <c r="C619" s="147">
        <v>6</v>
      </c>
      <c r="D619" s="149">
        <v>5</v>
      </c>
      <c r="E619" s="149">
        <v>2</v>
      </c>
      <c r="F619" s="149">
        <v>1</v>
      </c>
      <c r="G619" s="149">
        <v>5</v>
      </c>
      <c r="H619" s="149">
        <v>1</v>
      </c>
      <c r="I619" s="149">
        <v>0</v>
      </c>
      <c r="J619" s="149">
        <v>2</v>
      </c>
    </row>
    <row r="620" spans="1:10" s="136" customFormat="1" ht="9" customHeight="1" x14ac:dyDescent="0.25">
      <c r="A620" s="140" t="s">
        <v>130</v>
      </c>
      <c r="B620" s="147">
        <v>82</v>
      </c>
      <c r="C620" s="147">
        <v>65</v>
      </c>
      <c r="D620" s="149">
        <v>1</v>
      </c>
      <c r="E620" s="149">
        <v>10</v>
      </c>
      <c r="F620" s="149">
        <v>10</v>
      </c>
      <c r="G620" s="149">
        <v>4</v>
      </c>
      <c r="H620" s="149">
        <v>4</v>
      </c>
      <c r="I620" s="149">
        <v>1</v>
      </c>
      <c r="J620" s="149">
        <v>0</v>
      </c>
    </row>
    <row r="621" spans="1:10" s="136" customFormat="1" ht="9" customHeight="1" x14ac:dyDescent="0.25">
      <c r="A621" s="140" t="s">
        <v>52</v>
      </c>
      <c r="B621" s="147">
        <v>19</v>
      </c>
      <c r="C621" s="147">
        <v>33</v>
      </c>
      <c r="D621" s="149">
        <v>0</v>
      </c>
      <c r="E621" s="149">
        <v>1</v>
      </c>
      <c r="F621" s="149">
        <v>2</v>
      </c>
      <c r="G621" s="149">
        <v>2</v>
      </c>
      <c r="H621" s="149">
        <v>1</v>
      </c>
      <c r="I621" s="149">
        <v>1</v>
      </c>
      <c r="J621" s="149">
        <v>0</v>
      </c>
    </row>
    <row r="622" spans="1:10" s="136" customFormat="1" ht="9" customHeight="1" x14ac:dyDescent="0.25">
      <c r="A622" s="141" t="s">
        <v>53</v>
      </c>
      <c r="B622" s="150">
        <v>17</v>
      </c>
      <c r="C622" s="150">
        <v>29</v>
      </c>
      <c r="D622" s="151">
        <v>0</v>
      </c>
      <c r="E622" s="151">
        <v>2</v>
      </c>
      <c r="F622" s="151">
        <v>7</v>
      </c>
      <c r="G622" s="151">
        <v>6</v>
      </c>
      <c r="H622" s="151">
        <v>1</v>
      </c>
      <c r="I622" s="151">
        <v>0</v>
      </c>
      <c r="J622" s="151">
        <v>0</v>
      </c>
    </row>
    <row r="623" spans="1:10" s="159" customFormat="1" ht="6" customHeight="1" x14ac:dyDescent="0.25">
      <c r="A623" s="156"/>
      <c r="B623" s="157"/>
      <c r="C623" s="157"/>
      <c r="D623" s="158"/>
      <c r="E623" s="158"/>
      <c r="F623" s="158"/>
      <c r="G623" s="158"/>
      <c r="H623" s="158"/>
      <c r="I623" s="158"/>
      <c r="J623" s="158"/>
    </row>
    <row r="624" spans="1:10" s="136" customFormat="1" ht="9" customHeight="1" x14ac:dyDescent="0.25">
      <c r="A624" s="135">
        <v>2014</v>
      </c>
      <c r="B624" s="140"/>
      <c r="C624" s="147"/>
      <c r="D624" s="147"/>
      <c r="E624" s="140"/>
      <c r="F624" s="140"/>
      <c r="G624" s="140"/>
      <c r="H624" s="140"/>
      <c r="I624" s="140"/>
      <c r="J624" s="140"/>
    </row>
    <row r="625" spans="1:10" s="136" customFormat="1" ht="9" customHeight="1" x14ac:dyDescent="0.25">
      <c r="A625" s="138" t="s">
        <v>13</v>
      </c>
      <c r="B625" s="148">
        <f t="shared" ref="B625:J625" si="16">SUM(B627:B658)</f>
        <v>1141</v>
      </c>
      <c r="C625" s="148">
        <f t="shared" si="16"/>
        <v>1395</v>
      </c>
      <c r="D625" s="148">
        <f t="shared" si="16"/>
        <v>70</v>
      </c>
      <c r="E625" s="148">
        <f t="shared" si="16"/>
        <v>150</v>
      </c>
      <c r="F625" s="148">
        <f t="shared" si="16"/>
        <v>130</v>
      </c>
      <c r="G625" s="148">
        <f t="shared" si="16"/>
        <v>69</v>
      </c>
      <c r="H625" s="148">
        <f t="shared" si="16"/>
        <v>72</v>
      </c>
      <c r="I625" s="148">
        <f t="shared" si="16"/>
        <v>17</v>
      </c>
      <c r="J625" s="148">
        <f t="shared" si="16"/>
        <v>4</v>
      </c>
    </row>
    <row r="626" spans="1:10" s="136" customFormat="1" ht="2.1" customHeight="1" x14ac:dyDescent="0.25">
      <c r="A626" s="138"/>
      <c r="B626" s="148"/>
      <c r="C626" s="148"/>
      <c r="D626" s="148"/>
      <c r="E626" s="148"/>
      <c r="F626" s="148"/>
      <c r="G626" s="148"/>
      <c r="H626" s="148"/>
      <c r="I626" s="148"/>
      <c r="J626" s="148"/>
    </row>
    <row r="627" spans="1:10" s="136" customFormat="1" ht="9" customHeight="1" x14ac:dyDescent="0.25">
      <c r="A627" s="140" t="s">
        <v>23</v>
      </c>
      <c r="B627" s="147">
        <v>12</v>
      </c>
      <c r="C627" s="147">
        <v>26</v>
      </c>
      <c r="D627" s="149">
        <v>0</v>
      </c>
      <c r="E627" s="149">
        <v>3</v>
      </c>
      <c r="F627" s="149">
        <v>1</v>
      </c>
      <c r="G627" s="149">
        <v>0</v>
      </c>
      <c r="H627" s="149">
        <v>1</v>
      </c>
      <c r="I627" s="149">
        <v>0</v>
      </c>
      <c r="J627" s="149">
        <v>0</v>
      </c>
    </row>
    <row r="628" spans="1:10" s="136" customFormat="1" ht="9" customHeight="1" x14ac:dyDescent="0.25">
      <c r="A628" s="140" t="s">
        <v>24</v>
      </c>
      <c r="B628" s="147">
        <v>38</v>
      </c>
      <c r="C628" s="147">
        <v>82</v>
      </c>
      <c r="D628" s="149">
        <v>4</v>
      </c>
      <c r="E628" s="149">
        <v>3</v>
      </c>
      <c r="F628" s="149">
        <v>4</v>
      </c>
      <c r="G628" s="149">
        <v>0</v>
      </c>
      <c r="H628" s="149">
        <v>3</v>
      </c>
      <c r="I628" s="149">
        <v>0</v>
      </c>
      <c r="J628" s="149">
        <v>0</v>
      </c>
    </row>
    <row r="629" spans="1:10" s="136" customFormat="1" ht="9" customHeight="1" x14ac:dyDescent="0.25">
      <c r="A629" s="140" t="s">
        <v>25</v>
      </c>
      <c r="B629" s="147">
        <v>28</v>
      </c>
      <c r="C629" s="147">
        <v>14</v>
      </c>
      <c r="D629" s="149">
        <v>0</v>
      </c>
      <c r="E629" s="149">
        <v>1</v>
      </c>
      <c r="F629" s="149">
        <v>1</v>
      </c>
      <c r="G629" s="149">
        <v>0</v>
      </c>
      <c r="H629" s="149">
        <v>1</v>
      </c>
      <c r="I629" s="149">
        <v>0</v>
      </c>
      <c r="J629" s="149">
        <v>0</v>
      </c>
    </row>
    <row r="630" spans="1:10" s="136" customFormat="1" ht="9" customHeight="1" x14ac:dyDescent="0.25">
      <c r="A630" s="141" t="s">
        <v>26</v>
      </c>
      <c r="B630" s="150">
        <v>18</v>
      </c>
      <c r="C630" s="150">
        <v>8</v>
      </c>
      <c r="D630" s="151">
        <v>0</v>
      </c>
      <c r="E630" s="151">
        <v>3</v>
      </c>
      <c r="F630" s="151">
        <v>2</v>
      </c>
      <c r="G630" s="151">
        <v>0</v>
      </c>
      <c r="H630" s="151">
        <v>1</v>
      </c>
      <c r="I630" s="151">
        <v>0</v>
      </c>
      <c r="J630" s="151">
        <v>0</v>
      </c>
    </row>
    <row r="631" spans="1:10" s="136" customFormat="1" ht="9" customHeight="1" x14ac:dyDescent="0.25">
      <c r="A631" s="140" t="s">
        <v>126</v>
      </c>
      <c r="B631" s="147">
        <v>43</v>
      </c>
      <c r="C631" s="147">
        <v>60</v>
      </c>
      <c r="D631" s="149">
        <v>11</v>
      </c>
      <c r="E631" s="149">
        <v>4</v>
      </c>
      <c r="F631" s="149">
        <v>5</v>
      </c>
      <c r="G631" s="149">
        <v>0</v>
      </c>
      <c r="H631" s="149">
        <v>3</v>
      </c>
      <c r="I631" s="149">
        <v>1</v>
      </c>
      <c r="J631" s="149">
        <v>0</v>
      </c>
    </row>
    <row r="632" spans="1:10" s="136" customFormat="1" ht="9" customHeight="1" x14ac:dyDescent="0.25">
      <c r="A632" s="140" t="s">
        <v>28</v>
      </c>
      <c r="B632" s="147">
        <v>16</v>
      </c>
      <c r="C632" s="147">
        <v>21</v>
      </c>
      <c r="D632" s="149">
        <v>1</v>
      </c>
      <c r="E632" s="149">
        <v>3</v>
      </c>
      <c r="F632" s="149">
        <v>3</v>
      </c>
      <c r="G632" s="149">
        <v>0</v>
      </c>
      <c r="H632" s="149">
        <v>1</v>
      </c>
      <c r="I632" s="149">
        <v>0</v>
      </c>
      <c r="J632" s="149">
        <v>0</v>
      </c>
    </row>
    <row r="633" spans="1:10" s="136" customFormat="1" ht="9" customHeight="1" x14ac:dyDescent="0.25">
      <c r="A633" s="140" t="s">
        <v>29</v>
      </c>
      <c r="B633" s="147">
        <v>5</v>
      </c>
      <c r="C633" s="147">
        <v>14</v>
      </c>
      <c r="D633" s="149">
        <v>0</v>
      </c>
      <c r="E633" s="149">
        <v>4</v>
      </c>
      <c r="F633" s="149">
        <v>4</v>
      </c>
      <c r="G633" s="149">
        <v>2</v>
      </c>
      <c r="H633" s="149">
        <v>0</v>
      </c>
      <c r="I633" s="149">
        <v>1</v>
      </c>
      <c r="J633" s="149">
        <v>0</v>
      </c>
    </row>
    <row r="634" spans="1:10" s="136" customFormat="1" ht="9" customHeight="1" x14ac:dyDescent="0.25">
      <c r="A634" s="141" t="s">
        <v>30</v>
      </c>
      <c r="B634" s="150">
        <v>40</v>
      </c>
      <c r="C634" s="150">
        <v>87</v>
      </c>
      <c r="D634" s="151">
        <v>6</v>
      </c>
      <c r="E634" s="151">
        <v>5</v>
      </c>
      <c r="F634" s="151">
        <v>6</v>
      </c>
      <c r="G634" s="151">
        <v>3</v>
      </c>
      <c r="H634" s="151">
        <v>1</v>
      </c>
      <c r="I634" s="151">
        <v>2</v>
      </c>
      <c r="J634" s="151">
        <v>0</v>
      </c>
    </row>
    <row r="635" spans="1:10" s="136" customFormat="1" ht="9" customHeight="1" x14ac:dyDescent="0.25">
      <c r="A635" s="140" t="s">
        <v>127</v>
      </c>
      <c r="B635" s="147">
        <v>191</v>
      </c>
      <c r="C635" s="147">
        <v>137</v>
      </c>
      <c r="D635" s="149">
        <v>6</v>
      </c>
      <c r="E635" s="149">
        <v>24</v>
      </c>
      <c r="F635" s="149">
        <v>6</v>
      </c>
      <c r="G635" s="149">
        <v>3</v>
      </c>
      <c r="H635" s="149">
        <v>11</v>
      </c>
      <c r="I635" s="149">
        <v>1</v>
      </c>
      <c r="J635" s="149">
        <v>0</v>
      </c>
    </row>
    <row r="636" spans="1:10" s="136" customFormat="1" ht="9" customHeight="1" x14ac:dyDescent="0.25">
      <c r="A636" s="140" t="s">
        <v>31</v>
      </c>
      <c r="B636" s="147">
        <v>24</v>
      </c>
      <c r="C636" s="147">
        <v>16</v>
      </c>
      <c r="D636" s="149">
        <v>0</v>
      </c>
      <c r="E636" s="149">
        <v>2</v>
      </c>
      <c r="F636" s="149">
        <v>2</v>
      </c>
      <c r="G636" s="149">
        <v>2</v>
      </c>
      <c r="H636" s="149">
        <v>1</v>
      </c>
      <c r="I636" s="149">
        <v>0</v>
      </c>
      <c r="J636" s="149">
        <v>0</v>
      </c>
    </row>
    <row r="637" spans="1:10" s="136" customFormat="1" ht="9" customHeight="1" x14ac:dyDescent="0.25">
      <c r="A637" s="140" t="s">
        <v>32</v>
      </c>
      <c r="B637" s="147">
        <v>10</v>
      </c>
      <c r="C637" s="147">
        <v>58</v>
      </c>
      <c r="D637" s="149">
        <v>1</v>
      </c>
      <c r="E637" s="149">
        <v>2</v>
      </c>
      <c r="F637" s="149">
        <v>4</v>
      </c>
      <c r="G637" s="149">
        <v>3</v>
      </c>
      <c r="H637" s="149">
        <v>1</v>
      </c>
      <c r="I637" s="149">
        <v>0</v>
      </c>
      <c r="J637" s="149">
        <v>0</v>
      </c>
    </row>
    <row r="638" spans="1:10" s="136" customFormat="1" ht="9" customHeight="1" x14ac:dyDescent="0.25">
      <c r="A638" s="141" t="s">
        <v>33</v>
      </c>
      <c r="B638" s="150">
        <v>25</v>
      </c>
      <c r="C638" s="150">
        <v>15</v>
      </c>
      <c r="D638" s="151">
        <v>1</v>
      </c>
      <c r="E638" s="151">
        <v>5</v>
      </c>
      <c r="F638" s="151">
        <v>4</v>
      </c>
      <c r="G638" s="151">
        <v>1</v>
      </c>
      <c r="H638" s="151">
        <v>4</v>
      </c>
      <c r="I638" s="151">
        <v>0</v>
      </c>
      <c r="J638" s="151">
        <v>0</v>
      </c>
    </row>
    <row r="639" spans="1:10" s="136" customFormat="1" ht="9" customHeight="1" x14ac:dyDescent="0.25">
      <c r="A639" s="140" t="s">
        <v>34</v>
      </c>
      <c r="B639" s="147">
        <v>11</v>
      </c>
      <c r="C639" s="147">
        <v>18</v>
      </c>
      <c r="D639" s="149">
        <v>0</v>
      </c>
      <c r="E639" s="149">
        <v>3</v>
      </c>
      <c r="F639" s="149">
        <v>4</v>
      </c>
      <c r="G639" s="149">
        <v>9</v>
      </c>
      <c r="H639" s="149">
        <v>0</v>
      </c>
      <c r="I639" s="149">
        <v>1</v>
      </c>
      <c r="J639" s="149">
        <v>0</v>
      </c>
    </row>
    <row r="640" spans="1:10" s="136" customFormat="1" ht="9" customHeight="1" x14ac:dyDescent="0.25">
      <c r="A640" s="140" t="s">
        <v>35</v>
      </c>
      <c r="B640" s="147">
        <v>39</v>
      </c>
      <c r="C640" s="136">
        <v>94</v>
      </c>
      <c r="D640" s="149">
        <v>2</v>
      </c>
      <c r="E640" s="149">
        <v>4</v>
      </c>
      <c r="F640" s="149">
        <v>8</v>
      </c>
      <c r="G640" s="149">
        <v>1</v>
      </c>
      <c r="H640" s="149">
        <v>3</v>
      </c>
      <c r="I640" s="149">
        <v>1</v>
      </c>
      <c r="J640" s="149">
        <v>0</v>
      </c>
    </row>
    <row r="641" spans="1:10" s="136" customFormat="1" ht="9" customHeight="1" x14ac:dyDescent="0.25">
      <c r="A641" s="140" t="s">
        <v>128</v>
      </c>
      <c r="B641" s="147">
        <v>68</v>
      </c>
      <c r="C641" s="147">
        <v>98</v>
      </c>
      <c r="D641" s="149">
        <v>10</v>
      </c>
      <c r="E641" s="149">
        <v>14</v>
      </c>
      <c r="F641" s="149">
        <v>4</v>
      </c>
      <c r="G641" s="149">
        <v>3</v>
      </c>
      <c r="H641" s="149">
        <v>5</v>
      </c>
      <c r="I641" s="149">
        <v>3</v>
      </c>
      <c r="J641" s="149">
        <v>0</v>
      </c>
    </row>
    <row r="642" spans="1:10" s="136" customFormat="1" ht="9" customHeight="1" x14ac:dyDescent="0.25">
      <c r="A642" s="141" t="s">
        <v>129</v>
      </c>
      <c r="B642" s="150">
        <v>19</v>
      </c>
      <c r="C642" s="150">
        <v>38</v>
      </c>
      <c r="D642" s="151">
        <v>0</v>
      </c>
      <c r="E642" s="151">
        <v>4</v>
      </c>
      <c r="F642" s="151">
        <v>5</v>
      </c>
      <c r="G642" s="151">
        <v>1</v>
      </c>
      <c r="H642" s="151">
        <v>1</v>
      </c>
      <c r="I642" s="151">
        <v>0</v>
      </c>
      <c r="J642" s="151">
        <v>0</v>
      </c>
    </row>
    <row r="643" spans="1:10" s="136" customFormat="1" ht="9" customHeight="1" x14ac:dyDescent="0.25">
      <c r="A643" s="140" t="s">
        <v>38</v>
      </c>
      <c r="B643" s="147">
        <v>64</v>
      </c>
      <c r="C643" s="147">
        <v>31</v>
      </c>
      <c r="D643" s="149">
        <v>9</v>
      </c>
      <c r="E643" s="149">
        <v>11</v>
      </c>
      <c r="F643" s="149">
        <v>2</v>
      </c>
      <c r="G643" s="149">
        <v>1</v>
      </c>
      <c r="H643" s="149">
        <v>8</v>
      </c>
      <c r="I643" s="149">
        <v>0</v>
      </c>
      <c r="J643" s="149">
        <v>1</v>
      </c>
    </row>
    <row r="644" spans="1:10" s="136" customFormat="1" ht="9" customHeight="1" x14ac:dyDescent="0.25">
      <c r="A644" s="140" t="s">
        <v>39</v>
      </c>
      <c r="B644" s="147">
        <v>13</v>
      </c>
      <c r="C644" s="147">
        <v>18</v>
      </c>
      <c r="D644" s="149">
        <v>0</v>
      </c>
      <c r="E644" s="149">
        <v>2</v>
      </c>
      <c r="F644" s="149">
        <v>4</v>
      </c>
      <c r="G644" s="149">
        <v>2</v>
      </c>
      <c r="H644" s="149">
        <v>1</v>
      </c>
      <c r="I644" s="149">
        <v>0</v>
      </c>
      <c r="J644" s="149">
        <v>0</v>
      </c>
    </row>
    <row r="645" spans="1:10" s="136" customFormat="1" ht="9" customHeight="1" x14ac:dyDescent="0.25">
      <c r="A645" s="140" t="s">
        <v>40</v>
      </c>
      <c r="B645" s="147">
        <v>96</v>
      </c>
      <c r="C645" s="147">
        <v>88</v>
      </c>
      <c r="D645" s="149">
        <v>6</v>
      </c>
      <c r="E645" s="149">
        <v>9</v>
      </c>
      <c r="F645" s="149">
        <v>7</v>
      </c>
      <c r="G645" s="149">
        <v>0</v>
      </c>
      <c r="H645" s="149">
        <v>4</v>
      </c>
      <c r="I645" s="149">
        <v>1</v>
      </c>
      <c r="J645" s="149">
        <v>0</v>
      </c>
    </row>
    <row r="646" spans="1:10" s="136" customFormat="1" ht="9" customHeight="1" x14ac:dyDescent="0.25">
      <c r="A646" s="141" t="s">
        <v>41</v>
      </c>
      <c r="B646" s="150">
        <v>16</v>
      </c>
      <c r="C646" s="150">
        <v>16</v>
      </c>
      <c r="D646" s="151">
        <v>0</v>
      </c>
      <c r="E646" s="151">
        <v>1</v>
      </c>
      <c r="F646" s="151">
        <v>6</v>
      </c>
      <c r="G646" s="151">
        <v>7</v>
      </c>
      <c r="H646" s="151">
        <v>0</v>
      </c>
      <c r="I646" s="151">
        <v>0</v>
      </c>
      <c r="J646" s="151">
        <v>0</v>
      </c>
    </row>
    <row r="647" spans="1:10" s="136" customFormat="1" ht="9" customHeight="1" x14ac:dyDescent="0.25">
      <c r="A647" s="140" t="s">
        <v>42</v>
      </c>
      <c r="B647" s="147">
        <v>55</v>
      </c>
      <c r="C647" s="147">
        <v>37</v>
      </c>
      <c r="D647" s="149">
        <v>0</v>
      </c>
      <c r="E647" s="149">
        <v>3</v>
      </c>
      <c r="F647" s="149">
        <v>3</v>
      </c>
      <c r="G647" s="149">
        <v>3</v>
      </c>
      <c r="H647" s="149">
        <v>1</v>
      </c>
      <c r="I647" s="149">
        <v>1</v>
      </c>
      <c r="J647" s="149">
        <v>1</v>
      </c>
    </row>
    <row r="648" spans="1:10" s="136" customFormat="1" ht="9" customHeight="1" x14ac:dyDescent="0.25">
      <c r="A648" s="140" t="s">
        <v>43</v>
      </c>
      <c r="B648" s="147">
        <v>10</v>
      </c>
      <c r="C648" s="147">
        <v>29</v>
      </c>
      <c r="D648" s="149">
        <v>1</v>
      </c>
      <c r="E648" s="149">
        <v>3</v>
      </c>
      <c r="F648" s="149">
        <v>2</v>
      </c>
      <c r="G648" s="149">
        <v>0</v>
      </c>
      <c r="H648" s="149">
        <v>1</v>
      </c>
      <c r="I648" s="149">
        <v>1</v>
      </c>
      <c r="J648" s="149">
        <v>0</v>
      </c>
    </row>
    <row r="649" spans="1:10" s="136" customFormat="1" ht="9" customHeight="1" x14ac:dyDescent="0.25">
      <c r="A649" s="140" t="s">
        <v>44</v>
      </c>
      <c r="B649" s="147">
        <v>12</v>
      </c>
      <c r="C649" s="147">
        <v>22</v>
      </c>
      <c r="D649" s="149">
        <v>2</v>
      </c>
      <c r="E649" s="149">
        <v>1</v>
      </c>
      <c r="F649" s="149">
        <v>1</v>
      </c>
      <c r="G649" s="149">
        <v>1</v>
      </c>
      <c r="H649" s="149">
        <v>1</v>
      </c>
      <c r="I649" s="149">
        <v>0</v>
      </c>
      <c r="J649" s="149">
        <v>0</v>
      </c>
    </row>
    <row r="650" spans="1:10" s="136" customFormat="1" ht="9" customHeight="1" x14ac:dyDescent="0.25">
      <c r="A650" s="141" t="s">
        <v>45</v>
      </c>
      <c r="B650" s="150">
        <v>18</v>
      </c>
      <c r="C650" s="150">
        <v>30</v>
      </c>
      <c r="D650" s="151">
        <v>0</v>
      </c>
      <c r="E650" s="151">
        <v>2</v>
      </c>
      <c r="F650" s="151">
        <v>2</v>
      </c>
      <c r="G650" s="151">
        <v>2</v>
      </c>
      <c r="H650" s="151">
        <v>1</v>
      </c>
      <c r="I650" s="151">
        <v>1</v>
      </c>
      <c r="J650" s="151">
        <v>0</v>
      </c>
    </row>
    <row r="651" spans="1:10" s="136" customFormat="1" ht="9" customHeight="1" x14ac:dyDescent="0.25">
      <c r="A651" s="140" t="s">
        <v>46</v>
      </c>
      <c r="B651" s="147">
        <v>81</v>
      </c>
      <c r="C651" s="147">
        <v>49</v>
      </c>
      <c r="D651" s="149">
        <v>5</v>
      </c>
      <c r="E651" s="149">
        <v>8</v>
      </c>
      <c r="F651" s="149">
        <v>6</v>
      </c>
      <c r="G651" s="149">
        <v>4</v>
      </c>
      <c r="H651" s="149">
        <v>6</v>
      </c>
      <c r="I651" s="149">
        <v>0</v>
      </c>
      <c r="J651" s="149">
        <v>0</v>
      </c>
    </row>
    <row r="652" spans="1:10" s="136" customFormat="1" ht="9" customHeight="1" x14ac:dyDescent="0.25">
      <c r="A652" s="140" t="s">
        <v>47</v>
      </c>
      <c r="B652" s="147">
        <v>40</v>
      </c>
      <c r="C652" s="147">
        <v>75</v>
      </c>
      <c r="D652" s="149">
        <v>0</v>
      </c>
      <c r="E652" s="149">
        <v>5</v>
      </c>
      <c r="F652" s="149">
        <v>9</v>
      </c>
      <c r="G652" s="149">
        <v>0</v>
      </c>
      <c r="H652" s="149">
        <v>2</v>
      </c>
      <c r="I652" s="149">
        <v>0</v>
      </c>
      <c r="J652" s="149">
        <v>0</v>
      </c>
    </row>
    <row r="653" spans="1:10" s="136" customFormat="1" ht="9" customHeight="1" x14ac:dyDescent="0.25">
      <c r="A653" s="140" t="s">
        <v>48</v>
      </c>
      <c r="B653" s="147">
        <v>8</v>
      </c>
      <c r="C653" s="147">
        <v>8</v>
      </c>
      <c r="D653" s="149">
        <v>1</v>
      </c>
      <c r="E653" s="149">
        <v>1</v>
      </c>
      <c r="F653" s="149">
        <v>2</v>
      </c>
      <c r="G653" s="149">
        <v>2</v>
      </c>
      <c r="H653" s="149">
        <v>1</v>
      </c>
      <c r="I653" s="149">
        <v>0</v>
      </c>
      <c r="J653" s="149">
        <v>0</v>
      </c>
    </row>
    <row r="654" spans="1:10" s="136" customFormat="1" ht="9" customHeight="1" x14ac:dyDescent="0.25">
      <c r="A654" s="141" t="s">
        <v>49</v>
      </c>
      <c r="B654" s="150">
        <v>14</v>
      </c>
      <c r="C654" s="150">
        <v>73</v>
      </c>
      <c r="D654" s="151">
        <v>0</v>
      </c>
      <c r="E654" s="151">
        <v>5</v>
      </c>
      <c r="F654" s="151">
        <v>4</v>
      </c>
      <c r="G654" s="151">
        <v>2</v>
      </c>
      <c r="H654" s="151">
        <v>2</v>
      </c>
      <c r="I654" s="151">
        <v>1</v>
      </c>
      <c r="J654" s="151">
        <v>0</v>
      </c>
    </row>
    <row r="655" spans="1:10" s="136" customFormat="1" ht="9" customHeight="1" x14ac:dyDescent="0.25">
      <c r="A655" s="140" t="s">
        <v>50</v>
      </c>
      <c r="B655" s="147">
        <v>17</v>
      </c>
      <c r="C655" s="147">
        <v>6</v>
      </c>
      <c r="D655" s="149">
        <v>4</v>
      </c>
      <c r="E655" s="149">
        <v>2</v>
      </c>
      <c r="F655" s="149">
        <v>1</v>
      </c>
      <c r="G655" s="149">
        <v>5</v>
      </c>
      <c r="H655" s="149">
        <v>1</v>
      </c>
      <c r="I655" s="149">
        <v>0</v>
      </c>
      <c r="J655" s="149">
        <v>2</v>
      </c>
    </row>
    <row r="656" spans="1:10" s="136" customFormat="1" ht="9" customHeight="1" x14ac:dyDescent="0.25">
      <c r="A656" s="140" t="s">
        <v>130</v>
      </c>
      <c r="B656" s="147">
        <v>72</v>
      </c>
      <c r="C656" s="147">
        <v>65</v>
      </c>
      <c r="D656" s="149">
        <v>0</v>
      </c>
      <c r="E656" s="149">
        <v>10</v>
      </c>
      <c r="F656" s="149">
        <v>9</v>
      </c>
      <c r="G656" s="149">
        <v>4</v>
      </c>
      <c r="H656" s="149">
        <v>4</v>
      </c>
      <c r="I656" s="149">
        <v>1</v>
      </c>
      <c r="J656" s="149">
        <v>0</v>
      </c>
    </row>
    <row r="657" spans="1:11" s="136" customFormat="1" ht="9" customHeight="1" x14ac:dyDescent="0.25">
      <c r="A657" s="140" t="s">
        <v>52</v>
      </c>
      <c r="B657" s="147">
        <v>20</v>
      </c>
      <c r="C657" s="147">
        <v>33</v>
      </c>
      <c r="D657" s="149">
        <v>0</v>
      </c>
      <c r="E657" s="149">
        <v>1</v>
      </c>
      <c r="F657" s="149">
        <v>2</v>
      </c>
      <c r="G657" s="149">
        <v>2</v>
      </c>
      <c r="H657" s="149">
        <v>1</v>
      </c>
      <c r="I657" s="149">
        <v>1</v>
      </c>
      <c r="J657" s="149">
        <v>0</v>
      </c>
    </row>
    <row r="658" spans="1:11" s="136" customFormat="1" ht="9" customHeight="1" x14ac:dyDescent="0.25">
      <c r="A658" s="141" t="s">
        <v>53</v>
      </c>
      <c r="B658" s="150">
        <v>18</v>
      </c>
      <c r="C658" s="150">
        <v>29</v>
      </c>
      <c r="D658" s="151">
        <v>0</v>
      </c>
      <c r="E658" s="151">
        <v>2</v>
      </c>
      <c r="F658" s="151">
        <v>7</v>
      </c>
      <c r="G658" s="151">
        <v>6</v>
      </c>
      <c r="H658" s="151">
        <v>1</v>
      </c>
      <c r="I658" s="151">
        <v>0</v>
      </c>
      <c r="J658" s="151">
        <v>0</v>
      </c>
    </row>
    <row r="659" spans="1:11" s="159" customFormat="1" ht="9" customHeight="1" x14ac:dyDescent="0.25">
      <c r="A659" s="156"/>
      <c r="B659" s="157"/>
      <c r="C659" s="157"/>
      <c r="D659" s="158"/>
      <c r="E659" s="158"/>
      <c r="F659" s="158"/>
      <c r="G659" s="158"/>
      <c r="H659" s="158"/>
      <c r="I659" s="158"/>
      <c r="J659" s="158"/>
    </row>
    <row r="660" spans="1:11" s="159" customFormat="1" ht="8.1" customHeight="1" x14ac:dyDescent="0.25">
      <c r="A660" s="135">
        <v>2015</v>
      </c>
      <c r="B660" s="140"/>
      <c r="C660" s="147"/>
      <c r="D660" s="147"/>
      <c r="E660" s="140"/>
      <c r="F660" s="140"/>
      <c r="G660" s="140"/>
      <c r="H660" s="140"/>
      <c r="I660" s="140"/>
      <c r="J660" s="140"/>
      <c r="K660" s="136"/>
    </row>
    <row r="661" spans="1:11" s="159" customFormat="1" ht="8.1" customHeight="1" x14ac:dyDescent="0.25">
      <c r="A661" s="138" t="s">
        <v>13</v>
      </c>
      <c r="B661" s="148">
        <f t="shared" ref="B661:J661" si="17">SUM(B663:B694)</f>
        <v>1132</v>
      </c>
      <c r="C661" s="148">
        <f t="shared" si="17"/>
        <v>1386</v>
      </c>
      <c r="D661" s="148">
        <f t="shared" si="17"/>
        <v>71</v>
      </c>
      <c r="E661" s="148">
        <f t="shared" si="17"/>
        <v>151</v>
      </c>
      <c r="F661" s="148">
        <f t="shared" si="17"/>
        <v>68</v>
      </c>
      <c r="G661" s="148">
        <f t="shared" si="17"/>
        <v>69</v>
      </c>
      <c r="H661" s="148">
        <f t="shared" si="17"/>
        <v>72</v>
      </c>
      <c r="I661" s="148">
        <f t="shared" si="17"/>
        <v>17</v>
      </c>
      <c r="J661" s="148">
        <f t="shared" si="17"/>
        <v>4</v>
      </c>
      <c r="K661" s="136"/>
    </row>
    <row r="662" spans="1:11" s="159" customFormat="1" ht="3" customHeight="1" x14ac:dyDescent="0.25">
      <c r="A662" s="138"/>
      <c r="B662" s="148"/>
      <c r="C662" s="148"/>
      <c r="D662" s="148"/>
      <c r="E662" s="148"/>
      <c r="F662" s="148"/>
      <c r="G662" s="148"/>
      <c r="H662" s="148"/>
      <c r="I662" s="148"/>
      <c r="J662" s="148"/>
      <c r="K662" s="136"/>
    </row>
    <row r="663" spans="1:11" s="159" customFormat="1" ht="8.1" customHeight="1" x14ac:dyDescent="0.25">
      <c r="A663" s="140" t="s">
        <v>23</v>
      </c>
      <c r="B663" s="147">
        <v>13</v>
      </c>
      <c r="C663" s="147">
        <v>26</v>
      </c>
      <c r="D663" s="149">
        <v>0</v>
      </c>
      <c r="E663" s="149">
        <v>3</v>
      </c>
      <c r="F663" s="149">
        <v>0</v>
      </c>
      <c r="G663" s="149">
        <v>0</v>
      </c>
      <c r="H663" s="149">
        <v>1</v>
      </c>
      <c r="I663" s="149">
        <v>0</v>
      </c>
      <c r="J663" s="149">
        <v>0</v>
      </c>
      <c r="K663" s="136"/>
    </row>
    <row r="664" spans="1:11" s="159" customFormat="1" ht="8.1" customHeight="1" x14ac:dyDescent="0.25">
      <c r="A664" s="140" t="s">
        <v>24</v>
      </c>
      <c r="B664" s="147">
        <v>30</v>
      </c>
      <c r="C664" s="147">
        <v>82</v>
      </c>
      <c r="D664" s="149">
        <v>4</v>
      </c>
      <c r="E664" s="149">
        <v>3</v>
      </c>
      <c r="F664" s="149">
        <v>3</v>
      </c>
      <c r="G664" s="149">
        <v>0</v>
      </c>
      <c r="H664" s="149">
        <v>3</v>
      </c>
      <c r="I664" s="149">
        <v>0</v>
      </c>
      <c r="J664" s="149">
        <v>0</v>
      </c>
      <c r="K664" s="136"/>
    </row>
    <row r="665" spans="1:11" s="159" customFormat="1" ht="8.1" customHeight="1" x14ac:dyDescent="0.25">
      <c r="A665" s="140" t="s">
        <v>25</v>
      </c>
      <c r="B665" s="147">
        <v>27</v>
      </c>
      <c r="C665" s="147">
        <v>13</v>
      </c>
      <c r="D665" s="149">
        <v>0</v>
      </c>
      <c r="E665" s="149">
        <v>1</v>
      </c>
      <c r="F665" s="149">
        <v>1</v>
      </c>
      <c r="G665" s="149">
        <v>0</v>
      </c>
      <c r="H665" s="149">
        <v>1</v>
      </c>
      <c r="I665" s="149">
        <v>0</v>
      </c>
      <c r="J665" s="149">
        <v>0</v>
      </c>
      <c r="K665" s="136"/>
    </row>
    <row r="666" spans="1:11" s="159" customFormat="1" ht="8.1" customHeight="1" x14ac:dyDescent="0.25">
      <c r="A666" s="141" t="s">
        <v>26</v>
      </c>
      <c r="B666" s="150">
        <v>16</v>
      </c>
      <c r="C666" s="150">
        <v>8</v>
      </c>
      <c r="D666" s="151">
        <v>0</v>
      </c>
      <c r="E666" s="151">
        <v>3</v>
      </c>
      <c r="F666" s="151">
        <v>1</v>
      </c>
      <c r="G666" s="151">
        <v>0</v>
      </c>
      <c r="H666" s="151">
        <v>1</v>
      </c>
      <c r="I666" s="151">
        <v>0</v>
      </c>
      <c r="J666" s="151">
        <v>0</v>
      </c>
      <c r="K666" s="136"/>
    </row>
    <row r="667" spans="1:11" s="159" customFormat="1" ht="8.1" customHeight="1" x14ac:dyDescent="0.25">
      <c r="A667" s="140" t="s">
        <v>126</v>
      </c>
      <c r="B667" s="147">
        <v>40</v>
      </c>
      <c r="C667" s="147">
        <v>59</v>
      </c>
      <c r="D667" s="149">
        <v>11</v>
      </c>
      <c r="E667" s="149">
        <v>4</v>
      </c>
      <c r="F667" s="149">
        <v>2</v>
      </c>
      <c r="G667" s="149">
        <v>0</v>
      </c>
      <c r="H667" s="149">
        <v>3</v>
      </c>
      <c r="I667" s="149">
        <v>1</v>
      </c>
      <c r="J667" s="149">
        <v>0</v>
      </c>
      <c r="K667" s="136"/>
    </row>
    <row r="668" spans="1:11" s="159" customFormat="1" ht="8.1" customHeight="1" x14ac:dyDescent="0.25">
      <c r="A668" s="140" t="s">
        <v>28</v>
      </c>
      <c r="B668" s="147">
        <v>16</v>
      </c>
      <c r="C668" s="147">
        <v>21</v>
      </c>
      <c r="D668" s="149">
        <v>1</v>
      </c>
      <c r="E668" s="149">
        <v>3</v>
      </c>
      <c r="F668" s="149">
        <v>1</v>
      </c>
      <c r="G668" s="149">
        <v>0</v>
      </c>
      <c r="H668" s="149">
        <v>1</v>
      </c>
      <c r="I668" s="149">
        <v>0</v>
      </c>
      <c r="J668" s="149">
        <v>0</v>
      </c>
      <c r="K668" s="136"/>
    </row>
    <row r="669" spans="1:11" s="159" customFormat="1" ht="8.1" customHeight="1" x14ac:dyDescent="0.25">
      <c r="A669" s="140" t="s">
        <v>29</v>
      </c>
      <c r="B669" s="147">
        <v>5</v>
      </c>
      <c r="C669" s="147">
        <v>14</v>
      </c>
      <c r="D669" s="149">
        <v>0</v>
      </c>
      <c r="E669" s="149">
        <v>4</v>
      </c>
      <c r="F669" s="149">
        <v>2</v>
      </c>
      <c r="G669" s="149">
        <v>2</v>
      </c>
      <c r="H669" s="149">
        <v>0</v>
      </c>
      <c r="I669" s="149">
        <v>1</v>
      </c>
      <c r="J669" s="149">
        <v>0</v>
      </c>
      <c r="K669" s="136"/>
    </row>
    <row r="670" spans="1:11" s="159" customFormat="1" ht="8.1" customHeight="1" x14ac:dyDescent="0.25">
      <c r="A670" s="141" t="s">
        <v>30</v>
      </c>
      <c r="B670" s="150">
        <v>39</v>
      </c>
      <c r="C670" s="150">
        <v>87</v>
      </c>
      <c r="D670" s="151">
        <v>6</v>
      </c>
      <c r="E670" s="151">
        <v>5</v>
      </c>
      <c r="F670" s="151">
        <v>3</v>
      </c>
      <c r="G670" s="151">
        <v>3</v>
      </c>
      <c r="H670" s="151">
        <v>1</v>
      </c>
      <c r="I670" s="151">
        <v>2</v>
      </c>
      <c r="J670" s="151">
        <v>0</v>
      </c>
      <c r="K670" s="136"/>
    </row>
    <row r="671" spans="1:11" s="159" customFormat="1" ht="8.1" customHeight="1" x14ac:dyDescent="0.25">
      <c r="A671" s="140" t="s">
        <v>127</v>
      </c>
      <c r="B671" s="147">
        <v>188</v>
      </c>
      <c r="C671" s="147">
        <v>136</v>
      </c>
      <c r="D671" s="149">
        <v>5</v>
      </c>
      <c r="E671" s="149">
        <v>24</v>
      </c>
      <c r="F671" s="149">
        <v>4</v>
      </c>
      <c r="G671" s="149">
        <v>3</v>
      </c>
      <c r="H671" s="149">
        <v>11</v>
      </c>
      <c r="I671" s="149">
        <v>1</v>
      </c>
      <c r="J671" s="149">
        <v>0</v>
      </c>
      <c r="K671" s="136"/>
    </row>
    <row r="672" spans="1:11" s="159" customFormat="1" ht="8.1" customHeight="1" x14ac:dyDescent="0.25">
      <c r="A672" s="140" t="s">
        <v>31</v>
      </c>
      <c r="B672" s="147">
        <v>29</v>
      </c>
      <c r="C672" s="147">
        <v>16</v>
      </c>
      <c r="D672" s="149">
        <v>0</v>
      </c>
      <c r="E672" s="149">
        <v>2</v>
      </c>
      <c r="F672" s="149">
        <v>1</v>
      </c>
      <c r="G672" s="149">
        <v>2</v>
      </c>
      <c r="H672" s="149">
        <v>1</v>
      </c>
      <c r="I672" s="149">
        <v>0</v>
      </c>
      <c r="J672" s="149">
        <v>0</v>
      </c>
      <c r="K672" s="136"/>
    </row>
    <row r="673" spans="1:11" s="159" customFormat="1" ht="8.1" customHeight="1" x14ac:dyDescent="0.25">
      <c r="A673" s="140" t="s">
        <v>32</v>
      </c>
      <c r="B673" s="147">
        <v>10</v>
      </c>
      <c r="C673" s="147">
        <v>58</v>
      </c>
      <c r="D673" s="149">
        <v>1</v>
      </c>
      <c r="E673" s="149">
        <v>2</v>
      </c>
      <c r="F673" s="149">
        <v>3</v>
      </c>
      <c r="G673" s="149">
        <v>3</v>
      </c>
      <c r="H673" s="149">
        <v>1</v>
      </c>
      <c r="I673" s="149">
        <v>0</v>
      </c>
      <c r="J673" s="149">
        <v>0</v>
      </c>
      <c r="K673" s="136"/>
    </row>
    <row r="674" spans="1:11" s="159" customFormat="1" ht="8.1" customHeight="1" x14ac:dyDescent="0.25">
      <c r="A674" s="141" t="s">
        <v>33</v>
      </c>
      <c r="B674" s="150">
        <v>26</v>
      </c>
      <c r="C674" s="150">
        <v>15</v>
      </c>
      <c r="D674" s="151">
        <v>1</v>
      </c>
      <c r="E674" s="151">
        <v>5</v>
      </c>
      <c r="F674" s="151">
        <v>2</v>
      </c>
      <c r="G674" s="151">
        <v>1</v>
      </c>
      <c r="H674" s="151">
        <v>4</v>
      </c>
      <c r="I674" s="151">
        <v>0</v>
      </c>
      <c r="J674" s="151">
        <v>0</v>
      </c>
      <c r="K674" s="136"/>
    </row>
    <row r="675" spans="1:11" s="159" customFormat="1" ht="8.1" customHeight="1" x14ac:dyDescent="0.25">
      <c r="A675" s="140" t="s">
        <v>34</v>
      </c>
      <c r="B675" s="147">
        <v>11</v>
      </c>
      <c r="C675" s="147">
        <v>18</v>
      </c>
      <c r="D675" s="149">
        <v>0</v>
      </c>
      <c r="E675" s="149">
        <v>3</v>
      </c>
      <c r="F675" s="149">
        <v>4</v>
      </c>
      <c r="G675" s="149">
        <v>9</v>
      </c>
      <c r="H675" s="149">
        <v>0</v>
      </c>
      <c r="I675" s="149">
        <v>1</v>
      </c>
      <c r="J675" s="149">
        <v>0</v>
      </c>
      <c r="K675" s="136"/>
    </row>
    <row r="676" spans="1:11" s="159" customFormat="1" ht="8.1" customHeight="1" x14ac:dyDescent="0.25">
      <c r="A676" s="140" t="s">
        <v>35</v>
      </c>
      <c r="B676" s="147">
        <v>43</v>
      </c>
      <c r="C676" s="136">
        <v>93</v>
      </c>
      <c r="D676" s="149">
        <v>3</v>
      </c>
      <c r="E676" s="149">
        <v>4</v>
      </c>
      <c r="F676" s="149">
        <v>3</v>
      </c>
      <c r="G676" s="149">
        <v>1</v>
      </c>
      <c r="H676" s="149">
        <v>3</v>
      </c>
      <c r="I676" s="149">
        <v>1</v>
      </c>
      <c r="J676" s="149">
        <v>0</v>
      </c>
      <c r="K676" s="136"/>
    </row>
    <row r="677" spans="1:11" s="159" customFormat="1" ht="8.1" customHeight="1" x14ac:dyDescent="0.25">
      <c r="A677" s="140" t="s">
        <v>128</v>
      </c>
      <c r="B677" s="147">
        <v>79</v>
      </c>
      <c r="C677" s="147">
        <v>97</v>
      </c>
      <c r="D677" s="149">
        <v>9</v>
      </c>
      <c r="E677" s="149">
        <v>14</v>
      </c>
      <c r="F677" s="149">
        <v>2</v>
      </c>
      <c r="G677" s="149">
        <v>3</v>
      </c>
      <c r="H677" s="149">
        <v>5</v>
      </c>
      <c r="I677" s="149">
        <v>3</v>
      </c>
      <c r="J677" s="149">
        <v>0</v>
      </c>
      <c r="K677" s="136"/>
    </row>
    <row r="678" spans="1:11" s="159" customFormat="1" ht="8.1" customHeight="1" x14ac:dyDescent="0.25">
      <c r="A678" s="141" t="s">
        <v>129</v>
      </c>
      <c r="B678" s="150">
        <v>19</v>
      </c>
      <c r="C678" s="150">
        <v>38</v>
      </c>
      <c r="D678" s="151">
        <v>0</v>
      </c>
      <c r="E678" s="151">
        <v>4</v>
      </c>
      <c r="F678" s="151">
        <v>2</v>
      </c>
      <c r="G678" s="151">
        <v>1</v>
      </c>
      <c r="H678" s="151">
        <v>1</v>
      </c>
      <c r="I678" s="151">
        <v>0</v>
      </c>
      <c r="J678" s="151">
        <v>0</v>
      </c>
      <c r="K678" s="136"/>
    </row>
    <row r="679" spans="1:11" s="159" customFormat="1" ht="8.1" customHeight="1" x14ac:dyDescent="0.25">
      <c r="A679" s="140" t="s">
        <v>38</v>
      </c>
      <c r="B679" s="147">
        <v>56</v>
      </c>
      <c r="C679" s="147">
        <v>31</v>
      </c>
      <c r="D679" s="149">
        <v>10</v>
      </c>
      <c r="E679" s="149">
        <v>11</v>
      </c>
      <c r="F679" s="149">
        <v>1</v>
      </c>
      <c r="G679" s="149">
        <v>1</v>
      </c>
      <c r="H679" s="149">
        <v>8</v>
      </c>
      <c r="I679" s="149">
        <v>0</v>
      </c>
      <c r="J679" s="149">
        <v>1</v>
      </c>
      <c r="K679" s="136"/>
    </row>
    <row r="680" spans="1:11" s="159" customFormat="1" ht="8.1" customHeight="1" x14ac:dyDescent="0.25">
      <c r="A680" s="140" t="s">
        <v>39</v>
      </c>
      <c r="B680" s="147">
        <v>9</v>
      </c>
      <c r="C680" s="147">
        <v>18</v>
      </c>
      <c r="D680" s="149">
        <v>0</v>
      </c>
      <c r="E680" s="149">
        <v>2</v>
      </c>
      <c r="F680" s="149">
        <v>1</v>
      </c>
      <c r="G680" s="149">
        <v>2</v>
      </c>
      <c r="H680" s="149">
        <v>1</v>
      </c>
      <c r="I680" s="149">
        <v>0</v>
      </c>
      <c r="J680" s="149">
        <v>0</v>
      </c>
      <c r="K680" s="136"/>
    </row>
    <row r="681" spans="1:11" s="159" customFormat="1" ht="8.1" customHeight="1" x14ac:dyDescent="0.25">
      <c r="A681" s="140" t="s">
        <v>40</v>
      </c>
      <c r="B681" s="147">
        <v>97</v>
      </c>
      <c r="C681" s="147">
        <v>87</v>
      </c>
      <c r="D681" s="149">
        <v>5</v>
      </c>
      <c r="E681" s="149">
        <v>9</v>
      </c>
      <c r="F681" s="149">
        <v>2</v>
      </c>
      <c r="G681" s="149">
        <v>0</v>
      </c>
      <c r="H681" s="149">
        <v>4</v>
      </c>
      <c r="I681" s="149">
        <v>1</v>
      </c>
      <c r="J681" s="149">
        <v>0</v>
      </c>
      <c r="K681" s="136"/>
    </row>
    <row r="682" spans="1:11" s="159" customFormat="1" ht="8.1" customHeight="1" x14ac:dyDescent="0.25">
      <c r="A682" s="141" t="s">
        <v>41</v>
      </c>
      <c r="B682" s="150">
        <v>18</v>
      </c>
      <c r="C682" s="150">
        <v>15</v>
      </c>
      <c r="D682" s="151">
        <v>0</v>
      </c>
      <c r="E682" s="151">
        <v>1</v>
      </c>
      <c r="F682" s="151">
        <v>6</v>
      </c>
      <c r="G682" s="151">
        <v>7</v>
      </c>
      <c r="H682" s="151">
        <v>0</v>
      </c>
      <c r="I682" s="151">
        <v>0</v>
      </c>
      <c r="J682" s="151">
        <v>0</v>
      </c>
      <c r="K682" s="136"/>
    </row>
    <row r="683" spans="1:11" s="159" customFormat="1" ht="8.1" customHeight="1" x14ac:dyDescent="0.25">
      <c r="A683" s="140" t="s">
        <v>42</v>
      </c>
      <c r="B683" s="147">
        <v>54</v>
      </c>
      <c r="C683" s="147">
        <v>37</v>
      </c>
      <c r="D683" s="149">
        <v>1</v>
      </c>
      <c r="E683" s="149">
        <v>4</v>
      </c>
      <c r="F683" s="149">
        <v>1</v>
      </c>
      <c r="G683" s="149">
        <v>3</v>
      </c>
      <c r="H683" s="149">
        <v>1</v>
      </c>
      <c r="I683" s="149">
        <v>1</v>
      </c>
      <c r="J683" s="149">
        <v>1</v>
      </c>
      <c r="K683" s="136"/>
    </row>
    <row r="684" spans="1:11" s="159" customFormat="1" ht="8.1" customHeight="1" x14ac:dyDescent="0.25">
      <c r="A684" s="140" t="s">
        <v>43</v>
      </c>
      <c r="B684" s="147">
        <v>11</v>
      </c>
      <c r="C684" s="147">
        <v>29</v>
      </c>
      <c r="D684" s="149">
        <v>1</v>
      </c>
      <c r="E684" s="149">
        <v>3</v>
      </c>
      <c r="F684" s="149">
        <v>1</v>
      </c>
      <c r="G684" s="149">
        <v>0</v>
      </c>
      <c r="H684" s="149">
        <v>1</v>
      </c>
      <c r="I684" s="149">
        <v>1</v>
      </c>
      <c r="J684" s="149">
        <v>0</v>
      </c>
      <c r="K684" s="136"/>
    </row>
    <row r="685" spans="1:11" s="159" customFormat="1" ht="8.1" customHeight="1" x14ac:dyDescent="0.25">
      <c r="A685" s="140" t="s">
        <v>44</v>
      </c>
      <c r="B685" s="147">
        <v>14</v>
      </c>
      <c r="C685" s="147">
        <v>21</v>
      </c>
      <c r="D685" s="149">
        <v>2</v>
      </c>
      <c r="E685" s="149">
        <v>1</v>
      </c>
      <c r="F685" s="149">
        <v>1</v>
      </c>
      <c r="G685" s="149">
        <v>1</v>
      </c>
      <c r="H685" s="149">
        <v>1</v>
      </c>
      <c r="I685" s="149">
        <v>0</v>
      </c>
      <c r="J685" s="149">
        <v>0</v>
      </c>
      <c r="K685" s="136"/>
    </row>
    <row r="686" spans="1:11" s="159" customFormat="1" ht="8.1" customHeight="1" x14ac:dyDescent="0.25">
      <c r="A686" s="141" t="s">
        <v>45</v>
      </c>
      <c r="B686" s="150">
        <v>19</v>
      </c>
      <c r="C686" s="150">
        <v>30</v>
      </c>
      <c r="D686" s="151">
        <v>0</v>
      </c>
      <c r="E686" s="151">
        <v>2</v>
      </c>
      <c r="F686" s="151">
        <v>1</v>
      </c>
      <c r="G686" s="151">
        <v>2</v>
      </c>
      <c r="H686" s="151">
        <v>1</v>
      </c>
      <c r="I686" s="151">
        <v>1</v>
      </c>
      <c r="J686" s="151">
        <v>0</v>
      </c>
      <c r="K686" s="136"/>
    </row>
    <row r="687" spans="1:11" s="159" customFormat="1" ht="8.1" customHeight="1" x14ac:dyDescent="0.25">
      <c r="A687" s="140" t="s">
        <v>46</v>
      </c>
      <c r="B687" s="147">
        <v>75</v>
      </c>
      <c r="C687" s="147">
        <v>49</v>
      </c>
      <c r="D687" s="149">
        <v>6</v>
      </c>
      <c r="E687" s="149">
        <v>8</v>
      </c>
      <c r="F687" s="149">
        <v>4</v>
      </c>
      <c r="G687" s="149">
        <v>4</v>
      </c>
      <c r="H687" s="149">
        <v>6</v>
      </c>
      <c r="I687" s="149">
        <v>0</v>
      </c>
      <c r="J687" s="149">
        <v>0</v>
      </c>
      <c r="K687" s="136"/>
    </row>
    <row r="688" spans="1:11" s="159" customFormat="1" ht="8.1" customHeight="1" x14ac:dyDescent="0.25">
      <c r="A688" s="140" t="s">
        <v>47</v>
      </c>
      <c r="B688" s="147">
        <v>42</v>
      </c>
      <c r="C688" s="147">
        <v>75</v>
      </c>
      <c r="D688" s="149">
        <v>0</v>
      </c>
      <c r="E688" s="149">
        <v>5</v>
      </c>
      <c r="F688" s="149">
        <v>2</v>
      </c>
      <c r="G688" s="149">
        <v>0</v>
      </c>
      <c r="H688" s="149">
        <v>2</v>
      </c>
      <c r="I688" s="149">
        <v>0</v>
      </c>
      <c r="J688" s="149">
        <v>0</v>
      </c>
      <c r="K688" s="136"/>
    </row>
    <row r="689" spans="1:11" s="159" customFormat="1" ht="8.1" customHeight="1" x14ac:dyDescent="0.25">
      <c r="A689" s="140" t="s">
        <v>48</v>
      </c>
      <c r="B689" s="147">
        <v>7</v>
      </c>
      <c r="C689" s="147">
        <v>7</v>
      </c>
      <c r="D689" s="149">
        <v>1</v>
      </c>
      <c r="E689" s="149">
        <v>1</v>
      </c>
      <c r="F689" s="149">
        <v>1</v>
      </c>
      <c r="G689" s="149">
        <v>2</v>
      </c>
      <c r="H689" s="149">
        <v>1</v>
      </c>
      <c r="I689" s="149">
        <v>0</v>
      </c>
      <c r="J689" s="149">
        <v>0</v>
      </c>
      <c r="K689" s="136"/>
    </row>
    <row r="690" spans="1:11" s="159" customFormat="1" ht="8.1" customHeight="1" x14ac:dyDescent="0.25">
      <c r="A690" s="141" t="s">
        <v>49</v>
      </c>
      <c r="B690" s="150">
        <v>17</v>
      </c>
      <c r="C690" s="150">
        <v>73</v>
      </c>
      <c r="D690" s="151">
        <v>0</v>
      </c>
      <c r="E690" s="151">
        <v>5</v>
      </c>
      <c r="F690" s="151">
        <v>1</v>
      </c>
      <c r="G690" s="151">
        <v>2</v>
      </c>
      <c r="H690" s="151">
        <v>2</v>
      </c>
      <c r="I690" s="151">
        <v>1</v>
      </c>
      <c r="J690" s="151">
        <v>0</v>
      </c>
      <c r="K690" s="136"/>
    </row>
    <row r="691" spans="1:11" s="159" customFormat="1" ht="8.1" customHeight="1" x14ac:dyDescent="0.25">
      <c r="A691" s="140" t="s">
        <v>50</v>
      </c>
      <c r="B691" s="147">
        <v>19</v>
      </c>
      <c r="C691" s="147">
        <v>6</v>
      </c>
      <c r="D691" s="149">
        <v>3</v>
      </c>
      <c r="E691" s="149">
        <v>2</v>
      </c>
      <c r="F691" s="149">
        <v>1</v>
      </c>
      <c r="G691" s="149">
        <v>5</v>
      </c>
      <c r="H691" s="149">
        <v>1</v>
      </c>
      <c r="I691" s="149">
        <v>0</v>
      </c>
      <c r="J691" s="149">
        <v>2</v>
      </c>
      <c r="K691" s="136"/>
    </row>
    <row r="692" spans="1:11" s="159" customFormat="1" ht="8.1" customHeight="1" x14ac:dyDescent="0.25">
      <c r="A692" s="140" t="s">
        <v>130</v>
      </c>
      <c r="B692" s="147">
        <v>67</v>
      </c>
      <c r="C692" s="147">
        <v>65</v>
      </c>
      <c r="D692" s="149">
        <v>1</v>
      </c>
      <c r="E692" s="149">
        <v>10</v>
      </c>
      <c r="F692" s="149">
        <v>6</v>
      </c>
      <c r="G692" s="149">
        <v>4</v>
      </c>
      <c r="H692" s="149">
        <v>4</v>
      </c>
      <c r="I692" s="149">
        <v>1</v>
      </c>
      <c r="J692" s="149">
        <v>0</v>
      </c>
      <c r="K692" s="136"/>
    </row>
    <row r="693" spans="1:11" s="159" customFormat="1" ht="8.1" customHeight="1" x14ac:dyDescent="0.25">
      <c r="A693" s="140" t="s">
        <v>52</v>
      </c>
      <c r="B693" s="147">
        <v>18</v>
      </c>
      <c r="C693" s="147">
        <v>33</v>
      </c>
      <c r="D693" s="149">
        <v>0</v>
      </c>
      <c r="E693" s="149">
        <v>1</v>
      </c>
      <c r="F693" s="149">
        <v>1</v>
      </c>
      <c r="G693" s="149">
        <v>2</v>
      </c>
      <c r="H693" s="149">
        <v>1</v>
      </c>
      <c r="I693" s="149">
        <v>1</v>
      </c>
      <c r="J693" s="149">
        <v>0</v>
      </c>
      <c r="K693" s="136"/>
    </row>
    <row r="694" spans="1:11" s="159" customFormat="1" ht="8.1" customHeight="1" x14ac:dyDescent="0.25">
      <c r="A694" s="141" t="s">
        <v>53</v>
      </c>
      <c r="B694" s="150">
        <v>18</v>
      </c>
      <c r="C694" s="150">
        <v>29</v>
      </c>
      <c r="D694" s="151">
        <v>0</v>
      </c>
      <c r="E694" s="151">
        <v>2</v>
      </c>
      <c r="F694" s="151">
        <v>4</v>
      </c>
      <c r="G694" s="151">
        <v>6</v>
      </c>
      <c r="H694" s="151">
        <v>1</v>
      </c>
      <c r="I694" s="151">
        <v>0</v>
      </c>
      <c r="J694" s="151">
        <v>0</v>
      </c>
      <c r="K694" s="136"/>
    </row>
    <row r="695" spans="1:11" s="159" customFormat="1" ht="9" customHeight="1" x14ac:dyDescent="0.25">
      <c r="A695" s="156"/>
      <c r="B695" s="157"/>
      <c r="C695" s="157"/>
      <c r="D695" s="158"/>
      <c r="E695" s="158"/>
      <c r="F695" s="158"/>
      <c r="G695" s="158"/>
      <c r="H695" s="158"/>
      <c r="I695" s="158"/>
      <c r="J695" s="158"/>
    </row>
    <row r="696" spans="1:11" s="159" customFormat="1" ht="9" customHeight="1" x14ac:dyDescent="0.25">
      <c r="A696" s="135">
        <v>2016</v>
      </c>
      <c r="B696" s="140"/>
      <c r="C696" s="147"/>
      <c r="D696" s="147"/>
      <c r="E696" s="140"/>
      <c r="F696" s="140"/>
      <c r="G696" s="140"/>
      <c r="H696" s="140"/>
      <c r="I696" s="140"/>
      <c r="J696" s="140"/>
      <c r="K696" s="136"/>
    </row>
    <row r="697" spans="1:11" s="159" customFormat="1" ht="9" customHeight="1" x14ac:dyDescent="0.25">
      <c r="A697" s="138" t="s">
        <v>13</v>
      </c>
      <c r="B697" s="148">
        <f t="shared" ref="B697:J697" si="18">SUM(B699:B730)</f>
        <v>1075</v>
      </c>
      <c r="C697" s="148">
        <f t="shared" si="18"/>
        <v>1375</v>
      </c>
      <c r="D697" s="148">
        <f t="shared" si="18"/>
        <v>74</v>
      </c>
      <c r="E697" s="148">
        <f t="shared" si="18"/>
        <v>152</v>
      </c>
      <c r="F697" s="148">
        <f t="shared" si="18"/>
        <v>68</v>
      </c>
      <c r="G697" s="148">
        <f t="shared" si="18"/>
        <v>69</v>
      </c>
      <c r="H697" s="148">
        <f t="shared" si="18"/>
        <v>72</v>
      </c>
      <c r="I697" s="148">
        <f t="shared" si="18"/>
        <v>17</v>
      </c>
      <c r="J697" s="148">
        <f t="shared" si="18"/>
        <v>4</v>
      </c>
      <c r="K697" s="136"/>
    </row>
    <row r="698" spans="1:11" s="159" customFormat="1" ht="3" customHeight="1" x14ac:dyDescent="0.25">
      <c r="A698" s="138"/>
      <c r="B698" s="148"/>
      <c r="C698" s="148"/>
      <c r="D698" s="148"/>
      <c r="E698" s="148"/>
      <c r="F698" s="148"/>
      <c r="G698" s="148"/>
      <c r="H698" s="148"/>
      <c r="I698" s="148"/>
      <c r="J698" s="148"/>
      <c r="K698" s="136"/>
    </row>
    <row r="699" spans="1:11" s="159" customFormat="1" ht="9" customHeight="1" x14ac:dyDescent="0.25">
      <c r="A699" s="140" t="s">
        <v>23</v>
      </c>
      <c r="B699" s="147">
        <v>12</v>
      </c>
      <c r="C699" s="147">
        <v>25</v>
      </c>
      <c r="D699" s="149">
        <v>0</v>
      </c>
      <c r="E699" s="149">
        <v>3</v>
      </c>
      <c r="F699" s="149">
        <v>0</v>
      </c>
      <c r="G699" s="149">
        <v>0</v>
      </c>
      <c r="H699" s="149">
        <v>1</v>
      </c>
      <c r="I699" s="149">
        <v>0</v>
      </c>
      <c r="J699" s="149">
        <v>0</v>
      </c>
      <c r="K699" s="136"/>
    </row>
    <row r="700" spans="1:11" s="159" customFormat="1" ht="9" customHeight="1" x14ac:dyDescent="0.25">
      <c r="A700" s="140" t="s">
        <v>24</v>
      </c>
      <c r="B700" s="147">
        <v>30</v>
      </c>
      <c r="C700" s="147">
        <v>81</v>
      </c>
      <c r="D700" s="149">
        <v>6</v>
      </c>
      <c r="E700" s="149">
        <v>3</v>
      </c>
      <c r="F700" s="149">
        <v>3</v>
      </c>
      <c r="G700" s="149">
        <v>0</v>
      </c>
      <c r="H700" s="149">
        <v>3</v>
      </c>
      <c r="I700" s="149">
        <v>0</v>
      </c>
      <c r="J700" s="149">
        <v>0</v>
      </c>
      <c r="K700" s="136"/>
    </row>
    <row r="701" spans="1:11" s="159" customFormat="1" ht="9" customHeight="1" x14ac:dyDescent="0.25">
      <c r="A701" s="140" t="s">
        <v>25</v>
      </c>
      <c r="B701" s="147">
        <v>27</v>
      </c>
      <c r="C701" s="147">
        <v>13</v>
      </c>
      <c r="D701" s="149">
        <v>0</v>
      </c>
      <c r="E701" s="149">
        <v>1</v>
      </c>
      <c r="F701" s="149">
        <v>1</v>
      </c>
      <c r="G701" s="149">
        <v>0</v>
      </c>
      <c r="H701" s="149">
        <v>1</v>
      </c>
      <c r="I701" s="149">
        <v>0</v>
      </c>
      <c r="J701" s="149">
        <v>0</v>
      </c>
      <c r="K701" s="136"/>
    </row>
    <row r="702" spans="1:11" s="159" customFormat="1" ht="9" customHeight="1" x14ac:dyDescent="0.25">
      <c r="A702" s="141" t="s">
        <v>26</v>
      </c>
      <c r="B702" s="150">
        <v>16</v>
      </c>
      <c r="C702" s="150">
        <v>8</v>
      </c>
      <c r="D702" s="151">
        <v>0</v>
      </c>
      <c r="E702" s="151">
        <v>3</v>
      </c>
      <c r="F702" s="151">
        <v>1</v>
      </c>
      <c r="G702" s="151">
        <v>0</v>
      </c>
      <c r="H702" s="151">
        <v>1</v>
      </c>
      <c r="I702" s="151">
        <v>0</v>
      </c>
      <c r="J702" s="151">
        <v>0</v>
      </c>
      <c r="K702" s="136"/>
    </row>
    <row r="703" spans="1:11" s="159" customFormat="1" ht="9" customHeight="1" x14ac:dyDescent="0.25">
      <c r="A703" s="140" t="s">
        <v>126</v>
      </c>
      <c r="B703" s="147">
        <v>38</v>
      </c>
      <c r="C703" s="147">
        <v>59</v>
      </c>
      <c r="D703" s="149">
        <v>11</v>
      </c>
      <c r="E703" s="149">
        <v>5</v>
      </c>
      <c r="F703" s="149">
        <v>2</v>
      </c>
      <c r="G703" s="149">
        <v>0</v>
      </c>
      <c r="H703" s="149">
        <v>3</v>
      </c>
      <c r="I703" s="149">
        <v>1</v>
      </c>
      <c r="J703" s="149">
        <v>0</v>
      </c>
      <c r="K703" s="136"/>
    </row>
    <row r="704" spans="1:11" s="159" customFormat="1" ht="9" customHeight="1" x14ac:dyDescent="0.25">
      <c r="A704" s="140" t="s">
        <v>28</v>
      </c>
      <c r="B704" s="147">
        <v>17</v>
      </c>
      <c r="C704" s="147">
        <v>21</v>
      </c>
      <c r="D704" s="149">
        <v>1</v>
      </c>
      <c r="E704" s="149">
        <v>3</v>
      </c>
      <c r="F704" s="149">
        <v>1</v>
      </c>
      <c r="G704" s="149">
        <v>0</v>
      </c>
      <c r="H704" s="149">
        <v>1</v>
      </c>
      <c r="I704" s="149">
        <v>0</v>
      </c>
      <c r="J704" s="149">
        <v>0</v>
      </c>
      <c r="K704" s="136"/>
    </row>
    <row r="705" spans="1:11" s="159" customFormat="1" ht="9" customHeight="1" x14ac:dyDescent="0.25">
      <c r="A705" s="140" t="s">
        <v>29</v>
      </c>
      <c r="B705" s="147">
        <v>8</v>
      </c>
      <c r="C705" s="147">
        <v>14</v>
      </c>
      <c r="D705" s="149">
        <v>0</v>
      </c>
      <c r="E705" s="149">
        <v>4</v>
      </c>
      <c r="F705" s="149">
        <v>2</v>
      </c>
      <c r="G705" s="149">
        <v>2</v>
      </c>
      <c r="H705" s="149">
        <v>0</v>
      </c>
      <c r="I705" s="149">
        <v>1</v>
      </c>
      <c r="J705" s="149">
        <v>0</v>
      </c>
      <c r="K705" s="136"/>
    </row>
    <row r="706" spans="1:11" s="159" customFormat="1" ht="9" customHeight="1" x14ac:dyDescent="0.25">
      <c r="A706" s="141" t="s">
        <v>30</v>
      </c>
      <c r="B706" s="150">
        <v>38</v>
      </c>
      <c r="C706" s="150">
        <v>87</v>
      </c>
      <c r="D706" s="151">
        <v>6</v>
      </c>
      <c r="E706" s="151">
        <v>5</v>
      </c>
      <c r="F706" s="151">
        <v>3</v>
      </c>
      <c r="G706" s="151">
        <v>3</v>
      </c>
      <c r="H706" s="151">
        <v>1</v>
      </c>
      <c r="I706" s="151">
        <v>2</v>
      </c>
      <c r="J706" s="151">
        <v>0</v>
      </c>
      <c r="K706" s="136"/>
    </row>
    <row r="707" spans="1:11" s="159" customFormat="1" ht="9" customHeight="1" x14ac:dyDescent="0.25">
      <c r="A707" s="140" t="s">
        <v>127</v>
      </c>
      <c r="B707" s="147">
        <v>174</v>
      </c>
      <c r="C707" s="147">
        <v>134</v>
      </c>
      <c r="D707" s="149">
        <v>7</v>
      </c>
      <c r="E707" s="149">
        <v>24</v>
      </c>
      <c r="F707" s="149">
        <v>4</v>
      </c>
      <c r="G707" s="149">
        <v>3</v>
      </c>
      <c r="H707" s="149">
        <v>11</v>
      </c>
      <c r="I707" s="149">
        <v>1</v>
      </c>
      <c r="J707" s="149">
        <v>0</v>
      </c>
      <c r="K707" s="136"/>
    </row>
    <row r="708" spans="1:11" s="159" customFormat="1" ht="9" customHeight="1" x14ac:dyDescent="0.25">
      <c r="A708" s="140" t="s">
        <v>31</v>
      </c>
      <c r="B708" s="147">
        <v>28</v>
      </c>
      <c r="C708" s="147">
        <v>17</v>
      </c>
      <c r="D708" s="149">
        <v>0</v>
      </c>
      <c r="E708" s="149">
        <v>2</v>
      </c>
      <c r="F708" s="149">
        <v>1</v>
      </c>
      <c r="G708" s="149">
        <v>2</v>
      </c>
      <c r="H708" s="149">
        <v>1</v>
      </c>
      <c r="I708" s="149">
        <v>0</v>
      </c>
      <c r="J708" s="149">
        <v>0</v>
      </c>
      <c r="K708" s="136"/>
    </row>
    <row r="709" spans="1:11" s="159" customFormat="1" ht="9" customHeight="1" x14ac:dyDescent="0.25">
      <c r="A709" s="140" t="s">
        <v>32</v>
      </c>
      <c r="B709" s="147">
        <v>9</v>
      </c>
      <c r="C709" s="147">
        <v>58</v>
      </c>
      <c r="D709" s="149">
        <v>1</v>
      </c>
      <c r="E709" s="149">
        <v>2</v>
      </c>
      <c r="F709" s="149">
        <v>3</v>
      </c>
      <c r="G709" s="149">
        <v>3</v>
      </c>
      <c r="H709" s="149">
        <v>1</v>
      </c>
      <c r="I709" s="149">
        <v>0</v>
      </c>
      <c r="J709" s="149">
        <v>0</v>
      </c>
      <c r="K709" s="136"/>
    </row>
    <row r="710" spans="1:11" s="159" customFormat="1" ht="9" customHeight="1" x14ac:dyDescent="0.25">
      <c r="A710" s="141" t="s">
        <v>33</v>
      </c>
      <c r="B710" s="150">
        <v>23</v>
      </c>
      <c r="C710" s="150">
        <v>15</v>
      </c>
      <c r="D710" s="151">
        <v>1</v>
      </c>
      <c r="E710" s="151">
        <v>5</v>
      </c>
      <c r="F710" s="151">
        <v>2</v>
      </c>
      <c r="G710" s="151">
        <v>1</v>
      </c>
      <c r="H710" s="151">
        <v>4</v>
      </c>
      <c r="I710" s="151">
        <v>0</v>
      </c>
      <c r="J710" s="151">
        <v>0</v>
      </c>
      <c r="K710" s="136"/>
    </row>
    <row r="711" spans="1:11" s="159" customFormat="1" ht="9" customHeight="1" x14ac:dyDescent="0.25">
      <c r="A711" s="140" t="s">
        <v>34</v>
      </c>
      <c r="B711" s="147">
        <v>10</v>
      </c>
      <c r="C711" s="147">
        <v>18</v>
      </c>
      <c r="D711" s="149">
        <v>0</v>
      </c>
      <c r="E711" s="149">
        <v>3</v>
      </c>
      <c r="F711" s="149">
        <v>4</v>
      </c>
      <c r="G711" s="149">
        <v>9</v>
      </c>
      <c r="H711" s="149">
        <v>0</v>
      </c>
      <c r="I711" s="149">
        <v>1</v>
      </c>
      <c r="J711" s="149">
        <v>0</v>
      </c>
      <c r="K711" s="136"/>
    </row>
    <row r="712" spans="1:11" s="159" customFormat="1" ht="9" customHeight="1" x14ac:dyDescent="0.25">
      <c r="A712" s="140" t="s">
        <v>35</v>
      </c>
      <c r="B712" s="147">
        <v>42</v>
      </c>
      <c r="C712" s="136">
        <v>95</v>
      </c>
      <c r="D712" s="149">
        <v>3</v>
      </c>
      <c r="E712" s="149">
        <v>4</v>
      </c>
      <c r="F712" s="149">
        <v>3</v>
      </c>
      <c r="G712" s="149">
        <v>1</v>
      </c>
      <c r="H712" s="149">
        <v>3</v>
      </c>
      <c r="I712" s="149">
        <v>1</v>
      </c>
      <c r="J712" s="149">
        <v>0</v>
      </c>
      <c r="K712" s="136"/>
    </row>
    <row r="713" spans="1:11" s="159" customFormat="1" ht="9" customHeight="1" x14ac:dyDescent="0.25">
      <c r="A713" s="140" t="s">
        <v>128</v>
      </c>
      <c r="B713" s="147">
        <v>67</v>
      </c>
      <c r="C713" s="147">
        <v>93</v>
      </c>
      <c r="D713" s="149">
        <v>10</v>
      </c>
      <c r="E713" s="149">
        <v>14</v>
      </c>
      <c r="F713" s="149">
        <v>2</v>
      </c>
      <c r="G713" s="149">
        <v>3</v>
      </c>
      <c r="H713" s="149">
        <v>5</v>
      </c>
      <c r="I713" s="149">
        <v>3</v>
      </c>
      <c r="J713" s="149">
        <v>0</v>
      </c>
      <c r="K713" s="136"/>
    </row>
    <row r="714" spans="1:11" s="159" customFormat="1" ht="9" customHeight="1" x14ac:dyDescent="0.25">
      <c r="A714" s="141" t="s">
        <v>129</v>
      </c>
      <c r="B714" s="150">
        <v>20</v>
      </c>
      <c r="C714" s="150">
        <v>38</v>
      </c>
      <c r="D714" s="151">
        <v>0</v>
      </c>
      <c r="E714" s="151">
        <v>4</v>
      </c>
      <c r="F714" s="151">
        <v>2</v>
      </c>
      <c r="G714" s="151">
        <v>1</v>
      </c>
      <c r="H714" s="151">
        <v>1</v>
      </c>
      <c r="I714" s="151">
        <v>0</v>
      </c>
      <c r="J714" s="151">
        <v>0</v>
      </c>
      <c r="K714" s="136"/>
    </row>
    <row r="715" spans="1:11" s="159" customFormat="1" ht="9" customHeight="1" x14ac:dyDescent="0.25">
      <c r="A715" s="140" t="s">
        <v>38</v>
      </c>
      <c r="B715" s="147">
        <v>57</v>
      </c>
      <c r="C715" s="147">
        <v>31</v>
      </c>
      <c r="D715" s="149">
        <v>10</v>
      </c>
      <c r="E715" s="149">
        <v>11</v>
      </c>
      <c r="F715" s="149">
        <v>1</v>
      </c>
      <c r="G715" s="149">
        <v>1</v>
      </c>
      <c r="H715" s="149">
        <v>8</v>
      </c>
      <c r="I715" s="149">
        <v>0</v>
      </c>
      <c r="J715" s="149">
        <v>1</v>
      </c>
      <c r="K715" s="136"/>
    </row>
    <row r="716" spans="1:11" s="159" customFormat="1" ht="9" customHeight="1" x14ac:dyDescent="0.25">
      <c r="A716" s="140" t="s">
        <v>39</v>
      </c>
      <c r="B716" s="147">
        <v>8</v>
      </c>
      <c r="C716" s="147">
        <v>18</v>
      </c>
      <c r="D716" s="149">
        <v>0</v>
      </c>
      <c r="E716" s="149">
        <v>2</v>
      </c>
      <c r="F716" s="149">
        <v>1</v>
      </c>
      <c r="G716" s="149">
        <v>2</v>
      </c>
      <c r="H716" s="149">
        <v>1</v>
      </c>
      <c r="I716" s="149">
        <v>0</v>
      </c>
      <c r="J716" s="149">
        <v>0</v>
      </c>
      <c r="K716" s="136"/>
    </row>
    <row r="717" spans="1:11" s="159" customFormat="1" ht="9" customHeight="1" x14ac:dyDescent="0.25">
      <c r="A717" s="140" t="s">
        <v>40</v>
      </c>
      <c r="B717" s="147">
        <v>93</v>
      </c>
      <c r="C717" s="147">
        <v>83</v>
      </c>
      <c r="D717" s="149">
        <v>4</v>
      </c>
      <c r="E717" s="149">
        <v>9</v>
      </c>
      <c r="F717" s="149">
        <v>2</v>
      </c>
      <c r="G717" s="149">
        <v>0</v>
      </c>
      <c r="H717" s="149">
        <v>4</v>
      </c>
      <c r="I717" s="149">
        <v>1</v>
      </c>
      <c r="J717" s="149">
        <v>0</v>
      </c>
      <c r="K717" s="136"/>
    </row>
    <row r="718" spans="1:11" s="159" customFormat="1" ht="9" customHeight="1" x14ac:dyDescent="0.25">
      <c r="A718" s="141" t="s">
        <v>41</v>
      </c>
      <c r="B718" s="150">
        <v>17</v>
      </c>
      <c r="C718" s="150">
        <v>15</v>
      </c>
      <c r="D718" s="151">
        <v>0</v>
      </c>
      <c r="E718" s="151">
        <v>1</v>
      </c>
      <c r="F718" s="151">
        <v>6</v>
      </c>
      <c r="G718" s="151">
        <v>7</v>
      </c>
      <c r="H718" s="151">
        <v>0</v>
      </c>
      <c r="I718" s="151">
        <v>0</v>
      </c>
      <c r="J718" s="151">
        <v>0</v>
      </c>
      <c r="K718" s="136"/>
    </row>
    <row r="719" spans="1:11" s="159" customFormat="1" ht="9" customHeight="1" x14ac:dyDescent="0.25">
      <c r="A719" s="140" t="s">
        <v>42</v>
      </c>
      <c r="B719" s="147">
        <v>48</v>
      </c>
      <c r="C719" s="147">
        <v>37</v>
      </c>
      <c r="D719" s="149">
        <v>2</v>
      </c>
      <c r="E719" s="149">
        <v>4</v>
      </c>
      <c r="F719" s="149">
        <v>1</v>
      </c>
      <c r="G719" s="149">
        <v>3</v>
      </c>
      <c r="H719" s="149">
        <v>1</v>
      </c>
      <c r="I719" s="149">
        <v>1</v>
      </c>
      <c r="J719" s="149">
        <v>1</v>
      </c>
      <c r="K719" s="136"/>
    </row>
    <row r="720" spans="1:11" s="159" customFormat="1" ht="9" customHeight="1" x14ac:dyDescent="0.25">
      <c r="A720" s="140" t="s">
        <v>43</v>
      </c>
      <c r="B720" s="147">
        <v>11</v>
      </c>
      <c r="C720" s="147">
        <v>29</v>
      </c>
      <c r="D720" s="149">
        <v>1</v>
      </c>
      <c r="E720" s="149">
        <v>3</v>
      </c>
      <c r="F720" s="149">
        <v>1</v>
      </c>
      <c r="G720" s="149">
        <v>0</v>
      </c>
      <c r="H720" s="149">
        <v>1</v>
      </c>
      <c r="I720" s="149">
        <v>1</v>
      </c>
      <c r="J720" s="149">
        <v>0</v>
      </c>
      <c r="K720" s="136"/>
    </row>
    <row r="721" spans="1:13" s="159" customFormat="1" ht="9" customHeight="1" x14ac:dyDescent="0.25">
      <c r="A721" s="140" t="s">
        <v>44</v>
      </c>
      <c r="B721" s="147">
        <v>14</v>
      </c>
      <c r="C721" s="147">
        <v>20</v>
      </c>
      <c r="D721" s="149">
        <v>2</v>
      </c>
      <c r="E721" s="149">
        <v>1</v>
      </c>
      <c r="F721" s="149">
        <v>1</v>
      </c>
      <c r="G721" s="149">
        <v>1</v>
      </c>
      <c r="H721" s="149">
        <v>1</v>
      </c>
      <c r="I721" s="149">
        <v>0</v>
      </c>
      <c r="J721" s="149">
        <v>0</v>
      </c>
      <c r="K721" s="136"/>
    </row>
    <row r="722" spans="1:13" s="159" customFormat="1" ht="9" customHeight="1" x14ac:dyDescent="0.25">
      <c r="A722" s="141" t="s">
        <v>45</v>
      </c>
      <c r="B722" s="150">
        <v>18</v>
      </c>
      <c r="C722" s="150">
        <v>29</v>
      </c>
      <c r="D722" s="151">
        <v>0</v>
      </c>
      <c r="E722" s="151">
        <v>2</v>
      </c>
      <c r="F722" s="151">
        <v>1</v>
      </c>
      <c r="G722" s="151">
        <v>2</v>
      </c>
      <c r="H722" s="151">
        <v>1</v>
      </c>
      <c r="I722" s="151">
        <v>1</v>
      </c>
      <c r="J722" s="151">
        <v>0</v>
      </c>
      <c r="K722" s="136"/>
    </row>
    <row r="723" spans="1:13" s="159" customFormat="1" ht="9" customHeight="1" x14ac:dyDescent="0.25">
      <c r="A723" s="140" t="s">
        <v>46</v>
      </c>
      <c r="B723" s="147">
        <v>75</v>
      </c>
      <c r="C723" s="147">
        <v>49</v>
      </c>
      <c r="D723" s="149">
        <v>5</v>
      </c>
      <c r="E723" s="149">
        <v>8</v>
      </c>
      <c r="F723" s="149">
        <v>4</v>
      </c>
      <c r="G723" s="149">
        <v>4</v>
      </c>
      <c r="H723" s="149">
        <v>6</v>
      </c>
      <c r="I723" s="149">
        <v>0</v>
      </c>
      <c r="J723" s="149">
        <v>0</v>
      </c>
      <c r="K723" s="136"/>
    </row>
    <row r="724" spans="1:13" s="159" customFormat="1" ht="9" customHeight="1" x14ac:dyDescent="0.25">
      <c r="A724" s="140" t="s">
        <v>47</v>
      </c>
      <c r="B724" s="147">
        <v>42</v>
      </c>
      <c r="C724" s="147">
        <v>75</v>
      </c>
      <c r="D724" s="149">
        <v>0</v>
      </c>
      <c r="E724" s="149">
        <v>5</v>
      </c>
      <c r="F724" s="149">
        <v>2</v>
      </c>
      <c r="G724" s="149">
        <v>0</v>
      </c>
      <c r="H724" s="149">
        <v>2</v>
      </c>
      <c r="I724" s="149">
        <v>0</v>
      </c>
      <c r="J724" s="149">
        <v>0</v>
      </c>
      <c r="K724" s="136"/>
    </row>
    <row r="725" spans="1:13" s="159" customFormat="1" ht="9" customHeight="1" x14ac:dyDescent="0.25">
      <c r="A725" s="140" t="s">
        <v>48</v>
      </c>
      <c r="B725" s="147">
        <v>7</v>
      </c>
      <c r="C725" s="147">
        <v>7</v>
      </c>
      <c r="D725" s="149">
        <v>1</v>
      </c>
      <c r="E725" s="149">
        <v>1</v>
      </c>
      <c r="F725" s="149">
        <v>1</v>
      </c>
      <c r="G725" s="149">
        <v>2</v>
      </c>
      <c r="H725" s="149">
        <v>1</v>
      </c>
      <c r="I725" s="149">
        <v>0</v>
      </c>
      <c r="J725" s="149">
        <v>0</v>
      </c>
      <c r="K725" s="136"/>
    </row>
    <row r="726" spans="1:13" s="159" customFormat="1" ht="9" customHeight="1" x14ac:dyDescent="0.25">
      <c r="A726" s="141" t="s">
        <v>49</v>
      </c>
      <c r="B726" s="150">
        <v>17</v>
      </c>
      <c r="C726" s="150">
        <v>73</v>
      </c>
      <c r="D726" s="151">
        <v>0</v>
      </c>
      <c r="E726" s="151">
        <v>5</v>
      </c>
      <c r="F726" s="151">
        <v>1</v>
      </c>
      <c r="G726" s="151">
        <v>2</v>
      </c>
      <c r="H726" s="151">
        <v>2</v>
      </c>
      <c r="I726" s="151">
        <v>1</v>
      </c>
      <c r="J726" s="151">
        <v>0</v>
      </c>
      <c r="K726" s="136"/>
    </row>
    <row r="727" spans="1:13" s="159" customFormat="1" ht="9" customHeight="1" x14ac:dyDescent="0.25">
      <c r="A727" s="140" t="s">
        <v>50</v>
      </c>
      <c r="B727" s="147">
        <v>13</v>
      </c>
      <c r="C727" s="147">
        <v>6</v>
      </c>
      <c r="D727" s="149">
        <v>3</v>
      </c>
      <c r="E727" s="149">
        <v>2</v>
      </c>
      <c r="F727" s="149">
        <v>1</v>
      </c>
      <c r="G727" s="149">
        <v>5</v>
      </c>
      <c r="H727" s="149">
        <v>1</v>
      </c>
      <c r="I727" s="149">
        <v>0</v>
      </c>
      <c r="J727" s="149">
        <v>2</v>
      </c>
      <c r="K727" s="136"/>
    </row>
    <row r="728" spans="1:13" s="159" customFormat="1" ht="9" customHeight="1" x14ac:dyDescent="0.25">
      <c r="A728" s="140" t="s">
        <v>130</v>
      </c>
      <c r="B728" s="147">
        <v>64</v>
      </c>
      <c r="C728" s="147">
        <v>65</v>
      </c>
      <c r="D728" s="149">
        <v>0</v>
      </c>
      <c r="E728" s="149">
        <v>10</v>
      </c>
      <c r="F728" s="149">
        <v>6</v>
      </c>
      <c r="G728" s="149">
        <v>4</v>
      </c>
      <c r="H728" s="149">
        <v>4</v>
      </c>
      <c r="I728" s="149">
        <v>1</v>
      </c>
      <c r="J728" s="149">
        <v>0</v>
      </c>
      <c r="K728" s="136"/>
    </row>
    <row r="729" spans="1:13" s="159" customFormat="1" ht="9" customHeight="1" x14ac:dyDescent="0.25">
      <c r="A729" s="140" t="s">
        <v>52</v>
      </c>
      <c r="B729" s="147">
        <v>16</v>
      </c>
      <c r="C729" s="147">
        <v>33</v>
      </c>
      <c r="D729" s="149">
        <v>0</v>
      </c>
      <c r="E729" s="149">
        <v>1</v>
      </c>
      <c r="F729" s="149">
        <v>1</v>
      </c>
      <c r="G729" s="149">
        <v>2</v>
      </c>
      <c r="H729" s="149">
        <v>1</v>
      </c>
      <c r="I729" s="149">
        <v>1</v>
      </c>
      <c r="J729" s="149">
        <v>0</v>
      </c>
      <c r="K729" s="136"/>
    </row>
    <row r="730" spans="1:13" s="159" customFormat="1" ht="9" customHeight="1" x14ac:dyDescent="0.25">
      <c r="A730" s="141" t="s">
        <v>53</v>
      </c>
      <c r="B730" s="150">
        <v>16</v>
      </c>
      <c r="C730" s="150">
        <v>29</v>
      </c>
      <c r="D730" s="151">
        <v>0</v>
      </c>
      <c r="E730" s="151">
        <v>2</v>
      </c>
      <c r="F730" s="151">
        <v>4</v>
      </c>
      <c r="G730" s="151">
        <v>6</v>
      </c>
      <c r="H730" s="151">
        <v>1</v>
      </c>
      <c r="I730" s="151">
        <v>0</v>
      </c>
      <c r="J730" s="151">
        <v>0</v>
      </c>
      <c r="K730" s="136"/>
    </row>
    <row r="731" spans="1:13" s="159" customFormat="1" ht="9" customHeight="1" x14ac:dyDescent="0.25">
      <c r="A731" s="156"/>
      <c r="B731" s="157"/>
      <c r="C731" s="157"/>
      <c r="D731" s="158"/>
      <c r="E731" s="158"/>
      <c r="F731" s="158"/>
      <c r="G731" s="158"/>
      <c r="H731" s="158"/>
      <c r="I731" s="158"/>
      <c r="J731" s="158"/>
    </row>
    <row r="732" spans="1:13" s="136" customFormat="1" ht="8.1" customHeight="1" x14ac:dyDescent="0.25">
      <c r="A732" s="135">
        <v>2017</v>
      </c>
      <c r="B732" s="140"/>
      <c r="C732" s="147"/>
      <c r="D732" s="147"/>
      <c r="E732" s="140"/>
      <c r="F732" s="140"/>
      <c r="G732" s="140"/>
      <c r="H732" s="140"/>
      <c r="I732" s="140"/>
      <c r="J732" s="140"/>
    </row>
    <row r="733" spans="1:13" s="136" customFormat="1" ht="8.1" customHeight="1" x14ac:dyDescent="0.25">
      <c r="A733" s="138" t="s">
        <v>13</v>
      </c>
      <c r="B733" s="148">
        <f t="shared" ref="B733:J733" si="19">SUM(B735:B766)</f>
        <v>1087</v>
      </c>
      <c r="C733" s="148">
        <f t="shared" si="19"/>
        <v>1363</v>
      </c>
      <c r="D733" s="148">
        <f t="shared" si="19"/>
        <v>74</v>
      </c>
      <c r="E733" s="148">
        <f t="shared" si="19"/>
        <v>152</v>
      </c>
      <c r="F733" s="148">
        <f t="shared" si="19"/>
        <v>68</v>
      </c>
      <c r="G733" s="148">
        <f t="shared" si="19"/>
        <v>69</v>
      </c>
      <c r="H733" s="148">
        <f t="shared" si="19"/>
        <v>72</v>
      </c>
      <c r="I733" s="148">
        <f t="shared" si="19"/>
        <v>17</v>
      </c>
      <c r="J733" s="148">
        <f t="shared" si="19"/>
        <v>4</v>
      </c>
    </row>
    <row r="734" spans="1:13" s="136" customFormat="1" ht="3" customHeight="1" x14ac:dyDescent="0.25">
      <c r="A734" s="138"/>
      <c r="B734" s="148"/>
      <c r="C734" s="148"/>
      <c r="D734" s="148"/>
      <c r="E734" s="148"/>
      <c r="F734" s="148"/>
      <c r="G734" s="148"/>
      <c r="H734" s="148"/>
      <c r="I734" s="148"/>
      <c r="J734" s="148"/>
    </row>
    <row r="735" spans="1:13" s="136" customFormat="1" ht="9" customHeight="1" x14ac:dyDescent="0.25">
      <c r="A735" s="140" t="s">
        <v>23</v>
      </c>
      <c r="B735" s="147">
        <v>12</v>
      </c>
      <c r="C735" s="147">
        <v>25</v>
      </c>
      <c r="D735" s="147">
        <v>0</v>
      </c>
      <c r="E735" s="149">
        <v>3</v>
      </c>
      <c r="F735" s="149">
        <v>0</v>
      </c>
      <c r="G735" s="149">
        <v>0</v>
      </c>
      <c r="H735" s="149">
        <v>1</v>
      </c>
      <c r="I735" s="149">
        <v>0</v>
      </c>
      <c r="J735" s="149">
        <v>0</v>
      </c>
      <c r="M735" s="160"/>
    </row>
    <row r="736" spans="1:13" s="136" customFormat="1" ht="9" customHeight="1" x14ac:dyDescent="0.25">
      <c r="A736" s="140" t="s">
        <v>24</v>
      </c>
      <c r="B736" s="147">
        <v>31</v>
      </c>
      <c r="C736" s="147">
        <v>81</v>
      </c>
      <c r="D736" s="147">
        <v>6</v>
      </c>
      <c r="E736" s="149">
        <v>3</v>
      </c>
      <c r="F736" s="149">
        <v>3</v>
      </c>
      <c r="G736" s="149">
        <v>0</v>
      </c>
      <c r="H736" s="149">
        <v>3</v>
      </c>
      <c r="I736" s="149">
        <v>0</v>
      </c>
      <c r="J736" s="149">
        <v>0</v>
      </c>
      <c r="M736" s="160"/>
    </row>
    <row r="737" spans="1:13" s="136" customFormat="1" ht="9" customHeight="1" x14ac:dyDescent="0.25">
      <c r="A737" s="140" t="s">
        <v>25</v>
      </c>
      <c r="B737" s="147">
        <v>27</v>
      </c>
      <c r="C737" s="147">
        <v>14</v>
      </c>
      <c r="D737" s="147">
        <v>0</v>
      </c>
      <c r="E737" s="149">
        <v>1</v>
      </c>
      <c r="F737" s="149">
        <v>1</v>
      </c>
      <c r="G737" s="149">
        <v>0</v>
      </c>
      <c r="H737" s="149">
        <v>1</v>
      </c>
      <c r="I737" s="149">
        <v>0</v>
      </c>
      <c r="J737" s="149">
        <v>0</v>
      </c>
      <c r="M737" s="160"/>
    </row>
    <row r="738" spans="1:13" s="136" customFormat="1" ht="9" customHeight="1" x14ac:dyDescent="0.25">
      <c r="A738" s="141" t="s">
        <v>26</v>
      </c>
      <c r="B738" s="150">
        <v>16</v>
      </c>
      <c r="C738" s="150">
        <v>8</v>
      </c>
      <c r="D738" s="150">
        <v>0</v>
      </c>
      <c r="E738" s="151">
        <v>3</v>
      </c>
      <c r="F738" s="151">
        <v>1</v>
      </c>
      <c r="G738" s="151">
        <v>0</v>
      </c>
      <c r="H738" s="151">
        <v>1</v>
      </c>
      <c r="I738" s="151">
        <v>0</v>
      </c>
      <c r="J738" s="151">
        <v>0</v>
      </c>
      <c r="M738" s="160"/>
    </row>
    <row r="739" spans="1:13" s="136" customFormat="1" ht="9" customHeight="1" x14ac:dyDescent="0.25">
      <c r="A739" s="140" t="s">
        <v>126</v>
      </c>
      <c r="B739" s="147">
        <v>38</v>
      </c>
      <c r="C739" s="147">
        <v>58</v>
      </c>
      <c r="D739" s="147">
        <v>11</v>
      </c>
      <c r="E739" s="149">
        <v>5</v>
      </c>
      <c r="F739" s="149">
        <v>2</v>
      </c>
      <c r="G739" s="149">
        <v>0</v>
      </c>
      <c r="H739" s="149">
        <v>3</v>
      </c>
      <c r="I739" s="149">
        <v>1</v>
      </c>
      <c r="J739" s="149">
        <v>0</v>
      </c>
      <c r="M739" s="160"/>
    </row>
    <row r="740" spans="1:13" s="136" customFormat="1" ht="9" customHeight="1" x14ac:dyDescent="0.25">
      <c r="A740" s="140" t="s">
        <v>28</v>
      </c>
      <c r="B740" s="147">
        <v>17</v>
      </c>
      <c r="C740" s="147">
        <v>21</v>
      </c>
      <c r="D740" s="147">
        <v>1</v>
      </c>
      <c r="E740" s="149">
        <v>3</v>
      </c>
      <c r="F740" s="149">
        <v>1</v>
      </c>
      <c r="G740" s="149">
        <v>0</v>
      </c>
      <c r="H740" s="149">
        <v>1</v>
      </c>
      <c r="I740" s="149">
        <v>0</v>
      </c>
      <c r="J740" s="149">
        <v>0</v>
      </c>
      <c r="M740" s="160"/>
    </row>
    <row r="741" spans="1:13" s="136" customFormat="1" ht="9" customHeight="1" x14ac:dyDescent="0.25">
      <c r="A741" s="140" t="s">
        <v>29</v>
      </c>
      <c r="B741" s="147">
        <v>8</v>
      </c>
      <c r="C741" s="147">
        <v>14</v>
      </c>
      <c r="D741" s="147">
        <v>0</v>
      </c>
      <c r="E741" s="149">
        <v>4</v>
      </c>
      <c r="F741" s="149">
        <v>2</v>
      </c>
      <c r="G741" s="149">
        <v>2</v>
      </c>
      <c r="H741" s="149">
        <v>0</v>
      </c>
      <c r="I741" s="149">
        <v>1</v>
      </c>
      <c r="J741" s="149">
        <v>0</v>
      </c>
      <c r="M741" s="160"/>
    </row>
    <row r="742" spans="1:13" s="136" customFormat="1" ht="9" customHeight="1" x14ac:dyDescent="0.25">
      <c r="A742" s="141" t="s">
        <v>30</v>
      </c>
      <c r="B742" s="150">
        <v>40</v>
      </c>
      <c r="C742" s="150">
        <v>87</v>
      </c>
      <c r="D742" s="150">
        <v>6</v>
      </c>
      <c r="E742" s="151">
        <v>5</v>
      </c>
      <c r="F742" s="151">
        <v>3</v>
      </c>
      <c r="G742" s="151">
        <v>3</v>
      </c>
      <c r="H742" s="151">
        <v>1</v>
      </c>
      <c r="I742" s="151">
        <v>2</v>
      </c>
      <c r="J742" s="151">
        <v>0</v>
      </c>
      <c r="M742" s="160"/>
    </row>
    <row r="743" spans="1:13" s="136" customFormat="1" ht="9" customHeight="1" x14ac:dyDescent="0.25">
      <c r="A743" s="140" t="s">
        <v>127</v>
      </c>
      <c r="B743" s="147">
        <v>176</v>
      </c>
      <c r="C743" s="147">
        <v>132</v>
      </c>
      <c r="D743" s="147">
        <v>7</v>
      </c>
      <c r="E743" s="149">
        <v>24</v>
      </c>
      <c r="F743" s="149">
        <v>4</v>
      </c>
      <c r="G743" s="149">
        <v>3</v>
      </c>
      <c r="H743" s="149">
        <v>11</v>
      </c>
      <c r="I743" s="149">
        <v>1</v>
      </c>
      <c r="J743" s="149">
        <v>0</v>
      </c>
      <c r="M743" s="160"/>
    </row>
    <row r="744" spans="1:13" s="136" customFormat="1" ht="9" customHeight="1" x14ac:dyDescent="0.25">
      <c r="A744" s="140" t="s">
        <v>31</v>
      </c>
      <c r="B744" s="147">
        <v>28</v>
      </c>
      <c r="C744" s="147">
        <v>17</v>
      </c>
      <c r="D744" s="147">
        <v>0</v>
      </c>
      <c r="E744" s="149">
        <v>2</v>
      </c>
      <c r="F744" s="149">
        <v>1</v>
      </c>
      <c r="G744" s="149">
        <v>2</v>
      </c>
      <c r="H744" s="149">
        <v>1</v>
      </c>
      <c r="I744" s="149">
        <v>0</v>
      </c>
      <c r="J744" s="149">
        <v>0</v>
      </c>
      <c r="M744" s="160"/>
    </row>
    <row r="745" spans="1:13" s="136" customFormat="1" ht="9" customHeight="1" x14ac:dyDescent="0.25">
      <c r="A745" s="140" t="s">
        <v>32</v>
      </c>
      <c r="B745" s="147">
        <v>10</v>
      </c>
      <c r="C745" s="147">
        <v>59</v>
      </c>
      <c r="D745" s="147">
        <v>1</v>
      </c>
      <c r="E745" s="149">
        <v>2</v>
      </c>
      <c r="F745" s="149">
        <v>3</v>
      </c>
      <c r="G745" s="149">
        <v>3</v>
      </c>
      <c r="H745" s="149">
        <v>1</v>
      </c>
      <c r="I745" s="149">
        <v>0</v>
      </c>
      <c r="J745" s="149">
        <v>0</v>
      </c>
      <c r="M745" s="160"/>
    </row>
    <row r="746" spans="1:13" s="136" customFormat="1" ht="9" customHeight="1" x14ac:dyDescent="0.25">
      <c r="A746" s="141" t="s">
        <v>33</v>
      </c>
      <c r="B746" s="150">
        <v>23</v>
      </c>
      <c r="C746" s="150">
        <v>15</v>
      </c>
      <c r="D746" s="150">
        <v>1</v>
      </c>
      <c r="E746" s="151">
        <v>5</v>
      </c>
      <c r="F746" s="151">
        <v>2</v>
      </c>
      <c r="G746" s="151">
        <v>1</v>
      </c>
      <c r="H746" s="151">
        <v>4</v>
      </c>
      <c r="I746" s="151">
        <v>0</v>
      </c>
      <c r="J746" s="151">
        <v>0</v>
      </c>
      <c r="M746" s="160"/>
    </row>
    <row r="747" spans="1:13" s="136" customFormat="1" ht="9" customHeight="1" x14ac:dyDescent="0.25">
      <c r="A747" s="140" t="s">
        <v>34</v>
      </c>
      <c r="B747" s="147">
        <v>10</v>
      </c>
      <c r="C747" s="147">
        <v>18</v>
      </c>
      <c r="D747" s="147">
        <v>0</v>
      </c>
      <c r="E747" s="149">
        <v>3</v>
      </c>
      <c r="F747" s="149">
        <v>4</v>
      </c>
      <c r="G747" s="149">
        <v>9</v>
      </c>
      <c r="H747" s="149">
        <v>0</v>
      </c>
      <c r="I747" s="149">
        <v>1</v>
      </c>
      <c r="J747" s="149">
        <v>0</v>
      </c>
      <c r="M747" s="160"/>
    </row>
    <row r="748" spans="1:13" s="136" customFormat="1" ht="9" customHeight="1" x14ac:dyDescent="0.25">
      <c r="A748" s="140" t="s">
        <v>35</v>
      </c>
      <c r="B748" s="147">
        <v>42</v>
      </c>
      <c r="C748" s="136">
        <v>95</v>
      </c>
      <c r="D748" s="136">
        <v>3</v>
      </c>
      <c r="E748" s="149">
        <v>4</v>
      </c>
      <c r="F748" s="149">
        <v>3</v>
      </c>
      <c r="G748" s="149">
        <v>1</v>
      </c>
      <c r="H748" s="149">
        <v>3</v>
      </c>
      <c r="I748" s="149">
        <v>1</v>
      </c>
      <c r="J748" s="149">
        <v>0</v>
      </c>
      <c r="M748" s="160"/>
    </row>
    <row r="749" spans="1:13" s="136" customFormat="1" ht="9" customHeight="1" x14ac:dyDescent="0.25">
      <c r="A749" s="140" t="s">
        <v>128</v>
      </c>
      <c r="B749" s="147">
        <v>68</v>
      </c>
      <c r="C749" s="147">
        <v>93</v>
      </c>
      <c r="D749" s="147">
        <v>10</v>
      </c>
      <c r="E749" s="149">
        <v>14</v>
      </c>
      <c r="F749" s="149">
        <v>2</v>
      </c>
      <c r="G749" s="149">
        <v>3</v>
      </c>
      <c r="H749" s="149">
        <v>5</v>
      </c>
      <c r="I749" s="149">
        <v>3</v>
      </c>
      <c r="J749" s="149">
        <v>0</v>
      </c>
      <c r="M749" s="160"/>
    </row>
    <row r="750" spans="1:13" s="136" customFormat="1" ht="9" customHeight="1" x14ac:dyDescent="0.25">
      <c r="A750" s="141" t="s">
        <v>129</v>
      </c>
      <c r="B750" s="150">
        <v>20</v>
      </c>
      <c r="C750" s="150">
        <v>38</v>
      </c>
      <c r="D750" s="150">
        <v>0</v>
      </c>
      <c r="E750" s="151">
        <v>4</v>
      </c>
      <c r="F750" s="151">
        <v>2</v>
      </c>
      <c r="G750" s="151">
        <v>1</v>
      </c>
      <c r="H750" s="151">
        <v>1</v>
      </c>
      <c r="I750" s="151">
        <v>0</v>
      </c>
      <c r="J750" s="151">
        <v>0</v>
      </c>
      <c r="M750" s="160"/>
    </row>
    <row r="751" spans="1:13" s="136" customFormat="1" ht="9" customHeight="1" x14ac:dyDescent="0.25">
      <c r="A751" s="140" t="s">
        <v>38</v>
      </c>
      <c r="B751" s="147">
        <v>57</v>
      </c>
      <c r="C751" s="147">
        <v>30</v>
      </c>
      <c r="D751" s="147">
        <v>10</v>
      </c>
      <c r="E751" s="149">
        <v>11</v>
      </c>
      <c r="F751" s="149">
        <v>1</v>
      </c>
      <c r="G751" s="149">
        <v>1</v>
      </c>
      <c r="H751" s="149">
        <v>8</v>
      </c>
      <c r="I751" s="149">
        <v>0</v>
      </c>
      <c r="J751" s="149">
        <v>1</v>
      </c>
      <c r="M751" s="160"/>
    </row>
    <row r="752" spans="1:13" s="136" customFormat="1" ht="9" customHeight="1" x14ac:dyDescent="0.25">
      <c r="A752" s="140" t="s">
        <v>39</v>
      </c>
      <c r="B752" s="147">
        <v>8</v>
      </c>
      <c r="C752" s="147">
        <v>18</v>
      </c>
      <c r="D752" s="147">
        <v>0</v>
      </c>
      <c r="E752" s="149">
        <v>2</v>
      </c>
      <c r="F752" s="149">
        <v>1</v>
      </c>
      <c r="G752" s="149">
        <v>2</v>
      </c>
      <c r="H752" s="149">
        <v>1</v>
      </c>
      <c r="I752" s="149">
        <v>0</v>
      </c>
      <c r="J752" s="149">
        <v>0</v>
      </c>
      <c r="M752" s="160"/>
    </row>
    <row r="753" spans="1:13" s="136" customFormat="1" ht="9" customHeight="1" x14ac:dyDescent="0.25">
      <c r="A753" s="140" t="s">
        <v>40</v>
      </c>
      <c r="B753" s="147">
        <v>93</v>
      </c>
      <c r="C753" s="147">
        <v>80</v>
      </c>
      <c r="D753" s="147">
        <v>4</v>
      </c>
      <c r="E753" s="149">
        <v>9</v>
      </c>
      <c r="F753" s="149">
        <v>2</v>
      </c>
      <c r="G753" s="149">
        <v>0</v>
      </c>
      <c r="H753" s="149">
        <v>4</v>
      </c>
      <c r="I753" s="149">
        <v>1</v>
      </c>
      <c r="J753" s="149">
        <v>0</v>
      </c>
      <c r="M753" s="160"/>
    </row>
    <row r="754" spans="1:13" s="136" customFormat="1" ht="9" customHeight="1" x14ac:dyDescent="0.25">
      <c r="A754" s="141" t="s">
        <v>41</v>
      </c>
      <c r="B754" s="150">
        <v>17</v>
      </c>
      <c r="C754" s="150">
        <v>15</v>
      </c>
      <c r="D754" s="150">
        <v>0</v>
      </c>
      <c r="E754" s="151">
        <v>1</v>
      </c>
      <c r="F754" s="151">
        <v>6</v>
      </c>
      <c r="G754" s="151">
        <v>7</v>
      </c>
      <c r="H754" s="151">
        <v>0</v>
      </c>
      <c r="I754" s="151">
        <v>0</v>
      </c>
      <c r="J754" s="151">
        <v>0</v>
      </c>
      <c r="M754" s="160"/>
    </row>
    <row r="755" spans="1:13" s="136" customFormat="1" ht="9" customHeight="1" x14ac:dyDescent="0.25">
      <c r="A755" s="140" t="s">
        <v>42</v>
      </c>
      <c r="B755" s="147">
        <v>51</v>
      </c>
      <c r="C755" s="147">
        <v>37</v>
      </c>
      <c r="D755" s="147">
        <v>2</v>
      </c>
      <c r="E755" s="149">
        <v>4</v>
      </c>
      <c r="F755" s="149">
        <v>1</v>
      </c>
      <c r="G755" s="149">
        <v>3</v>
      </c>
      <c r="H755" s="149">
        <v>1</v>
      </c>
      <c r="I755" s="149">
        <v>1</v>
      </c>
      <c r="J755" s="149">
        <v>1</v>
      </c>
      <c r="M755" s="160"/>
    </row>
    <row r="756" spans="1:13" s="136" customFormat="1" ht="9" customHeight="1" x14ac:dyDescent="0.25">
      <c r="A756" s="140" t="s">
        <v>43</v>
      </c>
      <c r="B756" s="147">
        <v>12</v>
      </c>
      <c r="C756" s="147">
        <v>29</v>
      </c>
      <c r="D756" s="147">
        <v>1</v>
      </c>
      <c r="E756" s="149">
        <v>3</v>
      </c>
      <c r="F756" s="149">
        <v>1</v>
      </c>
      <c r="G756" s="149">
        <v>0</v>
      </c>
      <c r="H756" s="149">
        <v>1</v>
      </c>
      <c r="I756" s="149">
        <v>1</v>
      </c>
      <c r="J756" s="149">
        <v>0</v>
      </c>
      <c r="M756" s="160"/>
    </row>
    <row r="757" spans="1:13" s="136" customFormat="1" ht="9" customHeight="1" x14ac:dyDescent="0.25">
      <c r="A757" s="140" t="s">
        <v>44</v>
      </c>
      <c r="B757" s="147">
        <v>14</v>
      </c>
      <c r="C757" s="147">
        <v>20</v>
      </c>
      <c r="D757" s="147">
        <v>2</v>
      </c>
      <c r="E757" s="149">
        <v>1</v>
      </c>
      <c r="F757" s="149">
        <v>1</v>
      </c>
      <c r="G757" s="149">
        <v>1</v>
      </c>
      <c r="H757" s="149">
        <v>1</v>
      </c>
      <c r="I757" s="149">
        <v>0</v>
      </c>
      <c r="J757" s="149">
        <v>0</v>
      </c>
      <c r="M757" s="160"/>
    </row>
    <row r="758" spans="1:13" s="136" customFormat="1" ht="9" customHeight="1" x14ac:dyDescent="0.25">
      <c r="A758" s="141" t="s">
        <v>45</v>
      </c>
      <c r="B758" s="150">
        <v>18</v>
      </c>
      <c r="C758" s="150">
        <v>29</v>
      </c>
      <c r="D758" s="150">
        <v>0</v>
      </c>
      <c r="E758" s="151">
        <v>2</v>
      </c>
      <c r="F758" s="151">
        <v>1</v>
      </c>
      <c r="G758" s="151">
        <v>2</v>
      </c>
      <c r="H758" s="151">
        <v>1</v>
      </c>
      <c r="I758" s="151">
        <v>1</v>
      </c>
      <c r="J758" s="151">
        <v>0</v>
      </c>
      <c r="M758" s="160"/>
    </row>
    <row r="759" spans="1:13" s="136" customFormat="1" ht="9" customHeight="1" x14ac:dyDescent="0.25">
      <c r="A759" s="140" t="s">
        <v>46</v>
      </c>
      <c r="B759" s="147">
        <v>75</v>
      </c>
      <c r="C759" s="147">
        <v>45</v>
      </c>
      <c r="D759" s="147">
        <v>5</v>
      </c>
      <c r="E759" s="149">
        <v>8</v>
      </c>
      <c r="F759" s="149">
        <v>4</v>
      </c>
      <c r="G759" s="149">
        <v>4</v>
      </c>
      <c r="H759" s="149">
        <v>6</v>
      </c>
      <c r="I759" s="149">
        <v>0</v>
      </c>
      <c r="J759" s="149">
        <v>0</v>
      </c>
      <c r="M759" s="160"/>
    </row>
    <row r="760" spans="1:13" s="136" customFormat="1" ht="9" customHeight="1" x14ac:dyDescent="0.25">
      <c r="A760" s="140" t="s">
        <v>47</v>
      </c>
      <c r="B760" s="147">
        <v>43</v>
      </c>
      <c r="C760" s="147">
        <v>74</v>
      </c>
      <c r="D760" s="147">
        <v>0</v>
      </c>
      <c r="E760" s="149">
        <v>5</v>
      </c>
      <c r="F760" s="149">
        <v>2</v>
      </c>
      <c r="G760" s="149">
        <v>0</v>
      </c>
      <c r="H760" s="149">
        <v>2</v>
      </c>
      <c r="I760" s="149">
        <v>0</v>
      </c>
      <c r="J760" s="149">
        <v>0</v>
      </c>
      <c r="M760" s="160"/>
    </row>
    <row r="761" spans="1:13" s="136" customFormat="1" ht="9" customHeight="1" x14ac:dyDescent="0.25">
      <c r="A761" s="140" t="s">
        <v>48</v>
      </c>
      <c r="B761" s="147">
        <v>7</v>
      </c>
      <c r="C761" s="147">
        <v>7</v>
      </c>
      <c r="D761" s="147">
        <v>1</v>
      </c>
      <c r="E761" s="149">
        <v>1</v>
      </c>
      <c r="F761" s="149">
        <v>1</v>
      </c>
      <c r="G761" s="149">
        <v>2</v>
      </c>
      <c r="H761" s="149">
        <v>1</v>
      </c>
      <c r="I761" s="149">
        <v>0</v>
      </c>
      <c r="J761" s="149">
        <v>0</v>
      </c>
      <c r="M761" s="160"/>
    </row>
    <row r="762" spans="1:13" s="136" customFormat="1" ht="9" customHeight="1" x14ac:dyDescent="0.25">
      <c r="A762" s="141" t="s">
        <v>49</v>
      </c>
      <c r="B762" s="150">
        <v>17</v>
      </c>
      <c r="C762" s="150">
        <v>73</v>
      </c>
      <c r="D762" s="150">
        <v>0</v>
      </c>
      <c r="E762" s="151">
        <v>5</v>
      </c>
      <c r="F762" s="151">
        <v>1</v>
      </c>
      <c r="G762" s="151">
        <v>2</v>
      </c>
      <c r="H762" s="151">
        <v>2</v>
      </c>
      <c r="I762" s="151">
        <v>1</v>
      </c>
      <c r="J762" s="151">
        <v>0</v>
      </c>
      <c r="M762" s="160"/>
    </row>
    <row r="763" spans="1:13" s="136" customFormat="1" ht="9" customHeight="1" x14ac:dyDescent="0.25">
      <c r="A763" s="140" t="s">
        <v>50</v>
      </c>
      <c r="B763" s="147">
        <v>13</v>
      </c>
      <c r="C763" s="147">
        <v>6</v>
      </c>
      <c r="D763" s="147">
        <v>3</v>
      </c>
      <c r="E763" s="149">
        <v>2</v>
      </c>
      <c r="F763" s="149">
        <v>1</v>
      </c>
      <c r="G763" s="149">
        <v>5</v>
      </c>
      <c r="H763" s="149">
        <v>1</v>
      </c>
      <c r="I763" s="149">
        <v>0</v>
      </c>
      <c r="J763" s="149">
        <v>2</v>
      </c>
      <c r="M763" s="160"/>
    </row>
    <row r="764" spans="1:13" s="136" customFormat="1" ht="9" customHeight="1" x14ac:dyDescent="0.25">
      <c r="A764" s="140" t="s">
        <v>130</v>
      </c>
      <c r="B764" s="147">
        <v>64</v>
      </c>
      <c r="C764" s="147">
        <v>64</v>
      </c>
      <c r="D764" s="147">
        <v>0</v>
      </c>
      <c r="E764" s="149">
        <v>10</v>
      </c>
      <c r="F764" s="149">
        <v>6</v>
      </c>
      <c r="G764" s="149">
        <v>4</v>
      </c>
      <c r="H764" s="149">
        <v>4</v>
      </c>
      <c r="I764" s="149">
        <v>1</v>
      </c>
      <c r="J764" s="149">
        <v>0</v>
      </c>
      <c r="M764" s="160"/>
    </row>
    <row r="765" spans="1:13" s="136" customFormat="1" ht="9" customHeight="1" x14ac:dyDescent="0.25">
      <c r="A765" s="140" t="s">
        <v>52</v>
      </c>
      <c r="B765" s="147">
        <v>16</v>
      </c>
      <c r="C765" s="147">
        <v>33</v>
      </c>
      <c r="D765" s="147">
        <v>0</v>
      </c>
      <c r="E765" s="149">
        <v>1</v>
      </c>
      <c r="F765" s="149">
        <v>1</v>
      </c>
      <c r="G765" s="149">
        <v>2</v>
      </c>
      <c r="H765" s="149">
        <v>1</v>
      </c>
      <c r="I765" s="149">
        <v>1</v>
      </c>
      <c r="J765" s="149">
        <v>0</v>
      </c>
      <c r="M765" s="160"/>
    </row>
    <row r="766" spans="1:13" s="136" customFormat="1" ht="9" customHeight="1" x14ac:dyDescent="0.25">
      <c r="A766" s="141" t="s">
        <v>53</v>
      </c>
      <c r="B766" s="150">
        <v>16</v>
      </c>
      <c r="C766" s="151">
        <v>28</v>
      </c>
      <c r="D766" s="151">
        <v>0</v>
      </c>
      <c r="E766" s="151">
        <v>2</v>
      </c>
      <c r="F766" s="151">
        <v>4</v>
      </c>
      <c r="G766" s="151">
        <v>6</v>
      </c>
      <c r="H766" s="151">
        <v>1</v>
      </c>
      <c r="I766" s="151">
        <v>0</v>
      </c>
      <c r="J766" s="151">
        <v>0</v>
      </c>
      <c r="M766" s="160"/>
    </row>
    <row r="767" spans="1:13" s="159" customFormat="1" ht="9" customHeight="1" x14ac:dyDescent="0.25">
      <c r="A767" s="156"/>
      <c r="B767" s="157"/>
      <c r="C767" s="157"/>
      <c r="D767" s="158"/>
      <c r="E767" s="158"/>
      <c r="F767" s="158"/>
      <c r="G767" s="158"/>
      <c r="H767" s="158"/>
      <c r="I767" s="158"/>
      <c r="J767" s="158"/>
    </row>
    <row r="768" spans="1:13" s="136" customFormat="1" ht="8.1" customHeight="1" x14ac:dyDescent="0.25">
      <c r="A768" s="135" t="s">
        <v>62</v>
      </c>
      <c r="B768" s="140"/>
      <c r="C768" s="147"/>
      <c r="D768" s="147"/>
      <c r="E768" s="140"/>
      <c r="F768" s="140"/>
      <c r="G768" s="140"/>
      <c r="H768" s="140"/>
      <c r="I768" s="140"/>
      <c r="J768" s="140"/>
    </row>
    <row r="769" spans="1:13" s="136" customFormat="1" ht="8.1" customHeight="1" x14ac:dyDescent="0.25">
      <c r="A769" s="138" t="s">
        <v>13</v>
      </c>
      <c r="B769" s="148">
        <f t="shared" ref="B769:J769" si="20">SUM(B771:B802)</f>
        <v>1095</v>
      </c>
      <c r="C769" s="148">
        <f t="shared" si="20"/>
        <v>1418</v>
      </c>
      <c r="D769" s="148">
        <f t="shared" si="20"/>
        <v>42</v>
      </c>
      <c r="E769" s="148">
        <f t="shared" si="20"/>
        <v>152</v>
      </c>
      <c r="F769" s="148">
        <f t="shared" si="20"/>
        <v>68</v>
      </c>
      <c r="G769" s="148">
        <f t="shared" si="20"/>
        <v>69</v>
      </c>
      <c r="H769" s="148">
        <f t="shared" si="20"/>
        <v>72</v>
      </c>
      <c r="I769" s="148">
        <f t="shared" si="20"/>
        <v>18</v>
      </c>
      <c r="J769" s="148">
        <f t="shared" si="20"/>
        <v>4</v>
      </c>
    </row>
    <row r="770" spans="1:13" s="136" customFormat="1" ht="3" customHeight="1" x14ac:dyDescent="0.25">
      <c r="A770" s="138"/>
      <c r="B770" s="148"/>
      <c r="C770" s="148"/>
      <c r="D770" s="148"/>
      <c r="E770" s="148"/>
      <c r="F770" s="148"/>
      <c r="G770" s="148"/>
      <c r="H770" s="148"/>
      <c r="I770" s="148"/>
      <c r="J770" s="148"/>
    </row>
    <row r="771" spans="1:13" s="136" customFormat="1" ht="9" customHeight="1" x14ac:dyDescent="0.25">
      <c r="A771" s="140" t="s">
        <v>23</v>
      </c>
      <c r="B771" s="147">
        <v>13</v>
      </c>
      <c r="C771" s="147">
        <v>27</v>
      </c>
      <c r="D771" s="147">
        <v>0</v>
      </c>
      <c r="E771" s="149">
        <v>3</v>
      </c>
      <c r="F771" s="149">
        <v>0</v>
      </c>
      <c r="G771" s="149">
        <v>0</v>
      </c>
      <c r="H771" s="149">
        <v>1</v>
      </c>
      <c r="I771" s="149">
        <v>0</v>
      </c>
      <c r="J771" s="149">
        <v>0</v>
      </c>
      <c r="M771" s="160"/>
    </row>
    <row r="772" spans="1:13" s="136" customFormat="1" ht="9" customHeight="1" x14ac:dyDescent="0.25">
      <c r="A772" s="140" t="s">
        <v>24</v>
      </c>
      <c r="B772" s="147">
        <v>20</v>
      </c>
      <c r="C772" s="147">
        <v>76</v>
      </c>
      <c r="D772" s="147">
        <v>2</v>
      </c>
      <c r="E772" s="149">
        <v>3</v>
      </c>
      <c r="F772" s="149">
        <v>3</v>
      </c>
      <c r="G772" s="149">
        <v>0</v>
      </c>
      <c r="H772" s="149">
        <v>3</v>
      </c>
      <c r="I772" s="149">
        <v>0</v>
      </c>
      <c r="J772" s="149">
        <v>0</v>
      </c>
      <c r="M772" s="160"/>
    </row>
    <row r="773" spans="1:13" s="136" customFormat="1" ht="9" customHeight="1" x14ac:dyDescent="0.25">
      <c r="A773" s="140" t="s">
        <v>25</v>
      </c>
      <c r="B773" s="147">
        <v>23</v>
      </c>
      <c r="C773" s="147">
        <v>14</v>
      </c>
      <c r="D773" s="147">
        <v>0</v>
      </c>
      <c r="E773" s="149">
        <v>1</v>
      </c>
      <c r="F773" s="149">
        <v>1</v>
      </c>
      <c r="G773" s="149">
        <v>0</v>
      </c>
      <c r="H773" s="149">
        <v>1</v>
      </c>
      <c r="I773" s="149">
        <v>0</v>
      </c>
      <c r="J773" s="149">
        <v>0</v>
      </c>
      <c r="M773" s="160"/>
    </row>
    <row r="774" spans="1:13" s="136" customFormat="1" ht="9" customHeight="1" x14ac:dyDescent="0.25">
      <c r="A774" s="141" t="s">
        <v>26</v>
      </c>
      <c r="B774" s="150">
        <v>10</v>
      </c>
      <c r="C774" s="150">
        <v>9</v>
      </c>
      <c r="D774" s="150">
        <v>0</v>
      </c>
      <c r="E774" s="151">
        <v>3</v>
      </c>
      <c r="F774" s="151">
        <v>1</v>
      </c>
      <c r="G774" s="151">
        <v>0</v>
      </c>
      <c r="H774" s="151">
        <v>1</v>
      </c>
      <c r="I774" s="151">
        <v>0</v>
      </c>
      <c r="J774" s="151">
        <v>0</v>
      </c>
      <c r="M774" s="160"/>
    </row>
    <row r="775" spans="1:13" s="136" customFormat="1" ht="9" customHeight="1" x14ac:dyDescent="0.25">
      <c r="A775" s="140" t="s">
        <v>126</v>
      </c>
      <c r="B775" s="147">
        <v>37</v>
      </c>
      <c r="C775" s="147">
        <v>13</v>
      </c>
      <c r="D775" s="147">
        <v>8</v>
      </c>
      <c r="E775" s="149">
        <v>5</v>
      </c>
      <c r="F775" s="149">
        <v>2</v>
      </c>
      <c r="G775" s="149">
        <v>0</v>
      </c>
      <c r="H775" s="149">
        <v>3</v>
      </c>
      <c r="I775" s="149">
        <v>2</v>
      </c>
      <c r="J775" s="149">
        <v>0</v>
      </c>
      <c r="M775" s="160"/>
    </row>
    <row r="776" spans="1:13" s="136" customFormat="1" ht="9" customHeight="1" x14ac:dyDescent="0.25">
      <c r="A776" s="140" t="s">
        <v>28</v>
      </c>
      <c r="B776" s="147">
        <v>26</v>
      </c>
      <c r="C776" s="147">
        <v>90</v>
      </c>
      <c r="D776" s="147">
        <v>1</v>
      </c>
      <c r="E776" s="149">
        <v>3</v>
      </c>
      <c r="F776" s="149">
        <v>1</v>
      </c>
      <c r="G776" s="149">
        <v>0</v>
      </c>
      <c r="H776" s="149">
        <v>1</v>
      </c>
      <c r="I776" s="149">
        <v>0</v>
      </c>
      <c r="J776" s="149">
        <v>0</v>
      </c>
      <c r="M776" s="160"/>
    </row>
    <row r="777" spans="1:13" s="136" customFormat="1" ht="9" customHeight="1" x14ac:dyDescent="0.25">
      <c r="A777" s="140" t="s">
        <v>29</v>
      </c>
      <c r="B777" s="147">
        <v>3</v>
      </c>
      <c r="C777" s="147">
        <v>62</v>
      </c>
      <c r="D777" s="147">
        <v>0</v>
      </c>
      <c r="E777" s="149">
        <v>4</v>
      </c>
      <c r="F777" s="149">
        <v>2</v>
      </c>
      <c r="G777" s="149">
        <v>2</v>
      </c>
      <c r="H777" s="149">
        <v>0</v>
      </c>
      <c r="I777" s="149">
        <v>1</v>
      </c>
      <c r="J777" s="149">
        <v>0</v>
      </c>
      <c r="M777" s="160"/>
    </row>
    <row r="778" spans="1:13" s="136" customFormat="1" ht="9" customHeight="1" x14ac:dyDescent="0.25">
      <c r="A778" s="141" t="s">
        <v>30</v>
      </c>
      <c r="B778" s="150">
        <v>38</v>
      </c>
      <c r="C778" s="150">
        <v>21</v>
      </c>
      <c r="D778" s="150">
        <v>6</v>
      </c>
      <c r="E778" s="151">
        <v>5</v>
      </c>
      <c r="F778" s="151">
        <v>3</v>
      </c>
      <c r="G778" s="151">
        <v>3</v>
      </c>
      <c r="H778" s="151">
        <v>1</v>
      </c>
      <c r="I778" s="151">
        <v>2</v>
      </c>
      <c r="J778" s="151">
        <v>0</v>
      </c>
      <c r="M778" s="160"/>
    </row>
    <row r="779" spans="1:13" s="136" customFormat="1" ht="9" customHeight="1" x14ac:dyDescent="0.25">
      <c r="A779" s="140" t="s">
        <v>127</v>
      </c>
      <c r="B779" s="147">
        <v>176</v>
      </c>
      <c r="C779" s="147">
        <v>84</v>
      </c>
      <c r="D779" s="147">
        <v>0</v>
      </c>
      <c r="E779" s="149">
        <v>24</v>
      </c>
      <c r="F779" s="149">
        <v>4</v>
      </c>
      <c r="G779" s="149">
        <v>3</v>
      </c>
      <c r="H779" s="149">
        <v>11</v>
      </c>
      <c r="I779" s="149">
        <v>1</v>
      </c>
      <c r="J779" s="149">
        <v>0</v>
      </c>
      <c r="M779" s="160"/>
    </row>
    <row r="780" spans="1:13" s="136" customFormat="1" ht="9" customHeight="1" x14ac:dyDescent="0.25">
      <c r="A780" s="140" t="s">
        <v>31</v>
      </c>
      <c r="B780" s="147">
        <v>26</v>
      </c>
      <c r="C780" s="147">
        <v>17</v>
      </c>
      <c r="D780" s="147">
        <v>0</v>
      </c>
      <c r="E780" s="149">
        <v>2</v>
      </c>
      <c r="F780" s="149">
        <v>1</v>
      </c>
      <c r="G780" s="149">
        <v>2</v>
      </c>
      <c r="H780" s="149">
        <v>1</v>
      </c>
      <c r="I780" s="149">
        <v>0</v>
      </c>
      <c r="J780" s="149">
        <v>0</v>
      </c>
      <c r="M780" s="160"/>
    </row>
    <row r="781" spans="1:13" s="136" customFormat="1" ht="9" customHeight="1" x14ac:dyDescent="0.25">
      <c r="A781" s="140" t="s">
        <v>32</v>
      </c>
      <c r="B781" s="147">
        <v>10</v>
      </c>
      <c r="C781" s="147">
        <v>61</v>
      </c>
      <c r="D781" s="147">
        <v>1</v>
      </c>
      <c r="E781" s="149">
        <v>2</v>
      </c>
      <c r="F781" s="149">
        <v>3</v>
      </c>
      <c r="G781" s="149">
        <v>3</v>
      </c>
      <c r="H781" s="149">
        <v>1</v>
      </c>
      <c r="I781" s="149">
        <v>0</v>
      </c>
      <c r="J781" s="149">
        <v>0</v>
      </c>
      <c r="M781" s="160"/>
    </row>
    <row r="782" spans="1:13" s="136" customFormat="1" ht="9" customHeight="1" x14ac:dyDescent="0.25">
      <c r="A782" s="141" t="s">
        <v>33</v>
      </c>
      <c r="B782" s="150">
        <v>22</v>
      </c>
      <c r="C782" s="150">
        <v>36</v>
      </c>
      <c r="D782" s="150">
        <v>0</v>
      </c>
      <c r="E782" s="151">
        <v>5</v>
      </c>
      <c r="F782" s="151">
        <v>2</v>
      </c>
      <c r="G782" s="151">
        <v>1</v>
      </c>
      <c r="H782" s="151">
        <v>4</v>
      </c>
      <c r="I782" s="151">
        <v>0</v>
      </c>
      <c r="J782" s="151">
        <v>0</v>
      </c>
      <c r="M782" s="160"/>
    </row>
    <row r="783" spans="1:13" s="136" customFormat="1" ht="9" customHeight="1" x14ac:dyDescent="0.25">
      <c r="A783" s="140" t="s">
        <v>34</v>
      </c>
      <c r="B783" s="147">
        <v>9</v>
      </c>
      <c r="C783" s="147">
        <v>41</v>
      </c>
      <c r="D783" s="147">
        <v>0</v>
      </c>
      <c r="E783" s="149">
        <v>3</v>
      </c>
      <c r="F783" s="149">
        <v>4</v>
      </c>
      <c r="G783" s="149">
        <v>9</v>
      </c>
      <c r="H783" s="149">
        <v>0</v>
      </c>
      <c r="I783" s="149">
        <v>1</v>
      </c>
      <c r="J783" s="149">
        <v>0</v>
      </c>
      <c r="M783" s="160"/>
    </row>
    <row r="784" spans="1:13" s="136" customFormat="1" ht="9" customHeight="1" x14ac:dyDescent="0.25">
      <c r="A784" s="140" t="s">
        <v>35</v>
      </c>
      <c r="B784" s="147">
        <v>41</v>
      </c>
      <c r="C784" s="136">
        <v>30</v>
      </c>
      <c r="D784" s="136">
        <v>3</v>
      </c>
      <c r="E784" s="149">
        <v>4</v>
      </c>
      <c r="F784" s="149">
        <v>3</v>
      </c>
      <c r="G784" s="149">
        <v>1</v>
      </c>
      <c r="H784" s="149">
        <v>3</v>
      </c>
      <c r="I784" s="149">
        <v>1</v>
      </c>
      <c r="J784" s="149">
        <v>0</v>
      </c>
      <c r="M784" s="160"/>
    </row>
    <row r="785" spans="1:13" s="136" customFormat="1" ht="9" customHeight="1" x14ac:dyDescent="0.25">
      <c r="A785" s="140" t="s">
        <v>128</v>
      </c>
      <c r="B785" s="147">
        <v>60</v>
      </c>
      <c r="C785" s="147">
        <v>116</v>
      </c>
      <c r="D785" s="147">
        <v>7</v>
      </c>
      <c r="E785" s="149">
        <v>14</v>
      </c>
      <c r="F785" s="149">
        <v>2</v>
      </c>
      <c r="G785" s="149">
        <v>3</v>
      </c>
      <c r="H785" s="149">
        <v>5</v>
      </c>
      <c r="I785" s="149">
        <v>3</v>
      </c>
      <c r="J785" s="149">
        <v>0</v>
      </c>
      <c r="M785" s="160"/>
    </row>
    <row r="786" spans="1:13" s="136" customFormat="1" ht="9" customHeight="1" x14ac:dyDescent="0.25">
      <c r="A786" s="141" t="s">
        <v>129</v>
      </c>
      <c r="B786" s="150">
        <v>18</v>
      </c>
      <c r="C786" s="150">
        <v>21</v>
      </c>
      <c r="D786" s="150">
        <v>0</v>
      </c>
      <c r="E786" s="151">
        <v>4</v>
      </c>
      <c r="F786" s="151">
        <v>2</v>
      </c>
      <c r="G786" s="151">
        <v>1</v>
      </c>
      <c r="H786" s="151">
        <v>1</v>
      </c>
      <c r="I786" s="151">
        <v>0</v>
      </c>
      <c r="J786" s="151">
        <v>0</v>
      </c>
      <c r="M786" s="160"/>
    </row>
    <row r="787" spans="1:13" s="136" customFormat="1" ht="9" customHeight="1" x14ac:dyDescent="0.25">
      <c r="A787" s="140" t="s">
        <v>38</v>
      </c>
      <c r="B787" s="147">
        <v>33</v>
      </c>
      <c r="C787" s="147">
        <v>85</v>
      </c>
      <c r="D787" s="147">
        <v>3</v>
      </c>
      <c r="E787" s="149">
        <v>11</v>
      </c>
      <c r="F787" s="149">
        <v>1</v>
      </c>
      <c r="G787" s="149">
        <v>1</v>
      </c>
      <c r="H787" s="149">
        <v>8</v>
      </c>
      <c r="I787" s="149">
        <v>0</v>
      </c>
      <c r="J787" s="149">
        <v>1</v>
      </c>
      <c r="M787" s="160"/>
    </row>
    <row r="788" spans="1:13" s="136" customFormat="1" ht="9" customHeight="1" x14ac:dyDescent="0.25">
      <c r="A788" s="140" t="s">
        <v>39</v>
      </c>
      <c r="B788" s="147">
        <v>13</v>
      </c>
      <c r="C788" s="147">
        <v>14</v>
      </c>
      <c r="D788" s="147">
        <v>0</v>
      </c>
      <c r="E788" s="149">
        <v>2</v>
      </c>
      <c r="F788" s="149">
        <v>1</v>
      </c>
      <c r="G788" s="149">
        <v>2</v>
      </c>
      <c r="H788" s="149">
        <v>1</v>
      </c>
      <c r="I788" s="149">
        <v>0</v>
      </c>
      <c r="J788" s="149">
        <v>0</v>
      </c>
      <c r="M788" s="160"/>
    </row>
    <row r="789" spans="1:13" s="136" customFormat="1" ht="9" customHeight="1" x14ac:dyDescent="0.25">
      <c r="A789" s="140" t="s">
        <v>40</v>
      </c>
      <c r="B789" s="147">
        <v>104</v>
      </c>
      <c r="C789" s="147">
        <v>37</v>
      </c>
      <c r="D789" s="147">
        <v>2</v>
      </c>
      <c r="E789" s="149">
        <v>9</v>
      </c>
      <c r="F789" s="149">
        <v>2</v>
      </c>
      <c r="G789" s="149">
        <v>0</v>
      </c>
      <c r="H789" s="149">
        <v>4</v>
      </c>
      <c r="I789" s="149">
        <v>1</v>
      </c>
      <c r="J789" s="149">
        <v>0</v>
      </c>
      <c r="M789" s="160"/>
    </row>
    <row r="790" spans="1:13" s="136" customFormat="1" ht="9" customHeight="1" x14ac:dyDescent="0.25">
      <c r="A790" s="141" t="s">
        <v>41</v>
      </c>
      <c r="B790" s="150">
        <v>17</v>
      </c>
      <c r="C790" s="150">
        <v>31</v>
      </c>
      <c r="D790" s="150">
        <v>0</v>
      </c>
      <c r="E790" s="151">
        <v>1</v>
      </c>
      <c r="F790" s="151">
        <v>6</v>
      </c>
      <c r="G790" s="151">
        <v>7</v>
      </c>
      <c r="H790" s="151">
        <v>0</v>
      </c>
      <c r="I790" s="151">
        <v>0</v>
      </c>
      <c r="J790" s="151">
        <v>0</v>
      </c>
      <c r="M790" s="160"/>
    </row>
    <row r="791" spans="1:13" s="136" customFormat="1" ht="9" customHeight="1" x14ac:dyDescent="0.25">
      <c r="A791" s="140" t="s">
        <v>42</v>
      </c>
      <c r="B791" s="147">
        <v>63</v>
      </c>
      <c r="C791" s="147">
        <v>22</v>
      </c>
      <c r="D791" s="147">
        <v>1</v>
      </c>
      <c r="E791" s="149">
        <v>4</v>
      </c>
      <c r="F791" s="149">
        <v>1</v>
      </c>
      <c r="G791" s="149">
        <v>3</v>
      </c>
      <c r="H791" s="149">
        <v>1</v>
      </c>
      <c r="I791" s="149">
        <v>1</v>
      </c>
      <c r="J791" s="149">
        <v>1</v>
      </c>
      <c r="M791" s="160"/>
    </row>
    <row r="792" spans="1:13" s="136" customFormat="1" ht="9" customHeight="1" x14ac:dyDescent="0.25">
      <c r="A792" s="140" t="s">
        <v>43</v>
      </c>
      <c r="B792" s="147">
        <v>17</v>
      </c>
      <c r="C792" s="147">
        <v>33</v>
      </c>
      <c r="D792" s="147">
        <v>1</v>
      </c>
      <c r="E792" s="149">
        <v>3</v>
      </c>
      <c r="F792" s="149">
        <v>1</v>
      </c>
      <c r="G792" s="149">
        <v>0</v>
      </c>
      <c r="H792" s="149">
        <v>1</v>
      </c>
      <c r="I792" s="149">
        <v>0</v>
      </c>
      <c r="J792" s="149">
        <v>0</v>
      </c>
      <c r="M792" s="160"/>
    </row>
    <row r="793" spans="1:13" s="136" customFormat="1" ht="9" customHeight="1" x14ac:dyDescent="0.25">
      <c r="A793" s="140" t="s">
        <v>44</v>
      </c>
      <c r="B793" s="147">
        <v>13</v>
      </c>
      <c r="C793" s="147">
        <v>51</v>
      </c>
      <c r="D793" s="147">
        <v>1</v>
      </c>
      <c r="E793" s="149">
        <v>1</v>
      </c>
      <c r="F793" s="149">
        <v>1</v>
      </c>
      <c r="G793" s="149">
        <v>1</v>
      </c>
      <c r="H793" s="149">
        <v>1</v>
      </c>
      <c r="I793" s="149">
        <v>0</v>
      </c>
      <c r="J793" s="149">
        <v>0</v>
      </c>
      <c r="M793" s="160"/>
    </row>
    <row r="794" spans="1:13" s="136" customFormat="1" ht="9" customHeight="1" x14ac:dyDescent="0.25">
      <c r="A794" s="141" t="s">
        <v>45</v>
      </c>
      <c r="B794" s="150">
        <v>25</v>
      </c>
      <c r="C794" s="150">
        <v>76</v>
      </c>
      <c r="D794" s="150">
        <v>0</v>
      </c>
      <c r="E794" s="151">
        <v>2</v>
      </c>
      <c r="F794" s="151">
        <v>1</v>
      </c>
      <c r="G794" s="151">
        <v>2</v>
      </c>
      <c r="H794" s="151">
        <v>1</v>
      </c>
      <c r="I794" s="151">
        <v>1</v>
      </c>
      <c r="J794" s="151">
        <v>0</v>
      </c>
      <c r="M794" s="160"/>
    </row>
    <row r="795" spans="1:13" s="136" customFormat="1" ht="9" customHeight="1" x14ac:dyDescent="0.25">
      <c r="A795" s="140" t="s">
        <v>46</v>
      </c>
      <c r="B795" s="147">
        <v>74</v>
      </c>
      <c r="C795" s="147">
        <v>8</v>
      </c>
      <c r="D795" s="147">
        <v>2</v>
      </c>
      <c r="E795" s="149">
        <v>8</v>
      </c>
      <c r="F795" s="149">
        <v>4</v>
      </c>
      <c r="G795" s="149">
        <v>4</v>
      </c>
      <c r="H795" s="149">
        <v>6</v>
      </c>
      <c r="I795" s="149">
        <v>0</v>
      </c>
      <c r="J795" s="149">
        <v>0</v>
      </c>
      <c r="M795" s="160"/>
    </row>
    <row r="796" spans="1:13" s="136" customFormat="1" ht="9" customHeight="1" x14ac:dyDescent="0.25">
      <c r="A796" s="140" t="s">
        <v>47</v>
      </c>
      <c r="B796" s="147">
        <v>46</v>
      </c>
      <c r="C796" s="147">
        <v>77</v>
      </c>
      <c r="D796" s="147">
        <v>0</v>
      </c>
      <c r="E796" s="149">
        <v>5</v>
      </c>
      <c r="F796" s="149">
        <v>2</v>
      </c>
      <c r="G796" s="149">
        <v>0</v>
      </c>
      <c r="H796" s="149">
        <v>2</v>
      </c>
      <c r="I796" s="149">
        <v>0</v>
      </c>
      <c r="J796" s="149">
        <v>0</v>
      </c>
      <c r="M796" s="160"/>
    </row>
    <row r="797" spans="1:13" s="136" customFormat="1" ht="9" customHeight="1" x14ac:dyDescent="0.25">
      <c r="A797" s="140" t="s">
        <v>48</v>
      </c>
      <c r="B797" s="147">
        <v>4</v>
      </c>
      <c r="C797" s="147">
        <v>7</v>
      </c>
      <c r="D797" s="147">
        <v>1</v>
      </c>
      <c r="E797" s="149">
        <v>1</v>
      </c>
      <c r="F797" s="149">
        <v>1</v>
      </c>
      <c r="G797" s="149">
        <v>2</v>
      </c>
      <c r="H797" s="149">
        <v>1</v>
      </c>
      <c r="I797" s="149">
        <v>1</v>
      </c>
      <c r="J797" s="149">
        <v>0</v>
      </c>
      <c r="M797" s="160"/>
    </row>
    <row r="798" spans="1:13" s="136" customFormat="1" ht="9" customHeight="1" x14ac:dyDescent="0.25">
      <c r="A798" s="141" t="s">
        <v>49</v>
      </c>
      <c r="B798" s="150">
        <v>17</v>
      </c>
      <c r="C798" s="150">
        <v>38</v>
      </c>
      <c r="D798" s="150">
        <v>0</v>
      </c>
      <c r="E798" s="151">
        <v>5</v>
      </c>
      <c r="F798" s="151">
        <v>1</v>
      </c>
      <c r="G798" s="151">
        <v>2</v>
      </c>
      <c r="H798" s="151">
        <v>2</v>
      </c>
      <c r="I798" s="151">
        <v>1</v>
      </c>
      <c r="J798" s="151">
        <v>0</v>
      </c>
      <c r="M798" s="160"/>
    </row>
    <row r="799" spans="1:13" s="136" customFormat="1" ht="9" customHeight="1" x14ac:dyDescent="0.25">
      <c r="A799" s="140" t="s">
        <v>50</v>
      </c>
      <c r="B799" s="147">
        <v>14</v>
      </c>
      <c r="C799" s="147">
        <v>27</v>
      </c>
      <c r="D799" s="147">
        <v>3</v>
      </c>
      <c r="E799" s="149">
        <v>2</v>
      </c>
      <c r="F799" s="149">
        <v>1</v>
      </c>
      <c r="G799" s="149">
        <v>5</v>
      </c>
      <c r="H799" s="149">
        <v>1</v>
      </c>
      <c r="I799" s="149">
        <v>0</v>
      </c>
      <c r="J799" s="149">
        <v>2</v>
      </c>
      <c r="M799" s="160"/>
    </row>
    <row r="800" spans="1:13" s="136" customFormat="1" ht="9" customHeight="1" x14ac:dyDescent="0.25">
      <c r="A800" s="140" t="s">
        <v>130</v>
      </c>
      <c r="B800" s="147">
        <v>94</v>
      </c>
      <c r="C800" s="147">
        <v>63</v>
      </c>
      <c r="D800" s="147">
        <v>0</v>
      </c>
      <c r="E800" s="149">
        <v>10</v>
      </c>
      <c r="F800" s="149">
        <v>6</v>
      </c>
      <c r="G800" s="149">
        <v>4</v>
      </c>
      <c r="H800" s="149">
        <v>4</v>
      </c>
      <c r="I800" s="149">
        <v>1</v>
      </c>
      <c r="J800" s="149">
        <v>0</v>
      </c>
      <c r="M800" s="160"/>
    </row>
    <row r="801" spans="1:13" s="136" customFormat="1" ht="9" customHeight="1" x14ac:dyDescent="0.25">
      <c r="A801" s="140" t="s">
        <v>52</v>
      </c>
      <c r="B801" s="147">
        <v>15</v>
      </c>
      <c r="C801" s="147">
        <v>62</v>
      </c>
      <c r="D801" s="147">
        <v>0</v>
      </c>
      <c r="E801" s="149">
        <v>1</v>
      </c>
      <c r="F801" s="149">
        <v>1</v>
      </c>
      <c r="G801" s="149">
        <v>2</v>
      </c>
      <c r="H801" s="149">
        <v>1</v>
      </c>
      <c r="I801" s="149">
        <v>1</v>
      </c>
      <c r="J801" s="149">
        <v>0</v>
      </c>
      <c r="M801" s="160"/>
    </row>
    <row r="802" spans="1:13" s="136" customFormat="1" ht="9" customHeight="1" x14ac:dyDescent="0.25">
      <c r="A802" s="141" t="s">
        <v>53</v>
      </c>
      <c r="B802" s="150">
        <v>14</v>
      </c>
      <c r="C802" s="151">
        <v>69</v>
      </c>
      <c r="D802" s="151">
        <v>0</v>
      </c>
      <c r="E802" s="151">
        <v>2</v>
      </c>
      <c r="F802" s="151">
        <v>4</v>
      </c>
      <c r="G802" s="151">
        <v>6</v>
      </c>
      <c r="H802" s="151">
        <v>1</v>
      </c>
      <c r="I802" s="151">
        <v>0</v>
      </c>
      <c r="J802" s="151">
        <v>0</v>
      </c>
      <c r="M802" s="160"/>
    </row>
    <row r="803" spans="1:13" ht="3" customHeight="1" x14ac:dyDescent="0.25">
      <c r="A803" s="129"/>
      <c r="B803" s="129"/>
      <c r="C803" s="161"/>
      <c r="D803" s="161"/>
      <c r="E803" s="161"/>
      <c r="F803" s="161"/>
      <c r="G803" s="161"/>
      <c r="H803" s="161"/>
      <c r="I803" s="162"/>
      <c r="J803" s="161"/>
    </row>
    <row r="804" spans="1:13" ht="3" customHeight="1" x14ac:dyDescent="0.25">
      <c r="A804" s="130"/>
      <c r="B804" s="130"/>
      <c r="C804" s="163"/>
      <c r="D804" s="163"/>
      <c r="E804" s="163"/>
      <c r="F804" s="163"/>
      <c r="G804" s="163"/>
      <c r="H804" s="163"/>
      <c r="I804" s="164"/>
      <c r="J804" s="163"/>
    </row>
    <row r="805" spans="1:13" s="133" customFormat="1" ht="9" customHeight="1" x14ac:dyDescent="0.15">
      <c r="A805" s="165" t="s">
        <v>131</v>
      </c>
      <c r="B805" s="166"/>
      <c r="C805" s="167"/>
      <c r="D805" s="167"/>
      <c r="E805" s="167"/>
      <c r="F805" s="167"/>
      <c r="G805" s="167"/>
      <c r="H805" s="167"/>
      <c r="I805" s="168"/>
      <c r="J805" s="167"/>
    </row>
    <row r="806" spans="1:13" s="133" customFormat="1" ht="9" customHeight="1" x14ac:dyDescent="0.15">
      <c r="A806" s="165" t="s">
        <v>132</v>
      </c>
      <c r="B806" s="166"/>
      <c r="C806" s="167"/>
      <c r="D806" s="167"/>
      <c r="E806" s="167"/>
      <c r="F806" s="167"/>
      <c r="G806" s="167"/>
      <c r="H806" s="167"/>
      <c r="I806" s="168"/>
      <c r="J806" s="167"/>
    </row>
    <row r="807" spans="1:13" s="133" customFormat="1" ht="9" customHeight="1" x14ac:dyDescent="0.15">
      <c r="A807" s="165" t="s">
        <v>133</v>
      </c>
      <c r="B807" s="166"/>
      <c r="C807" s="167"/>
      <c r="D807" s="167"/>
      <c r="E807" s="167"/>
      <c r="F807" s="167"/>
      <c r="G807" s="167"/>
      <c r="H807" s="167"/>
      <c r="I807" s="168"/>
      <c r="J807" s="167"/>
    </row>
    <row r="808" spans="1:13" s="133" customFormat="1" ht="9" customHeight="1" x14ac:dyDescent="0.15">
      <c r="A808" s="165" t="s">
        <v>134</v>
      </c>
      <c r="B808" s="166"/>
      <c r="C808" s="167"/>
      <c r="D808" s="167"/>
      <c r="E808" s="167"/>
      <c r="F808" s="167"/>
      <c r="G808" s="167"/>
      <c r="H808" s="167"/>
      <c r="I808" s="168"/>
      <c r="J808" s="167"/>
    </row>
    <row r="809" spans="1:13" s="133" customFormat="1" ht="9" customHeight="1" x14ac:dyDescent="0.15">
      <c r="A809" s="169" t="s">
        <v>135</v>
      </c>
      <c r="B809" s="166"/>
      <c r="C809" s="166"/>
      <c r="D809" s="166"/>
      <c r="E809" s="166"/>
      <c r="F809" s="166"/>
      <c r="G809" s="166"/>
      <c r="H809" s="166"/>
      <c r="I809" s="166"/>
      <c r="J809" s="166"/>
    </row>
    <row r="810" spans="1:13" ht="11.25" hidden="1" customHeight="1" x14ac:dyDescent="0.25">
      <c r="A810" s="170"/>
      <c r="B810" s="170"/>
      <c r="K810" s="131" t="s">
        <v>74</v>
      </c>
    </row>
    <row r="811" spans="1:13" ht="11.25" hidden="1" customHeight="1" x14ac:dyDescent="0.25">
      <c r="A811" s="126"/>
      <c r="B811" s="126"/>
      <c r="C811" s="171"/>
      <c r="D811" s="171"/>
      <c r="E811" s="171"/>
      <c r="F811" s="171"/>
      <c r="G811" s="171"/>
      <c r="H811" s="171"/>
      <c r="I811" s="171"/>
      <c r="J811" s="171"/>
    </row>
    <row r="812" spans="1:13" ht="11.25" hidden="1" customHeight="1" x14ac:dyDescent="0.25">
      <c r="A812" s="130"/>
      <c r="B812" s="130"/>
      <c r="I812" s="172"/>
    </row>
    <row r="813" spans="1:13" ht="11.25" hidden="1" customHeight="1" x14ac:dyDescent="0.25">
      <c r="A813" s="130"/>
      <c r="B813" s="130"/>
      <c r="I813" s="172"/>
    </row>
    <row r="814" spans="1:13" ht="11.25" hidden="1" customHeight="1" x14ac:dyDescent="0.25">
      <c r="A814" s="130"/>
      <c r="B814" s="130"/>
      <c r="I814" s="172"/>
    </row>
    <row r="815" spans="1:13" ht="11.25" hidden="1" customHeight="1" x14ac:dyDescent="0.25">
      <c r="A815" s="130"/>
      <c r="B815" s="130"/>
      <c r="I815" s="172"/>
    </row>
    <row r="816" spans="1:13" ht="11.25" hidden="1" customHeight="1" x14ac:dyDescent="0.25">
      <c r="A816" s="130"/>
      <c r="B816" s="130"/>
    </row>
    <row r="817" spans="1:9" ht="11.25" hidden="1" customHeight="1" x14ac:dyDescent="0.25">
      <c r="A817" s="130"/>
      <c r="B817" s="130"/>
      <c r="I817" s="172"/>
    </row>
    <row r="818" spans="1:9" ht="11.25" hidden="1" customHeight="1" x14ac:dyDescent="0.25">
      <c r="A818" s="130"/>
      <c r="B818" s="130"/>
      <c r="H818" s="172"/>
    </row>
    <row r="819" spans="1:9" ht="11.25" hidden="1" customHeight="1" x14ac:dyDescent="0.25">
      <c r="A819" s="130"/>
      <c r="B819" s="130"/>
    </row>
    <row r="820" spans="1:9" ht="11.25" hidden="1" customHeight="1" x14ac:dyDescent="0.25">
      <c r="A820" s="130"/>
      <c r="B820" s="130"/>
    </row>
    <row r="821" spans="1:9" ht="11.25" hidden="1" customHeight="1" x14ac:dyDescent="0.25">
      <c r="A821" s="130"/>
      <c r="B821" s="130"/>
      <c r="I821" s="172"/>
    </row>
    <row r="822" spans="1:9" ht="11.25" hidden="1" customHeight="1" x14ac:dyDescent="0.25">
      <c r="A822" s="130"/>
      <c r="B822" s="130"/>
      <c r="I822" s="172"/>
    </row>
    <row r="823" spans="1:9" ht="11.25" hidden="1" customHeight="1" x14ac:dyDescent="0.25">
      <c r="A823" s="130"/>
      <c r="B823" s="130"/>
      <c r="I823" s="172"/>
    </row>
    <row r="824" spans="1:9" ht="11.25" hidden="1" customHeight="1" x14ac:dyDescent="0.25">
      <c r="A824" s="130"/>
      <c r="B824" s="130"/>
    </row>
    <row r="825" spans="1:9" ht="11.25" hidden="1" customHeight="1" x14ac:dyDescent="0.25">
      <c r="A825" s="130"/>
      <c r="B825" s="130"/>
    </row>
    <row r="826" spans="1:9" ht="11.25" hidden="1" customHeight="1" x14ac:dyDescent="0.25">
      <c r="A826" s="130"/>
      <c r="B826" s="130"/>
    </row>
    <row r="827" spans="1:9" ht="11.25" hidden="1" customHeight="1" x14ac:dyDescent="0.25">
      <c r="A827" s="130"/>
      <c r="B827" s="130"/>
      <c r="I827" s="172"/>
    </row>
    <row r="828" spans="1:9" ht="11.25" hidden="1" customHeight="1" x14ac:dyDescent="0.25">
      <c r="A828" s="130"/>
      <c r="B828" s="130"/>
      <c r="I828" s="172"/>
    </row>
    <row r="829" spans="1:9" ht="11.25" hidden="1" customHeight="1" x14ac:dyDescent="0.25">
      <c r="A829" s="130"/>
      <c r="B829" s="130"/>
      <c r="I829" s="172"/>
    </row>
    <row r="830" spans="1:9" ht="11.25" hidden="1" customHeight="1" x14ac:dyDescent="0.25">
      <c r="A830" s="130"/>
      <c r="B830" s="130"/>
    </row>
    <row r="831" spans="1:9" ht="11.25" hidden="1" customHeight="1" x14ac:dyDescent="0.25">
      <c r="A831" s="130"/>
      <c r="B831" s="130"/>
      <c r="H831" s="172"/>
    </row>
    <row r="832" spans="1:9" ht="11.25" hidden="1" customHeight="1" x14ac:dyDescent="0.25">
      <c r="A832" s="130"/>
      <c r="B832" s="130"/>
    </row>
    <row r="833" spans="1:9" ht="11.25" hidden="1" customHeight="1" x14ac:dyDescent="0.25">
      <c r="A833" s="130"/>
      <c r="B833" s="130"/>
      <c r="H833" s="172"/>
    </row>
    <row r="834" spans="1:9" ht="11.25" hidden="1" customHeight="1" x14ac:dyDescent="0.25">
      <c r="A834" s="130"/>
      <c r="B834" s="130"/>
      <c r="I834" s="172"/>
    </row>
    <row r="835" spans="1:9" ht="11.25" hidden="1" customHeight="1" x14ac:dyDescent="0.25">
      <c r="A835" s="130"/>
      <c r="B835" s="130"/>
    </row>
    <row r="836" spans="1:9" ht="11.25" hidden="1" customHeight="1" x14ac:dyDescent="0.25">
      <c r="A836" s="130"/>
      <c r="B836" s="130"/>
      <c r="I836" s="172"/>
    </row>
    <row r="837" spans="1:9" ht="11.25" hidden="1" customHeight="1" x14ac:dyDescent="0.25">
      <c r="A837" s="130"/>
      <c r="B837" s="130"/>
      <c r="I837" s="172"/>
    </row>
    <row r="838" spans="1:9" ht="11.25" hidden="1" customHeight="1" x14ac:dyDescent="0.25">
      <c r="A838" s="130"/>
      <c r="B838" s="130"/>
      <c r="I838" s="172"/>
    </row>
    <row r="839" spans="1:9" ht="11.25" hidden="1" customHeight="1" x14ac:dyDescent="0.25">
      <c r="A839" s="130"/>
      <c r="B839" s="130"/>
      <c r="I839" s="172"/>
    </row>
    <row r="840" spans="1:9" ht="11.25" hidden="1" customHeight="1" x14ac:dyDescent="0.25">
      <c r="A840" s="130"/>
      <c r="B840" s="130"/>
      <c r="I840" s="172"/>
    </row>
    <row r="841" spans="1:9" ht="11.25" hidden="1" customHeight="1" x14ac:dyDescent="0.25">
      <c r="A841" s="130"/>
      <c r="B841" s="130"/>
    </row>
    <row r="842" spans="1:9" ht="11.25" hidden="1" customHeight="1" x14ac:dyDescent="0.25">
      <c r="A842" s="130"/>
      <c r="B842" s="130"/>
    </row>
    <row r="843" spans="1:9" ht="11.25" hidden="1" customHeight="1" x14ac:dyDescent="0.25">
      <c r="A843" s="130"/>
      <c r="B843" s="130"/>
      <c r="I843" s="172"/>
    </row>
  </sheetData>
  <sheetProtection sheet="1" objects="1" scenarios="1"/>
  <mergeCells count="8">
    <mergeCell ref="I1:J1"/>
    <mergeCell ref="A6:A9"/>
    <mergeCell ref="B6:B9"/>
    <mergeCell ref="D6:D7"/>
    <mergeCell ref="E6:E9"/>
    <mergeCell ref="G6:G9"/>
    <mergeCell ref="I6:I7"/>
    <mergeCell ref="J6:J9"/>
  </mergeCells>
  <hyperlinks>
    <hyperlink ref="I1" location="Índice!A1" display="Índice!A1"/>
    <hyperlink ref="I1:J1" location="Índice!A1" tooltip="Ir a Índice" display="Índice!A1"/>
  </hyperlinks>
  <printOptions horizontalCentered="1" verticalCentered="1"/>
  <pageMargins left="0.39370078740157483" right="0.39370078740157483" top="0.39370078740157483" bottom="0.39370078740157483" header="0.39370078740157483" footer="0.39370078740157483"/>
  <pageSetup orientation="portrait" r:id="rId1"/>
  <headerFooter>
    <oddHeader>&amp;L&amp;"Arial,Normal"&amp;10&amp;K000080INEGI. Anuario estadístico y geográfico por entidad federativa 2019.</oddHeader>
  </headerFooter>
  <rowBreaks count="10" manualBreakCount="10">
    <brk id="83" max="16383" man="1"/>
    <brk id="155" max="16383" man="1"/>
    <brk id="227" max="16383" man="1"/>
    <brk id="299" max="16383" man="1"/>
    <brk id="371" max="16383" man="1"/>
    <brk id="443" max="16383" man="1"/>
    <brk id="515" max="9" man="1"/>
    <brk id="587" max="16383" man="1"/>
    <brk id="659" max="9" man="1"/>
    <brk id="731" max="9" man="1"/>
  </rowBreak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44"/>
  <sheetViews>
    <sheetView showGridLines="0" showRowColHeaders="0" zoomScale="130" zoomScaleNormal="130" workbookViewId="0">
      <pane xSplit="1" ySplit="9" topLeftCell="B10" activePane="bottomRight" state="frozen"/>
      <selection activeCell="B5" sqref="B5"/>
      <selection pane="topRight" activeCell="B5" sqref="B5"/>
      <selection pane="bottomLeft" activeCell="B5" sqref="B5"/>
      <selection pane="bottomRight"/>
    </sheetView>
  </sheetViews>
  <sheetFormatPr baseColWidth="10" defaultColWidth="0" defaultRowHeight="11.25" customHeight="1" zeroHeight="1" x14ac:dyDescent="0.25"/>
  <cols>
    <col min="1" max="1" width="17.7109375" style="174" customWidth="1"/>
    <col min="2" max="2" width="7.7109375" style="174" customWidth="1"/>
    <col min="3" max="5" width="9.140625" style="174" customWidth="1"/>
    <col min="6" max="6" width="2.28515625" style="174" customWidth="1"/>
    <col min="7" max="10" width="9.140625" style="174" customWidth="1"/>
    <col min="11" max="11" width="0.85546875" style="174" customWidth="1"/>
    <col min="12" max="16384" width="11.42578125" style="174" hidden="1"/>
  </cols>
  <sheetData>
    <row r="1" spans="1:10" s="124" customFormat="1" ht="12" customHeight="1" x14ac:dyDescent="0.2">
      <c r="A1" s="121" t="s">
        <v>136</v>
      </c>
      <c r="B1" s="123"/>
      <c r="C1" s="123"/>
      <c r="D1" s="123"/>
      <c r="E1" s="123"/>
      <c r="F1" s="123"/>
      <c r="G1" s="123"/>
      <c r="H1" s="123"/>
      <c r="I1" s="123"/>
      <c r="J1" s="769" t="s">
        <v>137</v>
      </c>
    </row>
    <row r="2" spans="1:10" s="124" customFormat="1" ht="12" customHeight="1" x14ac:dyDescent="0.2">
      <c r="A2" s="121" t="s">
        <v>138</v>
      </c>
      <c r="B2" s="123"/>
      <c r="C2" s="123"/>
      <c r="D2" s="123"/>
      <c r="E2" s="123"/>
      <c r="F2" s="123"/>
      <c r="G2" s="123"/>
      <c r="H2" s="123"/>
      <c r="I2" s="123"/>
      <c r="J2" s="125"/>
    </row>
    <row r="3" spans="1:10" s="124" customFormat="1" ht="12" customHeight="1" x14ac:dyDescent="0.25">
      <c r="A3" s="126" t="s">
        <v>115</v>
      </c>
      <c r="B3" s="123"/>
      <c r="C3" s="123"/>
      <c r="D3" s="123"/>
      <c r="E3" s="123"/>
      <c r="F3" s="123"/>
      <c r="G3" s="123"/>
      <c r="H3" s="123"/>
      <c r="I3" s="123"/>
      <c r="J3" s="123"/>
    </row>
    <row r="4" spans="1:10" ht="3" customHeight="1" x14ac:dyDescent="0.25">
      <c r="A4" s="173"/>
      <c r="B4" s="173"/>
      <c r="C4" s="173"/>
      <c r="D4" s="173"/>
      <c r="E4" s="173"/>
      <c r="F4" s="173"/>
      <c r="G4" s="173"/>
      <c r="H4" s="173"/>
      <c r="I4" s="173"/>
      <c r="J4" s="173"/>
    </row>
    <row r="5" spans="1:10" ht="3" customHeight="1" x14ac:dyDescent="0.25">
      <c r="A5" s="175"/>
      <c r="B5" s="175"/>
      <c r="C5" s="175"/>
      <c r="D5" s="175"/>
      <c r="E5" s="175"/>
      <c r="F5" s="175"/>
      <c r="G5" s="175"/>
      <c r="H5" s="175"/>
      <c r="I5" s="175"/>
      <c r="J5" s="175"/>
    </row>
    <row r="6" spans="1:10" s="133" customFormat="1" ht="8.25" customHeight="1" x14ac:dyDescent="0.25">
      <c r="A6" s="860" t="s">
        <v>116</v>
      </c>
      <c r="B6" s="176" t="s">
        <v>139</v>
      </c>
      <c r="C6" s="176"/>
      <c r="D6" s="176"/>
      <c r="E6" s="176"/>
      <c r="F6" s="166"/>
      <c r="G6" s="176" t="s">
        <v>140</v>
      </c>
      <c r="H6" s="176"/>
      <c r="I6" s="176"/>
      <c r="J6" s="176"/>
    </row>
    <row r="7" spans="1:10" s="133" customFormat="1" ht="9" customHeight="1" x14ac:dyDescent="0.15">
      <c r="A7" s="861"/>
      <c r="B7" s="865" t="s">
        <v>13</v>
      </c>
      <c r="C7" s="865" t="s">
        <v>141</v>
      </c>
      <c r="D7" s="865" t="s">
        <v>142</v>
      </c>
      <c r="E7" s="865" t="s">
        <v>143</v>
      </c>
      <c r="F7" s="134"/>
      <c r="G7" s="865" t="s">
        <v>13</v>
      </c>
      <c r="H7" s="865" t="s">
        <v>141</v>
      </c>
      <c r="I7" s="865" t="s">
        <v>142</v>
      </c>
      <c r="J7" s="865" t="s">
        <v>143</v>
      </c>
    </row>
    <row r="8" spans="1:10" s="133" customFormat="1" ht="8.65" customHeight="1" x14ac:dyDescent="0.15">
      <c r="A8" s="861"/>
      <c r="B8" s="866"/>
      <c r="C8" s="866"/>
      <c r="D8" s="866"/>
      <c r="E8" s="866"/>
      <c r="F8" s="134"/>
      <c r="G8" s="866"/>
      <c r="H8" s="866"/>
      <c r="I8" s="866"/>
      <c r="J8" s="866"/>
    </row>
    <row r="9" spans="1:10" ht="3" customHeight="1" x14ac:dyDescent="0.25">
      <c r="A9" s="173"/>
      <c r="B9" s="173"/>
      <c r="C9" s="173"/>
      <c r="D9" s="173"/>
      <c r="E9" s="173"/>
      <c r="F9" s="173"/>
      <c r="G9" s="173"/>
      <c r="H9" s="173"/>
      <c r="I9" s="173"/>
      <c r="J9" s="173"/>
    </row>
    <row r="10" spans="1:10" ht="3" customHeight="1" x14ac:dyDescent="0.25">
      <c r="A10" s="175"/>
      <c r="B10" s="175"/>
      <c r="C10" s="175"/>
      <c r="D10" s="175"/>
      <c r="E10" s="175"/>
      <c r="F10" s="175"/>
      <c r="G10" s="175"/>
      <c r="H10" s="175"/>
      <c r="I10" s="175"/>
      <c r="J10" s="175"/>
    </row>
    <row r="11" spans="1:10" s="136" customFormat="1" ht="9" customHeight="1" x14ac:dyDescent="0.25">
      <c r="A11" s="177">
        <v>1997</v>
      </c>
      <c r="B11" s="17"/>
      <c r="C11" s="17"/>
      <c r="D11" s="17"/>
      <c r="E11" s="17"/>
      <c r="F11" s="17"/>
      <c r="G11" s="17"/>
      <c r="H11" s="17"/>
      <c r="I11" s="17"/>
      <c r="J11" s="17"/>
    </row>
    <row r="12" spans="1:10" s="136" customFormat="1" ht="9" customHeight="1" x14ac:dyDescent="0.25">
      <c r="A12" s="138" t="s">
        <v>13</v>
      </c>
      <c r="B12" s="148">
        <f>SUM(B14:B46)</f>
        <v>7615929</v>
      </c>
      <c r="C12" s="148">
        <f>SUM(C14:C46)</f>
        <v>1211454</v>
      </c>
      <c r="D12" s="148">
        <f>SUM(D14:D46)</f>
        <v>5974147</v>
      </c>
      <c r="E12" s="148">
        <f>SUM(E14:E46)</f>
        <v>430328</v>
      </c>
      <c r="F12" s="148"/>
      <c r="G12" s="148">
        <f>SUM(G14:G46)</f>
        <v>58680443</v>
      </c>
      <c r="H12" s="148">
        <f>SUM(H14:H46)</f>
        <v>9863293</v>
      </c>
      <c r="I12" s="148">
        <f>SUM(I14:I46)</f>
        <v>33006608</v>
      </c>
      <c r="J12" s="148">
        <f>SUM(J14:J46)</f>
        <v>15810542</v>
      </c>
    </row>
    <row r="13" spans="1:10" s="136" customFormat="1" ht="3" customHeight="1" x14ac:dyDescent="0.25">
      <c r="A13" s="138"/>
      <c r="B13" s="148"/>
      <c r="C13" s="148"/>
      <c r="D13" s="148"/>
      <c r="E13" s="148"/>
      <c r="F13" s="148"/>
      <c r="G13" s="148"/>
      <c r="H13" s="148"/>
      <c r="I13" s="148"/>
      <c r="J13" s="148"/>
    </row>
    <row r="14" spans="1:10" s="136" customFormat="1" ht="9" customHeight="1" x14ac:dyDescent="0.25">
      <c r="A14" s="140" t="s">
        <v>23</v>
      </c>
      <c r="B14" s="147">
        <f t="shared" ref="B14:B45" si="0">SUM(C14,D14,E14)</f>
        <v>93425</v>
      </c>
      <c r="C14" s="152">
        <v>17918</v>
      </c>
      <c r="D14" s="152">
        <v>68449</v>
      </c>
      <c r="E14" s="152">
        <v>7058</v>
      </c>
      <c r="F14" s="152"/>
      <c r="G14" s="147">
        <f t="shared" ref="G14:G45" si="1">SUM(H14,I14,J14)</f>
        <v>797059</v>
      </c>
      <c r="H14" s="152">
        <v>136752</v>
      </c>
      <c r="I14" s="152">
        <v>402140</v>
      </c>
      <c r="J14" s="152">
        <v>258167</v>
      </c>
    </row>
    <row r="15" spans="1:10" s="136" customFormat="1" ht="9" customHeight="1" x14ac:dyDescent="0.25">
      <c r="A15" s="140" t="s">
        <v>24</v>
      </c>
      <c r="B15" s="147">
        <f t="shared" si="0"/>
        <v>362122</v>
      </c>
      <c r="C15" s="152">
        <v>67401</v>
      </c>
      <c r="D15" s="152">
        <v>260357</v>
      </c>
      <c r="E15" s="152">
        <v>34364</v>
      </c>
      <c r="F15" s="152"/>
      <c r="G15" s="147">
        <f t="shared" si="1"/>
        <v>3144067</v>
      </c>
      <c r="H15" s="152">
        <v>480474</v>
      </c>
      <c r="I15" s="152">
        <v>1464470</v>
      </c>
      <c r="J15" s="152">
        <v>1199123</v>
      </c>
    </row>
    <row r="16" spans="1:10" s="136" customFormat="1" ht="9" customHeight="1" x14ac:dyDescent="0.25">
      <c r="A16" s="140" t="s">
        <v>25</v>
      </c>
      <c r="B16" s="147">
        <f t="shared" si="0"/>
        <v>48709</v>
      </c>
      <c r="C16" s="152">
        <v>4323</v>
      </c>
      <c r="D16" s="152">
        <v>41357</v>
      </c>
      <c r="E16" s="152">
        <v>3029</v>
      </c>
      <c r="F16" s="152"/>
      <c r="G16" s="147">
        <f t="shared" si="1"/>
        <v>323528</v>
      </c>
      <c r="H16" s="152">
        <v>30161</v>
      </c>
      <c r="I16" s="152">
        <v>178434</v>
      </c>
      <c r="J16" s="152">
        <v>114933</v>
      </c>
    </row>
    <row r="17" spans="1:10" s="136" customFormat="1" ht="9" customHeight="1" x14ac:dyDescent="0.25">
      <c r="A17" s="141" t="s">
        <v>26</v>
      </c>
      <c r="B17" s="150">
        <f t="shared" si="0"/>
        <v>56808</v>
      </c>
      <c r="C17" s="150">
        <v>6678</v>
      </c>
      <c r="D17" s="150">
        <v>47953</v>
      </c>
      <c r="E17" s="150">
        <v>2177</v>
      </c>
      <c r="F17" s="150"/>
      <c r="G17" s="150">
        <f t="shared" si="1"/>
        <v>363714</v>
      </c>
      <c r="H17" s="150">
        <v>63680</v>
      </c>
      <c r="I17" s="150">
        <v>218623</v>
      </c>
      <c r="J17" s="150">
        <v>81411</v>
      </c>
    </row>
    <row r="18" spans="1:10" s="136" customFormat="1" ht="9" customHeight="1" x14ac:dyDescent="0.25">
      <c r="A18" s="140" t="s">
        <v>126</v>
      </c>
      <c r="B18" s="147">
        <f t="shared" si="0"/>
        <v>386548</v>
      </c>
      <c r="C18" s="152">
        <v>62889</v>
      </c>
      <c r="D18" s="152">
        <v>305141</v>
      </c>
      <c r="E18" s="152">
        <v>18518</v>
      </c>
      <c r="F18" s="152"/>
      <c r="G18" s="147">
        <f t="shared" si="1"/>
        <v>2888852</v>
      </c>
      <c r="H18" s="152">
        <v>504845</v>
      </c>
      <c r="I18" s="152">
        <v>1726061</v>
      </c>
      <c r="J18" s="152">
        <v>657946</v>
      </c>
    </row>
    <row r="19" spans="1:10" s="136" customFormat="1" ht="9" customHeight="1" x14ac:dyDescent="0.25">
      <c r="A19" s="140" t="s">
        <v>28</v>
      </c>
      <c r="B19" s="147">
        <f t="shared" si="0"/>
        <v>52543</v>
      </c>
      <c r="C19" s="152">
        <v>3660</v>
      </c>
      <c r="D19" s="152">
        <v>46247</v>
      </c>
      <c r="E19" s="152">
        <v>2636</v>
      </c>
      <c r="F19" s="152"/>
      <c r="G19" s="147">
        <f t="shared" si="1"/>
        <v>394835</v>
      </c>
      <c r="H19" s="152">
        <v>42937</v>
      </c>
      <c r="I19" s="152">
        <v>254566</v>
      </c>
      <c r="J19" s="152">
        <v>97332</v>
      </c>
    </row>
    <row r="20" spans="1:10" s="136" customFormat="1" ht="9" customHeight="1" x14ac:dyDescent="0.25">
      <c r="A20" s="140" t="s">
        <v>29</v>
      </c>
      <c r="B20" s="147">
        <f t="shared" si="0"/>
        <v>68187</v>
      </c>
      <c r="C20" s="152">
        <v>6004</v>
      </c>
      <c r="D20" s="152">
        <v>59098</v>
      </c>
      <c r="E20" s="152">
        <v>3085</v>
      </c>
      <c r="F20" s="152"/>
      <c r="G20" s="147">
        <f t="shared" si="1"/>
        <v>452542</v>
      </c>
      <c r="H20" s="152">
        <v>56982</v>
      </c>
      <c r="I20" s="152">
        <v>277929</v>
      </c>
      <c r="J20" s="152">
        <v>117631</v>
      </c>
    </row>
    <row r="21" spans="1:10" s="136" customFormat="1" ht="9" customHeight="1" x14ac:dyDescent="0.25">
      <c r="A21" s="141" t="s">
        <v>30</v>
      </c>
      <c r="B21" s="150">
        <f t="shared" si="0"/>
        <v>369496</v>
      </c>
      <c r="C21" s="150">
        <v>57447</v>
      </c>
      <c r="D21" s="150">
        <v>271905</v>
      </c>
      <c r="E21" s="150">
        <v>40144</v>
      </c>
      <c r="F21" s="150"/>
      <c r="G21" s="150">
        <f t="shared" si="1"/>
        <v>3497487</v>
      </c>
      <c r="H21" s="150">
        <v>480953</v>
      </c>
      <c r="I21" s="150">
        <v>1631759</v>
      </c>
      <c r="J21" s="150">
        <v>1384775</v>
      </c>
    </row>
    <row r="22" spans="1:10" s="136" customFormat="1" ht="9" customHeight="1" x14ac:dyDescent="0.25">
      <c r="A22" s="140" t="s">
        <v>144</v>
      </c>
      <c r="B22" s="147">
        <f t="shared" si="0"/>
        <v>1295500</v>
      </c>
      <c r="C22" s="152">
        <v>218668</v>
      </c>
      <c r="D22" s="152">
        <v>1023395</v>
      </c>
      <c r="E22" s="152">
        <v>53437</v>
      </c>
      <c r="F22" s="152"/>
      <c r="G22" s="147">
        <f t="shared" si="1"/>
        <v>9088329</v>
      </c>
      <c r="H22" s="152">
        <v>1634708</v>
      </c>
      <c r="I22" s="152">
        <v>5403226</v>
      </c>
      <c r="J22" s="152">
        <v>2050395</v>
      </c>
    </row>
    <row r="23" spans="1:10" s="136" customFormat="1" ht="9" customHeight="1" x14ac:dyDescent="0.25">
      <c r="A23" s="140" t="s">
        <v>31</v>
      </c>
      <c r="B23" s="147">
        <f t="shared" si="0"/>
        <v>100929</v>
      </c>
      <c r="C23" s="152">
        <v>18002</v>
      </c>
      <c r="D23" s="152">
        <v>76417</v>
      </c>
      <c r="E23" s="152">
        <v>6510</v>
      </c>
      <c r="F23" s="152"/>
      <c r="G23" s="147">
        <f t="shared" si="1"/>
        <v>900762</v>
      </c>
      <c r="H23" s="152">
        <v>157277</v>
      </c>
      <c r="I23" s="152">
        <v>497447</v>
      </c>
      <c r="J23" s="152">
        <v>246038</v>
      </c>
    </row>
    <row r="24" spans="1:10" s="136" customFormat="1" ht="9" customHeight="1" x14ac:dyDescent="0.25">
      <c r="A24" s="140" t="s">
        <v>32</v>
      </c>
      <c r="B24" s="147">
        <f t="shared" si="0"/>
        <v>233451</v>
      </c>
      <c r="C24" s="152">
        <v>30029</v>
      </c>
      <c r="D24" s="152">
        <v>188913</v>
      </c>
      <c r="E24" s="152">
        <v>14509</v>
      </c>
      <c r="F24" s="152"/>
      <c r="G24" s="147">
        <f t="shared" si="1"/>
        <v>2054481</v>
      </c>
      <c r="H24" s="152">
        <v>283144</v>
      </c>
      <c r="I24" s="152">
        <v>1216904</v>
      </c>
      <c r="J24" s="152">
        <v>554433</v>
      </c>
    </row>
    <row r="25" spans="1:10" s="136" customFormat="1" ht="9" customHeight="1" x14ac:dyDescent="0.25">
      <c r="A25" s="141" t="s">
        <v>33</v>
      </c>
      <c r="B25" s="150">
        <f t="shared" si="0"/>
        <v>86458</v>
      </c>
      <c r="C25" s="150">
        <v>6400</v>
      </c>
      <c r="D25" s="150">
        <v>75818</v>
      </c>
      <c r="E25" s="150">
        <v>4240</v>
      </c>
      <c r="F25" s="150"/>
      <c r="G25" s="150">
        <f t="shared" si="1"/>
        <v>616493</v>
      </c>
      <c r="H25" s="150">
        <v>59563</v>
      </c>
      <c r="I25" s="150">
        <v>397238</v>
      </c>
      <c r="J25" s="150">
        <v>159692</v>
      </c>
    </row>
    <row r="26" spans="1:10" s="136" customFormat="1" ht="9" customHeight="1" x14ac:dyDescent="0.25">
      <c r="A26" s="140" t="s">
        <v>34</v>
      </c>
      <c r="B26" s="147">
        <f t="shared" si="0"/>
        <v>91127</v>
      </c>
      <c r="C26" s="152">
        <v>10898</v>
      </c>
      <c r="D26" s="152">
        <v>75077</v>
      </c>
      <c r="E26" s="152">
        <v>5152</v>
      </c>
      <c r="F26" s="152"/>
      <c r="G26" s="147">
        <f t="shared" si="1"/>
        <v>688197</v>
      </c>
      <c r="H26" s="152">
        <v>96814</v>
      </c>
      <c r="I26" s="152">
        <v>398499</v>
      </c>
      <c r="J26" s="152">
        <v>192884</v>
      </c>
    </row>
    <row r="27" spans="1:10" s="136" customFormat="1" ht="9" customHeight="1" x14ac:dyDescent="0.25">
      <c r="A27" s="140" t="s">
        <v>35</v>
      </c>
      <c r="B27" s="147">
        <f t="shared" si="0"/>
        <v>637788</v>
      </c>
      <c r="C27" s="152">
        <v>106295</v>
      </c>
      <c r="D27" s="152">
        <v>495596</v>
      </c>
      <c r="E27" s="152">
        <v>35897</v>
      </c>
      <c r="F27" s="152"/>
      <c r="G27" s="147">
        <f t="shared" si="1"/>
        <v>4913066</v>
      </c>
      <c r="H27" s="152">
        <v>776835</v>
      </c>
      <c r="I27" s="152">
        <v>2825435</v>
      </c>
      <c r="J27" s="152">
        <v>1310796</v>
      </c>
    </row>
    <row r="28" spans="1:10" s="136" customFormat="1" ht="9" customHeight="1" x14ac:dyDescent="0.25">
      <c r="A28" s="140" t="s">
        <v>145</v>
      </c>
      <c r="B28" s="147">
        <f t="shared" si="0"/>
        <v>949227</v>
      </c>
      <c r="C28" s="152">
        <v>211562</v>
      </c>
      <c r="D28" s="152">
        <v>696828</v>
      </c>
      <c r="E28" s="152">
        <v>40837</v>
      </c>
      <c r="F28" s="152"/>
      <c r="G28" s="147">
        <f t="shared" si="1"/>
        <v>6657387</v>
      </c>
      <c r="H28" s="152">
        <v>1596251</v>
      </c>
      <c r="I28" s="152">
        <v>3524928</v>
      </c>
      <c r="J28" s="152">
        <v>1536208</v>
      </c>
    </row>
    <row r="29" spans="1:10" s="136" customFormat="1" ht="9" customHeight="1" x14ac:dyDescent="0.25">
      <c r="A29" s="141" t="s">
        <v>129</v>
      </c>
      <c r="B29" s="150">
        <f t="shared" si="0"/>
        <v>135372</v>
      </c>
      <c r="C29" s="150">
        <v>17033</v>
      </c>
      <c r="D29" s="150">
        <v>111734</v>
      </c>
      <c r="E29" s="150">
        <v>6605</v>
      </c>
      <c r="F29" s="150"/>
      <c r="G29" s="150">
        <f t="shared" si="1"/>
        <v>1010541</v>
      </c>
      <c r="H29" s="150">
        <v>133077</v>
      </c>
      <c r="I29" s="150">
        <v>624598</v>
      </c>
      <c r="J29" s="150">
        <v>252866</v>
      </c>
    </row>
    <row r="30" spans="1:10" s="136" customFormat="1" ht="9" customHeight="1" x14ac:dyDescent="0.25">
      <c r="A30" s="140" t="s">
        <v>38</v>
      </c>
      <c r="B30" s="147">
        <f t="shared" si="0"/>
        <v>122100</v>
      </c>
      <c r="C30" s="152">
        <v>7692</v>
      </c>
      <c r="D30" s="152">
        <v>108926</v>
      </c>
      <c r="E30" s="152">
        <v>5482</v>
      </c>
      <c r="F30" s="152"/>
      <c r="G30" s="147">
        <f t="shared" si="1"/>
        <v>768858</v>
      </c>
      <c r="H30" s="152">
        <v>71711</v>
      </c>
      <c r="I30" s="152">
        <v>494858</v>
      </c>
      <c r="J30" s="152">
        <v>202289</v>
      </c>
    </row>
    <row r="31" spans="1:10" s="136" customFormat="1" ht="9" customHeight="1" x14ac:dyDescent="0.25">
      <c r="A31" s="140" t="s">
        <v>39</v>
      </c>
      <c r="B31" s="147">
        <f t="shared" si="0"/>
        <v>34770</v>
      </c>
      <c r="C31" s="152">
        <v>2981</v>
      </c>
      <c r="D31" s="152">
        <v>29512</v>
      </c>
      <c r="E31" s="152">
        <v>2277</v>
      </c>
      <c r="F31" s="152"/>
      <c r="G31" s="147">
        <f t="shared" si="1"/>
        <v>300024</v>
      </c>
      <c r="H31" s="152">
        <v>30173</v>
      </c>
      <c r="I31" s="152">
        <v>184114</v>
      </c>
      <c r="J31" s="152">
        <v>85737</v>
      </c>
    </row>
    <row r="32" spans="1:10" s="136" customFormat="1" ht="9" customHeight="1" x14ac:dyDescent="0.25">
      <c r="A32" s="140" t="s">
        <v>40</v>
      </c>
      <c r="B32" s="147">
        <f t="shared" si="0"/>
        <v>492940</v>
      </c>
      <c r="C32" s="152">
        <v>86560</v>
      </c>
      <c r="D32" s="152">
        <v>383287</v>
      </c>
      <c r="E32" s="152">
        <v>23093</v>
      </c>
      <c r="F32" s="152"/>
      <c r="G32" s="147">
        <f t="shared" si="1"/>
        <v>4277300</v>
      </c>
      <c r="H32" s="152">
        <v>859703</v>
      </c>
      <c r="I32" s="152">
        <v>2554358</v>
      </c>
      <c r="J32" s="152">
        <v>863239</v>
      </c>
    </row>
    <row r="33" spans="1:10" s="136" customFormat="1" ht="9" customHeight="1" x14ac:dyDescent="0.25">
      <c r="A33" s="141" t="s">
        <v>41</v>
      </c>
      <c r="B33" s="150">
        <f t="shared" si="0"/>
        <v>73436</v>
      </c>
      <c r="C33" s="150">
        <v>8120</v>
      </c>
      <c r="D33" s="150">
        <v>61530</v>
      </c>
      <c r="E33" s="150">
        <v>3786</v>
      </c>
      <c r="F33" s="150"/>
      <c r="G33" s="150">
        <f t="shared" si="1"/>
        <v>501811</v>
      </c>
      <c r="H33" s="150">
        <v>64895</v>
      </c>
      <c r="I33" s="150">
        <v>297000</v>
      </c>
      <c r="J33" s="150">
        <v>139916</v>
      </c>
    </row>
    <row r="34" spans="1:10" s="136" customFormat="1" ht="9" customHeight="1" x14ac:dyDescent="0.25">
      <c r="A34" s="140" t="s">
        <v>42</v>
      </c>
      <c r="B34" s="147">
        <f t="shared" si="0"/>
        <v>201650</v>
      </c>
      <c r="C34" s="152">
        <v>28396</v>
      </c>
      <c r="D34" s="152">
        <v>160697</v>
      </c>
      <c r="E34" s="152">
        <v>12557</v>
      </c>
      <c r="F34" s="152"/>
      <c r="G34" s="147">
        <f t="shared" si="1"/>
        <v>1645708</v>
      </c>
      <c r="H34" s="152">
        <v>239346</v>
      </c>
      <c r="I34" s="152">
        <v>941342</v>
      </c>
      <c r="J34" s="152">
        <v>465020</v>
      </c>
    </row>
    <row r="35" spans="1:10" s="136" customFormat="1" ht="9" customHeight="1" x14ac:dyDescent="0.25">
      <c r="A35" s="140" t="s">
        <v>43</v>
      </c>
      <c r="B35" s="147">
        <f t="shared" si="0"/>
        <v>104004</v>
      </c>
      <c r="C35" s="152">
        <v>11920</v>
      </c>
      <c r="D35" s="152">
        <v>83105</v>
      </c>
      <c r="E35" s="152">
        <v>8979</v>
      </c>
      <c r="F35" s="152"/>
      <c r="G35" s="147">
        <f t="shared" si="1"/>
        <v>858817</v>
      </c>
      <c r="H35" s="152">
        <v>101579</v>
      </c>
      <c r="I35" s="152">
        <v>432378</v>
      </c>
      <c r="J35" s="152">
        <v>324860</v>
      </c>
    </row>
    <row r="36" spans="1:10" s="136" customFormat="1" ht="9" customHeight="1" x14ac:dyDescent="0.25">
      <c r="A36" s="140" t="s">
        <v>44</v>
      </c>
      <c r="B36" s="147">
        <f t="shared" si="0"/>
        <v>99027</v>
      </c>
      <c r="C36" s="152">
        <v>7863</v>
      </c>
      <c r="D36" s="152">
        <v>85740</v>
      </c>
      <c r="E36" s="152">
        <v>5424</v>
      </c>
      <c r="F36" s="152"/>
      <c r="G36" s="147">
        <f t="shared" si="1"/>
        <v>610273</v>
      </c>
      <c r="H36" s="152">
        <v>68414</v>
      </c>
      <c r="I36" s="152">
        <v>336026</v>
      </c>
      <c r="J36" s="152">
        <v>205833</v>
      </c>
    </row>
    <row r="37" spans="1:10" s="136" customFormat="1" ht="9" customHeight="1" x14ac:dyDescent="0.25">
      <c r="A37" s="141" t="s">
        <v>45</v>
      </c>
      <c r="B37" s="150">
        <f t="shared" si="0"/>
        <v>168335</v>
      </c>
      <c r="C37" s="150">
        <v>18090</v>
      </c>
      <c r="D37" s="150">
        <v>141165</v>
      </c>
      <c r="E37" s="150">
        <v>9080</v>
      </c>
      <c r="F37" s="150"/>
      <c r="G37" s="150">
        <f t="shared" si="1"/>
        <v>1320061</v>
      </c>
      <c r="H37" s="150">
        <v>173103</v>
      </c>
      <c r="I37" s="150">
        <v>818704</v>
      </c>
      <c r="J37" s="150">
        <v>328254</v>
      </c>
    </row>
    <row r="38" spans="1:10" s="136" customFormat="1" ht="9" customHeight="1" x14ac:dyDescent="0.25">
      <c r="A38" s="140" t="s">
        <v>46</v>
      </c>
      <c r="B38" s="147">
        <f t="shared" si="0"/>
        <v>197503</v>
      </c>
      <c r="C38" s="152">
        <v>40723</v>
      </c>
      <c r="D38" s="152">
        <v>145935</v>
      </c>
      <c r="E38" s="152">
        <v>10845</v>
      </c>
      <c r="F38" s="152"/>
      <c r="G38" s="147">
        <f t="shared" si="1"/>
        <v>1642285</v>
      </c>
      <c r="H38" s="152">
        <v>336117</v>
      </c>
      <c r="I38" s="152">
        <v>904158</v>
      </c>
      <c r="J38" s="152">
        <v>402010</v>
      </c>
    </row>
    <row r="39" spans="1:10" s="136" customFormat="1" ht="9" customHeight="1" x14ac:dyDescent="0.25">
      <c r="A39" s="140" t="s">
        <v>47</v>
      </c>
      <c r="B39" s="147">
        <f t="shared" si="0"/>
        <v>273752</v>
      </c>
      <c r="C39" s="152">
        <v>38591</v>
      </c>
      <c r="D39" s="152">
        <v>217682</v>
      </c>
      <c r="E39" s="152">
        <v>17479</v>
      </c>
      <c r="F39" s="152"/>
      <c r="G39" s="147">
        <f t="shared" si="1"/>
        <v>2098562</v>
      </c>
      <c r="H39" s="152">
        <v>298540</v>
      </c>
      <c r="I39" s="152">
        <v>1171005</v>
      </c>
      <c r="J39" s="152">
        <v>629017</v>
      </c>
    </row>
    <row r="40" spans="1:10" s="136" customFormat="1" ht="9" customHeight="1" x14ac:dyDescent="0.25">
      <c r="A40" s="140" t="s">
        <v>48</v>
      </c>
      <c r="B40" s="147">
        <f t="shared" si="0"/>
        <v>56774</v>
      </c>
      <c r="C40" s="152">
        <v>5239</v>
      </c>
      <c r="D40" s="152">
        <v>49104</v>
      </c>
      <c r="E40" s="152">
        <v>2431</v>
      </c>
      <c r="F40" s="152"/>
      <c r="G40" s="147">
        <f t="shared" si="1"/>
        <v>389603</v>
      </c>
      <c r="H40" s="152">
        <v>51988</v>
      </c>
      <c r="I40" s="152">
        <v>246665</v>
      </c>
      <c r="J40" s="152">
        <v>90950</v>
      </c>
    </row>
    <row r="41" spans="1:10" s="136" customFormat="1" ht="9" customHeight="1" x14ac:dyDescent="0.25">
      <c r="A41" s="141" t="s">
        <v>49</v>
      </c>
      <c r="B41" s="150">
        <f t="shared" si="0"/>
        <v>296581</v>
      </c>
      <c r="C41" s="150">
        <v>48299</v>
      </c>
      <c r="D41" s="150">
        <v>223800</v>
      </c>
      <c r="E41" s="150">
        <v>24482</v>
      </c>
      <c r="F41" s="150"/>
      <c r="G41" s="150">
        <f t="shared" si="1"/>
        <v>2600132</v>
      </c>
      <c r="H41" s="150">
        <v>462742</v>
      </c>
      <c r="I41" s="150">
        <v>1267218</v>
      </c>
      <c r="J41" s="150">
        <v>870172</v>
      </c>
    </row>
    <row r="42" spans="1:10" s="136" customFormat="1" ht="9" customHeight="1" x14ac:dyDescent="0.25">
      <c r="A42" s="140" t="s">
        <v>50</v>
      </c>
      <c r="B42" s="147">
        <f t="shared" si="0"/>
        <v>36167</v>
      </c>
      <c r="C42" s="152">
        <v>5788</v>
      </c>
      <c r="D42" s="152">
        <v>27449</v>
      </c>
      <c r="E42" s="152">
        <v>2930</v>
      </c>
      <c r="F42" s="152"/>
      <c r="G42" s="147">
        <f t="shared" si="1"/>
        <v>320562</v>
      </c>
      <c r="H42" s="152">
        <v>53167</v>
      </c>
      <c r="I42" s="152">
        <v>158949</v>
      </c>
      <c r="J42" s="152">
        <v>108446</v>
      </c>
    </row>
    <row r="43" spans="1:10" s="136" customFormat="1" ht="9" customHeight="1" x14ac:dyDescent="0.25">
      <c r="A43" s="140" t="s">
        <v>146</v>
      </c>
      <c r="B43" s="147">
        <f t="shared" si="0"/>
        <v>292384</v>
      </c>
      <c r="C43" s="152">
        <v>38251</v>
      </c>
      <c r="D43" s="152">
        <v>240996</v>
      </c>
      <c r="E43" s="152">
        <v>13137</v>
      </c>
      <c r="F43" s="152"/>
      <c r="G43" s="147">
        <f t="shared" si="1"/>
        <v>2247535</v>
      </c>
      <c r="H43" s="152">
        <v>349069</v>
      </c>
      <c r="I43" s="152">
        <v>1396843</v>
      </c>
      <c r="J43" s="152">
        <v>501623</v>
      </c>
    </row>
    <row r="44" spans="1:10" s="136" customFormat="1" ht="9" customHeight="1" x14ac:dyDescent="0.25">
      <c r="A44" s="140" t="s">
        <v>52</v>
      </c>
      <c r="B44" s="147">
        <f t="shared" si="0"/>
        <v>141718</v>
      </c>
      <c r="C44" s="152">
        <v>12054</v>
      </c>
      <c r="D44" s="152">
        <v>123176</v>
      </c>
      <c r="E44" s="152">
        <v>6488</v>
      </c>
      <c r="F44" s="152"/>
      <c r="G44" s="147">
        <f t="shared" si="1"/>
        <v>873079</v>
      </c>
      <c r="H44" s="152">
        <v>124504</v>
      </c>
      <c r="I44" s="152">
        <v>506282</v>
      </c>
      <c r="J44" s="152">
        <v>242293</v>
      </c>
    </row>
    <row r="45" spans="1:10" s="136" customFormat="1" ht="9" customHeight="1" x14ac:dyDescent="0.25">
      <c r="A45" s="141" t="s">
        <v>53</v>
      </c>
      <c r="B45" s="150">
        <f t="shared" si="0"/>
        <v>57098</v>
      </c>
      <c r="C45" s="150">
        <v>5680</v>
      </c>
      <c r="D45" s="150">
        <v>47758</v>
      </c>
      <c r="E45" s="150">
        <v>3660</v>
      </c>
      <c r="F45" s="150"/>
      <c r="G45" s="150">
        <f t="shared" si="1"/>
        <v>434493</v>
      </c>
      <c r="H45" s="150">
        <v>43789</v>
      </c>
      <c r="I45" s="150">
        <v>254451</v>
      </c>
      <c r="J45" s="150">
        <v>136253</v>
      </c>
    </row>
    <row r="46" spans="1:10" s="136" customFormat="1" ht="9" customHeight="1" x14ac:dyDescent="0.25">
      <c r="A46" s="140"/>
      <c r="B46" s="147"/>
      <c r="C46" s="147"/>
      <c r="D46" s="147"/>
      <c r="E46" s="147"/>
      <c r="F46" s="147"/>
      <c r="G46" s="147"/>
      <c r="H46" s="147"/>
      <c r="I46" s="147"/>
      <c r="J46" s="147"/>
    </row>
    <row r="47" spans="1:10" s="136" customFormat="1" ht="9" customHeight="1" x14ac:dyDescent="0.25">
      <c r="A47" s="177">
        <v>1998</v>
      </c>
      <c r="B47" s="17"/>
      <c r="C47" s="17"/>
      <c r="D47" s="17"/>
      <c r="E47" s="17"/>
      <c r="F47" s="17"/>
      <c r="G47" s="17"/>
      <c r="H47" s="17"/>
      <c r="I47" s="17"/>
      <c r="J47" s="17"/>
    </row>
    <row r="48" spans="1:10" s="136" customFormat="1" ht="9" customHeight="1" x14ac:dyDescent="0.25">
      <c r="A48" s="138" t="s">
        <v>13</v>
      </c>
      <c r="B48" s="148">
        <f>SUM(B50:B82)</f>
        <v>8037805</v>
      </c>
      <c r="C48" s="148">
        <f>SUM(C50:C82)</f>
        <v>1161485</v>
      </c>
      <c r="D48" s="148">
        <f>SUM(D50:D82)</f>
        <v>6420858</v>
      </c>
      <c r="E48" s="148">
        <f>SUM(E50:E82)</f>
        <v>455463</v>
      </c>
      <c r="F48" s="148"/>
      <c r="G48" s="148">
        <f>SUM(G50:G82)</f>
        <v>61252142</v>
      </c>
      <c r="H48" s="148">
        <f>SUM(H50:H82)</f>
        <v>9490779</v>
      </c>
      <c r="I48" s="148">
        <f>SUM(I50:I82)</f>
        <v>34989360</v>
      </c>
      <c r="J48" s="148">
        <f>SUM(J50:J82)</f>
        <v>16772003</v>
      </c>
    </row>
    <row r="49" spans="1:10" s="136" customFormat="1" ht="3" customHeight="1" x14ac:dyDescent="0.25">
      <c r="A49" s="138"/>
      <c r="B49" s="148"/>
      <c r="C49" s="148"/>
      <c r="D49" s="148"/>
      <c r="E49" s="148"/>
      <c r="F49" s="148"/>
      <c r="G49" s="148"/>
      <c r="H49" s="148"/>
      <c r="I49" s="148"/>
      <c r="J49" s="148"/>
    </row>
    <row r="50" spans="1:10" s="136" customFormat="1" ht="9" customHeight="1" x14ac:dyDescent="0.25">
      <c r="A50" s="140" t="s">
        <v>23</v>
      </c>
      <c r="B50" s="147">
        <f>SUM(C50,D50,E50)</f>
        <v>98215</v>
      </c>
      <c r="C50" s="152">
        <v>17354</v>
      </c>
      <c r="D50" s="152">
        <v>73320</v>
      </c>
      <c r="E50" s="152">
        <v>7541</v>
      </c>
      <c r="F50" s="152"/>
      <c r="G50" s="147">
        <f t="shared" ref="G50:G81" si="2">SUM(H50,I50,J50)</f>
        <v>830211</v>
      </c>
      <c r="H50" s="152">
        <v>132540</v>
      </c>
      <c r="I50" s="152">
        <v>419443</v>
      </c>
      <c r="J50" s="152">
        <v>278228</v>
      </c>
    </row>
    <row r="51" spans="1:10" s="136" customFormat="1" ht="9" customHeight="1" x14ac:dyDescent="0.25">
      <c r="A51" s="140" t="s">
        <v>24</v>
      </c>
      <c r="B51" s="147">
        <f>SUM(C51,D51,E51)</f>
        <v>369710</v>
      </c>
      <c r="C51" s="152">
        <v>60295</v>
      </c>
      <c r="D51" s="152">
        <v>272586</v>
      </c>
      <c r="E51" s="152">
        <v>36829</v>
      </c>
      <c r="F51" s="152"/>
      <c r="G51" s="147">
        <f t="shared" si="2"/>
        <v>3308689</v>
      </c>
      <c r="H51" s="152">
        <v>450206</v>
      </c>
      <c r="I51" s="152">
        <v>1570861</v>
      </c>
      <c r="J51" s="152">
        <v>1287622</v>
      </c>
    </row>
    <row r="52" spans="1:10" s="136" customFormat="1" ht="9" customHeight="1" x14ac:dyDescent="0.25">
      <c r="A52" s="140" t="s">
        <v>25</v>
      </c>
      <c r="B52" s="147">
        <f>SUM(C52,D52,E52)</f>
        <v>47426</v>
      </c>
      <c r="C52" s="152">
        <v>3783</v>
      </c>
      <c r="D52" s="152">
        <v>40362</v>
      </c>
      <c r="E52" s="152">
        <v>3281</v>
      </c>
      <c r="F52" s="152"/>
      <c r="G52" s="147">
        <f t="shared" si="2"/>
        <v>335749</v>
      </c>
      <c r="H52" s="152">
        <v>29553</v>
      </c>
      <c r="I52" s="152">
        <v>181697</v>
      </c>
      <c r="J52" s="152">
        <v>124499</v>
      </c>
    </row>
    <row r="53" spans="1:10" s="136" customFormat="1" ht="9" customHeight="1" x14ac:dyDescent="0.25">
      <c r="A53" s="141" t="s">
        <v>26</v>
      </c>
      <c r="B53" s="150">
        <f>SUM(C53,D53,E53)</f>
        <v>50713</v>
      </c>
      <c r="C53" s="150">
        <v>5848</v>
      </c>
      <c r="D53" s="150">
        <v>42656</v>
      </c>
      <c r="E53" s="150">
        <v>2209</v>
      </c>
      <c r="F53" s="150"/>
      <c r="G53" s="150">
        <f t="shared" si="2"/>
        <v>335664</v>
      </c>
      <c r="H53" s="150">
        <v>54142</v>
      </c>
      <c r="I53" s="150">
        <v>198314</v>
      </c>
      <c r="J53" s="150">
        <v>83208</v>
      </c>
    </row>
    <row r="54" spans="1:10" s="136" customFormat="1" ht="9" customHeight="1" x14ac:dyDescent="0.25">
      <c r="A54" s="140" t="s">
        <v>126</v>
      </c>
      <c r="B54" s="147">
        <f>SUM(C54,D54,E54)-1</f>
        <v>403058</v>
      </c>
      <c r="C54" s="152">
        <v>55169</v>
      </c>
      <c r="D54" s="152">
        <v>327861</v>
      </c>
      <c r="E54" s="152">
        <v>20029</v>
      </c>
      <c r="F54" s="152"/>
      <c r="G54" s="147">
        <f t="shared" si="2"/>
        <v>2989157</v>
      </c>
      <c r="H54" s="152">
        <v>461561</v>
      </c>
      <c r="I54" s="152">
        <v>1807165</v>
      </c>
      <c r="J54" s="152">
        <v>720431</v>
      </c>
    </row>
    <row r="55" spans="1:10" s="136" customFormat="1" ht="9" customHeight="1" x14ac:dyDescent="0.25">
      <c r="A55" s="140" t="s">
        <v>28</v>
      </c>
      <c r="B55" s="147">
        <f t="shared" ref="B55:B81" si="3">SUM(C55,D55,E55)</f>
        <v>48784</v>
      </c>
      <c r="C55" s="152">
        <v>3277</v>
      </c>
      <c r="D55" s="152">
        <v>42924</v>
      </c>
      <c r="E55" s="152">
        <v>2583</v>
      </c>
      <c r="F55" s="152"/>
      <c r="G55" s="147">
        <f t="shared" si="2"/>
        <v>357287</v>
      </c>
      <c r="H55" s="152">
        <v>34394</v>
      </c>
      <c r="I55" s="152">
        <v>225403</v>
      </c>
      <c r="J55" s="152">
        <v>97490</v>
      </c>
    </row>
    <row r="56" spans="1:10" s="136" customFormat="1" ht="9" customHeight="1" x14ac:dyDescent="0.25">
      <c r="A56" s="140" t="s">
        <v>29</v>
      </c>
      <c r="B56" s="147">
        <f t="shared" si="3"/>
        <v>70477</v>
      </c>
      <c r="C56" s="152">
        <v>4862</v>
      </c>
      <c r="D56" s="152">
        <v>62450</v>
      </c>
      <c r="E56" s="152">
        <v>3165</v>
      </c>
      <c r="F56" s="152"/>
      <c r="G56" s="147">
        <f t="shared" si="2"/>
        <v>462504</v>
      </c>
      <c r="H56" s="152">
        <v>48936</v>
      </c>
      <c r="I56" s="152">
        <v>294033</v>
      </c>
      <c r="J56" s="152">
        <v>119535</v>
      </c>
    </row>
    <row r="57" spans="1:10" s="136" customFormat="1" ht="9" customHeight="1" x14ac:dyDescent="0.25">
      <c r="A57" s="141" t="s">
        <v>30</v>
      </c>
      <c r="B57" s="150">
        <f t="shared" si="3"/>
        <v>370291</v>
      </c>
      <c r="C57" s="150">
        <v>54454</v>
      </c>
      <c r="D57" s="150">
        <v>274961</v>
      </c>
      <c r="E57" s="150">
        <v>40876</v>
      </c>
      <c r="F57" s="150"/>
      <c r="G57" s="150">
        <f t="shared" si="2"/>
        <v>3500565</v>
      </c>
      <c r="H57" s="150">
        <v>450166</v>
      </c>
      <c r="I57" s="150">
        <v>1624840</v>
      </c>
      <c r="J57" s="150">
        <v>1425559</v>
      </c>
    </row>
    <row r="58" spans="1:10" s="136" customFormat="1" ht="9" customHeight="1" x14ac:dyDescent="0.25">
      <c r="A58" s="140" t="s">
        <v>144</v>
      </c>
      <c r="B58" s="147">
        <f t="shared" si="3"/>
        <v>1325637</v>
      </c>
      <c r="C58" s="152">
        <v>208789</v>
      </c>
      <c r="D58" s="152">
        <v>1059067</v>
      </c>
      <c r="E58" s="152">
        <v>57781</v>
      </c>
      <c r="F58" s="152"/>
      <c r="G58" s="147">
        <f t="shared" si="2"/>
        <v>9450929</v>
      </c>
      <c r="H58" s="152">
        <v>1562213</v>
      </c>
      <c r="I58" s="152">
        <v>5687196</v>
      </c>
      <c r="J58" s="152">
        <v>2201520</v>
      </c>
    </row>
    <row r="59" spans="1:10" s="136" customFormat="1" ht="9" customHeight="1" x14ac:dyDescent="0.25">
      <c r="A59" s="140" t="s">
        <v>31</v>
      </c>
      <c r="B59" s="147">
        <f t="shared" si="3"/>
        <v>98604</v>
      </c>
      <c r="C59" s="152">
        <v>14780</v>
      </c>
      <c r="D59" s="152">
        <v>76915</v>
      </c>
      <c r="E59" s="152">
        <v>6909</v>
      </c>
      <c r="F59" s="152"/>
      <c r="G59" s="147">
        <f t="shared" si="2"/>
        <v>916803</v>
      </c>
      <c r="H59" s="152">
        <v>140871</v>
      </c>
      <c r="I59" s="152">
        <v>516219</v>
      </c>
      <c r="J59" s="152">
        <v>259713</v>
      </c>
    </row>
    <row r="60" spans="1:10" s="136" customFormat="1" ht="9" customHeight="1" x14ac:dyDescent="0.25">
      <c r="A60" s="140" t="s">
        <v>32</v>
      </c>
      <c r="B60" s="147">
        <f t="shared" si="3"/>
        <v>241889</v>
      </c>
      <c r="C60" s="152">
        <v>29286</v>
      </c>
      <c r="D60" s="152">
        <v>197252</v>
      </c>
      <c r="E60" s="152">
        <v>15351</v>
      </c>
      <c r="F60" s="152"/>
      <c r="G60" s="147">
        <f t="shared" si="2"/>
        <v>2118751</v>
      </c>
      <c r="H60" s="152">
        <v>283043</v>
      </c>
      <c r="I60" s="152">
        <v>1250913</v>
      </c>
      <c r="J60" s="152">
        <v>584795</v>
      </c>
    </row>
    <row r="61" spans="1:10" s="136" customFormat="1" ht="9" customHeight="1" x14ac:dyDescent="0.25">
      <c r="A61" s="141" t="s">
        <v>33</v>
      </c>
      <c r="B61" s="150">
        <f t="shared" si="3"/>
        <v>93471</v>
      </c>
      <c r="C61" s="150">
        <v>4835</v>
      </c>
      <c r="D61" s="150">
        <v>84388</v>
      </c>
      <c r="E61" s="150">
        <v>4248</v>
      </c>
      <c r="F61" s="150"/>
      <c r="G61" s="150">
        <f t="shared" si="2"/>
        <v>623504</v>
      </c>
      <c r="H61" s="150">
        <v>49470</v>
      </c>
      <c r="I61" s="150">
        <v>413210</v>
      </c>
      <c r="J61" s="150">
        <v>160824</v>
      </c>
    </row>
    <row r="62" spans="1:10" s="136" customFormat="1" ht="9" customHeight="1" x14ac:dyDescent="0.25">
      <c r="A62" s="140" t="s">
        <v>34</v>
      </c>
      <c r="B62" s="147">
        <f t="shared" si="3"/>
        <v>109773</v>
      </c>
      <c r="C62" s="152">
        <v>10058</v>
      </c>
      <c r="D62" s="152">
        <v>94378</v>
      </c>
      <c r="E62" s="152">
        <v>5337</v>
      </c>
      <c r="F62" s="152"/>
      <c r="G62" s="147">
        <f t="shared" si="2"/>
        <v>751671</v>
      </c>
      <c r="H62" s="152">
        <v>88691</v>
      </c>
      <c r="I62" s="152">
        <v>461541</v>
      </c>
      <c r="J62" s="152">
        <v>201439</v>
      </c>
    </row>
    <row r="63" spans="1:10" s="136" customFormat="1" ht="9" customHeight="1" x14ac:dyDescent="0.25">
      <c r="A63" s="140" t="s">
        <v>35</v>
      </c>
      <c r="B63" s="147">
        <f t="shared" si="3"/>
        <v>705666</v>
      </c>
      <c r="C63" s="152">
        <v>102854</v>
      </c>
      <c r="D63" s="152">
        <v>564143</v>
      </c>
      <c r="E63" s="152">
        <v>38669</v>
      </c>
      <c r="F63" s="152"/>
      <c r="G63" s="147">
        <f t="shared" si="2"/>
        <v>5405677</v>
      </c>
      <c r="H63" s="152">
        <v>786581</v>
      </c>
      <c r="I63" s="152">
        <v>3202158</v>
      </c>
      <c r="J63" s="152">
        <v>1416938</v>
      </c>
    </row>
    <row r="64" spans="1:10" s="136" customFormat="1" ht="9" customHeight="1" x14ac:dyDescent="0.25">
      <c r="A64" s="140" t="s">
        <v>145</v>
      </c>
      <c r="B64" s="147">
        <f t="shared" si="3"/>
        <v>1018100</v>
      </c>
      <c r="C64" s="152">
        <v>222265</v>
      </c>
      <c r="D64" s="152">
        <v>752182</v>
      </c>
      <c r="E64" s="152">
        <v>43653</v>
      </c>
      <c r="F64" s="152"/>
      <c r="G64" s="147">
        <f t="shared" si="2"/>
        <v>7163340</v>
      </c>
      <c r="H64" s="152">
        <v>1646319</v>
      </c>
      <c r="I64" s="152">
        <v>3875527</v>
      </c>
      <c r="J64" s="152">
        <v>1641494</v>
      </c>
    </row>
    <row r="65" spans="1:10" s="136" customFormat="1" ht="9" customHeight="1" x14ac:dyDescent="0.25">
      <c r="A65" s="141" t="s">
        <v>129</v>
      </c>
      <c r="B65" s="150">
        <f t="shared" si="3"/>
        <v>143282</v>
      </c>
      <c r="C65" s="150">
        <v>17667</v>
      </c>
      <c r="D65" s="150">
        <v>118884</v>
      </c>
      <c r="E65" s="150">
        <v>6731</v>
      </c>
      <c r="F65" s="150"/>
      <c r="G65" s="150">
        <f t="shared" si="2"/>
        <v>1036017</v>
      </c>
      <c r="H65" s="150">
        <v>135236</v>
      </c>
      <c r="I65" s="150">
        <v>643823</v>
      </c>
      <c r="J65" s="150">
        <v>256958</v>
      </c>
    </row>
    <row r="66" spans="1:10" s="136" customFormat="1" ht="9" customHeight="1" x14ac:dyDescent="0.25">
      <c r="A66" s="140" t="s">
        <v>38</v>
      </c>
      <c r="B66" s="147">
        <f t="shared" si="3"/>
        <v>130705</v>
      </c>
      <c r="C66" s="152">
        <v>6957</v>
      </c>
      <c r="D66" s="152">
        <v>118282</v>
      </c>
      <c r="E66" s="152">
        <v>5466</v>
      </c>
      <c r="F66" s="152"/>
      <c r="G66" s="147">
        <f t="shared" si="2"/>
        <v>805368</v>
      </c>
      <c r="H66" s="152">
        <v>64928</v>
      </c>
      <c r="I66" s="152">
        <v>537602</v>
      </c>
      <c r="J66" s="152">
        <v>202838</v>
      </c>
    </row>
    <row r="67" spans="1:10" s="136" customFormat="1" ht="9" customHeight="1" x14ac:dyDescent="0.25">
      <c r="A67" s="140" t="s">
        <v>39</v>
      </c>
      <c r="B67" s="147">
        <f t="shared" si="3"/>
        <v>42193</v>
      </c>
      <c r="C67" s="152">
        <v>2585</v>
      </c>
      <c r="D67" s="152">
        <v>37250</v>
      </c>
      <c r="E67" s="152">
        <v>2358</v>
      </c>
      <c r="F67" s="152"/>
      <c r="G67" s="147">
        <f t="shared" si="2"/>
        <v>325963</v>
      </c>
      <c r="H67" s="152">
        <v>26026</v>
      </c>
      <c r="I67" s="152">
        <v>210341</v>
      </c>
      <c r="J67" s="152">
        <v>89596</v>
      </c>
    </row>
    <row r="68" spans="1:10" s="136" customFormat="1" ht="9" customHeight="1" x14ac:dyDescent="0.25">
      <c r="A68" s="140" t="s">
        <v>40</v>
      </c>
      <c r="B68" s="147">
        <f t="shared" si="3"/>
        <v>502607</v>
      </c>
      <c r="C68" s="152">
        <v>81496</v>
      </c>
      <c r="D68" s="152">
        <v>396500</v>
      </c>
      <c r="E68" s="152">
        <v>24611</v>
      </c>
      <c r="F68" s="152"/>
      <c r="G68" s="147">
        <f t="shared" si="2"/>
        <v>4271050</v>
      </c>
      <c r="H68" s="152">
        <v>782000</v>
      </c>
      <c r="I68" s="152">
        <v>2573634</v>
      </c>
      <c r="J68" s="152">
        <v>915416</v>
      </c>
    </row>
    <row r="69" spans="1:10" s="136" customFormat="1" ht="9" customHeight="1" x14ac:dyDescent="0.25">
      <c r="A69" s="141" t="s">
        <v>41</v>
      </c>
      <c r="B69" s="150">
        <f t="shared" si="3"/>
        <v>86516</v>
      </c>
      <c r="C69" s="150">
        <v>7434</v>
      </c>
      <c r="D69" s="150">
        <v>75195</v>
      </c>
      <c r="E69" s="150">
        <v>3887</v>
      </c>
      <c r="F69" s="150"/>
      <c r="G69" s="150">
        <f t="shared" si="2"/>
        <v>542387</v>
      </c>
      <c r="H69" s="150">
        <v>59441</v>
      </c>
      <c r="I69" s="150">
        <v>335067</v>
      </c>
      <c r="J69" s="150">
        <v>147879</v>
      </c>
    </row>
    <row r="70" spans="1:10" s="136" customFormat="1" ht="9" customHeight="1" x14ac:dyDescent="0.25">
      <c r="A70" s="140" t="s">
        <v>42</v>
      </c>
      <c r="B70" s="147">
        <f t="shared" si="3"/>
        <v>220875</v>
      </c>
      <c r="C70" s="152">
        <v>26739</v>
      </c>
      <c r="D70" s="152">
        <v>179979</v>
      </c>
      <c r="E70" s="152">
        <v>14157</v>
      </c>
      <c r="F70" s="152"/>
      <c r="G70" s="147">
        <f t="shared" si="2"/>
        <v>1804684</v>
      </c>
      <c r="H70" s="152">
        <v>231214</v>
      </c>
      <c r="I70" s="152">
        <v>1042886</v>
      </c>
      <c r="J70" s="152">
        <v>530584</v>
      </c>
    </row>
    <row r="71" spans="1:10" s="136" customFormat="1" ht="9" customHeight="1" x14ac:dyDescent="0.25">
      <c r="A71" s="140" t="s">
        <v>43</v>
      </c>
      <c r="B71" s="147">
        <f t="shared" si="3"/>
        <v>107442</v>
      </c>
      <c r="C71" s="152">
        <v>11549</v>
      </c>
      <c r="D71" s="152">
        <v>86302</v>
      </c>
      <c r="E71" s="152">
        <v>9591</v>
      </c>
      <c r="F71" s="152"/>
      <c r="G71" s="147">
        <f t="shared" si="2"/>
        <v>908370</v>
      </c>
      <c r="H71" s="152">
        <v>102112</v>
      </c>
      <c r="I71" s="152">
        <v>456740</v>
      </c>
      <c r="J71" s="152">
        <v>349518</v>
      </c>
    </row>
    <row r="72" spans="1:10" s="136" customFormat="1" ht="9" customHeight="1" x14ac:dyDescent="0.25">
      <c r="A72" s="140" t="s">
        <v>44</v>
      </c>
      <c r="B72" s="147">
        <f t="shared" si="3"/>
        <v>96093</v>
      </c>
      <c r="C72" s="152">
        <v>5608</v>
      </c>
      <c r="D72" s="152">
        <v>84575</v>
      </c>
      <c r="E72" s="152">
        <v>5910</v>
      </c>
      <c r="F72" s="152"/>
      <c r="G72" s="147">
        <f t="shared" si="2"/>
        <v>627105</v>
      </c>
      <c r="H72" s="152">
        <v>55351</v>
      </c>
      <c r="I72" s="152">
        <v>349265</v>
      </c>
      <c r="J72" s="152">
        <v>222489</v>
      </c>
    </row>
    <row r="73" spans="1:10" s="136" customFormat="1" ht="9" customHeight="1" x14ac:dyDescent="0.25">
      <c r="A73" s="141" t="s">
        <v>45</v>
      </c>
      <c r="B73" s="150">
        <f t="shared" si="3"/>
        <v>170168</v>
      </c>
      <c r="C73" s="150">
        <v>21988</v>
      </c>
      <c r="D73" s="150">
        <v>139396</v>
      </c>
      <c r="E73" s="150">
        <v>8784</v>
      </c>
      <c r="F73" s="150"/>
      <c r="G73" s="150">
        <f t="shared" si="2"/>
        <v>1329388</v>
      </c>
      <c r="H73" s="150">
        <v>198011</v>
      </c>
      <c r="I73" s="150">
        <v>811863</v>
      </c>
      <c r="J73" s="150">
        <v>319514</v>
      </c>
    </row>
    <row r="74" spans="1:10" s="136" customFormat="1" ht="9" customHeight="1" x14ac:dyDescent="0.25">
      <c r="A74" s="140" t="s">
        <v>46</v>
      </c>
      <c r="B74" s="147">
        <f t="shared" si="3"/>
        <v>212599</v>
      </c>
      <c r="C74" s="152">
        <v>38542</v>
      </c>
      <c r="D74" s="152">
        <v>163187</v>
      </c>
      <c r="E74" s="152">
        <v>10870</v>
      </c>
      <c r="F74" s="152"/>
      <c r="G74" s="147">
        <f t="shared" si="2"/>
        <v>1662748</v>
      </c>
      <c r="H74" s="152">
        <v>303484</v>
      </c>
      <c r="I74" s="152">
        <v>954101</v>
      </c>
      <c r="J74" s="152">
        <v>405163</v>
      </c>
    </row>
    <row r="75" spans="1:10" s="136" customFormat="1" ht="9" customHeight="1" x14ac:dyDescent="0.25">
      <c r="A75" s="140" t="s">
        <v>47</v>
      </c>
      <c r="B75" s="147">
        <f t="shared" si="3"/>
        <v>266177</v>
      </c>
      <c r="C75" s="152">
        <v>35398</v>
      </c>
      <c r="D75" s="152">
        <v>212639</v>
      </c>
      <c r="E75" s="152">
        <v>18140</v>
      </c>
      <c r="F75" s="152"/>
      <c r="G75" s="147">
        <f t="shared" si="2"/>
        <v>2091705</v>
      </c>
      <c r="H75" s="152">
        <v>277201</v>
      </c>
      <c r="I75" s="152">
        <v>1161467</v>
      </c>
      <c r="J75" s="152">
        <v>653037</v>
      </c>
    </row>
    <row r="76" spans="1:10" s="136" customFormat="1" ht="9" customHeight="1" x14ac:dyDescent="0.25">
      <c r="A76" s="140" t="s">
        <v>48</v>
      </c>
      <c r="B76" s="147">
        <f t="shared" si="3"/>
        <v>57338</v>
      </c>
      <c r="C76" s="152">
        <v>3873</v>
      </c>
      <c r="D76" s="152">
        <v>51000</v>
      </c>
      <c r="E76" s="152">
        <v>2465</v>
      </c>
      <c r="F76" s="152"/>
      <c r="G76" s="147">
        <f t="shared" si="2"/>
        <v>374188</v>
      </c>
      <c r="H76" s="152">
        <v>38183</v>
      </c>
      <c r="I76" s="152">
        <v>243772</v>
      </c>
      <c r="J76" s="152">
        <v>92233</v>
      </c>
    </row>
    <row r="77" spans="1:10" s="136" customFormat="1" ht="9" customHeight="1" x14ac:dyDescent="0.25">
      <c r="A77" s="141" t="s">
        <v>49</v>
      </c>
      <c r="B77" s="150">
        <f t="shared" si="3"/>
        <v>374233</v>
      </c>
      <c r="C77" s="150">
        <v>45359</v>
      </c>
      <c r="D77" s="150">
        <v>302314</v>
      </c>
      <c r="E77" s="150">
        <v>26560</v>
      </c>
      <c r="F77" s="150"/>
      <c r="G77" s="150">
        <f t="shared" si="2"/>
        <v>2917246</v>
      </c>
      <c r="H77" s="150">
        <v>453351</v>
      </c>
      <c r="I77" s="150">
        <v>1516823</v>
      </c>
      <c r="J77" s="150">
        <v>947072</v>
      </c>
    </row>
    <row r="78" spans="1:10" s="136" customFormat="1" ht="9" customHeight="1" x14ac:dyDescent="0.25">
      <c r="A78" s="140" t="s">
        <v>50</v>
      </c>
      <c r="B78" s="147">
        <f t="shared" si="3"/>
        <v>33189</v>
      </c>
      <c r="C78" s="152">
        <v>4743</v>
      </c>
      <c r="D78" s="152">
        <v>25257</v>
      </c>
      <c r="E78" s="152">
        <v>3189</v>
      </c>
      <c r="F78" s="152"/>
      <c r="G78" s="147">
        <f t="shared" si="2"/>
        <v>316927</v>
      </c>
      <c r="H78" s="152">
        <v>40986</v>
      </c>
      <c r="I78" s="152">
        <v>160326</v>
      </c>
      <c r="J78" s="152">
        <v>115615</v>
      </c>
    </row>
    <row r="79" spans="1:10" s="136" customFormat="1" ht="9" customHeight="1" x14ac:dyDescent="0.25">
      <c r="A79" s="140" t="s">
        <v>146</v>
      </c>
      <c r="B79" s="147">
        <f t="shared" si="3"/>
        <v>314303</v>
      </c>
      <c r="C79" s="152">
        <v>35419</v>
      </c>
      <c r="D79" s="152">
        <v>265524</v>
      </c>
      <c r="E79" s="152">
        <v>13360</v>
      </c>
      <c r="F79" s="152"/>
      <c r="G79" s="147">
        <f t="shared" si="2"/>
        <v>2294266</v>
      </c>
      <c r="H79" s="152">
        <v>332650</v>
      </c>
      <c r="I79" s="152">
        <v>1448138</v>
      </c>
      <c r="J79" s="152">
        <v>513478</v>
      </c>
    </row>
    <row r="80" spans="1:10" s="136" customFormat="1" ht="9" customHeight="1" x14ac:dyDescent="0.25">
      <c r="A80" s="140" t="s">
        <v>52</v>
      </c>
      <c r="B80" s="147">
        <f t="shared" si="3"/>
        <v>170307</v>
      </c>
      <c r="C80" s="152">
        <v>12834</v>
      </c>
      <c r="D80" s="152">
        <v>150277</v>
      </c>
      <c r="E80" s="152">
        <v>7196</v>
      </c>
      <c r="F80" s="152"/>
      <c r="G80" s="147">
        <f t="shared" si="2"/>
        <v>966549</v>
      </c>
      <c r="H80" s="152">
        <v>129887</v>
      </c>
      <c r="I80" s="152">
        <v>566272</v>
      </c>
      <c r="J80" s="152">
        <v>270390</v>
      </c>
    </row>
    <row r="81" spans="1:10" s="136" customFormat="1" ht="9" customHeight="1" x14ac:dyDescent="0.25">
      <c r="A81" s="141" t="s">
        <v>53</v>
      </c>
      <c r="B81" s="150">
        <f t="shared" si="3"/>
        <v>57964</v>
      </c>
      <c r="C81" s="150">
        <v>5385</v>
      </c>
      <c r="D81" s="150">
        <v>48852</v>
      </c>
      <c r="E81" s="150">
        <v>3727</v>
      </c>
      <c r="F81" s="150"/>
      <c r="G81" s="150">
        <f t="shared" si="2"/>
        <v>427680</v>
      </c>
      <c r="H81" s="150">
        <v>42032</v>
      </c>
      <c r="I81" s="150">
        <v>248720</v>
      </c>
      <c r="J81" s="150">
        <v>136928</v>
      </c>
    </row>
    <row r="82" spans="1:10" s="136" customFormat="1" ht="6" customHeight="1" x14ac:dyDescent="0.25">
      <c r="A82" s="140"/>
      <c r="B82" s="147"/>
      <c r="C82" s="147"/>
      <c r="D82" s="147"/>
      <c r="E82" s="147"/>
      <c r="F82" s="147"/>
      <c r="G82" s="147"/>
      <c r="H82" s="147"/>
      <c r="I82" s="147"/>
      <c r="J82" s="147"/>
    </row>
    <row r="83" spans="1:10" s="136" customFormat="1" ht="9" customHeight="1" x14ac:dyDescent="0.25">
      <c r="A83" s="177">
        <v>1999</v>
      </c>
      <c r="B83" s="178"/>
      <c r="C83" s="178"/>
      <c r="D83" s="178"/>
      <c r="E83" s="178"/>
      <c r="F83" s="178"/>
      <c r="G83" s="178"/>
      <c r="H83" s="178"/>
      <c r="I83" s="178"/>
      <c r="J83" s="178"/>
    </row>
    <row r="84" spans="1:10" s="136" customFormat="1" ht="9" customHeight="1" x14ac:dyDescent="0.25">
      <c r="A84" s="138" t="s">
        <v>13</v>
      </c>
      <c r="B84" s="148">
        <f>SUM(B86:B117)</f>
        <v>8324125</v>
      </c>
      <c r="C84" s="148">
        <f>SUM(C86:C117)</f>
        <v>1131288</v>
      </c>
      <c r="D84" s="148">
        <f>SUM(D86:D117)</f>
        <v>6718011</v>
      </c>
      <c r="E84" s="148">
        <f>SUM(E86:E117)</f>
        <v>474826</v>
      </c>
      <c r="F84" s="148"/>
      <c r="G84" s="148">
        <f>SUM(G86:G117)</f>
        <v>63679055</v>
      </c>
      <c r="H84" s="148">
        <f>SUM(H86:H117)</f>
        <v>9336588</v>
      </c>
      <c r="I84" s="148">
        <f>SUM(I86:I117)</f>
        <v>36861661</v>
      </c>
      <c r="J84" s="148">
        <f>SUM(J86:J117)</f>
        <v>17480806</v>
      </c>
    </row>
    <row r="85" spans="1:10" s="136" customFormat="1" ht="3.95" customHeight="1" x14ac:dyDescent="0.25">
      <c r="A85" s="138"/>
      <c r="B85" s="148"/>
      <c r="C85" s="148"/>
      <c r="D85" s="148"/>
      <c r="E85" s="148"/>
      <c r="F85" s="148"/>
      <c r="G85" s="148"/>
      <c r="H85" s="148"/>
      <c r="I85" s="148"/>
      <c r="J85" s="148"/>
    </row>
    <row r="86" spans="1:10" s="136" customFormat="1" ht="9" customHeight="1" x14ac:dyDescent="0.25">
      <c r="A86" s="140" t="s">
        <v>23</v>
      </c>
      <c r="B86" s="147">
        <f t="shared" ref="B86:B117" si="4">SUM(C86,D86,E86)</f>
        <v>99853</v>
      </c>
      <c r="C86" s="152">
        <v>18912</v>
      </c>
      <c r="D86" s="152">
        <v>72893</v>
      </c>
      <c r="E86" s="152">
        <v>8048</v>
      </c>
      <c r="F86" s="152"/>
      <c r="G86" s="147">
        <f t="shared" ref="G86:G117" si="5">SUM(H86,I86,J86)</f>
        <v>871216</v>
      </c>
      <c r="H86" s="152">
        <v>144986</v>
      </c>
      <c r="I86" s="152">
        <v>431365</v>
      </c>
      <c r="J86" s="152">
        <v>294865</v>
      </c>
    </row>
    <row r="87" spans="1:10" s="136" customFormat="1" ht="9" customHeight="1" x14ac:dyDescent="0.25">
      <c r="A87" s="140" t="s">
        <v>24</v>
      </c>
      <c r="B87" s="147">
        <f t="shared" si="4"/>
        <v>397463</v>
      </c>
      <c r="C87" s="152">
        <v>51404</v>
      </c>
      <c r="D87" s="152">
        <v>308306</v>
      </c>
      <c r="E87" s="152">
        <v>37753</v>
      </c>
      <c r="F87" s="152"/>
      <c r="G87" s="147">
        <f t="shared" si="5"/>
        <v>3486743</v>
      </c>
      <c r="H87" s="152">
        <v>411315</v>
      </c>
      <c r="I87" s="152">
        <v>1758683</v>
      </c>
      <c r="J87" s="152">
        <v>1316745</v>
      </c>
    </row>
    <row r="88" spans="1:10" s="136" customFormat="1" ht="9" customHeight="1" x14ac:dyDescent="0.25">
      <c r="A88" s="140" t="s">
        <v>25</v>
      </c>
      <c r="B88" s="147">
        <f t="shared" si="4"/>
        <v>47067</v>
      </c>
      <c r="C88" s="152">
        <v>3646</v>
      </c>
      <c r="D88" s="152">
        <v>40117</v>
      </c>
      <c r="E88" s="152">
        <v>3304</v>
      </c>
      <c r="F88" s="152"/>
      <c r="G88" s="147">
        <f t="shared" si="5"/>
        <v>334552</v>
      </c>
      <c r="H88" s="152">
        <v>28714</v>
      </c>
      <c r="I88" s="152">
        <v>182134</v>
      </c>
      <c r="J88" s="152">
        <v>123704</v>
      </c>
    </row>
    <row r="89" spans="1:10" s="136" customFormat="1" ht="9" customHeight="1" x14ac:dyDescent="0.25">
      <c r="A89" s="141" t="s">
        <v>26</v>
      </c>
      <c r="B89" s="150">
        <f t="shared" si="4"/>
        <v>46480</v>
      </c>
      <c r="C89" s="150">
        <v>4775</v>
      </c>
      <c r="D89" s="150">
        <v>39500</v>
      </c>
      <c r="E89" s="150">
        <v>2205</v>
      </c>
      <c r="F89" s="150"/>
      <c r="G89" s="150">
        <f t="shared" si="5"/>
        <v>341331</v>
      </c>
      <c r="H89" s="150">
        <v>44464</v>
      </c>
      <c r="I89" s="150">
        <v>213162</v>
      </c>
      <c r="J89" s="150">
        <v>83705</v>
      </c>
    </row>
    <row r="90" spans="1:10" s="136" customFormat="1" ht="9" customHeight="1" x14ac:dyDescent="0.25">
      <c r="A90" s="140" t="s">
        <v>126</v>
      </c>
      <c r="B90" s="147">
        <f t="shared" si="4"/>
        <v>434922</v>
      </c>
      <c r="C90" s="152">
        <v>52741</v>
      </c>
      <c r="D90" s="152">
        <v>360825</v>
      </c>
      <c r="E90" s="152">
        <v>21356</v>
      </c>
      <c r="F90" s="152"/>
      <c r="G90" s="147">
        <f t="shared" si="5"/>
        <v>3201735</v>
      </c>
      <c r="H90" s="152">
        <v>447262</v>
      </c>
      <c r="I90" s="152">
        <v>1991191</v>
      </c>
      <c r="J90" s="152">
        <v>763282</v>
      </c>
    </row>
    <row r="91" spans="1:10" s="136" customFormat="1" ht="9" customHeight="1" x14ac:dyDescent="0.25">
      <c r="A91" s="140" t="s">
        <v>28</v>
      </c>
      <c r="B91" s="147">
        <f t="shared" si="4"/>
        <v>51361</v>
      </c>
      <c r="C91" s="152">
        <v>4556</v>
      </c>
      <c r="D91" s="152">
        <v>44155</v>
      </c>
      <c r="E91" s="152">
        <v>2650</v>
      </c>
      <c r="F91" s="152"/>
      <c r="G91" s="147">
        <f t="shared" si="5"/>
        <v>390630</v>
      </c>
      <c r="H91" s="152">
        <v>47719</v>
      </c>
      <c r="I91" s="152">
        <v>244562</v>
      </c>
      <c r="J91" s="152">
        <v>98349</v>
      </c>
    </row>
    <row r="92" spans="1:10" s="136" customFormat="1" ht="9" customHeight="1" x14ac:dyDescent="0.25">
      <c r="A92" s="140" t="s">
        <v>29</v>
      </c>
      <c r="B92" s="147">
        <f t="shared" si="4"/>
        <v>67613</v>
      </c>
      <c r="C92" s="152">
        <v>4650</v>
      </c>
      <c r="D92" s="152">
        <v>59711</v>
      </c>
      <c r="E92" s="152">
        <v>3252</v>
      </c>
      <c r="F92" s="152"/>
      <c r="G92" s="147">
        <f t="shared" si="5"/>
        <v>468166</v>
      </c>
      <c r="H92" s="152">
        <v>49936</v>
      </c>
      <c r="I92" s="152">
        <v>293195</v>
      </c>
      <c r="J92" s="152">
        <v>125035</v>
      </c>
    </row>
    <row r="93" spans="1:10" s="136" customFormat="1" ht="9" customHeight="1" x14ac:dyDescent="0.25">
      <c r="A93" s="141" t="s">
        <v>30</v>
      </c>
      <c r="B93" s="150">
        <f t="shared" si="4"/>
        <v>395082</v>
      </c>
      <c r="C93" s="150">
        <v>48107</v>
      </c>
      <c r="D93" s="150">
        <v>303469</v>
      </c>
      <c r="E93" s="150">
        <v>43506</v>
      </c>
      <c r="F93" s="150"/>
      <c r="G93" s="150">
        <f t="shared" si="5"/>
        <v>3744427</v>
      </c>
      <c r="H93" s="150">
        <v>426804</v>
      </c>
      <c r="I93" s="150">
        <v>1794544</v>
      </c>
      <c r="J93" s="150">
        <v>1523079</v>
      </c>
    </row>
    <row r="94" spans="1:10" s="136" customFormat="1" ht="9" customHeight="1" x14ac:dyDescent="0.25">
      <c r="A94" s="140" t="s">
        <v>144</v>
      </c>
      <c r="B94" s="147">
        <f t="shared" si="4"/>
        <v>1416519</v>
      </c>
      <c r="C94" s="152">
        <v>192448</v>
      </c>
      <c r="D94" s="152">
        <v>1164570</v>
      </c>
      <c r="E94" s="152">
        <v>59501</v>
      </c>
      <c r="F94" s="152"/>
      <c r="G94" s="147">
        <f t="shared" si="5"/>
        <v>9895950</v>
      </c>
      <c r="H94" s="152">
        <v>1451305</v>
      </c>
      <c r="I94" s="152">
        <v>6177638</v>
      </c>
      <c r="J94" s="152">
        <v>2267007</v>
      </c>
    </row>
    <row r="95" spans="1:10" s="136" customFormat="1" ht="9" customHeight="1" x14ac:dyDescent="0.25">
      <c r="A95" s="140" t="s">
        <v>31</v>
      </c>
      <c r="B95" s="147">
        <f t="shared" si="4"/>
        <v>102742</v>
      </c>
      <c r="C95" s="152">
        <v>14433</v>
      </c>
      <c r="D95" s="152">
        <v>80928</v>
      </c>
      <c r="E95" s="152">
        <v>7381</v>
      </c>
      <c r="F95" s="152"/>
      <c r="G95" s="147">
        <f t="shared" si="5"/>
        <v>958344</v>
      </c>
      <c r="H95" s="152">
        <v>143686</v>
      </c>
      <c r="I95" s="152">
        <v>540578</v>
      </c>
      <c r="J95" s="152">
        <v>274080</v>
      </c>
    </row>
    <row r="96" spans="1:10" s="136" customFormat="1" ht="9" customHeight="1" x14ac:dyDescent="0.25">
      <c r="A96" s="140" t="s">
        <v>32</v>
      </c>
      <c r="B96" s="147">
        <f t="shared" si="4"/>
        <v>265441</v>
      </c>
      <c r="C96" s="152">
        <v>26546</v>
      </c>
      <c r="D96" s="152">
        <v>222779</v>
      </c>
      <c r="E96" s="152">
        <v>16116</v>
      </c>
      <c r="F96" s="152"/>
      <c r="G96" s="147">
        <f t="shared" si="5"/>
        <v>2288603</v>
      </c>
      <c r="H96" s="152">
        <v>276311</v>
      </c>
      <c r="I96" s="152">
        <v>1396123</v>
      </c>
      <c r="J96" s="152">
        <v>616169</v>
      </c>
    </row>
    <row r="97" spans="1:10" s="136" customFormat="1" ht="9" customHeight="1" x14ac:dyDescent="0.25">
      <c r="A97" s="141" t="s">
        <v>33</v>
      </c>
      <c r="B97" s="150">
        <f t="shared" si="4"/>
        <v>89446</v>
      </c>
      <c r="C97" s="150">
        <v>3284</v>
      </c>
      <c r="D97" s="150">
        <v>81795</v>
      </c>
      <c r="E97" s="150">
        <v>4367</v>
      </c>
      <c r="F97" s="150"/>
      <c r="G97" s="150">
        <f t="shared" si="5"/>
        <v>589818</v>
      </c>
      <c r="H97" s="150">
        <v>35152</v>
      </c>
      <c r="I97" s="150">
        <v>390817</v>
      </c>
      <c r="J97" s="150">
        <v>163849</v>
      </c>
    </row>
    <row r="98" spans="1:10" s="136" customFormat="1" ht="9" customHeight="1" x14ac:dyDescent="0.25">
      <c r="A98" s="140" t="s">
        <v>34</v>
      </c>
      <c r="B98" s="147">
        <f t="shared" si="4"/>
        <v>115621</v>
      </c>
      <c r="C98" s="152">
        <v>9800</v>
      </c>
      <c r="D98" s="152">
        <v>100065</v>
      </c>
      <c r="E98" s="152">
        <v>5756</v>
      </c>
      <c r="F98" s="152"/>
      <c r="G98" s="147">
        <f t="shared" si="5"/>
        <v>777665</v>
      </c>
      <c r="H98" s="152">
        <v>86515</v>
      </c>
      <c r="I98" s="152">
        <v>477198</v>
      </c>
      <c r="J98" s="152">
        <v>213952</v>
      </c>
    </row>
    <row r="99" spans="1:10" s="136" customFormat="1" ht="9" customHeight="1" x14ac:dyDescent="0.25">
      <c r="A99" s="140" t="s">
        <v>35</v>
      </c>
      <c r="B99" s="147">
        <f t="shared" si="4"/>
        <v>731537</v>
      </c>
      <c r="C99" s="152">
        <v>114166</v>
      </c>
      <c r="D99" s="152">
        <v>577743</v>
      </c>
      <c r="E99" s="152">
        <v>39628</v>
      </c>
      <c r="F99" s="152"/>
      <c r="G99" s="147">
        <f t="shared" si="5"/>
        <v>5603808</v>
      </c>
      <c r="H99" s="152">
        <v>823061</v>
      </c>
      <c r="I99" s="152">
        <v>3329191</v>
      </c>
      <c r="J99" s="152">
        <v>1451556</v>
      </c>
    </row>
    <row r="100" spans="1:10" s="136" customFormat="1" ht="9" customHeight="1" x14ac:dyDescent="0.25">
      <c r="A100" s="140" t="s">
        <v>145</v>
      </c>
      <c r="B100" s="147">
        <f t="shared" si="4"/>
        <v>1080104</v>
      </c>
      <c r="C100" s="152">
        <v>234499</v>
      </c>
      <c r="D100" s="152">
        <v>799257</v>
      </c>
      <c r="E100" s="152">
        <v>46348</v>
      </c>
      <c r="F100" s="152"/>
      <c r="G100" s="147">
        <f t="shared" si="5"/>
        <v>7669863</v>
      </c>
      <c r="H100" s="152">
        <v>1722203</v>
      </c>
      <c r="I100" s="152">
        <v>4204084</v>
      </c>
      <c r="J100" s="152">
        <v>1743576</v>
      </c>
    </row>
    <row r="101" spans="1:10" s="136" customFormat="1" ht="9" customHeight="1" x14ac:dyDescent="0.25">
      <c r="A101" s="141" t="s">
        <v>129</v>
      </c>
      <c r="B101" s="150">
        <f t="shared" si="4"/>
        <v>148630</v>
      </c>
      <c r="C101" s="150">
        <v>17415</v>
      </c>
      <c r="D101" s="150">
        <v>124422</v>
      </c>
      <c r="E101" s="150">
        <v>6793</v>
      </c>
      <c r="F101" s="150"/>
      <c r="G101" s="150">
        <f t="shared" si="5"/>
        <v>1065139</v>
      </c>
      <c r="H101" s="150">
        <v>132268</v>
      </c>
      <c r="I101" s="150">
        <v>675344</v>
      </c>
      <c r="J101" s="150">
        <v>257527</v>
      </c>
    </row>
    <row r="102" spans="1:10" s="136" customFormat="1" ht="9" customHeight="1" x14ac:dyDescent="0.25">
      <c r="A102" s="140" t="s">
        <v>38</v>
      </c>
      <c r="B102" s="147">
        <f t="shared" si="4"/>
        <v>127896</v>
      </c>
      <c r="C102" s="152">
        <v>6846</v>
      </c>
      <c r="D102" s="152">
        <v>115599</v>
      </c>
      <c r="E102" s="152">
        <v>5451</v>
      </c>
      <c r="F102" s="152"/>
      <c r="G102" s="147">
        <f t="shared" si="5"/>
        <v>803167</v>
      </c>
      <c r="H102" s="152">
        <v>68652</v>
      </c>
      <c r="I102" s="152">
        <v>533005</v>
      </c>
      <c r="J102" s="152">
        <v>201510</v>
      </c>
    </row>
    <row r="103" spans="1:10" s="136" customFormat="1" ht="9" customHeight="1" x14ac:dyDescent="0.25">
      <c r="A103" s="140" t="s">
        <v>39</v>
      </c>
      <c r="B103" s="147">
        <f t="shared" si="4"/>
        <v>44928</v>
      </c>
      <c r="C103" s="152">
        <v>2969</v>
      </c>
      <c r="D103" s="152">
        <v>39632</v>
      </c>
      <c r="E103" s="152">
        <v>2327</v>
      </c>
      <c r="F103" s="152"/>
      <c r="G103" s="147">
        <f t="shared" si="5"/>
        <v>329034</v>
      </c>
      <c r="H103" s="152">
        <v>26401</v>
      </c>
      <c r="I103" s="152">
        <v>216489</v>
      </c>
      <c r="J103" s="152">
        <v>86144</v>
      </c>
    </row>
    <row r="104" spans="1:10" s="136" customFormat="1" ht="9" customHeight="1" x14ac:dyDescent="0.25">
      <c r="A104" s="140" t="s">
        <v>40</v>
      </c>
      <c r="B104" s="147">
        <f t="shared" si="4"/>
        <v>544246</v>
      </c>
      <c r="C104" s="152">
        <v>81878</v>
      </c>
      <c r="D104" s="152">
        <v>436429</v>
      </c>
      <c r="E104" s="152">
        <v>25939</v>
      </c>
      <c r="F104" s="152"/>
      <c r="G104" s="147">
        <f t="shared" si="5"/>
        <v>4485562</v>
      </c>
      <c r="H104" s="152">
        <v>797737</v>
      </c>
      <c r="I104" s="152">
        <v>2715274</v>
      </c>
      <c r="J104" s="152">
        <v>972551</v>
      </c>
    </row>
    <row r="105" spans="1:10" s="136" customFormat="1" ht="9" customHeight="1" x14ac:dyDescent="0.25">
      <c r="A105" s="141" t="s">
        <v>41</v>
      </c>
      <c r="B105" s="150">
        <f t="shared" si="4"/>
        <v>89666</v>
      </c>
      <c r="C105" s="150">
        <v>6998</v>
      </c>
      <c r="D105" s="150">
        <v>78041</v>
      </c>
      <c r="E105" s="150">
        <v>4627</v>
      </c>
      <c r="F105" s="150"/>
      <c r="G105" s="150">
        <f t="shared" si="5"/>
        <v>603470</v>
      </c>
      <c r="H105" s="150">
        <v>60379</v>
      </c>
      <c r="I105" s="150">
        <v>367455</v>
      </c>
      <c r="J105" s="150">
        <v>175636</v>
      </c>
    </row>
    <row r="106" spans="1:10" s="136" customFormat="1" ht="9" customHeight="1" x14ac:dyDescent="0.25">
      <c r="A106" s="140" t="s">
        <v>42</v>
      </c>
      <c r="B106" s="147">
        <f t="shared" si="4"/>
        <v>221625</v>
      </c>
      <c r="C106" s="152">
        <v>26334</v>
      </c>
      <c r="D106" s="152">
        <v>179897</v>
      </c>
      <c r="E106" s="152">
        <v>15394</v>
      </c>
      <c r="F106" s="152"/>
      <c r="G106" s="147">
        <f t="shared" si="5"/>
        <v>1793871</v>
      </c>
      <c r="H106" s="152">
        <v>218748</v>
      </c>
      <c r="I106" s="152">
        <v>998104</v>
      </c>
      <c r="J106" s="152">
        <v>577019</v>
      </c>
    </row>
    <row r="107" spans="1:10" s="136" customFormat="1" ht="9" customHeight="1" x14ac:dyDescent="0.25">
      <c r="A107" s="140" t="s">
        <v>43</v>
      </c>
      <c r="B107" s="147">
        <f t="shared" si="4"/>
        <v>112660</v>
      </c>
      <c r="C107" s="152">
        <v>7514</v>
      </c>
      <c r="D107" s="152">
        <v>94672</v>
      </c>
      <c r="E107" s="152">
        <v>10474</v>
      </c>
      <c r="F107" s="152"/>
      <c r="G107" s="147">
        <f t="shared" si="5"/>
        <v>969882</v>
      </c>
      <c r="H107" s="152">
        <v>79393</v>
      </c>
      <c r="I107" s="152">
        <v>511530</v>
      </c>
      <c r="J107" s="152">
        <v>378959</v>
      </c>
    </row>
    <row r="108" spans="1:10" s="136" customFormat="1" ht="9" customHeight="1" x14ac:dyDescent="0.25">
      <c r="A108" s="140" t="s">
        <v>44</v>
      </c>
      <c r="B108" s="147">
        <f t="shared" si="4"/>
        <v>94451</v>
      </c>
      <c r="C108" s="152">
        <v>4409</v>
      </c>
      <c r="D108" s="152">
        <v>83709</v>
      </c>
      <c r="E108" s="152">
        <v>6333</v>
      </c>
      <c r="F108" s="152"/>
      <c r="G108" s="147">
        <f t="shared" si="5"/>
        <v>658943</v>
      </c>
      <c r="H108" s="152">
        <v>50963</v>
      </c>
      <c r="I108" s="152">
        <v>369060</v>
      </c>
      <c r="J108" s="152">
        <v>238920</v>
      </c>
    </row>
    <row r="109" spans="1:10" s="136" customFormat="1" ht="9" customHeight="1" x14ac:dyDescent="0.25">
      <c r="A109" s="141" t="s">
        <v>45</v>
      </c>
      <c r="B109" s="150">
        <f t="shared" si="4"/>
        <v>170655</v>
      </c>
      <c r="C109" s="150">
        <v>24319</v>
      </c>
      <c r="D109" s="150">
        <v>137122</v>
      </c>
      <c r="E109" s="150">
        <v>9214</v>
      </c>
      <c r="F109" s="150"/>
      <c r="G109" s="150">
        <f t="shared" si="5"/>
        <v>1329819</v>
      </c>
      <c r="H109" s="150">
        <v>207332</v>
      </c>
      <c r="I109" s="150">
        <v>785087</v>
      </c>
      <c r="J109" s="150">
        <v>337400</v>
      </c>
    </row>
    <row r="110" spans="1:10" s="136" customFormat="1" ht="9" customHeight="1" x14ac:dyDescent="0.25">
      <c r="A110" s="140" t="s">
        <v>46</v>
      </c>
      <c r="B110" s="147">
        <f t="shared" si="4"/>
        <v>211449</v>
      </c>
      <c r="C110" s="152">
        <v>32155</v>
      </c>
      <c r="D110" s="152">
        <v>168265</v>
      </c>
      <c r="E110" s="152">
        <v>11029</v>
      </c>
      <c r="F110" s="152"/>
      <c r="G110" s="147">
        <f t="shared" si="5"/>
        <v>1654900</v>
      </c>
      <c r="H110" s="152">
        <v>263143</v>
      </c>
      <c r="I110" s="152">
        <v>982653</v>
      </c>
      <c r="J110" s="152">
        <v>409104</v>
      </c>
    </row>
    <row r="111" spans="1:10" s="136" customFormat="1" ht="9" customHeight="1" x14ac:dyDescent="0.25">
      <c r="A111" s="140" t="s">
        <v>47</v>
      </c>
      <c r="B111" s="147">
        <f t="shared" si="4"/>
        <v>268696</v>
      </c>
      <c r="C111" s="152">
        <v>33860</v>
      </c>
      <c r="D111" s="152">
        <v>216100</v>
      </c>
      <c r="E111" s="152">
        <v>18736</v>
      </c>
      <c r="F111" s="152"/>
      <c r="G111" s="147">
        <f t="shared" si="5"/>
        <v>2151465</v>
      </c>
      <c r="H111" s="152">
        <v>277468</v>
      </c>
      <c r="I111" s="152">
        <v>1197327</v>
      </c>
      <c r="J111" s="152">
        <v>676670</v>
      </c>
    </row>
    <row r="112" spans="1:10" s="136" customFormat="1" ht="9" customHeight="1" x14ac:dyDescent="0.25">
      <c r="A112" s="140" t="s">
        <v>48</v>
      </c>
      <c r="B112" s="147">
        <f t="shared" si="4"/>
        <v>54477</v>
      </c>
      <c r="C112" s="152">
        <v>3149</v>
      </c>
      <c r="D112" s="152">
        <v>48776</v>
      </c>
      <c r="E112" s="152">
        <v>2552</v>
      </c>
      <c r="F112" s="152"/>
      <c r="G112" s="147">
        <f t="shared" si="5"/>
        <v>383508</v>
      </c>
      <c r="H112" s="152">
        <v>32309</v>
      </c>
      <c r="I112" s="152">
        <v>255959</v>
      </c>
      <c r="J112" s="152">
        <v>95240</v>
      </c>
    </row>
    <row r="113" spans="1:10" s="136" customFormat="1" ht="9" customHeight="1" x14ac:dyDescent="0.25">
      <c r="A113" s="141" t="s">
        <v>49</v>
      </c>
      <c r="B113" s="150">
        <f t="shared" si="4"/>
        <v>338706</v>
      </c>
      <c r="C113" s="150">
        <v>45050</v>
      </c>
      <c r="D113" s="150">
        <v>267384</v>
      </c>
      <c r="E113" s="150">
        <v>26272</v>
      </c>
      <c r="F113" s="150"/>
      <c r="G113" s="150">
        <f t="shared" si="5"/>
        <v>2847050</v>
      </c>
      <c r="H113" s="150">
        <v>460669</v>
      </c>
      <c r="I113" s="150">
        <v>1445183</v>
      </c>
      <c r="J113" s="150">
        <v>941198</v>
      </c>
    </row>
    <row r="114" spans="1:10" s="136" customFormat="1" ht="9" customHeight="1" x14ac:dyDescent="0.25">
      <c r="A114" s="140" t="s">
        <v>50</v>
      </c>
      <c r="B114" s="147">
        <f t="shared" si="4"/>
        <v>37028</v>
      </c>
      <c r="C114" s="152">
        <v>4418</v>
      </c>
      <c r="D114" s="152">
        <v>29169</v>
      </c>
      <c r="E114" s="152">
        <v>3441</v>
      </c>
      <c r="F114" s="152"/>
      <c r="G114" s="147">
        <f t="shared" si="5"/>
        <v>333792</v>
      </c>
      <c r="H114" s="152">
        <v>40831</v>
      </c>
      <c r="I114" s="152">
        <v>166033</v>
      </c>
      <c r="J114" s="152">
        <v>126928</v>
      </c>
    </row>
    <row r="115" spans="1:10" s="136" customFormat="1" ht="9" customHeight="1" x14ac:dyDescent="0.25">
      <c r="A115" s="140" t="s">
        <v>146</v>
      </c>
      <c r="B115" s="147">
        <f t="shared" si="4"/>
        <v>288892</v>
      </c>
      <c r="C115" s="152">
        <v>32313</v>
      </c>
      <c r="D115" s="152">
        <v>243186</v>
      </c>
      <c r="E115" s="152">
        <v>13393</v>
      </c>
      <c r="F115" s="152"/>
      <c r="G115" s="147">
        <f t="shared" si="5"/>
        <v>2199929</v>
      </c>
      <c r="H115" s="152">
        <v>310195</v>
      </c>
      <c r="I115" s="152">
        <v>1378015</v>
      </c>
      <c r="J115" s="152">
        <v>511719</v>
      </c>
    </row>
    <row r="116" spans="1:10" s="136" customFormat="1" ht="9" customHeight="1" x14ac:dyDescent="0.25">
      <c r="A116" s="140" t="s">
        <v>52</v>
      </c>
      <c r="B116" s="147">
        <f t="shared" si="4"/>
        <v>167246</v>
      </c>
      <c r="C116" s="152">
        <v>12199</v>
      </c>
      <c r="D116" s="152">
        <v>147169</v>
      </c>
      <c r="E116" s="152">
        <v>7878</v>
      </c>
      <c r="F116" s="152"/>
      <c r="G116" s="147">
        <f t="shared" si="5"/>
        <v>990969</v>
      </c>
      <c r="H116" s="152">
        <v>126116</v>
      </c>
      <c r="I116" s="152">
        <v>571559</v>
      </c>
      <c r="J116" s="152">
        <v>293294</v>
      </c>
    </row>
    <row r="117" spans="1:10" s="136" customFormat="1" ht="9" customHeight="1" x14ac:dyDescent="0.25">
      <c r="A117" s="141" t="s">
        <v>53</v>
      </c>
      <c r="B117" s="150">
        <f t="shared" si="4"/>
        <v>61623</v>
      </c>
      <c r="C117" s="150">
        <v>5495</v>
      </c>
      <c r="D117" s="150">
        <v>52326</v>
      </c>
      <c r="E117" s="150">
        <v>3802</v>
      </c>
      <c r="F117" s="150"/>
      <c r="G117" s="150">
        <f t="shared" si="5"/>
        <v>455704</v>
      </c>
      <c r="H117" s="150">
        <v>44551</v>
      </c>
      <c r="I117" s="150">
        <v>269119</v>
      </c>
      <c r="J117" s="150">
        <v>142034</v>
      </c>
    </row>
    <row r="118" spans="1:10" s="136" customFormat="1" ht="9" customHeight="1" x14ac:dyDescent="0.25">
      <c r="B118" s="147"/>
      <c r="C118" s="140"/>
      <c r="D118" s="140"/>
      <c r="E118" s="140"/>
      <c r="F118" s="147"/>
      <c r="G118" s="147"/>
      <c r="H118" s="140"/>
      <c r="I118" s="140"/>
      <c r="J118" s="140"/>
    </row>
    <row r="119" spans="1:10" s="136" customFormat="1" ht="9" customHeight="1" x14ac:dyDescent="0.25">
      <c r="A119" s="177">
        <v>2000</v>
      </c>
      <c r="B119" s="147"/>
      <c r="C119" s="140"/>
      <c r="D119" s="140"/>
      <c r="E119" s="140"/>
      <c r="F119" s="147"/>
      <c r="G119" s="147"/>
      <c r="H119" s="140"/>
      <c r="I119" s="140"/>
      <c r="J119" s="140"/>
    </row>
    <row r="120" spans="1:10" s="136" customFormat="1" ht="9" customHeight="1" x14ac:dyDescent="0.25">
      <c r="A120" s="138" t="s">
        <v>13</v>
      </c>
      <c r="B120" s="148">
        <f>SUM(B122:B153)</f>
        <v>8557442</v>
      </c>
      <c r="C120" s="148">
        <f>SUM(C122:C153)</f>
        <v>1115090</v>
      </c>
      <c r="D120" s="148">
        <f>SUM(D122:D153)</f>
        <v>6934911</v>
      </c>
      <c r="E120" s="148">
        <f>SUM(E122:E153)</f>
        <v>507441</v>
      </c>
      <c r="F120" s="148"/>
      <c r="G120" s="148">
        <f>SUM(G122:G153)</f>
        <v>66314890</v>
      </c>
      <c r="H120" s="148">
        <f>SUM(H122:H153)</f>
        <v>9188306</v>
      </c>
      <c r="I120" s="148">
        <f>SUM(I122:I153)</f>
        <v>38245200</v>
      </c>
      <c r="J120" s="148">
        <f>SUM(J122:J153)</f>
        <v>18881384</v>
      </c>
    </row>
    <row r="121" spans="1:10" s="136" customFormat="1" ht="3" customHeight="1" x14ac:dyDescent="0.25">
      <c r="A121" s="138"/>
      <c r="B121" s="148"/>
      <c r="C121" s="148"/>
      <c r="D121" s="148"/>
      <c r="E121" s="148"/>
      <c r="F121" s="148"/>
      <c r="G121" s="148"/>
      <c r="H121" s="148"/>
      <c r="I121" s="148"/>
      <c r="J121" s="148"/>
    </row>
    <row r="122" spans="1:10" s="136" customFormat="1" ht="9" customHeight="1" x14ac:dyDescent="0.25">
      <c r="A122" s="140" t="s">
        <v>23</v>
      </c>
      <c r="B122" s="147">
        <f t="shared" ref="B122:B153" si="6">SUM(C122,D122,E122)</f>
        <v>96980</v>
      </c>
      <c r="C122" s="147">
        <v>19033</v>
      </c>
      <c r="D122" s="147">
        <v>69661</v>
      </c>
      <c r="E122" s="147">
        <v>8286</v>
      </c>
      <c r="F122" s="147"/>
      <c r="G122" s="147">
        <f t="shared" ref="G122:G153" si="7">SUM(H122,I122,J122)</f>
        <v>872986</v>
      </c>
      <c r="H122" s="147">
        <v>142862</v>
      </c>
      <c r="I122" s="147">
        <v>422185</v>
      </c>
      <c r="J122" s="147">
        <v>307939</v>
      </c>
    </row>
    <row r="123" spans="1:10" s="136" customFormat="1" ht="9" customHeight="1" x14ac:dyDescent="0.25">
      <c r="A123" s="140" t="s">
        <v>24</v>
      </c>
      <c r="B123" s="147">
        <f t="shared" si="6"/>
        <v>401303</v>
      </c>
      <c r="C123" s="147">
        <v>49183</v>
      </c>
      <c r="D123" s="147">
        <v>311326</v>
      </c>
      <c r="E123" s="147">
        <v>40794</v>
      </c>
      <c r="F123" s="147"/>
      <c r="G123" s="147">
        <f t="shared" si="7"/>
        <v>3665823</v>
      </c>
      <c r="H123" s="147">
        <v>398469</v>
      </c>
      <c r="I123" s="147">
        <v>1829783</v>
      </c>
      <c r="J123" s="147">
        <v>1437571</v>
      </c>
    </row>
    <row r="124" spans="1:10" s="136" customFormat="1" ht="9" customHeight="1" x14ac:dyDescent="0.25">
      <c r="A124" s="140" t="s">
        <v>25</v>
      </c>
      <c r="B124" s="147">
        <f t="shared" si="6"/>
        <v>50970</v>
      </c>
      <c r="C124" s="147">
        <v>3656</v>
      </c>
      <c r="D124" s="147">
        <v>43829</v>
      </c>
      <c r="E124" s="147">
        <v>3485</v>
      </c>
      <c r="F124" s="147"/>
      <c r="G124" s="147">
        <f t="shared" si="7"/>
        <v>369544</v>
      </c>
      <c r="H124" s="147">
        <v>29974</v>
      </c>
      <c r="I124" s="147">
        <v>208412</v>
      </c>
      <c r="J124" s="147">
        <v>131158</v>
      </c>
    </row>
    <row r="125" spans="1:10" s="136" customFormat="1" ht="9" customHeight="1" x14ac:dyDescent="0.25">
      <c r="A125" s="141" t="s">
        <v>26</v>
      </c>
      <c r="B125" s="150">
        <f t="shared" si="6"/>
        <v>41608</v>
      </c>
      <c r="C125" s="150">
        <v>3709</v>
      </c>
      <c r="D125" s="150">
        <v>35570</v>
      </c>
      <c r="E125" s="150">
        <v>2329</v>
      </c>
      <c r="F125" s="150"/>
      <c r="G125" s="150">
        <f t="shared" si="7"/>
        <v>317303</v>
      </c>
      <c r="H125" s="150">
        <v>33936</v>
      </c>
      <c r="I125" s="150">
        <v>193703</v>
      </c>
      <c r="J125" s="150">
        <v>89664</v>
      </c>
    </row>
    <row r="126" spans="1:10" s="136" customFormat="1" ht="9" customHeight="1" x14ac:dyDescent="0.25">
      <c r="A126" s="140" t="s">
        <v>126</v>
      </c>
      <c r="B126" s="147">
        <f t="shared" si="6"/>
        <v>444692</v>
      </c>
      <c r="C126" s="147">
        <v>56805</v>
      </c>
      <c r="D126" s="147">
        <v>365108</v>
      </c>
      <c r="E126" s="147">
        <v>22779</v>
      </c>
      <c r="F126" s="147"/>
      <c r="G126" s="147">
        <f t="shared" si="7"/>
        <v>3396883</v>
      </c>
      <c r="H126" s="147">
        <v>479249</v>
      </c>
      <c r="I126" s="147">
        <v>2085810</v>
      </c>
      <c r="J126" s="147">
        <v>831824</v>
      </c>
    </row>
    <row r="127" spans="1:10" s="136" customFormat="1" ht="9" customHeight="1" x14ac:dyDescent="0.25">
      <c r="A127" s="140" t="s">
        <v>28</v>
      </c>
      <c r="B127" s="147">
        <f t="shared" si="6"/>
        <v>49412</v>
      </c>
      <c r="C127" s="147">
        <v>4743</v>
      </c>
      <c r="D127" s="147">
        <v>41735</v>
      </c>
      <c r="E127" s="147">
        <v>2934</v>
      </c>
      <c r="F127" s="147"/>
      <c r="G127" s="147">
        <f t="shared" si="7"/>
        <v>402097</v>
      </c>
      <c r="H127" s="147">
        <v>52293</v>
      </c>
      <c r="I127" s="147">
        <v>238103</v>
      </c>
      <c r="J127" s="147">
        <v>111701</v>
      </c>
    </row>
    <row r="128" spans="1:10" s="136" customFormat="1" ht="9" customHeight="1" x14ac:dyDescent="0.25">
      <c r="A128" s="140" t="s">
        <v>29</v>
      </c>
      <c r="B128" s="147">
        <f t="shared" si="6"/>
        <v>69495</v>
      </c>
      <c r="C128" s="147">
        <v>4010</v>
      </c>
      <c r="D128" s="147">
        <v>61881</v>
      </c>
      <c r="E128" s="147">
        <v>3604</v>
      </c>
      <c r="F128" s="147"/>
      <c r="G128" s="147">
        <f t="shared" si="7"/>
        <v>477995</v>
      </c>
      <c r="H128" s="147">
        <v>42546</v>
      </c>
      <c r="I128" s="147">
        <v>298237</v>
      </c>
      <c r="J128" s="147">
        <v>137212</v>
      </c>
    </row>
    <row r="129" spans="1:10" s="136" customFormat="1" ht="9" customHeight="1" x14ac:dyDescent="0.25">
      <c r="A129" s="141" t="s">
        <v>30</v>
      </c>
      <c r="B129" s="150">
        <f t="shared" si="6"/>
        <v>412876</v>
      </c>
      <c r="C129" s="150">
        <v>53423</v>
      </c>
      <c r="D129" s="150">
        <v>314166</v>
      </c>
      <c r="E129" s="150">
        <v>45287</v>
      </c>
      <c r="F129" s="150"/>
      <c r="G129" s="150">
        <f t="shared" si="7"/>
        <v>3977166</v>
      </c>
      <c r="H129" s="150">
        <v>460511</v>
      </c>
      <c r="I129" s="150">
        <v>1911728</v>
      </c>
      <c r="J129" s="150">
        <v>1604927</v>
      </c>
    </row>
    <row r="130" spans="1:10" s="136" customFormat="1" ht="9" customHeight="1" x14ac:dyDescent="0.25">
      <c r="A130" s="140" t="s">
        <v>144</v>
      </c>
      <c r="B130" s="147">
        <f t="shared" si="6"/>
        <v>1466207</v>
      </c>
      <c r="C130" s="147">
        <v>184687</v>
      </c>
      <c r="D130" s="147">
        <v>1219606</v>
      </c>
      <c r="E130" s="147">
        <v>61914</v>
      </c>
      <c r="F130" s="147"/>
      <c r="G130" s="147">
        <f t="shared" si="7"/>
        <v>10239260</v>
      </c>
      <c r="H130" s="147">
        <v>1403087</v>
      </c>
      <c r="I130" s="147">
        <v>6464595</v>
      </c>
      <c r="J130" s="147">
        <v>2371578</v>
      </c>
    </row>
    <row r="131" spans="1:10" s="136" customFormat="1" ht="9" customHeight="1" x14ac:dyDescent="0.25">
      <c r="A131" s="140" t="s">
        <v>31</v>
      </c>
      <c r="B131" s="147">
        <f t="shared" si="6"/>
        <v>102785</v>
      </c>
      <c r="C131" s="147">
        <v>14103</v>
      </c>
      <c r="D131" s="147">
        <v>81183</v>
      </c>
      <c r="E131" s="147">
        <v>7499</v>
      </c>
      <c r="F131" s="147"/>
      <c r="G131" s="147">
        <f t="shared" si="7"/>
        <v>961879</v>
      </c>
      <c r="H131" s="147">
        <v>140482</v>
      </c>
      <c r="I131" s="147">
        <v>538384</v>
      </c>
      <c r="J131" s="147">
        <v>283013</v>
      </c>
    </row>
    <row r="132" spans="1:10" s="136" customFormat="1" ht="9" customHeight="1" x14ac:dyDescent="0.25">
      <c r="A132" s="140" t="s">
        <v>32</v>
      </c>
      <c r="B132" s="147">
        <f t="shared" si="6"/>
        <v>283049</v>
      </c>
      <c r="C132" s="147">
        <v>23392</v>
      </c>
      <c r="D132" s="147">
        <v>243051</v>
      </c>
      <c r="E132" s="147">
        <v>16606</v>
      </c>
      <c r="F132" s="147"/>
      <c r="G132" s="147">
        <f t="shared" si="7"/>
        <v>2363819</v>
      </c>
      <c r="H132" s="147">
        <v>250443</v>
      </c>
      <c r="I132" s="147">
        <v>1471699</v>
      </c>
      <c r="J132" s="147">
        <v>641677</v>
      </c>
    </row>
    <row r="133" spans="1:10" s="136" customFormat="1" ht="9" customHeight="1" x14ac:dyDescent="0.25">
      <c r="A133" s="141" t="s">
        <v>33</v>
      </c>
      <c r="B133" s="150">
        <f t="shared" si="6"/>
        <v>92126</v>
      </c>
      <c r="C133" s="150">
        <v>4132</v>
      </c>
      <c r="D133" s="150">
        <v>83488</v>
      </c>
      <c r="E133" s="150">
        <v>4506</v>
      </c>
      <c r="F133" s="150"/>
      <c r="G133" s="150">
        <f t="shared" si="7"/>
        <v>600058</v>
      </c>
      <c r="H133" s="150">
        <v>39960</v>
      </c>
      <c r="I133" s="150">
        <v>389138</v>
      </c>
      <c r="J133" s="150">
        <v>170960</v>
      </c>
    </row>
    <row r="134" spans="1:10" s="136" customFormat="1" ht="9" customHeight="1" x14ac:dyDescent="0.25">
      <c r="A134" s="140" t="s">
        <v>34</v>
      </c>
      <c r="B134" s="147">
        <f t="shared" si="6"/>
        <v>116898</v>
      </c>
      <c r="C134" s="147">
        <v>8969</v>
      </c>
      <c r="D134" s="147">
        <v>101896</v>
      </c>
      <c r="E134" s="147">
        <v>6033</v>
      </c>
      <c r="F134" s="147"/>
      <c r="G134" s="147">
        <f t="shared" si="7"/>
        <v>802794</v>
      </c>
      <c r="H134" s="147">
        <v>79863</v>
      </c>
      <c r="I134" s="147">
        <v>496925</v>
      </c>
      <c r="J134" s="147">
        <v>226006</v>
      </c>
    </row>
    <row r="135" spans="1:10" s="136" customFormat="1" ht="9" customHeight="1" x14ac:dyDescent="0.25">
      <c r="A135" s="140" t="s">
        <v>35</v>
      </c>
      <c r="B135" s="147">
        <f t="shared" si="6"/>
        <v>743092</v>
      </c>
      <c r="C135" s="147">
        <v>103550</v>
      </c>
      <c r="D135" s="147">
        <v>597097</v>
      </c>
      <c r="E135" s="147">
        <v>42445</v>
      </c>
      <c r="F135" s="147"/>
      <c r="G135" s="147">
        <f t="shared" si="7"/>
        <v>5685306</v>
      </c>
      <c r="H135" s="147">
        <v>746518</v>
      </c>
      <c r="I135" s="147">
        <v>3370297</v>
      </c>
      <c r="J135" s="147">
        <v>1568491</v>
      </c>
    </row>
    <row r="136" spans="1:10" s="136" customFormat="1" ht="9" customHeight="1" x14ac:dyDescent="0.25">
      <c r="A136" s="140" t="s">
        <v>145</v>
      </c>
      <c r="B136" s="147">
        <f t="shared" si="6"/>
        <v>1094892</v>
      </c>
      <c r="C136" s="147">
        <v>233342</v>
      </c>
      <c r="D136" s="147">
        <v>812950</v>
      </c>
      <c r="E136" s="147">
        <v>48600</v>
      </c>
      <c r="F136" s="147"/>
      <c r="G136" s="147">
        <f t="shared" si="7"/>
        <v>7865701</v>
      </c>
      <c r="H136" s="147">
        <v>1712493</v>
      </c>
      <c r="I136" s="147">
        <v>4303829</v>
      </c>
      <c r="J136" s="147">
        <v>1849379</v>
      </c>
    </row>
    <row r="137" spans="1:10" s="136" customFormat="1" ht="9" customHeight="1" x14ac:dyDescent="0.25">
      <c r="A137" s="141" t="s">
        <v>129</v>
      </c>
      <c r="B137" s="150">
        <f t="shared" si="6"/>
        <v>158668</v>
      </c>
      <c r="C137" s="150">
        <v>17019</v>
      </c>
      <c r="D137" s="150">
        <v>134169</v>
      </c>
      <c r="E137" s="150">
        <v>7480</v>
      </c>
      <c r="F137" s="150"/>
      <c r="G137" s="150">
        <f t="shared" si="7"/>
        <v>1132284</v>
      </c>
      <c r="H137" s="150">
        <v>136969</v>
      </c>
      <c r="I137" s="150">
        <v>708592</v>
      </c>
      <c r="J137" s="150">
        <v>286723</v>
      </c>
    </row>
    <row r="138" spans="1:10" s="136" customFormat="1" ht="9" customHeight="1" x14ac:dyDescent="0.25">
      <c r="A138" s="140" t="s">
        <v>38</v>
      </c>
      <c r="B138" s="147">
        <f t="shared" si="6"/>
        <v>138283</v>
      </c>
      <c r="C138" s="147">
        <v>7660</v>
      </c>
      <c r="D138" s="147">
        <v>124631</v>
      </c>
      <c r="E138" s="147">
        <v>5992</v>
      </c>
      <c r="F138" s="147"/>
      <c r="G138" s="147">
        <f t="shared" si="7"/>
        <v>859571</v>
      </c>
      <c r="H138" s="147">
        <v>72587</v>
      </c>
      <c r="I138" s="147">
        <v>561900</v>
      </c>
      <c r="J138" s="147">
        <v>225084</v>
      </c>
    </row>
    <row r="139" spans="1:10" s="136" customFormat="1" ht="9" customHeight="1" x14ac:dyDescent="0.25">
      <c r="A139" s="140" t="s">
        <v>39</v>
      </c>
      <c r="B139" s="147">
        <f t="shared" si="6"/>
        <v>46521</v>
      </c>
      <c r="C139" s="147">
        <v>3189</v>
      </c>
      <c r="D139" s="147">
        <v>40942</v>
      </c>
      <c r="E139" s="147">
        <v>2390</v>
      </c>
      <c r="F139" s="147"/>
      <c r="G139" s="147">
        <f t="shared" si="7"/>
        <v>349822</v>
      </c>
      <c r="H139" s="147">
        <v>27279</v>
      </c>
      <c r="I139" s="147">
        <v>232030</v>
      </c>
      <c r="J139" s="147">
        <v>90513</v>
      </c>
    </row>
    <row r="140" spans="1:10" s="136" customFormat="1" ht="9" customHeight="1" x14ac:dyDescent="0.25">
      <c r="A140" s="140" t="s">
        <v>40</v>
      </c>
      <c r="B140" s="147">
        <f t="shared" si="6"/>
        <v>512153</v>
      </c>
      <c r="C140" s="147">
        <v>82591</v>
      </c>
      <c r="D140" s="147">
        <v>400620</v>
      </c>
      <c r="E140" s="147">
        <v>28942</v>
      </c>
      <c r="F140" s="147"/>
      <c r="G140" s="147">
        <f t="shared" si="7"/>
        <v>4644255</v>
      </c>
      <c r="H140" s="147">
        <v>818765</v>
      </c>
      <c r="I140" s="147">
        <v>2735010</v>
      </c>
      <c r="J140" s="147">
        <v>1090480</v>
      </c>
    </row>
    <row r="141" spans="1:10" s="136" customFormat="1" ht="9" customHeight="1" x14ac:dyDescent="0.25">
      <c r="A141" s="141" t="s">
        <v>41</v>
      </c>
      <c r="B141" s="150">
        <f t="shared" si="6"/>
        <v>91226</v>
      </c>
      <c r="C141" s="150">
        <v>6794</v>
      </c>
      <c r="D141" s="150">
        <v>79530</v>
      </c>
      <c r="E141" s="150">
        <v>4902</v>
      </c>
      <c r="F141" s="150"/>
      <c r="G141" s="150">
        <f t="shared" si="7"/>
        <v>616784</v>
      </c>
      <c r="H141" s="150">
        <v>55665</v>
      </c>
      <c r="I141" s="150">
        <v>374336</v>
      </c>
      <c r="J141" s="150">
        <v>186783</v>
      </c>
    </row>
    <row r="142" spans="1:10" s="136" customFormat="1" ht="9" customHeight="1" x14ac:dyDescent="0.25">
      <c r="A142" s="140" t="s">
        <v>42</v>
      </c>
      <c r="B142" s="147">
        <f t="shared" si="6"/>
        <v>253390</v>
      </c>
      <c r="C142" s="147">
        <v>28187</v>
      </c>
      <c r="D142" s="147">
        <v>208277</v>
      </c>
      <c r="E142" s="147">
        <v>16926</v>
      </c>
      <c r="F142" s="147"/>
      <c r="G142" s="147">
        <f t="shared" si="7"/>
        <v>1928788</v>
      </c>
      <c r="H142" s="147">
        <v>224879</v>
      </c>
      <c r="I142" s="147">
        <v>1066641</v>
      </c>
      <c r="J142" s="147">
        <v>637268</v>
      </c>
    </row>
    <row r="143" spans="1:10" s="136" customFormat="1" ht="9" customHeight="1" x14ac:dyDescent="0.25">
      <c r="A143" s="140" t="s">
        <v>43</v>
      </c>
      <c r="B143" s="147">
        <f t="shared" si="6"/>
        <v>119550</v>
      </c>
      <c r="C143" s="147">
        <v>8466</v>
      </c>
      <c r="D143" s="147">
        <v>99978</v>
      </c>
      <c r="E143" s="147">
        <v>11106</v>
      </c>
      <c r="F143" s="147"/>
      <c r="G143" s="147">
        <f t="shared" si="7"/>
        <v>1032039</v>
      </c>
      <c r="H143" s="147">
        <v>85462</v>
      </c>
      <c r="I143" s="147">
        <v>533032</v>
      </c>
      <c r="J143" s="147">
        <v>413545</v>
      </c>
    </row>
    <row r="144" spans="1:10" s="136" customFormat="1" ht="9" customHeight="1" x14ac:dyDescent="0.25">
      <c r="A144" s="140" t="s">
        <v>44</v>
      </c>
      <c r="B144" s="147">
        <f t="shared" si="6"/>
        <v>95538</v>
      </c>
      <c r="C144" s="147">
        <v>3922</v>
      </c>
      <c r="D144" s="147">
        <v>84432</v>
      </c>
      <c r="E144" s="147">
        <v>7184</v>
      </c>
      <c r="F144" s="147"/>
      <c r="G144" s="147">
        <f t="shared" si="7"/>
        <v>696005</v>
      </c>
      <c r="H144" s="147">
        <v>42536</v>
      </c>
      <c r="I144" s="147">
        <v>379809</v>
      </c>
      <c r="J144" s="147">
        <v>273660</v>
      </c>
    </row>
    <row r="145" spans="1:10" s="136" customFormat="1" ht="9" customHeight="1" x14ac:dyDescent="0.25">
      <c r="A145" s="141" t="s">
        <v>45</v>
      </c>
      <c r="B145" s="150">
        <f t="shared" si="6"/>
        <v>182238</v>
      </c>
      <c r="C145" s="150">
        <v>20743</v>
      </c>
      <c r="D145" s="150">
        <v>152009</v>
      </c>
      <c r="E145" s="150">
        <v>9486</v>
      </c>
      <c r="F145" s="150"/>
      <c r="G145" s="150">
        <f t="shared" si="7"/>
        <v>1350994</v>
      </c>
      <c r="H145" s="150">
        <v>179545</v>
      </c>
      <c r="I145" s="150">
        <v>820810</v>
      </c>
      <c r="J145" s="150">
        <v>350639</v>
      </c>
    </row>
    <row r="146" spans="1:10" s="136" customFormat="1" ht="9" customHeight="1" x14ac:dyDescent="0.25">
      <c r="A146" s="140" t="s">
        <v>46</v>
      </c>
      <c r="B146" s="147">
        <f t="shared" si="6"/>
        <v>215811</v>
      </c>
      <c r="C146" s="147">
        <v>30509</v>
      </c>
      <c r="D146" s="147">
        <v>172962</v>
      </c>
      <c r="E146" s="147">
        <v>12340</v>
      </c>
      <c r="F146" s="147"/>
      <c r="G146" s="147">
        <f t="shared" si="7"/>
        <v>1766533</v>
      </c>
      <c r="H146" s="147">
        <v>259142</v>
      </c>
      <c r="I146" s="147">
        <v>1040471</v>
      </c>
      <c r="J146" s="147">
        <v>466920</v>
      </c>
    </row>
    <row r="147" spans="1:10" s="136" customFormat="1" ht="9" customHeight="1" x14ac:dyDescent="0.25">
      <c r="A147" s="140" t="s">
        <v>47</v>
      </c>
      <c r="B147" s="147">
        <f t="shared" si="6"/>
        <v>284955</v>
      </c>
      <c r="C147" s="147">
        <v>35885</v>
      </c>
      <c r="D147" s="147">
        <v>229496</v>
      </c>
      <c r="E147" s="147">
        <v>19574</v>
      </c>
      <c r="F147" s="147"/>
      <c r="G147" s="147">
        <f t="shared" si="7"/>
        <v>2295788</v>
      </c>
      <c r="H147" s="147">
        <v>287044</v>
      </c>
      <c r="I147" s="147">
        <v>1292814</v>
      </c>
      <c r="J147" s="147">
        <v>715930</v>
      </c>
    </row>
    <row r="148" spans="1:10" s="136" customFormat="1" ht="9" customHeight="1" x14ac:dyDescent="0.25">
      <c r="A148" s="140" t="s">
        <v>48</v>
      </c>
      <c r="B148" s="147">
        <f t="shared" si="6"/>
        <v>54602</v>
      </c>
      <c r="C148" s="147">
        <v>2789</v>
      </c>
      <c r="D148" s="147">
        <v>48791</v>
      </c>
      <c r="E148" s="147">
        <v>3022</v>
      </c>
      <c r="F148" s="147"/>
      <c r="G148" s="147">
        <f t="shared" si="7"/>
        <v>399313</v>
      </c>
      <c r="H148" s="147">
        <v>29187</v>
      </c>
      <c r="I148" s="147">
        <v>256668</v>
      </c>
      <c r="J148" s="147">
        <v>113458</v>
      </c>
    </row>
    <row r="149" spans="1:10" s="136" customFormat="1" ht="9" customHeight="1" x14ac:dyDescent="0.25">
      <c r="A149" s="141" t="s">
        <v>49</v>
      </c>
      <c r="B149" s="150">
        <f t="shared" si="6"/>
        <v>336519</v>
      </c>
      <c r="C149" s="150">
        <v>44218</v>
      </c>
      <c r="D149" s="150">
        <v>262112</v>
      </c>
      <c r="E149" s="150">
        <v>30189</v>
      </c>
      <c r="F149" s="150"/>
      <c r="G149" s="150">
        <f t="shared" si="7"/>
        <v>2985765</v>
      </c>
      <c r="H149" s="150">
        <v>422186</v>
      </c>
      <c r="I149" s="150">
        <v>1469267</v>
      </c>
      <c r="J149" s="150">
        <v>1094312</v>
      </c>
    </row>
    <row r="150" spans="1:10" s="136" customFormat="1" ht="9" customHeight="1" x14ac:dyDescent="0.25">
      <c r="A150" s="140" t="s">
        <v>50</v>
      </c>
      <c r="B150" s="147">
        <f t="shared" si="6"/>
        <v>44841</v>
      </c>
      <c r="C150" s="147">
        <v>4258</v>
      </c>
      <c r="D150" s="147">
        <v>37017</v>
      </c>
      <c r="E150" s="147">
        <v>3566</v>
      </c>
      <c r="F150" s="147"/>
      <c r="G150" s="147">
        <f t="shared" si="7"/>
        <v>365210</v>
      </c>
      <c r="H150" s="147">
        <v>39136</v>
      </c>
      <c r="I150" s="147">
        <v>191234</v>
      </c>
      <c r="J150" s="147">
        <v>134840</v>
      </c>
    </row>
    <row r="151" spans="1:10" s="136" customFormat="1" ht="9" customHeight="1" x14ac:dyDescent="0.25">
      <c r="A151" s="140" t="s">
        <v>146</v>
      </c>
      <c r="B151" s="147">
        <f t="shared" si="6"/>
        <v>310638</v>
      </c>
      <c r="C151" s="147">
        <v>34941</v>
      </c>
      <c r="D151" s="147">
        <v>261315</v>
      </c>
      <c r="E151" s="147">
        <v>14382</v>
      </c>
      <c r="F151" s="147"/>
      <c r="G151" s="147">
        <f t="shared" si="7"/>
        <v>2319231</v>
      </c>
      <c r="H151" s="147">
        <v>326069</v>
      </c>
      <c r="I151" s="147">
        <v>1440832</v>
      </c>
      <c r="J151" s="147">
        <v>552330</v>
      </c>
    </row>
    <row r="152" spans="1:10" s="136" customFormat="1" ht="9" customHeight="1" x14ac:dyDescent="0.25">
      <c r="A152" s="140" t="s">
        <v>52</v>
      </c>
      <c r="B152" s="147">
        <f t="shared" si="6"/>
        <v>178544</v>
      </c>
      <c r="C152" s="147">
        <v>12233</v>
      </c>
      <c r="D152" s="147">
        <v>157507</v>
      </c>
      <c r="E152" s="147">
        <v>8804</v>
      </c>
      <c r="F152" s="147"/>
      <c r="G152" s="147">
        <f t="shared" si="7"/>
        <v>1077701</v>
      </c>
      <c r="H152" s="147">
        <v>127921</v>
      </c>
      <c r="I152" s="147">
        <v>618123</v>
      </c>
      <c r="J152" s="147">
        <v>331657</v>
      </c>
    </row>
    <row r="153" spans="1:10" s="136" customFormat="1" ht="9" customHeight="1" x14ac:dyDescent="0.25">
      <c r="A153" s="141" t="s">
        <v>53</v>
      </c>
      <c r="B153" s="150">
        <f t="shared" si="6"/>
        <v>67580</v>
      </c>
      <c r="C153" s="150">
        <v>4949</v>
      </c>
      <c r="D153" s="150">
        <v>58576</v>
      </c>
      <c r="E153" s="150">
        <v>4055</v>
      </c>
      <c r="F153" s="150"/>
      <c r="G153" s="150">
        <f t="shared" si="7"/>
        <v>496193</v>
      </c>
      <c r="H153" s="150">
        <v>41248</v>
      </c>
      <c r="I153" s="150">
        <v>300803</v>
      </c>
      <c r="J153" s="150">
        <v>154142</v>
      </c>
    </row>
    <row r="154" spans="1:10" s="136" customFormat="1" ht="6" customHeight="1" x14ac:dyDescent="0.25">
      <c r="B154" s="147"/>
      <c r="C154" s="140"/>
      <c r="D154" s="140"/>
      <c r="E154" s="140"/>
      <c r="F154" s="147"/>
      <c r="G154" s="147"/>
      <c r="H154" s="140"/>
      <c r="I154" s="140"/>
      <c r="J154" s="140"/>
    </row>
    <row r="155" spans="1:10" s="136" customFormat="1" ht="9" customHeight="1" x14ac:dyDescent="0.25">
      <c r="A155" s="177">
        <v>2001</v>
      </c>
      <c r="B155" s="147"/>
      <c r="C155" s="140"/>
      <c r="D155" s="140"/>
      <c r="E155" s="140"/>
      <c r="F155" s="147"/>
      <c r="G155" s="147"/>
      <c r="H155" s="140"/>
      <c r="I155" s="140"/>
      <c r="J155" s="140"/>
    </row>
    <row r="156" spans="1:10" s="136" customFormat="1" ht="9" customHeight="1" x14ac:dyDescent="0.25">
      <c r="A156" s="138" t="s">
        <v>13</v>
      </c>
      <c r="B156" s="148">
        <f>SUM(B158:B189)</f>
        <v>7931800</v>
      </c>
      <c r="C156" s="148">
        <f>SUM(C158:C189)</f>
        <v>1085023</v>
      </c>
      <c r="D156" s="148">
        <f>SUM(D158:D189)</f>
        <v>6329671</v>
      </c>
      <c r="E156" s="148">
        <f>SUM(E158:E189)</f>
        <v>517106</v>
      </c>
      <c r="F156" s="148"/>
      <c r="G156" s="148">
        <f>SUM(G158:G189)</f>
        <v>63132745</v>
      </c>
      <c r="H156" s="148">
        <f>SUM(H158:H189)</f>
        <v>8642752</v>
      </c>
      <c r="I156" s="148">
        <f>SUM(I158:I189)</f>
        <v>35262246</v>
      </c>
      <c r="J156" s="148">
        <f>SUM(J158:J189)</f>
        <v>19227747</v>
      </c>
    </row>
    <row r="157" spans="1:10" s="136" customFormat="1" ht="3" customHeight="1" x14ac:dyDescent="0.25">
      <c r="A157" s="138"/>
      <c r="B157" s="148"/>
      <c r="C157" s="148"/>
      <c r="D157" s="148"/>
      <c r="E157" s="148"/>
      <c r="F157" s="148"/>
      <c r="G157" s="148"/>
      <c r="H157" s="148"/>
      <c r="I157" s="148"/>
      <c r="J157" s="148"/>
    </row>
    <row r="158" spans="1:10" s="136" customFormat="1" ht="9" customHeight="1" x14ac:dyDescent="0.25">
      <c r="A158" s="140" t="s">
        <v>23</v>
      </c>
      <c r="B158" s="147">
        <f t="shared" ref="B158:B189" si="8">SUM(C158,D158,E158)</f>
        <v>89197</v>
      </c>
      <c r="C158" s="147">
        <v>16869</v>
      </c>
      <c r="D158" s="147">
        <v>63139</v>
      </c>
      <c r="E158" s="147">
        <v>9189</v>
      </c>
      <c r="F158" s="147"/>
      <c r="G158" s="147">
        <f t="shared" ref="G158:G189" si="9">SUM(H158,I158,J158)</f>
        <v>863028</v>
      </c>
      <c r="H158" s="147">
        <v>123933</v>
      </c>
      <c r="I158" s="147">
        <v>399731</v>
      </c>
      <c r="J158" s="147">
        <v>339364</v>
      </c>
    </row>
    <row r="159" spans="1:10" s="136" customFormat="1" ht="9" customHeight="1" x14ac:dyDescent="0.25">
      <c r="A159" s="140" t="s">
        <v>24</v>
      </c>
      <c r="B159" s="147">
        <f t="shared" si="8"/>
        <v>368528</v>
      </c>
      <c r="C159" s="147">
        <v>59681</v>
      </c>
      <c r="D159" s="147">
        <v>268705</v>
      </c>
      <c r="E159" s="147">
        <v>40142</v>
      </c>
      <c r="F159" s="147"/>
      <c r="G159" s="147">
        <f t="shared" si="9"/>
        <v>3526008</v>
      </c>
      <c r="H159" s="147">
        <v>438512</v>
      </c>
      <c r="I159" s="147">
        <v>1659777</v>
      </c>
      <c r="J159" s="147">
        <v>1427719</v>
      </c>
    </row>
    <row r="160" spans="1:10" s="136" customFormat="1" ht="9" customHeight="1" x14ac:dyDescent="0.25">
      <c r="A160" s="140" t="s">
        <v>25</v>
      </c>
      <c r="B160" s="147">
        <f t="shared" si="8"/>
        <v>47393</v>
      </c>
      <c r="C160" s="147">
        <v>3381</v>
      </c>
      <c r="D160" s="147">
        <v>40197</v>
      </c>
      <c r="E160" s="147">
        <v>3815</v>
      </c>
      <c r="F160" s="147"/>
      <c r="G160" s="147">
        <f t="shared" si="9"/>
        <v>377739</v>
      </c>
      <c r="H160" s="147">
        <v>30637</v>
      </c>
      <c r="I160" s="147">
        <v>205394</v>
      </c>
      <c r="J160" s="147">
        <v>141708</v>
      </c>
    </row>
    <row r="161" spans="1:10" s="136" customFormat="1" ht="9" customHeight="1" x14ac:dyDescent="0.25">
      <c r="A161" s="141" t="s">
        <v>26</v>
      </c>
      <c r="B161" s="150">
        <f t="shared" si="8"/>
        <v>41001</v>
      </c>
      <c r="C161" s="150">
        <v>3376</v>
      </c>
      <c r="D161" s="150">
        <v>35051</v>
      </c>
      <c r="E161" s="150">
        <v>2574</v>
      </c>
      <c r="F161" s="150"/>
      <c r="G161" s="150">
        <f t="shared" si="9"/>
        <v>322882</v>
      </c>
      <c r="H161" s="150">
        <v>34291</v>
      </c>
      <c r="I161" s="150">
        <v>191212</v>
      </c>
      <c r="J161" s="150">
        <v>97379</v>
      </c>
    </row>
    <row r="162" spans="1:10" s="136" customFormat="1" ht="9" customHeight="1" x14ac:dyDescent="0.25">
      <c r="A162" s="140" t="s">
        <v>126</v>
      </c>
      <c r="B162" s="147">
        <f t="shared" si="8"/>
        <v>406455</v>
      </c>
      <c r="C162" s="147">
        <v>55289</v>
      </c>
      <c r="D162" s="147">
        <v>328232</v>
      </c>
      <c r="E162" s="147">
        <v>22934</v>
      </c>
      <c r="F162" s="147"/>
      <c r="G162" s="147">
        <f t="shared" si="9"/>
        <v>3138037</v>
      </c>
      <c r="H162" s="147">
        <v>446477</v>
      </c>
      <c r="I162" s="147">
        <v>1863365</v>
      </c>
      <c r="J162" s="147">
        <v>828195</v>
      </c>
    </row>
    <row r="163" spans="1:10" s="136" customFormat="1" ht="9" customHeight="1" x14ac:dyDescent="0.25">
      <c r="A163" s="140" t="s">
        <v>28</v>
      </c>
      <c r="B163" s="147">
        <f t="shared" si="8"/>
        <v>46016</v>
      </c>
      <c r="C163" s="147">
        <v>4644</v>
      </c>
      <c r="D163" s="147">
        <v>38371</v>
      </c>
      <c r="E163" s="147">
        <v>3001</v>
      </c>
      <c r="F163" s="147"/>
      <c r="G163" s="147">
        <f t="shared" si="9"/>
        <v>377073</v>
      </c>
      <c r="H163" s="147">
        <v>47213</v>
      </c>
      <c r="I163" s="147">
        <v>217605</v>
      </c>
      <c r="J163" s="147">
        <v>112255</v>
      </c>
    </row>
    <row r="164" spans="1:10" s="136" customFormat="1" ht="9" customHeight="1" x14ac:dyDescent="0.25">
      <c r="A164" s="140" t="s">
        <v>29</v>
      </c>
      <c r="B164" s="147">
        <f t="shared" si="8"/>
        <v>67782</v>
      </c>
      <c r="C164" s="147">
        <v>3634</v>
      </c>
      <c r="D164" s="147">
        <v>60186</v>
      </c>
      <c r="E164" s="147">
        <v>3962</v>
      </c>
      <c r="F164" s="147"/>
      <c r="G164" s="147">
        <f t="shared" si="9"/>
        <v>470831</v>
      </c>
      <c r="H164" s="147">
        <v>38196</v>
      </c>
      <c r="I164" s="147">
        <v>281773</v>
      </c>
      <c r="J164" s="147">
        <v>150862</v>
      </c>
    </row>
    <row r="165" spans="1:10" s="136" customFormat="1" ht="9" customHeight="1" x14ac:dyDescent="0.25">
      <c r="A165" s="141" t="s">
        <v>30</v>
      </c>
      <c r="B165" s="150">
        <f t="shared" si="8"/>
        <v>384969</v>
      </c>
      <c r="C165" s="150">
        <v>51915</v>
      </c>
      <c r="D165" s="150">
        <v>287049</v>
      </c>
      <c r="E165" s="150">
        <v>46005</v>
      </c>
      <c r="F165" s="150"/>
      <c r="G165" s="150">
        <f t="shared" si="9"/>
        <v>3849679</v>
      </c>
      <c r="H165" s="150">
        <v>441929</v>
      </c>
      <c r="I165" s="150">
        <v>1780643</v>
      </c>
      <c r="J165" s="150">
        <v>1627107</v>
      </c>
    </row>
    <row r="166" spans="1:10" s="136" customFormat="1" ht="9" customHeight="1" x14ac:dyDescent="0.25">
      <c r="A166" s="140" t="s">
        <v>144</v>
      </c>
      <c r="B166" s="147">
        <f t="shared" si="8"/>
        <v>1376949</v>
      </c>
      <c r="C166" s="147">
        <v>181522</v>
      </c>
      <c r="D166" s="147">
        <v>1134594</v>
      </c>
      <c r="E166" s="147">
        <v>60833</v>
      </c>
      <c r="F166" s="147"/>
      <c r="G166" s="147">
        <f t="shared" si="9"/>
        <v>9713648</v>
      </c>
      <c r="H166" s="147">
        <v>1338277</v>
      </c>
      <c r="I166" s="147">
        <v>6041599</v>
      </c>
      <c r="J166" s="147">
        <v>2333772</v>
      </c>
    </row>
    <row r="167" spans="1:10" s="136" customFormat="1" ht="9" customHeight="1" x14ac:dyDescent="0.25">
      <c r="A167" s="140" t="s">
        <v>31</v>
      </c>
      <c r="B167" s="147">
        <f t="shared" si="8"/>
        <v>94372</v>
      </c>
      <c r="C167" s="147">
        <v>14095</v>
      </c>
      <c r="D167" s="147">
        <v>72879</v>
      </c>
      <c r="E167" s="147">
        <v>7398</v>
      </c>
      <c r="F167" s="147"/>
      <c r="G167" s="147">
        <f t="shared" si="9"/>
        <v>914555</v>
      </c>
      <c r="H167" s="147">
        <v>138484</v>
      </c>
      <c r="I167" s="147">
        <v>492988</v>
      </c>
      <c r="J167" s="147">
        <v>283083</v>
      </c>
    </row>
    <row r="168" spans="1:10" s="136" customFormat="1" ht="9" customHeight="1" x14ac:dyDescent="0.25">
      <c r="A168" s="140" t="s">
        <v>32</v>
      </c>
      <c r="B168" s="147">
        <f t="shared" si="8"/>
        <v>278644</v>
      </c>
      <c r="C168" s="147">
        <v>23373</v>
      </c>
      <c r="D168" s="147">
        <v>237283</v>
      </c>
      <c r="E168" s="147">
        <v>17988</v>
      </c>
      <c r="F168" s="147"/>
      <c r="G168" s="147">
        <f t="shared" si="9"/>
        <v>2434276</v>
      </c>
      <c r="H168" s="147">
        <v>250995</v>
      </c>
      <c r="I168" s="147">
        <v>1490117</v>
      </c>
      <c r="J168" s="147">
        <v>693164</v>
      </c>
    </row>
    <row r="169" spans="1:10" s="136" customFormat="1" ht="9" customHeight="1" x14ac:dyDescent="0.25">
      <c r="A169" s="141" t="s">
        <v>33</v>
      </c>
      <c r="B169" s="150">
        <f t="shared" si="8"/>
        <v>86838</v>
      </c>
      <c r="C169" s="150">
        <v>4237</v>
      </c>
      <c r="D169" s="150">
        <v>78216</v>
      </c>
      <c r="E169" s="150">
        <v>4385</v>
      </c>
      <c r="F169" s="150"/>
      <c r="G169" s="150">
        <f t="shared" si="9"/>
        <v>574045</v>
      </c>
      <c r="H169" s="150">
        <v>39225</v>
      </c>
      <c r="I169" s="150">
        <v>368860</v>
      </c>
      <c r="J169" s="150">
        <v>165960</v>
      </c>
    </row>
    <row r="170" spans="1:10" s="136" customFormat="1" ht="9" customHeight="1" x14ac:dyDescent="0.25">
      <c r="A170" s="140" t="s">
        <v>34</v>
      </c>
      <c r="B170" s="147">
        <f t="shared" si="8"/>
        <v>101749</v>
      </c>
      <c r="C170" s="147">
        <v>9266</v>
      </c>
      <c r="D170" s="147">
        <v>86161</v>
      </c>
      <c r="E170" s="147">
        <v>6322</v>
      </c>
      <c r="F170" s="147"/>
      <c r="G170" s="147">
        <f t="shared" si="9"/>
        <v>767861</v>
      </c>
      <c r="H170" s="147">
        <v>78451</v>
      </c>
      <c r="I170" s="147">
        <v>451998</v>
      </c>
      <c r="J170" s="147">
        <v>237412</v>
      </c>
    </row>
    <row r="171" spans="1:10" s="136" customFormat="1" ht="9" customHeight="1" x14ac:dyDescent="0.25">
      <c r="A171" s="140" t="s">
        <v>35</v>
      </c>
      <c r="B171" s="147">
        <f t="shared" si="8"/>
        <v>686237</v>
      </c>
      <c r="C171" s="147">
        <v>101348</v>
      </c>
      <c r="D171" s="147">
        <v>542915</v>
      </c>
      <c r="E171" s="147">
        <v>41974</v>
      </c>
      <c r="F171" s="147"/>
      <c r="G171" s="147">
        <f t="shared" si="9"/>
        <v>5440388</v>
      </c>
      <c r="H171" s="147">
        <v>732644</v>
      </c>
      <c r="I171" s="147">
        <v>3147928</v>
      </c>
      <c r="J171" s="147">
        <v>1559816</v>
      </c>
    </row>
    <row r="172" spans="1:10" s="136" customFormat="1" ht="9" customHeight="1" x14ac:dyDescent="0.25">
      <c r="A172" s="140" t="s">
        <v>145</v>
      </c>
      <c r="B172" s="147">
        <f t="shared" si="8"/>
        <v>980248</v>
      </c>
      <c r="C172" s="147">
        <v>209309</v>
      </c>
      <c r="D172" s="147">
        <v>723211</v>
      </c>
      <c r="E172" s="147">
        <v>47728</v>
      </c>
      <c r="F172" s="147"/>
      <c r="G172" s="147">
        <f t="shared" si="9"/>
        <v>7023163</v>
      </c>
      <c r="H172" s="147">
        <v>1446987</v>
      </c>
      <c r="I172" s="147">
        <v>3761524</v>
      </c>
      <c r="J172" s="147">
        <v>1814652</v>
      </c>
    </row>
    <row r="173" spans="1:10" s="136" customFormat="1" ht="9" customHeight="1" x14ac:dyDescent="0.25">
      <c r="A173" s="141" t="s">
        <v>129</v>
      </c>
      <c r="B173" s="150">
        <f t="shared" si="8"/>
        <v>150109</v>
      </c>
      <c r="C173" s="150">
        <v>15926</v>
      </c>
      <c r="D173" s="150">
        <v>126741</v>
      </c>
      <c r="E173" s="150">
        <v>7442</v>
      </c>
      <c r="F173" s="150"/>
      <c r="G173" s="150">
        <f t="shared" si="9"/>
        <v>1082477</v>
      </c>
      <c r="H173" s="150">
        <v>126756</v>
      </c>
      <c r="I173" s="150">
        <v>669985</v>
      </c>
      <c r="J173" s="150">
        <v>285736</v>
      </c>
    </row>
    <row r="174" spans="1:10" s="136" customFormat="1" ht="9" customHeight="1" x14ac:dyDescent="0.25">
      <c r="A174" s="140" t="s">
        <v>38</v>
      </c>
      <c r="B174" s="147">
        <f t="shared" si="8"/>
        <v>130517</v>
      </c>
      <c r="C174" s="147">
        <v>9071</v>
      </c>
      <c r="D174" s="147">
        <v>115259</v>
      </c>
      <c r="E174" s="147">
        <v>6187</v>
      </c>
      <c r="F174" s="147"/>
      <c r="G174" s="147">
        <f t="shared" si="9"/>
        <v>826453</v>
      </c>
      <c r="H174" s="147">
        <v>76398</v>
      </c>
      <c r="I174" s="147">
        <v>518334</v>
      </c>
      <c r="J174" s="147">
        <v>231721</v>
      </c>
    </row>
    <row r="175" spans="1:10" s="136" customFormat="1" ht="9" customHeight="1" x14ac:dyDescent="0.25">
      <c r="A175" s="140" t="s">
        <v>39</v>
      </c>
      <c r="B175" s="147">
        <f t="shared" si="8"/>
        <v>43954</v>
      </c>
      <c r="C175" s="147">
        <v>2557</v>
      </c>
      <c r="D175" s="147">
        <v>38859</v>
      </c>
      <c r="E175" s="147">
        <v>2538</v>
      </c>
      <c r="F175" s="147"/>
      <c r="G175" s="147">
        <f t="shared" si="9"/>
        <v>326349</v>
      </c>
      <c r="H175" s="147">
        <v>20841</v>
      </c>
      <c r="I175" s="147">
        <v>209561</v>
      </c>
      <c r="J175" s="147">
        <v>95947</v>
      </c>
    </row>
    <row r="176" spans="1:10" s="136" customFormat="1" ht="9" customHeight="1" x14ac:dyDescent="0.25">
      <c r="A176" s="140" t="s">
        <v>40</v>
      </c>
      <c r="B176" s="147">
        <f t="shared" si="8"/>
        <v>455306</v>
      </c>
      <c r="C176" s="147">
        <v>84043</v>
      </c>
      <c r="D176" s="147">
        <v>341207</v>
      </c>
      <c r="E176" s="147">
        <v>30056</v>
      </c>
      <c r="F176" s="147"/>
      <c r="G176" s="147">
        <f t="shared" si="9"/>
        <v>4310596</v>
      </c>
      <c r="H176" s="147">
        <v>777714</v>
      </c>
      <c r="I176" s="147">
        <v>2407664</v>
      </c>
      <c r="J176" s="147">
        <v>1125218</v>
      </c>
    </row>
    <row r="177" spans="1:10" s="136" customFormat="1" ht="9" customHeight="1" x14ac:dyDescent="0.25">
      <c r="A177" s="141" t="s">
        <v>41</v>
      </c>
      <c r="B177" s="150">
        <f t="shared" si="8"/>
        <v>88839</v>
      </c>
      <c r="C177" s="150">
        <v>6598</v>
      </c>
      <c r="D177" s="150">
        <v>76724</v>
      </c>
      <c r="E177" s="150">
        <v>5517</v>
      </c>
      <c r="F177" s="150"/>
      <c r="G177" s="150">
        <f t="shared" si="9"/>
        <v>627706</v>
      </c>
      <c r="H177" s="150">
        <v>56404</v>
      </c>
      <c r="I177" s="150">
        <v>361043</v>
      </c>
      <c r="J177" s="150">
        <v>210259</v>
      </c>
    </row>
    <row r="178" spans="1:10" s="136" customFormat="1" ht="9" customHeight="1" x14ac:dyDescent="0.25">
      <c r="A178" s="140" t="s">
        <v>42</v>
      </c>
      <c r="B178" s="147">
        <f t="shared" si="8"/>
        <v>233621</v>
      </c>
      <c r="C178" s="147">
        <v>28259</v>
      </c>
      <c r="D178" s="147">
        <v>187987</v>
      </c>
      <c r="E178" s="147">
        <v>17375</v>
      </c>
      <c r="F178" s="147"/>
      <c r="G178" s="147">
        <f t="shared" si="9"/>
        <v>1831742</v>
      </c>
      <c r="H178" s="147">
        <v>208535</v>
      </c>
      <c r="I178" s="147">
        <v>962688</v>
      </c>
      <c r="J178" s="147">
        <v>660519</v>
      </c>
    </row>
    <row r="179" spans="1:10" s="136" customFormat="1" ht="9" customHeight="1" x14ac:dyDescent="0.25">
      <c r="A179" s="140" t="s">
        <v>43</v>
      </c>
      <c r="B179" s="147">
        <f t="shared" si="8"/>
        <v>109068</v>
      </c>
      <c r="C179" s="147">
        <v>7905</v>
      </c>
      <c r="D179" s="147">
        <v>90057</v>
      </c>
      <c r="E179" s="147">
        <v>11106</v>
      </c>
      <c r="F179" s="147"/>
      <c r="G179" s="147">
        <f t="shared" si="9"/>
        <v>959869</v>
      </c>
      <c r="H179" s="147">
        <v>73460</v>
      </c>
      <c r="I179" s="147">
        <v>476774</v>
      </c>
      <c r="J179" s="147">
        <v>409635</v>
      </c>
    </row>
    <row r="180" spans="1:10" s="136" customFormat="1" ht="9" customHeight="1" x14ac:dyDescent="0.25">
      <c r="A180" s="140" t="s">
        <v>44</v>
      </c>
      <c r="B180" s="147">
        <f t="shared" si="8"/>
        <v>97112</v>
      </c>
      <c r="C180" s="147">
        <v>4147</v>
      </c>
      <c r="D180" s="147">
        <v>85427</v>
      </c>
      <c r="E180" s="147">
        <v>7538</v>
      </c>
      <c r="F180" s="147"/>
      <c r="G180" s="147">
        <f t="shared" si="9"/>
        <v>720026</v>
      </c>
      <c r="H180" s="147">
        <v>44666</v>
      </c>
      <c r="I180" s="147">
        <v>387583</v>
      </c>
      <c r="J180" s="147">
        <v>287777</v>
      </c>
    </row>
    <row r="181" spans="1:10" s="136" customFormat="1" ht="9" customHeight="1" x14ac:dyDescent="0.25">
      <c r="A181" s="141" t="s">
        <v>45</v>
      </c>
      <c r="B181" s="150">
        <f t="shared" si="8"/>
        <v>160871</v>
      </c>
      <c r="C181" s="150">
        <v>18473</v>
      </c>
      <c r="D181" s="150">
        <v>132419</v>
      </c>
      <c r="E181" s="150">
        <v>9979</v>
      </c>
      <c r="F181" s="150"/>
      <c r="G181" s="150">
        <f t="shared" si="9"/>
        <v>1277797</v>
      </c>
      <c r="H181" s="150">
        <v>166552</v>
      </c>
      <c r="I181" s="150">
        <v>739975</v>
      </c>
      <c r="J181" s="150">
        <v>371270</v>
      </c>
    </row>
    <row r="182" spans="1:10" s="136" customFormat="1" ht="9" customHeight="1" x14ac:dyDescent="0.25">
      <c r="A182" s="140" t="s">
        <v>46</v>
      </c>
      <c r="B182" s="147">
        <f t="shared" si="8"/>
        <v>201076</v>
      </c>
      <c r="C182" s="147">
        <v>33846</v>
      </c>
      <c r="D182" s="147">
        <v>154307</v>
      </c>
      <c r="E182" s="147">
        <v>12923</v>
      </c>
      <c r="F182" s="147"/>
      <c r="G182" s="147">
        <f t="shared" si="9"/>
        <v>1673242</v>
      </c>
      <c r="H182" s="147">
        <v>259069</v>
      </c>
      <c r="I182" s="147">
        <v>928477</v>
      </c>
      <c r="J182" s="147">
        <v>485696</v>
      </c>
    </row>
    <row r="183" spans="1:10" s="136" customFormat="1" ht="9" customHeight="1" x14ac:dyDescent="0.25">
      <c r="A183" s="140" t="s">
        <v>47</v>
      </c>
      <c r="B183" s="147">
        <f t="shared" si="8"/>
        <v>266178</v>
      </c>
      <c r="C183" s="147">
        <v>37502</v>
      </c>
      <c r="D183" s="147">
        <v>207656</v>
      </c>
      <c r="E183" s="147">
        <v>21020</v>
      </c>
      <c r="F183" s="147"/>
      <c r="G183" s="147">
        <f t="shared" si="9"/>
        <v>2277990</v>
      </c>
      <c r="H183" s="147">
        <v>300161</v>
      </c>
      <c r="I183" s="147">
        <v>1213937</v>
      </c>
      <c r="J183" s="147">
        <v>763892</v>
      </c>
    </row>
    <row r="184" spans="1:10" s="136" customFormat="1" ht="9" customHeight="1" x14ac:dyDescent="0.25">
      <c r="A184" s="140" t="s">
        <v>48</v>
      </c>
      <c r="B184" s="147">
        <f t="shared" si="8"/>
        <v>55192</v>
      </c>
      <c r="C184" s="147">
        <v>2350</v>
      </c>
      <c r="D184" s="147">
        <v>49478</v>
      </c>
      <c r="E184" s="147">
        <v>3364</v>
      </c>
      <c r="F184" s="147"/>
      <c r="G184" s="147">
        <f t="shared" si="9"/>
        <v>411893</v>
      </c>
      <c r="H184" s="147">
        <v>27421</v>
      </c>
      <c r="I184" s="147">
        <v>259502</v>
      </c>
      <c r="J184" s="147">
        <v>124970</v>
      </c>
    </row>
    <row r="185" spans="1:10" s="136" customFormat="1" ht="9" customHeight="1" x14ac:dyDescent="0.25">
      <c r="A185" s="141" t="s">
        <v>49</v>
      </c>
      <c r="B185" s="150">
        <f t="shared" si="8"/>
        <v>297322</v>
      </c>
      <c r="C185" s="150">
        <v>38994</v>
      </c>
      <c r="D185" s="150">
        <v>227245</v>
      </c>
      <c r="E185" s="150">
        <v>31083</v>
      </c>
      <c r="F185" s="150"/>
      <c r="G185" s="150">
        <f t="shared" si="9"/>
        <v>2796777</v>
      </c>
      <c r="H185" s="150">
        <v>369979</v>
      </c>
      <c r="I185" s="150">
        <v>1308381</v>
      </c>
      <c r="J185" s="150">
        <v>1118417</v>
      </c>
    </row>
    <row r="186" spans="1:10" s="136" customFormat="1" ht="9" customHeight="1" x14ac:dyDescent="0.25">
      <c r="A186" s="140" t="s">
        <v>50</v>
      </c>
      <c r="B186" s="147">
        <f t="shared" si="8"/>
        <v>39757</v>
      </c>
      <c r="C186" s="147">
        <v>3930</v>
      </c>
      <c r="D186" s="147">
        <v>32188</v>
      </c>
      <c r="E186" s="147">
        <v>3639</v>
      </c>
      <c r="F186" s="147"/>
      <c r="G186" s="147">
        <f t="shared" si="9"/>
        <v>346876</v>
      </c>
      <c r="H186" s="147">
        <v>37853</v>
      </c>
      <c r="I186" s="147">
        <v>171822</v>
      </c>
      <c r="J186" s="147">
        <v>137201</v>
      </c>
    </row>
    <row r="187" spans="1:10" s="136" customFormat="1" ht="9" customHeight="1" x14ac:dyDescent="0.25">
      <c r="A187" s="140" t="s">
        <v>146</v>
      </c>
      <c r="B187" s="147">
        <f t="shared" si="8"/>
        <v>299846</v>
      </c>
      <c r="C187" s="147">
        <v>32569</v>
      </c>
      <c r="D187" s="147">
        <v>252055</v>
      </c>
      <c r="E187" s="147">
        <v>15222</v>
      </c>
      <c r="F187" s="147"/>
      <c r="G187" s="147">
        <f t="shared" si="9"/>
        <v>2247432</v>
      </c>
      <c r="H187" s="147">
        <v>299086</v>
      </c>
      <c r="I187" s="147">
        <v>1363478</v>
      </c>
      <c r="J187" s="147">
        <v>584868</v>
      </c>
    </row>
    <row r="188" spans="1:10" s="136" customFormat="1" ht="9" customHeight="1" x14ac:dyDescent="0.25">
      <c r="A188" s="140" t="s">
        <v>52</v>
      </c>
      <c r="B188" s="147">
        <f t="shared" si="8"/>
        <v>180605</v>
      </c>
      <c r="C188" s="147">
        <v>11731</v>
      </c>
      <c r="D188" s="147">
        <v>159110</v>
      </c>
      <c r="E188" s="147">
        <v>9764</v>
      </c>
      <c r="F188" s="147"/>
      <c r="G188" s="147">
        <f t="shared" si="9"/>
        <v>1130271</v>
      </c>
      <c r="H188" s="147">
        <v>126912</v>
      </c>
      <c r="I188" s="147">
        <v>636248</v>
      </c>
      <c r="J188" s="147">
        <v>367111</v>
      </c>
    </row>
    <row r="189" spans="1:10" s="136" customFormat="1" ht="9" customHeight="1" x14ac:dyDescent="0.25">
      <c r="A189" s="141" t="s">
        <v>53</v>
      </c>
      <c r="B189" s="150">
        <f t="shared" si="8"/>
        <v>66049</v>
      </c>
      <c r="C189" s="150">
        <v>5183</v>
      </c>
      <c r="D189" s="150">
        <v>56763</v>
      </c>
      <c r="E189" s="150">
        <v>4103</v>
      </c>
      <c r="F189" s="150"/>
      <c r="G189" s="150">
        <f t="shared" si="9"/>
        <v>492036</v>
      </c>
      <c r="H189" s="150">
        <v>44694</v>
      </c>
      <c r="I189" s="150">
        <v>292280</v>
      </c>
      <c r="J189" s="150">
        <v>155062</v>
      </c>
    </row>
    <row r="190" spans="1:10" ht="8.25" customHeight="1" x14ac:dyDescent="0.25">
      <c r="A190" s="175"/>
      <c r="B190" s="175"/>
      <c r="C190" s="175"/>
      <c r="D190" s="175"/>
      <c r="E190" s="175"/>
      <c r="F190" s="175"/>
      <c r="G190" s="175"/>
      <c r="H190" s="175"/>
      <c r="I190" s="175"/>
      <c r="J190" s="175"/>
    </row>
    <row r="191" spans="1:10" s="136" customFormat="1" ht="9" customHeight="1" x14ac:dyDescent="0.25">
      <c r="A191" s="177">
        <v>2002</v>
      </c>
      <c r="B191" s="147"/>
      <c r="C191" s="140"/>
      <c r="D191" s="140"/>
      <c r="E191" s="140"/>
      <c r="F191" s="147"/>
      <c r="G191" s="147"/>
      <c r="H191" s="140"/>
      <c r="I191" s="140"/>
      <c r="J191" s="140"/>
    </row>
    <row r="192" spans="1:10" s="136" customFormat="1" ht="9" customHeight="1" x14ac:dyDescent="0.25">
      <c r="A192" s="138" t="s">
        <v>13</v>
      </c>
      <c r="B192" s="148">
        <f>SUM(B194:B225)</f>
        <v>7408507</v>
      </c>
      <c r="C192" s="148">
        <f>SUM(C194:C225)</f>
        <v>1011159</v>
      </c>
      <c r="D192" s="148">
        <f>SUM(D194:D225)</f>
        <v>5892737</v>
      </c>
      <c r="E192" s="148">
        <f>SUM(E194:E225)</f>
        <v>504611</v>
      </c>
      <c r="F192" s="148"/>
      <c r="G192" s="148">
        <f>SUM(G194:G225)</f>
        <v>59854779</v>
      </c>
      <c r="H192" s="148">
        <f>SUM(H194:H225)</f>
        <v>7919858</v>
      </c>
      <c r="I192" s="148">
        <f>SUM(I194:I225)</f>
        <v>33045920</v>
      </c>
      <c r="J192" s="148">
        <f>SUM(J194:J225)</f>
        <v>18889001</v>
      </c>
    </row>
    <row r="193" spans="1:10" s="136" customFormat="1" ht="3" customHeight="1" x14ac:dyDescent="0.25">
      <c r="A193" s="138"/>
      <c r="B193" s="148"/>
      <c r="C193" s="148"/>
      <c r="D193" s="148"/>
      <c r="E193" s="148"/>
      <c r="F193" s="148"/>
      <c r="G193" s="148"/>
      <c r="H193" s="148"/>
      <c r="I193" s="148"/>
      <c r="J193" s="148"/>
    </row>
    <row r="194" spans="1:10" s="136" customFormat="1" ht="9" customHeight="1" x14ac:dyDescent="0.25">
      <c r="A194" s="140" t="s">
        <v>23</v>
      </c>
      <c r="B194" s="147">
        <f t="shared" ref="B194:B225" si="10">SUM(C194,D194,E194)</f>
        <v>84035</v>
      </c>
      <c r="C194" s="147">
        <v>16037</v>
      </c>
      <c r="D194" s="147">
        <v>59679</v>
      </c>
      <c r="E194" s="147">
        <v>8319</v>
      </c>
      <c r="F194" s="147"/>
      <c r="G194" s="147">
        <f t="shared" ref="G194:G225" si="11">SUM(H194,I194,J194)</f>
        <v>805405</v>
      </c>
      <c r="H194" s="147">
        <v>115443</v>
      </c>
      <c r="I194" s="147">
        <v>378674</v>
      </c>
      <c r="J194" s="147">
        <v>311288</v>
      </c>
    </row>
    <row r="195" spans="1:10" s="136" customFormat="1" ht="9" customHeight="1" x14ac:dyDescent="0.25">
      <c r="A195" s="140" t="s">
        <v>24</v>
      </c>
      <c r="B195" s="147">
        <f t="shared" si="10"/>
        <v>354066</v>
      </c>
      <c r="C195" s="147">
        <v>64748</v>
      </c>
      <c r="D195" s="147">
        <v>251989</v>
      </c>
      <c r="E195" s="147">
        <v>37329</v>
      </c>
      <c r="F195" s="147"/>
      <c r="G195" s="147">
        <f t="shared" si="11"/>
        <v>3397678</v>
      </c>
      <c r="H195" s="147">
        <v>454187</v>
      </c>
      <c r="I195" s="147">
        <v>1598588</v>
      </c>
      <c r="J195" s="147">
        <v>1344903</v>
      </c>
    </row>
    <row r="196" spans="1:10" s="136" customFormat="1" ht="9" customHeight="1" x14ac:dyDescent="0.25">
      <c r="A196" s="140" t="s">
        <v>25</v>
      </c>
      <c r="B196" s="147">
        <f t="shared" si="10"/>
        <v>45015</v>
      </c>
      <c r="C196" s="147">
        <v>3275</v>
      </c>
      <c r="D196" s="147">
        <v>37753</v>
      </c>
      <c r="E196" s="147">
        <v>3987</v>
      </c>
      <c r="F196" s="147"/>
      <c r="G196" s="147">
        <f t="shared" si="11"/>
        <v>376924</v>
      </c>
      <c r="H196" s="147">
        <v>31244</v>
      </c>
      <c r="I196" s="147">
        <v>197386</v>
      </c>
      <c r="J196" s="147">
        <v>148294</v>
      </c>
    </row>
    <row r="197" spans="1:10" s="136" customFormat="1" ht="9" customHeight="1" x14ac:dyDescent="0.25">
      <c r="A197" s="141" t="s">
        <v>26</v>
      </c>
      <c r="B197" s="150">
        <f t="shared" si="10"/>
        <v>41515</v>
      </c>
      <c r="C197" s="150">
        <v>3290</v>
      </c>
      <c r="D197" s="150">
        <v>35284</v>
      </c>
      <c r="E197" s="150">
        <v>2941</v>
      </c>
      <c r="F197" s="150"/>
      <c r="G197" s="150">
        <f t="shared" si="11"/>
        <v>332978</v>
      </c>
      <c r="H197" s="150">
        <v>33263</v>
      </c>
      <c r="I197" s="150">
        <v>189290</v>
      </c>
      <c r="J197" s="150">
        <v>110425</v>
      </c>
    </row>
    <row r="198" spans="1:10" s="136" customFormat="1" ht="9" customHeight="1" x14ac:dyDescent="0.25">
      <c r="A198" s="140" t="s">
        <v>126</v>
      </c>
      <c r="B198" s="147">
        <f t="shared" si="10"/>
        <v>381885</v>
      </c>
      <c r="C198" s="147">
        <v>49686</v>
      </c>
      <c r="D198" s="147">
        <v>309735</v>
      </c>
      <c r="E198" s="147">
        <v>22464</v>
      </c>
      <c r="F198" s="147"/>
      <c r="G198" s="147">
        <f t="shared" si="11"/>
        <v>2976039</v>
      </c>
      <c r="H198" s="147">
        <v>395698</v>
      </c>
      <c r="I198" s="147">
        <v>1758830</v>
      </c>
      <c r="J198" s="147">
        <v>821511</v>
      </c>
    </row>
    <row r="199" spans="1:10" s="136" customFormat="1" ht="9" customHeight="1" x14ac:dyDescent="0.25">
      <c r="A199" s="140" t="s">
        <v>28</v>
      </c>
      <c r="B199" s="147">
        <f t="shared" si="10"/>
        <v>50080</v>
      </c>
      <c r="C199" s="147">
        <v>4266</v>
      </c>
      <c r="D199" s="147">
        <v>42760</v>
      </c>
      <c r="E199" s="147">
        <v>3054</v>
      </c>
      <c r="F199" s="147"/>
      <c r="G199" s="147">
        <f t="shared" si="11"/>
        <v>377625</v>
      </c>
      <c r="H199" s="147">
        <v>44452</v>
      </c>
      <c r="I199" s="147">
        <v>217464</v>
      </c>
      <c r="J199" s="147">
        <v>115709</v>
      </c>
    </row>
    <row r="200" spans="1:10" s="136" customFormat="1" ht="9" customHeight="1" x14ac:dyDescent="0.25">
      <c r="A200" s="140" t="s">
        <v>29</v>
      </c>
      <c r="B200" s="147">
        <f t="shared" si="10"/>
        <v>63268</v>
      </c>
      <c r="C200" s="147">
        <v>3041</v>
      </c>
      <c r="D200" s="147">
        <v>55918</v>
      </c>
      <c r="E200" s="147">
        <v>4309</v>
      </c>
      <c r="F200" s="147"/>
      <c r="G200" s="147">
        <f t="shared" si="11"/>
        <v>454107</v>
      </c>
      <c r="H200" s="147">
        <v>31051</v>
      </c>
      <c r="I200" s="147">
        <v>257333</v>
      </c>
      <c r="J200" s="147">
        <v>165723</v>
      </c>
    </row>
    <row r="201" spans="1:10" s="136" customFormat="1" ht="9" customHeight="1" x14ac:dyDescent="0.25">
      <c r="A201" s="141" t="s">
        <v>30</v>
      </c>
      <c r="B201" s="150">
        <f t="shared" si="10"/>
        <v>343576</v>
      </c>
      <c r="C201" s="150">
        <v>44561</v>
      </c>
      <c r="D201" s="150">
        <v>256945</v>
      </c>
      <c r="E201" s="150">
        <v>42070</v>
      </c>
      <c r="F201" s="150"/>
      <c r="G201" s="150">
        <f t="shared" si="11"/>
        <v>3494971</v>
      </c>
      <c r="H201" s="150">
        <v>387682</v>
      </c>
      <c r="I201" s="150">
        <v>1605969</v>
      </c>
      <c r="J201" s="150">
        <v>1501320</v>
      </c>
    </row>
    <row r="202" spans="1:10" s="136" customFormat="1" ht="9" customHeight="1" x14ac:dyDescent="0.25">
      <c r="A202" s="140" t="s">
        <v>144</v>
      </c>
      <c r="B202" s="147">
        <f t="shared" si="10"/>
        <v>1259298</v>
      </c>
      <c r="C202" s="147">
        <v>158592</v>
      </c>
      <c r="D202" s="147">
        <v>1042322</v>
      </c>
      <c r="E202" s="147">
        <v>58384</v>
      </c>
      <c r="F202" s="147"/>
      <c r="G202" s="147">
        <f t="shared" si="11"/>
        <v>8994619</v>
      </c>
      <c r="H202" s="147">
        <v>1168305</v>
      </c>
      <c r="I202" s="147">
        <v>5584242</v>
      </c>
      <c r="J202" s="147">
        <v>2242072</v>
      </c>
    </row>
    <row r="203" spans="1:10" s="136" customFormat="1" ht="9" customHeight="1" x14ac:dyDescent="0.25">
      <c r="A203" s="140" t="s">
        <v>31</v>
      </c>
      <c r="B203" s="147">
        <f t="shared" si="10"/>
        <v>88137</v>
      </c>
      <c r="C203" s="147">
        <v>12457</v>
      </c>
      <c r="D203" s="147">
        <v>68882</v>
      </c>
      <c r="E203" s="147">
        <v>6798</v>
      </c>
      <c r="F203" s="147"/>
      <c r="G203" s="147">
        <f t="shared" si="11"/>
        <v>817594</v>
      </c>
      <c r="H203" s="147">
        <v>108825</v>
      </c>
      <c r="I203" s="147">
        <v>449679</v>
      </c>
      <c r="J203" s="147">
        <v>259090</v>
      </c>
    </row>
    <row r="204" spans="1:10" s="136" customFormat="1" ht="9" customHeight="1" x14ac:dyDescent="0.25">
      <c r="A204" s="140" t="s">
        <v>32</v>
      </c>
      <c r="B204" s="147">
        <f t="shared" si="10"/>
        <v>270664</v>
      </c>
      <c r="C204" s="147">
        <v>23455</v>
      </c>
      <c r="D204" s="147">
        <v>228279</v>
      </c>
      <c r="E204" s="147">
        <v>18930</v>
      </c>
      <c r="F204" s="147"/>
      <c r="G204" s="147">
        <f t="shared" si="11"/>
        <v>2390177</v>
      </c>
      <c r="H204" s="147">
        <v>247218</v>
      </c>
      <c r="I204" s="147">
        <v>1414139</v>
      </c>
      <c r="J204" s="147">
        <v>728820</v>
      </c>
    </row>
    <row r="205" spans="1:10" s="136" customFormat="1" ht="9" customHeight="1" x14ac:dyDescent="0.25">
      <c r="A205" s="141" t="s">
        <v>33</v>
      </c>
      <c r="B205" s="150">
        <f t="shared" si="10"/>
        <v>82612</v>
      </c>
      <c r="C205" s="150">
        <v>3667</v>
      </c>
      <c r="D205" s="150">
        <v>74338</v>
      </c>
      <c r="E205" s="150">
        <v>4607</v>
      </c>
      <c r="F205" s="150"/>
      <c r="G205" s="150">
        <f t="shared" si="11"/>
        <v>568034</v>
      </c>
      <c r="H205" s="150">
        <v>34878</v>
      </c>
      <c r="I205" s="150">
        <v>358108</v>
      </c>
      <c r="J205" s="150">
        <v>175048</v>
      </c>
    </row>
    <row r="206" spans="1:10" s="136" customFormat="1" ht="9" customHeight="1" x14ac:dyDescent="0.25">
      <c r="A206" s="140" t="s">
        <v>34</v>
      </c>
      <c r="B206" s="147">
        <f t="shared" si="10"/>
        <v>88430</v>
      </c>
      <c r="C206" s="147">
        <v>8589</v>
      </c>
      <c r="D206" s="147">
        <v>73430</v>
      </c>
      <c r="E206" s="147">
        <v>6411</v>
      </c>
      <c r="F206" s="147"/>
      <c r="G206" s="147">
        <f t="shared" si="11"/>
        <v>697872</v>
      </c>
      <c r="H206" s="147">
        <v>70193</v>
      </c>
      <c r="I206" s="147">
        <v>385677</v>
      </c>
      <c r="J206" s="147">
        <v>242002</v>
      </c>
    </row>
    <row r="207" spans="1:10" s="136" customFormat="1" ht="9" customHeight="1" x14ac:dyDescent="0.25">
      <c r="A207" s="140" t="s">
        <v>35</v>
      </c>
      <c r="B207" s="147">
        <f t="shared" si="10"/>
        <v>660186</v>
      </c>
      <c r="C207" s="147">
        <v>91620</v>
      </c>
      <c r="D207" s="147">
        <v>527708</v>
      </c>
      <c r="E207" s="147">
        <v>40858</v>
      </c>
      <c r="F207" s="147"/>
      <c r="G207" s="147">
        <f t="shared" si="11"/>
        <v>5238966</v>
      </c>
      <c r="H207" s="147">
        <v>665544</v>
      </c>
      <c r="I207" s="147">
        <v>3046869</v>
      </c>
      <c r="J207" s="147">
        <v>1526553</v>
      </c>
    </row>
    <row r="208" spans="1:10" s="136" customFormat="1" ht="9" customHeight="1" x14ac:dyDescent="0.25">
      <c r="A208" s="140" t="s">
        <v>145</v>
      </c>
      <c r="B208" s="147">
        <f t="shared" si="10"/>
        <v>924426</v>
      </c>
      <c r="C208" s="147">
        <v>204119</v>
      </c>
      <c r="D208" s="147">
        <v>671778</v>
      </c>
      <c r="E208" s="147">
        <v>48529</v>
      </c>
      <c r="F208" s="147"/>
      <c r="G208" s="147">
        <f t="shared" si="11"/>
        <v>6713402</v>
      </c>
      <c r="H208" s="147">
        <v>1375051</v>
      </c>
      <c r="I208" s="147">
        <v>3489258</v>
      </c>
      <c r="J208" s="147">
        <v>1849093</v>
      </c>
    </row>
    <row r="209" spans="1:10" s="136" customFormat="1" ht="9" customHeight="1" x14ac:dyDescent="0.25">
      <c r="A209" s="141" t="s">
        <v>129</v>
      </c>
      <c r="B209" s="150">
        <f t="shared" si="10"/>
        <v>145206</v>
      </c>
      <c r="C209" s="150">
        <v>14623</v>
      </c>
      <c r="D209" s="150">
        <v>122455</v>
      </c>
      <c r="E209" s="150">
        <v>8128</v>
      </c>
      <c r="F209" s="150"/>
      <c r="G209" s="150">
        <f t="shared" si="11"/>
        <v>1066420</v>
      </c>
      <c r="H209" s="150">
        <v>111333</v>
      </c>
      <c r="I209" s="150">
        <v>644956</v>
      </c>
      <c r="J209" s="150">
        <v>310131</v>
      </c>
    </row>
    <row r="210" spans="1:10" s="136" customFormat="1" ht="9" customHeight="1" x14ac:dyDescent="0.25">
      <c r="A210" s="140" t="s">
        <v>38</v>
      </c>
      <c r="B210" s="147">
        <f t="shared" si="10"/>
        <v>121912</v>
      </c>
      <c r="C210" s="147">
        <v>9407</v>
      </c>
      <c r="D210" s="147">
        <v>106362</v>
      </c>
      <c r="E210" s="147">
        <v>6143</v>
      </c>
      <c r="F210" s="147"/>
      <c r="G210" s="147">
        <f t="shared" si="11"/>
        <v>796720</v>
      </c>
      <c r="H210" s="147">
        <v>76586</v>
      </c>
      <c r="I210" s="147">
        <v>489407</v>
      </c>
      <c r="J210" s="147">
        <v>230727</v>
      </c>
    </row>
    <row r="211" spans="1:10" s="136" customFormat="1" ht="9" customHeight="1" x14ac:dyDescent="0.25">
      <c r="A211" s="140" t="s">
        <v>39</v>
      </c>
      <c r="B211" s="147">
        <f t="shared" si="10"/>
        <v>44990</v>
      </c>
      <c r="C211" s="147">
        <v>3415</v>
      </c>
      <c r="D211" s="147">
        <v>38433</v>
      </c>
      <c r="E211" s="147">
        <v>3142</v>
      </c>
      <c r="F211" s="147"/>
      <c r="G211" s="147">
        <f t="shared" si="11"/>
        <v>352156</v>
      </c>
      <c r="H211" s="147">
        <v>25326</v>
      </c>
      <c r="I211" s="147">
        <v>207330</v>
      </c>
      <c r="J211" s="147">
        <v>119500</v>
      </c>
    </row>
    <row r="212" spans="1:10" s="136" customFormat="1" ht="9" customHeight="1" x14ac:dyDescent="0.25">
      <c r="A212" s="140" t="s">
        <v>40</v>
      </c>
      <c r="B212" s="147">
        <f t="shared" si="10"/>
        <v>423749</v>
      </c>
      <c r="C212" s="147">
        <v>78061</v>
      </c>
      <c r="D212" s="147">
        <v>315439</v>
      </c>
      <c r="E212" s="147">
        <v>30249</v>
      </c>
      <c r="F212" s="147"/>
      <c r="G212" s="147">
        <f t="shared" si="11"/>
        <v>4157833</v>
      </c>
      <c r="H212" s="147">
        <v>714349</v>
      </c>
      <c r="I212" s="147">
        <v>2304878</v>
      </c>
      <c r="J212" s="147">
        <v>1138606</v>
      </c>
    </row>
    <row r="213" spans="1:10" s="136" customFormat="1" ht="9" customHeight="1" x14ac:dyDescent="0.25">
      <c r="A213" s="141" t="s">
        <v>41</v>
      </c>
      <c r="B213" s="150">
        <f t="shared" si="10"/>
        <v>79831</v>
      </c>
      <c r="C213" s="150">
        <v>6014</v>
      </c>
      <c r="D213" s="150">
        <v>68317</v>
      </c>
      <c r="E213" s="150">
        <v>5500</v>
      </c>
      <c r="F213" s="150"/>
      <c r="G213" s="150">
        <f t="shared" si="11"/>
        <v>578508</v>
      </c>
      <c r="H213" s="150">
        <v>52193</v>
      </c>
      <c r="I213" s="150">
        <v>316212</v>
      </c>
      <c r="J213" s="150">
        <v>210103</v>
      </c>
    </row>
    <row r="214" spans="1:10" s="136" customFormat="1" ht="9" customHeight="1" x14ac:dyDescent="0.25">
      <c r="A214" s="140" t="s">
        <v>42</v>
      </c>
      <c r="B214" s="147">
        <f t="shared" si="10"/>
        <v>208404</v>
      </c>
      <c r="C214" s="147">
        <v>27887</v>
      </c>
      <c r="D214" s="147">
        <v>164419</v>
      </c>
      <c r="E214" s="147">
        <v>16098</v>
      </c>
      <c r="F214" s="147"/>
      <c r="G214" s="147">
        <f t="shared" si="11"/>
        <v>1659514</v>
      </c>
      <c r="H214" s="147">
        <v>195493</v>
      </c>
      <c r="I214" s="147">
        <v>847882</v>
      </c>
      <c r="J214" s="147">
        <v>616139</v>
      </c>
    </row>
    <row r="215" spans="1:10" s="136" customFormat="1" ht="9" customHeight="1" x14ac:dyDescent="0.25">
      <c r="A215" s="140" t="s">
        <v>43</v>
      </c>
      <c r="B215" s="147">
        <f t="shared" si="10"/>
        <v>105948</v>
      </c>
      <c r="C215" s="147">
        <v>7237</v>
      </c>
      <c r="D215" s="147">
        <v>87713</v>
      </c>
      <c r="E215" s="147">
        <v>10998</v>
      </c>
      <c r="F215" s="147"/>
      <c r="G215" s="147">
        <f t="shared" si="11"/>
        <v>945437</v>
      </c>
      <c r="H215" s="147">
        <v>71011</v>
      </c>
      <c r="I215" s="147">
        <v>463764</v>
      </c>
      <c r="J215" s="147">
        <v>410662</v>
      </c>
    </row>
    <row r="216" spans="1:10" s="136" customFormat="1" ht="9" customHeight="1" x14ac:dyDescent="0.25">
      <c r="A216" s="140" t="s">
        <v>44</v>
      </c>
      <c r="B216" s="147">
        <f t="shared" si="10"/>
        <v>89362</v>
      </c>
      <c r="C216" s="147">
        <v>3180</v>
      </c>
      <c r="D216" s="147">
        <v>78395</v>
      </c>
      <c r="E216" s="147">
        <v>7787</v>
      </c>
      <c r="F216" s="147"/>
      <c r="G216" s="147">
        <f t="shared" si="11"/>
        <v>704372</v>
      </c>
      <c r="H216" s="147">
        <v>40879</v>
      </c>
      <c r="I216" s="147">
        <v>365137</v>
      </c>
      <c r="J216" s="147">
        <v>298356</v>
      </c>
    </row>
    <row r="217" spans="1:10" s="136" customFormat="1" ht="9" customHeight="1" x14ac:dyDescent="0.25">
      <c r="A217" s="141" t="s">
        <v>45</v>
      </c>
      <c r="B217" s="150">
        <f t="shared" si="10"/>
        <v>161110</v>
      </c>
      <c r="C217" s="150">
        <v>17688</v>
      </c>
      <c r="D217" s="150">
        <v>133453</v>
      </c>
      <c r="E217" s="150">
        <v>9969</v>
      </c>
      <c r="F217" s="150"/>
      <c r="G217" s="150">
        <f t="shared" si="11"/>
        <v>1301241</v>
      </c>
      <c r="H217" s="150">
        <v>168261</v>
      </c>
      <c r="I217" s="150">
        <v>760315</v>
      </c>
      <c r="J217" s="150">
        <v>372665</v>
      </c>
    </row>
    <row r="218" spans="1:10" s="136" customFormat="1" ht="9" customHeight="1" x14ac:dyDescent="0.25">
      <c r="A218" s="140" t="s">
        <v>46</v>
      </c>
      <c r="B218" s="147">
        <f t="shared" si="10"/>
        <v>185098</v>
      </c>
      <c r="C218" s="147">
        <v>37713</v>
      </c>
      <c r="D218" s="147">
        <v>134358</v>
      </c>
      <c r="E218" s="147">
        <v>13027</v>
      </c>
      <c r="F218" s="147"/>
      <c r="G218" s="147">
        <f t="shared" si="11"/>
        <v>1584377</v>
      </c>
      <c r="H218" s="147">
        <v>269366</v>
      </c>
      <c r="I218" s="147">
        <v>824355</v>
      </c>
      <c r="J218" s="147">
        <v>490656</v>
      </c>
    </row>
    <row r="219" spans="1:10" s="136" customFormat="1" ht="9" customHeight="1" x14ac:dyDescent="0.25">
      <c r="A219" s="140" t="s">
        <v>47</v>
      </c>
      <c r="B219" s="147">
        <f t="shared" si="10"/>
        <v>251160</v>
      </c>
      <c r="C219" s="147">
        <v>31943</v>
      </c>
      <c r="D219" s="147">
        <v>200063</v>
      </c>
      <c r="E219" s="147">
        <v>19154</v>
      </c>
      <c r="F219" s="147"/>
      <c r="G219" s="147">
        <f t="shared" si="11"/>
        <v>2139645</v>
      </c>
      <c r="H219" s="147">
        <v>259874</v>
      </c>
      <c r="I219" s="147">
        <v>1177905</v>
      </c>
      <c r="J219" s="147">
        <v>701866</v>
      </c>
    </row>
    <row r="220" spans="1:10" s="136" customFormat="1" ht="9" customHeight="1" x14ac:dyDescent="0.25">
      <c r="A220" s="140" t="s">
        <v>48</v>
      </c>
      <c r="B220" s="147">
        <f t="shared" si="10"/>
        <v>55814</v>
      </c>
      <c r="C220" s="147">
        <v>3051</v>
      </c>
      <c r="D220" s="147">
        <v>49252</v>
      </c>
      <c r="E220" s="147">
        <v>3511</v>
      </c>
      <c r="F220" s="147"/>
      <c r="G220" s="147">
        <f t="shared" si="11"/>
        <v>421308</v>
      </c>
      <c r="H220" s="147">
        <v>33361</v>
      </c>
      <c r="I220" s="147">
        <v>254916</v>
      </c>
      <c r="J220" s="147">
        <v>133031</v>
      </c>
    </row>
    <row r="221" spans="1:10" s="136" customFormat="1" ht="9" customHeight="1" x14ac:dyDescent="0.25">
      <c r="A221" s="141" t="s">
        <v>49</v>
      </c>
      <c r="B221" s="150">
        <f t="shared" si="10"/>
        <v>274627</v>
      </c>
      <c r="C221" s="150">
        <v>33176</v>
      </c>
      <c r="D221" s="150">
        <v>212334</v>
      </c>
      <c r="E221" s="150">
        <v>29117</v>
      </c>
      <c r="F221" s="150"/>
      <c r="G221" s="150">
        <f t="shared" si="11"/>
        <v>2639683</v>
      </c>
      <c r="H221" s="150">
        <v>307863</v>
      </c>
      <c r="I221" s="150">
        <v>1268815</v>
      </c>
      <c r="J221" s="150">
        <v>1063005</v>
      </c>
    </row>
    <row r="222" spans="1:10" s="136" customFormat="1" ht="9" customHeight="1" x14ac:dyDescent="0.25">
      <c r="A222" s="140" t="s">
        <v>50</v>
      </c>
      <c r="B222" s="147">
        <f t="shared" si="10"/>
        <v>35282</v>
      </c>
      <c r="C222" s="147">
        <v>3448</v>
      </c>
      <c r="D222" s="147">
        <v>28324</v>
      </c>
      <c r="E222" s="147">
        <v>3510</v>
      </c>
      <c r="F222" s="147"/>
      <c r="G222" s="147">
        <f t="shared" si="11"/>
        <v>318171</v>
      </c>
      <c r="H222" s="147">
        <v>30653</v>
      </c>
      <c r="I222" s="147">
        <v>155179</v>
      </c>
      <c r="J222" s="147">
        <v>132339</v>
      </c>
    </row>
    <row r="223" spans="1:10" s="136" customFormat="1" ht="9" customHeight="1" x14ac:dyDescent="0.25">
      <c r="A223" s="140" t="s">
        <v>146</v>
      </c>
      <c r="B223" s="147">
        <f t="shared" si="10"/>
        <v>266502</v>
      </c>
      <c r="C223" s="147">
        <v>27406</v>
      </c>
      <c r="D223" s="147">
        <v>223384</v>
      </c>
      <c r="E223" s="147">
        <v>15712</v>
      </c>
      <c r="F223" s="147"/>
      <c r="G223" s="147">
        <f t="shared" si="11"/>
        <v>2022791</v>
      </c>
      <c r="H223" s="147">
        <v>243605</v>
      </c>
      <c r="I223" s="147">
        <v>1170741</v>
      </c>
      <c r="J223" s="147">
        <v>608445</v>
      </c>
    </row>
    <row r="224" spans="1:10" s="136" customFormat="1" ht="9" customHeight="1" x14ac:dyDescent="0.25">
      <c r="A224" s="140" t="s">
        <v>52</v>
      </c>
      <c r="B224" s="147">
        <f t="shared" si="10"/>
        <v>157506</v>
      </c>
      <c r="C224" s="147">
        <v>10835</v>
      </c>
      <c r="D224" s="147">
        <v>137369</v>
      </c>
      <c r="E224" s="147">
        <v>9302</v>
      </c>
      <c r="F224" s="147"/>
      <c r="G224" s="147">
        <f t="shared" si="11"/>
        <v>1042193</v>
      </c>
      <c r="H224" s="147">
        <v>118494</v>
      </c>
      <c r="I224" s="147">
        <v>575613</v>
      </c>
      <c r="J224" s="147">
        <v>348086</v>
      </c>
    </row>
    <row r="225" spans="1:10" s="136" customFormat="1" ht="9" customHeight="1" x14ac:dyDescent="0.25">
      <c r="A225" s="141" t="s">
        <v>53</v>
      </c>
      <c r="B225" s="150">
        <f t="shared" si="10"/>
        <v>64813</v>
      </c>
      <c r="C225" s="150">
        <v>4672</v>
      </c>
      <c r="D225" s="150">
        <v>55867</v>
      </c>
      <c r="E225" s="150">
        <v>4274</v>
      </c>
      <c r="F225" s="150"/>
      <c r="G225" s="150">
        <f t="shared" si="11"/>
        <v>488019</v>
      </c>
      <c r="H225" s="150">
        <v>38177</v>
      </c>
      <c r="I225" s="150">
        <v>287009</v>
      </c>
      <c r="J225" s="150">
        <v>162833</v>
      </c>
    </row>
    <row r="226" spans="1:10" ht="8.25" customHeight="1" x14ac:dyDescent="0.25">
      <c r="A226" s="175"/>
      <c r="B226" s="175"/>
      <c r="C226" s="175"/>
      <c r="D226" s="175"/>
      <c r="E226" s="175"/>
      <c r="F226" s="175"/>
      <c r="G226" s="175"/>
      <c r="H226" s="175"/>
      <c r="I226" s="175"/>
      <c r="J226" s="175"/>
    </row>
    <row r="227" spans="1:10" s="136" customFormat="1" ht="9" customHeight="1" x14ac:dyDescent="0.25">
      <c r="A227" s="177">
        <v>2003</v>
      </c>
      <c r="B227" s="147"/>
      <c r="C227" s="140"/>
      <c r="D227" s="140"/>
      <c r="E227" s="140"/>
      <c r="F227" s="147"/>
      <c r="G227" s="147"/>
      <c r="H227" s="140"/>
      <c r="I227" s="140"/>
      <c r="J227" s="140"/>
    </row>
    <row r="228" spans="1:10" s="136" customFormat="1" ht="9" customHeight="1" x14ac:dyDescent="0.25">
      <c r="A228" s="138" t="s">
        <v>13</v>
      </c>
      <c r="B228" s="148">
        <f>SUM(B230:B261)</f>
        <v>4423404</v>
      </c>
      <c r="C228" s="148">
        <f>SUM(C230:C261)</f>
        <v>894760</v>
      </c>
      <c r="D228" s="148">
        <f>SUM(D230:D261)</f>
        <v>3092572</v>
      </c>
      <c r="E228" s="148">
        <f>SUM(E230:E261)</f>
        <v>436072</v>
      </c>
      <c r="F228" s="148"/>
      <c r="G228" s="148">
        <f>SUM(G230:G261)</f>
        <v>47092294</v>
      </c>
      <c r="H228" s="148">
        <f>SUM(H230:H261)</f>
        <v>6938355</v>
      </c>
      <c r="I228" s="148">
        <f>SUM(I230:I261)</f>
        <v>24008322</v>
      </c>
      <c r="J228" s="148">
        <f>SUM(J230:J261)</f>
        <v>16145617</v>
      </c>
    </row>
    <row r="229" spans="1:10" s="136" customFormat="1" ht="3" customHeight="1" x14ac:dyDescent="0.25">
      <c r="A229" s="138"/>
      <c r="B229" s="148"/>
      <c r="C229" s="148"/>
      <c r="D229" s="148"/>
      <c r="E229" s="148"/>
      <c r="F229" s="148"/>
      <c r="G229" s="148"/>
      <c r="H229" s="148"/>
      <c r="I229" s="148"/>
      <c r="J229" s="148"/>
    </row>
    <row r="230" spans="1:10" s="136" customFormat="1" ht="9" customHeight="1" x14ac:dyDescent="0.25">
      <c r="A230" s="140" t="s">
        <v>23</v>
      </c>
      <c r="B230" s="147">
        <f t="shared" ref="B230:B261" si="12">SUM(C230,D230,E230)</f>
        <v>54567</v>
      </c>
      <c r="C230" s="147">
        <v>15640</v>
      </c>
      <c r="D230" s="147">
        <v>31626</v>
      </c>
      <c r="E230" s="147">
        <v>7301</v>
      </c>
      <c r="F230" s="147"/>
      <c r="G230" s="147">
        <f t="shared" ref="G230:G261" si="13">SUM(H230,I230,J230)</f>
        <v>644956</v>
      </c>
      <c r="H230" s="147">
        <v>106729</v>
      </c>
      <c r="I230" s="147">
        <v>268265</v>
      </c>
      <c r="J230" s="147">
        <v>269962</v>
      </c>
    </row>
    <row r="231" spans="1:10" s="136" customFormat="1" ht="9" customHeight="1" x14ac:dyDescent="0.25">
      <c r="A231" s="140" t="s">
        <v>24</v>
      </c>
      <c r="B231" s="147">
        <f t="shared" si="12"/>
        <v>236653</v>
      </c>
      <c r="C231" s="147">
        <v>54973</v>
      </c>
      <c r="D231" s="147">
        <v>150200</v>
      </c>
      <c r="E231" s="147">
        <v>31480</v>
      </c>
      <c r="F231" s="147"/>
      <c r="G231" s="147">
        <f t="shared" si="13"/>
        <v>2790675</v>
      </c>
      <c r="H231" s="147">
        <v>398026</v>
      </c>
      <c r="I231" s="147">
        <v>1261661</v>
      </c>
      <c r="J231" s="147">
        <v>1130988</v>
      </c>
    </row>
    <row r="232" spans="1:10" s="136" customFormat="1" ht="9" customHeight="1" x14ac:dyDescent="0.25">
      <c r="A232" s="140" t="s">
        <v>25</v>
      </c>
      <c r="B232" s="147">
        <f t="shared" si="12"/>
        <v>26473</v>
      </c>
      <c r="C232" s="147">
        <v>3108</v>
      </c>
      <c r="D232" s="147">
        <v>19939</v>
      </c>
      <c r="E232" s="147">
        <v>3426</v>
      </c>
      <c r="F232" s="147"/>
      <c r="G232" s="147">
        <f t="shared" si="13"/>
        <v>298037</v>
      </c>
      <c r="H232" s="147">
        <v>26172</v>
      </c>
      <c r="I232" s="147">
        <v>145900</v>
      </c>
      <c r="J232" s="147">
        <v>125965</v>
      </c>
    </row>
    <row r="233" spans="1:10" s="136" customFormat="1" ht="9" customHeight="1" x14ac:dyDescent="0.25">
      <c r="A233" s="141" t="s">
        <v>26</v>
      </c>
      <c r="B233" s="150">
        <f t="shared" si="12"/>
        <v>25179</v>
      </c>
      <c r="C233" s="150">
        <v>3260</v>
      </c>
      <c r="D233" s="150">
        <v>19380</v>
      </c>
      <c r="E233" s="150">
        <v>2539</v>
      </c>
      <c r="F233" s="150"/>
      <c r="G233" s="150">
        <f t="shared" si="13"/>
        <v>263239</v>
      </c>
      <c r="H233" s="150">
        <v>30621</v>
      </c>
      <c r="I233" s="150">
        <v>137339</v>
      </c>
      <c r="J233" s="150">
        <v>95279</v>
      </c>
    </row>
    <row r="234" spans="1:10" s="136" customFormat="1" ht="9" customHeight="1" x14ac:dyDescent="0.25">
      <c r="A234" s="140" t="s">
        <v>126</v>
      </c>
      <c r="B234" s="147">
        <f t="shared" si="12"/>
        <v>212932</v>
      </c>
      <c r="C234" s="147">
        <v>37854</v>
      </c>
      <c r="D234" s="147">
        <v>154127</v>
      </c>
      <c r="E234" s="147">
        <v>20951</v>
      </c>
      <c r="F234" s="147"/>
      <c r="G234" s="147">
        <f t="shared" si="13"/>
        <v>2282874</v>
      </c>
      <c r="H234" s="147">
        <v>301359</v>
      </c>
      <c r="I234" s="147">
        <v>1223749</v>
      </c>
      <c r="J234" s="147">
        <v>757766</v>
      </c>
    </row>
    <row r="235" spans="1:10" s="136" customFormat="1" ht="9" customHeight="1" x14ac:dyDescent="0.25">
      <c r="A235" s="140" t="s">
        <v>28</v>
      </c>
      <c r="B235" s="147">
        <f t="shared" si="12"/>
        <v>30488</v>
      </c>
      <c r="C235" s="147">
        <v>3481</v>
      </c>
      <c r="D235" s="147">
        <v>24378</v>
      </c>
      <c r="E235" s="147">
        <v>2629</v>
      </c>
      <c r="F235" s="147"/>
      <c r="G235" s="147">
        <f t="shared" si="13"/>
        <v>313816</v>
      </c>
      <c r="H235" s="147">
        <v>37853</v>
      </c>
      <c r="I235" s="147">
        <v>179851</v>
      </c>
      <c r="J235" s="147">
        <v>96112</v>
      </c>
    </row>
    <row r="236" spans="1:10" s="136" customFormat="1" ht="9" customHeight="1" x14ac:dyDescent="0.25">
      <c r="A236" s="140" t="s">
        <v>29</v>
      </c>
      <c r="B236" s="147">
        <f t="shared" si="12"/>
        <v>31219</v>
      </c>
      <c r="C236" s="147">
        <v>2453</v>
      </c>
      <c r="D236" s="147">
        <v>24959</v>
      </c>
      <c r="E236" s="147">
        <v>3807</v>
      </c>
      <c r="F236" s="147"/>
      <c r="G236" s="147">
        <f t="shared" si="13"/>
        <v>329949</v>
      </c>
      <c r="H236" s="147">
        <v>24745</v>
      </c>
      <c r="I236" s="147">
        <v>163837</v>
      </c>
      <c r="J236" s="147">
        <v>141367</v>
      </c>
    </row>
    <row r="237" spans="1:10" s="136" customFormat="1" ht="9" customHeight="1" x14ac:dyDescent="0.25">
      <c r="A237" s="141" t="s">
        <v>30</v>
      </c>
      <c r="B237" s="150">
        <f t="shared" si="12"/>
        <v>227325</v>
      </c>
      <c r="C237" s="150">
        <v>37455</v>
      </c>
      <c r="D237" s="150">
        <v>152551</v>
      </c>
      <c r="E237" s="150">
        <v>37319</v>
      </c>
      <c r="F237" s="150"/>
      <c r="G237" s="150">
        <f t="shared" si="13"/>
        <v>2941697</v>
      </c>
      <c r="H237" s="150">
        <v>323330</v>
      </c>
      <c r="I237" s="150">
        <v>1289796</v>
      </c>
      <c r="J237" s="150">
        <v>1328571</v>
      </c>
    </row>
    <row r="238" spans="1:10" s="136" customFormat="1" ht="9" customHeight="1" x14ac:dyDescent="0.25">
      <c r="A238" s="140" t="s">
        <v>144</v>
      </c>
      <c r="B238" s="147">
        <f t="shared" si="12"/>
        <v>713932</v>
      </c>
      <c r="C238" s="147">
        <v>143013</v>
      </c>
      <c r="D238" s="147">
        <v>522463</v>
      </c>
      <c r="E238" s="147">
        <v>48456</v>
      </c>
      <c r="F238" s="147"/>
      <c r="G238" s="147">
        <f t="shared" si="13"/>
        <v>6800803</v>
      </c>
      <c r="H238" s="147">
        <v>1020101</v>
      </c>
      <c r="I238" s="147">
        <v>3941979</v>
      </c>
      <c r="J238" s="147">
        <v>1838723</v>
      </c>
    </row>
    <row r="239" spans="1:10" s="136" customFormat="1" ht="9" customHeight="1" x14ac:dyDescent="0.25">
      <c r="A239" s="140" t="s">
        <v>31</v>
      </c>
      <c r="B239" s="147">
        <f t="shared" si="12"/>
        <v>63396</v>
      </c>
      <c r="C239" s="147">
        <v>12604</v>
      </c>
      <c r="D239" s="147">
        <v>44708</v>
      </c>
      <c r="E239" s="147">
        <v>6084</v>
      </c>
      <c r="F239" s="147"/>
      <c r="G239" s="147">
        <f t="shared" si="13"/>
        <v>689083</v>
      </c>
      <c r="H239" s="147">
        <v>104411</v>
      </c>
      <c r="I239" s="147">
        <v>355874</v>
      </c>
      <c r="J239" s="147">
        <v>228798</v>
      </c>
    </row>
    <row r="240" spans="1:10" s="136" customFormat="1" ht="9" customHeight="1" x14ac:dyDescent="0.25">
      <c r="A240" s="140" t="s">
        <v>32</v>
      </c>
      <c r="B240" s="147">
        <f t="shared" si="12"/>
        <v>161686</v>
      </c>
      <c r="C240" s="147">
        <v>22228</v>
      </c>
      <c r="D240" s="147">
        <v>122167</v>
      </c>
      <c r="E240" s="147">
        <v>17291</v>
      </c>
      <c r="F240" s="147"/>
      <c r="G240" s="147">
        <f t="shared" si="13"/>
        <v>1934193</v>
      </c>
      <c r="H240" s="147">
        <v>227250</v>
      </c>
      <c r="I240" s="147">
        <v>1050697</v>
      </c>
      <c r="J240" s="147">
        <v>656246</v>
      </c>
    </row>
    <row r="241" spans="1:10" s="136" customFormat="1" ht="9" customHeight="1" x14ac:dyDescent="0.25">
      <c r="A241" s="141" t="s">
        <v>33</v>
      </c>
      <c r="B241" s="150">
        <f t="shared" si="12"/>
        <v>44078</v>
      </c>
      <c r="C241" s="150">
        <v>3598</v>
      </c>
      <c r="D241" s="150">
        <v>36467</v>
      </c>
      <c r="E241" s="150">
        <v>4013</v>
      </c>
      <c r="F241" s="150"/>
      <c r="G241" s="150">
        <f t="shared" si="13"/>
        <v>441366</v>
      </c>
      <c r="H241" s="150">
        <v>31632</v>
      </c>
      <c r="I241" s="150">
        <v>259438</v>
      </c>
      <c r="J241" s="150">
        <v>150296</v>
      </c>
    </row>
    <row r="242" spans="1:10" s="136" customFormat="1" ht="9" customHeight="1" x14ac:dyDescent="0.25">
      <c r="A242" s="140" t="s">
        <v>34</v>
      </c>
      <c r="B242" s="147">
        <f t="shared" si="12"/>
        <v>55938</v>
      </c>
      <c r="C242" s="147">
        <v>7551</v>
      </c>
      <c r="D242" s="147">
        <v>43067</v>
      </c>
      <c r="E242" s="147">
        <v>5320</v>
      </c>
      <c r="F242" s="147"/>
      <c r="G242" s="147">
        <f t="shared" si="13"/>
        <v>546495</v>
      </c>
      <c r="H242" s="147">
        <v>58879</v>
      </c>
      <c r="I242" s="147">
        <v>290985</v>
      </c>
      <c r="J242" s="147">
        <v>196631</v>
      </c>
    </row>
    <row r="243" spans="1:10" s="136" customFormat="1" ht="9" customHeight="1" x14ac:dyDescent="0.25">
      <c r="A243" s="140" t="s">
        <v>35</v>
      </c>
      <c r="B243" s="147">
        <f t="shared" si="12"/>
        <v>349141</v>
      </c>
      <c r="C243" s="147">
        <v>86673</v>
      </c>
      <c r="D243" s="147">
        <v>228431</v>
      </c>
      <c r="E243" s="147">
        <v>34037</v>
      </c>
      <c r="F243" s="147"/>
      <c r="G243" s="147">
        <f t="shared" si="13"/>
        <v>3792837</v>
      </c>
      <c r="H243" s="147">
        <v>610047</v>
      </c>
      <c r="I243" s="147">
        <v>1921763</v>
      </c>
      <c r="J243" s="147">
        <v>1261027</v>
      </c>
    </row>
    <row r="244" spans="1:10" s="136" customFormat="1" ht="9" customHeight="1" x14ac:dyDescent="0.25">
      <c r="A244" s="140" t="s">
        <v>145</v>
      </c>
      <c r="B244" s="147">
        <f t="shared" si="12"/>
        <v>563909</v>
      </c>
      <c r="C244" s="147">
        <v>178298</v>
      </c>
      <c r="D244" s="147">
        <v>343898</v>
      </c>
      <c r="E244" s="147">
        <v>41713</v>
      </c>
      <c r="F244" s="147"/>
      <c r="G244" s="147">
        <f t="shared" si="13"/>
        <v>5272633</v>
      </c>
      <c r="H244" s="147">
        <v>1182404</v>
      </c>
      <c r="I244" s="147">
        <v>2522233</v>
      </c>
      <c r="J244" s="147">
        <v>1567996</v>
      </c>
    </row>
    <row r="245" spans="1:10" s="136" customFormat="1" ht="9" customHeight="1" x14ac:dyDescent="0.25">
      <c r="A245" s="141" t="s">
        <v>129</v>
      </c>
      <c r="B245" s="150">
        <f t="shared" si="12"/>
        <v>81373</v>
      </c>
      <c r="C245" s="150">
        <v>13196</v>
      </c>
      <c r="D245" s="150">
        <v>60754</v>
      </c>
      <c r="E245" s="150">
        <v>7423</v>
      </c>
      <c r="F245" s="150"/>
      <c r="G245" s="150">
        <f t="shared" si="13"/>
        <v>846429</v>
      </c>
      <c r="H245" s="150">
        <v>97741</v>
      </c>
      <c r="I245" s="150">
        <v>470399</v>
      </c>
      <c r="J245" s="150">
        <v>278289</v>
      </c>
    </row>
    <row r="246" spans="1:10" s="136" customFormat="1" ht="9" customHeight="1" x14ac:dyDescent="0.25">
      <c r="A246" s="140" t="s">
        <v>38</v>
      </c>
      <c r="B246" s="147">
        <f t="shared" si="12"/>
        <v>56212</v>
      </c>
      <c r="C246" s="147">
        <v>8009</v>
      </c>
      <c r="D246" s="147">
        <v>43179</v>
      </c>
      <c r="E246" s="147">
        <v>5024</v>
      </c>
      <c r="F246" s="147"/>
      <c r="G246" s="147">
        <f t="shared" si="13"/>
        <v>597422</v>
      </c>
      <c r="H246" s="147">
        <v>63919</v>
      </c>
      <c r="I246" s="147">
        <v>345402</v>
      </c>
      <c r="J246" s="147">
        <v>188101</v>
      </c>
    </row>
    <row r="247" spans="1:10" s="136" customFormat="1" ht="9" customHeight="1" x14ac:dyDescent="0.25">
      <c r="A247" s="140" t="s">
        <v>39</v>
      </c>
      <c r="B247" s="147">
        <f t="shared" si="12"/>
        <v>23180</v>
      </c>
      <c r="C247" s="147">
        <v>2110</v>
      </c>
      <c r="D247" s="147">
        <v>18399</v>
      </c>
      <c r="E247" s="147">
        <v>2671</v>
      </c>
      <c r="F247" s="147"/>
      <c r="G247" s="147">
        <f t="shared" si="13"/>
        <v>256220</v>
      </c>
      <c r="H247" s="147">
        <v>18241</v>
      </c>
      <c r="I247" s="147">
        <v>139840</v>
      </c>
      <c r="J247" s="147">
        <v>98139</v>
      </c>
    </row>
    <row r="248" spans="1:10" s="136" customFormat="1" ht="9" customHeight="1" x14ac:dyDescent="0.25">
      <c r="A248" s="140" t="s">
        <v>40</v>
      </c>
      <c r="B248" s="147">
        <f t="shared" si="12"/>
        <v>351431</v>
      </c>
      <c r="C248" s="147">
        <v>70140</v>
      </c>
      <c r="D248" s="147">
        <v>253792</v>
      </c>
      <c r="E248" s="147">
        <v>27499</v>
      </c>
      <c r="F248" s="147"/>
      <c r="G248" s="147">
        <f t="shared" si="13"/>
        <v>3628930</v>
      </c>
      <c r="H248" s="147">
        <v>644247</v>
      </c>
      <c r="I248" s="147">
        <v>1952854</v>
      </c>
      <c r="J248" s="147">
        <v>1031829</v>
      </c>
    </row>
    <row r="249" spans="1:10" s="136" customFormat="1" ht="9" customHeight="1" x14ac:dyDescent="0.25">
      <c r="A249" s="141" t="s">
        <v>41</v>
      </c>
      <c r="B249" s="150">
        <f t="shared" si="12"/>
        <v>34882</v>
      </c>
      <c r="C249" s="150">
        <v>4900</v>
      </c>
      <c r="D249" s="150">
        <v>25944</v>
      </c>
      <c r="E249" s="150">
        <v>4038</v>
      </c>
      <c r="F249" s="150"/>
      <c r="G249" s="150">
        <f t="shared" si="13"/>
        <v>376610</v>
      </c>
      <c r="H249" s="150">
        <v>44149</v>
      </c>
      <c r="I249" s="150">
        <v>180590</v>
      </c>
      <c r="J249" s="150">
        <v>151871</v>
      </c>
    </row>
    <row r="250" spans="1:10" s="136" customFormat="1" ht="9" customHeight="1" x14ac:dyDescent="0.25">
      <c r="A250" s="140" t="s">
        <v>42</v>
      </c>
      <c r="B250" s="147">
        <f t="shared" si="12"/>
        <v>114805</v>
      </c>
      <c r="C250" s="147">
        <v>24610</v>
      </c>
      <c r="D250" s="147">
        <v>76895</v>
      </c>
      <c r="E250" s="147">
        <v>13300</v>
      </c>
      <c r="F250" s="147"/>
      <c r="G250" s="147">
        <f t="shared" si="13"/>
        <v>1294950</v>
      </c>
      <c r="H250" s="147">
        <v>177611</v>
      </c>
      <c r="I250" s="147">
        <v>614471</v>
      </c>
      <c r="J250" s="147">
        <v>502868</v>
      </c>
    </row>
    <row r="251" spans="1:10" s="136" customFormat="1" ht="9" customHeight="1" x14ac:dyDescent="0.25">
      <c r="A251" s="140" t="s">
        <v>43</v>
      </c>
      <c r="B251" s="147">
        <f t="shared" si="12"/>
        <v>66047</v>
      </c>
      <c r="C251" s="147">
        <v>6170</v>
      </c>
      <c r="D251" s="147">
        <v>49686</v>
      </c>
      <c r="E251" s="147">
        <v>10191</v>
      </c>
      <c r="F251" s="147"/>
      <c r="G251" s="147">
        <f t="shared" si="13"/>
        <v>809328</v>
      </c>
      <c r="H251" s="147">
        <v>62664</v>
      </c>
      <c r="I251" s="147">
        <v>366700</v>
      </c>
      <c r="J251" s="147">
        <v>379964</v>
      </c>
    </row>
    <row r="252" spans="1:10" s="136" customFormat="1" ht="9" customHeight="1" x14ac:dyDescent="0.25">
      <c r="A252" s="140" t="s">
        <v>44</v>
      </c>
      <c r="B252" s="147">
        <f t="shared" si="12"/>
        <v>49228</v>
      </c>
      <c r="C252" s="147">
        <v>2727</v>
      </c>
      <c r="D252" s="147">
        <v>40266</v>
      </c>
      <c r="E252" s="147">
        <v>6235</v>
      </c>
      <c r="F252" s="147"/>
      <c r="G252" s="147">
        <f t="shared" si="13"/>
        <v>545963</v>
      </c>
      <c r="H252" s="147">
        <v>40151</v>
      </c>
      <c r="I252" s="147">
        <v>272673</v>
      </c>
      <c r="J252" s="147">
        <v>233139</v>
      </c>
    </row>
    <row r="253" spans="1:10" s="136" customFormat="1" ht="9" customHeight="1" x14ac:dyDescent="0.25">
      <c r="A253" s="141" t="s">
        <v>45</v>
      </c>
      <c r="B253" s="150">
        <f t="shared" si="12"/>
        <v>86281</v>
      </c>
      <c r="C253" s="150">
        <v>14606</v>
      </c>
      <c r="D253" s="150">
        <v>63450</v>
      </c>
      <c r="E253" s="150">
        <v>8225</v>
      </c>
      <c r="F253" s="150"/>
      <c r="G253" s="150">
        <f t="shared" si="13"/>
        <v>955928</v>
      </c>
      <c r="H253" s="150">
        <v>143099</v>
      </c>
      <c r="I253" s="150">
        <v>511795</v>
      </c>
      <c r="J253" s="150">
        <v>301034</v>
      </c>
    </row>
    <row r="254" spans="1:10" s="136" customFormat="1" ht="9" customHeight="1" x14ac:dyDescent="0.25">
      <c r="A254" s="140" t="s">
        <v>46</v>
      </c>
      <c r="B254" s="147">
        <f t="shared" si="12"/>
        <v>128593</v>
      </c>
      <c r="C254" s="147">
        <v>37011</v>
      </c>
      <c r="D254" s="147">
        <v>80288</v>
      </c>
      <c r="E254" s="147">
        <v>11294</v>
      </c>
      <c r="F254" s="147"/>
      <c r="G254" s="147">
        <f t="shared" si="13"/>
        <v>1290960</v>
      </c>
      <c r="H254" s="147">
        <v>258653</v>
      </c>
      <c r="I254" s="147">
        <v>614835</v>
      </c>
      <c r="J254" s="147">
        <v>417472</v>
      </c>
    </row>
    <row r="255" spans="1:10" s="136" customFormat="1" ht="9" customHeight="1" x14ac:dyDescent="0.25">
      <c r="A255" s="140" t="s">
        <v>47</v>
      </c>
      <c r="B255" s="147">
        <f t="shared" si="12"/>
        <v>155136</v>
      </c>
      <c r="C255" s="147">
        <v>27424</v>
      </c>
      <c r="D255" s="147">
        <v>110921</v>
      </c>
      <c r="E255" s="147">
        <v>16791</v>
      </c>
      <c r="F255" s="147"/>
      <c r="G255" s="147">
        <f t="shared" si="13"/>
        <v>1749517</v>
      </c>
      <c r="H255" s="147">
        <v>242349</v>
      </c>
      <c r="I255" s="147">
        <v>900586</v>
      </c>
      <c r="J255" s="147">
        <v>606582</v>
      </c>
    </row>
    <row r="256" spans="1:10" s="136" customFormat="1" ht="9" customHeight="1" x14ac:dyDescent="0.25">
      <c r="A256" s="140" t="s">
        <v>48</v>
      </c>
      <c r="B256" s="147">
        <f t="shared" si="12"/>
        <v>32203</v>
      </c>
      <c r="C256" s="147">
        <v>4028</v>
      </c>
      <c r="D256" s="147">
        <v>24855</v>
      </c>
      <c r="E256" s="147">
        <v>3320</v>
      </c>
      <c r="F256" s="147"/>
      <c r="G256" s="147">
        <f t="shared" si="13"/>
        <v>341990</v>
      </c>
      <c r="H256" s="147">
        <v>33566</v>
      </c>
      <c r="I256" s="147">
        <v>183033</v>
      </c>
      <c r="J256" s="147">
        <v>125391</v>
      </c>
    </row>
    <row r="257" spans="1:10" s="136" customFormat="1" ht="9" customHeight="1" x14ac:dyDescent="0.25">
      <c r="A257" s="141" t="s">
        <v>49</v>
      </c>
      <c r="B257" s="150">
        <f t="shared" si="12"/>
        <v>181791</v>
      </c>
      <c r="C257" s="150">
        <v>28054</v>
      </c>
      <c r="D257" s="150">
        <v>126746</v>
      </c>
      <c r="E257" s="150">
        <v>26991</v>
      </c>
      <c r="F257" s="150"/>
      <c r="G257" s="150">
        <f t="shared" si="13"/>
        <v>2227647</v>
      </c>
      <c r="H257" s="150">
        <v>262406</v>
      </c>
      <c r="I257" s="150">
        <v>982506</v>
      </c>
      <c r="J257" s="150">
        <v>982735</v>
      </c>
    </row>
    <row r="258" spans="1:10" s="136" customFormat="1" ht="9" customHeight="1" x14ac:dyDescent="0.25">
      <c r="A258" s="140" t="s">
        <v>50</v>
      </c>
      <c r="B258" s="147">
        <f t="shared" si="12"/>
        <v>20755</v>
      </c>
      <c r="C258" s="147">
        <v>2907</v>
      </c>
      <c r="D258" s="147">
        <v>14837</v>
      </c>
      <c r="E258" s="147">
        <v>3011</v>
      </c>
      <c r="F258" s="147"/>
      <c r="G258" s="147">
        <f t="shared" si="13"/>
        <v>254794</v>
      </c>
      <c r="H258" s="147">
        <v>25911</v>
      </c>
      <c r="I258" s="147">
        <v>116405</v>
      </c>
      <c r="J258" s="147">
        <v>112478</v>
      </c>
    </row>
    <row r="259" spans="1:10" s="136" customFormat="1" ht="9" customHeight="1" x14ac:dyDescent="0.25">
      <c r="A259" s="140" t="s">
        <v>146</v>
      </c>
      <c r="B259" s="147">
        <f t="shared" si="12"/>
        <v>135963</v>
      </c>
      <c r="C259" s="147">
        <v>23025</v>
      </c>
      <c r="D259" s="147">
        <v>101099</v>
      </c>
      <c r="E259" s="147">
        <v>11839</v>
      </c>
      <c r="F259" s="147"/>
      <c r="G259" s="147">
        <f t="shared" si="13"/>
        <v>1393165</v>
      </c>
      <c r="H259" s="147">
        <v>201833</v>
      </c>
      <c r="I259" s="147">
        <v>744982</v>
      </c>
      <c r="J259" s="147">
        <v>446350</v>
      </c>
    </row>
    <row r="260" spans="1:10" s="136" customFormat="1" ht="9" customHeight="1" x14ac:dyDescent="0.25">
      <c r="A260" s="140" t="s">
        <v>52</v>
      </c>
      <c r="B260" s="147">
        <f t="shared" si="12"/>
        <v>73229</v>
      </c>
      <c r="C260" s="147">
        <v>9130</v>
      </c>
      <c r="D260" s="147">
        <v>55998</v>
      </c>
      <c r="E260" s="147">
        <v>8101</v>
      </c>
      <c r="F260" s="147"/>
      <c r="G260" s="147">
        <f t="shared" si="13"/>
        <v>793707</v>
      </c>
      <c r="H260" s="147">
        <v>98177</v>
      </c>
      <c r="I260" s="147">
        <v>391473</v>
      </c>
      <c r="J260" s="147">
        <v>304057</v>
      </c>
    </row>
    <row r="261" spans="1:10" s="136" customFormat="1" ht="9" customHeight="1" x14ac:dyDescent="0.25">
      <c r="A261" s="141" t="s">
        <v>53</v>
      </c>
      <c r="B261" s="150">
        <f t="shared" si="12"/>
        <v>35379</v>
      </c>
      <c r="C261" s="150">
        <v>4524</v>
      </c>
      <c r="D261" s="150">
        <v>27102</v>
      </c>
      <c r="E261" s="150">
        <v>3753</v>
      </c>
      <c r="F261" s="150"/>
      <c r="G261" s="150">
        <f t="shared" si="13"/>
        <v>386081</v>
      </c>
      <c r="H261" s="150">
        <v>40079</v>
      </c>
      <c r="I261" s="150">
        <v>206411</v>
      </c>
      <c r="J261" s="150">
        <v>139591</v>
      </c>
    </row>
    <row r="262" spans="1:10" ht="8.25" customHeight="1" x14ac:dyDescent="0.25">
      <c r="A262" s="175"/>
      <c r="B262" s="175"/>
      <c r="C262" s="175"/>
      <c r="D262" s="175"/>
      <c r="E262" s="175"/>
      <c r="F262" s="175"/>
      <c r="G262" s="175"/>
      <c r="H262" s="175"/>
      <c r="I262" s="175"/>
      <c r="J262" s="175"/>
    </row>
    <row r="263" spans="1:10" s="136" customFormat="1" ht="9" customHeight="1" x14ac:dyDescent="0.25">
      <c r="A263" s="177">
        <v>2004</v>
      </c>
      <c r="B263" s="147"/>
      <c r="C263" s="140"/>
      <c r="D263" s="140"/>
      <c r="E263" s="140"/>
      <c r="F263" s="147"/>
      <c r="G263" s="147"/>
      <c r="H263" s="140"/>
      <c r="I263" s="140"/>
      <c r="J263" s="140"/>
    </row>
    <row r="264" spans="1:10" s="136" customFormat="1" ht="9" customHeight="1" x14ac:dyDescent="0.25">
      <c r="A264" s="138" t="s">
        <v>13</v>
      </c>
      <c r="B264" s="148">
        <f>SUM(B266:B297)</f>
        <v>6554176</v>
      </c>
      <c r="C264" s="148">
        <f>SUM(C266:C297)</f>
        <v>872719</v>
      </c>
      <c r="D264" s="148">
        <f>SUM(D266:D297)</f>
        <v>5187105</v>
      </c>
      <c r="E264" s="148">
        <f>SUM(E266:E297)</f>
        <v>494352</v>
      </c>
      <c r="F264" s="148"/>
      <c r="G264" s="148">
        <f>SUM(G266:G297)</f>
        <v>55622471</v>
      </c>
      <c r="H264" s="148">
        <f>SUM(H266:H297)</f>
        <v>6897203</v>
      </c>
      <c r="I264" s="148">
        <f>SUM(I266:I297)</f>
        <v>30122876</v>
      </c>
      <c r="J264" s="148">
        <f>SUM(J266:J297)</f>
        <v>18602392</v>
      </c>
    </row>
    <row r="265" spans="1:10" s="136" customFormat="1" ht="3" customHeight="1" x14ac:dyDescent="0.25">
      <c r="A265" s="138"/>
      <c r="B265" s="148"/>
      <c r="C265" s="148"/>
      <c r="D265" s="148"/>
      <c r="E265" s="148"/>
      <c r="F265" s="148"/>
      <c r="G265" s="148"/>
      <c r="H265" s="148"/>
      <c r="I265" s="148"/>
      <c r="J265" s="148"/>
    </row>
    <row r="266" spans="1:10" s="136" customFormat="1" ht="9" customHeight="1" x14ac:dyDescent="0.25">
      <c r="A266" s="140" t="s">
        <v>23</v>
      </c>
      <c r="B266" s="147">
        <f t="shared" ref="B266:B297" si="14">SUM(C266,D266,E266)</f>
        <v>85865</v>
      </c>
      <c r="C266" s="147">
        <v>13584</v>
      </c>
      <c r="D266" s="147">
        <v>63653</v>
      </c>
      <c r="E266" s="147">
        <v>8628</v>
      </c>
      <c r="F266" s="147"/>
      <c r="G266" s="147">
        <f t="shared" ref="G266:G297" si="15">SUM(H266,I266,J266)</f>
        <v>817120</v>
      </c>
      <c r="H266" s="147">
        <v>103627</v>
      </c>
      <c r="I266" s="147">
        <v>409677</v>
      </c>
      <c r="J266" s="147">
        <v>303816</v>
      </c>
    </row>
    <row r="267" spans="1:10" s="136" customFormat="1" ht="9" customHeight="1" x14ac:dyDescent="0.25">
      <c r="A267" s="140" t="s">
        <v>24</v>
      </c>
      <c r="B267" s="147">
        <f t="shared" si="14"/>
        <v>324466</v>
      </c>
      <c r="C267" s="147">
        <v>52822</v>
      </c>
      <c r="D267" s="147">
        <v>237412</v>
      </c>
      <c r="E267" s="147">
        <v>34232</v>
      </c>
      <c r="F267" s="147"/>
      <c r="G267" s="147">
        <f t="shared" si="15"/>
        <v>3147211</v>
      </c>
      <c r="H267" s="147">
        <v>390571</v>
      </c>
      <c r="I267" s="147">
        <v>1501951</v>
      </c>
      <c r="J267" s="147">
        <v>1254689</v>
      </c>
    </row>
    <row r="268" spans="1:10" s="136" customFormat="1" ht="9" customHeight="1" x14ac:dyDescent="0.25">
      <c r="A268" s="140" t="s">
        <v>25</v>
      </c>
      <c r="B268" s="147">
        <f t="shared" si="14"/>
        <v>46785</v>
      </c>
      <c r="C268" s="147">
        <v>3752</v>
      </c>
      <c r="D268" s="147">
        <v>38905</v>
      </c>
      <c r="E268" s="147">
        <v>4128</v>
      </c>
      <c r="F268" s="147"/>
      <c r="G268" s="147">
        <f t="shared" si="15"/>
        <v>376843</v>
      </c>
      <c r="H268" s="147">
        <v>31490</v>
      </c>
      <c r="I268" s="147">
        <v>192371</v>
      </c>
      <c r="J268" s="147">
        <v>152982</v>
      </c>
    </row>
    <row r="269" spans="1:10" s="136" customFormat="1" ht="9" customHeight="1" x14ac:dyDescent="0.25">
      <c r="A269" s="141" t="s">
        <v>26</v>
      </c>
      <c r="B269" s="150">
        <f t="shared" si="14"/>
        <v>44849</v>
      </c>
      <c r="C269" s="150">
        <v>3169</v>
      </c>
      <c r="D269" s="150">
        <v>38583</v>
      </c>
      <c r="E269" s="150">
        <v>3097</v>
      </c>
      <c r="F269" s="150"/>
      <c r="G269" s="150">
        <f t="shared" si="15"/>
        <v>340724</v>
      </c>
      <c r="H269" s="150">
        <v>29678</v>
      </c>
      <c r="I269" s="150">
        <v>191866</v>
      </c>
      <c r="J269" s="150">
        <v>119180</v>
      </c>
    </row>
    <row r="270" spans="1:10" s="136" customFormat="1" ht="9" customHeight="1" x14ac:dyDescent="0.25">
      <c r="A270" s="140" t="s">
        <v>126</v>
      </c>
      <c r="B270" s="147">
        <f t="shared" si="14"/>
        <v>295491</v>
      </c>
      <c r="C270" s="147">
        <v>37827</v>
      </c>
      <c r="D270" s="147">
        <v>236168</v>
      </c>
      <c r="E270" s="147">
        <v>21496</v>
      </c>
      <c r="F270" s="147"/>
      <c r="G270" s="147">
        <f t="shared" si="15"/>
        <v>2533887</v>
      </c>
      <c r="H270" s="147">
        <v>300735</v>
      </c>
      <c r="I270" s="147">
        <v>1439407</v>
      </c>
      <c r="J270" s="147">
        <v>793745</v>
      </c>
    </row>
    <row r="271" spans="1:10" s="136" customFormat="1" ht="9" customHeight="1" x14ac:dyDescent="0.25">
      <c r="A271" s="140" t="s">
        <v>28</v>
      </c>
      <c r="B271" s="147">
        <f t="shared" si="14"/>
        <v>46335</v>
      </c>
      <c r="C271" s="147">
        <v>3540</v>
      </c>
      <c r="D271" s="147">
        <v>39545</v>
      </c>
      <c r="E271" s="147">
        <v>3250</v>
      </c>
      <c r="F271" s="147"/>
      <c r="G271" s="147">
        <f t="shared" si="15"/>
        <v>382126</v>
      </c>
      <c r="H271" s="147">
        <v>37951</v>
      </c>
      <c r="I271" s="147">
        <v>221752</v>
      </c>
      <c r="J271" s="147">
        <v>122423</v>
      </c>
    </row>
    <row r="272" spans="1:10" s="136" customFormat="1" ht="9" customHeight="1" x14ac:dyDescent="0.25">
      <c r="A272" s="140" t="s">
        <v>29</v>
      </c>
      <c r="B272" s="147">
        <f t="shared" si="14"/>
        <v>58057</v>
      </c>
      <c r="C272" s="147">
        <v>2285</v>
      </c>
      <c r="D272" s="147">
        <v>51023</v>
      </c>
      <c r="E272" s="147">
        <v>4749</v>
      </c>
      <c r="F272" s="147"/>
      <c r="G272" s="147">
        <f t="shared" si="15"/>
        <v>432447</v>
      </c>
      <c r="H272" s="147">
        <v>22894</v>
      </c>
      <c r="I272" s="147">
        <v>227800</v>
      </c>
      <c r="J272" s="147">
        <v>181753</v>
      </c>
    </row>
    <row r="273" spans="1:10" s="136" customFormat="1" ht="9" customHeight="1" x14ac:dyDescent="0.25">
      <c r="A273" s="141" t="s">
        <v>30</v>
      </c>
      <c r="B273" s="150">
        <f t="shared" si="14"/>
        <v>303925</v>
      </c>
      <c r="C273" s="150">
        <v>37116</v>
      </c>
      <c r="D273" s="150">
        <v>228807</v>
      </c>
      <c r="E273" s="150">
        <v>38002</v>
      </c>
      <c r="F273" s="150"/>
      <c r="G273" s="150">
        <f t="shared" si="15"/>
        <v>3259216</v>
      </c>
      <c r="H273" s="150">
        <v>348196</v>
      </c>
      <c r="I273" s="150">
        <v>1527929</v>
      </c>
      <c r="J273" s="150">
        <v>1383091</v>
      </c>
    </row>
    <row r="274" spans="1:10" s="136" customFormat="1" ht="9" customHeight="1" x14ac:dyDescent="0.25">
      <c r="A274" s="140" t="s">
        <v>144</v>
      </c>
      <c r="B274" s="147">
        <f t="shared" si="14"/>
        <v>1063425</v>
      </c>
      <c r="C274" s="147">
        <v>129634</v>
      </c>
      <c r="D274" s="147">
        <v>878711</v>
      </c>
      <c r="E274" s="147">
        <v>55080</v>
      </c>
      <c r="F274" s="147"/>
      <c r="G274" s="147">
        <f t="shared" si="15"/>
        <v>7963446</v>
      </c>
      <c r="H274" s="147">
        <v>940947</v>
      </c>
      <c r="I274" s="147">
        <v>4902808</v>
      </c>
      <c r="J274" s="147">
        <v>2119691</v>
      </c>
    </row>
    <row r="275" spans="1:10" s="136" customFormat="1" ht="9" customHeight="1" x14ac:dyDescent="0.25">
      <c r="A275" s="140" t="s">
        <v>31</v>
      </c>
      <c r="B275" s="147">
        <f t="shared" si="14"/>
        <v>85965</v>
      </c>
      <c r="C275" s="147">
        <v>11030</v>
      </c>
      <c r="D275" s="147">
        <v>68315</v>
      </c>
      <c r="E275" s="147">
        <v>6620</v>
      </c>
      <c r="F275" s="147"/>
      <c r="G275" s="147">
        <f t="shared" si="15"/>
        <v>765420</v>
      </c>
      <c r="H275" s="147">
        <v>90424</v>
      </c>
      <c r="I275" s="147">
        <v>424064</v>
      </c>
      <c r="J275" s="147">
        <v>250932</v>
      </c>
    </row>
    <row r="276" spans="1:10" s="136" customFormat="1" ht="9" customHeight="1" x14ac:dyDescent="0.25">
      <c r="A276" s="140" t="s">
        <v>32</v>
      </c>
      <c r="B276" s="147">
        <f t="shared" si="14"/>
        <v>229525</v>
      </c>
      <c r="C276" s="147">
        <v>25465</v>
      </c>
      <c r="D276" s="147">
        <v>183397</v>
      </c>
      <c r="E276" s="147">
        <v>20663</v>
      </c>
      <c r="F276" s="147"/>
      <c r="G276" s="147">
        <f t="shared" si="15"/>
        <v>2235402</v>
      </c>
      <c r="H276" s="147">
        <v>252726</v>
      </c>
      <c r="I276" s="147">
        <v>1196992</v>
      </c>
      <c r="J276" s="147">
        <v>785684</v>
      </c>
    </row>
    <row r="277" spans="1:10" s="136" customFormat="1" ht="9" customHeight="1" x14ac:dyDescent="0.25">
      <c r="A277" s="141" t="s">
        <v>33</v>
      </c>
      <c r="B277" s="150">
        <f t="shared" si="14"/>
        <v>68448</v>
      </c>
      <c r="C277" s="150">
        <v>5106</v>
      </c>
      <c r="D277" s="150">
        <v>58599</v>
      </c>
      <c r="E277" s="150">
        <v>4743</v>
      </c>
      <c r="F277" s="150"/>
      <c r="G277" s="150">
        <f t="shared" si="15"/>
        <v>527169</v>
      </c>
      <c r="H277" s="150">
        <v>41223</v>
      </c>
      <c r="I277" s="150">
        <v>306822</v>
      </c>
      <c r="J277" s="150">
        <v>179124</v>
      </c>
    </row>
    <row r="278" spans="1:10" s="136" customFormat="1" ht="9" customHeight="1" x14ac:dyDescent="0.25">
      <c r="A278" s="140" t="s">
        <v>34</v>
      </c>
      <c r="B278" s="147">
        <f t="shared" si="14"/>
        <v>79196</v>
      </c>
      <c r="C278" s="147">
        <v>7776</v>
      </c>
      <c r="D278" s="147">
        <v>65191</v>
      </c>
      <c r="E278" s="147">
        <v>6229</v>
      </c>
      <c r="F278" s="147"/>
      <c r="G278" s="147">
        <f t="shared" si="15"/>
        <v>665859</v>
      </c>
      <c r="H278" s="147">
        <v>65576</v>
      </c>
      <c r="I278" s="147">
        <v>363221</v>
      </c>
      <c r="J278" s="147">
        <v>237062</v>
      </c>
    </row>
    <row r="279" spans="1:10" s="136" customFormat="1" ht="9" customHeight="1" x14ac:dyDescent="0.25">
      <c r="A279" s="140" t="s">
        <v>35</v>
      </c>
      <c r="B279" s="147">
        <f t="shared" si="14"/>
        <v>588295</v>
      </c>
      <c r="C279" s="147">
        <v>87761</v>
      </c>
      <c r="D279" s="147">
        <v>459788</v>
      </c>
      <c r="E279" s="147">
        <v>40746</v>
      </c>
      <c r="F279" s="147"/>
      <c r="G279" s="147">
        <f t="shared" si="15"/>
        <v>5012226</v>
      </c>
      <c r="H279" s="147">
        <v>636915</v>
      </c>
      <c r="I279" s="147">
        <v>2831133</v>
      </c>
      <c r="J279" s="147">
        <v>1544178</v>
      </c>
    </row>
    <row r="280" spans="1:10" s="136" customFormat="1" ht="9" customHeight="1" x14ac:dyDescent="0.25">
      <c r="A280" s="140" t="s">
        <v>145</v>
      </c>
      <c r="B280" s="147">
        <f t="shared" si="14"/>
        <v>810824</v>
      </c>
      <c r="C280" s="147">
        <v>174768</v>
      </c>
      <c r="D280" s="147">
        <v>589716</v>
      </c>
      <c r="E280" s="147">
        <v>46340</v>
      </c>
      <c r="F280" s="147"/>
      <c r="G280" s="147">
        <f t="shared" si="15"/>
        <v>6115905</v>
      </c>
      <c r="H280" s="147">
        <v>1173507</v>
      </c>
      <c r="I280" s="147">
        <v>3170774</v>
      </c>
      <c r="J280" s="147">
        <v>1771624</v>
      </c>
    </row>
    <row r="281" spans="1:10" s="136" customFormat="1" ht="9" customHeight="1" x14ac:dyDescent="0.25">
      <c r="A281" s="141" t="s">
        <v>129</v>
      </c>
      <c r="B281" s="150">
        <f t="shared" si="14"/>
        <v>132349</v>
      </c>
      <c r="C281" s="150">
        <v>12581</v>
      </c>
      <c r="D281" s="150">
        <v>110957</v>
      </c>
      <c r="E281" s="150">
        <v>8811</v>
      </c>
      <c r="F281" s="150"/>
      <c r="G281" s="150">
        <f t="shared" si="15"/>
        <v>1043572</v>
      </c>
      <c r="H281" s="150">
        <v>100432</v>
      </c>
      <c r="I281" s="150">
        <v>604994</v>
      </c>
      <c r="J281" s="150">
        <v>338146</v>
      </c>
    </row>
    <row r="282" spans="1:10" s="136" customFormat="1" ht="9" customHeight="1" x14ac:dyDescent="0.25">
      <c r="A282" s="140" t="s">
        <v>38</v>
      </c>
      <c r="B282" s="147">
        <f t="shared" si="14"/>
        <v>105967</v>
      </c>
      <c r="C282" s="147">
        <v>8228</v>
      </c>
      <c r="D282" s="147">
        <v>91604</v>
      </c>
      <c r="E282" s="147">
        <v>6135</v>
      </c>
      <c r="F282" s="147"/>
      <c r="G282" s="147">
        <f t="shared" si="15"/>
        <v>744337</v>
      </c>
      <c r="H282" s="147">
        <v>72016</v>
      </c>
      <c r="I282" s="147">
        <v>440966</v>
      </c>
      <c r="J282" s="147">
        <v>231355</v>
      </c>
    </row>
    <row r="283" spans="1:10" s="136" customFormat="1" ht="9" customHeight="1" x14ac:dyDescent="0.25">
      <c r="A283" s="140" t="s">
        <v>39</v>
      </c>
      <c r="B283" s="147">
        <f t="shared" si="14"/>
        <v>43131</v>
      </c>
      <c r="C283" s="147">
        <v>2036</v>
      </c>
      <c r="D283" s="147">
        <v>38001</v>
      </c>
      <c r="E283" s="147">
        <v>3094</v>
      </c>
      <c r="F283" s="147"/>
      <c r="G283" s="147">
        <f t="shared" si="15"/>
        <v>340713</v>
      </c>
      <c r="H283" s="147">
        <v>22537</v>
      </c>
      <c r="I283" s="147">
        <v>200445</v>
      </c>
      <c r="J283" s="147">
        <v>117731</v>
      </c>
    </row>
    <row r="284" spans="1:10" s="136" customFormat="1" ht="9" customHeight="1" x14ac:dyDescent="0.25">
      <c r="A284" s="140" t="s">
        <v>40</v>
      </c>
      <c r="B284" s="147">
        <f t="shared" si="14"/>
        <v>375111</v>
      </c>
      <c r="C284" s="147">
        <v>71438</v>
      </c>
      <c r="D284" s="147">
        <v>272946</v>
      </c>
      <c r="E284" s="147">
        <v>30727</v>
      </c>
      <c r="F284" s="147"/>
      <c r="G284" s="147">
        <f t="shared" si="15"/>
        <v>3877744</v>
      </c>
      <c r="H284" s="147">
        <v>632522</v>
      </c>
      <c r="I284" s="147">
        <v>2079016</v>
      </c>
      <c r="J284" s="147">
        <v>1166206</v>
      </c>
    </row>
    <row r="285" spans="1:10" s="136" customFormat="1" ht="9" customHeight="1" x14ac:dyDescent="0.25">
      <c r="A285" s="141" t="s">
        <v>41</v>
      </c>
      <c r="B285" s="150">
        <f t="shared" si="14"/>
        <v>64465</v>
      </c>
      <c r="C285" s="150">
        <v>4741</v>
      </c>
      <c r="D285" s="150">
        <v>54212</v>
      </c>
      <c r="E285" s="150">
        <v>5512</v>
      </c>
      <c r="F285" s="150"/>
      <c r="G285" s="150">
        <f t="shared" si="15"/>
        <v>536081</v>
      </c>
      <c r="H285" s="150">
        <v>41210</v>
      </c>
      <c r="I285" s="150">
        <v>283758</v>
      </c>
      <c r="J285" s="150">
        <v>211113</v>
      </c>
    </row>
    <row r="286" spans="1:10" s="136" customFormat="1" ht="9" customHeight="1" x14ac:dyDescent="0.25">
      <c r="A286" s="140" t="s">
        <v>42</v>
      </c>
      <c r="B286" s="147">
        <f t="shared" si="14"/>
        <v>175802</v>
      </c>
      <c r="C286" s="147">
        <v>21445</v>
      </c>
      <c r="D286" s="147">
        <v>138922</v>
      </c>
      <c r="E286" s="147">
        <v>15435</v>
      </c>
      <c r="F286" s="147"/>
      <c r="G286" s="147">
        <f t="shared" si="15"/>
        <v>1574229</v>
      </c>
      <c r="H286" s="147">
        <v>167490</v>
      </c>
      <c r="I286" s="147">
        <v>812987</v>
      </c>
      <c r="J286" s="147">
        <v>593752</v>
      </c>
    </row>
    <row r="287" spans="1:10" s="136" customFormat="1" ht="9" customHeight="1" x14ac:dyDescent="0.25">
      <c r="A287" s="140" t="s">
        <v>43</v>
      </c>
      <c r="B287" s="147">
        <f t="shared" si="14"/>
        <v>96645</v>
      </c>
      <c r="C287" s="147">
        <v>5950</v>
      </c>
      <c r="D287" s="147">
        <v>79452</v>
      </c>
      <c r="E287" s="147">
        <v>11243</v>
      </c>
      <c r="F287" s="147"/>
      <c r="G287" s="147">
        <f t="shared" si="15"/>
        <v>945223</v>
      </c>
      <c r="H287" s="147">
        <v>62331</v>
      </c>
      <c r="I287" s="147">
        <v>457562</v>
      </c>
      <c r="J287" s="147">
        <v>425330</v>
      </c>
    </row>
    <row r="288" spans="1:10" s="136" customFormat="1" ht="9" customHeight="1" x14ac:dyDescent="0.25">
      <c r="A288" s="140" t="s">
        <v>44</v>
      </c>
      <c r="B288" s="147">
        <f t="shared" si="14"/>
        <v>98575</v>
      </c>
      <c r="C288" s="147">
        <v>2543</v>
      </c>
      <c r="D288" s="147">
        <v>87143</v>
      </c>
      <c r="E288" s="147">
        <v>8889</v>
      </c>
      <c r="F288" s="147"/>
      <c r="G288" s="147">
        <f t="shared" si="15"/>
        <v>769917</v>
      </c>
      <c r="H288" s="147">
        <v>36062</v>
      </c>
      <c r="I288" s="147">
        <v>400005</v>
      </c>
      <c r="J288" s="147">
        <v>333850</v>
      </c>
    </row>
    <row r="289" spans="1:10" s="136" customFormat="1" ht="9" customHeight="1" x14ac:dyDescent="0.25">
      <c r="A289" s="141" t="s">
        <v>45</v>
      </c>
      <c r="B289" s="150">
        <f t="shared" si="14"/>
        <v>136505</v>
      </c>
      <c r="C289" s="150">
        <v>15190</v>
      </c>
      <c r="D289" s="150">
        <v>111166</v>
      </c>
      <c r="E289" s="150">
        <v>10149</v>
      </c>
      <c r="F289" s="150"/>
      <c r="G289" s="150">
        <f t="shared" si="15"/>
        <v>1204724</v>
      </c>
      <c r="H289" s="150">
        <v>150058</v>
      </c>
      <c r="I289" s="150">
        <v>677075</v>
      </c>
      <c r="J289" s="150">
        <v>377591</v>
      </c>
    </row>
    <row r="290" spans="1:10" s="136" customFormat="1" ht="9" customHeight="1" x14ac:dyDescent="0.25">
      <c r="A290" s="140" t="s">
        <v>46</v>
      </c>
      <c r="B290" s="147">
        <f t="shared" si="14"/>
        <v>179746</v>
      </c>
      <c r="C290" s="147">
        <v>35506</v>
      </c>
      <c r="D290" s="147">
        <v>131427</v>
      </c>
      <c r="E290" s="147">
        <v>12813</v>
      </c>
      <c r="F290" s="147"/>
      <c r="G290" s="147">
        <f t="shared" si="15"/>
        <v>1499520</v>
      </c>
      <c r="H290" s="147">
        <v>243356</v>
      </c>
      <c r="I290" s="147">
        <v>774783</v>
      </c>
      <c r="J290" s="147">
        <v>481381</v>
      </c>
    </row>
    <row r="291" spans="1:10" s="136" customFormat="1" ht="9" customHeight="1" x14ac:dyDescent="0.25">
      <c r="A291" s="140" t="s">
        <v>47</v>
      </c>
      <c r="B291" s="147">
        <f t="shared" si="14"/>
        <v>228374</v>
      </c>
      <c r="C291" s="147">
        <v>28206</v>
      </c>
      <c r="D291" s="147">
        <v>181320</v>
      </c>
      <c r="E291" s="147">
        <v>18848</v>
      </c>
      <c r="F291" s="147"/>
      <c r="G291" s="147">
        <f t="shared" si="15"/>
        <v>1998208</v>
      </c>
      <c r="H291" s="147">
        <v>248149</v>
      </c>
      <c r="I291" s="147">
        <v>1061234</v>
      </c>
      <c r="J291" s="147">
        <v>688825</v>
      </c>
    </row>
    <row r="292" spans="1:10" s="136" customFormat="1" ht="9" customHeight="1" x14ac:dyDescent="0.25">
      <c r="A292" s="140" t="s">
        <v>48</v>
      </c>
      <c r="B292" s="147">
        <f t="shared" si="14"/>
        <v>58797</v>
      </c>
      <c r="C292" s="147">
        <v>4615</v>
      </c>
      <c r="D292" s="147">
        <v>50126</v>
      </c>
      <c r="E292" s="147">
        <v>4056</v>
      </c>
      <c r="F292" s="147"/>
      <c r="G292" s="147">
        <f t="shared" si="15"/>
        <v>426100</v>
      </c>
      <c r="H292" s="147">
        <v>38963</v>
      </c>
      <c r="I292" s="147">
        <v>231587</v>
      </c>
      <c r="J292" s="147">
        <v>155550</v>
      </c>
    </row>
    <row r="293" spans="1:10" s="136" customFormat="1" ht="9" customHeight="1" x14ac:dyDescent="0.25">
      <c r="A293" s="141" t="s">
        <v>49</v>
      </c>
      <c r="B293" s="150">
        <f t="shared" si="14"/>
        <v>262033</v>
      </c>
      <c r="C293" s="150">
        <v>24914</v>
      </c>
      <c r="D293" s="150">
        <v>208567</v>
      </c>
      <c r="E293" s="150">
        <v>28552</v>
      </c>
      <c r="F293" s="150"/>
      <c r="G293" s="150">
        <f t="shared" si="15"/>
        <v>2473911</v>
      </c>
      <c r="H293" s="150">
        <v>236410</v>
      </c>
      <c r="I293" s="150">
        <v>1183818</v>
      </c>
      <c r="J293" s="150">
        <v>1053683</v>
      </c>
    </row>
    <row r="294" spans="1:10" s="136" customFormat="1" ht="9" customHeight="1" x14ac:dyDescent="0.25">
      <c r="A294" s="140" t="s">
        <v>50</v>
      </c>
      <c r="B294" s="147">
        <f t="shared" si="14"/>
        <v>29778</v>
      </c>
      <c r="C294" s="147">
        <v>3023</v>
      </c>
      <c r="D294" s="147">
        <v>23367</v>
      </c>
      <c r="E294" s="147">
        <v>3388</v>
      </c>
      <c r="F294" s="147"/>
      <c r="G294" s="147">
        <f t="shared" si="15"/>
        <v>304242</v>
      </c>
      <c r="H294" s="147">
        <v>30008</v>
      </c>
      <c r="I294" s="147">
        <v>146190</v>
      </c>
      <c r="J294" s="147">
        <v>128044</v>
      </c>
    </row>
    <row r="295" spans="1:10" s="136" customFormat="1" ht="9" customHeight="1" x14ac:dyDescent="0.25">
      <c r="A295" s="140" t="s">
        <v>146</v>
      </c>
      <c r="B295" s="147">
        <f t="shared" si="14"/>
        <v>243509</v>
      </c>
      <c r="C295" s="147">
        <v>22849</v>
      </c>
      <c r="D295" s="147">
        <v>205471</v>
      </c>
      <c r="E295" s="147">
        <v>15189</v>
      </c>
      <c r="F295" s="147"/>
      <c r="G295" s="147">
        <f t="shared" si="15"/>
        <v>1877165</v>
      </c>
      <c r="H295" s="147">
        <v>203778</v>
      </c>
      <c r="I295" s="147">
        <v>1082228</v>
      </c>
      <c r="J295" s="147">
        <v>591159</v>
      </c>
    </row>
    <row r="296" spans="1:10" s="136" customFormat="1" ht="9" customHeight="1" x14ac:dyDescent="0.25">
      <c r="A296" s="140" t="s">
        <v>52</v>
      </c>
      <c r="B296" s="147">
        <f t="shared" si="14"/>
        <v>135579</v>
      </c>
      <c r="C296" s="147">
        <v>9829</v>
      </c>
      <c r="D296" s="147">
        <v>116766</v>
      </c>
      <c r="E296" s="147">
        <v>8984</v>
      </c>
      <c r="F296" s="147"/>
      <c r="G296" s="147">
        <f t="shared" si="15"/>
        <v>970858</v>
      </c>
      <c r="H296" s="147">
        <v>110528</v>
      </c>
      <c r="I296" s="147">
        <v>518601</v>
      </c>
      <c r="J296" s="147">
        <v>341729</v>
      </c>
    </row>
    <row r="297" spans="1:10" s="136" customFormat="1" ht="9" customHeight="1" x14ac:dyDescent="0.25">
      <c r="A297" s="141" t="s">
        <v>53</v>
      </c>
      <c r="B297" s="150">
        <f t="shared" si="14"/>
        <v>56359</v>
      </c>
      <c r="C297" s="150">
        <v>3990</v>
      </c>
      <c r="D297" s="150">
        <v>47845</v>
      </c>
      <c r="E297" s="150">
        <v>4524</v>
      </c>
      <c r="F297" s="150"/>
      <c r="G297" s="150">
        <f t="shared" si="15"/>
        <v>460926</v>
      </c>
      <c r="H297" s="150">
        <v>34893</v>
      </c>
      <c r="I297" s="150">
        <v>259060</v>
      </c>
      <c r="J297" s="150">
        <v>166973</v>
      </c>
    </row>
    <row r="298" spans="1:10" ht="8.25" customHeight="1" x14ac:dyDescent="0.25">
      <c r="A298" s="175"/>
      <c r="B298" s="175"/>
      <c r="C298" s="175"/>
      <c r="D298" s="175"/>
      <c r="E298" s="175"/>
      <c r="F298" s="175"/>
      <c r="G298" s="175"/>
      <c r="H298" s="175"/>
      <c r="I298" s="175"/>
      <c r="J298" s="175"/>
    </row>
    <row r="299" spans="1:10" s="136" customFormat="1" ht="9" customHeight="1" x14ac:dyDescent="0.25">
      <c r="A299" s="177">
        <v>2005</v>
      </c>
      <c r="B299" s="147"/>
      <c r="C299" s="140"/>
      <c r="D299" s="140"/>
      <c r="E299" s="140"/>
      <c r="F299" s="147"/>
      <c r="G299" s="147"/>
      <c r="H299" s="140"/>
      <c r="I299" s="140"/>
      <c r="J299" s="140"/>
    </row>
    <row r="300" spans="1:10" s="136" customFormat="1" ht="9" customHeight="1" x14ac:dyDescent="0.25">
      <c r="A300" s="138" t="s">
        <v>13</v>
      </c>
      <c r="B300" s="148">
        <f>SUM(B302:B333)</f>
        <v>6643211</v>
      </c>
      <c r="C300" s="148">
        <f>SUM(C302:C333)</f>
        <v>959297</v>
      </c>
      <c r="D300" s="148">
        <f>SUM(D302:D333)</f>
        <v>5186999</v>
      </c>
      <c r="E300" s="148">
        <f>SUM(E302:E333)</f>
        <v>496915</v>
      </c>
      <c r="F300" s="148"/>
      <c r="G300" s="148">
        <f>SUM(G302:G333)</f>
        <v>54621368</v>
      </c>
      <c r="H300" s="148">
        <f>SUM(H302:H333)</f>
        <v>7178046</v>
      </c>
      <c r="I300" s="148">
        <f>SUM(I302:I333)</f>
        <v>28827003</v>
      </c>
      <c r="J300" s="148">
        <f>SUM(J302:J333)</f>
        <v>18616319</v>
      </c>
    </row>
    <row r="301" spans="1:10" s="136" customFormat="1" ht="3" customHeight="1" x14ac:dyDescent="0.25">
      <c r="A301" s="138"/>
      <c r="B301" s="148"/>
      <c r="C301" s="148"/>
      <c r="D301" s="148"/>
      <c r="E301" s="148"/>
      <c r="F301" s="148"/>
      <c r="G301" s="148"/>
      <c r="H301" s="148"/>
      <c r="I301" s="148"/>
      <c r="J301" s="148"/>
    </row>
    <row r="302" spans="1:10" s="136" customFormat="1" ht="9" customHeight="1" x14ac:dyDescent="0.25">
      <c r="A302" s="140" t="s">
        <v>23</v>
      </c>
      <c r="B302" s="147">
        <f t="shared" ref="B302:B333" si="16">SUM(C302,D302,E302)</f>
        <v>91198</v>
      </c>
      <c r="C302" s="147">
        <v>13197</v>
      </c>
      <c r="D302" s="147">
        <v>69294</v>
      </c>
      <c r="E302" s="147">
        <v>8707</v>
      </c>
      <c r="F302" s="147"/>
      <c r="G302" s="147">
        <f t="shared" ref="G302:G333" si="17">SUM(H302,I302,J302)</f>
        <v>819679</v>
      </c>
      <c r="H302" s="147">
        <v>97237</v>
      </c>
      <c r="I302" s="147">
        <v>426102</v>
      </c>
      <c r="J302" s="147">
        <v>296340</v>
      </c>
    </row>
    <row r="303" spans="1:10" s="136" customFormat="1" ht="9" customHeight="1" x14ac:dyDescent="0.25">
      <c r="A303" s="140" t="s">
        <v>24</v>
      </c>
      <c r="B303" s="147">
        <f t="shared" si="16"/>
        <v>337735</v>
      </c>
      <c r="C303" s="147">
        <v>57558</v>
      </c>
      <c r="D303" s="147">
        <v>245065</v>
      </c>
      <c r="E303" s="147">
        <v>35112</v>
      </c>
      <c r="F303" s="147"/>
      <c r="G303" s="147">
        <f t="shared" si="17"/>
        <v>3266448</v>
      </c>
      <c r="H303" s="147">
        <v>424192</v>
      </c>
      <c r="I303" s="147">
        <v>1555866</v>
      </c>
      <c r="J303" s="147">
        <v>1286390</v>
      </c>
    </row>
    <row r="304" spans="1:10" s="136" customFormat="1" ht="9" customHeight="1" x14ac:dyDescent="0.25">
      <c r="A304" s="140" t="s">
        <v>25</v>
      </c>
      <c r="B304" s="147">
        <f t="shared" si="16"/>
        <v>52727</v>
      </c>
      <c r="C304" s="147">
        <v>4153</v>
      </c>
      <c r="D304" s="147">
        <v>44330</v>
      </c>
      <c r="E304" s="147">
        <v>4244</v>
      </c>
      <c r="F304" s="147"/>
      <c r="G304" s="147">
        <f t="shared" si="17"/>
        <v>381264</v>
      </c>
      <c r="H304" s="147">
        <v>30400</v>
      </c>
      <c r="I304" s="147">
        <v>189975</v>
      </c>
      <c r="J304" s="147">
        <v>160889</v>
      </c>
    </row>
    <row r="305" spans="1:10" s="136" customFormat="1" ht="9" customHeight="1" x14ac:dyDescent="0.25">
      <c r="A305" s="141" t="s">
        <v>26</v>
      </c>
      <c r="B305" s="150">
        <f t="shared" si="16"/>
        <v>45276</v>
      </c>
      <c r="C305" s="150">
        <v>3472</v>
      </c>
      <c r="D305" s="150">
        <v>38572</v>
      </c>
      <c r="E305" s="150">
        <v>3232</v>
      </c>
      <c r="F305" s="150"/>
      <c r="G305" s="150">
        <f t="shared" si="17"/>
        <v>353803</v>
      </c>
      <c r="H305" s="150">
        <v>34759</v>
      </c>
      <c r="I305" s="150">
        <v>195688</v>
      </c>
      <c r="J305" s="150">
        <v>123356</v>
      </c>
    </row>
    <row r="306" spans="1:10" s="136" customFormat="1" ht="9" customHeight="1" x14ac:dyDescent="0.25">
      <c r="A306" s="140" t="s">
        <v>126</v>
      </c>
      <c r="B306" s="147">
        <f t="shared" si="16"/>
        <v>282784</v>
      </c>
      <c r="C306" s="147">
        <v>35725</v>
      </c>
      <c r="D306" s="147">
        <v>226044</v>
      </c>
      <c r="E306" s="147">
        <v>21015</v>
      </c>
      <c r="F306" s="147"/>
      <c r="G306" s="147">
        <f t="shared" si="17"/>
        <v>2329365</v>
      </c>
      <c r="H306" s="147">
        <v>259900</v>
      </c>
      <c r="I306" s="147">
        <v>1299743</v>
      </c>
      <c r="J306" s="147">
        <v>769722</v>
      </c>
    </row>
    <row r="307" spans="1:10" s="136" customFormat="1" ht="9" customHeight="1" x14ac:dyDescent="0.25">
      <c r="A307" s="140" t="s">
        <v>28</v>
      </c>
      <c r="B307" s="147">
        <f t="shared" si="16"/>
        <v>45789</v>
      </c>
      <c r="C307" s="147">
        <v>4791</v>
      </c>
      <c r="D307" s="147">
        <v>37581</v>
      </c>
      <c r="E307" s="147">
        <v>3417</v>
      </c>
      <c r="F307" s="147"/>
      <c r="G307" s="147">
        <f t="shared" si="17"/>
        <v>361199</v>
      </c>
      <c r="H307" s="147">
        <v>42350</v>
      </c>
      <c r="I307" s="147">
        <v>192080</v>
      </c>
      <c r="J307" s="147">
        <v>126769</v>
      </c>
    </row>
    <row r="308" spans="1:10" s="136" customFormat="1" ht="9" customHeight="1" x14ac:dyDescent="0.25">
      <c r="A308" s="140" t="s">
        <v>29</v>
      </c>
      <c r="B308" s="147">
        <f t="shared" si="16"/>
        <v>57466</v>
      </c>
      <c r="C308" s="147">
        <v>2491</v>
      </c>
      <c r="D308" s="147">
        <v>50406</v>
      </c>
      <c r="E308" s="147">
        <v>4569</v>
      </c>
      <c r="F308" s="147"/>
      <c r="G308" s="147">
        <f t="shared" si="17"/>
        <v>418568</v>
      </c>
      <c r="H308" s="147">
        <v>25323</v>
      </c>
      <c r="I308" s="147">
        <v>219286</v>
      </c>
      <c r="J308" s="147">
        <v>173959</v>
      </c>
    </row>
    <row r="309" spans="1:10" s="136" customFormat="1" ht="9" customHeight="1" x14ac:dyDescent="0.25">
      <c r="A309" s="141" t="s">
        <v>30</v>
      </c>
      <c r="B309" s="150">
        <f t="shared" si="16"/>
        <v>302086</v>
      </c>
      <c r="C309" s="150">
        <v>50731</v>
      </c>
      <c r="D309" s="150">
        <v>214867</v>
      </c>
      <c r="E309" s="150">
        <v>36488</v>
      </c>
      <c r="F309" s="150"/>
      <c r="G309" s="150">
        <f t="shared" si="17"/>
        <v>3155534</v>
      </c>
      <c r="H309" s="150">
        <v>408549</v>
      </c>
      <c r="I309" s="150">
        <v>1408362</v>
      </c>
      <c r="J309" s="150">
        <v>1338623</v>
      </c>
    </row>
    <row r="310" spans="1:10" s="136" customFormat="1" ht="9" customHeight="1" x14ac:dyDescent="0.25">
      <c r="A310" s="140" t="s">
        <v>144</v>
      </c>
      <c r="B310" s="147">
        <f t="shared" si="16"/>
        <v>1038278</v>
      </c>
      <c r="C310" s="147">
        <v>130438</v>
      </c>
      <c r="D310" s="147">
        <v>855399</v>
      </c>
      <c r="E310" s="147">
        <v>52441</v>
      </c>
      <c r="F310" s="147"/>
      <c r="G310" s="147">
        <f t="shared" si="17"/>
        <v>7468081</v>
      </c>
      <c r="H310" s="147">
        <v>915794</v>
      </c>
      <c r="I310" s="147">
        <v>4548631</v>
      </c>
      <c r="J310" s="147">
        <v>2003656</v>
      </c>
    </row>
    <row r="311" spans="1:10" s="136" customFormat="1" ht="9" customHeight="1" x14ac:dyDescent="0.25">
      <c r="A311" s="140" t="s">
        <v>31</v>
      </c>
      <c r="B311" s="147">
        <f t="shared" si="16"/>
        <v>90522</v>
      </c>
      <c r="C311" s="147">
        <v>17402</v>
      </c>
      <c r="D311" s="147">
        <v>66526</v>
      </c>
      <c r="E311" s="147">
        <v>6594</v>
      </c>
      <c r="F311" s="147"/>
      <c r="G311" s="147">
        <f t="shared" si="17"/>
        <v>751576</v>
      </c>
      <c r="H311" s="147">
        <v>117994</v>
      </c>
      <c r="I311" s="147">
        <v>391113</v>
      </c>
      <c r="J311" s="147">
        <v>242469</v>
      </c>
    </row>
    <row r="312" spans="1:10" s="136" customFormat="1" ht="9" customHeight="1" x14ac:dyDescent="0.25">
      <c r="A312" s="140" t="s">
        <v>32</v>
      </c>
      <c r="B312" s="147">
        <f t="shared" si="16"/>
        <v>228649</v>
      </c>
      <c r="C312" s="147">
        <v>35076</v>
      </c>
      <c r="D312" s="147">
        <v>173005</v>
      </c>
      <c r="E312" s="147">
        <v>20568</v>
      </c>
      <c r="F312" s="147"/>
      <c r="G312" s="147">
        <f t="shared" si="17"/>
        <v>2235364</v>
      </c>
      <c r="H312" s="147">
        <v>324024</v>
      </c>
      <c r="I312" s="147">
        <v>1131241</v>
      </c>
      <c r="J312" s="147">
        <v>780099</v>
      </c>
    </row>
    <row r="313" spans="1:10" s="136" customFormat="1" ht="9" customHeight="1" x14ac:dyDescent="0.25">
      <c r="A313" s="141" t="s">
        <v>33</v>
      </c>
      <c r="B313" s="150">
        <f t="shared" si="16"/>
        <v>71138</v>
      </c>
      <c r="C313" s="150">
        <v>6229</v>
      </c>
      <c r="D313" s="150">
        <v>59946</v>
      </c>
      <c r="E313" s="150">
        <v>4963</v>
      </c>
      <c r="F313" s="150"/>
      <c r="G313" s="150">
        <f t="shared" si="17"/>
        <v>549352</v>
      </c>
      <c r="H313" s="150">
        <v>44173</v>
      </c>
      <c r="I313" s="150">
        <v>316919</v>
      </c>
      <c r="J313" s="150">
        <v>188260</v>
      </c>
    </row>
    <row r="314" spans="1:10" s="136" customFormat="1" ht="9" customHeight="1" x14ac:dyDescent="0.25">
      <c r="A314" s="140" t="s">
        <v>34</v>
      </c>
      <c r="B314" s="147">
        <f t="shared" si="16"/>
        <v>84497</v>
      </c>
      <c r="C314" s="147">
        <v>6895</v>
      </c>
      <c r="D314" s="147">
        <v>71477</v>
      </c>
      <c r="E314" s="147">
        <v>6125</v>
      </c>
      <c r="F314" s="147"/>
      <c r="G314" s="147">
        <f t="shared" si="17"/>
        <v>685254</v>
      </c>
      <c r="H314" s="147">
        <v>63361</v>
      </c>
      <c r="I314" s="147">
        <v>392325</v>
      </c>
      <c r="J314" s="147">
        <v>229568</v>
      </c>
    </row>
    <row r="315" spans="1:10" s="136" customFormat="1" ht="9" customHeight="1" x14ac:dyDescent="0.25">
      <c r="A315" s="140" t="s">
        <v>35</v>
      </c>
      <c r="B315" s="147">
        <f t="shared" si="16"/>
        <v>605448</v>
      </c>
      <c r="C315" s="147">
        <v>98950</v>
      </c>
      <c r="D315" s="147">
        <v>464955</v>
      </c>
      <c r="E315" s="147">
        <v>41543</v>
      </c>
      <c r="F315" s="147"/>
      <c r="G315" s="147">
        <f t="shared" si="17"/>
        <v>4989726</v>
      </c>
      <c r="H315" s="147">
        <v>695153</v>
      </c>
      <c r="I315" s="147">
        <v>2726438</v>
      </c>
      <c r="J315" s="147">
        <v>1568135</v>
      </c>
    </row>
    <row r="316" spans="1:10" s="136" customFormat="1" ht="9" customHeight="1" x14ac:dyDescent="0.25">
      <c r="A316" s="140" t="s">
        <v>145</v>
      </c>
      <c r="B316" s="147">
        <f t="shared" si="16"/>
        <v>806236</v>
      </c>
      <c r="C316" s="147">
        <v>166290</v>
      </c>
      <c r="D316" s="147">
        <v>592441</v>
      </c>
      <c r="E316" s="147">
        <v>47505</v>
      </c>
      <c r="F316" s="147"/>
      <c r="G316" s="147">
        <f t="shared" si="17"/>
        <v>5858765</v>
      </c>
      <c r="H316" s="147">
        <v>1075558</v>
      </c>
      <c r="I316" s="147">
        <v>2971677</v>
      </c>
      <c r="J316" s="147">
        <v>1811530</v>
      </c>
    </row>
    <row r="317" spans="1:10" s="136" customFormat="1" ht="9" customHeight="1" x14ac:dyDescent="0.25">
      <c r="A317" s="141" t="s">
        <v>129</v>
      </c>
      <c r="B317" s="150">
        <f t="shared" si="16"/>
        <v>136130</v>
      </c>
      <c r="C317" s="150">
        <v>11318</v>
      </c>
      <c r="D317" s="150">
        <v>115715</v>
      </c>
      <c r="E317" s="150">
        <v>9097</v>
      </c>
      <c r="F317" s="150"/>
      <c r="G317" s="150">
        <f t="shared" si="17"/>
        <v>1064918</v>
      </c>
      <c r="H317" s="150">
        <v>94817</v>
      </c>
      <c r="I317" s="150">
        <v>623120</v>
      </c>
      <c r="J317" s="150">
        <v>346981</v>
      </c>
    </row>
    <row r="318" spans="1:10" s="136" customFormat="1" ht="9" customHeight="1" x14ac:dyDescent="0.25">
      <c r="A318" s="140" t="s">
        <v>38</v>
      </c>
      <c r="B318" s="147">
        <f t="shared" si="16"/>
        <v>111780</v>
      </c>
      <c r="C318" s="147">
        <v>7626</v>
      </c>
      <c r="D318" s="147">
        <v>98061</v>
      </c>
      <c r="E318" s="147">
        <v>6093</v>
      </c>
      <c r="F318" s="147"/>
      <c r="G318" s="147">
        <f t="shared" si="17"/>
        <v>778364</v>
      </c>
      <c r="H318" s="147">
        <v>70838</v>
      </c>
      <c r="I318" s="147">
        <v>477388</v>
      </c>
      <c r="J318" s="147">
        <v>230138</v>
      </c>
    </row>
    <row r="319" spans="1:10" s="136" customFormat="1" ht="9" customHeight="1" x14ac:dyDescent="0.25">
      <c r="A319" s="140" t="s">
        <v>39</v>
      </c>
      <c r="B319" s="147">
        <f t="shared" si="16"/>
        <v>49103</v>
      </c>
      <c r="C319" s="147">
        <v>2477</v>
      </c>
      <c r="D319" s="147">
        <v>43492</v>
      </c>
      <c r="E319" s="147">
        <v>3134</v>
      </c>
      <c r="F319" s="147"/>
      <c r="G319" s="147">
        <f t="shared" si="17"/>
        <v>362429</v>
      </c>
      <c r="H319" s="147">
        <v>23924</v>
      </c>
      <c r="I319" s="147">
        <v>220739</v>
      </c>
      <c r="J319" s="147">
        <v>117766</v>
      </c>
    </row>
    <row r="320" spans="1:10" s="136" customFormat="1" ht="9" customHeight="1" x14ac:dyDescent="0.25">
      <c r="A320" s="140" t="s">
        <v>40</v>
      </c>
      <c r="B320" s="147">
        <f t="shared" si="16"/>
        <v>378106</v>
      </c>
      <c r="C320" s="147">
        <v>83568</v>
      </c>
      <c r="D320" s="147">
        <v>263102</v>
      </c>
      <c r="E320" s="147">
        <v>31436</v>
      </c>
      <c r="F320" s="147"/>
      <c r="G320" s="147">
        <f t="shared" si="17"/>
        <v>3681247</v>
      </c>
      <c r="H320" s="147">
        <v>651336</v>
      </c>
      <c r="I320" s="147">
        <v>1847066</v>
      </c>
      <c r="J320" s="147">
        <v>1182845</v>
      </c>
    </row>
    <row r="321" spans="1:10" s="136" customFormat="1" ht="9" customHeight="1" x14ac:dyDescent="0.25">
      <c r="A321" s="141" t="s">
        <v>41</v>
      </c>
      <c r="B321" s="150">
        <f t="shared" si="16"/>
        <v>71181</v>
      </c>
      <c r="C321" s="150">
        <v>4877</v>
      </c>
      <c r="D321" s="150">
        <v>60549</v>
      </c>
      <c r="E321" s="150">
        <v>5755</v>
      </c>
      <c r="F321" s="150"/>
      <c r="G321" s="150">
        <f t="shared" si="17"/>
        <v>569743</v>
      </c>
      <c r="H321" s="150">
        <v>42460</v>
      </c>
      <c r="I321" s="150">
        <v>306627</v>
      </c>
      <c r="J321" s="150">
        <v>220656</v>
      </c>
    </row>
    <row r="322" spans="1:10" s="136" customFormat="1" ht="9" customHeight="1" x14ac:dyDescent="0.25">
      <c r="A322" s="140" t="s">
        <v>42</v>
      </c>
      <c r="B322" s="147">
        <f t="shared" si="16"/>
        <v>186106</v>
      </c>
      <c r="C322" s="147">
        <v>21566</v>
      </c>
      <c r="D322" s="147">
        <v>149078</v>
      </c>
      <c r="E322" s="147">
        <v>15462</v>
      </c>
      <c r="F322" s="147"/>
      <c r="G322" s="147">
        <f t="shared" si="17"/>
        <v>1591251</v>
      </c>
      <c r="H322" s="147">
        <v>167549</v>
      </c>
      <c r="I322" s="147">
        <v>832819</v>
      </c>
      <c r="J322" s="147">
        <v>590883</v>
      </c>
    </row>
    <row r="323" spans="1:10" s="136" customFormat="1" ht="9" customHeight="1" x14ac:dyDescent="0.25">
      <c r="A323" s="140" t="s">
        <v>43</v>
      </c>
      <c r="B323" s="147">
        <f t="shared" si="16"/>
        <v>103323</v>
      </c>
      <c r="C323" s="147">
        <v>5510</v>
      </c>
      <c r="D323" s="147">
        <v>86440</v>
      </c>
      <c r="E323" s="147">
        <v>11373</v>
      </c>
      <c r="F323" s="147"/>
      <c r="G323" s="147">
        <f t="shared" si="17"/>
        <v>941219</v>
      </c>
      <c r="H323" s="147">
        <v>53348</v>
      </c>
      <c r="I323" s="147">
        <v>454856</v>
      </c>
      <c r="J323" s="147">
        <v>433015</v>
      </c>
    </row>
    <row r="324" spans="1:10" s="136" customFormat="1" ht="9" customHeight="1" x14ac:dyDescent="0.25">
      <c r="A324" s="140" t="s">
        <v>44</v>
      </c>
      <c r="B324" s="147">
        <f t="shared" si="16"/>
        <v>105013</v>
      </c>
      <c r="C324" s="147">
        <v>2862</v>
      </c>
      <c r="D324" s="147">
        <v>92942</v>
      </c>
      <c r="E324" s="147">
        <v>9209</v>
      </c>
      <c r="F324" s="147"/>
      <c r="G324" s="147">
        <f t="shared" si="17"/>
        <v>826462</v>
      </c>
      <c r="H324" s="147">
        <v>35791</v>
      </c>
      <c r="I324" s="147">
        <v>444201</v>
      </c>
      <c r="J324" s="147">
        <v>346470</v>
      </c>
    </row>
    <row r="325" spans="1:10" s="136" customFormat="1" ht="9" customHeight="1" x14ac:dyDescent="0.25">
      <c r="A325" s="141" t="s">
        <v>45</v>
      </c>
      <c r="B325" s="150">
        <f t="shared" si="16"/>
        <v>136701</v>
      </c>
      <c r="C325" s="150">
        <v>23567</v>
      </c>
      <c r="D325" s="150">
        <v>102725</v>
      </c>
      <c r="E325" s="150">
        <v>10409</v>
      </c>
      <c r="F325" s="150"/>
      <c r="G325" s="150">
        <f t="shared" si="17"/>
        <v>1100416</v>
      </c>
      <c r="H325" s="150">
        <v>167320</v>
      </c>
      <c r="I325" s="150">
        <v>549577</v>
      </c>
      <c r="J325" s="150">
        <v>383519</v>
      </c>
    </row>
    <row r="326" spans="1:10" s="136" customFormat="1" ht="9" customHeight="1" x14ac:dyDescent="0.25">
      <c r="A326" s="140" t="s">
        <v>46</v>
      </c>
      <c r="B326" s="147">
        <f t="shared" si="16"/>
        <v>174915</v>
      </c>
      <c r="C326" s="147">
        <v>26061</v>
      </c>
      <c r="D326" s="147">
        <v>135678</v>
      </c>
      <c r="E326" s="147">
        <v>13176</v>
      </c>
      <c r="F326" s="147"/>
      <c r="G326" s="147">
        <f t="shared" si="17"/>
        <v>1481692</v>
      </c>
      <c r="H326" s="147">
        <v>202392</v>
      </c>
      <c r="I326" s="147">
        <v>792496</v>
      </c>
      <c r="J326" s="147">
        <v>486804</v>
      </c>
    </row>
    <row r="327" spans="1:10" s="136" customFormat="1" ht="9" customHeight="1" x14ac:dyDescent="0.25">
      <c r="A327" s="140" t="s">
        <v>47</v>
      </c>
      <c r="B327" s="147">
        <f t="shared" si="16"/>
        <v>238950</v>
      </c>
      <c r="C327" s="147">
        <v>48402</v>
      </c>
      <c r="D327" s="147">
        <v>170782</v>
      </c>
      <c r="E327" s="147">
        <v>19766</v>
      </c>
      <c r="F327" s="147"/>
      <c r="G327" s="147">
        <f t="shared" si="17"/>
        <v>2073930</v>
      </c>
      <c r="H327" s="147">
        <v>356522</v>
      </c>
      <c r="I327" s="147">
        <v>994871</v>
      </c>
      <c r="J327" s="147">
        <v>722537</v>
      </c>
    </row>
    <row r="328" spans="1:10" s="136" customFormat="1" ht="9" customHeight="1" x14ac:dyDescent="0.25">
      <c r="A328" s="140" t="s">
        <v>48</v>
      </c>
      <c r="B328" s="147">
        <f t="shared" si="16"/>
        <v>59765</v>
      </c>
      <c r="C328" s="147">
        <v>4123</v>
      </c>
      <c r="D328" s="147">
        <v>51430</v>
      </c>
      <c r="E328" s="147">
        <v>4212</v>
      </c>
      <c r="F328" s="147"/>
      <c r="G328" s="147">
        <f t="shared" si="17"/>
        <v>430285</v>
      </c>
      <c r="H328" s="147">
        <v>37222</v>
      </c>
      <c r="I328" s="147">
        <v>232735</v>
      </c>
      <c r="J328" s="147">
        <v>160328</v>
      </c>
    </row>
    <row r="329" spans="1:10" s="136" customFormat="1" ht="9" customHeight="1" x14ac:dyDescent="0.25">
      <c r="A329" s="141" t="s">
        <v>49</v>
      </c>
      <c r="B329" s="150">
        <f t="shared" si="16"/>
        <v>298062</v>
      </c>
      <c r="C329" s="150">
        <v>41563</v>
      </c>
      <c r="D329" s="150">
        <v>227136</v>
      </c>
      <c r="E329" s="150">
        <v>29363</v>
      </c>
      <c r="F329" s="150"/>
      <c r="G329" s="150">
        <f t="shared" si="17"/>
        <v>2595604</v>
      </c>
      <c r="H329" s="150">
        <v>336417</v>
      </c>
      <c r="I329" s="150">
        <v>1176003</v>
      </c>
      <c r="J329" s="150">
        <v>1083184</v>
      </c>
    </row>
    <row r="330" spans="1:10" s="136" customFormat="1" ht="9" customHeight="1" x14ac:dyDescent="0.25">
      <c r="A330" s="140" t="s">
        <v>50</v>
      </c>
      <c r="B330" s="147">
        <f t="shared" si="16"/>
        <v>31571</v>
      </c>
      <c r="C330" s="147">
        <v>2561</v>
      </c>
      <c r="D330" s="147">
        <v>25756</v>
      </c>
      <c r="E330" s="147">
        <v>3254</v>
      </c>
      <c r="F330" s="147"/>
      <c r="G330" s="147">
        <f t="shared" si="17"/>
        <v>306111</v>
      </c>
      <c r="H330" s="147">
        <v>26492</v>
      </c>
      <c r="I330" s="147">
        <v>156306</v>
      </c>
      <c r="J330" s="147">
        <v>123313</v>
      </c>
    </row>
    <row r="331" spans="1:10" s="136" customFormat="1" ht="9" customHeight="1" x14ac:dyDescent="0.25">
      <c r="A331" s="140" t="s">
        <v>146</v>
      </c>
      <c r="B331" s="147">
        <f t="shared" si="16"/>
        <v>233202</v>
      </c>
      <c r="C331" s="147">
        <v>21286</v>
      </c>
      <c r="D331" s="147">
        <v>196535</v>
      </c>
      <c r="E331" s="147">
        <v>15381</v>
      </c>
      <c r="F331" s="147"/>
      <c r="G331" s="147">
        <f t="shared" si="17"/>
        <v>1790231</v>
      </c>
      <c r="H331" s="147">
        <v>186451</v>
      </c>
      <c r="I331" s="147">
        <v>1012664</v>
      </c>
      <c r="J331" s="147">
        <v>591116</v>
      </c>
    </row>
    <row r="332" spans="1:10" s="136" customFormat="1" ht="9" customHeight="1" x14ac:dyDescent="0.25">
      <c r="A332" s="140" t="s">
        <v>52</v>
      </c>
      <c r="B332" s="147">
        <f t="shared" si="16"/>
        <v>130113</v>
      </c>
      <c r="C332" s="147">
        <v>10134</v>
      </c>
      <c r="D332" s="147">
        <v>111124</v>
      </c>
      <c r="E332" s="147">
        <v>8855</v>
      </c>
      <c r="F332" s="147"/>
      <c r="G332" s="147">
        <f t="shared" si="17"/>
        <v>939347</v>
      </c>
      <c r="H332" s="147">
        <v>109313</v>
      </c>
      <c r="I332" s="147">
        <v>493370</v>
      </c>
      <c r="J332" s="147">
        <v>336664</v>
      </c>
    </row>
    <row r="333" spans="1:10" s="136" customFormat="1" ht="9" customHeight="1" x14ac:dyDescent="0.25">
      <c r="A333" s="141" t="s">
        <v>53</v>
      </c>
      <c r="B333" s="150">
        <f t="shared" si="16"/>
        <v>59361</v>
      </c>
      <c r="C333" s="150">
        <v>8398</v>
      </c>
      <c r="D333" s="150">
        <v>46546</v>
      </c>
      <c r="E333" s="150">
        <v>4417</v>
      </c>
      <c r="F333" s="150"/>
      <c r="G333" s="150">
        <f t="shared" si="17"/>
        <v>464141</v>
      </c>
      <c r="H333" s="150">
        <v>57087</v>
      </c>
      <c r="I333" s="150">
        <v>246719</v>
      </c>
      <c r="J333" s="150">
        <v>160335</v>
      </c>
    </row>
    <row r="334" spans="1:10" ht="8.25" customHeight="1" x14ac:dyDescent="0.25">
      <c r="A334" s="175"/>
      <c r="B334" s="175"/>
      <c r="C334" s="175"/>
      <c r="D334" s="175"/>
      <c r="E334" s="175"/>
      <c r="F334" s="175"/>
      <c r="G334" s="175"/>
      <c r="H334" s="175"/>
      <c r="I334" s="175"/>
      <c r="J334" s="175"/>
    </row>
    <row r="335" spans="1:10" s="136" customFormat="1" ht="9" customHeight="1" x14ac:dyDescent="0.25">
      <c r="A335" s="177">
        <v>2006</v>
      </c>
      <c r="B335" s="147"/>
      <c r="C335" s="140"/>
      <c r="D335" s="140"/>
      <c r="E335" s="140"/>
      <c r="F335" s="147"/>
      <c r="G335" s="147"/>
      <c r="H335" s="140"/>
      <c r="I335" s="140"/>
      <c r="J335" s="140"/>
    </row>
    <row r="336" spans="1:10" s="136" customFormat="1" ht="9" customHeight="1" x14ac:dyDescent="0.25">
      <c r="A336" s="138" t="s">
        <v>13</v>
      </c>
      <c r="B336" s="148">
        <f>SUM(B338:B369)</f>
        <v>7119925</v>
      </c>
      <c r="C336" s="148">
        <f>SUM(C338:C369)</f>
        <v>1018796</v>
      </c>
      <c r="D336" s="148">
        <f>SUM(D338:D369)</f>
        <v>5590418</v>
      </c>
      <c r="E336" s="148">
        <f>SUM(E338:E369)</f>
        <v>510711</v>
      </c>
      <c r="F336" s="148"/>
      <c r="G336" s="148">
        <f>SUM(G338:G369)</f>
        <v>58444185</v>
      </c>
      <c r="H336" s="148">
        <f>SUM(H338:H369)</f>
        <v>7868180</v>
      </c>
      <c r="I336" s="148">
        <f>SUM(I338:I369)</f>
        <v>31531405</v>
      </c>
      <c r="J336" s="148">
        <f>SUM(J338:J369)</f>
        <v>19044600</v>
      </c>
    </row>
    <row r="337" spans="1:10" s="136" customFormat="1" ht="3" customHeight="1" x14ac:dyDescent="0.25">
      <c r="A337" s="138"/>
      <c r="B337" s="148"/>
      <c r="C337" s="148"/>
      <c r="D337" s="148"/>
      <c r="E337" s="148"/>
      <c r="F337" s="148"/>
      <c r="G337" s="148"/>
      <c r="H337" s="148"/>
      <c r="I337" s="148"/>
      <c r="J337" s="148"/>
    </row>
    <row r="338" spans="1:10" s="136" customFormat="1" ht="9" customHeight="1" x14ac:dyDescent="0.25">
      <c r="A338" s="140" t="s">
        <v>23</v>
      </c>
      <c r="B338" s="147">
        <f t="shared" ref="B338:B369" si="18">SUM(C338,D338,E338)</f>
        <v>100479</v>
      </c>
      <c r="C338" s="147">
        <v>15786</v>
      </c>
      <c r="D338" s="147">
        <v>76208</v>
      </c>
      <c r="E338" s="147">
        <v>8485</v>
      </c>
      <c r="F338" s="147"/>
      <c r="G338" s="147">
        <f t="shared" ref="G338:G369" si="19">SUM(H338,I338,J338)</f>
        <v>876110</v>
      </c>
      <c r="H338" s="147">
        <v>115293</v>
      </c>
      <c r="I338" s="147">
        <v>467609</v>
      </c>
      <c r="J338" s="147">
        <v>293208</v>
      </c>
    </row>
    <row r="339" spans="1:10" s="136" customFormat="1" ht="9" customHeight="1" x14ac:dyDescent="0.25">
      <c r="A339" s="140" t="s">
        <v>24</v>
      </c>
      <c r="B339" s="147">
        <f t="shared" si="18"/>
        <v>374118</v>
      </c>
      <c r="C339" s="147">
        <v>60046</v>
      </c>
      <c r="D339" s="147">
        <v>278353</v>
      </c>
      <c r="E339" s="147">
        <v>35719</v>
      </c>
      <c r="F339" s="147"/>
      <c r="G339" s="147">
        <f t="shared" si="19"/>
        <v>3521559</v>
      </c>
      <c r="H339" s="147">
        <v>458000</v>
      </c>
      <c r="I339" s="147">
        <v>1750794</v>
      </c>
      <c r="J339" s="147">
        <v>1312765</v>
      </c>
    </row>
    <row r="340" spans="1:10" s="136" customFormat="1" ht="9" customHeight="1" x14ac:dyDescent="0.25">
      <c r="A340" s="140" t="s">
        <v>25</v>
      </c>
      <c r="B340" s="147">
        <f t="shared" si="18"/>
        <v>57026</v>
      </c>
      <c r="C340" s="147">
        <v>8623</v>
      </c>
      <c r="D340" s="147">
        <v>43691</v>
      </c>
      <c r="E340" s="147">
        <v>4712</v>
      </c>
      <c r="F340" s="147"/>
      <c r="G340" s="147">
        <f t="shared" si="19"/>
        <v>431311</v>
      </c>
      <c r="H340" s="147">
        <v>63812</v>
      </c>
      <c r="I340" s="147">
        <v>190282</v>
      </c>
      <c r="J340" s="147">
        <v>177217</v>
      </c>
    </row>
    <row r="341" spans="1:10" s="136" customFormat="1" ht="9" customHeight="1" x14ac:dyDescent="0.25">
      <c r="A341" s="141" t="s">
        <v>26</v>
      </c>
      <c r="B341" s="150">
        <f t="shared" si="18"/>
        <v>48419</v>
      </c>
      <c r="C341" s="150">
        <v>2635</v>
      </c>
      <c r="D341" s="150">
        <v>42721</v>
      </c>
      <c r="E341" s="150">
        <v>3063</v>
      </c>
      <c r="F341" s="150"/>
      <c r="G341" s="150">
        <f t="shared" si="19"/>
        <v>352802</v>
      </c>
      <c r="H341" s="150">
        <v>28910</v>
      </c>
      <c r="I341" s="150">
        <v>210681</v>
      </c>
      <c r="J341" s="150">
        <v>113211</v>
      </c>
    </row>
    <row r="342" spans="1:10" s="136" customFormat="1" ht="9" customHeight="1" x14ac:dyDescent="0.25">
      <c r="A342" s="140" t="s">
        <v>126</v>
      </c>
      <c r="B342" s="147">
        <f t="shared" si="18"/>
        <v>292107</v>
      </c>
      <c r="C342" s="147">
        <v>40747</v>
      </c>
      <c r="D342" s="147">
        <v>230455</v>
      </c>
      <c r="E342" s="147">
        <v>20905</v>
      </c>
      <c r="F342" s="147"/>
      <c r="G342" s="147">
        <f t="shared" si="19"/>
        <v>2380241</v>
      </c>
      <c r="H342" s="147">
        <v>289308</v>
      </c>
      <c r="I342" s="147">
        <v>1322235</v>
      </c>
      <c r="J342" s="147">
        <v>768698</v>
      </c>
    </row>
    <row r="343" spans="1:10" s="136" customFormat="1" ht="9" customHeight="1" x14ac:dyDescent="0.25">
      <c r="A343" s="140" t="s">
        <v>28</v>
      </c>
      <c r="B343" s="147">
        <f t="shared" si="18"/>
        <v>54294</v>
      </c>
      <c r="C343" s="147">
        <v>5929</v>
      </c>
      <c r="D343" s="147">
        <v>44840</v>
      </c>
      <c r="E343" s="147">
        <v>3525</v>
      </c>
      <c r="F343" s="147"/>
      <c r="G343" s="147">
        <f t="shared" si="19"/>
        <v>409856</v>
      </c>
      <c r="H343" s="147">
        <v>52089</v>
      </c>
      <c r="I343" s="147">
        <v>226155</v>
      </c>
      <c r="J343" s="147">
        <v>131612</v>
      </c>
    </row>
    <row r="344" spans="1:10" s="136" customFormat="1" ht="9" customHeight="1" x14ac:dyDescent="0.25">
      <c r="A344" s="140" t="s">
        <v>29</v>
      </c>
      <c r="B344" s="147">
        <f t="shared" si="18"/>
        <v>69665</v>
      </c>
      <c r="C344" s="147">
        <v>2977</v>
      </c>
      <c r="D344" s="147">
        <v>61703</v>
      </c>
      <c r="E344" s="147">
        <v>4985</v>
      </c>
      <c r="F344" s="147"/>
      <c r="G344" s="147">
        <f t="shared" si="19"/>
        <v>480146</v>
      </c>
      <c r="H344" s="147">
        <v>26174</v>
      </c>
      <c r="I344" s="147">
        <v>271369</v>
      </c>
      <c r="J344" s="147">
        <v>182603</v>
      </c>
    </row>
    <row r="345" spans="1:10" s="136" customFormat="1" ht="9" customHeight="1" x14ac:dyDescent="0.25">
      <c r="A345" s="141" t="s">
        <v>30</v>
      </c>
      <c r="B345" s="150">
        <f t="shared" si="18"/>
        <v>340397</v>
      </c>
      <c r="C345" s="150">
        <v>61228</v>
      </c>
      <c r="D345" s="150">
        <v>241920</v>
      </c>
      <c r="E345" s="150">
        <v>37249</v>
      </c>
      <c r="F345" s="150"/>
      <c r="G345" s="150">
        <f t="shared" si="19"/>
        <v>3471252</v>
      </c>
      <c r="H345" s="150">
        <v>494530</v>
      </c>
      <c r="I345" s="150">
        <v>1601569</v>
      </c>
      <c r="J345" s="150">
        <v>1375153</v>
      </c>
    </row>
    <row r="346" spans="1:10" s="136" customFormat="1" ht="9" customHeight="1" x14ac:dyDescent="0.25">
      <c r="A346" s="140" t="s">
        <v>144</v>
      </c>
      <c r="B346" s="147">
        <f t="shared" si="18"/>
        <v>1093143</v>
      </c>
      <c r="C346" s="147">
        <v>125575</v>
      </c>
      <c r="D346" s="147">
        <v>914687</v>
      </c>
      <c r="E346" s="147">
        <v>52881</v>
      </c>
      <c r="F346" s="147"/>
      <c r="G346" s="147">
        <f t="shared" si="19"/>
        <v>7797810</v>
      </c>
      <c r="H346" s="147">
        <v>899139</v>
      </c>
      <c r="I346" s="147">
        <v>4874658</v>
      </c>
      <c r="J346" s="147">
        <v>2024013</v>
      </c>
    </row>
    <row r="347" spans="1:10" s="136" customFormat="1" ht="9" customHeight="1" x14ac:dyDescent="0.25">
      <c r="A347" s="140" t="s">
        <v>31</v>
      </c>
      <c r="B347" s="147">
        <f t="shared" si="18"/>
        <v>90786</v>
      </c>
      <c r="C347" s="147">
        <v>12775</v>
      </c>
      <c r="D347" s="147">
        <v>71339</v>
      </c>
      <c r="E347" s="147">
        <v>6672</v>
      </c>
      <c r="F347" s="147"/>
      <c r="G347" s="147">
        <f t="shared" si="19"/>
        <v>793121</v>
      </c>
      <c r="H347" s="147">
        <v>103493</v>
      </c>
      <c r="I347" s="147">
        <v>439360</v>
      </c>
      <c r="J347" s="147">
        <v>250268</v>
      </c>
    </row>
    <row r="348" spans="1:10" s="136" customFormat="1" ht="9" customHeight="1" x14ac:dyDescent="0.25">
      <c r="A348" s="140" t="s">
        <v>32</v>
      </c>
      <c r="B348" s="147">
        <f t="shared" si="18"/>
        <v>254522</v>
      </c>
      <c r="C348" s="147">
        <v>30576</v>
      </c>
      <c r="D348" s="147">
        <v>202641</v>
      </c>
      <c r="E348" s="147">
        <v>21305</v>
      </c>
      <c r="F348" s="147"/>
      <c r="G348" s="147">
        <f t="shared" si="19"/>
        <v>2517183</v>
      </c>
      <c r="H348" s="147">
        <v>341105</v>
      </c>
      <c r="I348" s="147">
        <v>1369312</v>
      </c>
      <c r="J348" s="147">
        <v>806766</v>
      </c>
    </row>
    <row r="349" spans="1:10" s="136" customFormat="1" ht="9" customHeight="1" x14ac:dyDescent="0.25">
      <c r="A349" s="141" t="s">
        <v>33</v>
      </c>
      <c r="B349" s="150">
        <f t="shared" si="18"/>
        <v>76317</v>
      </c>
      <c r="C349" s="150">
        <v>6945</v>
      </c>
      <c r="D349" s="150">
        <v>64131</v>
      </c>
      <c r="E349" s="150">
        <v>5241</v>
      </c>
      <c r="F349" s="150"/>
      <c r="G349" s="150">
        <f t="shared" si="19"/>
        <v>584587</v>
      </c>
      <c r="H349" s="150">
        <v>52318</v>
      </c>
      <c r="I349" s="150">
        <v>336392</v>
      </c>
      <c r="J349" s="150">
        <v>195877</v>
      </c>
    </row>
    <row r="350" spans="1:10" s="136" customFormat="1" ht="9" customHeight="1" x14ac:dyDescent="0.25">
      <c r="A350" s="140" t="s">
        <v>34</v>
      </c>
      <c r="B350" s="147">
        <f t="shared" si="18"/>
        <v>91711</v>
      </c>
      <c r="C350" s="147">
        <v>8709</v>
      </c>
      <c r="D350" s="147">
        <v>76805</v>
      </c>
      <c r="E350" s="147">
        <v>6197</v>
      </c>
      <c r="F350" s="147"/>
      <c r="G350" s="147">
        <f t="shared" si="19"/>
        <v>728242</v>
      </c>
      <c r="H350" s="147">
        <v>75133</v>
      </c>
      <c r="I350" s="147">
        <v>422811</v>
      </c>
      <c r="J350" s="147">
        <v>230298</v>
      </c>
    </row>
    <row r="351" spans="1:10" s="136" customFormat="1" ht="9" customHeight="1" x14ac:dyDescent="0.25">
      <c r="A351" s="140" t="s">
        <v>35</v>
      </c>
      <c r="B351" s="147">
        <f t="shared" si="18"/>
        <v>642522</v>
      </c>
      <c r="C351" s="147">
        <v>111070</v>
      </c>
      <c r="D351" s="147">
        <v>487999</v>
      </c>
      <c r="E351" s="147">
        <v>43453</v>
      </c>
      <c r="F351" s="147"/>
      <c r="G351" s="147">
        <f t="shared" si="19"/>
        <v>5364193</v>
      </c>
      <c r="H351" s="147">
        <v>808147</v>
      </c>
      <c r="I351" s="147">
        <v>2935322</v>
      </c>
      <c r="J351" s="147">
        <v>1620724</v>
      </c>
    </row>
    <row r="352" spans="1:10" s="136" customFormat="1" ht="9" customHeight="1" x14ac:dyDescent="0.25">
      <c r="A352" s="140" t="s">
        <v>145</v>
      </c>
      <c r="B352" s="147">
        <f t="shared" si="18"/>
        <v>838238</v>
      </c>
      <c r="C352" s="147">
        <v>163664</v>
      </c>
      <c r="D352" s="147">
        <v>627041</v>
      </c>
      <c r="E352" s="147">
        <v>47533</v>
      </c>
      <c r="F352" s="147"/>
      <c r="G352" s="147">
        <f t="shared" si="19"/>
        <v>6052259</v>
      </c>
      <c r="H352" s="147">
        <v>1075481</v>
      </c>
      <c r="I352" s="147">
        <v>3180110</v>
      </c>
      <c r="J352" s="147">
        <v>1796668</v>
      </c>
    </row>
    <row r="353" spans="1:10" s="136" customFormat="1" ht="9" customHeight="1" x14ac:dyDescent="0.25">
      <c r="A353" s="141" t="s">
        <v>129</v>
      </c>
      <c r="B353" s="150">
        <f t="shared" si="18"/>
        <v>159891</v>
      </c>
      <c r="C353" s="150">
        <v>17543</v>
      </c>
      <c r="D353" s="150">
        <v>132519</v>
      </c>
      <c r="E353" s="150">
        <v>9829</v>
      </c>
      <c r="F353" s="150"/>
      <c r="G353" s="150">
        <f t="shared" si="19"/>
        <v>1187399</v>
      </c>
      <c r="H353" s="150">
        <v>132839</v>
      </c>
      <c r="I353" s="150">
        <v>682660</v>
      </c>
      <c r="J353" s="150">
        <v>371900</v>
      </c>
    </row>
    <row r="354" spans="1:10" s="136" customFormat="1" ht="9" customHeight="1" x14ac:dyDescent="0.25">
      <c r="A354" s="140" t="s">
        <v>38</v>
      </c>
      <c r="B354" s="147">
        <f t="shared" si="18"/>
        <v>117828</v>
      </c>
      <c r="C354" s="147">
        <v>8297</v>
      </c>
      <c r="D354" s="147">
        <v>103091</v>
      </c>
      <c r="E354" s="147">
        <v>6440</v>
      </c>
      <c r="F354" s="147"/>
      <c r="G354" s="147">
        <f t="shared" si="19"/>
        <v>811091</v>
      </c>
      <c r="H354" s="147">
        <v>74206</v>
      </c>
      <c r="I354" s="147">
        <v>495862</v>
      </c>
      <c r="J354" s="147">
        <v>241023</v>
      </c>
    </row>
    <row r="355" spans="1:10" s="136" customFormat="1" ht="9" customHeight="1" x14ac:dyDescent="0.25">
      <c r="A355" s="140" t="s">
        <v>39</v>
      </c>
      <c r="B355" s="147">
        <f t="shared" si="18"/>
        <v>56103</v>
      </c>
      <c r="C355" s="147">
        <v>2778</v>
      </c>
      <c r="D355" s="147">
        <v>49980</v>
      </c>
      <c r="E355" s="147">
        <v>3345</v>
      </c>
      <c r="F355" s="147"/>
      <c r="G355" s="147">
        <f t="shared" si="19"/>
        <v>401348</v>
      </c>
      <c r="H355" s="147">
        <v>26975</v>
      </c>
      <c r="I355" s="147">
        <v>251548</v>
      </c>
      <c r="J355" s="147">
        <v>122825</v>
      </c>
    </row>
    <row r="356" spans="1:10" s="136" customFormat="1" ht="9" customHeight="1" x14ac:dyDescent="0.25">
      <c r="A356" s="140" t="s">
        <v>40</v>
      </c>
      <c r="B356" s="147">
        <f t="shared" si="18"/>
        <v>406339</v>
      </c>
      <c r="C356" s="147">
        <v>86166</v>
      </c>
      <c r="D356" s="147">
        <v>287071</v>
      </c>
      <c r="E356" s="147">
        <v>33102</v>
      </c>
      <c r="F356" s="147"/>
      <c r="G356" s="147">
        <f t="shared" si="19"/>
        <v>3977300</v>
      </c>
      <c r="H356" s="147">
        <v>679788</v>
      </c>
      <c r="I356" s="147">
        <v>2058782</v>
      </c>
      <c r="J356" s="147">
        <v>1238730</v>
      </c>
    </row>
    <row r="357" spans="1:10" s="136" customFormat="1" ht="9" customHeight="1" x14ac:dyDescent="0.25">
      <c r="A357" s="141" t="s">
        <v>41</v>
      </c>
      <c r="B357" s="150">
        <f t="shared" si="18"/>
        <v>73100</v>
      </c>
      <c r="C357" s="150">
        <v>4451</v>
      </c>
      <c r="D357" s="150">
        <v>62749</v>
      </c>
      <c r="E357" s="150">
        <v>5900</v>
      </c>
      <c r="F357" s="150"/>
      <c r="G357" s="150">
        <f t="shared" si="19"/>
        <v>600379</v>
      </c>
      <c r="H357" s="150">
        <v>45255</v>
      </c>
      <c r="I357" s="150">
        <v>330316</v>
      </c>
      <c r="J357" s="150">
        <v>224808</v>
      </c>
    </row>
    <row r="358" spans="1:10" s="136" customFormat="1" ht="9" customHeight="1" x14ac:dyDescent="0.25">
      <c r="A358" s="140" t="s">
        <v>42</v>
      </c>
      <c r="B358" s="147">
        <f t="shared" si="18"/>
        <v>197273</v>
      </c>
      <c r="C358" s="147">
        <v>18267</v>
      </c>
      <c r="D358" s="147">
        <v>163793</v>
      </c>
      <c r="E358" s="147">
        <v>15213</v>
      </c>
      <c r="F358" s="147"/>
      <c r="G358" s="147">
        <f t="shared" si="19"/>
        <v>1639644</v>
      </c>
      <c r="H358" s="147">
        <v>149141</v>
      </c>
      <c r="I358" s="147">
        <v>912729</v>
      </c>
      <c r="J358" s="147">
        <v>577774</v>
      </c>
    </row>
    <row r="359" spans="1:10" s="136" customFormat="1" ht="9" customHeight="1" x14ac:dyDescent="0.25">
      <c r="A359" s="140" t="s">
        <v>43</v>
      </c>
      <c r="B359" s="147">
        <f t="shared" si="18"/>
        <v>109221</v>
      </c>
      <c r="C359" s="147">
        <v>8879</v>
      </c>
      <c r="D359" s="147">
        <v>88669</v>
      </c>
      <c r="E359" s="147">
        <v>11673</v>
      </c>
      <c r="F359" s="147"/>
      <c r="G359" s="147">
        <f t="shared" si="19"/>
        <v>990802</v>
      </c>
      <c r="H359" s="147">
        <v>78160</v>
      </c>
      <c r="I359" s="147">
        <v>475985</v>
      </c>
      <c r="J359" s="147">
        <v>436657</v>
      </c>
    </row>
    <row r="360" spans="1:10" s="136" customFormat="1" ht="9" customHeight="1" x14ac:dyDescent="0.25">
      <c r="A360" s="140" t="s">
        <v>44</v>
      </c>
      <c r="B360" s="147">
        <f t="shared" si="18"/>
        <v>112994</v>
      </c>
      <c r="C360" s="147">
        <v>12134</v>
      </c>
      <c r="D360" s="147">
        <v>90508</v>
      </c>
      <c r="E360" s="147">
        <v>10352</v>
      </c>
      <c r="F360" s="147"/>
      <c r="G360" s="147">
        <f t="shared" si="19"/>
        <v>905666</v>
      </c>
      <c r="H360" s="147">
        <v>97747</v>
      </c>
      <c r="I360" s="147">
        <v>425096</v>
      </c>
      <c r="J360" s="147">
        <v>382823</v>
      </c>
    </row>
    <row r="361" spans="1:10" s="136" customFormat="1" ht="9" customHeight="1" x14ac:dyDescent="0.25">
      <c r="A361" s="141" t="s">
        <v>45</v>
      </c>
      <c r="B361" s="150">
        <f t="shared" si="18"/>
        <v>162116</v>
      </c>
      <c r="C361" s="150">
        <v>31103</v>
      </c>
      <c r="D361" s="150">
        <v>120535</v>
      </c>
      <c r="E361" s="150">
        <v>10478</v>
      </c>
      <c r="F361" s="150"/>
      <c r="G361" s="150">
        <f t="shared" si="19"/>
        <v>1257555</v>
      </c>
      <c r="H361" s="150">
        <v>213929</v>
      </c>
      <c r="I361" s="150">
        <v>659021</v>
      </c>
      <c r="J361" s="150">
        <v>384605</v>
      </c>
    </row>
    <row r="362" spans="1:10" s="136" customFormat="1" ht="9" customHeight="1" x14ac:dyDescent="0.25">
      <c r="A362" s="140" t="s">
        <v>46</v>
      </c>
      <c r="B362" s="147">
        <f t="shared" si="18"/>
        <v>170687</v>
      </c>
      <c r="C362" s="147">
        <v>23099</v>
      </c>
      <c r="D362" s="147">
        <v>133930</v>
      </c>
      <c r="E362" s="147">
        <v>13658</v>
      </c>
      <c r="F362" s="147"/>
      <c r="G362" s="147">
        <f t="shared" si="19"/>
        <v>1598471</v>
      </c>
      <c r="H362" s="147">
        <v>240330</v>
      </c>
      <c r="I362" s="147">
        <v>847689</v>
      </c>
      <c r="J362" s="147">
        <v>510452</v>
      </c>
    </row>
    <row r="363" spans="1:10" s="136" customFormat="1" ht="9" customHeight="1" x14ac:dyDescent="0.25">
      <c r="A363" s="140" t="s">
        <v>47</v>
      </c>
      <c r="B363" s="147">
        <f t="shared" si="18"/>
        <v>259717</v>
      </c>
      <c r="C363" s="147">
        <v>56748</v>
      </c>
      <c r="D363" s="147">
        <v>183165</v>
      </c>
      <c r="E363" s="147">
        <v>19804</v>
      </c>
      <c r="F363" s="147"/>
      <c r="G363" s="147">
        <f t="shared" si="19"/>
        <v>2238678</v>
      </c>
      <c r="H363" s="147">
        <v>430451</v>
      </c>
      <c r="I363" s="147">
        <v>1096002</v>
      </c>
      <c r="J363" s="147">
        <v>712225</v>
      </c>
    </row>
    <row r="364" spans="1:10" s="136" customFormat="1" ht="9" customHeight="1" x14ac:dyDescent="0.25">
      <c r="A364" s="140" t="s">
        <v>48</v>
      </c>
      <c r="B364" s="147">
        <f t="shared" si="18"/>
        <v>66162</v>
      </c>
      <c r="C364" s="147">
        <v>3496</v>
      </c>
      <c r="D364" s="147">
        <v>58269</v>
      </c>
      <c r="E364" s="147">
        <v>4397</v>
      </c>
      <c r="F364" s="147"/>
      <c r="G364" s="147">
        <f t="shared" si="19"/>
        <v>463899</v>
      </c>
      <c r="H364" s="147">
        <v>32187</v>
      </c>
      <c r="I364" s="147">
        <v>267155</v>
      </c>
      <c r="J364" s="147">
        <v>164557</v>
      </c>
    </row>
    <row r="365" spans="1:10" s="136" customFormat="1" ht="9" customHeight="1" x14ac:dyDescent="0.25">
      <c r="A365" s="141" t="s">
        <v>49</v>
      </c>
      <c r="B365" s="150">
        <f t="shared" si="18"/>
        <v>306324</v>
      </c>
      <c r="C365" s="150">
        <v>42195</v>
      </c>
      <c r="D365" s="150">
        <v>233500</v>
      </c>
      <c r="E365" s="150">
        <v>30629</v>
      </c>
      <c r="F365" s="150"/>
      <c r="G365" s="150">
        <f t="shared" si="19"/>
        <v>2797334</v>
      </c>
      <c r="H365" s="150">
        <v>385062</v>
      </c>
      <c r="I365" s="150">
        <v>1285666</v>
      </c>
      <c r="J365" s="150">
        <v>1126606</v>
      </c>
    </row>
    <row r="366" spans="1:10" s="136" customFormat="1" ht="9" customHeight="1" x14ac:dyDescent="0.25">
      <c r="A366" s="140" t="s">
        <v>50</v>
      </c>
      <c r="B366" s="147">
        <f t="shared" si="18"/>
        <v>33180</v>
      </c>
      <c r="C366" s="147">
        <v>2890</v>
      </c>
      <c r="D366" s="147">
        <v>26845</v>
      </c>
      <c r="E366" s="147">
        <v>3445</v>
      </c>
      <c r="F366" s="147"/>
      <c r="G366" s="147">
        <f t="shared" si="19"/>
        <v>329656</v>
      </c>
      <c r="H366" s="147">
        <v>28824</v>
      </c>
      <c r="I366" s="147">
        <v>172486</v>
      </c>
      <c r="J366" s="147">
        <v>128346</v>
      </c>
    </row>
    <row r="367" spans="1:10" s="136" customFormat="1" ht="9" customHeight="1" x14ac:dyDescent="0.25">
      <c r="A367" s="140" t="s">
        <v>146</v>
      </c>
      <c r="B367" s="147">
        <f t="shared" si="18"/>
        <v>265962</v>
      </c>
      <c r="C367" s="147">
        <v>24782</v>
      </c>
      <c r="D367" s="147">
        <v>224147</v>
      </c>
      <c r="E367" s="147">
        <v>17033</v>
      </c>
      <c r="F367" s="147"/>
      <c r="G367" s="147">
        <f t="shared" si="19"/>
        <v>2015564</v>
      </c>
      <c r="H367" s="147">
        <v>210073</v>
      </c>
      <c r="I367" s="147">
        <v>1158545</v>
      </c>
      <c r="J367" s="147">
        <v>646946</v>
      </c>
    </row>
    <row r="368" spans="1:10" s="136" customFormat="1" ht="9" customHeight="1" x14ac:dyDescent="0.25">
      <c r="A368" s="140" t="s">
        <v>52</v>
      </c>
      <c r="B368" s="147">
        <f t="shared" si="18"/>
        <v>136975</v>
      </c>
      <c r="C368" s="147">
        <v>8693</v>
      </c>
      <c r="D368" s="147">
        <v>119197</v>
      </c>
      <c r="E368" s="147">
        <v>9085</v>
      </c>
      <c r="F368" s="147"/>
      <c r="G368" s="147">
        <f t="shared" si="19"/>
        <v>976634</v>
      </c>
      <c r="H368" s="147">
        <v>91800</v>
      </c>
      <c r="I368" s="147">
        <v>545195</v>
      </c>
      <c r="J368" s="147">
        <v>339639</v>
      </c>
    </row>
    <row r="369" spans="1:10" s="136" customFormat="1" ht="9" customHeight="1" x14ac:dyDescent="0.25">
      <c r="A369" s="141" t="s">
        <v>53</v>
      </c>
      <c r="B369" s="150">
        <f t="shared" si="18"/>
        <v>62309</v>
      </c>
      <c r="C369" s="150">
        <v>9990</v>
      </c>
      <c r="D369" s="150">
        <v>47916</v>
      </c>
      <c r="E369" s="150">
        <v>4403</v>
      </c>
      <c r="F369" s="150"/>
      <c r="G369" s="150">
        <f t="shared" si="19"/>
        <v>492093</v>
      </c>
      <c r="H369" s="150">
        <v>68481</v>
      </c>
      <c r="I369" s="150">
        <v>268009</v>
      </c>
      <c r="J369" s="150">
        <v>155603</v>
      </c>
    </row>
    <row r="370" spans="1:10" ht="8.25" customHeight="1" x14ac:dyDescent="0.25">
      <c r="A370" s="175"/>
      <c r="B370" s="175"/>
      <c r="C370" s="175"/>
      <c r="D370" s="175"/>
      <c r="E370" s="175"/>
      <c r="F370" s="175"/>
      <c r="G370" s="175"/>
      <c r="H370" s="175"/>
      <c r="I370" s="175"/>
      <c r="J370" s="175"/>
    </row>
    <row r="371" spans="1:10" s="136" customFormat="1" ht="9" customHeight="1" x14ac:dyDescent="0.25">
      <c r="A371" s="177">
        <v>2007</v>
      </c>
      <c r="B371" s="147"/>
      <c r="C371" s="140"/>
      <c r="D371" s="140"/>
      <c r="E371" s="140"/>
      <c r="F371" s="147"/>
      <c r="G371" s="147"/>
      <c r="H371" s="140"/>
      <c r="I371" s="140"/>
      <c r="J371" s="140"/>
    </row>
    <row r="372" spans="1:10" s="136" customFormat="1" ht="9" customHeight="1" x14ac:dyDescent="0.25">
      <c r="A372" s="138" t="s">
        <v>13</v>
      </c>
      <c r="B372" s="148">
        <f>SUM(B374:B405)</f>
        <v>7974348</v>
      </c>
      <c r="C372" s="148">
        <f>SUM(C374:C405)</f>
        <v>1541987</v>
      </c>
      <c r="D372" s="148">
        <f>SUM(D374:D405)</f>
        <v>5894962</v>
      </c>
      <c r="E372" s="148">
        <f>SUM(E374:E405)</f>
        <v>537399</v>
      </c>
      <c r="F372" s="148"/>
      <c r="G372" s="148">
        <f>SUM(G374:G405)</f>
        <v>65384690</v>
      </c>
      <c r="H372" s="148">
        <f>SUM(H374:H405)</f>
        <v>11211385</v>
      </c>
      <c r="I372" s="148">
        <f>SUM(I374:I405)</f>
        <v>34056295</v>
      </c>
      <c r="J372" s="148">
        <f>SUM(J374:J405)</f>
        <v>20117010</v>
      </c>
    </row>
    <row r="373" spans="1:10" s="136" customFormat="1" ht="3" customHeight="1" x14ac:dyDescent="0.25">
      <c r="A373" s="138"/>
      <c r="B373" s="148"/>
      <c r="C373" s="148"/>
      <c r="D373" s="148"/>
      <c r="E373" s="148"/>
      <c r="F373" s="148"/>
      <c r="G373" s="148"/>
      <c r="H373" s="148"/>
      <c r="I373" s="148"/>
      <c r="J373" s="148"/>
    </row>
    <row r="374" spans="1:10" s="136" customFormat="1" ht="9" customHeight="1" x14ac:dyDescent="0.25">
      <c r="A374" s="140" t="s">
        <v>23</v>
      </c>
      <c r="B374" s="147">
        <f t="shared" ref="B374:B405" si="20">SUM(C374,D374,E374)</f>
        <v>121219</v>
      </c>
      <c r="C374" s="147">
        <v>21004</v>
      </c>
      <c r="D374" s="147">
        <v>91008</v>
      </c>
      <c r="E374" s="147">
        <v>9207</v>
      </c>
      <c r="F374" s="147"/>
      <c r="G374" s="147">
        <f t="shared" ref="G374:G405" si="21">SUM(H374,I374,J374)</f>
        <v>1025531</v>
      </c>
      <c r="H374" s="147">
        <v>152166</v>
      </c>
      <c r="I374" s="147">
        <v>550704</v>
      </c>
      <c r="J374" s="147">
        <v>322661</v>
      </c>
    </row>
    <row r="375" spans="1:10" s="136" customFormat="1" ht="9" customHeight="1" x14ac:dyDescent="0.25">
      <c r="A375" s="140" t="s">
        <v>24</v>
      </c>
      <c r="B375" s="147">
        <f t="shared" si="20"/>
        <v>412988</v>
      </c>
      <c r="C375" s="147">
        <v>92674</v>
      </c>
      <c r="D375" s="147">
        <v>283351</v>
      </c>
      <c r="E375" s="147">
        <v>36963</v>
      </c>
      <c r="F375" s="147"/>
      <c r="G375" s="147">
        <f t="shared" si="21"/>
        <v>3919322</v>
      </c>
      <c r="H375" s="147">
        <v>653864</v>
      </c>
      <c r="I375" s="147">
        <v>1910164</v>
      </c>
      <c r="J375" s="147">
        <v>1355294</v>
      </c>
    </row>
    <row r="376" spans="1:10" s="136" customFormat="1" ht="9" customHeight="1" x14ac:dyDescent="0.25">
      <c r="A376" s="140" t="s">
        <v>25</v>
      </c>
      <c r="B376" s="147">
        <f t="shared" si="20"/>
        <v>74722</v>
      </c>
      <c r="C376" s="147">
        <v>13367</v>
      </c>
      <c r="D376" s="147">
        <v>56015</v>
      </c>
      <c r="E376" s="147">
        <v>5340</v>
      </c>
      <c r="F376" s="147"/>
      <c r="G376" s="147">
        <f t="shared" si="21"/>
        <v>546942</v>
      </c>
      <c r="H376" s="147">
        <v>91145</v>
      </c>
      <c r="I376" s="147">
        <v>255256</v>
      </c>
      <c r="J376" s="147">
        <v>200541</v>
      </c>
    </row>
    <row r="377" spans="1:10" s="136" customFormat="1" ht="9" customHeight="1" x14ac:dyDescent="0.25">
      <c r="A377" s="141" t="s">
        <v>26</v>
      </c>
      <c r="B377" s="150">
        <f t="shared" si="20"/>
        <v>58450</v>
      </c>
      <c r="C377" s="150">
        <v>6628</v>
      </c>
      <c r="D377" s="150">
        <v>48494</v>
      </c>
      <c r="E377" s="150">
        <v>3328</v>
      </c>
      <c r="F377" s="150"/>
      <c r="G377" s="150">
        <f t="shared" si="21"/>
        <v>410359</v>
      </c>
      <c r="H377" s="150">
        <v>52567</v>
      </c>
      <c r="I377" s="150">
        <v>233265</v>
      </c>
      <c r="J377" s="150">
        <v>124527</v>
      </c>
    </row>
    <row r="378" spans="1:10" s="136" customFormat="1" ht="9" customHeight="1" x14ac:dyDescent="0.25">
      <c r="A378" s="140" t="s">
        <v>126</v>
      </c>
      <c r="B378" s="147">
        <f t="shared" si="20"/>
        <v>313924</v>
      </c>
      <c r="C378" s="147">
        <v>58143</v>
      </c>
      <c r="D378" s="147">
        <v>234204</v>
      </c>
      <c r="E378" s="147">
        <v>21577</v>
      </c>
      <c r="F378" s="147"/>
      <c r="G378" s="147">
        <f t="shared" si="21"/>
        <v>2555574</v>
      </c>
      <c r="H378" s="147">
        <v>395146</v>
      </c>
      <c r="I378" s="147">
        <v>1366931</v>
      </c>
      <c r="J378" s="147">
        <v>793497</v>
      </c>
    </row>
    <row r="379" spans="1:10" s="136" customFormat="1" ht="9" customHeight="1" x14ac:dyDescent="0.25">
      <c r="A379" s="140" t="s">
        <v>28</v>
      </c>
      <c r="B379" s="147">
        <f t="shared" si="20"/>
        <v>61463</v>
      </c>
      <c r="C379" s="147">
        <v>10577</v>
      </c>
      <c r="D379" s="147">
        <v>47131</v>
      </c>
      <c r="E379" s="147">
        <v>3755</v>
      </c>
      <c r="F379" s="147"/>
      <c r="G379" s="147">
        <f t="shared" si="21"/>
        <v>465910</v>
      </c>
      <c r="H379" s="147">
        <v>81954</v>
      </c>
      <c r="I379" s="147">
        <v>244945</v>
      </c>
      <c r="J379" s="147">
        <v>139011</v>
      </c>
    </row>
    <row r="380" spans="1:10" s="136" customFormat="1" ht="9" customHeight="1" x14ac:dyDescent="0.25">
      <c r="A380" s="140" t="s">
        <v>29</v>
      </c>
      <c r="B380" s="147">
        <f t="shared" si="20"/>
        <v>74951</v>
      </c>
      <c r="C380" s="147">
        <v>9295</v>
      </c>
      <c r="D380" s="147">
        <v>60279</v>
      </c>
      <c r="E380" s="147">
        <v>5377</v>
      </c>
      <c r="F380" s="147"/>
      <c r="G380" s="147">
        <f t="shared" si="21"/>
        <v>532940</v>
      </c>
      <c r="H380" s="147">
        <v>69433</v>
      </c>
      <c r="I380" s="147">
        <v>263226</v>
      </c>
      <c r="J380" s="147">
        <v>200281</v>
      </c>
    </row>
    <row r="381" spans="1:10" s="136" customFormat="1" ht="9" customHeight="1" x14ac:dyDescent="0.25">
      <c r="A381" s="141" t="s">
        <v>30</v>
      </c>
      <c r="B381" s="150">
        <f t="shared" si="20"/>
        <v>372127</v>
      </c>
      <c r="C381" s="150">
        <v>77084</v>
      </c>
      <c r="D381" s="150">
        <v>256779</v>
      </c>
      <c r="E381" s="150">
        <v>38264</v>
      </c>
      <c r="F381" s="150"/>
      <c r="G381" s="150">
        <f t="shared" si="21"/>
        <v>3858507</v>
      </c>
      <c r="H381" s="150">
        <v>615697</v>
      </c>
      <c r="I381" s="150">
        <v>1822765</v>
      </c>
      <c r="J381" s="150">
        <v>1420045</v>
      </c>
    </row>
    <row r="382" spans="1:10" s="136" customFormat="1" ht="9" customHeight="1" x14ac:dyDescent="0.25">
      <c r="A382" s="140" t="s">
        <v>144</v>
      </c>
      <c r="B382" s="147">
        <f t="shared" si="20"/>
        <v>1184595</v>
      </c>
      <c r="C382" s="147">
        <v>205717</v>
      </c>
      <c r="D382" s="147">
        <v>925277</v>
      </c>
      <c r="E382" s="147">
        <v>53601</v>
      </c>
      <c r="F382" s="147"/>
      <c r="G382" s="147">
        <f t="shared" si="21"/>
        <v>8479314</v>
      </c>
      <c r="H382" s="147">
        <v>1379940</v>
      </c>
      <c r="I382" s="147">
        <v>5054744</v>
      </c>
      <c r="J382" s="147">
        <v>2044630</v>
      </c>
    </row>
    <row r="383" spans="1:10" s="136" customFormat="1" ht="9" customHeight="1" x14ac:dyDescent="0.25">
      <c r="A383" s="140" t="s">
        <v>31</v>
      </c>
      <c r="B383" s="147">
        <f t="shared" si="20"/>
        <v>96192</v>
      </c>
      <c r="C383" s="147">
        <v>24445</v>
      </c>
      <c r="D383" s="147">
        <v>65115</v>
      </c>
      <c r="E383" s="147">
        <v>6632</v>
      </c>
      <c r="F383" s="147"/>
      <c r="G383" s="147">
        <f t="shared" si="21"/>
        <v>849917</v>
      </c>
      <c r="H383" s="147">
        <v>171214</v>
      </c>
      <c r="I383" s="147">
        <v>428202</v>
      </c>
      <c r="J383" s="147">
        <v>250501</v>
      </c>
    </row>
    <row r="384" spans="1:10" s="136" customFormat="1" ht="9" customHeight="1" x14ac:dyDescent="0.25">
      <c r="A384" s="140" t="s">
        <v>32</v>
      </c>
      <c r="B384" s="147">
        <f t="shared" si="20"/>
        <v>282945</v>
      </c>
      <c r="C384" s="147">
        <v>62181</v>
      </c>
      <c r="D384" s="147">
        <v>198030</v>
      </c>
      <c r="E384" s="147">
        <v>22734</v>
      </c>
      <c r="F384" s="147"/>
      <c r="G384" s="147">
        <f t="shared" si="21"/>
        <v>2807278</v>
      </c>
      <c r="H384" s="147">
        <v>553313</v>
      </c>
      <c r="I384" s="147">
        <v>1389313</v>
      </c>
      <c r="J384" s="147">
        <v>864652</v>
      </c>
    </row>
    <row r="385" spans="1:10" s="136" customFormat="1" ht="9" customHeight="1" x14ac:dyDescent="0.25">
      <c r="A385" s="141" t="s">
        <v>33</v>
      </c>
      <c r="B385" s="150">
        <f t="shared" si="20"/>
        <v>84760</v>
      </c>
      <c r="C385" s="150">
        <v>12133</v>
      </c>
      <c r="D385" s="150">
        <v>67274</v>
      </c>
      <c r="E385" s="150">
        <v>5353</v>
      </c>
      <c r="F385" s="150"/>
      <c r="G385" s="150">
        <f t="shared" si="21"/>
        <v>636408</v>
      </c>
      <c r="H385" s="150">
        <v>85971</v>
      </c>
      <c r="I385" s="150">
        <v>348182</v>
      </c>
      <c r="J385" s="150">
        <v>202255</v>
      </c>
    </row>
    <row r="386" spans="1:10" s="136" customFormat="1" ht="9" customHeight="1" x14ac:dyDescent="0.25">
      <c r="A386" s="140" t="s">
        <v>34</v>
      </c>
      <c r="B386" s="147">
        <f t="shared" si="20"/>
        <v>99380</v>
      </c>
      <c r="C386" s="147">
        <v>22001</v>
      </c>
      <c r="D386" s="147">
        <v>70980</v>
      </c>
      <c r="E386" s="147">
        <v>6399</v>
      </c>
      <c r="F386" s="147"/>
      <c r="G386" s="147">
        <f t="shared" si="21"/>
        <v>793253</v>
      </c>
      <c r="H386" s="147">
        <v>160986</v>
      </c>
      <c r="I386" s="147">
        <v>394674</v>
      </c>
      <c r="J386" s="147">
        <v>237593</v>
      </c>
    </row>
    <row r="387" spans="1:10" s="136" customFormat="1" ht="9" customHeight="1" x14ac:dyDescent="0.25">
      <c r="A387" s="140" t="s">
        <v>35</v>
      </c>
      <c r="B387" s="147">
        <f t="shared" si="20"/>
        <v>709065</v>
      </c>
      <c r="C387" s="147">
        <v>147931</v>
      </c>
      <c r="D387" s="147">
        <v>514577</v>
      </c>
      <c r="E387" s="147">
        <v>46557</v>
      </c>
      <c r="F387" s="147"/>
      <c r="G387" s="147">
        <f t="shared" si="21"/>
        <v>6011324</v>
      </c>
      <c r="H387" s="147">
        <v>1037351</v>
      </c>
      <c r="I387" s="147">
        <v>3229743</v>
      </c>
      <c r="J387" s="147">
        <v>1744230</v>
      </c>
    </row>
    <row r="388" spans="1:10" s="136" customFormat="1" ht="9" customHeight="1" x14ac:dyDescent="0.25">
      <c r="A388" s="140" t="s">
        <v>145</v>
      </c>
      <c r="B388" s="147">
        <f t="shared" si="20"/>
        <v>929515</v>
      </c>
      <c r="C388" s="147">
        <v>225406</v>
      </c>
      <c r="D388" s="147">
        <v>653403</v>
      </c>
      <c r="E388" s="147">
        <v>50706</v>
      </c>
      <c r="F388" s="147"/>
      <c r="G388" s="147">
        <f t="shared" si="21"/>
        <v>6772999</v>
      </c>
      <c r="H388" s="147">
        <v>1443597</v>
      </c>
      <c r="I388" s="147">
        <v>3411567</v>
      </c>
      <c r="J388" s="147">
        <v>1917835</v>
      </c>
    </row>
    <row r="389" spans="1:10" s="136" customFormat="1" ht="9" customHeight="1" x14ac:dyDescent="0.25">
      <c r="A389" s="141" t="s">
        <v>129</v>
      </c>
      <c r="B389" s="150">
        <f t="shared" si="20"/>
        <v>193995</v>
      </c>
      <c r="C389" s="150">
        <v>31972</v>
      </c>
      <c r="D389" s="150">
        <v>150925</v>
      </c>
      <c r="E389" s="150">
        <v>11098</v>
      </c>
      <c r="F389" s="150"/>
      <c r="G389" s="150">
        <f t="shared" si="21"/>
        <v>1443265</v>
      </c>
      <c r="H389" s="150">
        <v>223801</v>
      </c>
      <c r="I389" s="150">
        <v>804350</v>
      </c>
      <c r="J389" s="150">
        <v>415114</v>
      </c>
    </row>
    <row r="390" spans="1:10" s="136" customFormat="1" ht="9" customHeight="1" x14ac:dyDescent="0.25">
      <c r="A390" s="140" t="s">
        <v>38</v>
      </c>
      <c r="B390" s="147">
        <f t="shared" si="20"/>
        <v>116585</v>
      </c>
      <c r="C390" s="147">
        <v>12039</v>
      </c>
      <c r="D390" s="147">
        <v>97711</v>
      </c>
      <c r="E390" s="147">
        <v>6835</v>
      </c>
      <c r="F390" s="147"/>
      <c r="G390" s="147">
        <f t="shared" si="21"/>
        <v>882418</v>
      </c>
      <c r="H390" s="147">
        <v>121050</v>
      </c>
      <c r="I390" s="147">
        <v>505340</v>
      </c>
      <c r="J390" s="147">
        <v>256028</v>
      </c>
    </row>
    <row r="391" spans="1:10" s="136" customFormat="1" ht="9" customHeight="1" x14ac:dyDescent="0.25">
      <c r="A391" s="140" t="s">
        <v>39</v>
      </c>
      <c r="B391" s="147">
        <f t="shared" si="20"/>
        <v>68310</v>
      </c>
      <c r="C391" s="147">
        <v>15034</v>
      </c>
      <c r="D391" s="147">
        <v>49351</v>
      </c>
      <c r="E391" s="147">
        <v>3925</v>
      </c>
      <c r="F391" s="147"/>
      <c r="G391" s="147">
        <f t="shared" si="21"/>
        <v>500855</v>
      </c>
      <c r="H391" s="147">
        <v>102308</v>
      </c>
      <c r="I391" s="147">
        <v>254187</v>
      </c>
      <c r="J391" s="147">
        <v>144360</v>
      </c>
    </row>
    <row r="392" spans="1:10" s="136" customFormat="1" ht="9" customHeight="1" x14ac:dyDescent="0.25">
      <c r="A392" s="140" t="s">
        <v>40</v>
      </c>
      <c r="B392" s="147">
        <f t="shared" si="20"/>
        <v>465905</v>
      </c>
      <c r="C392" s="147">
        <v>96108</v>
      </c>
      <c r="D392" s="147">
        <v>334874</v>
      </c>
      <c r="E392" s="147">
        <v>34923</v>
      </c>
      <c r="F392" s="147"/>
      <c r="G392" s="147">
        <f t="shared" si="21"/>
        <v>4388066</v>
      </c>
      <c r="H392" s="147">
        <v>790917</v>
      </c>
      <c r="I392" s="147">
        <v>2272766</v>
      </c>
      <c r="J392" s="147">
        <v>1324383</v>
      </c>
    </row>
    <row r="393" spans="1:10" s="136" customFormat="1" ht="9" customHeight="1" x14ac:dyDescent="0.25">
      <c r="A393" s="141" t="s">
        <v>41</v>
      </c>
      <c r="B393" s="150">
        <f t="shared" si="20"/>
        <v>83412</v>
      </c>
      <c r="C393" s="150">
        <v>11832</v>
      </c>
      <c r="D393" s="150">
        <v>65408</v>
      </c>
      <c r="E393" s="150">
        <v>6172</v>
      </c>
      <c r="F393" s="150"/>
      <c r="G393" s="150">
        <f t="shared" si="21"/>
        <v>655809</v>
      </c>
      <c r="H393" s="150">
        <v>85341</v>
      </c>
      <c r="I393" s="150">
        <v>331582</v>
      </c>
      <c r="J393" s="150">
        <v>238886</v>
      </c>
    </row>
    <row r="394" spans="1:10" s="136" customFormat="1" ht="9" customHeight="1" x14ac:dyDescent="0.25">
      <c r="A394" s="140" t="s">
        <v>42</v>
      </c>
      <c r="B394" s="147">
        <f t="shared" si="20"/>
        <v>220259</v>
      </c>
      <c r="C394" s="147">
        <v>39544</v>
      </c>
      <c r="D394" s="147">
        <v>165251</v>
      </c>
      <c r="E394" s="147">
        <v>15464</v>
      </c>
      <c r="F394" s="147"/>
      <c r="G394" s="147">
        <f t="shared" si="21"/>
        <v>1801471</v>
      </c>
      <c r="H394" s="147">
        <v>285263</v>
      </c>
      <c r="I394" s="147">
        <v>927337</v>
      </c>
      <c r="J394" s="147">
        <v>588871</v>
      </c>
    </row>
    <row r="395" spans="1:10" s="136" customFormat="1" ht="9" customHeight="1" x14ac:dyDescent="0.25">
      <c r="A395" s="140" t="s">
        <v>43</v>
      </c>
      <c r="B395" s="147">
        <f t="shared" si="20"/>
        <v>124432</v>
      </c>
      <c r="C395" s="147">
        <v>20974</v>
      </c>
      <c r="D395" s="147">
        <v>90743</v>
      </c>
      <c r="E395" s="147">
        <v>12715</v>
      </c>
      <c r="F395" s="147"/>
      <c r="G395" s="147">
        <f t="shared" si="21"/>
        <v>1128454</v>
      </c>
      <c r="H395" s="147">
        <v>157396</v>
      </c>
      <c r="I395" s="147">
        <v>492906</v>
      </c>
      <c r="J395" s="147">
        <v>478152</v>
      </c>
    </row>
    <row r="396" spans="1:10" s="136" customFormat="1" ht="9" customHeight="1" x14ac:dyDescent="0.25">
      <c r="A396" s="140" t="s">
        <v>44</v>
      </c>
      <c r="B396" s="147">
        <f t="shared" si="20"/>
        <v>140795</v>
      </c>
      <c r="C396" s="147">
        <v>19294</v>
      </c>
      <c r="D396" s="147">
        <v>110840</v>
      </c>
      <c r="E396" s="147">
        <v>10661</v>
      </c>
      <c r="F396" s="147"/>
      <c r="G396" s="147">
        <f t="shared" si="21"/>
        <v>1065368</v>
      </c>
      <c r="H396" s="147">
        <v>144670</v>
      </c>
      <c r="I396" s="147">
        <v>521848</v>
      </c>
      <c r="J396" s="147">
        <v>398850</v>
      </c>
    </row>
    <row r="397" spans="1:10" s="136" customFormat="1" ht="9" customHeight="1" x14ac:dyDescent="0.25">
      <c r="A397" s="141" t="s">
        <v>45</v>
      </c>
      <c r="B397" s="150">
        <f t="shared" si="20"/>
        <v>177317</v>
      </c>
      <c r="C397" s="150">
        <v>45321</v>
      </c>
      <c r="D397" s="150">
        <v>120880</v>
      </c>
      <c r="E397" s="150">
        <v>11116</v>
      </c>
      <c r="F397" s="150"/>
      <c r="G397" s="150">
        <f t="shared" si="21"/>
        <v>1405880</v>
      </c>
      <c r="H397" s="150">
        <v>305633</v>
      </c>
      <c r="I397" s="150">
        <v>690037</v>
      </c>
      <c r="J397" s="150">
        <v>410210</v>
      </c>
    </row>
    <row r="398" spans="1:10" s="136" customFormat="1" ht="9" customHeight="1" x14ac:dyDescent="0.25">
      <c r="A398" s="140" t="s">
        <v>46</v>
      </c>
      <c r="B398" s="147">
        <f t="shared" si="20"/>
        <v>209733</v>
      </c>
      <c r="C398" s="147">
        <v>44500</v>
      </c>
      <c r="D398" s="147">
        <v>150788</v>
      </c>
      <c r="E398" s="147">
        <v>14445</v>
      </c>
      <c r="F398" s="147"/>
      <c r="G398" s="147">
        <f t="shared" si="21"/>
        <v>1846682</v>
      </c>
      <c r="H398" s="147">
        <v>344340</v>
      </c>
      <c r="I398" s="147">
        <v>965367</v>
      </c>
      <c r="J398" s="147">
        <v>536975</v>
      </c>
    </row>
    <row r="399" spans="1:10" s="136" customFormat="1" ht="9" customHeight="1" x14ac:dyDescent="0.25">
      <c r="A399" s="140" t="s">
        <v>47</v>
      </c>
      <c r="B399" s="147">
        <f t="shared" si="20"/>
        <v>299452</v>
      </c>
      <c r="C399" s="147">
        <v>69077</v>
      </c>
      <c r="D399" s="147">
        <v>208858</v>
      </c>
      <c r="E399" s="147">
        <v>21517</v>
      </c>
      <c r="F399" s="147"/>
      <c r="G399" s="147">
        <f t="shared" si="21"/>
        <v>2582955</v>
      </c>
      <c r="H399" s="147">
        <v>537770</v>
      </c>
      <c r="I399" s="147">
        <v>1262523</v>
      </c>
      <c r="J399" s="147">
        <v>782662</v>
      </c>
    </row>
    <row r="400" spans="1:10" s="136" customFormat="1" ht="9" customHeight="1" x14ac:dyDescent="0.25">
      <c r="A400" s="140" t="s">
        <v>48</v>
      </c>
      <c r="B400" s="147">
        <f t="shared" si="20"/>
        <v>74315</v>
      </c>
      <c r="C400" s="147">
        <v>10399</v>
      </c>
      <c r="D400" s="147">
        <v>59029</v>
      </c>
      <c r="E400" s="147">
        <v>4887</v>
      </c>
      <c r="F400" s="147"/>
      <c r="G400" s="147">
        <f t="shared" si="21"/>
        <v>506412</v>
      </c>
      <c r="H400" s="147">
        <v>71323</v>
      </c>
      <c r="I400" s="147">
        <v>252391</v>
      </c>
      <c r="J400" s="147">
        <v>182698</v>
      </c>
    </row>
    <row r="401" spans="1:10" s="136" customFormat="1" ht="9" customHeight="1" x14ac:dyDescent="0.25">
      <c r="A401" s="141" t="s">
        <v>49</v>
      </c>
      <c r="B401" s="150">
        <f t="shared" si="20"/>
        <v>330605</v>
      </c>
      <c r="C401" s="150">
        <v>55305</v>
      </c>
      <c r="D401" s="150">
        <v>243851</v>
      </c>
      <c r="E401" s="150">
        <v>31449</v>
      </c>
      <c r="F401" s="150"/>
      <c r="G401" s="150">
        <f t="shared" si="21"/>
        <v>3000860</v>
      </c>
      <c r="H401" s="150">
        <v>429532</v>
      </c>
      <c r="I401" s="150">
        <v>1401023</v>
      </c>
      <c r="J401" s="150">
        <v>1170305</v>
      </c>
    </row>
    <row r="402" spans="1:10" s="136" customFormat="1" ht="9" customHeight="1" x14ac:dyDescent="0.25">
      <c r="A402" s="140" t="s">
        <v>50</v>
      </c>
      <c r="B402" s="147">
        <f t="shared" si="20"/>
        <v>33813</v>
      </c>
      <c r="C402" s="147">
        <v>4874</v>
      </c>
      <c r="D402" s="147">
        <v>25637</v>
      </c>
      <c r="E402" s="147">
        <v>3302</v>
      </c>
      <c r="F402" s="147"/>
      <c r="G402" s="147">
        <f t="shared" si="21"/>
        <v>328409</v>
      </c>
      <c r="H402" s="147">
        <v>46591</v>
      </c>
      <c r="I402" s="147">
        <v>158269</v>
      </c>
      <c r="J402" s="147">
        <v>123549</v>
      </c>
    </row>
    <row r="403" spans="1:10" s="136" customFormat="1" ht="9" customHeight="1" x14ac:dyDescent="0.25">
      <c r="A403" s="140" t="s">
        <v>146</v>
      </c>
      <c r="B403" s="147">
        <f t="shared" si="20"/>
        <v>333727</v>
      </c>
      <c r="C403" s="147">
        <v>45621</v>
      </c>
      <c r="D403" s="147">
        <v>268440</v>
      </c>
      <c r="E403" s="147">
        <v>19666</v>
      </c>
      <c r="F403" s="147"/>
      <c r="G403" s="147">
        <f t="shared" si="21"/>
        <v>2568227</v>
      </c>
      <c r="H403" s="147">
        <v>374464</v>
      </c>
      <c r="I403" s="147">
        <v>1446558</v>
      </c>
      <c r="J403" s="147">
        <v>747205</v>
      </c>
    </row>
    <row r="404" spans="1:10" s="136" customFormat="1" ht="9" customHeight="1" x14ac:dyDescent="0.25">
      <c r="A404" s="140" t="s">
        <v>52</v>
      </c>
      <c r="B404" s="147">
        <f t="shared" si="20"/>
        <v>152859</v>
      </c>
      <c r="C404" s="147">
        <v>16627</v>
      </c>
      <c r="D404" s="147">
        <v>127508</v>
      </c>
      <c r="E404" s="147">
        <v>8724</v>
      </c>
      <c r="F404" s="147"/>
      <c r="G404" s="147">
        <f t="shared" si="21"/>
        <v>1032856</v>
      </c>
      <c r="H404" s="147">
        <v>144844</v>
      </c>
      <c r="I404" s="147">
        <v>556618</v>
      </c>
      <c r="J404" s="147">
        <v>331394</v>
      </c>
    </row>
    <row r="405" spans="1:10" s="136" customFormat="1" ht="9" customHeight="1" x14ac:dyDescent="0.25">
      <c r="A405" s="141" t="s">
        <v>53</v>
      </c>
      <c r="B405" s="150">
        <f t="shared" si="20"/>
        <v>72538</v>
      </c>
      <c r="C405" s="150">
        <v>14880</v>
      </c>
      <c r="D405" s="150">
        <v>52951</v>
      </c>
      <c r="E405" s="150">
        <v>4707</v>
      </c>
      <c r="F405" s="150"/>
      <c r="G405" s="150">
        <f t="shared" si="21"/>
        <v>581125</v>
      </c>
      <c r="H405" s="150">
        <v>101798</v>
      </c>
      <c r="I405" s="150">
        <v>309512</v>
      </c>
      <c r="J405" s="150">
        <v>169815</v>
      </c>
    </row>
    <row r="406" spans="1:10" ht="8.25" customHeight="1" x14ac:dyDescent="0.25">
      <c r="A406" s="175"/>
      <c r="B406" s="175"/>
      <c r="C406" s="175"/>
      <c r="D406" s="175"/>
      <c r="E406" s="175"/>
      <c r="F406" s="175"/>
      <c r="G406" s="175"/>
      <c r="H406" s="175"/>
      <c r="I406" s="175"/>
      <c r="J406" s="175"/>
    </row>
    <row r="407" spans="1:10" s="136" customFormat="1" ht="9" customHeight="1" x14ac:dyDescent="0.25">
      <c r="A407" s="177">
        <v>2008</v>
      </c>
      <c r="B407" s="147"/>
      <c r="C407" s="140"/>
      <c r="D407" s="140"/>
      <c r="E407" s="140"/>
      <c r="F407" s="147"/>
      <c r="G407" s="147"/>
      <c r="H407" s="140"/>
      <c r="I407" s="140"/>
      <c r="J407" s="140"/>
    </row>
    <row r="408" spans="1:10" s="136" customFormat="1" ht="9" customHeight="1" x14ac:dyDescent="0.25">
      <c r="A408" s="138" t="s">
        <v>13</v>
      </c>
      <c r="B408" s="148">
        <f>SUM(B410:B441)</f>
        <v>7989093</v>
      </c>
      <c r="C408" s="148">
        <f>SUM(C410:C441)</f>
        <v>1627806</v>
      </c>
      <c r="D408" s="148">
        <f>SUM(D410:D441)</f>
        <v>5819116</v>
      </c>
      <c r="E408" s="148">
        <f>SUM(E410:E441)</f>
        <v>542171</v>
      </c>
      <c r="F408" s="148"/>
      <c r="G408" s="148">
        <f>SUM(G410:G441)</f>
        <v>67234966</v>
      </c>
      <c r="H408" s="148">
        <f>SUM(H410:H441)</f>
        <v>11918991</v>
      </c>
      <c r="I408" s="148">
        <f>SUM(I410:I441)</f>
        <v>34880488</v>
      </c>
      <c r="J408" s="148">
        <f>SUM(J410:J441)</f>
        <v>20435487</v>
      </c>
    </row>
    <row r="409" spans="1:10" s="136" customFormat="1" ht="3" customHeight="1" x14ac:dyDescent="0.25">
      <c r="A409" s="138"/>
      <c r="B409" s="148"/>
      <c r="C409" s="148"/>
      <c r="D409" s="148"/>
      <c r="E409" s="148"/>
      <c r="F409" s="148"/>
      <c r="G409" s="148"/>
      <c r="H409" s="148"/>
      <c r="I409" s="148"/>
      <c r="J409" s="148"/>
    </row>
    <row r="410" spans="1:10" s="136" customFormat="1" ht="9" customHeight="1" x14ac:dyDescent="0.25">
      <c r="A410" s="140" t="s">
        <v>23</v>
      </c>
      <c r="B410" s="147">
        <f t="shared" ref="B410:B441" si="22">SUM(C410,D410,E410)</f>
        <v>131728</v>
      </c>
      <c r="C410" s="147">
        <v>23551</v>
      </c>
      <c r="D410" s="147">
        <v>99034</v>
      </c>
      <c r="E410" s="147">
        <v>9143</v>
      </c>
      <c r="F410" s="147"/>
      <c r="G410" s="147">
        <f t="shared" ref="G410:G441" si="23">SUM(H410,I410,J410)</f>
        <v>1113960</v>
      </c>
      <c r="H410" s="147">
        <v>168011</v>
      </c>
      <c r="I410" s="147">
        <v>616340</v>
      </c>
      <c r="J410" s="147">
        <v>329609</v>
      </c>
    </row>
    <row r="411" spans="1:10" s="136" customFormat="1" ht="9" customHeight="1" x14ac:dyDescent="0.25">
      <c r="A411" s="140" t="s">
        <v>24</v>
      </c>
      <c r="B411" s="147">
        <f t="shared" si="22"/>
        <v>398423</v>
      </c>
      <c r="C411" s="147">
        <v>93638</v>
      </c>
      <c r="D411" s="147">
        <v>268354</v>
      </c>
      <c r="E411" s="147">
        <v>36431</v>
      </c>
      <c r="F411" s="147"/>
      <c r="G411" s="147">
        <f t="shared" si="23"/>
        <v>3904412</v>
      </c>
      <c r="H411" s="147">
        <v>668707</v>
      </c>
      <c r="I411" s="147">
        <v>1884142</v>
      </c>
      <c r="J411" s="147">
        <v>1351563</v>
      </c>
    </row>
    <row r="412" spans="1:10" s="136" customFormat="1" ht="9" customHeight="1" x14ac:dyDescent="0.25">
      <c r="A412" s="140" t="s">
        <v>25</v>
      </c>
      <c r="B412" s="147">
        <f t="shared" si="22"/>
        <v>82323</v>
      </c>
      <c r="C412" s="147">
        <v>17274</v>
      </c>
      <c r="D412" s="147">
        <v>59058</v>
      </c>
      <c r="E412" s="147">
        <v>5991</v>
      </c>
      <c r="F412" s="147"/>
      <c r="G412" s="147">
        <f t="shared" si="23"/>
        <v>610219</v>
      </c>
      <c r="H412" s="147">
        <v>106564</v>
      </c>
      <c r="I412" s="147">
        <v>278470</v>
      </c>
      <c r="J412" s="147">
        <v>225185</v>
      </c>
    </row>
    <row r="413" spans="1:10" s="136" customFormat="1" ht="9" customHeight="1" x14ac:dyDescent="0.25">
      <c r="A413" s="141" t="s">
        <v>26</v>
      </c>
      <c r="B413" s="150">
        <f t="shared" si="22"/>
        <v>62866</v>
      </c>
      <c r="C413" s="150">
        <v>8098</v>
      </c>
      <c r="D413" s="150">
        <v>51385</v>
      </c>
      <c r="E413" s="150">
        <v>3383</v>
      </c>
      <c r="F413" s="150"/>
      <c r="G413" s="150">
        <f t="shared" si="23"/>
        <v>443373</v>
      </c>
      <c r="H413" s="150">
        <v>60470</v>
      </c>
      <c r="I413" s="150">
        <v>250729</v>
      </c>
      <c r="J413" s="150">
        <v>132174</v>
      </c>
    </row>
    <row r="414" spans="1:10" s="136" customFormat="1" ht="9" customHeight="1" x14ac:dyDescent="0.25">
      <c r="A414" s="140" t="s">
        <v>126</v>
      </c>
      <c r="B414" s="147">
        <f t="shared" si="22"/>
        <v>303938</v>
      </c>
      <c r="C414" s="147">
        <v>60573</v>
      </c>
      <c r="D414" s="147">
        <v>221851</v>
      </c>
      <c r="E414" s="147">
        <v>21514</v>
      </c>
      <c r="F414" s="147"/>
      <c r="G414" s="147">
        <f t="shared" si="23"/>
        <v>2558729</v>
      </c>
      <c r="H414" s="147">
        <v>405028</v>
      </c>
      <c r="I414" s="147">
        <v>1358483</v>
      </c>
      <c r="J414" s="147">
        <v>795218</v>
      </c>
    </row>
    <row r="415" spans="1:10" s="136" customFormat="1" ht="9" customHeight="1" x14ac:dyDescent="0.25">
      <c r="A415" s="140" t="s">
        <v>28</v>
      </c>
      <c r="B415" s="147">
        <f t="shared" si="22"/>
        <v>67463</v>
      </c>
      <c r="C415" s="147">
        <v>11933</v>
      </c>
      <c r="D415" s="147">
        <v>51645</v>
      </c>
      <c r="E415" s="147">
        <v>3885</v>
      </c>
      <c r="F415" s="147"/>
      <c r="G415" s="147">
        <f t="shared" si="23"/>
        <v>512688</v>
      </c>
      <c r="H415" s="147">
        <v>86501</v>
      </c>
      <c r="I415" s="147">
        <v>279989</v>
      </c>
      <c r="J415" s="147">
        <v>146198</v>
      </c>
    </row>
    <row r="416" spans="1:10" s="136" customFormat="1" ht="9" customHeight="1" x14ac:dyDescent="0.25">
      <c r="A416" s="140" t="s">
        <v>29</v>
      </c>
      <c r="B416" s="147">
        <f t="shared" si="22"/>
        <v>77254</v>
      </c>
      <c r="C416" s="147">
        <v>9339</v>
      </c>
      <c r="D416" s="147">
        <v>62209</v>
      </c>
      <c r="E416" s="147">
        <v>5706</v>
      </c>
      <c r="F416" s="147"/>
      <c r="G416" s="147">
        <f t="shared" si="23"/>
        <v>557167</v>
      </c>
      <c r="H416" s="147">
        <v>67969</v>
      </c>
      <c r="I416" s="147">
        <v>272938</v>
      </c>
      <c r="J416" s="147">
        <v>216260</v>
      </c>
    </row>
    <row r="417" spans="1:10" s="136" customFormat="1" ht="9" customHeight="1" x14ac:dyDescent="0.25">
      <c r="A417" s="141" t="s">
        <v>30</v>
      </c>
      <c r="B417" s="150">
        <f t="shared" si="22"/>
        <v>373122</v>
      </c>
      <c r="C417" s="150">
        <v>78565</v>
      </c>
      <c r="D417" s="150">
        <v>258320</v>
      </c>
      <c r="E417" s="150">
        <v>36237</v>
      </c>
      <c r="F417" s="150"/>
      <c r="G417" s="150">
        <f t="shared" si="23"/>
        <v>3951137</v>
      </c>
      <c r="H417" s="150">
        <v>676657</v>
      </c>
      <c r="I417" s="150">
        <v>1923033</v>
      </c>
      <c r="J417" s="150">
        <v>1351447</v>
      </c>
    </row>
    <row r="418" spans="1:10" s="136" customFormat="1" ht="9" customHeight="1" x14ac:dyDescent="0.25">
      <c r="A418" s="140" t="s">
        <v>144</v>
      </c>
      <c r="B418" s="147">
        <f t="shared" si="22"/>
        <v>1108017</v>
      </c>
      <c r="C418" s="147">
        <v>205449</v>
      </c>
      <c r="D418" s="147">
        <v>849539</v>
      </c>
      <c r="E418" s="147">
        <v>53029</v>
      </c>
      <c r="F418" s="147"/>
      <c r="G418" s="147">
        <f t="shared" si="23"/>
        <v>8251376</v>
      </c>
      <c r="H418" s="147">
        <v>1361399</v>
      </c>
      <c r="I418" s="147">
        <v>4849098</v>
      </c>
      <c r="J418" s="147">
        <v>2040879</v>
      </c>
    </row>
    <row r="419" spans="1:10" s="136" customFormat="1" ht="9" customHeight="1" x14ac:dyDescent="0.25">
      <c r="A419" s="140" t="s">
        <v>31</v>
      </c>
      <c r="B419" s="147">
        <f t="shared" si="22"/>
        <v>93758</v>
      </c>
      <c r="C419" s="147">
        <v>23914</v>
      </c>
      <c r="D419" s="147">
        <v>62787</v>
      </c>
      <c r="E419" s="147">
        <v>7057</v>
      </c>
      <c r="F419" s="147"/>
      <c r="G419" s="147">
        <f t="shared" si="23"/>
        <v>872358</v>
      </c>
      <c r="H419" s="147">
        <v>175205</v>
      </c>
      <c r="I419" s="147">
        <v>430442</v>
      </c>
      <c r="J419" s="147">
        <v>266711</v>
      </c>
    </row>
    <row r="420" spans="1:10" s="136" customFormat="1" ht="9" customHeight="1" x14ac:dyDescent="0.25">
      <c r="A420" s="140" t="s">
        <v>32</v>
      </c>
      <c r="B420" s="147">
        <f t="shared" si="22"/>
        <v>281698</v>
      </c>
      <c r="C420" s="147">
        <v>64436</v>
      </c>
      <c r="D420" s="147">
        <v>193475</v>
      </c>
      <c r="E420" s="147">
        <v>23787</v>
      </c>
      <c r="F420" s="147"/>
      <c r="G420" s="147">
        <f t="shared" si="23"/>
        <v>2845283</v>
      </c>
      <c r="H420" s="147">
        <v>575548</v>
      </c>
      <c r="I420" s="147">
        <v>1361578</v>
      </c>
      <c r="J420" s="147">
        <v>908157</v>
      </c>
    </row>
    <row r="421" spans="1:10" s="136" customFormat="1" ht="9" customHeight="1" x14ac:dyDescent="0.25">
      <c r="A421" s="141" t="s">
        <v>33</v>
      </c>
      <c r="B421" s="150">
        <f t="shared" si="22"/>
        <v>85471</v>
      </c>
      <c r="C421" s="150">
        <v>13749</v>
      </c>
      <c r="D421" s="150">
        <v>65891</v>
      </c>
      <c r="E421" s="150">
        <v>5831</v>
      </c>
      <c r="F421" s="150"/>
      <c r="G421" s="150">
        <f t="shared" si="23"/>
        <v>675173</v>
      </c>
      <c r="H421" s="150">
        <v>94490</v>
      </c>
      <c r="I421" s="150">
        <v>358514</v>
      </c>
      <c r="J421" s="150">
        <v>222169</v>
      </c>
    </row>
    <row r="422" spans="1:10" s="136" customFormat="1" ht="9" customHeight="1" x14ac:dyDescent="0.25">
      <c r="A422" s="140" t="s">
        <v>34</v>
      </c>
      <c r="B422" s="147">
        <f t="shared" si="22"/>
        <v>100686</v>
      </c>
      <c r="C422" s="147">
        <v>23362</v>
      </c>
      <c r="D422" s="147">
        <v>70851</v>
      </c>
      <c r="E422" s="147">
        <v>6473</v>
      </c>
      <c r="F422" s="147"/>
      <c r="G422" s="147">
        <f t="shared" si="23"/>
        <v>835245</v>
      </c>
      <c r="H422" s="147">
        <v>176755</v>
      </c>
      <c r="I422" s="147">
        <v>412380</v>
      </c>
      <c r="J422" s="147">
        <v>246110</v>
      </c>
    </row>
    <row r="423" spans="1:10" s="136" customFormat="1" ht="9" customHeight="1" x14ac:dyDescent="0.25">
      <c r="A423" s="140" t="s">
        <v>35</v>
      </c>
      <c r="B423" s="147">
        <f t="shared" si="22"/>
        <v>736145</v>
      </c>
      <c r="C423" s="147">
        <v>163204</v>
      </c>
      <c r="D423" s="147">
        <v>526415</v>
      </c>
      <c r="E423" s="147">
        <v>46526</v>
      </c>
      <c r="F423" s="147"/>
      <c r="G423" s="147">
        <f t="shared" si="23"/>
        <v>6239038</v>
      </c>
      <c r="H423" s="147">
        <v>1151419</v>
      </c>
      <c r="I423" s="147">
        <v>3335713</v>
      </c>
      <c r="J423" s="147">
        <v>1751906</v>
      </c>
    </row>
    <row r="424" spans="1:10" s="136" customFormat="1" ht="9" customHeight="1" x14ac:dyDescent="0.25">
      <c r="A424" s="140" t="s">
        <v>145</v>
      </c>
      <c r="B424" s="147">
        <f t="shared" si="22"/>
        <v>931770</v>
      </c>
      <c r="C424" s="147">
        <v>234355</v>
      </c>
      <c r="D424" s="147">
        <v>646879</v>
      </c>
      <c r="E424" s="147">
        <v>50536</v>
      </c>
      <c r="F424" s="147"/>
      <c r="G424" s="147">
        <f t="shared" si="23"/>
        <v>6965979</v>
      </c>
      <c r="H424" s="147">
        <v>1523211</v>
      </c>
      <c r="I424" s="147">
        <v>3527814</v>
      </c>
      <c r="J424" s="147">
        <v>1914954</v>
      </c>
    </row>
    <row r="425" spans="1:10" s="136" customFormat="1" ht="9" customHeight="1" x14ac:dyDescent="0.25">
      <c r="A425" s="141" t="s">
        <v>129</v>
      </c>
      <c r="B425" s="150">
        <f t="shared" si="22"/>
        <v>203642</v>
      </c>
      <c r="C425" s="150">
        <v>37143</v>
      </c>
      <c r="D425" s="150">
        <v>154808</v>
      </c>
      <c r="E425" s="150">
        <v>11691</v>
      </c>
      <c r="F425" s="150"/>
      <c r="G425" s="150">
        <f t="shared" si="23"/>
        <v>1568648</v>
      </c>
      <c r="H425" s="150">
        <v>263254</v>
      </c>
      <c r="I425" s="150">
        <v>859506</v>
      </c>
      <c r="J425" s="150">
        <v>445888</v>
      </c>
    </row>
    <row r="426" spans="1:10" s="136" customFormat="1" ht="9" customHeight="1" x14ac:dyDescent="0.25">
      <c r="A426" s="140" t="s">
        <v>38</v>
      </c>
      <c r="B426" s="147">
        <f t="shared" si="22"/>
        <v>120366</v>
      </c>
      <c r="C426" s="147">
        <v>12519</v>
      </c>
      <c r="D426" s="147">
        <v>101140</v>
      </c>
      <c r="E426" s="147">
        <v>6707</v>
      </c>
      <c r="F426" s="147"/>
      <c r="G426" s="147">
        <f t="shared" si="23"/>
        <v>927208</v>
      </c>
      <c r="H426" s="147">
        <v>147632</v>
      </c>
      <c r="I426" s="147">
        <v>525688</v>
      </c>
      <c r="J426" s="147">
        <v>253888</v>
      </c>
    </row>
    <row r="427" spans="1:10" s="136" customFormat="1" ht="9" customHeight="1" x14ac:dyDescent="0.25">
      <c r="A427" s="140" t="s">
        <v>39</v>
      </c>
      <c r="B427" s="147">
        <f t="shared" si="22"/>
        <v>71300</v>
      </c>
      <c r="C427" s="147">
        <v>16207</v>
      </c>
      <c r="D427" s="147">
        <v>51174</v>
      </c>
      <c r="E427" s="147">
        <v>3919</v>
      </c>
      <c r="F427" s="147"/>
      <c r="G427" s="147">
        <f t="shared" si="23"/>
        <v>539294</v>
      </c>
      <c r="H427" s="147">
        <v>114070</v>
      </c>
      <c r="I427" s="147">
        <v>278497</v>
      </c>
      <c r="J427" s="147">
        <v>146727</v>
      </c>
    </row>
    <row r="428" spans="1:10" s="136" customFormat="1" ht="9" customHeight="1" x14ac:dyDescent="0.25">
      <c r="A428" s="140" t="s">
        <v>40</v>
      </c>
      <c r="B428" s="147">
        <f t="shared" si="22"/>
        <v>453008</v>
      </c>
      <c r="C428" s="147">
        <v>95699</v>
      </c>
      <c r="D428" s="147">
        <v>321510</v>
      </c>
      <c r="E428" s="147">
        <v>35799</v>
      </c>
      <c r="F428" s="147"/>
      <c r="G428" s="147">
        <f t="shared" si="23"/>
        <v>4460951</v>
      </c>
      <c r="H428" s="147">
        <v>803316</v>
      </c>
      <c r="I428" s="147">
        <v>2299656</v>
      </c>
      <c r="J428" s="147">
        <v>1357979</v>
      </c>
    </row>
    <row r="429" spans="1:10" s="136" customFormat="1" ht="9" customHeight="1" x14ac:dyDescent="0.25">
      <c r="A429" s="141" t="s">
        <v>41</v>
      </c>
      <c r="B429" s="150">
        <f t="shared" si="22"/>
        <v>83959</v>
      </c>
      <c r="C429" s="150">
        <v>13754</v>
      </c>
      <c r="D429" s="150">
        <v>64162</v>
      </c>
      <c r="E429" s="150">
        <v>6043</v>
      </c>
      <c r="F429" s="150"/>
      <c r="G429" s="150">
        <f t="shared" si="23"/>
        <v>676137</v>
      </c>
      <c r="H429" s="150">
        <v>99445</v>
      </c>
      <c r="I429" s="150">
        <v>343296</v>
      </c>
      <c r="J429" s="150">
        <v>233396</v>
      </c>
    </row>
    <row r="430" spans="1:10" s="136" customFormat="1" ht="9" customHeight="1" x14ac:dyDescent="0.25">
      <c r="A430" s="140" t="s">
        <v>42</v>
      </c>
      <c r="B430" s="147">
        <f t="shared" si="22"/>
        <v>227965</v>
      </c>
      <c r="C430" s="147">
        <v>46920</v>
      </c>
      <c r="D430" s="147">
        <v>165604</v>
      </c>
      <c r="E430" s="147">
        <v>15441</v>
      </c>
      <c r="F430" s="147"/>
      <c r="G430" s="147">
        <f t="shared" si="23"/>
        <v>1876109</v>
      </c>
      <c r="H430" s="147">
        <v>321447</v>
      </c>
      <c r="I430" s="147">
        <v>962064</v>
      </c>
      <c r="J430" s="147">
        <v>592598</v>
      </c>
    </row>
    <row r="431" spans="1:10" s="136" customFormat="1" ht="9" customHeight="1" x14ac:dyDescent="0.25">
      <c r="A431" s="140" t="s">
        <v>43</v>
      </c>
      <c r="B431" s="147">
        <f t="shared" si="22"/>
        <v>129459</v>
      </c>
      <c r="C431" s="147">
        <v>22619</v>
      </c>
      <c r="D431" s="147">
        <v>93803</v>
      </c>
      <c r="E431" s="147">
        <v>13037</v>
      </c>
      <c r="F431" s="147"/>
      <c r="G431" s="147">
        <f t="shared" si="23"/>
        <v>1165520</v>
      </c>
      <c r="H431" s="147">
        <v>157860</v>
      </c>
      <c r="I431" s="147">
        <v>510873</v>
      </c>
      <c r="J431" s="147">
        <v>496787</v>
      </c>
    </row>
    <row r="432" spans="1:10" s="136" customFormat="1" ht="9" customHeight="1" x14ac:dyDescent="0.25">
      <c r="A432" s="140" t="s">
        <v>44</v>
      </c>
      <c r="B432" s="147">
        <f t="shared" si="22"/>
        <v>146188</v>
      </c>
      <c r="C432" s="147">
        <v>21604</v>
      </c>
      <c r="D432" s="147">
        <v>111982</v>
      </c>
      <c r="E432" s="147">
        <v>12602</v>
      </c>
      <c r="F432" s="147"/>
      <c r="G432" s="147">
        <f t="shared" si="23"/>
        <v>1175628</v>
      </c>
      <c r="H432" s="147">
        <v>152178</v>
      </c>
      <c r="I432" s="147">
        <v>550857</v>
      </c>
      <c r="J432" s="147">
        <v>472593</v>
      </c>
    </row>
    <row r="433" spans="1:10" s="136" customFormat="1" ht="9" customHeight="1" x14ac:dyDescent="0.25">
      <c r="A433" s="141" t="s">
        <v>45</v>
      </c>
      <c r="B433" s="150">
        <f t="shared" si="22"/>
        <v>162286</v>
      </c>
      <c r="C433" s="150">
        <v>40797</v>
      </c>
      <c r="D433" s="150">
        <v>110288</v>
      </c>
      <c r="E433" s="150">
        <v>11201</v>
      </c>
      <c r="F433" s="150"/>
      <c r="G433" s="150">
        <f t="shared" si="23"/>
        <v>1412949</v>
      </c>
      <c r="H433" s="150">
        <v>297061</v>
      </c>
      <c r="I433" s="150">
        <v>696843</v>
      </c>
      <c r="J433" s="150">
        <v>419045</v>
      </c>
    </row>
    <row r="434" spans="1:10" s="136" customFormat="1" ht="9" customHeight="1" x14ac:dyDescent="0.25">
      <c r="A434" s="140" t="s">
        <v>46</v>
      </c>
      <c r="B434" s="147">
        <f t="shared" si="22"/>
        <v>228304</v>
      </c>
      <c r="C434" s="147">
        <v>53436</v>
      </c>
      <c r="D434" s="147">
        <v>159378</v>
      </c>
      <c r="E434" s="147">
        <v>15490</v>
      </c>
      <c r="F434" s="147"/>
      <c r="G434" s="147">
        <f t="shared" si="23"/>
        <v>1984091</v>
      </c>
      <c r="H434" s="147">
        <v>389389</v>
      </c>
      <c r="I434" s="147">
        <v>1017042</v>
      </c>
      <c r="J434" s="147">
        <v>577660</v>
      </c>
    </row>
    <row r="435" spans="1:10" s="136" customFormat="1" ht="9" customHeight="1" x14ac:dyDescent="0.25">
      <c r="A435" s="140" t="s">
        <v>47</v>
      </c>
      <c r="B435" s="147">
        <f t="shared" si="22"/>
        <v>321171</v>
      </c>
      <c r="C435" s="147">
        <v>77006</v>
      </c>
      <c r="D435" s="147">
        <v>223152</v>
      </c>
      <c r="E435" s="147">
        <v>21013</v>
      </c>
      <c r="F435" s="147"/>
      <c r="G435" s="147">
        <f t="shared" si="23"/>
        <v>2759199</v>
      </c>
      <c r="H435" s="147">
        <v>609579</v>
      </c>
      <c r="I435" s="147">
        <v>1381348</v>
      </c>
      <c r="J435" s="147">
        <v>768272</v>
      </c>
    </row>
    <row r="436" spans="1:10" s="136" customFormat="1" ht="9" customHeight="1" x14ac:dyDescent="0.25">
      <c r="A436" s="140" t="s">
        <v>48</v>
      </c>
      <c r="B436" s="147">
        <f t="shared" si="22"/>
        <v>81607</v>
      </c>
      <c r="C436" s="147">
        <v>11911</v>
      </c>
      <c r="D436" s="147">
        <v>64695</v>
      </c>
      <c r="E436" s="147">
        <v>5001</v>
      </c>
      <c r="F436" s="147"/>
      <c r="G436" s="147">
        <f t="shared" si="23"/>
        <v>560406</v>
      </c>
      <c r="H436" s="147">
        <v>86509</v>
      </c>
      <c r="I436" s="147">
        <v>284039</v>
      </c>
      <c r="J436" s="147">
        <v>189858</v>
      </c>
    </row>
    <row r="437" spans="1:10" s="136" customFormat="1" ht="9" customHeight="1" x14ac:dyDescent="0.25">
      <c r="A437" s="141" t="s">
        <v>49</v>
      </c>
      <c r="B437" s="150">
        <f t="shared" si="22"/>
        <v>323657</v>
      </c>
      <c r="C437" s="150">
        <v>53344</v>
      </c>
      <c r="D437" s="150">
        <v>238887</v>
      </c>
      <c r="E437" s="150">
        <v>31426</v>
      </c>
      <c r="F437" s="150"/>
      <c r="G437" s="150">
        <f t="shared" si="23"/>
        <v>3082009</v>
      </c>
      <c r="H437" s="150">
        <v>435176</v>
      </c>
      <c r="I437" s="150">
        <v>1474282</v>
      </c>
      <c r="J437" s="150">
        <v>1172551</v>
      </c>
    </row>
    <row r="438" spans="1:10" s="136" customFormat="1" ht="9" customHeight="1" x14ac:dyDescent="0.25">
      <c r="A438" s="140" t="s">
        <v>50</v>
      </c>
      <c r="B438" s="147">
        <f t="shared" si="22"/>
        <v>33456</v>
      </c>
      <c r="C438" s="147">
        <v>5399</v>
      </c>
      <c r="D438" s="147">
        <v>24895</v>
      </c>
      <c r="E438" s="147">
        <v>3162</v>
      </c>
      <c r="F438" s="147"/>
      <c r="G438" s="147">
        <f t="shared" si="23"/>
        <v>327419</v>
      </c>
      <c r="H438" s="147">
        <v>47254</v>
      </c>
      <c r="I438" s="147">
        <v>160827</v>
      </c>
      <c r="J438" s="147">
        <v>119338</v>
      </c>
    </row>
    <row r="439" spans="1:10" s="136" customFormat="1" ht="9" customHeight="1" x14ac:dyDescent="0.25">
      <c r="A439" s="140" t="s">
        <v>146</v>
      </c>
      <c r="B439" s="147">
        <f t="shared" si="22"/>
        <v>341147</v>
      </c>
      <c r="C439" s="147">
        <v>52563</v>
      </c>
      <c r="D439" s="147">
        <v>268366</v>
      </c>
      <c r="E439" s="147">
        <v>20218</v>
      </c>
      <c r="F439" s="147"/>
      <c r="G439" s="147">
        <f t="shared" si="23"/>
        <v>2703341</v>
      </c>
      <c r="H439" s="147">
        <v>420192</v>
      </c>
      <c r="I439" s="147">
        <v>1516004</v>
      </c>
      <c r="J439" s="147">
        <v>767145</v>
      </c>
    </row>
    <row r="440" spans="1:10" s="136" customFormat="1" ht="9" customHeight="1" x14ac:dyDescent="0.25">
      <c r="A440" s="140" t="s">
        <v>52</v>
      </c>
      <c r="B440" s="147">
        <f t="shared" si="22"/>
        <v>151174</v>
      </c>
      <c r="C440" s="147">
        <v>19941</v>
      </c>
      <c r="D440" s="147">
        <v>122267</v>
      </c>
      <c r="E440" s="147">
        <v>8966</v>
      </c>
      <c r="F440" s="147"/>
      <c r="G440" s="147">
        <f t="shared" si="23"/>
        <v>1072925</v>
      </c>
      <c r="H440" s="147">
        <v>165996</v>
      </c>
      <c r="I440" s="147">
        <v>561482</v>
      </c>
      <c r="J440" s="147">
        <v>345447</v>
      </c>
    </row>
    <row r="441" spans="1:10" s="136" customFormat="1" ht="9" customHeight="1" x14ac:dyDescent="0.25">
      <c r="A441" s="141" t="s">
        <v>53</v>
      </c>
      <c r="B441" s="150">
        <f t="shared" si="22"/>
        <v>75742</v>
      </c>
      <c r="C441" s="150">
        <v>15504</v>
      </c>
      <c r="D441" s="150">
        <v>55312</v>
      </c>
      <c r="E441" s="150">
        <v>4926</v>
      </c>
      <c r="F441" s="150"/>
      <c r="G441" s="150">
        <f t="shared" si="23"/>
        <v>606995</v>
      </c>
      <c r="H441" s="150">
        <v>110699</v>
      </c>
      <c r="I441" s="150">
        <v>318521</v>
      </c>
      <c r="J441" s="150">
        <v>177775</v>
      </c>
    </row>
    <row r="442" spans="1:10" ht="6" customHeight="1" x14ac:dyDescent="0.25">
      <c r="A442" s="175"/>
      <c r="B442" s="175"/>
      <c r="C442" s="175"/>
      <c r="D442" s="175"/>
      <c r="E442" s="175"/>
      <c r="F442" s="175"/>
      <c r="G442" s="175"/>
      <c r="H442" s="175"/>
      <c r="I442" s="175"/>
      <c r="J442" s="175"/>
    </row>
    <row r="443" spans="1:10" s="136" customFormat="1" ht="9" customHeight="1" x14ac:dyDescent="0.25">
      <c r="A443" s="177">
        <v>2009</v>
      </c>
      <c r="B443" s="147"/>
      <c r="C443" s="140"/>
      <c r="D443" s="140"/>
      <c r="E443" s="140"/>
      <c r="F443" s="147"/>
      <c r="G443" s="147"/>
      <c r="H443" s="140"/>
      <c r="I443" s="140"/>
      <c r="J443" s="140"/>
    </row>
    <row r="444" spans="1:10" s="136" customFormat="1" ht="9" customHeight="1" x14ac:dyDescent="0.25">
      <c r="A444" s="138" t="s">
        <v>13</v>
      </c>
      <c r="B444" s="148">
        <f>SUM(B446:B477)</f>
        <v>5258138</v>
      </c>
      <c r="C444" s="148">
        <f>SUM(C446:C477)</f>
        <v>1605011</v>
      </c>
      <c r="D444" s="148">
        <f>SUM(D446:D477)</f>
        <v>3188378</v>
      </c>
      <c r="E444" s="148">
        <f>SUM(E446:E477)</f>
        <v>464749</v>
      </c>
      <c r="F444" s="148"/>
      <c r="G444" s="148">
        <f>SUM(G446:G477)</f>
        <v>56273135</v>
      </c>
      <c r="H444" s="148">
        <f>SUM(H446:H477)</f>
        <v>11847124</v>
      </c>
      <c r="I444" s="148">
        <f>SUM(I446:I477)</f>
        <v>26866916</v>
      </c>
      <c r="J444" s="148">
        <f>SUM(J446:J477)</f>
        <v>17559095</v>
      </c>
    </row>
    <row r="445" spans="1:10" s="136" customFormat="1" ht="3" customHeight="1" x14ac:dyDescent="0.25">
      <c r="A445" s="138"/>
      <c r="B445" s="148"/>
      <c r="C445" s="148"/>
      <c r="D445" s="148"/>
      <c r="E445" s="148"/>
      <c r="F445" s="148"/>
      <c r="G445" s="148"/>
      <c r="H445" s="148"/>
      <c r="I445" s="148"/>
      <c r="J445" s="148"/>
    </row>
    <row r="446" spans="1:10" s="136" customFormat="1" ht="9" customHeight="1" x14ac:dyDescent="0.25">
      <c r="A446" s="140" t="s">
        <v>23</v>
      </c>
      <c r="B446" s="147">
        <f t="shared" ref="B446:B477" si="24">SUM(C446,D446,E446)</f>
        <v>78301</v>
      </c>
      <c r="C446" s="147">
        <v>23226</v>
      </c>
      <c r="D446" s="147">
        <v>47194</v>
      </c>
      <c r="E446" s="147">
        <v>7881</v>
      </c>
      <c r="F446" s="147"/>
      <c r="G446" s="147">
        <f t="shared" ref="G446:G477" si="25">SUM(H446,I446,J446)</f>
        <v>839647</v>
      </c>
      <c r="H446" s="147">
        <v>162363</v>
      </c>
      <c r="I446" s="147">
        <v>392842</v>
      </c>
      <c r="J446" s="147">
        <v>284442</v>
      </c>
    </row>
    <row r="447" spans="1:10" s="136" customFormat="1" ht="9" customHeight="1" x14ac:dyDescent="0.25">
      <c r="A447" s="140" t="s">
        <v>24</v>
      </c>
      <c r="B447" s="147">
        <f t="shared" si="24"/>
        <v>288740</v>
      </c>
      <c r="C447" s="147">
        <v>85913</v>
      </c>
      <c r="D447" s="147">
        <v>172196</v>
      </c>
      <c r="E447" s="147">
        <v>30631</v>
      </c>
      <c r="F447" s="147"/>
      <c r="G447" s="147">
        <f t="shared" si="25"/>
        <v>3320123</v>
      </c>
      <c r="H447" s="147">
        <v>624324</v>
      </c>
      <c r="I447" s="147">
        <v>1579770</v>
      </c>
      <c r="J447" s="147">
        <v>1116029</v>
      </c>
    </row>
    <row r="448" spans="1:10" s="136" customFormat="1" ht="9" customHeight="1" x14ac:dyDescent="0.25">
      <c r="A448" s="140" t="s">
        <v>25</v>
      </c>
      <c r="B448" s="147">
        <f t="shared" si="24"/>
        <v>50461</v>
      </c>
      <c r="C448" s="147">
        <v>16797</v>
      </c>
      <c r="D448" s="147">
        <v>28629</v>
      </c>
      <c r="E448" s="147">
        <v>5035</v>
      </c>
      <c r="F448" s="147"/>
      <c r="G448" s="147">
        <f t="shared" si="25"/>
        <v>512020</v>
      </c>
      <c r="H448" s="147">
        <v>108584</v>
      </c>
      <c r="I448" s="147">
        <v>211908</v>
      </c>
      <c r="J448" s="147">
        <v>191528</v>
      </c>
    </row>
    <row r="449" spans="1:10" s="136" customFormat="1" ht="9" customHeight="1" x14ac:dyDescent="0.25">
      <c r="A449" s="141" t="s">
        <v>26</v>
      </c>
      <c r="B449" s="150">
        <f t="shared" si="24"/>
        <v>36300</v>
      </c>
      <c r="C449" s="150">
        <v>9183</v>
      </c>
      <c r="D449" s="150">
        <v>24133</v>
      </c>
      <c r="E449" s="150">
        <v>2984</v>
      </c>
      <c r="F449" s="150"/>
      <c r="G449" s="150">
        <f t="shared" si="25"/>
        <v>371192</v>
      </c>
      <c r="H449" s="150">
        <v>70213</v>
      </c>
      <c r="I449" s="150">
        <v>188176</v>
      </c>
      <c r="J449" s="150">
        <v>112803</v>
      </c>
    </row>
    <row r="450" spans="1:10" s="136" customFormat="1" ht="9" customHeight="1" x14ac:dyDescent="0.25">
      <c r="A450" s="140" t="s">
        <v>126</v>
      </c>
      <c r="B450" s="147">
        <f t="shared" si="24"/>
        <v>192245</v>
      </c>
      <c r="C450" s="147">
        <v>53084</v>
      </c>
      <c r="D450" s="147">
        <v>120771</v>
      </c>
      <c r="E450" s="147">
        <v>18390</v>
      </c>
      <c r="F450" s="147"/>
      <c r="G450" s="147">
        <f t="shared" si="25"/>
        <v>2086139</v>
      </c>
      <c r="H450" s="147">
        <v>370322</v>
      </c>
      <c r="I450" s="147">
        <v>1032778</v>
      </c>
      <c r="J450" s="147">
        <v>683039</v>
      </c>
    </row>
    <row r="451" spans="1:10" s="136" customFormat="1" ht="9" customHeight="1" x14ac:dyDescent="0.25">
      <c r="A451" s="140" t="s">
        <v>28</v>
      </c>
      <c r="B451" s="147">
        <f t="shared" si="24"/>
        <v>42791</v>
      </c>
      <c r="C451" s="147">
        <v>13196</v>
      </c>
      <c r="D451" s="147">
        <v>26182</v>
      </c>
      <c r="E451" s="147">
        <v>3413</v>
      </c>
      <c r="F451" s="147"/>
      <c r="G451" s="147">
        <f t="shared" si="25"/>
        <v>418281</v>
      </c>
      <c r="H451" s="147">
        <v>91338</v>
      </c>
      <c r="I451" s="147">
        <v>197554</v>
      </c>
      <c r="J451" s="147">
        <v>129389</v>
      </c>
    </row>
    <row r="452" spans="1:10" s="136" customFormat="1" ht="9" customHeight="1" x14ac:dyDescent="0.25">
      <c r="A452" s="140" t="s">
        <v>29</v>
      </c>
      <c r="B452" s="147">
        <f t="shared" si="24"/>
        <v>45350</v>
      </c>
      <c r="C452" s="147">
        <v>10630</v>
      </c>
      <c r="D452" s="147">
        <v>29414</v>
      </c>
      <c r="E452" s="147">
        <v>5306</v>
      </c>
      <c r="F452" s="147"/>
      <c r="G452" s="147">
        <f t="shared" si="25"/>
        <v>479546</v>
      </c>
      <c r="H452" s="147">
        <v>76419</v>
      </c>
      <c r="I452" s="147">
        <v>202498</v>
      </c>
      <c r="J452" s="147">
        <v>200629</v>
      </c>
    </row>
    <row r="453" spans="1:10" s="136" customFormat="1" ht="9" customHeight="1" x14ac:dyDescent="0.25">
      <c r="A453" s="141" t="s">
        <v>30</v>
      </c>
      <c r="B453" s="150">
        <f t="shared" si="24"/>
        <v>256938</v>
      </c>
      <c r="C453" s="150">
        <v>72971</v>
      </c>
      <c r="D453" s="150">
        <v>154801</v>
      </c>
      <c r="E453" s="150">
        <v>29166</v>
      </c>
      <c r="F453" s="150"/>
      <c r="G453" s="150">
        <f t="shared" si="25"/>
        <v>3271359</v>
      </c>
      <c r="H453" s="150">
        <v>642094</v>
      </c>
      <c r="I453" s="150">
        <v>1548391</v>
      </c>
      <c r="J453" s="150">
        <v>1080874</v>
      </c>
    </row>
    <row r="454" spans="1:10" s="136" customFormat="1" ht="9" customHeight="1" x14ac:dyDescent="0.25">
      <c r="A454" s="140" t="s">
        <v>144</v>
      </c>
      <c r="B454" s="147">
        <f t="shared" si="24"/>
        <v>723830</v>
      </c>
      <c r="C454" s="147">
        <v>207362</v>
      </c>
      <c r="D454" s="147">
        <v>471188</v>
      </c>
      <c r="E454" s="147">
        <v>45280</v>
      </c>
      <c r="F454" s="147"/>
      <c r="G454" s="147">
        <f t="shared" si="25"/>
        <v>6898446</v>
      </c>
      <c r="H454" s="147">
        <v>1382444</v>
      </c>
      <c r="I454" s="147">
        <v>3762758</v>
      </c>
      <c r="J454" s="147">
        <v>1753244</v>
      </c>
    </row>
    <row r="455" spans="1:10" s="136" customFormat="1" ht="9" customHeight="1" x14ac:dyDescent="0.25">
      <c r="A455" s="140" t="s">
        <v>31</v>
      </c>
      <c r="B455" s="147">
        <f t="shared" si="24"/>
        <v>69877</v>
      </c>
      <c r="C455" s="147">
        <v>21703</v>
      </c>
      <c r="D455" s="147">
        <v>42077</v>
      </c>
      <c r="E455" s="147">
        <v>6097</v>
      </c>
      <c r="F455" s="147"/>
      <c r="G455" s="147">
        <f t="shared" si="25"/>
        <v>770397</v>
      </c>
      <c r="H455" s="147">
        <v>161176</v>
      </c>
      <c r="I455" s="147">
        <v>375047</v>
      </c>
      <c r="J455" s="147">
        <v>234174</v>
      </c>
    </row>
    <row r="456" spans="1:10" s="136" customFormat="1" ht="9" customHeight="1" x14ac:dyDescent="0.25">
      <c r="A456" s="140" t="s">
        <v>32</v>
      </c>
      <c r="B456" s="147">
        <f t="shared" si="24"/>
        <v>200396</v>
      </c>
      <c r="C456" s="147">
        <v>67418</v>
      </c>
      <c r="D456" s="147">
        <v>112209</v>
      </c>
      <c r="E456" s="147">
        <v>20769</v>
      </c>
      <c r="F456" s="147"/>
      <c r="G456" s="147">
        <f t="shared" si="25"/>
        <v>2469370</v>
      </c>
      <c r="H456" s="147">
        <v>590656</v>
      </c>
      <c r="I456" s="147">
        <v>1081787</v>
      </c>
      <c r="J456" s="147">
        <v>796927</v>
      </c>
    </row>
    <row r="457" spans="1:10" s="136" customFormat="1" ht="9" customHeight="1" x14ac:dyDescent="0.25">
      <c r="A457" s="141" t="s">
        <v>33</v>
      </c>
      <c r="B457" s="150">
        <f t="shared" si="24"/>
        <v>49664</v>
      </c>
      <c r="C457" s="150">
        <v>13974</v>
      </c>
      <c r="D457" s="150">
        <v>30520</v>
      </c>
      <c r="E457" s="150">
        <v>5170</v>
      </c>
      <c r="F457" s="150"/>
      <c r="G457" s="150">
        <f t="shared" si="25"/>
        <v>561598</v>
      </c>
      <c r="H457" s="150">
        <v>98560</v>
      </c>
      <c r="I457" s="150">
        <v>265926</v>
      </c>
      <c r="J457" s="150">
        <v>197112</v>
      </c>
    </row>
    <row r="458" spans="1:10" s="136" customFormat="1" ht="9" customHeight="1" x14ac:dyDescent="0.25">
      <c r="A458" s="140" t="s">
        <v>34</v>
      </c>
      <c r="B458" s="147">
        <f t="shared" si="24"/>
        <v>67577</v>
      </c>
      <c r="C458" s="147">
        <v>22404</v>
      </c>
      <c r="D458" s="147">
        <v>39530</v>
      </c>
      <c r="E458" s="147">
        <v>5643</v>
      </c>
      <c r="F458" s="147"/>
      <c r="G458" s="147">
        <f t="shared" si="25"/>
        <v>694907</v>
      </c>
      <c r="H458" s="147">
        <v>162910</v>
      </c>
      <c r="I458" s="147">
        <v>316869</v>
      </c>
      <c r="J458" s="147">
        <v>215128</v>
      </c>
    </row>
    <row r="459" spans="1:10" s="136" customFormat="1" ht="9" customHeight="1" x14ac:dyDescent="0.25">
      <c r="A459" s="140" t="s">
        <v>35</v>
      </c>
      <c r="B459" s="147">
        <f t="shared" si="24"/>
        <v>522401</v>
      </c>
      <c r="C459" s="147">
        <v>155685</v>
      </c>
      <c r="D459" s="147">
        <v>327721</v>
      </c>
      <c r="E459" s="147">
        <v>38995</v>
      </c>
      <c r="F459" s="147"/>
      <c r="G459" s="147">
        <f t="shared" si="25"/>
        <v>5046701</v>
      </c>
      <c r="H459" s="147">
        <v>1103857</v>
      </c>
      <c r="I459" s="147">
        <v>2463688</v>
      </c>
      <c r="J459" s="147">
        <v>1479156</v>
      </c>
    </row>
    <row r="460" spans="1:10" s="136" customFormat="1" ht="9" customHeight="1" x14ac:dyDescent="0.25">
      <c r="A460" s="140" t="s">
        <v>145</v>
      </c>
      <c r="B460" s="147">
        <f t="shared" si="24"/>
        <v>625300</v>
      </c>
      <c r="C460" s="147">
        <v>240197</v>
      </c>
      <c r="D460" s="147">
        <v>339719</v>
      </c>
      <c r="E460" s="147">
        <v>45384</v>
      </c>
      <c r="F460" s="147"/>
      <c r="G460" s="147">
        <f t="shared" si="25"/>
        <v>5928180</v>
      </c>
      <c r="H460" s="147">
        <v>1564290</v>
      </c>
      <c r="I460" s="147">
        <v>2621833</v>
      </c>
      <c r="J460" s="147">
        <v>1742057</v>
      </c>
    </row>
    <row r="461" spans="1:10" s="136" customFormat="1" ht="9" customHeight="1" x14ac:dyDescent="0.25">
      <c r="A461" s="141" t="s">
        <v>129</v>
      </c>
      <c r="B461" s="150">
        <f t="shared" si="24"/>
        <v>137321</v>
      </c>
      <c r="C461" s="150">
        <v>41795</v>
      </c>
      <c r="D461" s="150">
        <v>85573</v>
      </c>
      <c r="E461" s="150">
        <v>9953</v>
      </c>
      <c r="F461" s="150"/>
      <c r="G461" s="150">
        <f t="shared" si="25"/>
        <v>1363811</v>
      </c>
      <c r="H461" s="150">
        <v>291596</v>
      </c>
      <c r="I461" s="150">
        <v>689579</v>
      </c>
      <c r="J461" s="150">
        <v>382636</v>
      </c>
    </row>
    <row r="462" spans="1:10" s="136" customFormat="1" ht="9" customHeight="1" x14ac:dyDescent="0.25">
      <c r="A462" s="140" t="s">
        <v>38</v>
      </c>
      <c r="B462" s="147">
        <f t="shared" si="24"/>
        <v>68325</v>
      </c>
      <c r="C462" s="147">
        <v>13343</v>
      </c>
      <c r="D462" s="147">
        <v>48934</v>
      </c>
      <c r="E462" s="147">
        <v>6048</v>
      </c>
      <c r="F462" s="147"/>
      <c r="G462" s="147">
        <f t="shared" si="25"/>
        <v>791193</v>
      </c>
      <c r="H462" s="147">
        <v>151852</v>
      </c>
      <c r="I462" s="147">
        <v>410908</v>
      </c>
      <c r="J462" s="147">
        <v>228433</v>
      </c>
    </row>
    <row r="463" spans="1:10" s="136" customFormat="1" ht="9" customHeight="1" x14ac:dyDescent="0.25">
      <c r="A463" s="140" t="s">
        <v>39</v>
      </c>
      <c r="B463" s="147">
        <f t="shared" si="24"/>
        <v>49997</v>
      </c>
      <c r="C463" s="147">
        <v>17898</v>
      </c>
      <c r="D463" s="147">
        <v>28221</v>
      </c>
      <c r="E463" s="147">
        <v>3878</v>
      </c>
      <c r="F463" s="147"/>
      <c r="G463" s="147">
        <f t="shared" si="25"/>
        <v>488848</v>
      </c>
      <c r="H463" s="147">
        <v>129227</v>
      </c>
      <c r="I463" s="147">
        <v>215214</v>
      </c>
      <c r="J463" s="147">
        <v>144407</v>
      </c>
    </row>
    <row r="464" spans="1:10" s="136" customFormat="1" ht="9" customHeight="1" x14ac:dyDescent="0.25">
      <c r="A464" s="140" t="s">
        <v>40</v>
      </c>
      <c r="B464" s="147">
        <f t="shared" si="24"/>
        <v>335225</v>
      </c>
      <c r="C464" s="147">
        <v>85932</v>
      </c>
      <c r="D464" s="147">
        <v>215489</v>
      </c>
      <c r="E464" s="147">
        <v>33804</v>
      </c>
      <c r="F464" s="147"/>
      <c r="G464" s="147">
        <f t="shared" si="25"/>
        <v>3997457</v>
      </c>
      <c r="H464" s="147">
        <v>733395</v>
      </c>
      <c r="I464" s="147">
        <v>1973670</v>
      </c>
      <c r="J464" s="147">
        <v>1290392</v>
      </c>
    </row>
    <row r="465" spans="1:10" s="136" customFormat="1" ht="9" customHeight="1" x14ac:dyDescent="0.25">
      <c r="A465" s="141" t="s">
        <v>41</v>
      </c>
      <c r="B465" s="150">
        <f t="shared" si="24"/>
        <v>44692</v>
      </c>
      <c r="C465" s="150">
        <v>14775</v>
      </c>
      <c r="D465" s="150">
        <v>25241</v>
      </c>
      <c r="E465" s="150">
        <v>4676</v>
      </c>
      <c r="F465" s="150"/>
      <c r="G465" s="150">
        <f t="shared" si="25"/>
        <v>503491</v>
      </c>
      <c r="H465" s="150">
        <v>110064</v>
      </c>
      <c r="I465" s="150">
        <v>213625</v>
      </c>
      <c r="J465" s="150">
        <v>179802</v>
      </c>
    </row>
    <row r="466" spans="1:10" s="136" customFormat="1" ht="9" customHeight="1" x14ac:dyDescent="0.25">
      <c r="A466" s="140" t="s">
        <v>42</v>
      </c>
      <c r="B466" s="147">
        <f t="shared" si="24"/>
        <v>145127</v>
      </c>
      <c r="C466" s="147">
        <v>46877</v>
      </c>
      <c r="D466" s="147">
        <v>85322</v>
      </c>
      <c r="E466" s="147">
        <v>12928</v>
      </c>
      <c r="F466" s="147"/>
      <c r="G466" s="147">
        <f t="shared" si="25"/>
        <v>1589229</v>
      </c>
      <c r="H466" s="147">
        <v>331092</v>
      </c>
      <c r="I466" s="147">
        <v>759423</v>
      </c>
      <c r="J466" s="147">
        <v>498714</v>
      </c>
    </row>
    <row r="467" spans="1:10" s="136" customFormat="1" ht="9" customHeight="1" x14ac:dyDescent="0.25">
      <c r="A467" s="140" t="s">
        <v>43</v>
      </c>
      <c r="B467" s="147">
        <f t="shared" si="24"/>
        <v>89162</v>
      </c>
      <c r="C467" s="147">
        <v>22380</v>
      </c>
      <c r="D467" s="147">
        <v>55094</v>
      </c>
      <c r="E467" s="147">
        <v>11688</v>
      </c>
      <c r="F467" s="147"/>
      <c r="G467" s="147">
        <f t="shared" si="25"/>
        <v>996197</v>
      </c>
      <c r="H467" s="147">
        <v>156025</v>
      </c>
      <c r="I467" s="147">
        <v>392418</v>
      </c>
      <c r="J467" s="147">
        <v>447754</v>
      </c>
    </row>
    <row r="468" spans="1:10" s="136" customFormat="1" ht="9" customHeight="1" x14ac:dyDescent="0.25">
      <c r="A468" s="140" t="s">
        <v>44</v>
      </c>
      <c r="B468" s="147">
        <f t="shared" si="24"/>
        <v>81964</v>
      </c>
      <c r="C468" s="147">
        <v>22354</v>
      </c>
      <c r="D468" s="147">
        <v>48668</v>
      </c>
      <c r="E468" s="147">
        <v>10942</v>
      </c>
      <c r="F468" s="147"/>
      <c r="G468" s="147">
        <f t="shared" si="25"/>
        <v>962449</v>
      </c>
      <c r="H468" s="147">
        <v>166068</v>
      </c>
      <c r="I468" s="147">
        <v>390862</v>
      </c>
      <c r="J468" s="147">
        <v>405519</v>
      </c>
    </row>
    <row r="469" spans="1:10" s="136" customFormat="1" ht="9" customHeight="1" x14ac:dyDescent="0.25">
      <c r="A469" s="141" t="s">
        <v>45</v>
      </c>
      <c r="B469" s="150">
        <f t="shared" si="24"/>
        <v>116639</v>
      </c>
      <c r="C469" s="150">
        <v>39657</v>
      </c>
      <c r="D469" s="150">
        <v>67949</v>
      </c>
      <c r="E469" s="150">
        <v>9033</v>
      </c>
      <c r="F469" s="150"/>
      <c r="G469" s="150">
        <f t="shared" si="25"/>
        <v>1185125</v>
      </c>
      <c r="H469" s="150">
        <v>297951</v>
      </c>
      <c r="I469" s="150">
        <v>549961</v>
      </c>
      <c r="J469" s="150">
        <v>337213</v>
      </c>
    </row>
    <row r="470" spans="1:10" s="136" customFormat="1" ht="9" customHeight="1" x14ac:dyDescent="0.25">
      <c r="A470" s="140" t="s">
        <v>46</v>
      </c>
      <c r="B470" s="147">
        <f t="shared" si="24"/>
        <v>175126</v>
      </c>
      <c r="C470" s="147">
        <v>57850</v>
      </c>
      <c r="D470" s="147">
        <v>103585</v>
      </c>
      <c r="E470" s="147">
        <v>13691</v>
      </c>
      <c r="F470" s="147"/>
      <c r="G470" s="147">
        <f t="shared" si="25"/>
        <v>1802696</v>
      </c>
      <c r="H470" s="147">
        <v>417453</v>
      </c>
      <c r="I470" s="147">
        <v>878203</v>
      </c>
      <c r="J470" s="147">
        <v>507040</v>
      </c>
    </row>
    <row r="471" spans="1:10" s="136" customFormat="1" ht="9" customHeight="1" x14ac:dyDescent="0.25">
      <c r="A471" s="140" t="s">
        <v>47</v>
      </c>
      <c r="B471" s="147">
        <f t="shared" si="24"/>
        <v>217118</v>
      </c>
      <c r="C471" s="147">
        <v>72021</v>
      </c>
      <c r="D471" s="147">
        <v>126820</v>
      </c>
      <c r="E471" s="147">
        <v>18277</v>
      </c>
      <c r="F471" s="147"/>
      <c r="G471" s="147">
        <f t="shared" si="25"/>
        <v>2459922</v>
      </c>
      <c r="H471" s="147">
        <v>594149</v>
      </c>
      <c r="I471" s="147">
        <v>1199025</v>
      </c>
      <c r="J471" s="147">
        <v>666748</v>
      </c>
    </row>
    <row r="472" spans="1:10" s="136" customFormat="1" ht="9" customHeight="1" x14ac:dyDescent="0.25">
      <c r="A472" s="140" t="s">
        <v>48</v>
      </c>
      <c r="B472" s="147">
        <f t="shared" si="24"/>
        <v>44946</v>
      </c>
      <c r="C472" s="147">
        <v>12182</v>
      </c>
      <c r="D472" s="147">
        <v>28014</v>
      </c>
      <c r="E472" s="147">
        <v>4750</v>
      </c>
      <c r="F472" s="147"/>
      <c r="G472" s="147">
        <f t="shared" si="25"/>
        <v>473257</v>
      </c>
      <c r="H472" s="147">
        <v>89141</v>
      </c>
      <c r="I472" s="147">
        <v>202566</v>
      </c>
      <c r="J472" s="147">
        <v>181550</v>
      </c>
    </row>
    <row r="473" spans="1:10" s="136" customFormat="1" ht="9" customHeight="1" x14ac:dyDescent="0.25">
      <c r="A473" s="141" t="s">
        <v>49</v>
      </c>
      <c r="B473" s="150">
        <f t="shared" si="24"/>
        <v>182399</v>
      </c>
      <c r="C473" s="150">
        <v>47693</v>
      </c>
      <c r="D473" s="150">
        <v>108871</v>
      </c>
      <c r="E473" s="150">
        <v>25835</v>
      </c>
      <c r="F473" s="150"/>
      <c r="G473" s="150">
        <f t="shared" si="25"/>
        <v>2462787</v>
      </c>
      <c r="H473" s="150">
        <v>404223</v>
      </c>
      <c r="I473" s="150">
        <v>1084409</v>
      </c>
      <c r="J473" s="150">
        <v>974155</v>
      </c>
    </row>
    <row r="474" spans="1:10" s="136" customFormat="1" ht="9" customHeight="1" x14ac:dyDescent="0.25">
      <c r="A474" s="140" t="s">
        <v>50</v>
      </c>
      <c r="B474" s="147">
        <f t="shared" si="24"/>
        <v>21394</v>
      </c>
      <c r="C474" s="147">
        <v>5340</v>
      </c>
      <c r="D474" s="147">
        <v>13681</v>
      </c>
      <c r="E474" s="147">
        <v>2373</v>
      </c>
      <c r="F474" s="147"/>
      <c r="G474" s="147">
        <f t="shared" si="25"/>
        <v>253321</v>
      </c>
      <c r="H474" s="147">
        <v>44754</v>
      </c>
      <c r="I474" s="147">
        <v>117320</v>
      </c>
      <c r="J474" s="147">
        <v>91247</v>
      </c>
    </row>
    <row r="475" spans="1:10" s="136" customFormat="1" ht="9" customHeight="1" x14ac:dyDescent="0.25">
      <c r="A475" s="140" t="s">
        <v>146</v>
      </c>
      <c r="B475" s="147">
        <f t="shared" si="24"/>
        <v>175986</v>
      </c>
      <c r="C475" s="147">
        <v>55769</v>
      </c>
      <c r="D475" s="147">
        <v>105341</v>
      </c>
      <c r="E475" s="147">
        <v>14876</v>
      </c>
      <c r="F475" s="147"/>
      <c r="G475" s="147">
        <f t="shared" si="25"/>
        <v>1905341</v>
      </c>
      <c r="H475" s="147">
        <v>439934</v>
      </c>
      <c r="I475" s="147">
        <v>906756</v>
      </c>
      <c r="J475" s="147">
        <v>558651</v>
      </c>
    </row>
    <row r="476" spans="1:10" s="136" customFormat="1" ht="9" customHeight="1" x14ac:dyDescent="0.25">
      <c r="A476" s="140" t="s">
        <v>52</v>
      </c>
      <c r="B476" s="147">
        <f t="shared" si="24"/>
        <v>71666</v>
      </c>
      <c r="C476" s="147">
        <v>20166</v>
      </c>
      <c r="D476" s="147">
        <v>44067</v>
      </c>
      <c r="E476" s="147">
        <v>7433</v>
      </c>
      <c r="F476" s="147"/>
      <c r="G476" s="147">
        <f t="shared" si="25"/>
        <v>848845</v>
      </c>
      <c r="H476" s="147">
        <v>173439</v>
      </c>
      <c r="I476" s="147">
        <v>389386</v>
      </c>
      <c r="J476" s="147">
        <v>286020</v>
      </c>
    </row>
    <row r="477" spans="1:10" s="136" customFormat="1" ht="9" customHeight="1" x14ac:dyDescent="0.25">
      <c r="A477" s="141" t="s">
        <v>53</v>
      </c>
      <c r="B477" s="150">
        <f t="shared" si="24"/>
        <v>50880</v>
      </c>
      <c r="C477" s="150">
        <v>15236</v>
      </c>
      <c r="D477" s="150">
        <v>31224</v>
      </c>
      <c r="E477" s="150">
        <v>4420</v>
      </c>
      <c r="F477" s="150"/>
      <c r="G477" s="150">
        <f t="shared" si="25"/>
        <v>521260</v>
      </c>
      <c r="H477" s="150">
        <v>107211</v>
      </c>
      <c r="I477" s="150">
        <v>251766</v>
      </c>
      <c r="J477" s="150">
        <v>162283</v>
      </c>
    </row>
    <row r="478" spans="1:10" s="159" customFormat="1" ht="6" customHeight="1" x14ac:dyDescent="0.25">
      <c r="A478" s="156"/>
      <c r="B478" s="157"/>
      <c r="C478" s="157"/>
      <c r="D478" s="157"/>
      <c r="E478" s="157"/>
      <c r="F478" s="157"/>
      <c r="G478" s="157"/>
      <c r="H478" s="157"/>
      <c r="I478" s="157"/>
      <c r="J478" s="157"/>
    </row>
    <row r="479" spans="1:10" s="136" customFormat="1" ht="9" customHeight="1" x14ac:dyDescent="0.25">
      <c r="A479" s="177">
        <v>2010</v>
      </c>
      <c r="B479" s="147"/>
      <c r="C479" s="140"/>
      <c r="D479" s="140"/>
      <c r="E479" s="140"/>
      <c r="F479" s="147"/>
      <c r="G479" s="147"/>
      <c r="H479" s="140"/>
      <c r="I479" s="140"/>
      <c r="J479" s="140"/>
    </row>
    <row r="480" spans="1:10" s="136" customFormat="1" ht="9" customHeight="1" x14ac:dyDescent="0.25">
      <c r="A480" s="138" t="s">
        <v>13</v>
      </c>
      <c r="B480" s="148">
        <f>SUM(B482:B513)</f>
        <v>8448838</v>
      </c>
      <c r="C480" s="148">
        <f>SUM(C482:C513)</f>
        <v>1763634</v>
      </c>
      <c r="D480" s="148">
        <f>SUM(D482:D513)</f>
        <v>6163755</v>
      </c>
      <c r="E480" s="148">
        <f>SUM(E482:E513)</f>
        <v>521449</v>
      </c>
      <c r="F480" s="148"/>
      <c r="G480" s="148">
        <f>SUM(G482:G513)</f>
        <v>70244083</v>
      </c>
      <c r="H480" s="148">
        <f>SUM(H482:H513)</f>
        <v>12945608</v>
      </c>
      <c r="I480" s="148">
        <f>SUM(I482:I513)</f>
        <v>37395606</v>
      </c>
      <c r="J480" s="148">
        <f>SUM(J482:J513)</f>
        <v>19902869</v>
      </c>
    </row>
    <row r="481" spans="1:10" s="136" customFormat="1" ht="3" customHeight="1" x14ac:dyDescent="0.25">
      <c r="A481" s="138"/>
      <c r="B481" s="148"/>
      <c r="C481" s="148"/>
      <c r="D481" s="148"/>
      <c r="E481" s="148"/>
      <c r="F481" s="148"/>
      <c r="G481" s="148"/>
      <c r="H481" s="148"/>
      <c r="I481" s="148"/>
      <c r="J481" s="148"/>
    </row>
    <row r="482" spans="1:10" s="136" customFormat="1" ht="9" customHeight="1" x14ac:dyDescent="0.25">
      <c r="A482" s="140" t="s">
        <v>23</v>
      </c>
      <c r="B482" s="147">
        <f t="shared" ref="B482:B513" si="26">SUM(C482,D482,E482)</f>
        <v>143902</v>
      </c>
      <c r="C482" s="147">
        <v>27465</v>
      </c>
      <c r="D482" s="147">
        <v>106975</v>
      </c>
      <c r="E482" s="136">
        <v>9462</v>
      </c>
      <c r="F482" s="147"/>
      <c r="G482" s="147">
        <f t="shared" ref="G482:G513" si="27">SUM(H482,I482,J482)</f>
        <v>1213760</v>
      </c>
      <c r="H482" s="147">
        <v>194561</v>
      </c>
      <c r="I482" s="147">
        <v>672927</v>
      </c>
      <c r="J482" s="160">
        <v>346272</v>
      </c>
    </row>
    <row r="483" spans="1:10" s="136" customFormat="1" ht="9" customHeight="1" x14ac:dyDescent="0.25">
      <c r="A483" s="140" t="s">
        <v>24</v>
      </c>
      <c r="B483" s="147">
        <f t="shared" si="26"/>
        <v>389497</v>
      </c>
      <c r="C483" s="147">
        <v>91720</v>
      </c>
      <c r="D483" s="147">
        <v>265818</v>
      </c>
      <c r="E483" s="147">
        <v>31959</v>
      </c>
      <c r="F483" s="147"/>
      <c r="G483" s="147">
        <f t="shared" si="27"/>
        <v>3791007</v>
      </c>
      <c r="H483" s="147">
        <v>656255</v>
      </c>
      <c r="I483" s="147">
        <v>1959068</v>
      </c>
      <c r="J483" s="147">
        <v>1175684</v>
      </c>
    </row>
    <row r="484" spans="1:10" s="136" customFormat="1" ht="9" customHeight="1" x14ac:dyDescent="0.25">
      <c r="A484" s="140" t="s">
        <v>25</v>
      </c>
      <c r="B484" s="147">
        <f t="shared" si="26"/>
        <v>79475</v>
      </c>
      <c r="C484" s="147">
        <v>18140</v>
      </c>
      <c r="D484" s="147">
        <v>55804</v>
      </c>
      <c r="E484" s="147">
        <v>5531</v>
      </c>
      <c r="F484" s="147"/>
      <c r="G484" s="147">
        <f t="shared" si="27"/>
        <v>608331</v>
      </c>
      <c r="H484" s="147">
        <v>113497</v>
      </c>
      <c r="I484" s="147">
        <v>284608</v>
      </c>
      <c r="J484" s="147">
        <v>210226</v>
      </c>
    </row>
    <row r="485" spans="1:10" s="136" customFormat="1" ht="9" customHeight="1" x14ac:dyDescent="0.25">
      <c r="A485" s="141" t="s">
        <v>26</v>
      </c>
      <c r="B485" s="150">
        <f t="shared" si="26"/>
        <v>71348</v>
      </c>
      <c r="C485" s="150">
        <v>9028</v>
      </c>
      <c r="D485" s="150">
        <v>58952</v>
      </c>
      <c r="E485" s="150">
        <v>3368</v>
      </c>
      <c r="F485" s="150"/>
      <c r="G485" s="150">
        <f t="shared" si="27"/>
        <v>497120</v>
      </c>
      <c r="H485" s="150">
        <v>71505</v>
      </c>
      <c r="I485" s="150">
        <v>294391</v>
      </c>
      <c r="J485" s="150">
        <v>131224</v>
      </c>
    </row>
    <row r="486" spans="1:10" s="136" customFormat="1" ht="9" customHeight="1" x14ac:dyDescent="0.25">
      <c r="A486" s="140" t="s">
        <v>126</v>
      </c>
      <c r="B486" s="147">
        <f t="shared" si="26"/>
        <v>101731</v>
      </c>
      <c r="C486" s="147">
        <v>11279</v>
      </c>
      <c r="D486" s="147">
        <v>83753</v>
      </c>
      <c r="E486" s="147">
        <v>6699</v>
      </c>
      <c r="F486" s="147"/>
      <c r="G486" s="147">
        <f t="shared" si="27"/>
        <v>719598</v>
      </c>
      <c r="H486" s="147">
        <v>85486</v>
      </c>
      <c r="I486" s="147">
        <v>376671</v>
      </c>
      <c r="J486" s="147">
        <v>257441</v>
      </c>
    </row>
    <row r="487" spans="1:10" s="136" customFormat="1" ht="9" customHeight="1" x14ac:dyDescent="0.25">
      <c r="A487" s="140" t="s">
        <v>28</v>
      </c>
      <c r="B487" s="147">
        <f t="shared" si="26"/>
        <v>383088</v>
      </c>
      <c r="C487" s="147">
        <v>86015</v>
      </c>
      <c r="D487" s="147">
        <v>268493</v>
      </c>
      <c r="E487" s="147">
        <v>28580</v>
      </c>
      <c r="F487" s="147"/>
      <c r="G487" s="147">
        <f t="shared" si="27"/>
        <v>3911025</v>
      </c>
      <c r="H487" s="147">
        <v>782459</v>
      </c>
      <c r="I487" s="147">
        <v>2062024</v>
      </c>
      <c r="J487" s="147">
        <v>1066542</v>
      </c>
    </row>
    <row r="488" spans="1:10" s="136" customFormat="1" ht="9" customHeight="1" x14ac:dyDescent="0.25">
      <c r="A488" s="140" t="s">
        <v>29</v>
      </c>
      <c r="B488" s="147">
        <f t="shared" si="26"/>
        <v>297804</v>
      </c>
      <c r="C488" s="147">
        <v>60693</v>
      </c>
      <c r="D488" s="147">
        <v>217413</v>
      </c>
      <c r="E488" s="147">
        <v>19698</v>
      </c>
      <c r="F488" s="147"/>
      <c r="G488" s="147">
        <f t="shared" si="27"/>
        <v>2524490</v>
      </c>
      <c r="H488" s="147">
        <v>420003</v>
      </c>
      <c r="I488" s="147">
        <v>1365976</v>
      </c>
      <c r="J488" s="147">
        <v>738511</v>
      </c>
    </row>
    <row r="489" spans="1:10" s="136" customFormat="1" ht="9" customHeight="1" x14ac:dyDescent="0.25">
      <c r="A489" s="141" t="s">
        <v>30</v>
      </c>
      <c r="B489" s="150">
        <f t="shared" si="26"/>
        <v>77681</v>
      </c>
      <c r="C489" s="150">
        <v>14007</v>
      </c>
      <c r="D489" s="150">
        <v>59630</v>
      </c>
      <c r="E489" s="150">
        <v>4044</v>
      </c>
      <c r="F489" s="150"/>
      <c r="G489" s="150">
        <f t="shared" si="27"/>
        <v>534355</v>
      </c>
      <c r="H489" s="150">
        <v>92967</v>
      </c>
      <c r="I489" s="150">
        <v>286554</v>
      </c>
      <c r="J489" s="150">
        <v>154834</v>
      </c>
    </row>
    <row r="490" spans="1:10" s="136" customFormat="1" ht="9" customHeight="1" x14ac:dyDescent="0.25">
      <c r="A490" s="140" t="s">
        <v>144</v>
      </c>
      <c r="B490" s="147">
        <f t="shared" si="26"/>
        <v>1088400</v>
      </c>
      <c r="C490" s="147">
        <v>219606</v>
      </c>
      <c r="D490" s="147">
        <v>819971</v>
      </c>
      <c r="E490" s="147">
        <v>48823</v>
      </c>
      <c r="F490" s="147"/>
      <c r="G490" s="147">
        <f t="shared" si="27"/>
        <v>8084078</v>
      </c>
      <c r="H490" s="147">
        <v>1451709</v>
      </c>
      <c r="I490" s="147">
        <v>4724972</v>
      </c>
      <c r="J490" s="147">
        <v>1907397</v>
      </c>
    </row>
    <row r="491" spans="1:10" s="136" customFormat="1" ht="9" customHeight="1" x14ac:dyDescent="0.25">
      <c r="A491" s="140" t="s">
        <v>31</v>
      </c>
      <c r="B491" s="147">
        <f t="shared" si="26"/>
        <v>95715</v>
      </c>
      <c r="C491" s="147">
        <v>21477</v>
      </c>
      <c r="D491" s="147">
        <v>67318</v>
      </c>
      <c r="E491" s="147">
        <v>6920</v>
      </c>
      <c r="F491" s="147"/>
      <c r="G491" s="147">
        <f t="shared" si="27"/>
        <v>911899</v>
      </c>
      <c r="H491" s="147">
        <v>159211</v>
      </c>
      <c r="I491" s="147">
        <v>487942</v>
      </c>
      <c r="J491" s="147">
        <v>264746</v>
      </c>
    </row>
    <row r="492" spans="1:10" s="136" customFormat="1" ht="9" customHeight="1" x14ac:dyDescent="0.25">
      <c r="A492" s="140" t="s">
        <v>32</v>
      </c>
      <c r="B492" s="147">
        <f t="shared" si="26"/>
        <v>307626</v>
      </c>
      <c r="C492" s="147">
        <v>77022</v>
      </c>
      <c r="D492" s="147">
        <v>206383</v>
      </c>
      <c r="E492" s="147">
        <v>24221</v>
      </c>
      <c r="F492" s="147"/>
      <c r="G492" s="147">
        <f t="shared" si="27"/>
        <v>3050997</v>
      </c>
      <c r="H492" s="147">
        <v>649315</v>
      </c>
      <c r="I492" s="147">
        <v>1460455</v>
      </c>
      <c r="J492" s="147">
        <v>941227</v>
      </c>
    </row>
    <row r="493" spans="1:10" s="136" customFormat="1" ht="9" customHeight="1" x14ac:dyDescent="0.25">
      <c r="A493" s="141" t="s">
        <v>33</v>
      </c>
      <c r="B493" s="150">
        <f t="shared" si="26"/>
        <v>94497</v>
      </c>
      <c r="C493" s="150">
        <v>14350</v>
      </c>
      <c r="D493" s="150">
        <v>74296</v>
      </c>
      <c r="E493" s="150">
        <v>5851</v>
      </c>
      <c r="F493" s="150"/>
      <c r="G493" s="150">
        <f t="shared" si="27"/>
        <v>726563</v>
      </c>
      <c r="H493" s="150">
        <v>104936</v>
      </c>
      <c r="I493" s="150">
        <v>398729</v>
      </c>
      <c r="J493" s="150">
        <v>222898</v>
      </c>
    </row>
    <row r="494" spans="1:10" s="136" customFormat="1" ht="9" customHeight="1" x14ac:dyDescent="0.25">
      <c r="A494" s="140" t="s">
        <v>34</v>
      </c>
      <c r="B494" s="147">
        <f t="shared" si="26"/>
        <v>103271</v>
      </c>
      <c r="C494" s="147">
        <v>23397</v>
      </c>
      <c r="D494" s="147">
        <v>73447</v>
      </c>
      <c r="E494" s="147">
        <v>6427</v>
      </c>
      <c r="F494" s="147"/>
      <c r="G494" s="147">
        <f t="shared" si="27"/>
        <v>834026</v>
      </c>
      <c r="H494" s="147">
        <v>167500</v>
      </c>
      <c r="I494" s="147">
        <v>420571</v>
      </c>
      <c r="J494" s="147">
        <v>245955</v>
      </c>
    </row>
    <row r="495" spans="1:10" s="136" customFormat="1" ht="9" customHeight="1" x14ac:dyDescent="0.25">
      <c r="A495" s="140" t="s">
        <v>35</v>
      </c>
      <c r="B495" s="147">
        <f t="shared" si="26"/>
        <v>811542</v>
      </c>
      <c r="C495" s="147">
        <v>170412</v>
      </c>
      <c r="D495" s="147">
        <v>592925</v>
      </c>
      <c r="E495" s="147">
        <v>48205</v>
      </c>
      <c r="F495" s="147"/>
      <c r="G495" s="147">
        <f t="shared" si="27"/>
        <v>6857179</v>
      </c>
      <c r="H495" s="147">
        <v>1211262</v>
      </c>
      <c r="I495" s="147">
        <v>3787056</v>
      </c>
      <c r="J495" s="147">
        <v>1858861</v>
      </c>
    </row>
    <row r="496" spans="1:10" s="136" customFormat="1" ht="9" customHeight="1" x14ac:dyDescent="0.25">
      <c r="A496" s="140" t="s">
        <v>145</v>
      </c>
      <c r="B496" s="147">
        <f t="shared" si="26"/>
        <v>1015756</v>
      </c>
      <c r="C496" s="147">
        <v>272846</v>
      </c>
      <c r="D496" s="147">
        <v>692997</v>
      </c>
      <c r="E496" s="147">
        <v>49913</v>
      </c>
      <c r="F496" s="147"/>
      <c r="G496" s="147">
        <f t="shared" si="27"/>
        <v>7588742</v>
      </c>
      <c r="H496" s="147">
        <v>1783309</v>
      </c>
      <c r="I496" s="147">
        <v>3881191</v>
      </c>
      <c r="J496" s="147">
        <v>1924242</v>
      </c>
    </row>
    <row r="497" spans="1:10" s="136" customFormat="1" ht="9" customHeight="1" x14ac:dyDescent="0.25">
      <c r="A497" s="141" t="s">
        <v>129</v>
      </c>
      <c r="B497" s="150">
        <f t="shared" si="26"/>
        <v>232974</v>
      </c>
      <c r="C497" s="150">
        <v>48657</v>
      </c>
      <c r="D497" s="150">
        <v>171661</v>
      </c>
      <c r="E497" s="150">
        <v>12656</v>
      </c>
      <c r="F497" s="150"/>
      <c r="G497" s="150">
        <f t="shared" si="27"/>
        <v>1758231</v>
      </c>
      <c r="H497" s="150">
        <v>338483</v>
      </c>
      <c r="I497" s="150">
        <v>929430</v>
      </c>
      <c r="J497" s="150">
        <v>490318</v>
      </c>
    </row>
    <row r="498" spans="1:10" s="136" customFormat="1" ht="9" customHeight="1" x14ac:dyDescent="0.25">
      <c r="A498" s="140" t="s">
        <v>38</v>
      </c>
      <c r="B498" s="147">
        <f t="shared" si="26"/>
        <v>126592</v>
      </c>
      <c r="C498" s="147">
        <v>15670</v>
      </c>
      <c r="D498" s="147">
        <v>104022</v>
      </c>
      <c r="E498" s="147">
        <v>6900</v>
      </c>
      <c r="F498" s="147"/>
      <c r="G498" s="147">
        <f t="shared" si="27"/>
        <v>1016529</v>
      </c>
      <c r="H498" s="147">
        <v>180369</v>
      </c>
      <c r="I498" s="147">
        <v>573843</v>
      </c>
      <c r="J498" s="147">
        <v>262317</v>
      </c>
    </row>
    <row r="499" spans="1:10" s="136" customFormat="1" ht="9" customHeight="1" x14ac:dyDescent="0.25">
      <c r="A499" s="140" t="s">
        <v>39</v>
      </c>
      <c r="B499" s="147">
        <f t="shared" si="26"/>
        <v>95567</v>
      </c>
      <c r="C499" s="147">
        <v>19731</v>
      </c>
      <c r="D499" s="147">
        <v>71310</v>
      </c>
      <c r="E499" s="147">
        <v>4526</v>
      </c>
      <c r="F499" s="147"/>
      <c r="G499" s="147">
        <f t="shared" si="27"/>
        <v>654550</v>
      </c>
      <c r="H499" s="147">
        <v>140815</v>
      </c>
      <c r="I499" s="147">
        <v>343177</v>
      </c>
      <c r="J499" s="147">
        <v>170558</v>
      </c>
    </row>
    <row r="500" spans="1:10" s="136" customFormat="1" ht="9" customHeight="1" x14ac:dyDescent="0.25">
      <c r="A500" s="140" t="s">
        <v>40</v>
      </c>
      <c r="B500" s="147">
        <f t="shared" si="26"/>
        <v>452118</v>
      </c>
      <c r="C500" s="147">
        <v>92003</v>
      </c>
      <c r="D500" s="147">
        <v>323660</v>
      </c>
      <c r="E500" s="147">
        <v>36455</v>
      </c>
      <c r="F500" s="147"/>
      <c r="G500" s="147">
        <f t="shared" si="27"/>
        <v>4608534</v>
      </c>
      <c r="H500" s="147">
        <v>786752</v>
      </c>
      <c r="I500" s="147">
        <v>2424185</v>
      </c>
      <c r="J500" s="147">
        <v>1397597</v>
      </c>
    </row>
    <row r="501" spans="1:10" s="136" customFormat="1" ht="9" customHeight="1" x14ac:dyDescent="0.25">
      <c r="A501" s="141" t="s">
        <v>41</v>
      </c>
      <c r="B501" s="150">
        <f t="shared" si="26"/>
        <v>99188</v>
      </c>
      <c r="C501" s="150">
        <v>14822</v>
      </c>
      <c r="D501" s="150">
        <v>77834</v>
      </c>
      <c r="E501" s="150">
        <v>6532</v>
      </c>
      <c r="F501" s="150"/>
      <c r="G501" s="150">
        <f t="shared" si="27"/>
        <v>756315</v>
      </c>
      <c r="H501" s="150">
        <v>105643</v>
      </c>
      <c r="I501" s="150">
        <v>398977</v>
      </c>
      <c r="J501" s="150">
        <v>251695</v>
      </c>
    </row>
    <row r="502" spans="1:10" s="136" customFormat="1" ht="9" customHeight="1" x14ac:dyDescent="0.25">
      <c r="A502" s="140" t="s">
        <v>42</v>
      </c>
      <c r="B502" s="147">
        <f t="shared" si="26"/>
        <v>244768</v>
      </c>
      <c r="C502" s="147">
        <v>54054</v>
      </c>
      <c r="D502" s="147">
        <v>175540</v>
      </c>
      <c r="E502" s="147">
        <v>15174</v>
      </c>
      <c r="F502" s="147"/>
      <c r="G502" s="147">
        <f t="shared" si="27"/>
        <v>2006721</v>
      </c>
      <c r="H502" s="147">
        <v>365901</v>
      </c>
      <c r="I502" s="147">
        <v>1052192</v>
      </c>
      <c r="J502" s="147">
        <v>588628</v>
      </c>
    </row>
    <row r="503" spans="1:10" s="136" customFormat="1" ht="9" customHeight="1" x14ac:dyDescent="0.25">
      <c r="A503" s="140" t="s">
        <v>43</v>
      </c>
      <c r="B503" s="147">
        <f t="shared" si="26"/>
        <v>138576</v>
      </c>
      <c r="C503" s="147">
        <v>24544</v>
      </c>
      <c r="D503" s="147">
        <v>101130</v>
      </c>
      <c r="E503" s="147">
        <v>12902</v>
      </c>
      <c r="F503" s="147"/>
      <c r="G503" s="147">
        <f t="shared" si="27"/>
        <v>1218403</v>
      </c>
      <c r="H503" s="147">
        <v>170067</v>
      </c>
      <c r="I503" s="147">
        <v>553369</v>
      </c>
      <c r="J503" s="147">
        <v>494967</v>
      </c>
    </row>
    <row r="504" spans="1:10" s="136" customFormat="1" ht="9" customHeight="1" x14ac:dyDescent="0.25">
      <c r="A504" s="140" t="s">
        <v>44</v>
      </c>
      <c r="B504" s="147">
        <f t="shared" si="26"/>
        <v>158570</v>
      </c>
      <c r="C504" s="147">
        <v>24068</v>
      </c>
      <c r="D504" s="147">
        <v>122453</v>
      </c>
      <c r="E504" s="147">
        <v>12049</v>
      </c>
      <c r="F504" s="147"/>
      <c r="G504" s="147">
        <f t="shared" si="27"/>
        <v>1200812</v>
      </c>
      <c r="H504" s="147">
        <v>162698</v>
      </c>
      <c r="I504" s="147">
        <v>583451</v>
      </c>
      <c r="J504" s="147">
        <v>454663</v>
      </c>
    </row>
    <row r="505" spans="1:10" s="136" customFormat="1" ht="9" customHeight="1" x14ac:dyDescent="0.25">
      <c r="A505" s="141" t="s">
        <v>45</v>
      </c>
      <c r="B505" s="150">
        <f t="shared" si="26"/>
        <v>173887</v>
      </c>
      <c r="C505" s="150">
        <v>42318</v>
      </c>
      <c r="D505" s="150">
        <v>120531</v>
      </c>
      <c r="E505" s="150">
        <v>11038</v>
      </c>
      <c r="F505" s="150"/>
      <c r="G505" s="150">
        <f t="shared" si="27"/>
        <v>1533167</v>
      </c>
      <c r="H505" s="150">
        <v>313233</v>
      </c>
      <c r="I505" s="150">
        <v>799292</v>
      </c>
      <c r="J505" s="150">
        <v>420642</v>
      </c>
    </row>
    <row r="506" spans="1:10" s="136" customFormat="1" ht="9" customHeight="1" x14ac:dyDescent="0.25">
      <c r="A506" s="140" t="s">
        <v>46</v>
      </c>
      <c r="B506" s="147">
        <f t="shared" si="26"/>
        <v>263834</v>
      </c>
      <c r="C506" s="147">
        <v>61542</v>
      </c>
      <c r="D506" s="147">
        <v>186657</v>
      </c>
      <c r="E506" s="147">
        <v>15635</v>
      </c>
      <c r="F506" s="147"/>
      <c r="G506" s="147">
        <f t="shared" si="27"/>
        <v>2190446</v>
      </c>
      <c r="H506" s="147">
        <v>445374</v>
      </c>
      <c r="I506" s="147">
        <v>1159387</v>
      </c>
      <c r="J506" s="147">
        <v>585685</v>
      </c>
    </row>
    <row r="507" spans="1:10" s="136" customFormat="1" ht="9" customHeight="1" x14ac:dyDescent="0.25">
      <c r="A507" s="140" t="s">
        <v>47</v>
      </c>
      <c r="B507" s="147">
        <f t="shared" si="26"/>
        <v>337578</v>
      </c>
      <c r="C507" s="147">
        <v>80375</v>
      </c>
      <c r="D507" s="147">
        <v>238294</v>
      </c>
      <c r="E507" s="147">
        <v>18909</v>
      </c>
      <c r="F507" s="147"/>
      <c r="G507" s="147">
        <f t="shared" si="27"/>
        <v>2883589</v>
      </c>
      <c r="H507" s="147">
        <v>651470</v>
      </c>
      <c r="I507" s="147">
        <v>1535336</v>
      </c>
      <c r="J507" s="147">
        <v>696783</v>
      </c>
    </row>
    <row r="508" spans="1:10" s="136" customFormat="1" ht="9" customHeight="1" x14ac:dyDescent="0.25">
      <c r="A508" s="140" t="s">
        <v>48</v>
      </c>
      <c r="B508" s="147">
        <f t="shared" si="26"/>
        <v>90577</v>
      </c>
      <c r="C508" s="147">
        <v>12270</v>
      </c>
      <c r="D508" s="147">
        <v>73109</v>
      </c>
      <c r="E508" s="147">
        <v>5198</v>
      </c>
      <c r="F508" s="147"/>
      <c r="G508" s="147">
        <f t="shared" si="27"/>
        <v>615262</v>
      </c>
      <c r="H508" s="147">
        <v>94029</v>
      </c>
      <c r="I508" s="147">
        <v>320856</v>
      </c>
      <c r="J508" s="147">
        <v>200377</v>
      </c>
    </row>
    <row r="509" spans="1:10" s="136" customFormat="1" ht="9" customHeight="1" x14ac:dyDescent="0.25">
      <c r="A509" s="141" t="s">
        <v>49</v>
      </c>
      <c r="B509" s="150">
        <f t="shared" si="26"/>
        <v>307499</v>
      </c>
      <c r="C509" s="150">
        <v>50873</v>
      </c>
      <c r="D509" s="150">
        <v>230719</v>
      </c>
      <c r="E509" s="150">
        <v>25907</v>
      </c>
      <c r="F509" s="150"/>
      <c r="G509" s="150">
        <f t="shared" si="27"/>
        <v>2853908</v>
      </c>
      <c r="H509" s="150">
        <v>424274</v>
      </c>
      <c r="I509" s="150">
        <v>1441711</v>
      </c>
      <c r="J509" s="150">
        <v>987923</v>
      </c>
    </row>
    <row r="510" spans="1:10" s="136" customFormat="1" ht="9" customHeight="1" x14ac:dyDescent="0.25">
      <c r="A510" s="140" t="s">
        <v>50</v>
      </c>
      <c r="B510" s="147">
        <f t="shared" si="26"/>
        <v>33161</v>
      </c>
      <c r="C510" s="147">
        <v>5273</v>
      </c>
      <c r="D510" s="147">
        <v>25209</v>
      </c>
      <c r="E510" s="147">
        <v>2679</v>
      </c>
      <c r="F510" s="147"/>
      <c r="G510" s="147">
        <f t="shared" si="27"/>
        <v>314679</v>
      </c>
      <c r="H510" s="147">
        <v>47149</v>
      </c>
      <c r="I510" s="147">
        <v>163028</v>
      </c>
      <c r="J510" s="147">
        <v>104502</v>
      </c>
    </row>
    <row r="511" spans="1:10" s="136" customFormat="1" ht="9" customHeight="1" x14ac:dyDescent="0.25">
      <c r="A511" s="140" t="s">
        <v>146</v>
      </c>
      <c r="B511" s="147">
        <f t="shared" si="26"/>
        <v>384725</v>
      </c>
      <c r="C511" s="147">
        <v>61779</v>
      </c>
      <c r="D511" s="147">
        <v>301626</v>
      </c>
      <c r="E511" s="147">
        <v>21320</v>
      </c>
      <c r="F511" s="147"/>
      <c r="G511" s="147">
        <f t="shared" si="27"/>
        <v>2983784</v>
      </c>
      <c r="H511" s="147">
        <v>476282</v>
      </c>
      <c r="I511" s="147">
        <v>1685235</v>
      </c>
      <c r="J511" s="147">
        <v>822267</v>
      </c>
    </row>
    <row r="512" spans="1:10" s="136" customFormat="1" ht="9" customHeight="1" x14ac:dyDescent="0.25">
      <c r="A512" s="140" t="s">
        <v>52</v>
      </c>
      <c r="B512" s="147">
        <f t="shared" si="26"/>
        <v>160239</v>
      </c>
      <c r="C512" s="147">
        <v>21357</v>
      </c>
      <c r="D512" s="147">
        <v>130306</v>
      </c>
      <c r="E512" s="147">
        <v>8576</v>
      </c>
      <c r="F512" s="147"/>
      <c r="G512" s="147">
        <f t="shared" si="27"/>
        <v>1093632</v>
      </c>
      <c r="H512" s="147">
        <v>177750</v>
      </c>
      <c r="I512" s="147">
        <v>586396</v>
      </c>
      <c r="J512" s="147">
        <v>329486</v>
      </c>
    </row>
    <row r="513" spans="1:10" s="136" customFormat="1" ht="9" customHeight="1" x14ac:dyDescent="0.25">
      <c r="A513" s="141" t="s">
        <v>53</v>
      </c>
      <c r="B513" s="150">
        <f t="shared" si="26"/>
        <v>87652</v>
      </c>
      <c r="C513" s="150">
        <v>16841</v>
      </c>
      <c r="D513" s="150">
        <v>65519</v>
      </c>
      <c r="E513" s="150">
        <v>5292</v>
      </c>
      <c r="F513" s="150"/>
      <c r="G513" s="150">
        <f t="shared" si="27"/>
        <v>702351</v>
      </c>
      <c r="H513" s="150">
        <v>121344</v>
      </c>
      <c r="I513" s="150">
        <v>382606</v>
      </c>
      <c r="J513" s="150">
        <v>198401</v>
      </c>
    </row>
    <row r="514" spans="1:10" s="136" customFormat="1" ht="9" customHeight="1" x14ac:dyDescent="0.25">
      <c r="A514" s="138"/>
      <c r="B514" s="148"/>
      <c r="C514" s="148"/>
      <c r="D514" s="148"/>
      <c r="E514" s="148"/>
      <c r="F514" s="148"/>
      <c r="G514" s="148"/>
      <c r="H514" s="148"/>
      <c r="I514" s="148"/>
      <c r="J514" s="148"/>
    </row>
    <row r="515" spans="1:10" s="136" customFormat="1" ht="9" customHeight="1" x14ac:dyDescent="0.25">
      <c r="A515" s="177">
        <v>2011</v>
      </c>
      <c r="B515" s="147"/>
      <c r="C515" s="140"/>
      <c r="D515" s="140"/>
      <c r="E515" s="140"/>
      <c r="F515" s="147"/>
      <c r="G515" s="147"/>
      <c r="H515" s="140"/>
      <c r="I515" s="140"/>
      <c r="J515" s="140"/>
    </row>
    <row r="516" spans="1:10" s="136" customFormat="1" ht="9" customHeight="1" x14ac:dyDescent="0.25">
      <c r="A516" s="138" t="s">
        <v>13</v>
      </c>
      <c r="B516" s="148">
        <f>SUM(B518:B549)</f>
        <v>8638990</v>
      </c>
      <c r="C516" s="148">
        <f>SUM(C518:C549)</f>
        <v>1872772</v>
      </c>
      <c r="D516" s="148">
        <f>SUM(D518:D549)</f>
        <v>6237568</v>
      </c>
      <c r="E516" s="148">
        <f>SUM(E518:E549)</f>
        <v>528650</v>
      </c>
      <c r="F516" s="148"/>
      <c r="G516" s="148">
        <f>SUM(G518:G549)</f>
        <v>72220545</v>
      </c>
      <c r="H516" s="148">
        <f>SUM(H518:H549)</f>
        <v>13652166</v>
      </c>
      <c r="I516" s="148">
        <f>SUM(I518:I549)</f>
        <v>38378962</v>
      </c>
      <c r="J516" s="148">
        <f>SUM(J518:J549)</f>
        <v>20189417</v>
      </c>
    </row>
    <row r="517" spans="1:10" s="136" customFormat="1" ht="3" customHeight="1" x14ac:dyDescent="0.25">
      <c r="A517" s="138"/>
      <c r="B517" s="148"/>
      <c r="C517" s="148"/>
      <c r="D517" s="148"/>
      <c r="E517" s="148"/>
      <c r="F517" s="148"/>
      <c r="G517" s="148"/>
      <c r="H517" s="148"/>
      <c r="I517" s="148"/>
      <c r="J517" s="148"/>
    </row>
    <row r="518" spans="1:10" s="136" customFormat="1" ht="9" customHeight="1" x14ac:dyDescent="0.25">
      <c r="A518" s="140" t="s">
        <v>23</v>
      </c>
      <c r="B518" s="147">
        <f t="shared" ref="B518:B549" si="28">SUM(C518,D518,E518)</f>
        <v>138264</v>
      </c>
      <c r="C518" s="147">
        <v>26256</v>
      </c>
      <c r="D518" s="147">
        <v>102281</v>
      </c>
      <c r="E518" s="160">
        <v>9727</v>
      </c>
      <c r="F518" s="147"/>
      <c r="G518" s="147">
        <f t="shared" ref="G518:G549" si="29">SUM(H518,I518,J518)</f>
        <v>1201828</v>
      </c>
      <c r="H518" s="147">
        <v>180409</v>
      </c>
      <c r="I518" s="147">
        <v>665073</v>
      </c>
      <c r="J518" s="160">
        <v>356346</v>
      </c>
    </row>
    <row r="519" spans="1:10" s="136" customFormat="1" ht="9" customHeight="1" x14ac:dyDescent="0.25">
      <c r="A519" s="140" t="s">
        <v>24</v>
      </c>
      <c r="B519" s="147">
        <f t="shared" si="28"/>
        <v>411702</v>
      </c>
      <c r="C519" s="147">
        <v>96340</v>
      </c>
      <c r="D519" s="147">
        <v>284419</v>
      </c>
      <c r="E519" s="147">
        <v>30943</v>
      </c>
      <c r="F519" s="147"/>
      <c r="G519" s="147">
        <f t="shared" si="29"/>
        <v>3867401</v>
      </c>
      <c r="H519" s="147">
        <v>693276</v>
      </c>
      <c r="I519" s="147">
        <v>2044093</v>
      </c>
      <c r="J519" s="147">
        <v>1130032</v>
      </c>
    </row>
    <row r="520" spans="1:10" s="136" customFormat="1" ht="9" customHeight="1" x14ac:dyDescent="0.25">
      <c r="A520" s="140" t="s">
        <v>25</v>
      </c>
      <c r="B520" s="147">
        <f t="shared" si="28"/>
        <v>81895</v>
      </c>
      <c r="C520" s="147">
        <v>18901</v>
      </c>
      <c r="D520" s="147">
        <v>57477</v>
      </c>
      <c r="E520" s="147">
        <v>5517</v>
      </c>
      <c r="F520" s="147"/>
      <c r="G520" s="147">
        <f t="shared" si="29"/>
        <v>629351</v>
      </c>
      <c r="H520" s="147">
        <v>124381</v>
      </c>
      <c r="I520" s="147">
        <v>296682</v>
      </c>
      <c r="J520" s="147">
        <v>208288</v>
      </c>
    </row>
    <row r="521" spans="1:10" s="136" customFormat="1" ht="9" customHeight="1" x14ac:dyDescent="0.25">
      <c r="A521" s="141" t="s">
        <v>26</v>
      </c>
      <c r="B521" s="150">
        <f t="shared" si="28"/>
        <v>68508</v>
      </c>
      <c r="C521" s="150">
        <v>9167</v>
      </c>
      <c r="D521" s="150">
        <v>56010</v>
      </c>
      <c r="E521" s="150">
        <v>3331</v>
      </c>
      <c r="F521" s="150"/>
      <c r="G521" s="150">
        <f t="shared" si="29"/>
        <v>468400</v>
      </c>
      <c r="H521" s="150">
        <v>71690</v>
      </c>
      <c r="I521" s="150">
        <v>268685</v>
      </c>
      <c r="J521" s="150">
        <v>128025</v>
      </c>
    </row>
    <row r="522" spans="1:10" s="136" customFormat="1" ht="9" customHeight="1" x14ac:dyDescent="0.25">
      <c r="A522" s="140" t="s">
        <v>126</v>
      </c>
      <c r="B522" s="147">
        <f t="shared" si="28"/>
        <v>118702</v>
      </c>
      <c r="C522" s="147">
        <v>14586</v>
      </c>
      <c r="D522" s="147">
        <v>96625</v>
      </c>
      <c r="E522" s="147">
        <v>7491</v>
      </c>
      <c r="F522" s="147"/>
      <c r="G522" s="147">
        <f t="shared" si="29"/>
        <v>854234</v>
      </c>
      <c r="H522" s="147">
        <v>110535</v>
      </c>
      <c r="I522" s="147">
        <v>457274</v>
      </c>
      <c r="J522" s="147">
        <v>286425</v>
      </c>
    </row>
    <row r="523" spans="1:10" s="136" customFormat="1" ht="9" customHeight="1" x14ac:dyDescent="0.25">
      <c r="A523" s="140" t="s">
        <v>28</v>
      </c>
      <c r="B523" s="147">
        <f t="shared" si="28"/>
        <v>425251</v>
      </c>
      <c r="C523" s="147">
        <v>97682</v>
      </c>
      <c r="D523" s="147">
        <v>298164</v>
      </c>
      <c r="E523" s="147">
        <v>29405</v>
      </c>
      <c r="F523" s="147"/>
      <c r="G523" s="147">
        <f t="shared" si="29"/>
        <v>4313668</v>
      </c>
      <c r="H523" s="147">
        <v>891765</v>
      </c>
      <c r="I523" s="147">
        <v>2328841</v>
      </c>
      <c r="J523" s="147">
        <v>1093062</v>
      </c>
    </row>
    <row r="524" spans="1:10" s="136" customFormat="1" ht="9" customHeight="1" x14ac:dyDescent="0.25">
      <c r="A524" s="140" t="s">
        <v>29</v>
      </c>
      <c r="B524" s="147">
        <f t="shared" si="28"/>
        <v>317521</v>
      </c>
      <c r="C524" s="147">
        <v>64121</v>
      </c>
      <c r="D524" s="147">
        <v>233379</v>
      </c>
      <c r="E524" s="147">
        <v>20021</v>
      </c>
      <c r="F524" s="147"/>
      <c r="G524" s="147">
        <f t="shared" si="29"/>
        <v>2678099</v>
      </c>
      <c r="H524" s="147">
        <v>453947</v>
      </c>
      <c r="I524" s="147">
        <v>1474234</v>
      </c>
      <c r="J524" s="147">
        <v>749918</v>
      </c>
    </row>
    <row r="525" spans="1:10" s="136" customFormat="1" ht="9" customHeight="1" x14ac:dyDescent="0.25">
      <c r="A525" s="141" t="s">
        <v>30</v>
      </c>
      <c r="B525" s="150">
        <f t="shared" si="28"/>
        <v>75129</v>
      </c>
      <c r="C525" s="150">
        <v>17093</v>
      </c>
      <c r="D525" s="150">
        <v>53809</v>
      </c>
      <c r="E525" s="150">
        <v>4227</v>
      </c>
      <c r="F525" s="150"/>
      <c r="G525" s="150">
        <f t="shared" si="29"/>
        <v>565775</v>
      </c>
      <c r="H525" s="150">
        <v>116501</v>
      </c>
      <c r="I525" s="150">
        <v>287114</v>
      </c>
      <c r="J525" s="150">
        <v>162160</v>
      </c>
    </row>
    <row r="526" spans="1:10" s="136" customFormat="1" ht="9" customHeight="1" x14ac:dyDescent="0.25">
      <c r="A526" s="140" t="s">
        <v>144</v>
      </c>
      <c r="B526" s="147">
        <f t="shared" si="28"/>
        <v>1064693</v>
      </c>
      <c r="C526" s="147">
        <v>221632</v>
      </c>
      <c r="D526" s="147">
        <v>794688</v>
      </c>
      <c r="E526" s="147">
        <v>48373</v>
      </c>
      <c r="F526" s="147"/>
      <c r="G526" s="147">
        <f t="shared" si="29"/>
        <v>7844721</v>
      </c>
      <c r="H526" s="147">
        <v>1413772</v>
      </c>
      <c r="I526" s="147">
        <v>4540258</v>
      </c>
      <c r="J526" s="147">
        <v>1890691</v>
      </c>
    </row>
    <row r="527" spans="1:10" s="136" customFormat="1" ht="9" customHeight="1" x14ac:dyDescent="0.25">
      <c r="A527" s="140" t="s">
        <v>31</v>
      </c>
      <c r="B527" s="147">
        <f t="shared" si="28"/>
        <v>91174</v>
      </c>
      <c r="C527" s="147">
        <v>20277</v>
      </c>
      <c r="D527" s="147">
        <v>63518</v>
      </c>
      <c r="E527" s="147">
        <v>7379</v>
      </c>
      <c r="F527" s="147"/>
      <c r="G527" s="147">
        <f t="shared" si="29"/>
        <v>908504</v>
      </c>
      <c r="H527" s="147">
        <v>152782</v>
      </c>
      <c r="I527" s="147">
        <v>473198</v>
      </c>
      <c r="J527" s="147">
        <v>282524</v>
      </c>
    </row>
    <row r="528" spans="1:10" s="136" customFormat="1" ht="9" customHeight="1" x14ac:dyDescent="0.25">
      <c r="A528" s="140" t="s">
        <v>32</v>
      </c>
      <c r="B528" s="147">
        <f t="shared" si="28"/>
        <v>313171</v>
      </c>
      <c r="C528" s="147">
        <v>80587</v>
      </c>
      <c r="D528" s="147">
        <v>207234</v>
      </c>
      <c r="E528" s="147">
        <v>25350</v>
      </c>
      <c r="F528" s="147"/>
      <c r="G528" s="147">
        <f t="shared" si="29"/>
        <v>3133318</v>
      </c>
      <c r="H528" s="147">
        <v>676749</v>
      </c>
      <c r="I528" s="147">
        <v>1469283</v>
      </c>
      <c r="J528" s="147">
        <v>987286</v>
      </c>
    </row>
    <row r="529" spans="1:10" s="136" customFormat="1" ht="9" customHeight="1" x14ac:dyDescent="0.25">
      <c r="A529" s="141" t="s">
        <v>33</v>
      </c>
      <c r="B529" s="150">
        <f t="shared" si="28"/>
        <v>83066</v>
      </c>
      <c r="C529" s="150">
        <v>14675</v>
      </c>
      <c r="D529" s="150">
        <v>62488</v>
      </c>
      <c r="E529" s="150">
        <v>5903</v>
      </c>
      <c r="F529" s="150"/>
      <c r="G529" s="150">
        <f t="shared" si="29"/>
        <v>693652</v>
      </c>
      <c r="H529" s="150">
        <v>106349</v>
      </c>
      <c r="I529" s="150">
        <v>361412</v>
      </c>
      <c r="J529" s="150">
        <v>225891</v>
      </c>
    </row>
    <row r="530" spans="1:10" s="136" customFormat="1" ht="9" customHeight="1" x14ac:dyDescent="0.25">
      <c r="A530" s="140" t="s">
        <v>34</v>
      </c>
      <c r="B530" s="147">
        <f t="shared" si="28"/>
        <v>109484</v>
      </c>
      <c r="C530" s="147">
        <v>26646</v>
      </c>
      <c r="D530" s="147">
        <v>76316</v>
      </c>
      <c r="E530" s="147">
        <v>6522</v>
      </c>
      <c r="F530" s="147"/>
      <c r="G530" s="147">
        <f t="shared" si="29"/>
        <v>882938</v>
      </c>
      <c r="H530" s="147">
        <v>183659</v>
      </c>
      <c r="I530" s="147">
        <v>446620</v>
      </c>
      <c r="J530" s="147">
        <v>252659</v>
      </c>
    </row>
    <row r="531" spans="1:10" s="136" customFormat="1" ht="9" customHeight="1" x14ac:dyDescent="0.25">
      <c r="A531" s="140" t="s">
        <v>35</v>
      </c>
      <c r="B531" s="147">
        <f t="shared" si="28"/>
        <v>799822</v>
      </c>
      <c r="C531" s="147">
        <v>179230</v>
      </c>
      <c r="D531" s="147">
        <v>571773</v>
      </c>
      <c r="E531" s="147">
        <v>48819</v>
      </c>
      <c r="F531" s="147"/>
      <c r="G531" s="147">
        <f t="shared" si="29"/>
        <v>6951665</v>
      </c>
      <c r="H531" s="147">
        <v>1287101</v>
      </c>
      <c r="I531" s="147">
        <v>3782930</v>
      </c>
      <c r="J531" s="147">
        <v>1881634</v>
      </c>
    </row>
    <row r="532" spans="1:10" s="136" customFormat="1" ht="9" customHeight="1" x14ac:dyDescent="0.25">
      <c r="A532" s="140" t="s">
        <v>145</v>
      </c>
      <c r="B532" s="147">
        <f t="shared" si="28"/>
        <v>1053924</v>
      </c>
      <c r="C532" s="147">
        <v>283452</v>
      </c>
      <c r="D532" s="147">
        <v>719911</v>
      </c>
      <c r="E532" s="147">
        <v>50561</v>
      </c>
      <c r="F532" s="147"/>
      <c r="G532" s="147">
        <f t="shared" si="29"/>
        <v>7848669</v>
      </c>
      <c r="H532" s="147">
        <v>1832332</v>
      </c>
      <c r="I532" s="147">
        <v>4055460</v>
      </c>
      <c r="J532" s="147">
        <v>1960877</v>
      </c>
    </row>
    <row r="533" spans="1:10" s="136" customFormat="1" ht="9" customHeight="1" x14ac:dyDescent="0.25">
      <c r="A533" s="141" t="s">
        <v>129</v>
      </c>
      <c r="B533" s="150">
        <f t="shared" si="28"/>
        <v>237951</v>
      </c>
      <c r="C533" s="150">
        <v>51342</v>
      </c>
      <c r="D533" s="150">
        <v>173350</v>
      </c>
      <c r="E533" s="150">
        <v>13259</v>
      </c>
      <c r="F533" s="150"/>
      <c r="G533" s="150">
        <f t="shared" si="29"/>
        <v>1850831</v>
      </c>
      <c r="H533" s="150">
        <v>357560</v>
      </c>
      <c r="I533" s="150">
        <v>981093</v>
      </c>
      <c r="J533" s="150">
        <v>512178</v>
      </c>
    </row>
    <row r="534" spans="1:10" s="136" customFormat="1" ht="9" customHeight="1" x14ac:dyDescent="0.25">
      <c r="A534" s="140" t="s">
        <v>38</v>
      </c>
      <c r="B534" s="147">
        <f t="shared" si="28"/>
        <v>135621</v>
      </c>
      <c r="C534" s="147">
        <v>20846</v>
      </c>
      <c r="D534" s="147">
        <v>108078</v>
      </c>
      <c r="E534" s="147">
        <v>6697</v>
      </c>
      <c r="F534" s="147"/>
      <c r="G534" s="147">
        <f t="shared" si="29"/>
        <v>987999</v>
      </c>
      <c r="H534" s="147">
        <v>174210</v>
      </c>
      <c r="I534" s="147">
        <v>559616</v>
      </c>
      <c r="J534" s="147">
        <v>254173</v>
      </c>
    </row>
    <row r="535" spans="1:10" s="136" customFormat="1" ht="9" customHeight="1" x14ac:dyDescent="0.25">
      <c r="A535" s="140" t="s">
        <v>39</v>
      </c>
      <c r="B535" s="147">
        <f t="shared" si="28"/>
        <v>86856</v>
      </c>
      <c r="C535" s="147">
        <v>21013</v>
      </c>
      <c r="D535" s="147">
        <v>61424</v>
      </c>
      <c r="E535" s="147">
        <v>4419</v>
      </c>
      <c r="F535" s="147"/>
      <c r="G535" s="147">
        <f t="shared" si="29"/>
        <v>628435</v>
      </c>
      <c r="H535" s="147">
        <v>143083</v>
      </c>
      <c r="I535" s="147">
        <v>318477</v>
      </c>
      <c r="J535" s="147">
        <v>166875</v>
      </c>
    </row>
    <row r="536" spans="1:10" s="136" customFormat="1" ht="9" customHeight="1" x14ac:dyDescent="0.25">
      <c r="A536" s="140" t="s">
        <v>40</v>
      </c>
      <c r="B536" s="147">
        <f t="shared" si="28"/>
        <v>474186</v>
      </c>
      <c r="C536" s="147">
        <v>96759</v>
      </c>
      <c r="D536" s="147">
        <v>339900</v>
      </c>
      <c r="E536" s="147">
        <v>37527</v>
      </c>
      <c r="F536" s="147"/>
      <c r="G536" s="147">
        <f t="shared" si="29"/>
        <v>4903893</v>
      </c>
      <c r="H536" s="147">
        <v>851227</v>
      </c>
      <c r="I536" s="147">
        <v>2606972</v>
      </c>
      <c r="J536" s="147">
        <v>1445694</v>
      </c>
    </row>
    <row r="537" spans="1:10" s="136" customFormat="1" ht="9" customHeight="1" x14ac:dyDescent="0.25">
      <c r="A537" s="141" t="s">
        <v>41</v>
      </c>
      <c r="B537" s="150">
        <f t="shared" si="28"/>
        <v>101998</v>
      </c>
      <c r="C537" s="150">
        <v>16250</v>
      </c>
      <c r="D537" s="150">
        <v>79469</v>
      </c>
      <c r="E537" s="150">
        <v>6279</v>
      </c>
      <c r="F537" s="150"/>
      <c r="G537" s="150">
        <f t="shared" si="29"/>
        <v>799085</v>
      </c>
      <c r="H537" s="150">
        <v>117596</v>
      </c>
      <c r="I537" s="150">
        <v>437270</v>
      </c>
      <c r="J537" s="150">
        <v>244219</v>
      </c>
    </row>
    <row r="538" spans="1:10" s="136" customFormat="1" ht="9" customHeight="1" x14ac:dyDescent="0.25">
      <c r="A538" s="140" t="s">
        <v>42</v>
      </c>
      <c r="B538" s="147">
        <f t="shared" si="28"/>
        <v>255944</v>
      </c>
      <c r="C538" s="147">
        <v>58976</v>
      </c>
      <c r="D538" s="147">
        <v>181981</v>
      </c>
      <c r="E538" s="147">
        <v>14987</v>
      </c>
      <c r="F538" s="147"/>
      <c r="G538" s="147">
        <f t="shared" si="29"/>
        <v>2024267</v>
      </c>
      <c r="H538" s="147">
        <v>395083</v>
      </c>
      <c r="I538" s="147">
        <v>1045582</v>
      </c>
      <c r="J538" s="147">
        <v>583602</v>
      </c>
    </row>
    <row r="539" spans="1:10" s="136" customFormat="1" ht="9" customHeight="1" x14ac:dyDescent="0.25">
      <c r="A539" s="140" t="s">
        <v>43</v>
      </c>
      <c r="B539" s="147">
        <f t="shared" si="28"/>
        <v>154677</v>
      </c>
      <c r="C539" s="147">
        <v>27234</v>
      </c>
      <c r="D539" s="147">
        <v>113620</v>
      </c>
      <c r="E539" s="147">
        <v>13823</v>
      </c>
      <c r="F539" s="147"/>
      <c r="G539" s="147">
        <f t="shared" si="29"/>
        <v>1356931</v>
      </c>
      <c r="H539" s="147">
        <v>188072</v>
      </c>
      <c r="I539" s="147">
        <v>637093</v>
      </c>
      <c r="J539" s="147">
        <v>531766</v>
      </c>
    </row>
    <row r="540" spans="1:10" s="136" customFormat="1" ht="9" customHeight="1" x14ac:dyDescent="0.25">
      <c r="A540" s="140" t="s">
        <v>44</v>
      </c>
      <c r="B540" s="147">
        <f t="shared" si="28"/>
        <v>162010</v>
      </c>
      <c r="C540" s="147">
        <v>25916</v>
      </c>
      <c r="D540" s="147">
        <v>124035</v>
      </c>
      <c r="E540" s="147">
        <v>12059</v>
      </c>
      <c r="F540" s="147"/>
      <c r="G540" s="147">
        <f t="shared" si="29"/>
        <v>1204728</v>
      </c>
      <c r="H540" s="147">
        <v>168333</v>
      </c>
      <c r="I540" s="147">
        <v>582474</v>
      </c>
      <c r="J540" s="147">
        <v>453921</v>
      </c>
    </row>
    <row r="541" spans="1:10" s="136" customFormat="1" ht="9" customHeight="1" x14ac:dyDescent="0.25">
      <c r="A541" s="141" t="s">
        <v>45</v>
      </c>
      <c r="B541" s="150">
        <f t="shared" si="28"/>
        <v>176403</v>
      </c>
      <c r="C541" s="150">
        <v>45636</v>
      </c>
      <c r="D541" s="150">
        <v>119454</v>
      </c>
      <c r="E541" s="150">
        <v>11313</v>
      </c>
      <c r="F541" s="150"/>
      <c r="G541" s="150">
        <f t="shared" si="29"/>
        <v>1596093</v>
      </c>
      <c r="H541" s="150">
        <v>347007</v>
      </c>
      <c r="I541" s="150">
        <v>816559</v>
      </c>
      <c r="J541" s="150">
        <v>432527</v>
      </c>
    </row>
    <row r="542" spans="1:10" s="136" customFormat="1" ht="9" customHeight="1" x14ac:dyDescent="0.25">
      <c r="A542" s="140" t="s">
        <v>46</v>
      </c>
      <c r="B542" s="147">
        <f t="shared" si="28"/>
        <v>250786</v>
      </c>
      <c r="C542" s="147">
        <v>64888</v>
      </c>
      <c r="D542" s="147">
        <v>170799</v>
      </c>
      <c r="E542" s="147">
        <v>15099</v>
      </c>
      <c r="F542" s="147"/>
      <c r="G542" s="147">
        <f t="shared" si="29"/>
        <v>2109329</v>
      </c>
      <c r="H542" s="147">
        <v>451030</v>
      </c>
      <c r="I542" s="147">
        <v>1086564</v>
      </c>
      <c r="J542" s="147">
        <v>571735</v>
      </c>
    </row>
    <row r="543" spans="1:10" s="136" customFormat="1" ht="9" customHeight="1" x14ac:dyDescent="0.25">
      <c r="A543" s="140" t="s">
        <v>47</v>
      </c>
      <c r="B543" s="147">
        <f t="shared" si="28"/>
        <v>357538</v>
      </c>
      <c r="C543" s="147">
        <v>92762</v>
      </c>
      <c r="D543" s="147">
        <v>245216</v>
      </c>
      <c r="E543" s="147">
        <v>19560</v>
      </c>
      <c r="F543" s="147"/>
      <c r="G543" s="147">
        <f t="shared" si="29"/>
        <v>3020252</v>
      </c>
      <c r="H543" s="147">
        <v>728982</v>
      </c>
      <c r="I543" s="147">
        <v>1572404</v>
      </c>
      <c r="J543" s="147">
        <v>718866</v>
      </c>
    </row>
    <row r="544" spans="1:10" s="136" customFormat="1" ht="9" customHeight="1" x14ac:dyDescent="0.25">
      <c r="A544" s="140" t="s">
        <v>48</v>
      </c>
      <c r="B544" s="147">
        <f t="shared" si="28"/>
        <v>94138</v>
      </c>
      <c r="C544" s="147">
        <v>13857</v>
      </c>
      <c r="D544" s="147">
        <v>74871</v>
      </c>
      <c r="E544" s="147">
        <v>5410</v>
      </c>
      <c r="F544" s="147"/>
      <c r="G544" s="147">
        <f t="shared" si="29"/>
        <v>650584</v>
      </c>
      <c r="H544" s="147">
        <v>106464</v>
      </c>
      <c r="I544" s="147">
        <v>335322</v>
      </c>
      <c r="J544" s="147">
        <v>208798</v>
      </c>
    </row>
    <row r="545" spans="1:10" s="136" customFormat="1" ht="9" customHeight="1" x14ac:dyDescent="0.25">
      <c r="A545" s="141" t="s">
        <v>49</v>
      </c>
      <c r="B545" s="150">
        <f t="shared" si="28"/>
        <v>308835</v>
      </c>
      <c r="C545" s="150">
        <v>57114</v>
      </c>
      <c r="D545" s="150">
        <v>225527</v>
      </c>
      <c r="E545" s="150">
        <v>26194</v>
      </c>
      <c r="F545" s="150"/>
      <c r="G545" s="150">
        <f t="shared" si="29"/>
        <v>2973562</v>
      </c>
      <c r="H545" s="150">
        <v>480495</v>
      </c>
      <c r="I545" s="150">
        <v>1499449</v>
      </c>
      <c r="J545" s="150">
        <v>993618</v>
      </c>
    </row>
    <row r="546" spans="1:10" s="136" customFormat="1" ht="9" customHeight="1" x14ac:dyDescent="0.25">
      <c r="A546" s="140" t="s">
        <v>50</v>
      </c>
      <c r="B546" s="147">
        <f t="shared" si="28"/>
        <v>37299</v>
      </c>
      <c r="C546" s="147">
        <v>5539</v>
      </c>
      <c r="D546" s="147">
        <v>28764</v>
      </c>
      <c r="E546" s="147">
        <v>2996</v>
      </c>
      <c r="F546" s="147"/>
      <c r="G546" s="147">
        <f t="shared" si="29"/>
        <v>345510</v>
      </c>
      <c r="H546" s="147">
        <v>46336</v>
      </c>
      <c r="I546" s="147">
        <v>182880</v>
      </c>
      <c r="J546" s="147">
        <v>116294</v>
      </c>
    </row>
    <row r="547" spans="1:10" s="136" customFormat="1" ht="9" customHeight="1" x14ac:dyDescent="0.25">
      <c r="A547" s="140" t="s">
        <v>146</v>
      </c>
      <c r="B547" s="147">
        <f t="shared" si="28"/>
        <v>395604</v>
      </c>
      <c r="C547" s="147">
        <v>63909</v>
      </c>
      <c r="D547" s="147">
        <v>310174</v>
      </c>
      <c r="E547" s="147">
        <v>21521</v>
      </c>
      <c r="F547" s="147"/>
      <c r="G547" s="147">
        <f t="shared" si="29"/>
        <v>3070146</v>
      </c>
      <c r="H547" s="147">
        <v>493932</v>
      </c>
      <c r="I547" s="147">
        <v>1749149</v>
      </c>
      <c r="J547" s="147">
        <v>827065</v>
      </c>
    </row>
    <row r="548" spans="1:10" s="145" customFormat="1" ht="9" customHeight="1" x14ac:dyDescent="0.25">
      <c r="A548" s="140" t="s">
        <v>52</v>
      </c>
      <c r="B548" s="147">
        <f t="shared" si="28"/>
        <v>167036</v>
      </c>
      <c r="C548" s="147">
        <v>22010</v>
      </c>
      <c r="D548" s="147">
        <v>136646</v>
      </c>
      <c r="E548" s="147">
        <v>8380</v>
      </c>
      <c r="F548" s="147"/>
      <c r="G548" s="147">
        <f t="shared" si="29"/>
        <v>1112876</v>
      </c>
      <c r="H548" s="147">
        <v>173812</v>
      </c>
      <c r="I548" s="147">
        <v>614912</v>
      </c>
      <c r="J548" s="147">
        <v>324152</v>
      </c>
    </row>
    <row r="549" spans="1:10" s="145" customFormat="1" ht="9" customHeight="1" x14ac:dyDescent="0.25">
      <c r="A549" s="141" t="s">
        <v>53</v>
      </c>
      <c r="B549" s="150">
        <f t="shared" si="28"/>
        <v>89802</v>
      </c>
      <c r="C549" s="150">
        <v>18076</v>
      </c>
      <c r="D549" s="150">
        <v>66168</v>
      </c>
      <c r="E549" s="150">
        <v>5558</v>
      </c>
      <c r="F549" s="150"/>
      <c r="G549" s="150">
        <f t="shared" si="29"/>
        <v>743801</v>
      </c>
      <c r="H549" s="150">
        <v>133696</v>
      </c>
      <c r="I549" s="150">
        <v>401989</v>
      </c>
      <c r="J549" s="150">
        <v>208116</v>
      </c>
    </row>
    <row r="550" spans="1:10" s="145" customFormat="1" ht="5.25" customHeight="1" x14ac:dyDescent="0.25">
      <c r="A550" s="138"/>
      <c r="B550" s="148"/>
      <c r="C550" s="148"/>
      <c r="D550" s="148"/>
      <c r="E550" s="148"/>
      <c r="F550" s="148"/>
      <c r="G550" s="148"/>
      <c r="H550" s="148"/>
      <c r="I550" s="148"/>
      <c r="J550" s="148"/>
    </row>
    <row r="551" spans="1:10" s="136" customFormat="1" ht="9" customHeight="1" x14ac:dyDescent="0.25">
      <c r="A551" s="177">
        <v>2012</v>
      </c>
      <c r="B551" s="147"/>
      <c r="C551" s="140"/>
      <c r="D551" s="140"/>
      <c r="E551" s="140"/>
      <c r="F551" s="147"/>
      <c r="G551" s="147"/>
      <c r="H551" s="140"/>
      <c r="I551" s="140"/>
      <c r="J551" s="140"/>
    </row>
    <row r="552" spans="1:10" s="136" customFormat="1" ht="9" customHeight="1" x14ac:dyDescent="0.25">
      <c r="A552" s="138" t="s">
        <v>13</v>
      </c>
      <c r="B552" s="148">
        <f>SUM(B554:B585)</f>
        <v>9147797</v>
      </c>
      <c r="C552" s="148">
        <f>SUM(C554:C585)</f>
        <v>1978947</v>
      </c>
      <c r="D552" s="148">
        <f>SUM(D554:D585)</f>
        <v>6628377</v>
      </c>
      <c r="E552" s="148">
        <f>SUM(E554:E585)</f>
        <v>540473</v>
      </c>
      <c r="F552" s="148"/>
      <c r="G552" s="148">
        <f>SUM(G554:G585)</f>
        <v>75175606</v>
      </c>
      <c r="H552" s="148">
        <f>SUM(H554:H585)</f>
        <v>14284706</v>
      </c>
      <c r="I552" s="148">
        <f>SUM(I554:I585)</f>
        <v>40186211</v>
      </c>
      <c r="J552" s="148">
        <f>SUM(J554:J585)</f>
        <v>20704689</v>
      </c>
    </row>
    <row r="553" spans="1:10" s="136" customFormat="1" ht="2.4500000000000002" customHeight="1" x14ac:dyDescent="0.25">
      <c r="A553" s="138"/>
      <c r="B553" s="148"/>
      <c r="C553" s="148"/>
      <c r="E553" s="148"/>
      <c r="F553" s="148"/>
      <c r="G553" s="148"/>
      <c r="H553" s="148"/>
      <c r="I553" s="148"/>
      <c r="J553" s="148"/>
    </row>
    <row r="554" spans="1:10" s="136" customFormat="1" ht="9" customHeight="1" x14ac:dyDescent="0.25">
      <c r="A554" s="140" t="s">
        <v>23</v>
      </c>
      <c r="B554" s="147">
        <f t="shared" ref="B554:B585" si="30">SUM(C554,D554,E554)</f>
        <v>142984</v>
      </c>
      <c r="C554" s="147">
        <v>28036</v>
      </c>
      <c r="D554" s="160">
        <v>105223</v>
      </c>
      <c r="E554" s="160">
        <v>9725</v>
      </c>
      <c r="F554" s="147"/>
      <c r="G554" s="147">
        <f t="shared" ref="G554:G585" si="31">SUM(H554,I554,J554)</f>
        <v>1219962</v>
      </c>
      <c r="H554" s="147">
        <v>188147</v>
      </c>
      <c r="I554" s="147">
        <v>673881</v>
      </c>
      <c r="J554" s="160">
        <v>357934</v>
      </c>
    </row>
    <row r="555" spans="1:10" s="136" customFormat="1" ht="9" customHeight="1" x14ac:dyDescent="0.25">
      <c r="A555" s="140" t="s">
        <v>24</v>
      </c>
      <c r="B555" s="147">
        <f t="shared" si="30"/>
        <v>451871</v>
      </c>
      <c r="C555" s="147">
        <v>108112</v>
      </c>
      <c r="D555" s="160">
        <v>311961</v>
      </c>
      <c r="E555" s="147">
        <v>31798</v>
      </c>
      <c r="F555" s="147"/>
      <c r="G555" s="147">
        <f t="shared" si="31"/>
        <v>4074771</v>
      </c>
      <c r="H555" s="147">
        <v>761353</v>
      </c>
      <c r="I555" s="147">
        <v>2146794</v>
      </c>
      <c r="J555" s="147">
        <v>1166624</v>
      </c>
    </row>
    <row r="556" spans="1:10" s="136" customFormat="1" ht="9" customHeight="1" x14ac:dyDescent="0.25">
      <c r="A556" s="140" t="s">
        <v>25</v>
      </c>
      <c r="B556" s="147">
        <f t="shared" si="30"/>
        <v>94080</v>
      </c>
      <c r="C556" s="147">
        <v>22969</v>
      </c>
      <c r="D556" s="147">
        <v>65476</v>
      </c>
      <c r="E556" s="147">
        <v>5635</v>
      </c>
      <c r="F556" s="147"/>
      <c r="G556" s="147">
        <f t="shared" si="31"/>
        <v>688265</v>
      </c>
      <c r="H556" s="147">
        <v>146951</v>
      </c>
      <c r="I556" s="147">
        <v>324637</v>
      </c>
      <c r="J556" s="147">
        <v>216677</v>
      </c>
    </row>
    <row r="557" spans="1:10" s="136" customFormat="1" ht="9" customHeight="1" x14ac:dyDescent="0.25">
      <c r="A557" s="141" t="s">
        <v>26</v>
      </c>
      <c r="B557" s="150">
        <f t="shared" si="30"/>
        <v>73104</v>
      </c>
      <c r="C557" s="150">
        <v>9208</v>
      </c>
      <c r="D557" s="150">
        <v>60314</v>
      </c>
      <c r="E557" s="150">
        <v>3582</v>
      </c>
      <c r="F557" s="150"/>
      <c r="G557" s="150">
        <f t="shared" si="31"/>
        <v>499554</v>
      </c>
      <c r="H557" s="150">
        <v>69206</v>
      </c>
      <c r="I557" s="150">
        <v>290399</v>
      </c>
      <c r="J557" s="150">
        <v>139949</v>
      </c>
    </row>
    <row r="558" spans="1:10" s="136" customFormat="1" ht="9" customHeight="1" x14ac:dyDescent="0.25">
      <c r="A558" s="140" t="s">
        <v>126</v>
      </c>
      <c r="B558" s="147">
        <f t="shared" si="30"/>
        <v>340101</v>
      </c>
      <c r="C558" s="147">
        <v>67617</v>
      </c>
      <c r="D558" s="147">
        <v>250864</v>
      </c>
      <c r="E558" s="147">
        <v>21620</v>
      </c>
      <c r="F558" s="147"/>
      <c r="G558" s="147">
        <f t="shared" si="31"/>
        <v>2861404</v>
      </c>
      <c r="H558" s="147">
        <v>476574</v>
      </c>
      <c r="I558" s="147">
        <v>1573408</v>
      </c>
      <c r="J558" s="147">
        <v>811422</v>
      </c>
    </row>
    <row r="559" spans="1:10" s="136" customFormat="1" ht="9" customHeight="1" x14ac:dyDescent="0.25">
      <c r="A559" s="140" t="s">
        <v>28</v>
      </c>
      <c r="B559" s="147">
        <f t="shared" si="30"/>
        <v>73987</v>
      </c>
      <c r="C559" s="147">
        <v>17513</v>
      </c>
      <c r="D559" s="147">
        <v>52180</v>
      </c>
      <c r="E559" s="147">
        <v>4294</v>
      </c>
      <c r="F559" s="147"/>
      <c r="G559" s="147">
        <f t="shared" si="31"/>
        <v>561791</v>
      </c>
      <c r="H559" s="147">
        <v>115033</v>
      </c>
      <c r="I559" s="147">
        <v>281141</v>
      </c>
      <c r="J559" s="147">
        <v>165617</v>
      </c>
    </row>
    <row r="560" spans="1:10" s="136" customFormat="1" ht="9" customHeight="1" x14ac:dyDescent="0.25">
      <c r="A560" s="140" t="s">
        <v>29</v>
      </c>
      <c r="B560" s="147">
        <f t="shared" si="30"/>
        <v>129615</v>
      </c>
      <c r="C560" s="147">
        <v>16109</v>
      </c>
      <c r="D560" s="147">
        <v>105742</v>
      </c>
      <c r="E560" s="147">
        <v>7764</v>
      </c>
      <c r="F560" s="147"/>
      <c r="G560" s="147">
        <f t="shared" si="31"/>
        <v>901212</v>
      </c>
      <c r="H560" s="147">
        <v>121404</v>
      </c>
      <c r="I560" s="147">
        <v>480999</v>
      </c>
      <c r="J560" s="147">
        <v>298809</v>
      </c>
    </row>
    <row r="561" spans="1:10" s="136" customFormat="1" ht="9" customHeight="1" x14ac:dyDescent="0.25">
      <c r="A561" s="141" t="s">
        <v>30</v>
      </c>
      <c r="B561" s="150">
        <f t="shared" si="30"/>
        <v>448906</v>
      </c>
      <c r="C561" s="150">
        <v>95871</v>
      </c>
      <c r="D561" s="150">
        <v>323879</v>
      </c>
      <c r="E561" s="150">
        <v>29156</v>
      </c>
      <c r="F561" s="150"/>
      <c r="G561" s="150">
        <f t="shared" si="31"/>
        <v>4557616</v>
      </c>
      <c r="H561" s="150">
        <v>917100</v>
      </c>
      <c r="I561" s="150">
        <v>2552579</v>
      </c>
      <c r="J561" s="150">
        <v>1087937</v>
      </c>
    </row>
    <row r="562" spans="1:10" s="136" customFormat="1" ht="9" customHeight="1" x14ac:dyDescent="0.25">
      <c r="A562" s="140" t="s">
        <v>144</v>
      </c>
      <c r="B562" s="147">
        <f t="shared" si="30"/>
        <v>1103110</v>
      </c>
      <c r="C562" s="147">
        <v>227743</v>
      </c>
      <c r="D562" s="147">
        <v>826654</v>
      </c>
      <c r="E562" s="147">
        <v>48713</v>
      </c>
      <c r="F562" s="147"/>
      <c r="G562" s="147">
        <f t="shared" si="31"/>
        <v>8025938</v>
      </c>
      <c r="H562" s="147">
        <v>1450110</v>
      </c>
      <c r="I562" s="147">
        <v>4669270</v>
      </c>
      <c r="J562" s="147">
        <v>1906558</v>
      </c>
    </row>
    <row r="563" spans="1:10" s="136" customFormat="1" ht="9" customHeight="1" x14ac:dyDescent="0.25">
      <c r="A563" s="140" t="s">
        <v>31</v>
      </c>
      <c r="B563" s="147">
        <f t="shared" si="30"/>
        <v>91122</v>
      </c>
      <c r="C563" s="147">
        <v>21522</v>
      </c>
      <c r="D563" s="147">
        <v>61937</v>
      </c>
      <c r="E563" s="147">
        <v>7663</v>
      </c>
      <c r="F563" s="147"/>
      <c r="G563" s="147">
        <f t="shared" si="31"/>
        <v>917675</v>
      </c>
      <c r="H563" s="147">
        <v>161053</v>
      </c>
      <c r="I563" s="147">
        <v>462075</v>
      </c>
      <c r="J563" s="147">
        <v>294547</v>
      </c>
    </row>
    <row r="564" spans="1:10" s="136" customFormat="1" ht="9" customHeight="1" x14ac:dyDescent="0.25">
      <c r="A564" s="140" t="s">
        <v>32</v>
      </c>
      <c r="B564" s="147">
        <f t="shared" si="30"/>
        <v>339778</v>
      </c>
      <c r="C564" s="147">
        <v>85623</v>
      </c>
      <c r="D564" s="147">
        <v>227293</v>
      </c>
      <c r="E564" s="147">
        <v>26862</v>
      </c>
      <c r="F564" s="147"/>
      <c r="G564" s="147">
        <f t="shared" si="31"/>
        <v>3405100</v>
      </c>
      <c r="H564" s="147">
        <v>713522</v>
      </c>
      <c r="I564" s="147">
        <v>1645590</v>
      </c>
      <c r="J564" s="147">
        <v>1045988</v>
      </c>
    </row>
    <row r="565" spans="1:10" s="136" customFormat="1" ht="9" customHeight="1" x14ac:dyDescent="0.25">
      <c r="A565" s="141" t="s">
        <v>33</v>
      </c>
      <c r="B565" s="150">
        <f t="shared" si="30"/>
        <v>89606</v>
      </c>
      <c r="C565" s="150">
        <v>13795</v>
      </c>
      <c r="D565" s="150">
        <v>69906</v>
      </c>
      <c r="E565" s="150">
        <v>5905</v>
      </c>
      <c r="F565" s="150"/>
      <c r="G565" s="150">
        <f t="shared" si="31"/>
        <v>692995</v>
      </c>
      <c r="H565" s="150">
        <v>94047</v>
      </c>
      <c r="I565" s="150">
        <v>371518</v>
      </c>
      <c r="J565" s="150">
        <v>227430</v>
      </c>
    </row>
    <row r="566" spans="1:10" s="136" customFormat="1" ht="9" customHeight="1" x14ac:dyDescent="0.25">
      <c r="A566" s="140" t="s">
        <v>34</v>
      </c>
      <c r="B566" s="147">
        <f t="shared" si="30"/>
        <v>108827</v>
      </c>
      <c r="C566" s="147">
        <v>27190</v>
      </c>
      <c r="D566" s="147">
        <v>75134</v>
      </c>
      <c r="E566" s="147">
        <v>6503</v>
      </c>
      <c r="F566" s="147"/>
      <c r="G566" s="147">
        <f t="shared" si="31"/>
        <v>884442</v>
      </c>
      <c r="H566" s="147">
        <v>193491</v>
      </c>
      <c r="I566" s="147">
        <v>438884</v>
      </c>
      <c r="J566" s="147">
        <v>252067</v>
      </c>
    </row>
    <row r="567" spans="1:10" s="136" customFormat="1" ht="9" customHeight="1" x14ac:dyDescent="0.25">
      <c r="A567" s="140" t="s">
        <v>35</v>
      </c>
      <c r="B567" s="147">
        <f t="shared" si="30"/>
        <v>817998</v>
      </c>
      <c r="C567" s="147">
        <v>187922</v>
      </c>
      <c r="D567" s="147">
        <v>580469</v>
      </c>
      <c r="E567" s="147">
        <v>49607</v>
      </c>
      <c r="F567" s="147"/>
      <c r="G567" s="147">
        <f t="shared" si="31"/>
        <v>7155073</v>
      </c>
      <c r="H567" s="147">
        <v>1335424</v>
      </c>
      <c r="I567" s="147">
        <v>3902957</v>
      </c>
      <c r="J567" s="147">
        <v>1916692</v>
      </c>
    </row>
    <row r="568" spans="1:10" s="136" customFormat="1" ht="9" customHeight="1" x14ac:dyDescent="0.25">
      <c r="A568" s="140" t="s">
        <v>145</v>
      </c>
      <c r="B568" s="147">
        <f t="shared" si="30"/>
        <v>1150632</v>
      </c>
      <c r="C568" s="147">
        <v>318636</v>
      </c>
      <c r="D568" s="147">
        <v>779676</v>
      </c>
      <c r="E568" s="147">
        <v>52320</v>
      </c>
      <c r="F568" s="147"/>
      <c r="G568" s="147">
        <f t="shared" si="31"/>
        <v>8402235</v>
      </c>
      <c r="H568" s="147">
        <v>2035119</v>
      </c>
      <c r="I568" s="147">
        <v>4338588</v>
      </c>
      <c r="J568" s="147">
        <v>2028528</v>
      </c>
    </row>
    <row r="569" spans="1:10" s="136" customFormat="1" ht="9" customHeight="1" x14ac:dyDescent="0.25">
      <c r="A569" s="141" t="s">
        <v>129</v>
      </c>
      <c r="B569" s="150">
        <f t="shared" si="30"/>
        <v>234977</v>
      </c>
      <c r="C569" s="150">
        <v>48066</v>
      </c>
      <c r="D569" s="150">
        <v>173543</v>
      </c>
      <c r="E569" s="150">
        <v>13368</v>
      </c>
      <c r="F569" s="150"/>
      <c r="G569" s="150">
        <f t="shared" si="31"/>
        <v>1788904</v>
      </c>
      <c r="H569" s="150">
        <v>318024</v>
      </c>
      <c r="I569" s="150">
        <v>950400</v>
      </c>
      <c r="J569" s="150">
        <v>520480</v>
      </c>
    </row>
    <row r="570" spans="1:10" s="136" customFormat="1" ht="9" customHeight="1" x14ac:dyDescent="0.25">
      <c r="A570" s="140" t="s">
        <v>38</v>
      </c>
      <c r="B570" s="147">
        <f t="shared" si="30"/>
        <v>154036</v>
      </c>
      <c r="C570" s="147">
        <v>23861</v>
      </c>
      <c r="D570" s="147">
        <v>123301</v>
      </c>
      <c r="E570" s="147">
        <v>6874</v>
      </c>
      <c r="F570" s="147"/>
      <c r="G570" s="147">
        <f t="shared" si="31"/>
        <v>1039711</v>
      </c>
      <c r="H570" s="147">
        <v>184549</v>
      </c>
      <c r="I570" s="147">
        <v>591399</v>
      </c>
      <c r="J570" s="147">
        <v>263763</v>
      </c>
    </row>
    <row r="571" spans="1:10" s="136" customFormat="1" ht="9" customHeight="1" x14ac:dyDescent="0.25">
      <c r="A571" s="140" t="s">
        <v>39</v>
      </c>
      <c r="B571" s="147">
        <f t="shared" si="30"/>
        <v>80754</v>
      </c>
      <c r="C571" s="147">
        <v>19487</v>
      </c>
      <c r="D571" s="147">
        <v>56531</v>
      </c>
      <c r="E571" s="147">
        <v>4736</v>
      </c>
      <c r="F571" s="147"/>
      <c r="G571" s="147">
        <f t="shared" si="31"/>
        <v>598147</v>
      </c>
      <c r="H571" s="147">
        <v>128804</v>
      </c>
      <c r="I571" s="147">
        <v>290136</v>
      </c>
      <c r="J571" s="147">
        <v>179207</v>
      </c>
    </row>
    <row r="572" spans="1:10" s="136" customFormat="1" ht="9" customHeight="1" x14ac:dyDescent="0.25">
      <c r="A572" s="140" t="s">
        <v>40</v>
      </c>
      <c r="B572" s="147">
        <f t="shared" si="30"/>
        <v>484088</v>
      </c>
      <c r="C572" s="147">
        <v>97162</v>
      </c>
      <c r="D572" s="147">
        <v>349774</v>
      </c>
      <c r="E572" s="147">
        <v>37152</v>
      </c>
      <c r="F572" s="147"/>
      <c r="G572" s="147">
        <f t="shared" si="31"/>
        <v>4976558</v>
      </c>
      <c r="H572" s="147">
        <v>853180</v>
      </c>
      <c r="I572" s="147">
        <v>2684997</v>
      </c>
      <c r="J572" s="147">
        <v>1438381</v>
      </c>
    </row>
    <row r="573" spans="1:10" s="136" customFormat="1" ht="9" customHeight="1" x14ac:dyDescent="0.25">
      <c r="A573" s="141" t="s">
        <v>41</v>
      </c>
      <c r="B573" s="150">
        <f t="shared" si="30"/>
        <v>111072</v>
      </c>
      <c r="C573" s="150">
        <v>16765</v>
      </c>
      <c r="D573" s="150">
        <v>87601</v>
      </c>
      <c r="E573" s="150">
        <v>6706</v>
      </c>
      <c r="F573" s="150"/>
      <c r="G573" s="150">
        <f t="shared" si="31"/>
        <v>862072</v>
      </c>
      <c r="H573" s="150">
        <v>128403</v>
      </c>
      <c r="I573" s="150">
        <v>474523</v>
      </c>
      <c r="J573" s="150">
        <v>259146</v>
      </c>
    </row>
    <row r="574" spans="1:10" s="136" customFormat="1" ht="9" customHeight="1" x14ac:dyDescent="0.25">
      <c r="A574" s="140" t="s">
        <v>42</v>
      </c>
      <c r="B574" s="147">
        <f t="shared" si="30"/>
        <v>260591</v>
      </c>
      <c r="C574" s="147">
        <v>61798</v>
      </c>
      <c r="D574" s="147">
        <v>183025</v>
      </c>
      <c r="E574" s="147">
        <v>15768</v>
      </c>
      <c r="F574" s="147"/>
      <c r="G574" s="147">
        <f t="shared" si="31"/>
        <v>2050373</v>
      </c>
      <c r="H574" s="147">
        <v>404199</v>
      </c>
      <c r="I574" s="147">
        <v>1034391</v>
      </c>
      <c r="J574" s="147">
        <v>611783</v>
      </c>
    </row>
    <row r="575" spans="1:10" s="136" customFormat="1" ht="9" customHeight="1" x14ac:dyDescent="0.25">
      <c r="A575" s="140" t="s">
        <v>43</v>
      </c>
      <c r="B575" s="147">
        <f t="shared" si="30"/>
        <v>169373</v>
      </c>
      <c r="C575" s="147">
        <v>29504</v>
      </c>
      <c r="D575" s="147">
        <v>125195</v>
      </c>
      <c r="E575" s="147">
        <v>14674</v>
      </c>
      <c r="F575" s="147"/>
      <c r="G575" s="147">
        <f t="shared" si="31"/>
        <v>1475691</v>
      </c>
      <c r="H575" s="147">
        <v>206092</v>
      </c>
      <c r="I575" s="147">
        <v>702746</v>
      </c>
      <c r="J575" s="147">
        <v>566853</v>
      </c>
    </row>
    <row r="576" spans="1:10" s="136" customFormat="1" ht="9" customHeight="1" x14ac:dyDescent="0.25">
      <c r="A576" s="140" t="s">
        <v>44</v>
      </c>
      <c r="B576" s="147">
        <f t="shared" si="30"/>
        <v>171397</v>
      </c>
      <c r="C576" s="147">
        <v>27752</v>
      </c>
      <c r="D576" s="147">
        <v>131896</v>
      </c>
      <c r="E576" s="147">
        <v>11749</v>
      </c>
      <c r="F576" s="147"/>
      <c r="G576" s="147">
        <f t="shared" si="31"/>
        <v>1241748</v>
      </c>
      <c r="H576" s="147">
        <v>179178</v>
      </c>
      <c r="I576" s="147">
        <v>612507</v>
      </c>
      <c r="J576" s="147">
        <v>450063</v>
      </c>
    </row>
    <row r="577" spans="1:10" s="136" customFormat="1" ht="9" customHeight="1" x14ac:dyDescent="0.25">
      <c r="A577" s="141" t="s">
        <v>45</v>
      </c>
      <c r="B577" s="150">
        <f t="shared" si="30"/>
        <v>189299</v>
      </c>
      <c r="C577" s="150">
        <v>47906</v>
      </c>
      <c r="D577" s="150">
        <v>129600</v>
      </c>
      <c r="E577" s="150">
        <v>11793</v>
      </c>
      <c r="F577" s="150"/>
      <c r="G577" s="150">
        <f t="shared" si="31"/>
        <v>1711936</v>
      </c>
      <c r="H577" s="150">
        <v>375513</v>
      </c>
      <c r="I577" s="150">
        <v>884786</v>
      </c>
      <c r="J577" s="150">
        <v>451637</v>
      </c>
    </row>
    <row r="578" spans="1:10" s="136" customFormat="1" ht="9" customHeight="1" x14ac:dyDescent="0.25">
      <c r="A578" s="140" t="s">
        <v>46</v>
      </c>
      <c r="B578" s="147">
        <f t="shared" si="30"/>
        <v>263296</v>
      </c>
      <c r="C578" s="147">
        <v>69955</v>
      </c>
      <c r="D578" s="147">
        <v>177574</v>
      </c>
      <c r="E578" s="147">
        <v>15767</v>
      </c>
      <c r="F578" s="147"/>
      <c r="G578" s="147">
        <f t="shared" si="31"/>
        <v>2177435</v>
      </c>
      <c r="H578" s="147">
        <v>480601</v>
      </c>
      <c r="I578" s="147">
        <v>1098148</v>
      </c>
      <c r="J578" s="147">
        <v>598686</v>
      </c>
    </row>
    <row r="579" spans="1:10" s="136" customFormat="1" ht="9" customHeight="1" x14ac:dyDescent="0.25">
      <c r="A579" s="140" t="s">
        <v>47</v>
      </c>
      <c r="B579" s="147">
        <f t="shared" si="30"/>
        <v>379003</v>
      </c>
      <c r="C579" s="147">
        <v>98270</v>
      </c>
      <c r="D579" s="147">
        <v>260910</v>
      </c>
      <c r="E579" s="147">
        <v>19823</v>
      </c>
      <c r="F579" s="147"/>
      <c r="G579" s="147">
        <f t="shared" si="31"/>
        <v>3153640</v>
      </c>
      <c r="H579" s="147">
        <v>779554</v>
      </c>
      <c r="I579" s="147">
        <v>1635556</v>
      </c>
      <c r="J579" s="147">
        <v>738530</v>
      </c>
    </row>
    <row r="580" spans="1:10" s="136" customFormat="1" ht="9" customHeight="1" x14ac:dyDescent="0.25">
      <c r="A580" s="140" t="s">
        <v>48</v>
      </c>
      <c r="B580" s="147">
        <f t="shared" si="30"/>
        <v>113998</v>
      </c>
      <c r="C580" s="147">
        <v>15950</v>
      </c>
      <c r="D580" s="147">
        <v>92311</v>
      </c>
      <c r="E580" s="147">
        <v>5737</v>
      </c>
      <c r="F580" s="147"/>
      <c r="G580" s="147">
        <f t="shared" si="31"/>
        <v>745193</v>
      </c>
      <c r="H580" s="147">
        <v>124082</v>
      </c>
      <c r="I580" s="147">
        <v>398107</v>
      </c>
      <c r="J580" s="147">
        <v>223004</v>
      </c>
    </row>
    <row r="581" spans="1:10" s="136" customFormat="1" ht="9" customHeight="1" x14ac:dyDescent="0.25">
      <c r="A581" s="141" t="s">
        <v>49</v>
      </c>
      <c r="B581" s="150">
        <f t="shared" si="30"/>
        <v>334608</v>
      </c>
      <c r="C581" s="150">
        <v>60700</v>
      </c>
      <c r="D581" s="150">
        <v>248464</v>
      </c>
      <c r="E581" s="150">
        <v>25444</v>
      </c>
      <c r="F581" s="150"/>
      <c r="G581" s="150">
        <f t="shared" si="31"/>
        <v>3033629</v>
      </c>
      <c r="H581" s="150">
        <v>488649</v>
      </c>
      <c r="I581" s="150">
        <v>1583823</v>
      </c>
      <c r="J581" s="150">
        <v>961157</v>
      </c>
    </row>
    <row r="582" spans="1:10" s="136" customFormat="1" ht="9" customHeight="1" x14ac:dyDescent="0.25">
      <c r="A582" s="140" t="s">
        <v>50</v>
      </c>
      <c r="B582" s="147">
        <f t="shared" si="30"/>
        <v>38381</v>
      </c>
      <c r="C582" s="147">
        <v>5767</v>
      </c>
      <c r="D582" s="147">
        <v>29335</v>
      </c>
      <c r="E582" s="147">
        <v>3279</v>
      </c>
      <c r="F582" s="147"/>
      <c r="G582" s="147">
        <f t="shared" si="31"/>
        <v>349379</v>
      </c>
      <c r="H582" s="147">
        <v>45874</v>
      </c>
      <c r="I582" s="147">
        <v>176944</v>
      </c>
      <c r="J582" s="147">
        <v>126561</v>
      </c>
    </row>
    <row r="583" spans="1:10" s="136" customFormat="1" ht="9" customHeight="1" x14ac:dyDescent="0.25">
      <c r="A583" s="140" t="s">
        <v>146</v>
      </c>
      <c r="B583" s="147">
        <f t="shared" si="30"/>
        <v>431060</v>
      </c>
      <c r="C583" s="147">
        <v>64741</v>
      </c>
      <c r="D583" s="147">
        <v>343952</v>
      </c>
      <c r="E583" s="147">
        <v>22367</v>
      </c>
      <c r="F583" s="147"/>
      <c r="G583" s="147">
        <f t="shared" si="31"/>
        <v>3190582</v>
      </c>
      <c r="H583" s="147">
        <v>490962</v>
      </c>
      <c r="I583" s="147">
        <v>1838419</v>
      </c>
      <c r="J583" s="147">
        <v>861201</v>
      </c>
    </row>
    <row r="584" spans="1:10" s="136" customFormat="1" ht="9" customHeight="1" x14ac:dyDescent="0.25">
      <c r="A584" s="140" t="s">
        <v>52</v>
      </c>
      <c r="B584" s="147">
        <f t="shared" si="30"/>
        <v>183498</v>
      </c>
      <c r="C584" s="147">
        <v>25263</v>
      </c>
      <c r="D584" s="147">
        <v>149741</v>
      </c>
      <c r="E584" s="147">
        <v>8494</v>
      </c>
      <c r="F584" s="147"/>
      <c r="G584" s="147">
        <f t="shared" si="31"/>
        <v>1189446</v>
      </c>
      <c r="H584" s="147">
        <v>193461</v>
      </c>
      <c r="I584" s="147">
        <v>667495</v>
      </c>
      <c r="J584" s="147">
        <v>328490</v>
      </c>
    </row>
    <row r="585" spans="1:10" s="136" customFormat="1" ht="9" customHeight="1" x14ac:dyDescent="0.25">
      <c r="A585" s="141" t="s">
        <v>53</v>
      </c>
      <c r="B585" s="150">
        <f t="shared" si="30"/>
        <v>92645</v>
      </c>
      <c r="C585" s="150">
        <v>18134</v>
      </c>
      <c r="D585" s="150">
        <v>68916</v>
      </c>
      <c r="E585" s="150">
        <v>5595</v>
      </c>
      <c r="F585" s="150"/>
      <c r="G585" s="150">
        <f t="shared" si="31"/>
        <v>743129</v>
      </c>
      <c r="H585" s="150">
        <v>125047</v>
      </c>
      <c r="I585" s="150">
        <v>409114</v>
      </c>
      <c r="J585" s="150">
        <v>208968</v>
      </c>
    </row>
    <row r="586" spans="1:10" s="145" customFormat="1" ht="5.25" customHeight="1" x14ac:dyDescent="0.25">
      <c r="A586" s="138"/>
      <c r="B586" s="148"/>
      <c r="C586" s="148"/>
      <c r="D586" s="148"/>
      <c r="E586" s="148"/>
      <c r="F586" s="148"/>
      <c r="G586" s="148"/>
      <c r="H586" s="148"/>
      <c r="I586" s="148"/>
      <c r="J586" s="148"/>
    </row>
    <row r="587" spans="1:10" s="136" customFormat="1" ht="9" customHeight="1" x14ac:dyDescent="0.25">
      <c r="A587" s="177">
        <v>2013</v>
      </c>
      <c r="B587" s="147"/>
      <c r="C587" s="140"/>
      <c r="D587" s="140"/>
      <c r="E587" s="140"/>
      <c r="F587" s="147"/>
      <c r="G587" s="147"/>
      <c r="H587" s="140"/>
      <c r="I587" s="140"/>
      <c r="J587" s="140"/>
    </row>
    <row r="588" spans="1:10" s="136" customFormat="1" ht="9" customHeight="1" x14ac:dyDescent="0.25">
      <c r="A588" s="138" t="s">
        <v>13</v>
      </c>
      <c r="B588" s="148">
        <f>SUM(B590:B621)</f>
        <v>8872206</v>
      </c>
      <c r="C588" s="148">
        <f>SUM(C590:C621)</f>
        <v>1907646</v>
      </c>
      <c r="D588" s="148">
        <f>SUM(D590:D621)</f>
        <v>6411905</v>
      </c>
      <c r="E588" s="148">
        <f>SUM(E590:E621)</f>
        <v>552655</v>
      </c>
      <c r="F588" s="148"/>
      <c r="G588" s="148">
        <f>SUM(G590:G621)</f>
        <v>73173350</v>
      </c>
      <c r="H588" s="148">
        <f>SUM(H590:H621)</f>
        <v>13519827</v>
      </c>
      <c r="I588" s="148">
        <f>SUM(I590:I621)</f>
        <v>38477087</v>
      </c>
      <c r="J588" s="148">
        <f>SUM(J590:J621)</f>
        <v>21176436</v>
      </c>
    </row>
    <row r="589" spans="1:10" s="136" customFormat="1" ht="2.4500000000000002" customHeight="1" x14ac:dyDescent="0.25">
      <c r="A589" s="138"/>
      <c r="B589" s="148"/>
      <c r="C589" s="148"/>
      <c r="E589" s="148"/>
      <c r="F589" s="148"/>
      <c r="G589" s="148"/>
      <c r="H589" s="148"/>
      <c r="I589" s="148"/>
      <c r="J589" s="148"/>
    </row>
    <row r="590" spans="1:10" s="136" customFormat="1" ht="9" customHeight="1" x14ac:dyDescent="0.25">
      <c r="A590" s="140" t="s">
        <v>23</v>
      </c>
      <c r="B590" s="147">
        <f t="shared" ref="B590:B621" si="32">SUM(C590,D590,E590)</f>
        <v>136298</v>
      </c>
      <c r="C590" s="147">
        <v>24908</v>
      </c>
      <c r="D590" s="160">
        <v>101582</v>
      </c>
      <c r="E590" s="160">
        <v>9808</v>
      </c>
      <c r="F590" s="147"/>
      <c r="G590" s="147">
        <f t="shared" ref="G590:G621" si="33">SUM(H590,I590,J590)</f>
        <v>1162547</v>
      </c>
      <c r="H590" s="147">
        <v>163175</v>
      </c>
      <c r="I590" s="147">
        <v>638180</v>
      </c>
      <c r="J590" s="160">
        <v>361192</v>
      </c>
    </row>
    <row r="591" spans="1:10" s="136" customFormat="1" ht="9" customHeight="1" x14ac:dyDescent="0.25">
      <c r="A591" s="140" t="s">
        <v>24</v>
      </c>
      <c r="B591" s="147">
        <f t="shared" si="32"/>
        <v>424709</v>
      </c>
      <c r="C591" s="147">
        <v>99762</v>
      </c>
      <c r="D591" s="160">
        <v>293148</v>
      </c>
      <c r="E591" s="147">
        <v>31799</v>
      </c>
      <c r="F591" s="147"/>
      <c r="G591" s="147">
        <f t="shared" si="33"/>
        <v>3771696</v>
      </c>
      <c r="H591" s="147">
        <v>672612</v>
      </c>
      <c r="I591" s="147">
        <v>1925925</v>
      </c>
      <c r="J591" s="147">
        <v>1173159</v>
      </c>
    </row>
    <row r="592" spans="1:10" s="136" customFormat="1" ht="9" customHeight="1" x14ac:dyDescent="0.25">
      <c r="A592" s="140" t="s">
        <v>25</v>
      </c>
      <c r="B592" s="147">
        <f t="shared" si="32"/>
        <v>94220</v>
      </c>
      <c r="C592" s="147">
        <v>22352</v>
      </c>
      <c r="D592" s="147">
        <v>66280</v>
      </c>
      <c r="E592" s="147">
        <v>5588</v>
      </c>
      <c r="F592" s="147"/>
      <c r="G592" s="147">
        <f t="shared" si="33"/>
        <v>628443</v>
      </c>
      <c r="H592" s="147">
        <v>128671</v>
      </c>
      <c r="I592" s="147">
        <v>287205</v>
      </c>
      <c r="J592" s="147">
        <v>212567</v>
      </c>
    </row>
    <row r="593" spans="1:10" s="136" customFormat="1" ht="9" customHeight="1" x14ac:dyDescent="0.25">
      <c r="A593" s="141" t="s">
        <v>26</v>
      </c>
      <c r="B593" s="150">
        <f t="shared" si="32"/>
        <v>67420</v>
      </c>
      <c r="C593" s="150">
        <v>8868</v>
      </c>
      <c r="D593" s="150">
        <v>54752</v>
      </c>
      <c r="E593" s="150">
        <v>3800</v>
      </c>
      <c r="F593" s="150"/>
      <c r="G593" s="150">
        <f t="shared" si="33"/>
        <v>490710</v>
      </c>
      <c r="H593" s="150">
        <v>69411</v>
      </c>
      <c r="I593" s="150">
        <v>273472</v>
      </c>
      <c r="J593" s="150">
        <v>147827</v>
      </c>
    </row>
    <row r="594" spans="1:10" s="136" customFormat="1" ht="9" customHeight="1" x14ac:dyDescent="0.25">
      <c r="A594" s="140" t="s">
        <v>126</v>
      </c>
      <c r="B594" s="147">
        <f t="shared" si="32"/>
        <v>327731</v>
      </c>
      <c r="C594" s="147">
        <v>61691</v>
      </c>
      <c r="D594" s="147">
        <v>242868</v>
      </c>
      <c r="E594" s="147">
        <v>23172</v>
      </c>
      <c r="F594" s="147"/>
      <c r="G594" s="147">
        <f t="shared" si="33"/>
        <v>2713267</v>
      </c>
      <c r="H594" s="147">
        <v>409041</v>
      </c>
      <c r="I594" s="147">
        <v>1438183</v>
      </c>
      <c r="J594" s="147">
        <v>866043</v>
      </c>
    </row>
    <row r="595" spans="1:10" s="136" customFormat="1" ht="9" customHeight="1" x14ac:dyDescent="0.25">
      <c r="A595" s="140" t="s">
        <v>28</v>
      </c>
      <c r="B595" s="147">
        <f t="shared" si="32"/>
        <v>76895</v>
      </c>
      <c r="C595" s="147">
        <v>17689</v>
      </c>
      <c r="D595" s="147">
        <v>54713</v>
      </c>
      <c r="E595" s="147">
        <v>4493</v>
      </c>
      <c r="F595" s="147"/>
      <c r="G595" s="147">
        <f t="shared" si="33"/>
        <v>585302</v>
      </c>
      <c r="H595" s="147">
        <v>122473</v>
      </c>
      <c r="I595" s="147">
        <v>291184</v>
      </c>
      <c r="J595" s="147">
        <v>171645</v>
      </c>
    </row>
    <row r="596" spans="1:10" s="136" customFormat="1" ht="9" customHeight="1" x14ac:dyDescent="0.25">
      <c r="A596" s="140" t="s">
        <v>29</v>
      </c>
      <c r="B596" s="147">
        <f t="shared" si="32"/>
        <v>121258</v>
      </c>
      <c r="C596" s="147">
        <v>16492</v>
      </c>
      <c r="D596" s="147">
        <v>96968</v>
      </c>
      <c r="E596" s="147">
        <v>7798</v>
      </c>
      <c r="F596" s="147"/>
      <c r="G596" s="147">
        <f t="shared" si="33"/>
        <v>885472</v>
      </c>
      <c r="H596" s="147">
        <v>125119</v>
      </c>
      <c r="I596" s="147">
        <v>463138</v>
      </c>
      <c r="J596" s="147">
        <v>297215</v>
      </c>
    </row>
    <row r="597" spans="1:10" s="136" customFormat="1" ht="9" customHeight="1" x14ac:dyDescent="0.25">
      <c r="A597" s="141" t="s">
        <v>30</v>
      </c>
      <c r="B597" s="150">
        <f t="shared" si="32"/>
        <v>447408</v>
      </c>
      <c r="C597" s="150">
        <v>95299</v>
      </c>
      <c r="D597" s="150">
        <v>321791</v>
      </c>
      <c r="E597" s="150">
        <v>30318</v>
      </c>
      <c r="F597" s="150"/>
      <c r="G597" s="150">
        <f t="shared" si="33"/>
        <v>4376158</v>
      </c>
      <c r="H597" s="150">
        <v>841737</v>
      </c>
      <c r="I597" s="150">
        <v>2408576</v>
      </c>
      <c r="J597" s="150">
        <v>1125845</v>
      </c>
    </row>
    <row r="598" spans="1:10" s="136" customFormat="1" ht="9" customHeight="1" x14ac:dyDescent="0.25">
      <c r="A598" s="140" t="s">
        <v>144</v>
      </c>
      <c r="B598" s="147">
        <f t="shared" si="32"/>
        <v>1020376</v>
      </c>
      <c r="C598" s="147">
        <v>216707</v>
      </c>
      <c r="D598" s="147">
        <v>754983</v>
      </c>
      <c r="E598" s="147">
        <v>48686</v>
      </c>
      <c r="F598" s="147"/>
      <c r="G598" s="147">
        <f t="shared" si="33"/>
        <v>7552542</v>
      </c>
      <c r="H598" s="147">
        <v>1358292</v>
      </c>
      <c r="I598" s="147">
        <v>4284739</v>
      </c>
      <c r="J598" s="147">
        <v>1909511</v>
      </c>
    </row>
    <row r="599" spans="1:10" s="136" customFormat="1" ht="9" customHeight="1" x14ac:dyDescent="0.25">
      <c r="A599" s="140" t="s">
        <v>31</v>
      </c>
      <c r="B599" s="147">
        <f t="shared" si="32"/>
        <v>88922</v>
      </c>
      <c r="C599" s="147">
        <v>20887</v>
      </c>
      <c r="D599" s="147">
        <v>60019</v>
      </c>
      <c r="E599" s="147">
        <v>8016</v>
      </c>
      <c r="F599" s="147"/>
      <c r="G599" s="147">
        <f t="shared" si="33"/>
        <v>906460</v>
      </c>
      <c r="H599" s="147">
        <v>154680</v>
      </c>
      <c r="I599" s="147">
        <v>444786</v>
      </c>
      <c r="J599" s="147">
        <v>306994</v>
      </c>
    </row>
    <row r="600" spans="1:10" s="136" customFormat="1" ht="9" customHeight="1" x14ac:dyDescent="0.25">
      <c r="A600" s="140" t="s">
        <v>32</v>
      </c>
      <c r="B600" s="147">
        <f t="shared" si="32"/>
        <v>345190</v>
      </c>
      <c r="C600" s="147">
        <v>84439</v>
      </c>
      <c r="D600" s="147">
        <v>232547</v>
      </c>
      <c r="E600" s="147">
        <v>28204</v>
      </c>
      <c r="F600" s="147"/>
      <c r="G600" s="147">
        <f t="shared" si="33"/>
        <v>3452349</v>
      </c>
      <c r="H600" s="147">
        <v>699113</v>
      </c>
      <c r="I600" s="147">
        <v>1657664</v>
      </c>
      <c r="J600" s="147">
        <v>1095572</v>
      </c>
    </row>
    <row r="601" spans="1:10" s="136" customFormat="1" ht="9" customHeight="1" x14ac:dyDescent="0.25">
      <c r="A601" s="141" t="s">
        <v>33</v>
      </c>
      <c r="B601" s="150">
        <f t="shared" si="32"/>
        <v>81543</v>
      </c>
      <c r="C601" s="150">
        <v>13813</v>
      </c>
      <c r="D601" s="150">
        <v>61760</v>
      </c>
      <c r="E601" s="150">
        <v>5970</v>
      </c>
      <c r="F601" s="150"/>
      <c r="G601" s="150">
        <f t="shared" si="33"/>
        <v>673755</v>
      </c>
      <c r="H601" s="150">
        <v>97600</v>
      </c>
      <c r="I601" s="150">
        <v>349922</v>
      </c>
      <c r="J601" s="150">
        <v>226233</v>
      </c>
    </row>
    <row r="602" spans="1:10" s="136" customFormat="1" ht="9" customHeight="1" x14ac:dyDescent="0.25">
      <c r="A602" s="140" t="s">
        <v>34</v>
      </c>
      <c r="B602" s="147">
        <f t="shared" si="32"/>
        <v>101289</v>
      </c>
      <c r="C602" s="147">
        <v>25313</v>
      </c>
      <c r="D602" s="147">
        <v>68785</v>
      </c>
      <c r="E602" s="147">
        <v>7191</v>
      </c>
      <c r="F602" s="147"/>
      <c r="G602" s="147">
        <f t="shared" si="33"/>
        <v>871299</v>
      </c>
      <c r="H602" s="147">
        <v>178508</v>
      </c>
      <c r="I602" s="147">
        <v>412759</v>
      </c>
      <c r="J602" s="147">
        <v>280032</v>
      </c>
    </row>
    <row r="603" spans="1:10" s="136" customFormat="1" ht="9" customHeight="1" x14ac:dyDescent="0.25">
      <c r="A603" s="140" t="s">
        <v>35</v>
      </c>
      <c r="B603" s="147">
        <f t="shared" si="32"/>
        <v>784051</v>
      </c>
      <c r="C603" s="147">
        <v>178792</v>
      </c>
      <c r="D603" s="147">
        <v>554744</v>
      </c>
      <c r="E603" s="147">
        <v>50515</v>
      </c>
      <c r="F603" s="147"/>
      <c r="G603" s="147">
        <f t="shared" si="33"/>
        <v>6951331</v>
      </c>
      <c r="H603" s="147">
        <v>1260263</v>
      </c>
      <c r="I603" s="147">
        <v>3735797</v>
      </c>
      <c r="J603" s="147">
        <v>1955271</v>
      </c>
    </row>
    <row r="604" spans="1:10" s="136" customFormat="1" ht="9" customHeight="1" x14ac:dyDescent="0.25">
      <c r="A604" s="140" t="s">
        <v>145</v>
      </c>
      <c r="B604" s="147">
        <f t="shared" si="32"/>
        <v>1122645</v>
      </c>
      <c r="C604" s="147">
        <v>317925</v>
      </c>
      <c r="D604" s="147">
        <v>751870</v>
      </c>
      <c r="E604" s="147">
        <v>52850</v>
      </c>
      <c r="F604" s="147"/>
      <c r="G604" s="147">
        <f t="shared" si="33"/>
        <v>8328271</v>
      </c>
      <c r="H604" s="147">
        <v>2023686</v>
      </c>
      <c r="I604" s="147">
        <v>4254919</v>
      </c>
      <c r="J604" s="147">
        <v>2049666</v>
      </c>
    </row>
    <row r="605" spans="1:10" s="136" customFormat="1" ht="9" customHeight="1" x14ac:dyDescent="0.25">
      <c r="A605" s="141" t="s">
        <v>129</v>
      </c>
      <c r="B605" s="150">
        <f t="shared" si="32"/>
        <v>201862</v>
      </c>
      <c r="C605" s="150">
        <v>42773</v>
      </c>
      <c r="D605" s="150">
        <v>145759</v>
      </c>
      <c r="E605" s="150">
        <v>13330</v>
      </c>
      <c r="F605" s="150"/>
      <c r="G605" s="150">
        <f t="shared" si="33"/>
        <v>1591786</v>
      </c>
      <c r="H605" s="150">
        <v>274252</v>
      </c>
      <c r="I605" s="150">
        <v>802258</v>
      </c>
      <c r="J605" s="150">
        <v>515276</v>
      </c>
    </row>
    <row r="606" spans="1:10" s="136" customFormat="1" ht="9" customHeight="1" x14ac:dyDescent="0.25">
      <c r="A606" s="140" t="s">
        <v>38</v>
      </c>
      <c r="B606" s="147">
        <f t="shared" si="32"/>
        <v>151768</v>
      </c>
      <c r="C606" s="147">
        <v>22751</v>
      </c>
      <c r="D606" s="147">
        <v>121797</v>
      </c>
      <c r="E606" s="147">
        <v>7220</v>
      </c>
      <c r="F606" s="147"/>
      <c r="G606" s="147">
        <f t="shared" si="33"/>
        <v>979572</v>
      </c>
      <c r="H606" s="147">
        <v>159022</v>
      </c>
      <c r="I606" s="147">
        <v>543967</v>
      </c>
      <c r="J606" s="147">
        <v>276583</v>
      </c>
    </row>
    <row r="607" spans="1:10" s="136" customFormat="1" ht="9" customHeight="1" x14ac:dyDescent="0.25">
      <c r="A607" s="140" t="s">
        <v>39</v>
      </c>
      <c r="B607" s="147">
        <f t="shared" si="32"/>
        <v>90657</v>
      </c>
      <c r="C607" s="147">
        <v>17666</v>
      </c>
      <c r="D607" s="147">
        <v>68052</v>
      </c>
      <c r="E607" s="147">
        <v>4939</v>
      </c>
      <c r="F607" s="147"/>
      <c r="G607" s="147">
        <f t="shared" si="33"/>
        <v>609211</v>
      </c>
      <c r="H607" s="147">
        <v>111541</v>
      </c>
      <c r="I607" s="147">
        <v>309593</v>
      </c>
      <c r="J607" s="147">
        <v>188077</v>
      </c>
    </row>
    <row r="608" spans="1:10" s="136" customFormat="1" ht="9" customHeight="1" x14ac:dyDescent="0.25">
      <c r="A608" s="140" t="s">
        <v>40</v>
      </c>
      <c r="B608" s="147">
        <f t="shared" si="32"/>
        <v>473055</v>
      </c>
      <c r="C608" s="147">
        <v>92805</v>
      </c>
      <c r="D608" s="147">
        <v>342245</v>
      </c>
      <c r="E608" s="147">
        <v>38005</v>
      </c>
      <c r="F608" s="147"/>
      <c r="G608" s="147">
        <f t="shared" si="33"/>
        <v>4856905</v>
      </c>
      <c r="H608" s="147">
        <v>786092</v>
      </c>
      <c r="I608" s="147">
        <v>2595002</v>
      </c>
      <c r="J608" s="147">
        <v>1475811</v>
      </c>
    </row>
    <row r="609" spans="1:10" s="136" customFormat="1" ht="9" customHeight="1" x14ac:dyDescent="0.25">
      <c r="A609" s="141" t="s">
        <v>41</v>
      </c>
      <c r="B609" s="150">
        <f t="shared" si="32"/>
        <v>106572</v>
      </c>
      <c r="C609" s="150">
        <v>16833</v>
      </c>
      <c r="D609" s="150">
        <v>83026</v>
      </c>
      <c r="E609" s="150">
        <v>6713</v>
      </c>
      <c r="F609" s="150"/>
      <c r="G609" s="150">
        <f t="shared" si="33"/>
        <v>839836</v>
      </c>
      <c r="H609" s="150">
        <v>127643</v>
      </c>
      <c r="I609" s="150">
        <v>453099</v>
      </c>
      <c r="J609" s="150">
        <v>259094</v>
      </c>
    </row>
    <row r="610" spans="1:10" s="136" customFormat="1" ht="9" customHeight="1" x14ac:dyDescent="0.25">
      <c r="A610" s="140" t="s">
        <v>42</v>
      </c>
      <c r="B610" s="147">
        <f t="shared" si="32"/>
        <v>246353</v>
      </c>
      <c r="C610" s="147">
        <v>57377</v>
      </c>
      <c r="D610" s="147">
        <v>172708</v>
      </c>
      <c r="E610" s="147">
        <v>16268</v>
      </c>
      <c r="F610" s="147"/>
      <c r="G610" s="147">
        <f t="shared" si="33"/>
        <v>1992986</v>
      </c>
      <c r="H610" s="147">
        <v>384606</v>
      </c>
      <c r="I610" s="147">
        <v>980420</v>
      </c>
      <c r="J610" s="147">
        <v>627960</v>
      </c>
    </row>
    <row r="611" spans="1:10" s="136" customFormat="1" ht="9" customHeight="1" x14ac:dyDescent="0.25">
      <c r="A611" s="140" t="s">
        <v>43</v>
      </c>
      <c r="B611" s="147">
        <f t="shared" si="32"/>
        <v>176032</v>
      </c>
      <c r="C611" s="147">
        <v>30265</v>
      </c>
      <c r="D611" s="147">
        <v>130953</v>
      </c>
      <c r="E611" s="147">
        <v>14814</v>
      </c>
      <c r="F611" s="147"/>
      <c r="G611" s="147">
        <f t="shared" si="33"/>
        <v>1511812</v>
      </c>
      <c r="H611" s="147">
        <v>213143</v>
      </c>
      <c r="I611" s="147">
        <v>722210</v>
      </c>
      <c r="J611" s="147">
        <v>576459</v>
      </c>
    </row>
    <row r="612" spans="1:10" s="136" customFormat="1" ht="9" customHeight="1" x14ac:dyDescent="0.25">
      <c r="A612" s="140" t="s">
        <v>44</v>
      </c>
      <c r="B612" s="147">
        <f t="shared" si="32"/>
        <v>180037</v>
      </c>
      <c r="C612" s="147">
        <v>29179</v>
      </c>
      <c r="D612" s="147">
        <v>138256</v>
      </c>
      <c r="E612" s="147">
        <v>12602</v>
      </c>
      <c r="F612" s="147"/>
      <c r="G612" s="147">
        <f t="shared" si="33"/>
        <v>1282172</v>
      </c>
      <c r="H612" s="147">
        <v>181290</v>
      </c>
      <c r="I612" s="147">
        <v>620024</v>
      </c>
      <c r="J612" s="147">
        <v>480858</v>
      </c>
    </row>
    <row r="613" spans="1:10" s="136" customFormat="1" ht="9" customHeight="1" x14ac:dyDescent="0.25">
      <c r="A613" s="141" t="s">
        <v>45</v>
      </c>
      <c r="B613" s="150">
        <f t="shared" si="32"/>
        <v>185664</v>
      </c>
      <c r="C613" s="150">
        <v>43955</v>
      </c>
      <c r="D613" s="150">
        <v>129176</v>
      </c>
      <c r="E613" s="150">
        <v>12533</v>
      </c>
      <c r="F613" s="150"/>
      <c r="G613" s="150">
        <f t="shared" si="33"/>
        <v>1713166</v>
      </c>
      <c r="H613" s="150">
        <v>337553</v>
      </c>
      <c r="I613" s="150">
        <v>894472</v>
      </c>
      <c r="J613" s="150">
        <v>481141</v>
      </c>
    </row>
    <row r="614" spans="1:10" s="136" customFormat="1" ht="9" customHeight="1" x14ac:dyDescent="0.25">
      <c r="A614" s="140" t="s">
        <v>46</v>
      </c>
      <c r="B614" s="147">
        <f t="shared" si="32"/>
        <v>264160</v>
      </c>
      <c r="C614" s="147">
        <v>68650</v>
      </c>
      <c r="D614" s="147">
        <v>179531</v>
      </c>
      <c r="E614" s="147">
        <v>15979</v>
      </c>
      <c r="F614" s="147"/>
      <c r="G614" s="147">
        <f t="shared" si="33"/>
        <v>2175036</v>
      </c>
      <c r="H614" s="147">
        <v>479707</v>
      </c>
      <c r="I614" s="147">
        <v>1093843</v>
      </c>
      <c r="J614" s="147">
        <v>601486</v>
      </c>
    </row>
    <row r="615" spans="1:10" s="136" customFormat="1" ht="9" customHeight="1" x14ac:dyDescent="0.25">
      <c r="A615" s="140" t="s">
        <v>47</v>
      </c>
      <c r="B615" s="147">
        <f t="shared" si="32"/>
        <v>349919</v>
      </c>
      <c r="C615" s="147">
        <v>89278</v>
      </c>
      <c r="D615" s="147">
        <v>241101</v>
      </c>
      <c r="E615" s="147">
        <v>19540</v>
      </c>
      <c r="F615" s="147"/>
      <c r="G615" s="147">
        <f t="shared" si="33"/>
        <v>2949983</v>
      </c>
      <c r="H615" s="147">
        <v>690582</v>
      </c>
      <c r="I615" s="147">
        <v>1525628</v>
      </c>
      <c r="J615" s="147">
        <v>733773</v>
      </c>
    </row>
    <row r="616" spans="1:10" s="136" customFormat="1" ht="9" customHeight="1" x14ac:dyDescent="0.25">
      <c r="A616" s="140" t="s">
        <v>48</v>
      </c>
      <c r="B616" s="147">
        <f t="shared" si="32"/>
        <v>125498</v>
      </c>
      <c r="C616" s="147">
        <v>17114</v>
      </c>
      <c r="D616" s="147">
        <v>102015</v>
      </c>
      <c r="E616" s="147">
        <v>6369</v>
      </c>
      <c r="F616" s="147"/>
      <c r="G616" s="147">
        <f t="shared" si="33"/>
        <v>787365</v>
      </c>
      <c r="H616" s="147">
        <v>127274</v>
      </c>
      <c r="I616" s="147">
        <v>412501</v>
      </c>
      <c r="J616" s="147">
        <v>247590</v>
      </c>
    </row>
    <row r="617" spans="1:10" s="136" customFormat="1" ht="9" customHeight="1" x14ac:dyDescent="0.25">
      <c r="A617" s="141" t="s">
        <v>49</v>
      </c>
      <c r="B617" s="150">
        <f t="shared" si="32"/>
        <v>356360</v>
      </c>
      <c r="C617" s="150">
        <v>62433</v>
      </c>
      <c r="D617" s="150">
        <v>268571</v>
      </c>
      <c r="E617" s="150">
        <v>25356</v>
      </c>
      <c r="F617" s="150"/>
      <c r="G617" s="150">
        <f t="shared" si="33"/>
        <v>3106662</v>
      </c>
      <c r="H617" s="150">
        <v>501794</v>
      </c>
      <c r="I617" s="150">
        <v>1643060</v>
      </c>
      <c r="J617" s="150">
        <v>961808</v>
      </c>
    </row>
    <row r="618" spans="1:10" s="136" customFormat="1" ht="9" customHeight="1" x14ac:dyDescent="0.25">
      <c r="A618" s="140" t="s">
        <v>50</v>
      </c>
      <c r="B618" s="147">
        <f t="shared" si="32"/>
        <v>39244</v>
      </c>
      <c r="C618" s="147">
        <v>7017</v>
      </c>
      <c r="D618" s="147">
        <v>28899</v>
      </c>
      <c r="E618" s="147">
        <v>3328</v>
      </c>
      <c r="F618" s="147"/>
      <c r="G618" s="147">
        <f t="shared" si="33"/>
        <v>365213</v>
      </c>
      <c r="H618" s="147">
        <v>55905</v>
      </c>
      <c r="I618" s="147">
        <v>179732</v>
      </c>
      <c r="J618" s="147">
        <v>129576</v>
      </c>
    </row>
    <row r="619" spans="1:10" s="136" customFormat="1" ht="9" customHeight="1" x14ac:dyDescent="0.25">
      <c r="A619" s="140" t="s">
        <v>146</v>
      </c>
      <c r="B619" s="147">
        <f t="shared" si="32"/>
        <v>417182</v>
      </c>
      <c r="C619" s="147">
        <v>65126</v>
      </c>
      <c r="D619" s="147">
        <v>329281</v>
      </c>
      <c r="E619" s="147">
        <v>22775</v>
      </c>
      <c r="F619" s="147"/>
      <c r="G619" s="147">
        <f t="shared" si="33"/>
        <v>3159953</v>
      </c>
      <c r="H619" s="147">
        <v>488937</v>
      </c>
      <c r="I619" s="147">
        <v>1794805</v>
      </c>
      <c r="J619" s="147">
        <v>876211</v>
      </c>
    </row>
    <row r="620" spans="1:10" s="136" customFormat="1" ht="9" customHeight="1" x14ac:dyDescent="0.25">
      <c r="A620" s="140" t="s">
        <v>52</v>
      </c>
      <c r="B620" s="147">
        <f t="shared" si="32"/>
        <v>181238</v>
      </c>
      <c r="C620" s="147">
        <v>23792</v>
      </c>
      <c r="D620" s="147">
        <v>148604</v>
      </c>
      <c r="E620" s="147">
        <v>8842</v>
      </c>
      <c r="F620" s="147"/>
      <c r="G620" s="147">
        <f t="shared" si="33"/>
        <v>1193782</v>
      </c>
      <c r="H620" s="147">
        <v>188498</v>
      </c>
      <c r="I620" s="147">
        <v>659415</v>
      </c>
      <c r="J620" s="147">
        <v>345869</v>
      </c>
    </row>
    <row r="621" spans="1:10" s="136" customFormat="1" ht="9" customHeight="1" x14ac:dyDescent="0.25">
      <c r="A621" s="141" t="s">
        <v>53</v>
      </c>
      <c r="B621" s="150">
        <f t="shared" si="32"/>
        <v>86650</v>
      </c>
      <c r="C621" s="150">
        <v>15695</v>
      </c>
      <c r="D621" s="150">
        <v>65121</v>
      </c>
      <c r="E621" s="150">
        <v>5834</v>
      </c>
      <c r="F621" s="150"/>
      <c r="G621" s="150">
        <f t="shared" si="33"/>
        <v>708308</v>
      </c>
      <c r="H621" s="150">
        <v>107607</v>
      </c>
      <c r="I621" s="150">
        <v>380609</v>
      </c>
      <c r="J621" s="150">
        <v>220092</v>
      </c>
    </row>
    <row r="622" spans="1:10" s="145" customFormat="1" ht="5.25" customHeight="1" x14ac:dyDescent="0.25">
      <c r="A622" s="138"/>
      <c r="B622" s="148"/>
      <c r="C622" s="148"/>
      <c r="D622" s="148"/>
      <c r="E622" s="148"/>
      <c r="F622" s="148"/>
      <c r="G622" s="148"/>
      <c r="H622" s="148"/>
      <c r="I622" s="148"/>
      <c r="J622" s="148"/>
    </row>
    <row r="623" spans="1:10" s="136" customFormat="1" ht="9" customHeight="1" x14ac:dyDescent="0.25">
      <c r="A623" s="177">
        <v>2014</v>
      </c>
      <c r="B623" s="147"/>
      <c r="C623" s="140"/>
      <c r="D623" s="140"/>
      <c r="E623" s="140"/>
      <c r="F623" s="147"/>
      <c r="G623" s="147"/>
      <c r="H623" s="140"/>
      <c r="I623" s="140"/>
      <c r="J623" s="140"/>
    </row>
    <row r="624" spans="1:10" s="136" customFormat="1" ht="9" customHeight="1" x14ac:dyDescent="0.25">
      <c r="A624" s="138" t="s">
        <v>13</v>
      </c>
      <c r="B624" s="148">
        <f>SUM(B626:B657)</f>
        <v>8722457</v>
      </c>
      <c r="C624" s="148">
        <f>SUM(C626:C657)</f>
        <v>1862584</v>
      </c>
      <c r="D624" s="148">
        <f>SUM(D626:D657)</f>
        <v>6302781</v>
      </c>
      <c r="E624" s="148">
        <f>SUM(E626:E657)</f>
        <v>557092</v>
      </c>
      <c r="F624" s="148"/>
      <c r="G624" s="148">
        <f>SUM(G626:G657)</f>
        <v>72062310</v>
      </c>
      <c r="H624" s="148">
        <f>SUM(H626:H657)</f>
        <v>12907816</v>
      </c>
      <c r="I624" s="148">
        <f>SUM(I626:I657)</f>
        <v>37690045</v>
      </c>
      <c r="J624" s="148">
        <f>SUM(J626:J657)</f>
        <v>21464449</v>
      </c>
    </row>
    <row r="625" spans="1:10" s="136" customFormat="1" ht="2.4500000000000002" customHeight="1" x14ac:dyDescent="0.25">
      <c r="A625" s="138"/>
      <c r="B625" s="148"/>
      <c r="C625" s="148"/>
      <c r="E625" s="148"/>
      <c r="F625" s="148"/>
      <c r="G625" s="148"/>
      <c r="H625" s="148"/>
      <c r="I625" s="148"/>
      <c r="J625" s="148"/>
    </row>
    <row r="626" spans="1:10" s="136" customFormat="1" ht="9" customHeight="1" x14ac:dyDescent="0.25">
      <c r="A626" s="140" t="s">
        <v>23</v>
      </c>
      <c r="B626" s="147">
        <f t="shared" ref="B626:B657" si="34">SUM(C626,D626,E626)</f>
        <v>137782</v>
      </c>
      <c r="C626" s="147">
        <v>24833</v>
      </c>
      <c r="D626" s="160">
        <v>102741</v>
      </c>
      <c r="E626" s="160">
        <v>10208</v>
      </c>
      <c r="F626" s="147"/>
      <c r="G626" s="147">
        <f t="shared" ref="G626:G657" si="35">SUM(H626,I626,J626)</f>
        <v>1130259</v>
      </c>
      <c r="H626" s="147">
        <v>148097</v>
      </c>
      <c r="I626" s="147">
        <v>604664</v>
      </c>
      <c r="J626" s="160">
        <v>377498</v>
      </c>
    </row>
    <row r="627" spans="1:10" s="136" customFormat="1" ht="9" customHeight="1" x14ac:dyDescent="0.25">
      <c r="A627" s="140" t="s">
        <v>24</v>
      </c>
      <c r="B627" s="147">
        <f t="shared" si="34"/>
        <v>397540</v>
      </c>
      <c r="C627" s="147">
        <v>92654</v>
      </c>
      <c r="D627" s="160">
        <v>273480</v>
      </c>
      <c r="E627" s="147">
        <v>31406</v>
      </c>
      <c r="F627" s="147"/>
      <c r="G627" s="147">
        <f t="shared" si="35"/>
        <v>3477156</v>
      </c>
      <c r="H627" s="147">
        <v>582001</v>
      </c>
      <c r="I627" s="147">
        <v>1724562</v>
      </c>
      <c r="J627" s="147">
        <v>1170593</v>
      </c>
    </row>
    <row r="628" spans="1:10" s="136" customFormat="1" ht="9" customHeight="1" x14ac:dyDescent="0.25">
      <c r="A628" s="140" t="s">
        <v>25</v>
      </c>
      <c r="B628" s="147">
        <f t="shared" si="34"/>
        <v>93819</v>
      </c>
      <c r="C628" s="147">
        <v>21691</v>
      </c>
      <c r="D628" s="147">
        <v>66417</v>
      </c>
      <c r="E628" s="147">
        <v>5711</v>
      </c>
      <c r="F628" s="147"/>
      <c r="G628" s="147">
        <f t="shared" si="35"/>
        <v>630288</v>
      </c>
      <c r="H628" s="147">
        <v>123195</v>
      </c>
      <c r="I628" s="147">
        <v>289508</v>
      </c>
      <c r="J628" s="147">
        <v>217585</v>
      </c>
    </row>
    <row r="629" spans="1:10" s="136" customFormat="1" ht="9" customHeight="1" x14ac:dyDescent="0.25">
      <c r="A629" s="141" t="s">
        <v>26</v>
      </c>
      <c r="B629" s="150">
        <f t="shared" si="34"/>
        <v>64680</v>
      </c>
      <c r="C629" s="150">
        <v>8835</v>
      </c>
      <c r="D629" s="150">
        <v>51922</v>
      </c>
      <c r="E629" s="150">
        <v>3923</v>
      </c>
      <c r="F629" s="150"/>
      <c r="G629" s="150">
        <f t="shared" si="35"/>
        <v>490743</v>
      </c>
      <c r="H629" s="150">
        <v>65978</v>
      </c>
      <c r="I629" s="150">
        <v>271238</v>
      </c>
      <c r="J629" s="150">
        <v>153527</v>
      </c>
    </row>
    <row r="630" spans="1:10" s="136" customFormat="1" ht="9" customHeight="1" x14ac:dyDescent="0.25">
      <c r="A630" s="140" t="s">
        <v>126</v>
      </c>
      <c r="B630" s="147">
        <f t="shared" si="34"/>
        <v>336197</v>
      </c>
      <c r="C630" s="147">
        <v>67485</v>
      </c>
      <c r="D630" s="147">
        <v>244803</v>
      </c>
      <c r="E630" s="147">
        <v>23909</v>
      </c>
      <c r="F630" s="147"/>
      <c r="G630" s="147">
        <f t="shared" si="35"/>
        <v>2748168</v>
      </c>
      <c r="H630" s="147">
        <v>440378</v>
      </c>
      <c r="I630" s="147">
        <v>1410323</v>
      </c>
      <c r="J630" s="147">
        <v>897467</v>
      </c>
    </row>
    <row r="631" spans="1:10" s="136" customFormat="1" ht="9" customHeight="1" x14ac:dyDescent="0.25">
      <c r="A631" s="140" t="s">
        <v>28</v>
      </c>
      <c r="B631" s="147">
        <f t="shared" si="34"/>
        <v>69614</v>
      </c>
      <c r="C631" s="147">
        <v>17272</v>
      </c>
      <c r="D631" s="147">
        <v>47847</v>
      </c>
      <c r="E631" s="147">
        <v>4495</v>
      </c>
      <c r="F631" s="147"/>
      <c r="G631" s="147">
        <f t="shared" si="35"/>
        <v>566995</v>
      </c>
      <c r="H631" s="147">
        <v>118313</v>
      </c>
      <c r="I631" s="147">
        <v>277451</v>
      </c>
      <c r="J631" s="147">
        <v>171231</v>
      </c>
    </row>
    <row r="632" spans="1:10" s="136" customFormat="1" ht="9" customHeight="1" x14ac:dyDescent="0.25">
      <c r="A632" s="140" t="s">
        <v>29</v>
      </c>
      <c r="B632" s="147">
        <f t="shared" si="34"/>
        <v>131595</v>
      </c>
      <c r="C632" s="147">
        <v>15538</v>
      </c>
      <c r="D632" s="147">
        <v>108256</v>
      </c>
      <c r="E632" s="147">
        <v>7801</v>
      </c>
      <c r="F632" s="147"/>
      <c r="G632" s="147">
        <f t="shared" si="35"/>
        <v>932339</v>
      </c>
      <c r="H632" s="147">
        <v>118318</v>
      </c>
      <c r="I632" s="147">
        <v>512491</v>
      </c>
      <c r="J632" s="147">
        <v>301530</v>
      </c>
    </row>
    <row r="633" spans="1:10" s="136" customFormat="1" ht="9" customHeight="1" x14ac:dyDescent="0.25">
      <c r="A633" s="141" t="s">
        <v>30</v>
      </c>
      <c r="B633" s="150">
        <f t="shared" si="34"/>
        <v>447133</v>
      </c>
      <c r="C633" s="150">
        <v>90839</v>
      </c>
      <c r="D633" s="150">
        <v>326112</v>
      </c>
      <c r="E633" s="150">
        <v>30182</v>
      </c>
      <c r="F633" s="150"/>
      <c r="G633" s="150">
        <f t="shared" si="35"/>
        <v>4312095</v>
      </c>
      <c r="H633" s="150">
        <v>781258</v>
      </c>
      <c r="I633" s="150">
        <v>2394034</v>
      </c>
      <c r="J633" s="150">
        <v>1136803</v>
      </c>
    </row>
    <row r="634" spans="1:10" s="136" customFormat="1" ht="9" customHeight="1" x14ac:dyDescent="0.25">
      <c r="A634" s="140" t="s">
        <v>144</v>
      </c>
      <c r="B634" s="147">
        <f t="shared" si="34"/>
        <v>995155</v>
      </c>
      <c r="C634" s="147">
        <v>209171</v>
      </c>
      <c r="D634" s="147">
        <v>737077</v>
      </c>
      <c r="E634" s="147">
        <v>48907</v>
      </c>
      <c r="F634" s="147"/>
      <c r="G634" s="147">
        <f t="shared" si="35"/>
        <v>7321185</v>
      </c>
      <c r="H634" s="147">
        <v>1261048</v>
      </c>
      <c r="I634" s="147">
        <v>4128324</v>
      </c>
      <c r="J634" s="147">
        <v>1931813</v>
      </c>
    </row>
    <row r="635" spans="1:10" s="136" customFormat="1" ht="9" customHeight="1" x14ac:dyDescent="0.25">
      <c r="A635" s="140" t="s">
        <v>31</v>
      </c>
      <c r="B635" s="147">
        <f t="shared" si="34"/>
        <v>88656</v>
      </c>
      <c r="C635" s="147">
        <v>20713</v>
      </c>
      <c r="D635" s="147">
        <v>59790</v>
      </c>
      <c r="E635" s="147">
        <v>8153</v>
      </c>
      <c r="F635" s="147"/>
      <c r="G635" s="147">
        <f t="shared" si="35"/>
        <v>923105</v>
      </c>
      <c r="H635" s="147">
        <v>156254</v>
      </c>
      <c r="I635" s="147">
        <v>452712</v>
      </c>
      <c r="J635" s="147">
        <v>314139</v>
      </c>
    </row>
    <row r="636" spans="1:10" s="136" customFormat="1" ht="9" customHeight="1" x14ac:dyDescent="0.25">
      <c r="A636" s="140" t="s">
        <v>32</v>
      </c>
      <c r="B636" s="147">
        <f t="shared" si="34"/>
        <v>363534</v>
      </c>
      <c r="C636" s="147">
        <v>90437</v>
      </c>
      <c r="D636" s="147">
        <v>244259</v>
      </c>
      <c r="E636" s="147">
        <v>28838</v>
      </c>
      <c r="F636" s="147"/>
      <c r="G636" s="147">
        <f t="shared" si="35"/>
        <v>3542412</v>
      </c>
      <c r="H636" s="147">
        <v>713542</v>
      </c>
      <c r="I636" s="147">
        <v>1703860</v>
      </c>
      <c r="J636" s="147">
        <v>1125010</v>
      </c>
    </row>
    <row r="637" spans="1:10" s="136" customFormat="1" ht="9" customHeight="1" x14ac:dyDescent="0.25">
      <c r="A637" s="141" t="s">
        <v>33</v>
      </c>
      <c r="B637" s="150">
        <f t="shared" si="34"/>
        <v>82125</v>
      </c>
      <c r="C637" s="150">
        <v>13946</v>
      </c>
      <c r="D637" s="150">
        <v>62661</v>
      </c>
      <c r="E637" s="150">
        <v>5518</v>
      </c>
      <c r="F637" s="150"/>
      <c r="G637" s="150">
        <f t="shared" si="35"/>
        <v>648384</v>
      </c>
      <c r="H637" s="150">
        <v>98020</v>
      </c>
      <c r="I637" s="150">
        <v>341490</v>
      </c>
      <c r="J637" s="150">
        <v>208874</v>
      </c>
    </row>
    <row r="638" spans="1:10" s="136" customFormat="1" ht="9" customHeight="1" x14ac:dyDescent="0.25">
      <c r="A638" s="140" t="s">
        <v>34</v>
      </c>
      <c r="B638" s="147">
        <f t="shared" si="34"/>
        <v>101814</v>
      </c>
      <c r="C638" s="147">
        <v>25772</v>
      </c>
      <c r="D638" s="147">
        <v>69030</v>
      </c>
      <c r="E638" s="147">
        <v>7012</v>
      </c>
      <c r="F638" s="147"/>
      <c r="G638" s="147">
        <f t="shared" si="35"/>
        <v>865594</v>
      </c>
      <c r="H638" s="147">
        <v>179269</v>
      </c>
      <c r="I638" s="147">
        <v>413514</v>
      </c>
      <c r="J638" s="147">
        <v>272811</v>
      </c>
    </row>
    <row r="639" spans="1:10" s="136" customFormat="1" ht="9" customHeight="1" x14ac:dyDescent="0.25">
      <c r="A639" s="140" t="s">
        <v>35</v>
      </c>
      <c r="B639" s="147">
        <f t="shared" si="34"/>
        <v>765248</v>
      </c>
      <c r="C639" s="147">
        <v>180250</v>
      </c>
      <c r="D639" s="147">
        <v>533706</v>
      </c>
      <c r="E639" s="147">
        <v>51292</v>
      </c>
      <c r="F639" s="147"/>
      <c r="G639" s="147">
        <f t="shared" si="35"/>
        <v>6852389</v>
      </c>
      <c r="H639" s="147">
        <v>1240587</v>
      </c>
      <c r="I639" s="147">
        <v>3617826</v>
      </c>
      <c r="J639" s="147">
        <v>1993976</v>
      </c>
    </row>
    <row r="640" spans="1:10" s="136" customFormat="1" ht="9" customHeight="1" x14ac:dyDescent="0.25">
      <c r="A640" s="140" t="s">
        <v>145</v>
      </c>
      <c r="B640" s="147">
        <f t="shared" si="34"/>
        <v>1089059</v>
      </c>
      <c r="C640" s="147">
        <v>299846</v>
      </c>
      <c r="D640" s="147">
        <v>736410</v>
      </c>
      <c r="E640" s="147">
        <v>52803</v>
      </c>
      <c r="F640" s="147"/>
      <c r="G640" s="147">
        <f t="shared" si="35"/>
        <v>8011649</v>
      </c>
      <c r="H640" s="147">
        <v>1832777</v>
      </c>
      <c r="I640" s="147">
        <v>4120697</v>
      </c>
      <c r="J640" s="147">
        <v>2058175</v>
      </c>
    </row>
    <row r="641" spans="1:10" s="136" customFormat="1" ht="9" customHeight="1" x14ac:dyDescent="0.25">
      <c r="A641" s="141" t="s">
        <v>129</v>
      </c>
      <c r="B641" s="150">
        <f t="shared" si="34"/>
        <v>203106</v>
      </c>
      <c r="C641" s="150">
        <v>41755</v>
      </c>
      <c r="D641" s="150">
        <v>148406</v>
      </c>
      <c r="E641" s="150">
        <v>12945</v>
      </c>
      <c r="F641" s="150"/>
      <c r="G641" s="150">
        <f t="shared" si="35"/>
        <v>1615977</v>
      </c>
      <c r="H641" s="150">
        <v>280574</v>
      </c>
      <c r="I641" s="150">
        <v>832662</v>
      </c>
      <c r="J641" s="150">
        <v>502741</v>
      </c>
    </row>
    <row r="642" spans="1:10" s="136" customFormat="1" ht="9" customHeight="1" x14ac:dyDescent="0.25">
      <c r="A642" s="140" t="s">
        <v>38</v>
      </c>
      <c r="B642" s="147">
        <f t="shared" si="34"/>
        <v>138493</v>
      </c>
      <c r="C642" s="147">
        <v>20152</v>
      </c>
      <c r="D642" s="147">
        <v>111080</v>
      </c>
      <c r="E642" s="147">
        <v>7261</v>
      </c>
      <c r="F642" s="147"/>
      <c r="G642" s="147">
        <f t="shared" si="35"/>
        <v>914446</v>
      </c>
      <c r="H642" s="147">
        <v>137633</v>
      </c>
      <c r="I642" s="147">
        <v>499260</v>
      </c>
      <c r="J642" s="147">
        <v>277553</v>
      </c>
    </row>
    <row r="643" spans="1:10" s="136" customFormat="1" ht="9" customHeight="1" x14ac:dyDescent="0.25">
      <c r="A643" s="140" t="s">
        <v>39</v>
      </c>
      <c r="B643" s="147">
        <f t="shared" si="34"/>
        <v>77281</v>
      </c>
      <c r="C643" s="147">
        <v>16195</v>
      </c>
      <c r="D643" s="147">
        <v>56247</v>
      </c>
      <c r="E643" s="147">
        <v>4839</v>
      </c>
      <c r="F643" s="147"/>
      <c r="G643" s="147">
        <f t="shared" si="35"/>
        <v>572968</v>
      </c>
      <c r="H643" s="147">
        <v>104911</v>
      </c>
      <c r="I643" s="147">
        <v>284332</v>
      </c>
      <c r="J643" s="147">
        <v>183725</v>
      </c>
    </row>
    <row r="644" spans="1:10" s="136" customFormat="1" ht="9" customHeight="1" x14ac:dyDescent="0.25">
      <c r="A644" s="140" t="s">
        <v>40</v>
      </c>
      <c r="B644" s="147">
        <f t="shared" si="34"/>
        <v>470532</v>
      </c>
      <c r="C644" s="147">
        <v>92074</v>
      </c>
      <c r="D644" s="147">
        <v>340200</v>
      </c>
      <c r="E644" s="147">
        <v>38258</v>
      </c>
      <c r="F644" s="147"/>
      <c r="G644" s="147">
        <f t="shared" si="35"/>
        <v>4764816</v>
      </c>
      <c r="H644" s="147">
        <v>746867</v>
      </c>
      <c r="I644" s="147">
        <v>2522240</v>
      </c>
      <c r="J644" s="147">
        <v>1495709</v>
      </c>
    </row>
    <row r="645" spans="1:10" s="136" customFormat="1" ht="9" customHeight="1" x14ac:dyDescent="0.25">
      <c r="A645" s="141" t="s">
        <v>41</v>
      </c>
      <c r="B645" s="150">
        <f t="shared" si="34"/>
        <v>109140</v>
      </c>
      <c r="C645" s="150">
        <v>15420</v>
      </c>
      <c r="D645" s="150">
        <v>86902</v>
      </c>
      <c r="E645" s="150">
        <v>6818</v>
      </c>
      <c r="F645" s="150"/>
      <c r="G645" s="150">
        <f t="shared" si="35"/>
        <v>851267</v>
      </c>
      <c r="H645" s="150">
        <v>118561</v>
      </c>
      <c r="I645" s="150">
        <v>467672</v>
      </c>
      <c r="J645" s="150">
        <v>265034</v>
      </c>
    </row>
    <row r="646" spans="1:10" s="136" customFormat="1" ht="9" customHeight="1" x14ac:dyDescent="0.25">
      <c r="A646" s="140" t="s">
        <v>42</v>
      </c>
      <c r="B646" s="147">
        <f t="shared" si="34"/>
        <v>241081</v>
      </c>
      <c r="C646" s="147">
        <v>55105</v>
      </c>
      <c r="D646" s="147">
        <v>170020</v>
      </c>
      <c r="E646" s="147">
        <v>15956</v>
      </c>
      <c r="F646" s="147"/>
      <c r="G646" s="147">
        <f t="shared" si="35"/>
        <v>1963210</v>
      </c>
      <c r="H646" s="147">
        <v>364526</v>
      </c>
      <c r="I646" s="147">
        <v>978756</v>
      </c>
      <c r="J646" s="147">
        <v>619928</v>
      </c>
    </row>
    <row r="647" spans="1:10" s="136" customFormat="1" ht="9" customHeight="1" x14ac:dyDescent="0.25">
      <c r="A647" s="140" t="s">
        <v>43</v>
      </c>
      <c r="B647" s="147">
        <f t="shared" si="34"/>
        <v>182934</v>
      </c>
      <c r="C647" s="147">
        <v>30579</v>
      </c>
      <c r="D647" s="147">
        <v>136644</v>
      </c>
      <c r="E647" s="147">
        <v>15711</v>
      </c>
      <c r="F647" s="147"/>
      <c r="G647" s="147">
        <f t="shared" si="35"/>
        <v>1577725</v>
      </c>
      <c r="H647" s="147">
        <v>209507</v>
      </c>
      <c r="I647" s="147">
        <v>756789</v>
      </c>
      <c r="J647" s="147">
        <v>611429</v>
      </c>
    </row>
    <row r="648" spans="1:10" s="136" customFormat="1" ht="9" customHeight="1" x14ac:dyDescent="0.25">
      <c r="A648" s="140" t="s">
        <v>44</v>
      </c>
      <c r="B648" s="147">
        <f t="shared" si="34"/>
        <v>165744</v>
      </c>
      <c r="C648" s="147">
        <v>29871</v>
      </c>
      <c r="D648" s="147">
        <v>123382</v>
      </c>
      <c r="E648" s="147">
        <v>12491</v>
      </c>
      <c r="F648" s="147"/>
      <c r="G648" s="147">
        <f t="shared" si="35"/>
        <v>1266121</v>
      </c>
      <c r="H648" s="147">
        <v>189242</v>
      </c>
      <c r="I648" s="147">
        <v>597987</v>
      </c>
      <c r="J648" s="147">
        <v>478892</v>
      </c>
    </row>
    <row r="649" spans="1:10" s="136" customFormat="1" ht="9" customHeight="1" x14ac:dyDescent="0.25">
      <c r="A649" s="141" t="s">
        <v>45</v>
      </c>
      <c r="B649" s="150">
        <f t="shared" si="34"/>
        <v>185971</v>
      </c>
      <c r="C649" s="150">
        <v>42928</v>
      </c>
      <c r="D649" s="150">
        <v>130351</v>
      </c>
      <c r="E649" s="150">
        <v>12692</v>
      </c>
      <c r="F649" s="150"/>
      <c r="G649" s="150">
        <f t="shared" si="35"/>
        <v>1749015</v>
      </c>
      <c r="H649" s="150">
        <v>334702</v>
      </c>
      <c r="I649" s="150">
        <v>925688</v>
      </c>
      <c r="J649" s="150">
        <v>488625</v>
      </c>
    </row>
    <row r="650" spans="1:10" s="136" customFormat="1" ht="9" customHeight="1" x14ac:dyDescent="0.25">
      <c r="A650" s="140" t="s">
        <v>46</v>
      </c>
      <c r="B650" s="147">
        <f t="shared" si="34"/>
        <v>264677</v>
      </c>
      <c r="C650" s="147">
        <v>63163</v>
      </c>
      <c r="D650" s="147">
        <v>185466</v>
      </c>
      <c r="E650" s="147">
        <v>16048</v>
      </c>
      <c r="F650" s="147"/>
      <c r="G650" s="147">
        <f t="shared" si="35"/>
        <v>2121216</v>
      </c>
      <c r="H650" s="147">
        <v>441706</v>
      </c>
      <c r="I650" s="147">
        <v>1072873</v>
      </c>
      <c r="J650" s="147">
        <v>606637</v>
      </c>
    </row>
    <row r="651" spans="1:10" s="136" customFormat="1" ht="9" customHeight="1" x14ac:dyDescent="0.25">
      <c r="A651" s="140" t="s">
        <v>47</v>
      </c>
      <c r="B651" s="147">
        <f t="shared" si="34"/>
        <v>344789</v>
      </c>
      <c r="C651" s="147">
        <v>82376</v>
      </c>
      <c r="D651" s="147">
        <v>242439</v>
      </c>
      <c r="E651" s="147">
        <v>19974</v>
      </c>
      <c r="F651" s="147"/>
      <c r="G651" s="147">
        <f t="shared" si="35"/>
        <v>2859919</v>
      </c>
      <c r="H651" s="147">
        <v>644638</v>
      </c>
      <c r="I651" s="147">
        <v>1455805</v>
      </c>
      <c r="J651" s="147">
        <v>759476</v>
      </c>
    </row>
    <row r="652" spans="1:10" s="136" customFormat="1" ht="9" customHeight="1" x14ac:dyDescent="0.25">
      <c r="A652" s="140" t="s">
        <v>48</v>
      </c>
      <c r="B652" s="147">
        <f t="shared" si="34"/>
        <v>115011</v>
      </c>
      <c r="C652" s="147">
        <v>16992</v>
      </c>
      <c r="D652" s="147">
        <v>91649</v>
      </c>
      <c r="E652" s="147">
        <v>6370</v>
      </c>
      <c r="F652" s="147"/>
      <c r="G652" s="147">
        <f t="shared" si="35"/>
        <v>779954</v>
      </c>
      <c r="H652" s="147">
        <v>124475</v>
      </c>
      <c r="I652" s="147">
        <v>407444</v>
      </c>
      <c r="J652" s="147">
        <v>248035</v>
      </c>
    </row>
    <row r="653" spans="1:10" s="136" customFormat="1" ht="9" customHeight="1" x14ac:dyDescent="0.25">
      <c r="A653" s="141" t="s">
        <v>49</v>
      </c>
      <c r="B653" s="150">
        <f t="shared" si="34"/>
        <v>338061</v>
      </c>
      <c r="C653" s="150">
        <v>63664</v>
      </c>
      <c r="D653" s="150">
        <v>248651</v>
      </c>
      <c r="E653" s="150">
        <v>25746</v>
      </c>
      <c r="F653" s="150"/>
      <c r="G653" s="150">
        <f t="shared" si="35"/>
        <v>3033809</v>
      </c>
      <c r="H653" s="150">
        <v>483791</v>
      </c>
      <c r="I653" s="150">
        <v>1569118</v>
      </c>
      <c r="J653" s="150">
        <v>980900</v>
      </c>
    </row>
    <row r="654" spans="1:10" s="136" customFormat="1" ht="9" customHeight="1" x14ac:dyDescent="0.25">
      <c r="A654" s="140" t="s">
        <v>50</v>
      </c>
      <c r="B654" s="147">
        <f t="shared" si="34"/>
        <v>40694</v>
      </c>
      <c r="C654" s="147">
        <v>7362</v>
      </c>
      <c r="D654" s="147">
        <v>29901</v>
      </c>
      <c r="E654" s="147">
        <v>3431</v>
      </c>
      <c r="F654" s="147"/>
      <c r="G654" s="147">
        <f t="shared" si="35"/>
        <v>374221</v>
      </c>
      <c r="H654" s="147">
        <v>59750</v>
      </c>
      <c r="I654" s="147">
        <v>181359</v>
      </c>
      <c r="J654" s="147">
        <v>133112</v>
      </c>
    </row>
    <row r="655" spans="1:10" s="136" customFormat="1" ht="9" customHeight="1" x14ac:dyDescent="0.25">
      <c r="A655" s="140" t="s">
        <v>146</v>
      </c>
      <c r="B655" s="147">
        <f t="shared" si="34"/>
        <v>414152</v>
      </c>
      <c r="C655" s="147">
        <v>65413</v>
      </c>
      <c r="D655" s="147">
        <v>325429</v>
      </c>
      <c r="E655" s="147">
        <v>23310</v>
      </c>
      <c r="F655" s="147"/>
      <c r="G655" s="147">
        <f t="shared" si="35"/>
        <v>3243579</v>
      </c>
      <c r="H655" s="147">
        <v>507911</v>
      </c>
      <c r="I655" s="147">
        <v>1836735</v>
      </c>
      <c r="J655" s="147">
        <v>898933</v>
      </c>
    </row>
    <row r="656" spans="1:10" s="136" customFormat="1" ht="9" customHeight="1" x14ac:dyDescent="0.25">
      <c r="A656" s="140" t="s">
        <v>52</v>
      </c>
      <c r="B656" s="147">
        <f t="shared" si="34"/>
        <v>176089</v>
      </c>
      <c r="C656" s="147">
        <v>24568</v>
      </c>
      <c r="D656" s="147">
        <v>142472</v>
      </c>
      <c r="E656" s="147">
        <v>9049</v>
      </c>
      <c r="F656" s="147"/>
      <c r="G656" s="147">
        <f t="shared" si="35"/>
        <v>1180191</v>
      </c>
      <c r="H656" s="147">
        <v>190728</v>
      </c>
      <c r="I656" s="147">
        <v>634980</v>
      </c>
      <c r="J656" s="147">
        <v>354483</v>
      </c>
    </row>
    <row r="657" spans="1:11" s="136" customFormat="1" ht="9" customHeight="1" x14ac:dyDescent="0.25">
      <c r="A657" s="141" t="s">
        <v>53</v>
      </c>
      <c r="B657" s="150">
        <f t="shared" si="34"/>
        <v>90751</v>
      </c>
      <c r="C657" s="150">
        <v>15685</v>
      </c>
      <c r="D657" s="150">
        <v>69031</v>
      </c>
      <c r="E657" s="150">
        <v>6035</v>
      </c>
      <c r="F657" s="150"/>
      <c r="G657" s="150">
        <f t="shared" si="35"/>
        <v>741115</v>
      </c>
      <c r="H657" s="150">
        <v>109259</v>
      </c>
      <c r="I657" s="150">
        <v>403651</v>
      </c>
      <c r="J657" s="150">
        <v>228205</v>
      </c>
    </row>
    <row r="658" spans="1:11" s="145" customFormat="1" ht="5.45" customHeight="1" x14ac:dyDescent="0.25">
      <c r="A658" s="138"/>
      <c r="B658" s="148"/>
      <c r="C658" s="148"/>
      <c r="D658" s="148"/>
      <c r="E658" s="148"/>
      <c r="F658" s="148"/>
      <c r="G658" s="148"/>
      <c r="H658" s="148"/>
      <c r="I658" s="148"/>
      <c r="J658" s="148"/>
    </row>
    <row r="659" spans="1:11" s="145" customFormat="1" ht="9" customHeight="1" x14ac:dyDescent="0.25">
      <c r="A659" s="177">
        <v>2015</v>
      </c>
      <c r="B659" s="147"/>
      <c r="C659" s="140"/>
      <c r="D659" s="140"/>
      <c r="E659" s="140"/>
      <c r="F659" s="147"/>
      <c r="G659" s="147"/>
      <c r="H659" s="140"/>
      <c r="I659" s="140"/>
      <c r="J659" s="140"/>
      <c r="K659" s="136"/>
    </row>
    <row r="660" spans="1:11" s="145" customFormat="1" ht="9" customHeight="1" x14ac:dyDescent="0.25">
      <c r="A660" s="138" t="s">
        <v>13</v>
      </c>
      <c r="B660" s="148">
        <f>SUM(B662:B693)</f>
        <v>9201063</v>
      </c>
      <c r="C660" s="148">
        <f>SUM(C662:C693)</f>
        <v>1987522</v>
      </c>
      <c r="D660" s="148">
        <f>SUM(D662:D693)</f>
        <v>6649251</v>
      </c>
      <c r="E660" s="148">
        <f>SUM(E662:E693)</f>
        <v>564290</v>
      </c>
      <c r="F660" s="148"/>
      <c r="G660" s="148">
        <f>SUM(G662:G693)</f>
        <v>75204576</v>
      </c>
      <c r="H660" s="148">
        <f>SUM(H662:H693)</f>
        <v>13904164</v>
      </c>
      <c r="I660" s="148">
        <f>SUM(I662:I693)</f>
        <v>39553903</v>
      </c>
      <c r="J660" s="148">
        <f>SUM(J662:J693)</f>
        <v>21746509</v>
      </c>
      <c r="K660" s="136"/>
    </row>
    <row r="661" spans="1:11" s="145" customFormat="1" ht="2.4500000000000002" customHeight="1" x14ac:dyDescent="0.25">
      <c r="A661" s="138"/>
      <c r="B661" s="148"/>
      <c r="C661" s="148"/>
      <c r="D661" s="136"/>
      <c r="E661" s="148"/>
      <c r="F661" s="148"/>
      <c r="G661" s="148"/>
      <c r="H661" s="148"/>
      <c r="I661" s="148"/>
      <c r="J661" s="148"/>
      <c r="K661" s="136"/>
    </row>
    <row r="662" spans="1:11" s="145" customFormat="1" ht="9" customHeight="1" x14ac:dyDescent="0.25">
      <c r="A662" s="140" t="s">
        <v>23</v>
      </c>
      <c r="B662" s="147">
        <f t="shared" ref="B662:B693" si="36">SUM(C662,D662,E662)</f>
        <v>146324</v>
      </c>
      <c r="C662" s="147">
        <v>26635</v>
      </c>
      <c r="D662" s="160">
        <v>109130</v>
      </c>
      <c r="E662" s="160">
        <v>10559</v>
      </c>
      <c r="F662" s="147"/>
      <c r="G662" s="147">
        <f t="shared" ref="G662:G693" si="37">SUM(H662,I662,J662)</f>
        <v>1189412</v>
      </c>
      <c r="H662" s="147">
        <v>162384</v>
      </c>
      <c r="I662" s="147">
        <v>637944</v>
      </c>
      <c r="J662" s="160">
        <v>389084</v>
      </c>
      <c r="K662" s="136"/>
    </row>
    <row r="663" spans="1:11" s="145" customFormat="1" ht="9" customHeight="1" x14ac:dyDescent="0.25">
      <c r="A663" s="140" t="s">
        <v>24</v>
      </c>
      <c r="B663" s="147">
        <f t="shared" si="36"/>
        <v>406288</v>
      </c>
      <c r="C663" s="147">
        <v>99552</v>
      </c>
      <c r="D663" s="160">
        <v>275144</v>
      </c>
      <c r="E663" s="147">
        <v>31592</v>
      </c>
      <c r="F663" s="147"/>
      <c r="G663" s="147">
        <f t="shared" si="37"/>
        <v>3552148</v>
      </c>
      <c r="H663" s="147">
        <v>625595</v>
      </c>
      <c r="I663" s="147">
        <v>1744264</v>
      </c>
      <c r="J663" s="147">
        <v>1182289</v>
      </c>
      <c r="K663" s="136"/>
    </row>
    <row r="664" spans="1:11" s="145" customFormat="1" ht="9" customHeight="1" x14ac:dyDescent="0.25">
      <c r="A664" s="140" t="s">
        <v>25</v>
      </c>
      <c r="B664" s="147">
        <f t="shared" si="36"/>
        <v>92578</v>
      </c>
      <c r="C664" s="147">
        <v>22857</v>
      </c>
      <c r="D664" s="147">
        <v>64026</v>
      </c>
      <c r="E664" s="147">
        <v>5695</v>
      </c>
      <c r="F664" s="147"/>
      <c r="G664" s="147">
        <f t="shared" si="37"/>
        <v>647876</v>
      </c>
      <c r="H664" s="147">
        <v>129104</v>
      </c>
      <c r="I664" s="147">
        <v>302032</v>
      </c>
      <c r="J664" s="147">
        <v>216740</v>
      </c>
      <c r="K664" s="136"/>
    </row>
    <row r="665" spans="1:11" s="145" customFormat="1" ht="9" customHeight="1" x14ac:dyDescent="0.25">
      <c r="A665" s="141" t="s">
        <v>26</v>
      </c>
      <c r="B665" s="150">
        <f t="shared" si="36"/>
        <v>78719</v>
      </c>
      <c r="C665" s="150">
        <v>8111</v>
      </c>
      <c r="D665" s="150">
        <v>66606</v>
      </c>
      <c r="E665" s="150">
        <v>4002</v>
      </c>
      <c r="F665" s="150"/>
      <c r="G665" s="150">
        <f t="shared" si="37"/>
        <v>514503</v>
      </c>
      <c r="H665" s="150">
        <v>63107</v>
      </c>
      <c r="I665" s="150">
        <v>296673</v>
      </c>
      <c r="J665" s="150">
        <v>154723</v>
      </c>
      <c r="K665" s="136"/>
    </row>
    <row r="666" spans="1:11" s="145" customFormat="1" ht="9" customHeight="1" x14ac:dyDescent="0.25">
      <c r="A666" s="140" t="s">
        <v>126</v>
      </c>
      <c r="B666" s="147">
        <f t="shared" si="36"/>
        <v>346812</v>
      </c>
      <c r="C666" s="147">
        <v>73241</v>
      </c>
      <c r="D666" s="147">
        <v>249410</v>
      </c>
      <c r="E666" s="147">
        <v>24161</v>
      </c>
      <c r="F666" s="147"/>
      <c r="G666" s="147">
        <f t="shared" si="37"/>
        <v>2887176</v>
      </c>
      <c r="H666" s="147">
        <v>483787</v>
      </c>
      <c r="I666" s="147">
        <v>1490306</v>
      </c>
      <c r="J666" s="147">
        <v>913083</v>
      </c>
      <c r="K666" s="136"/>
    </row>
    <row r="667" spans="1:11" s="145" customFormat="1" ht="9" customHeight="1" x14ac:dyDescent="0.25">
      <c r="A667" s="140" t="s">
        <v>28</v>
      </c>
      <c r="B667" s="147">
        <f t="shared" si="36"/>
        <v>112137</v>
      </c>
      <c r="C667" s="147">
        <v>17399</v>
      </c>
      <c r="D667" s="147">
        <v>90151</v>
      </c>
      <c r="E667" s="147">
        <v>4587</v>
      </c>
      <c r="F667" s="147"/>
      <c r="G667" s="147">
        <f t="shared" si="37"/>
        <v>669534</v>
      </c>
      <c r="H667" s="147">
        <v>117832</v>
      </c>
      <c r="I667" s="147">
        <v>376234</v>
      </c>
      <c r="J667" s="147">
        <v>175468</v>
      </c>
      <c r="K667" s="136"/>
    </row>
    <row r="668" spans="1:11" s="145" customFormat="1" ht="9" customHeight="1" x14ac:dyDescent="0.25">
      <c r="A668" s="140" t="s">
        <v>29</v>
      </c>
      <c r="B668" s="147">
        <f t="shared" si="36"/>
        <v>181817</v>
      </c>
      <c r="C668" s="147">
        <v>16155</v>
      </c>
      <c r="D668" s="147">
        <v>157379</v>
      </c>
      <c r="E668" s="147">
        <v>8283</v>
      </c>
      <c r="F668" s="147"/>
      <c r="G668" s="147">
        <f t="shared" si="37"/>
        <v>1097028</v>
      </c>
      <c r="H668" s="147">
        <v>128272</v>
      </c>
      <c r="I668" s="147">
        <v>648281</v>
      </c>
      <c r="J668" s="147">
        <v>320475</v>
      </c>
      <c r="K668" s="136"/>
    </row>
    <row r="669" spans="1:11" s="145" customFormat="1" ht="9" customHeight="1" x14ac:dyDescent="0.25">
      <c r="A669" s="141" t="s">
        <v>30</v>
      </c>
      <c r="B669" s="150">
        <f t="shared" si="36"/>
        <v>475327</v>
      </c>
      <c r="C669" s="150">
        <v>98881</v>
      </c>
      <c r="D669" s="150">
        <v>345019</v>
      </c>
      <c r="E669" s="150">
        <v>31427</v>
      </c>
      <c r="F669" s="150"/>
      <c r="G669" s="150">
        <f t="shared" si="37"/>
        <v>4604272</v>
      </c>
      <c r="H669" s="150">
        <v>854184</v>
      </c>
      <c r="I669" s="150">
        <v>2569250</v>
      </c>
      <c r="J669" s="150">
        <v>1180838</v>
      </c>
      <c r="K669" s="136"/>
    </row>
    <row r="670" spans="1:11" s="145" customFormat="1" ht="9" customHeight="1" x14ac:dyDescent="0.25">
      <c r="A670" s="140" t="s">
        <v>144</v>
      </c>
      <c r="B670" s="147">
        <f t="shared" si="36"/>
        <v>991550</v>
      </c>
      <c r="C670" s="147">
        <v>220316</v>
      </c>
      <c r="D670" s="147">
        <v>723239</v>
      </c>
      <c r="E670" s="147">
        <v>47995</v>
      </c>
      <c r="F670" s="147"/>
      <c r="G670" s="147">
        <f t="shared" si="37"/>
        <v>7370409</v>
      </c>
      <c r="H670" s="147">
        <v>1328884</v>
      </c>
      <c r="I670" s="147">
        <v>4145740</v>
      </c>
      <c r="J670" s="147">
        <v>1895785</v>
      </c>
      <c r="K670" s="136"/>
    </row>
    <row r="671" spans="1:11" s="145" customFormat="1" ht="9" customHeight="1" x14ac:dyDescent="0.25">
      <c r="A671" s="140" t="s">
        <v>31</v>
      </c>
      <c r="B671" s="147">
        <f t="shared" si="36"/>
        <v>93411</v>
      </c>
      <c r="C671" s="147">
        <v>24421</v>
      </c>
      <c r="D671" s="147">
        <v>60789</v>
      </c>
      <c r="E671" s="147">
        <v>8201</v>
      </c>
      <c r="F671" s="147"/>
      <c r="G671" s="147">
        <f t="shared" si="37"/>
        <v>981174</v>
      </c>
      <c r="H671" s="147">
        <v>190186</v>
      </c>
      <c r="I671" s="147">
        <v>475946</v>
      </c>
      <c r="J671" s="147">
        <v>315042</v>
      </c>
      <c r="K671" s="136"/>
    </row>
    <row r="672" spans="1:11" s="145" customFormat="1" ht="9" customHeight="1" x14ac:dyDescent="0.25">
      <c r="A672" s="140" t="s">
        <v>32</v>
      </c>
      <c r="B672" s="147">
        <f t="shared" si="36"/>
        <v>384637</v>
      </c>
      <c r="C672" s="147">
        <v>101386</v>
      </c>
      <c r="D672" s="147">
        <v>252831</v>
      </c>
      <c r="E672" s="147">
        <v>30420</v>
      </c>
      <c r="F672" s="147"/>
      <c r="G672" s="147">
        <f t="shared" si="37"/>
        <v>3723279</v>
      </c>
      <c r="H672" s="147">
        <v>790075</v>
      </c>
      <c r="I672" s="147">
        <v>1746609</v>
      </c>
      <c r="J672" s="147">
        <v>1186595</v>
      </c>
      <c r="K672" s="136"/>
    </row>
    <row r="673" spans="1:11" s="145" customFormat="1" ht="9" customHeight="1" x14ac:dyDescent="0.25">
      <c r="A673" s="141" t="s">
        <v>33</v>
      </c>
      <c r="B673" s="150">
        <f t="shared" si="36"/>
        <v>126049</v>
      </c>
      <c r="C673" s="150">
        <v>13132</v>
      </c>
      <c r="D673" s="150">
        <v>107242</v>
      </c>
      <c r="E673" s="150">
        <v>5675</v>
      </c>
      <c r="F673" s="150"/>
      <c r="G673" s="150">
        <f t="shared" si="37"/>
        <v>771234</v>
      </c>
      <c r="H673" s="150">
        <v>95180</v>
      </c>
      <c r="I673" s="150">
        <v>460322</v>
      </c>
      <c r="J673" s="150">
        <v>215732</v>
      </c>
      <c r="K673" s="136"/>
    </row>
    <row r="674" spans="1:11" s="145" customFormat="1" ht="9" customHeight="1" x14ac:dyDescent="0.25">
      <c r="A674" s="140" t="s">
        <v>34</v>
      </c>
      <c r="B674" s="147">
        <f t="shared" si="36"/>
        <v>105244</v>
      </c>
      <c r="C674" s="147">
        <v>28252</v>
      </c>
      <c r="D674" s="147">
        <v>69991</v>
      </c>
      <c r="E674" s="147">
        <v>7001</v>
      </c>
      <c r="F674" s="147"/>
      <c r="G674" s="147">
        <f t="shared" si="37"/>
        <v>913087</v>
      </c>
      <c r="H674" s="147">
        <v>201166</v>
      </c>
      <c r="I674" s="147">
        <v>438412</v>
      </c>
      <c r="J674" s="147">
        <v>273509</v>
      </c>
      <c r="K674" s="136"/>
    </row>
    <row r="675" spans="1:11" s="145" customFormat="1" ht="9" customHeight="1" x14ac:dyDescent="0.25">
      <c r="A675" s="140" t="s">
        <v>35</v>
      </c>
      <c r="B675" s="147">
        <f t="shared" si="36"/>
        <v>795106</v>
      </c>
      <c r="C675" s="147">
        <v>198617</v>
      </c>
      <c r="D675" s="147">
        <v>545445</v>
      </c>
      <c r="E675" s="147">
        <v>51044</v>
      </c>
      <c r="F675" s="147"/>
      <c r="G675" s="147">
        <f t="shared" si="37"/>
        <v>7115494</v>
      </c>
      <c r="H675" s="147">
        <v>1383058</v>
      </c>
      <c r="I675" s="147">
        <v>3752540</v>
      </c>
      <c r="J675" s="147">
        <v>1979896</v>
      </c>
      <c r="K675" s="136"/>
    </row>
    <row r="676" spans="1:11" s="145" customFormat="1" ht="9" customHeight="1" x14ac:dyDescent="0.25">
      <c r="A676" s="140" t="s">
        <v>145</v>
      </c>
      <c r="B676" s="147">
        <f t="shared" si="36"/>
        <v>1095968</v>
      </c>
      <c r="C676" s="147">
        <v>314973</v>
      </c>
      <c r="D676" s="147">
        <v>728259</v>
      </c>
      <c r="E676" s="147">
        <v>52736</v>
      </c>
      <c r="F676" s="147"/>
      <c r="G676" s="147">
        <f t="shared" si="37"/>
        <v>8232557</v>
      </c>
      <c r="H676" s="147">
        <v>1945860</v>
      </c>
      <c r="I676" s="147">
        <v>4234141</v>
      </c>
      <c r="J676" s="147">
        <v>2052556</v>
      </c>
      <c r="K676" s="136"/>
    </row>
    <row r="677" spans="1:11" s="145" customFormat="1" ht="9" customHeight="1" x14ac:dyDescent="0.25">
      <c r="A677" s="141" t="s">
        <v>129</v>
      </c>
      <c r="B677" s="150">
        <f t="shared" si="36"/>
        <v>221527</v>
      </c>
      <c r="C677" s="150">
        <v>46218</v>
      </c>
      <c r="D677" s="150">
        <v>162184</v>
      </c>
      <c r="E677" s="150">
        <v>13125</v>
      </c>
      <c r="F677" s="150"/>
      <c r="G677" s="150">
        <f t="shared" si="37"/>
        <v>1753762</v>
      </c>
      <c r="H677" s="150">
        <v>319004</v>
      </c>
      <c r="I677" s="150">
        <v>924066</v>
      </c>
      <c r="J677" s="150">
        <v>510692</v>
      </c>
      <c r="K677" s="136"/>
    </row>
    <row r="678" spans="1:11" s="145" customFormat="1" ht="9" customHeight="1" x14ac:dyDescent="0.25">
      <c r="A678" s="140" t="s">
        <v>38</v>
      </c>
      <c r="B678" s="147">
        <f t="shared" si="36"/>
        <v>150133</v>
      </c>
      <c r="C678" s="147">
        <v>21630</v>
      </c>
      <c r="D678" s="147">
        <v>121191</v>
      </c>
      <c r="E678" s="147">
        <v>7312</v>
      </c>
      <c r="F678" s="147"/>
      <c r="G678" s="147">
        <f t="shared" si="37"/>
        <v>965011</v>
      </c>
      <c r="H678" s="147">
        <v>147132</v>
      </c>
      <c r="I678" s="147">
        <v>537434</v>
      </c>
      <c r="J678" s="147">
        <v>280445</v>
      </c>
      <c r="K678" s="136"/>
    </row>
    <row r="679" spans="1:11" s="145" customFormat="1" ht="9" customHeight="1" x14ac:dyDescent="0.25">
      <c r="A679" s="140" t="s">
        <v>39</v>
      </c>
      <c r="B679" s="147">
        <f t="shared" si="36"/>
        <v>92786</v>
      </c>
      <c r="C679" s="147">
        <v>19334</v>
      </c>
      <c r="D679" s="147">
        <v>68357</v>
      </c>
      <c r="E679" s="147">
        <v>5095</v>
      </c>
      <c r="F679" s="147"/>
      <c r="G679" s="147">
        <f t="shared" si="37"/>
        <v>643409</v>
      </c>
      <c r="H679" s="147">
        <v>121752</v>
      </c>
      <c r="I679" s="147">
        <v>326730</v>
      </c>
      <c r="J679" s="147">
        <v>194927</v>
      </c>
      <c r="K679" s="136"/>
    </row>
    <row r="680" spans="1:11" s="145" customFormat="1" ht="9" customHeight="1" x14ac:dyDescent="0.25">
      <c r="A680" s="140" t="s">
        <v>40</v>
      </c>
      <c r="B680" s="147">
        <f t="shared" si="36"/>
        <v>470763</v>
      </c>
      <c r="C680" s="147">
        <v>93295</v>
      </c>
      <c r="D680" s="147">
        <v>338133</v>
      </c>
      <c r="E680" s="147">
        <v>39335</v>
      </c>
      <c r="F680" s="147"/>
      <c r="G680" s="147">
        <f t="shared" si="37"/>
        <v>4855102</v>
      </c>
      <c r="H680" s="147">
        <v>750865</v>
      </c>
      <c r="I680" s="147">
        <v>2561165</v>
      </c>
      <c r="J680" s="147">
        <v>1543072</v>
      </c>
      <c r="K680" s="136"/>
    </row>
    <row r="681" spans="1:11" s="145" customFormat="1" ht="9" customHeight="1" x14ac:dyDescent="0.25">
      <c r="A681" s="141" t="s">
        <v>41</v>
      </c>
      <c r="B681" s="150">
        <f t="shared" si="36"/>
        <v>119894</v>
      </c>
      <c r="C681" s="150">
        <v>15648</v>
      </c>
      <c r="D681" s="150">
        <v>97100</v>
      </c>
      <c r="E681" s="150">
        <v>7146</v>
      </c>
      <c r="F681" s="150"/>
      <c r="G681" s="150">
        <f t="shared" si="37"/>
        <v>896997</v>
      </c>
      <c r="H681" s="150">
        <v>124651</v>
      </c>
      <c r="I681" s="150">
        <v>497569</v>
      </c>
      <c r="J681" s="150">
        <v>274777</v>
      </c>
      <c r="K681" s="136"/>
    </row>
    <row r="682" spans="1:11" s="145" customFormat="1" ht="9" customHeight="1" x14ac:dyDescent="0.25">
      <c r="A682" s="140" t="s">
        <v>42</v>
      </c>
      <c r="B682" s="147">
        <f t="shared" si="36"/>
        <v>244377</v>
      </c>
      <c r="C682" s="147">
        <v>58018</v>
      </c>
      <c r="D682" s="147">
        <v>170099</v>
      </c>
      <c r="E682" s="147">
        <v>16260</v>
      </c>
      <c r="F682" s="147"/>
      <c r="G682" s="147">
        <f t="shared" si="37"/>
        <v>2050850</v>
      </c>
      <c r="H682" s="147">
        <v>406780</v>
      </c>
      <c r="I682" s="147">
        <v>1014748</v>
      </c>
      <c r="J682" s="147">
        <v>629322</v>
      </c>
      <c r="K682" s="136"/>
    </row>
    <row r="683" spans="1:11" s="145" customFormat="1" ht="9" customHeight="1" x14ac:dyDescent="0.25">
      <c r="A683" s="140" t="s">
        <v>43</v>
      </c>
      <c r="B683" s="147">
        <f t="shared" si="36"/>
        <v>197102</v>
      </c>
      <c r="C683" s="147">
        <v>35464</v>
      </c>
      <c r="D683" s="147">
        <v>145495</v>
      </c>
      <c r="E683" s="147">
        <v>16143</v>
      </c>
      <c r="F683" s="147"/>
      <c r="G683" s="147">
        <f t="shared" si="37"/>
        <v>1703274</v>
      </c>
      <c r="H683" s="147">
        <v>254077</v>
      </c>
      <c r="I683" s="147">
        <v>824458</v>
      </c>
      <c r="J683" s="147">
        <v>624739</v>
      </c>
      <c r="K683" s="136"/>
    </row>
    <row r="684" spans="1:11" s="145" customFormat="1" ht="9" customHeight="1" x14ac:dyDescent="0.25">
      <c r="A684" s="140" t="s">
        <v>44</v>
      </c>
      <c r="B684" s="147">
        <f t="shared" si="36"/>
        <v>189579</v>
      </c>
      <c r="C684" s="147">
        <v>31586</v>
      </c>
      <c r="D684" s="147">
        <v>145252</v>
      </c>
      <c r="E684" s="147">
        <v>12741</v>
      </c>
      <c r="F684" s="147"/>
      <c r="G684" s="147">
        <f t="shared" si="37"/>
        <v>1361216</v>
      </c>
      <c r="H684" s="147">
        <v>194920</v>
      </c>
      <c r="I684" s="147">
        <v>679343</v>
      </c>
      <c r="J684" s="147">
        <v>486953</v>
      </c>
      <c r="K684" s="136"/>
    </row>
    <row r="685" spans="1:11" s="145" customFormat="1" ht="9" customHeight="1" x14ac:dyDescent="0.25">
      <c r="A685" s="141" t="s">
        <v>45</v>
      </c>
      <c r="B685" s="150">
        <f t="shared" si="36"/>
        <v>191631</v>
      </c>
      <c r="C685" s="150">
        <v>47925</v>
      </c>
      <c r="D685" s="150">
        <v>130510</v>
      </c>
      <c r="E685" s="150">
        <v>13196</v>
      </c>
      <c r="F685" s="150"/>
      <c r="G685" s="150">
        <f t="shared" si="37"/>
        <v>1804954</v>
      </c>
      <c r="H685" s="150">
        <v>359636</v>
      </c>
      <c r="I685" s="150">
        <v>935377</v>
      </c>
      <c r="J685" s="150">
        <v>509941</v>
      </c>
      <c r="K685" s="136"/>
    </row>
    <row r="686" spans="1:11" s="145" customFormat="1" ht="9" customHeight="1" x14ac:dyDescent="0.25">
      <c r="A686" s="140" t="s">
        <v>46</v>
      </c>
      <c r="B686" s="147">
        <f t="shared" si="36"/>
        <v>267954</v>
      </c>
      <c r="C686" s="147">
        <v>69648</v>
      </c>
      <c r="D686" s="147">
        <v>181783</v>
      </c>
      <c r="E686" s="147">
        <v>16523</v>
      </c>
      <c r="F686" s="147"/>
      <c r="G686" s="147">
        <f t="shared" si="37"/>
        <v>2228003</v>
      </c>
      <c r="H686" s="147">
        <v>494419</v>
      </c>
      <c r="I686" s="147">
        <v>1103349</v>
      </c>
      <c r="J686" s="147">
        <v>630235</v>
      </c>
      <c r="K686" s="136"/>
    </row>
    <row r="687" spans="1:11" s="145" customFormat="1" ht="9" customHeight="1" x14ac:dyDescent="0.25">
      <c r="A687" s="140" t="s">
        <v>47</v>
      </c>
      <c r="B687" s="147">
        <f t="shared" si="36"/>
        <v>335863</v>
      </c>
      <c r="C687" s="147">
        <v>83217</v>
      </c>
      <c r="D687" s="147">
        <v>232558</v>
      </c>
      <c r="E687" s="147">
        <v>20088</v>
      </c>
      <c r="F687" s="147"/>
      <c r="G687" s="147">
        <f t="shared" si="37"/>
        <v>2888384</v>
      </c>
      <c r="H687" s="147">
        <v>674792</v>
      </c>
      <c r="I687" s="147">
        <v>1455097</v>
      </c>
      <c r="J687" s="147">
        <v>758495</v>
      </c>
      <c r="K687" s="136"/>
    </row>
    <row r="688" spans="1:11" s="145" customFormat="1" ht="9" customHeight="1" x14ac:dyDescent="0.25">
      <c r="A688" s="140" t="s">
        <v>48</v>
      </c>
      <c r="B688" s="147">
        <f t="shared" si="36"/>
        <v>116898</v>
      </c>
      <c r="C688" s="147">
        <v>16034</v>
      </c>
      <c r="D688" s="147">
        <v>94407</v>
      </c>
      <c r="E688" s="147">
        <v>6457</v>
      </c>
      <c r="F688" s="147"/>
      <c r="G688" s="147">
        <f t="shared" si="37"/>
        <v>792085</v>
      </c>
      <c r="H688" s="147">
        <v>123000</v>
      </c>
      <c r="I688" s="147">
        <v>417664</v>
      </c>
      <c r="J688" s="147">
        <v>251421</v>
      </c>
      <c r="K688" s="136"/>
    </row>
    <row r="689" spans="1:11" s="145" customFormat="1" ht="9" customHeight="1" x14ac:dyDescent="0.25">
      <c r="A689" s="141" t="s">
        <v>49</v>
      </c>
      <c r="B689" s="150">
        <f t="shared" si="36"/>
        <v>341235</v>
      </c>
      <c r="C689" s="150">
        <v>67747</v>
      </c>
      <c r="D689" s="150">
        <v>247764</v>
      </c>
      <c r="E689" s="150">
        <v>25724</v>
      </c>
      <c r="F689" s="150"/>
      <c r="G689" s="150">
        <f t="shared" si="37"/>
        <v>3118420</v>
      </c>
      <c r="H689" s="150">
        <v>517949</v>
      </c>
      <c r="I689" s="150">
        <v>1620668</v>
      </c>
      <c r="J689" s="150">
        <v>979803</v>
      </c>
      <c r="K689" s="136"/>
    </row>
    <row r="690" spans="1:11" s="145" customFormat="1" ht="9" customHeight="1" x14ac:dyDescent="0.25">
      <c r="A690" s="140" t="s">
        <v>50</v>
      </c>
      <c r="B690" s="147">
        <f t="shared" si="36"/>
        <v>42674</v>
      </c>
      <c r="C690" s="147">
        <v>7514</v>
      </c>
      <c r="D690" s="147">
        <v>31694</v>
      </c>
      <c r="E690" s="147">
        <v>3466</v>
      </c>
      <c r="F690" s="147"/>
      <c r="G690" s="147">
        <f t="shared" si="37"/>
        <v>377113</v>
      </c>
      <c r="H690" s="147">
        <v>56943</v>
      </c>
      <c r="I690" s="147">
        <v>187005</v>
      </c>
      <c r="J690" s="147">
        <v>133165</v>
      </c>
      <c r="K690" s="136"/>
    </row>
    <row r="691" spans="1:11" s="145" customFormat="1" ht="9" customHeight="1" x14ac:dyDescent="0.25">
      <c r="A691" s="140" t="s">
        <v>146</v>
      </c>
      <c r="B691" s="147">
        <f t="shared" si="36"/>
        <v>460987</v>
      </c>
      <c r="C691" s="147">
        <v>67909</v>
      </c>
      <c r="D691" s="147">
        <v>369883</v>
      </c>
      <c r="E691" s="147">
        <v>23195</v>
      </c>
      <c r="F691" s="147"/>
      <c r="G691" s="147">
        <f t="shared" si="37"/>
        <v>3407295</v>
      </c>
      <c r="H691" s="147">
        <v>540799</v>
      </c>
      <c r="I691" s="147">
        <v>1969187</v>
      </c>
      <c r="J691" s="147">
        <v>897309</v>
      </c>
      <c r="K691" s="136"/>
    </row>
    <row r="692" spans="1:11" s="145" customFormat="1" ht="9" customHeight="1" x14ac:dyDescent="0.25">
      <c r="A692" s="140" t="s">
        <v>52</v>
      </c>
      <c r="B692" s="147">
        <f t="shared" si="36"/>
        <v>240122</v>
      </c>
      <c r="C692" s="147">
        <v>26553</v>
      </c>
      <c r="D692" s="147">
        <v>204579</v>
      </c>
      <c r="E692" s="147">
        <v>8990</v>
      </c>
      <c r="F692" s="147"/>
      <c r="G692" s="147">
        <f t="shared" si="37"/>
        <v>1368268</v>
      </c>
      <c r="H692" s="147">
        <v>212277</v>
      </c>
      <c r="I692" s="147">
        <v>800298</v>
      </c>
      <c r="J692" s="147">
        <v>355693</v>
      </c>
      <c r="K692" s="136"/>
    </row>
    <row r="693" spans="1:11" s="145" customFormat="1" ht="9" customHeight="1" x14ac:dyDescent="0.25">
      <c r="A693" s="141" t="s">
        <v>53</v>
      </c>
      <c r="B693" s="150">
        <f t="shared" si="36"/>
        <v>85571</v>
      </c>
      <c r="C693" s="150">
        <v>15854</v>
      </c>
      <c r="D693" s="150">
        <v>63601</v>
      </c>
      <c r="E693" s="150">
        <v>6116</v>
      </c>
      <c r="F693" s="150"/>
      <c r="G693" s="150">
        <f t="shared" si="37"/>
        <v>721250</v>
      </c>
      <c r="H693" s="150">
        <v>106494</v>
      </c>
      <c r="I693" s="150">
        <v>381051</v>
      </c>
      <c r="J693" s="150">
        <v>233705</v>
      </c>
      <c r="K693" s="136"/>
    </row>
    <row r="694" spans="1:11" s="145" customFormat="1" ht="5.25" customHeight="1" x14ac:dyDescent="0.25">
      <c r="A694" s="138"/>
      <c r="B694" s="148"/>
      <c r="C694" s="148"/>
      <c r="D694" s="148"/>
      <c r="E694" s="148"/>
      <c r="F694" s="148"/>
      <c r="G694" s="148"/>
      <c r="H694" s="148"/>
      <c r="I694" s="148"/>
      <c r="J694" s="148"/>
    </row>
    <row r="695" spans="1:11" s="145" customFormat="1" ht="8.4499999999999993" customHeight="1" x14ac:dyDescent="0.25">
      <c r="A695" s="177">
        <v>2016</v>
      </c>
      <c r="B695" s="147"/>
      <c r="C695" s="140"/>
      <c r="D695" s="140"/>
      <c r="E695" s="140"/>
      <c r="F695" s="147"/>
      <c r="G695" s="147"/>
      <c r="H695" s="140"/>
      <c r="I695" s="140"/>
      <c r="J695" s="140"/>
      <c r="K695" s="136"/>
    </row>
    <row r="696" spans="1:11" s="145" customFormat="1" ht="8.4499999999999993" customHeight="1" x14ac:dyDescent="0.25">
      <c r="A696" s="138" t="s">
        <v>13</v>
      </c>
      <c r="B696" s="148">
        <f>SUM(B698:B729)</f>
        <v>8942521</v>
      </c>
      <c r="C696" s="148">
        <f>SUM(C698:C729)</f>
        <v>1874996</v>
      </c>
      <c r="D696" s="148">
        <f>SUM(D698:D729)</f>
        <v>6640676</v>
      </c>
      <c r="E696" s="148">
        <f>SUM(E698:E729)</f>
        <v>426849</v>
      </c>
      <c r="F696" s="148"/>
      <c r="G696" s="148">
        <f>SUM(G698:G729)</f>
        <v>75055774</v>
      </c>
      <c r="H696" s="148">
        <f>SUM(H698:H729)</f>
        <v>13261341</v>
      </c>
      <c r="I696" s="148">
        <f>SUM(I698:I729)</f>
        <v>39619966</v>
      </c>
      <c r="J696" s="148">
        <f>SUM(J698:J729)</f>
        <v>22174467</v>
      </c>
      <c r="K696" s="136"/>
    </row>
    <row r="697" spans="1:11" s="145" customFormat="1" ht="8.4499999999999993" customHeight="1" x14ac:dyDescent="0.25">
      <c r="A697" s="138"/>
      <c r="B697" s="148"/>
      <c r="C697" s="148"/>
      <c r="D697" s="136"/>
      <c r="E697" s="148"/>
      <c r="F697" s="148"/>
      <c r="G697" s="148"/>
      <c r="H697" s="148"/>
      <c r="I697" s="148"/>
      <c r="J697" s="148"/>
      <c r="K697" s="136"/>
    </row>
    <row r="698" spans="1:11" s="145" customFormat="1" ht="8.4499999999999993" customHeight="1" x14ac:dyDescent="0.25">
      <c r="A698" s="140" t="s">
        <v>23</v>
      </c>
      <c r="B698" s="147">
        <f t="shared" ref="B698:B729" si="38">SUM(C698,D698,E698)</f>
        <v>153635</v>
      </c>
      <c r="C698" s="147">
        <v>27800</v>
      </c>
      <c r="D698" s="160">
        <v>117418</v>
      </c>
      <c r="E698" s="160">
        <v>8417</v>
      </c>
      <c r="F698" s="147"/>
      <c r="G698" s="147">
        <f t="shared" ref="G698:G729" si="39">SUM(H698,I698,J698)</f>
        <v>1280976</v>
      </c>
      <c r="H698" s="147">
        <v>173859</v>
      </c>
      <c r="I698" s="147">
        <v>684994</v>
      </c>
      <c r="J698" s="160">
        <v>422123</v>
      </c>
      <c r="K698" s="136"/>
    </row>
    <row r="699" spans="1:11" s="145" customFormat="1" ht="8.4499999999999993" customHeight="1" x14ac:dyDescent="0.25">
      <c r="A699" s="140" t="s">
        <v>24</v>
      </c>
      <c r="B699" s="147">
        <f t="shared" si="38"/>
        <v>403239</v>
      </c>
      <c r="C699" s="147">
        <v>94856</v>
      </c>
      <c r="D699" s="160">
        <v>284632</v>
      </c>
      <c r="E699" s="147">
        <v>23751</v>
      </c>
      <c r="F699" s="147"/>
      <c r="G699" s="147">
        <f t="shared" si="39"/>
        <v>3557367</v>
      </c>
      <c r="H699" s="147">
        <v>583387</v>
      </c>
      <c r="I699" s="147">
        <v>1744945</v>
      </c>
      <c r="J699" s="147">
        <v>1229035</v>
      </c>
      <c r="K699" s="136"/>
    </row>
    <row r="700" spans="1:11" s="145" customFormat="1" ht="8.4499999999999993" customHeight="1" x14ac:dyDescent="0.25">
      <c r="A700" s="140" t="s">
        <v>25</v>
      </c>
      <c r="B700" s="147">
        <f t="shared" si="38"/>
        <v>91433</v>
      </c>
      <c r="C700" s="147">
        <v>20799</v>
      </c>
      <c r="D700" s="147">
        <v>66548</v>
      </c>
      <c r="E700" s="147">
        <v>4086</v>
      </c>
      <c r="F700" s="147"/>
      <c r="G700" s="147">
        <f t="shared" si="39"/>
        <v>660745</v>
      </c>
      <c r="H700" s="147">
        <v>121943</v>
      </c>
      <c r="I700" s="147">
        <v>320579</v>
      </c>
      <c r="J700" s="147">
        <v>218223</v>
      </c>
      <c r="K700" s="136"/>
    </row>
    <row r="701" spans="1:11" s="145" customFormat="1" ht="8.4499999999999993" customHeight="1" x14ac:dyDescent="0.25">
      <c r="A701" s="141" t="s">
        <v>26</v>
      </c>
      <c r="B701" s="150">
        <f t="shared" si="38"/>
        <v>64332</v>
      </c>
      <c r="C701" s="150">
        <v>7189</v>
      </c>
      <c r="D701" s="150">
        <v>54503</v>
      </c>
      <c r="E701" s="150">
        <v>2640</v>
      </c>
      <c r="F701" s="150"/>
      <c r="G701" s="150">
        <f t="shared" si="39"/>
        <v>462338</v>
      </c>
      <c r="H701" s="150">
        <v>61400</v>
      </c>
      <c r="I701" s="150">
        <v>263413</v>
      </c>
      <c r="J701" s="150">
        <v>137525</v>
      </c>
      <c r="K701" s="136"/>
    </row>
    <row r="702" spans="1:11" s="145" customFormat="1" ht="8.4499999999999993" customHeight="1" x14ac:dyDescent="0.25">
      <c r="A702" s="140" t="s">
        <v>126</v>
      </c>
      <c r="B702" s="147">
        <f t="shared" si="38"/>
        <v>336553</v>
      </c>
      <c r="C702" s="147">
        <v>69384</v>
      </c>
      <c r="D702" s="147">
        <v>248822</v>
      </c>
      <c r="E702" s="147">
        <v>18347</v>
      </c>
      <c r="F702" s="147"/>
      <c r="G702" s="147">
        <f t="shared" si="39"/>
        <v>2936836</v>
      </c>
      <c r="H702" s="147">
        <v>467640</v>
      </c>
      <c r="I702" s="147">
        <v>1530052</v>
      </c>
      <c r="J702" s="147">
        <v>939144</v>
      </c>
      <c r="K702" s="136"/>
    </row>
    <row r="703" spans="1:11" s="145" customFormat="1" ht="8.4499999999999993" customHeight="1" x14ac:dyDescent="0.25">
      <c r="A703" s="140" t="s">
        <v>28</v>
      </c>
      <c r="B703" s="147">
        <f t="shared" si="38"/>
        <v>87282</v>
      </c>
      <c r="C703" s="147">
        <v>18357</v>
      </c>
      <c r="D703" s="147">
        <v>65549</v>
      </c>
      <c r="E703" s="147">
        <v>3376</v>
      </c>
      <c r="F703" s="147"/>
      <c r="G703" s="147">
        <f t="shared" si="39"/>
        <v>627862</v>
      </c>
      <c r="H703" s="147">
        <v>129701</v>
      </c>
      <c r="I703" s="147">
        <v>320872</v>
      </c>
      <c r="J703" s="147">
        <v>177289</v>
      </c>
      <c r="K703" s="136"/>
    </row>
    <row r="704" spans="1:11" s="145" customFormat="1" ht="8.4499999999999993" customHeight="1" x14ac:dyDescent="0.25">
      <c r="A704" s="140" t="s">
        <v>29</v>
      </c>
      <c r="B704" s="147">
        <f t="shared" si="38"/>
        <v>145197</v>
      </c>
      <c r="C704" s="147">
        <v>13928</v>
      </c>
      <c r="D704" s="147">
        <v>125378</v>
      </c>
      <c r="E704" s="147">
        <v>5891</v>
      </c>
      <c r="F704" s="147"/>
      <c r="G704" s="147">
        <f t="shared" si="39"/>
        <v>975339</v>
      </c>
      <c r="H704" s="147">
        <v>110216</v>
      </c>
      <c r="I704" s="147">
        <v>557957</v>
      </c>
      <c r="J704" s="147">
        <v>307166</v>
      </c>
      <c r="K704" s="136"/>
    </row>
    <row r="705" spans="1:11" s="145" customFormat="1" ht="8.4499999999999993" customHeight="1" x14ac:dyDescent="0.25">
      <c r="A705" s="141" t="s">
        <v>30</v>
      </c>
      <c r="B705" s="150">
        <f t="shared" si="38"/>
        <v>452726</v>
      </c>
      <c r="C705" s="150">
        <v>88376</v>
      </c>
      <c r="D705" s="150">
        <v>340083</v>
      </c>
      <c r="E705" s="150">
        <v>24267</v>
      </c>
      <c r="F705" s="150"/>
      <c r="G705" s="150">
        <f t="shared" si="39"/>
        <v>4540224</v>
      </c>
      <c r="H705" s="150">
        <v>778982</v>
      </c>
      <c r="I705" s="150">
        <v>2520812</v>
      </c>
      <c r="J705" s="150">
        <v>1240430</v>
      </c>
      <c r="K705" s="136"/>
    </row>
    <row r="706" spans="1:11" s="145" customFormat="1" ht="8.4499999999999993" customHeight="1" x14ac:dyDescent="0.25">
      <c r="A706" s="140" t="s">
        <v>144</v>
      </c>
      <c r="B706" s="147">
        <f t="shared" si="38"/>
        <v>1028753</v>
      </c>
      <c r="C706" s="147">
        <v>215935</v>
      </c>
      <c r="D706" s="147">
        <v>774905</v>
      </c>
      <c r="E706" s="147">
        <v>37913</v>
      </c>
      <c r="F706" s="147"/>
      <c r="G706" s="147">
        <f t="shared" si="39"/>
        <v>7687473</v>
      </c>
      <c r="H706" s="147">
        <v>1312247</v>
      </c>
      <c r="I706" s="147">
        <v>4403246</v>
      </c>
      <c r="J706" s="147">
        <v>1971980</v>
      </c>
      <c r="K706" s="136"/>
    </row>
    <row r="707" spans="1:11" s="145" customFormat="1" ht="8.4499999999999993" customHeight="1" x14ac:dyDescent="0.25">
      <c r="A707" s="140" t="s">
        <v>31</v>
      </c>
      <c r="B707" s="147">
        <f t="shared" si="38"/>
        <v>93433</v>
      </c>
      <c r="C707" s="147">
        <v>22314</v>
      </c>
      <c r="D707" s="147">
        <v>64881</v>
      </c>
      <c r="E707" s="147">
        <v>6238</v>
      </c>
      <c r="F707" s="147"/>
      <c r="G707" s="147">
        <f t="shared" si="39"/>
        <v>1011763</v>
      </c>
      <c r="H707" s="147">
        <v>178434</v>
      </c>
      <c r="I707" s="147">
        <v>509308</v>
      </c>
      <c r="J707" s="147">
        <v>324021</v>
      </c>
      <c r="K707" s="136"/>
    </row>
    <row r="708" spans="1:11" s="145" customFormat="1" ht="8.4499999999999993" customHeight="1" x14ac:dyDescent="0.25">
      <c r="A708" s="140" t="s">
        <v>32</v>
      </c>
      <c r="B708" s="147">
        <f t="shared" si="38"/>
        <v>401454</v>
      </c>
      <c r="C708" s="147">
        <v>99105</v>
      </c>
      <c r="D708" s="147">
        <v>278547</v>
      </c>
      <c r="E708" s="147">
        <v>23802</v>
      </c>
      <c r="F708" s="147"/>
      <c r="G708" s="147">
        <f t="shared" si="39"/>
        <v>3842782</v>
      </c>
      <c r="H708" s="147">
        <v>749176</v>
      </c>
      <c r="I708" s="147">
        <v>1854906</v>
      </c>
      <c r="J708" s="147">
        <v>1238700</v>
      </c>
      <c r="K708" s="136"/>
    </row>
    <row r="709" spans="1:11" s="145" customFormat="1" ht="8.4499999999999993" customHeight="1" x14ac:dyDescent="0.25">
      <c r="A709" s="141" t="s">
        <v>33</v>
      </c>
      <c r="B709" s="150">
        <f t="shared" si="38"/>
        <v>97634</v>
      </c>
      <c r="C709" s="150">
        <v>12934</v>
      </c>
      <c r="D709" s="150">
        <v>80829</v>
      </c>
      <c r="E709" s="150">
        <v>3871</v>
      </c>
      <c r="F709" s="150"/>
      <c r="G709" s="150">
        <f t="shared" si="39"/>
        <v>679942</v>
      </c>
      <c r="H709" s="150">
        <v>92745</v>
      </c>
      <c r="I709" s="150">
        <v>382412</v>
      </c>
      <c r="J709" s="150">
        <v>204785</v>
      </c>
      <c r="K709" s="136"/>
    </row>
    <row r="710" spans="1:11" s="145" customFormat="1" ht="8.4499999999999993" customHeight="1" x14ac:dyDescent="0.25">
      <c r="A710" s="140" t="s">
        <v>34</v>
      </c>
      <c r="B710" s="147">
        <f t="shared" si="38"/>
        <v>106118</v>
      </c>
      <c r="C710" s="147">
        <v>26141</v>
      </c>
      <c r="D710" s="147">
        <v>74579</v>
      </c>
      <c r="E710" s="147">
        <v>5398</v>
      </c>
      <c r="F710" s="147"/>
      <c r="G710" s="147">
        <f t="shared" si="39"/>
        <v>937038</v>
      </c>
      <c r="H710" s="147">
        <v>192784</v>
      </c>
      <c r="I710" s="147">
        <v>463025</v>
      </c>
      <c r="J710" s="147">
        <v>281229</v>
      </c>
      <c r="K710" s="136"/>
    </row>
    <row r="711" spans="1:11" s="145" customFormat="1" ht="8.4499999999999993" customHeight="1" x14ac:dyDescent="0.25">
      <c r="A711" s="140" t="s">
        <v>35</v>
      </c>
      <c r="B711" s="147">
        <f t="shared" si="38"/>
        <v>779952</v>
      </c>
      <c r="C711" s="147">
        <v>192960</v>
      </c>
      <c r="D711" s="147">
        <v>548740</v>
      </c>
      <c r="E711" s="147">
        <v>38252</v>
      </c>
      <c r="F711" s="147"/>
      <c r="G711" s="147">
        <f t="shared" si="39"/>
        <v>7077124</v>
      </c>
      <c r="H711" s="147">
        <v>1397400</v>
      </c>
      <c r="I711" s="147">
        <v>3688470</v>
      </c>
      <c r="J711" s="147">
        <v>1991254</v>
      </c>
      <c r="K711" s="136"/>
    </row>
    <row r="712" spans="1:11" s="145" customFormat="1" ht="8.4499999999999993" customHeight="1" x14ac:dyDescent="0.25">
      <c r="A712" s="140" t="s">
        <v>145</v>
      </c>
      <c r="B712" s="147">
        <f t="shared" si="38"/>
        <v>1110972</v>
      </c>
      <c r="C712" s="147">
        <v>291535</v>
      </c>
      <c r="D712" s="147">
        <v>779146</v>
      </c>
      <c r="E712" s="147">
        <v>40291</v>
      </c>
      <c r="F712" s="147"/>
      <c r="G712" s="147">
        <f t="shared" si="39"/>
        <v>8426611</v>
      </c>
      <c r="H712" s="147">
        <v>1840063</v>
      </c>
      <c r="I712" s="147">
        <v>4479511</v>
      </c>
      <c r="J712" s="147">
        <v>2107037</v>
      </c>
      <c r="K712" s="136"/>
    </row>
    <row r="713" spans="1:11" s="145" customFormat="1" ht="8.4499999999999993" customHeight="1" x14ac:dyDescent="0.25">
      <c r="A713" s="141" t="s">
        <v>129</v>
      </c>
      <c r="B713" s="150">
        <f t="shared" si="38"/>
        <v>207778</v>
      </c>
      <c r="C713" s="150">
        <v>37298</v>
      </c>
      <c r="D713" s="150">
        <v>160288</v>
      </c>
      <c r="E713" s="150">
        <v>10192</v>
      </c>
      <c r="F713" s="150"/>
      <c r="G713" s="150">
        <f t="shared" si="39"/>
        <v>1697686</v>
      </c>
      <c r="H713" s="150">
        <v>250548</v>
      </c>
      <c r="I713" s="150">
        <v>918174</v>
      </c>
      <c r="J713" s="150">
        <v>528964</v>
      </c>
      <c r="K713" s="136"/>
    </row>
    <row r="714" spans="1:11" s="145" customFormat="1" ht="8.4499999999999993" customHeight="1" x14ac:dyDescent="0.25">
      <c r="A714" s="140" t="s">
        <v>38</v>
      </c>
      <c r="B714" s="147">
        <f t="shared" si="38"/>
        <v>139328</v>
      </c>
      <c r="C714" s="147">
        <v>18223</v>
      </c>
      <c r="D714" s="147">
        <v>115908</v>
      </c>
      <c r="E714" s="147">
        <v>5197</v>
      </c>
      <c r="F714" s="147"/>
      <c r="G714" s="147">
        <f t="shared" si="39"/>
        <v>901207</v>
      </c>
      <c r="H714" s="147">
        <v>125217</v>
      </c>
      <c r="I714" s="147">
        <v>508944</v>
      </c>
      <c r="J714" s="147">
        <v>267046</v>
      </c>
      <c r="K714" s="136"/>
    </row>
    <row r="715" spans="1:11" s="145" customFormat="1" ht="8.4499999999999993" customHeight="1" x14ac:dyDescent="0.25">
      <c r="A715" s="140" t="s">
        <v>39</v>
      </c>
      <c r="B715" s="147">
        <f t="shared" si="38"/>
        <v>88534</v>
      </c>
      <c r="C715" s="147">
        <v>18878</v>
      </c>
      <c r="D715" s="147">
        <v>65731</v>
      </c>
      <c r="E715" s="147">
        <v>3925</v>
      </c>
      <c r="F715" s="147"/>
      <c r="G715" s="147">
        <f t="shared" si="39"/>
        <v>647076</v>
      </c>
      <c r="H715" s="147">
        <v>118415</v>
      </c>
      <c r="I715" s="147">
        <v>322481</v>
      </c>
      <c r="J715" s="147">
        <v>206180</v>
      </c>
      <c r="K715" s="136"/>
    </row>
    <row r="716" spans="1:11" s="145" customFormat="1" ht="8.4499999999999993" customHeight="1" x14ac:dyDescent="0.25">
      <c r="A716" s="140" t="s">
        <v>40</v>
      </c>
      <c r="B716" s="147">
        <f t="shared" si="38"/>
        <v>452431</v>
      </c>
      <c r="C716" s="147">
        <v>83717</v>
      </c>
      <c r="D716" s="147">
        <v>339186</v>
      </c>
      <c r="E716" s="147">
        <v>29528</v>
      </c>
      <c r="F716" s="147"/>
      <c r="G716" s="147">
        <f t="shared" si="39"/>
        <v>4766895</v>
      </c>
      <c r="H716" s="147">
        <v>679857</v>
      </c>
      <c r="I716" s="147">
        <v>2516302</v>
      </c>
      <c r="J716" s="147">
        <v>1570736</v>
      </c>
      <c r="K716" s="136"/>
    </row>
    <row r="717" spans="1:11" s="145" customFormat="1" ht="8.4499999999999993" customHeight="1" x14ac:dyDescent="0.25">
      <c r="A717" s="141" t="s">
        <v>41</v>
      </c>
      <c r="B717" s="150">
        <f t="shared" si="38"/>
        <v>111709</v>
      </c>
      <c r="C717" s="150">
        <v>14934</v>
      </c>
      <c r="D717" s="150">
        <v>91477</v>
      </c>
      <c r="E717" s="150">
        <v>5298</v>
      </c>
      <c r="F717" s="150"/>
      <c r="G717" s="150">
        <f t="shared" si="39"/>
        <v>894760</v>
      </c>
      <c r="H717" s="150">
        <v>125426</v>
      </c>
      <c r="I717" s="150">
        <v>496931</v>
      </c>
      <c r="J717" s="150">
        <v>272403</v>
      </c>
      <c r="K717" s="136"/>
    </row>
    <row r="718" spans="1:11" s="145" customFormat="1" ht="8.4499999999999993" customHeight="1" x14ac:dyDescent="0.25">
      <c r="A718" s="140" t="s">
        <v>42</v>
      </c>
      <c r="B718" s="147">
        <f t="shared" si="38"/>
        <v>238317</v>
      </c>
      <c r="C718" s="147">
        <v>53905</v>
      </c>
      <c r="D718" s="147">
        <v>172265</v>
      </c>
      <c r="E718" s="147">
        <v>12147</v>
      </c>
      <c r="F718" s="147"/>
      <c r="G718" s="147">
        <f t="shared" si="39"/>
        <v>2007042</v>
      </c>
      <c r="H718" s="147">
        <v>376933</v>
      </c>
      <c r="I718" s="147">
        <v>1003980</v>
      </c>
      <c r="J718" s="147">
        <v>626129</v>
      </c>
      <c r="K718" s="136"/>
    </row>
    <row r="719" spans="1:11" s="145" customFormat="1" ht="8.4499999999999993" customHeight="1" x14ac:dyDescent="0.25">
      <c r="A719" s="140" t="s">
        <v>43</v>
      </c>
      <c r="B719" s="147">
        <f t="shared" si="38"/>
        <v>204888</v>
      </c>
      <c r="C719" s="147">
        <v>36089</v>
      </c>
      <c r="D719" s="147">
        <v>156234</v>
      </c>
      <c r="E719" s="147">
        <v>12565</v>
      </c>
      <c r="F719" s="147"/>
      <c r="G719" s="147">
        <f t="shared" si="39"/>
        <v>1786414</v>
      </c>
      <c r="H719" s="147">
        <v>271960</v>
      </c>
      <c r="I719" s="147">
        <v>867826</v>
      </c>
      <c r="J719" s="147">
        <v>646628</v>
      </c>
      <c r="K719" s="136"/>
    </row>
    <row r="720" spans="1:11" s="145" customFormat="1" ht="8.4499999999999993" customHeight="1" x14ac:dyDescent="0.25">
      <c r="A720" s="140" t="s">
        <v>44</v>
      </c>
      <c r="B720" s="147">
        <f t="shared" si="38"/>
        <v>193063</v>
      </c>
      <c r="C720" s="147">
        <v>30580</v>
      </c>
      <c r="D720" s="147">
        <v>152750</v>
      </c>
      <c r="E720" s="147">
        <v>9733</v>
      </c>
      <c r="F720" s="147"/>
      <c r="G720" s="147">
        <f t="shared" si="39"/>
        <v>1390826</v>
      </c>
      <c r="H720" s="147">
        <v>186184</v>
      </c>
      <c r="I720" s="147">
        <v>700222</v>
      </c>
      <c r="J720" s="147">
        <v>504420</v>
      </c>
      <c r="K720" s="136"/>
    </row>
    <row r="721" spans="1:11" s="145" customFormat="1" ht="8.4499999999999993" customHeight="1" x14ac:dyDescent="0.25">
      <c r="A721" s="141" t="s">
        <v>45</v>
      </c>
      <c r="B721" s="150">
        <f t="shared" si="38"/>
        <v>196279</v>
      </c>
      <c r="C721" s="150">
        <v>50265</v>
      </c>
      <c r="D721" s="150">
        <v>135809</v>
      </c>
      <c r="E721" s="150">
        <v>10205</v>
      </c>
      <c r="F721" s="150"/>
      <c r="G721" s="150">
        <f t="shared" si="39"/>
        <v>1852141</v>
      </c>
      <c r="H721" s="150">
        <v>380256</v>
      </c>
      <c r="I721" s="150">
        <v>947501</v>
      </c>
      <c r="J721" s="150">
        <v>524384</v>
      </c>
      <c r="K721" s="136"/>
    </row>
    <row r="722" spans="1:11" s="145" customFormat="1" ht="8.4499999999999993" customHeight="1" x14ac:dyDescent="0.25">
      <c r="A722" s="140" t="s">
        <v>46</v>
      </c>
      <c r="B722" s="147">
        <f t="shared" si="38"/>
        <v>276989</v>
      </c>
      <c r="C722" s="147">
        <v>68122</v>
      </c>
      <c r="D722" s="147">
        <v>196013</v>
      </c>
      <c r="E722" s="147">
        <v>12854</v>
      </c>
      <c r="F722" s="147"/>
      <c r="G722" s="147">
        <f t="shared" si="39"/>
        <v>2334561</v>
      </c>
      <c r="H722" s="147">
        <v>495652</v>
      </c>
      <c r="I722" s="147">
        <v>1166868</v>
      </c>
      <c r="J722" s="147">
        <v>672041</v>
      </c>
      <c r="K722" s="136"/>
    </row>
    <row r="723" spans="1:11" s="145" customFormat="1" ht="8.4499999999999993" customHeight="1" x14ac:dyDescent="0.25">
      <c r="A723" s="140" t="s">
        <v>47</v>
      </c>
      <c r="B723" s="147">
        <f t="shared" si="38"/>
        <v>318628</v>
      </c>
      <c r="C723" s="147">
        <v>78005</v>
      </c>
      <c r="D723" s="147">
        <v>225941</v>
      </c>
      <c r="E723" s="147">
        <v>14682</v>
      </c>
      <c r="F723" s="147"/>
      <c r="G723" s="147">
        <f t="shared" si="39"/>
        <v>2767072</v>
      </c>
      <c r="H723" s="147">
        <v>598860</v>
      </c>
      <c r="I723" s="147">
        <v>1416150</v>
      </c>
      <c r="J723" s="147">
        <v>752062</v>
      </c>
      <c r="K723" s="136"/>
    </row>
    <row r="724" spans="1:11" s="145" customFormat="1" ht="8.4499999999999993" customHeight="1" x14ac:dyDescent="0.25">
      <c r="A724" s="140" t="s">
        <v>48</v>
      </c>
      <c r="B724" s="147">
        <f t="shared" si="38"/>
        <v>100416</v>
      </c>
      <c r="C724" s="147">
        <v>13400</v>
      </c>
      <c r="D724" s="147">
        <v>82401</v>
      </c>
      <c r="E724" s="147">
        <v>4615</v>
      </c>
      <c r="F724" s="147"/>
      <c r="G724" s="147">
        <f t="shared" si="39"/>
        <v>733713</v>
      </c>
      <c r="H724" s="147">
        <v>110508</v>
      </c>
      <c r="I724" s="147">
        <v>378097</v>
      </c>
      <c r="J724" s="147">
        <v>245108</v>
      </c>
      <c r="K724" s="136"/>
    </row>
    <row r="725" spans="1:11" s="145" customFormat="1" ht="8.4499999999999993" customHeight="1" x14ac:dyDescent="0.25">
      <c r="A725" s="141" t="s">
        <v>49</v>
      </c>
      <c r="B725" s="150">
        <f t="shared" si="38"/>
        <v>333146</v>
      </c>
      <c r="C725" s="150">
        <v>63707</v>
      </c>
      <c r="D725" s="150">
        <v>250588</v>
      </c>
      <c r="E725" s="150">
        <v>18851</v>
      </c>
      <c r="F725" s="150"/>
      <c r="G725" s="150">
        <f t="shared" si="39"/>
        <v>3181811</v>
      </c>
      <c r="H725" s="150">
        <v>523964</v>
      </c>
      <c r="I725" s="150">
        <v>1679129</v>
      </c>
      <c r="J725" s="150">
        <v>978718</v>
      </c>
      <c r="K725" s="136"/>
    </row>
    <row r="726" spans="1:11" s="145" customFormat="1" ht="8.4499999999999993" customHeight="1" x14ac:dyDescent="0.25">
      <c r="A726" s="140" t="s">
        <v>50</v>
      </c>
      <c r="B726" s="147">
        <f t="shared" si="38"/>
        <v>38681</v>
      </c>
      <c r="C726" s="147">
        <v>6079</v>
      </c>
      <c r="D726" s="147">
        <v>29882</v>
      </c>
      <c r="E726" s="147">
        <v>2720</v>
      </c>
      <c r="F726" s="147"/>
      <c r="G726" s="147">
        <f t="shared" si="39"/>
        <v>361828</v>
      </c>
      <c r="H726" s="147">
        <v>49423</v>
      </c>
      <c r="I726" s="147">
        <v>173354</v>
      </c>
      <c r="J726" s="147">
        <v>139051</v>
      </c>
      <c r="K726" s="136"/>
    </row>
    <row r="727" spans="1:11" s="145" customFormat="1" ht="8.4499999999999993" customHeight="1" x14ac:dyDescent="0.25">
      <c r="A727" s="140" t="s">
        <v>146</v>
      </c>
      <c r="B727" s="147">
        <f t="shared" si="38"/>
        <v>395202</v>
      </c>
      <c r="C727" s="147">
        <v>57877</v>
      </c>
      <c r="D727" s="147">
        <v>320769</v>
      </c>
      <c r="E727" s="147">
        <v>16556</v>
      </c>
      <c r="F727" s="147"/>
      <c r="G727" s="147">
        <f t="shared" si="39"/>
        <v>3035319</v>
      </c>
      <c r="H727" s="147">
        <v>466695</v>
      </c>
      <c r="I727" s="147">
        <v>1708075</v>
      </c>
      <c r="J727" s="147">
        <v>860549</v>
      </c>
      <c r="K727" s="136"/>
    </row>
    <row r="728" spans="1:11" s="145" customFormat="1" ht="8.4499999999999993" customHeight="1" x14ac:dyDescent="0.25">
      <c r="A728" s="140" t="s">
        <v>52</v>
      </c>
      <c r="B728" s="147">
        <f t="shared" si="38"/>
        <v>208477</v>
      </c>
      <c r="C728" s="147">
        <v>24958</v>
      </c>
      <c r="D728" s="147">
        <v>176979</v>
      </c>
      <c r="E728" s="147">
        <v>6540</v>
      </c>
      <c r="F728" s="147"/>
      <c r="G728" s="147">
        <f t="shared" si="39"/>
        <v>1256262</v>
      </c>
      <c r="H728" s="147">
        <v>193457</v>
      </c>
      <c r="I728" s="147">
        <v>711084</v>
      </c>
      <c r="J728" s="147">
        <v>351721</v>
      </c>
      <c r="K728" s="136"/>
    </row>
    <row r="729" spans="1:11" s="145" customFormat="1" ht="8.4499999999999993" customHeight="1" x14ac:dyDescent="0.25">
      <c r="A729" s="141" t="s">
        <v>53</v>
      </c>
      <c r="B729" s="150">
        <f t="shared" si="38"/>
        <v>85942</v>
      </c>
      <c r="C729" s="150">
        <v>17346</v>
      </c>
      <c r="D729" s="150">
        <v>63895</v>
      </c>
      <c r="E729" s="150">
        <v>4701</v>
      </c>
      <c r="F729" s="150"/>
      <c r="G729" s="150">
        <f t="shared" si="39"/>
        <v>736741</v>
      </c>
      <c r="H729" s="150">
        <v>118009</v>
      </c>
      <c r="I729" s="150">
        <v>380346</v>
      </c>
      <c r="J729" s="150">
        <v>238386</v>
      </c>
      <c r="K729" s="136"/>
    </row>
    <row r="730" spans="1:11" s="145" customFormat="1" ht="5.25" customHeight="1" x14ac:dyDescent="0.25">
      <c r="A730" s="138"/>
      <c r="B730" s="148"/>
      <c r="C730" s="148"/>
      <c r="D730" s="148"/>
      <c r="E730" s="148"/>
      <c r="F730" s="148"/>
      <c r="G730" s="148"/>
      <c r="H730" s="148"/>
      <c r="I730" s="148"/>
      <c r="J730" s="148"/>
    </row>
    <row r="731" spans="1:11" s="136" customFormat="1" ht="9" customHeight="1" x14ac:dyDescent="0.25">
      <c r="A731" s="177">
        <v>2017</v>
      </c>
      <c r="B731" s="147"/>
      <c r="C731" s="140"/>
      <c r="D731" s="140"/>
      <c r="E731" s="140"/>
      <c r="F731" s="147"/>
      <c r="G731" s="147"/>
      <c r="H731" s="140"/>
      <c r="I731" s="140"/>
      <c r="J731" s="140"/>
    </row>
    <row r="732" spans="1:11" s="136" customFormat="1" ht="9" customHeight="1" x14ac:dyDescent="0.25">
      <c r="A732" s="138" t="s">
        <v>13</v>
      </c>
      <c r="B732" s="148">
        <f>SUM(B734:B765)</f>
        <v>9020056</v>
      </c>
      <c r="C732" s="148">
        <f>SUM(C734:C765)</f>
        <v>1930816</v>
      </c>
      <c r="D732" s="148">
        <f>SUM(D734:D765)</f>
        <v>6825446</v>
      </c>
      <c r="E732" s="148">
        <f>SUM(E734:E765)</f>
        <v>263794</v>
      </c>
      <c r="F732" s="148"/>
      <c r="G732" s="148">
        <f>SUM(G734:G765)</f>
        <v>76244022</v>
      </c>
      <c r="H732" s="148">
        <f>SUM(H734:H765)</f>
        <v>13655281</v>
      </c>
      <c r="I732" s="148">
        <f>SUM(I734:I765)</f>
        <v>40992493</v>
      </c>
      <c r="J732" s="148">
        <f>SUM(J734:J765)</f>
        <v>21596248</v>
      </c>
    </row>
    <row r="733" spans="1:11" s="136" customFormat="1" ht="3" customHeight="1" x14ac:dyDescent="0.25">
      <c r="A733" s="138"/>
      <c r="B733" s="148"/>
      <c r="C733" s="148"/>
      <c r="E733" s="148"/>
      <c r="F733" s="148"/>
      <c r="G733" s="148"/>
      <c r="H733" s="148"/>
      <c r="I733" s="148"/>
      <c r="J733" s="148"/>
    </row>
    <row r="734" spans="1:11" s="136" customFormat="1" ht="9" customHeight="1" x14ac:dyDescent="0.25">
      <c r="A734" s="140" t="s">
        <v>23</v>
      </c>
      <c r="B734" s="147">
        <f t="shared" ref="B734:B765" si="40">SUM(C734,D734,E734)</f>
        <v>154089</v>
      </c>
      <c r="C734" s="147">
        <v>28142</v>
      </c>
      <c r="D734" s="160">
        <v>120918</v>
      </c>
      <c r="E734" s="160">
        <v>5029</v>
      </c>
      <c r="F734" s="147"/>
      <c r="G734" s="147">
        <f t="shared" ref="G734:G765" si="41">SUM(H734,I734,J734)</f>
        <v>1286059</v>
      </c>
      <c r="H734" s="147">
        <v>178773</v>
      </c>
      <c r="I734" s="147">
        <v>698530</v>
      </c>
      <c r="J734" s="160">
        <v>408756</v>
      </c>
    </row>
    <row r="735" spans="1:11" s="136" customFormat="1" ht="9" customHeight="1" x14ac:dyDescent="0.25">
      <c r="A735" s="140" t="s">
        <v>24</v>
      </c>
      <c r="B735" s="147">
        <f t="shared" si="40"/>
        <v>408618</v>
      </c>
      <c r="C735" s="147">
        <v>97901</v>
      </c>
      <c r="D735" s="160">
        <v>296038</v>
      </c>
      <c r="E735" s="147">
        <v>14679</v>
      </c>
      <c r="F735" s="147"/>
      <c r="G735" s="147">
        <f t="shared" si="41"/>
        <v>3624424</v>
      </c>
      <c r="H735" s="147">
        <v>598082</v>
      </c>
      <c r="I735" s="147">
        <v>1820672</v>
      </c>
      <c r="J735" s="147">
        <v>1205670</v>
      </c>
    </row>
    <row r="736" spans="1:11" s="136" customFormat="1" ht="9" customHeight="1" x14ac:dyDescent="0.25">
      <c r="A736" s="140" t="s">
        <v>25</v>
      </c>
      <c r="B736" s="147">
        <f t="shared" si="40"/>
        <v>89054</v>
      </c>
      <c r="C736" s="147">
        <v>21311</v>
      </c>
      <c r="D736" s="147">
        <v>65112</v>
      </c>
      <c r="E736" s="147">
        <v>2631</v>
      </c>
      <c r="F736" s="147"/>
      <c r="G736" s="147">
        <f t="shared" si="41"/>
        <v>681209</v>
      </c>
      <c r="H736" s="147">
        <v>124710</v>
      </c>
      <c r="I736" s="147">
        <v>340701</v>
      </c>
      <c r="J736" s="147">
        <v>215798</v>
      </c>
    </row>
    <row r="737" spans="1:10" s="136" customFormat="1" ht="9" customHeight="1" x14ac:dyDescent="0.25">
      <c r="A737" s="141" t="s">
        <v>26</v>
      </c>
      <c r="B737" s="150">
        <f t="shared" si="40"/>
        <v>73069</v>
      </c>
      <c r="C737" s="150">
        <v>7182</v>
      </c>
      <c r="D737" s="150">
        <v>64310</v>
      </c>
      <c r="E737" s="150">
        <v>1577</v>
      </c>
      <c r="F737" s="150"/>
      <c r="G737" s="150">
        <f t="shared" si="41"/>
        <v>491023</v>
      </c>
      <c r="H737" s="150">
        <v>62173</v>
      </c>
      <c r="I737" s="150">
        <v>298924</v>
      </c>
      <c r="J737" s="150">
        <v>129926</v>
      </c>
    </row>
    <row r="738" spans="1:10" s="136" customFormat="1" ht="9" customHeight="1" x14ac:dyDescent="0.25">
      <c r="A738" s="140" t="s">
        <v>126</v>
      </c>
      <c r="B738" s="147">
        <f t="shared" si="40"/>
        <v>332260</v>
      </c>
      <c r="C738" s="147">
        <v>66336</v>
      </c>
      <c r="D738" s="147">
        <v>254678</v>
      </c>
      <c r="E738" s="147">
        <v>11246</v>
      </c>
      <c r="F738" s="147"/>
      <c r="G738" s="147">
        <f t="shared" si="41"/>
        <v>2915068</v>
      </c>
      <c r="H738" s="147">
        <v>435780</v>
      </c>
      <c r="I738" s="147">
        <v>1556623</v>
      </c>
      <c r="J738" s="147">
        <v>922665</v>
      </c>
    </row>
    <row r="739" spans="1:10" s="136" customFormat="1" ht="9" customHeight="1" x14ac:dyDescent="0.25">
      <c r="A739" s="140" t="s">
        <v>28</v>
      </c>
      <c r="B739" s="147">
        <f t="shared" si="40"/>
        <v>81749</v>
      </c>
      <c r="C739" s="147">
        <v>20193</v>
      </c>
      <c r="D739" s="147">
        <v>59350</v>
      </c>
      <c r="E739" s="147">
        <v>2206</v>
      </c>
      <c r="F739" s="147"/>
      <c r="G739" s="147">
        <f t="shared" si="41"/>
        <v>648052</v>
      </c>
      <c r="H739" s="147">
        <v>141682</v>
      </c>
      <c r="I739" s="147">
        <v>326500</v>
      </c>
      <c r="J739" s="147">
        <v>179870</v>
      </c>
    </row>
    <row r="740" spans="1:10" s="136" customFormat="1" ht="9" customHeight="1" x14ac:dyDescent="0.25">
      <c r="A740" s="140" t="s">
        <v>29</v>
      </c>
      <c r="B740" s="147">
        <f t="shared" si="40"/>
        <v>138614</v>
      </c>
      <c r="C740" s="147">
        <v>14979</v>
      </c>
      <c r="D740" s="147">
        <v>120003</v>
      </c>
      <c r="E740" s="147">
        <v>3632</v>
      </c>
      <c r="F740" s="147"/>
      <c r="G740" s="147">
        <f t="shared" si="41"/>
        <v>961567</v>
      </c>
      <c r="H740" s="147">
        <v>124013</v>
      </c>
      <c r="I740" s="147">
        <v>539451</v>
      </c>
      <c r="J740" s="147">
        <v>298103</v>
      </c>
    </row>
    <row r="741" spans="1:10" s="136" customFormat="1" ht="9" customHeight="1" x14ac:dyDescent="0.25">
      <c r="A741" s="141" t="s">
        <v>30</v>
      </c>
      <c r="B741" s="150">
        <f t="shared" si="40"/>
        <v>450515</v>
      </c>
      <c r="C741" s="150">
        <v>89834</v>
      </c>
      <c r="D741" s="150">
        <v>346151</v>
      </c>
      <c r="E741" s="150">
        <v>14530</v>
      </c>
      <c r="F741" s="150"/>
      <c r="G741" s="150">
        <f t="shared" si="41"/>
        <v>4648297</v>
      </c>
      <c r="H741" s="150">
        <v>796952</v>
      </c>
      <c r="I741" s="150">
        <v>2656426</v>
      </c>
      <c r="J741" s="150">
        <v>1194919</v>
      </c>
    </row>
    <row r="742" spans="1:10" s="136" customFormat="1" ht="9" customHeight="1" x14ac:dyDescent="0.25">
      <c r="A742" s="140" t="s">
        <v>144</v>
      </c>
      <c r="B742" s="147">
        <f t="shared" si="40"/>
        <v>1033696</v>
      </c>
      <c r="C742" s="147">
        <v>226723</v>
      </c>
      <c r="D742" s="147">
        <v>783964</v>
      </c>
      <c r="E742" s="147">
        <v>23009</v>
      </c>
      <c r="F742" s="147"/>
      <c r="G742" s="147">
        <f t="shared" si="41"/>
        <v>7740076</v>
      </c>
      <c r="H742" s="147">
        <v>1369413</v>
      </c>
      <c r="I742" s="147">
        <v>4490957</v>
      </c>
      <c r="J742" s="147">
        <v>1879706</v>
      </c>
    </row>
    <row r="743" spans="1:10" s="136" customFormat="1" ht="9" customHeight="1" x14ac:dyDescent="0.25">
      <c r="A743" s="140" t="s">
        <v>31</v>
      </c>
      <c r="B743" s="147">
        <f t="shared" si="40"/>
        <v>85629</v>
      </c>
      <c r="C743" s="147">
        <v>22121</v>
      </c>
      <c r="D743" s="147">
        <v>59658</v>
      </c>
      <c r="E743" s="147">
        <v>3850</v>
      </c>
      <c r="F743" s="147"/>
      <c r="G743" s="147">
        <f t="shared" si="41"/>
        <v>1000956</v>
      </c>
      <c r="H743" s="147">
        <v>187288</v>
      </c>
      <c r="I743" s="147">
        <v>498437</v>
      </c>
      <c r="J743" s="147">
        <v>315231</v>
      </c>
    </row>
    <row r="744" spans="1:10" s="136" customFormat="1" ht="9" customHeight="1" x14ac:dyDescent="0.25">
      <c r="A744" s="140" t="s">
        <v>32</v>
      </c>
      <c r="B744" s="147">
        <f t="shared" si="40"/>
        <v>458990</v>
      </c>
      <c r="C744" s="147">
        <v>103355</v>
      </c>
      <c r="D744" s="147">
        <v>340269</v>
      </c>
      <c r="E744" s="147">
        <v>15366</v>
      </c>
      <c r="F744" s="147"/>
      <c r="G744" s="147">
        <f t="shared" si="41"/>
        <v>4194241</v>
      </c>
      <c r="H744" s="147">
        <v>786884</v>
      </c>
      <c r="I744" s="147">
        <v>2147486</v>
      </c>
      <c r="J744" s="147">
        <v>1259871</v>
      </c>
    </row>
    <row r="745" spans="1:10" s="136" customFormat="1" ht="9" customHeight="1" x14ac:dyDescent="0.25">
      <c r="A745" s="141" t="s">
        <v>33</v>
      </c>
      <c r="B745" s="150">
        <f t="shared" si="40"/>
        <v>85512</v>
      </c>
      <c r="C745" s="150">
        <v>12876</v>
      </c>
      <c r="D745" s="150">
        <v>70165</v>
      </c>
      <c r="E745" s="150">
        <v>2471</v>
      </c>
      <c r="F745" s="150"/>
      <c r="G745" s="150">
        <f t="shared" si="41"/>
        <v>652120</v>
      </c>
      <c r="H745" s="150">
        <v>90987</v>
      </c>
      <c r="I745" s="150">
        <v>359375</v>
      </c>
      <c r="J745" s="150">
        <v>201758</v>
      </c>
    </row>
    <row r="746" spans="1:10" s="136" customFormat="1" ht="9" customHeight="1" x14ac:dyDescent="0.25">
      <c r="A746" s="140" t="s">
        <v>34</v>
      </c>
      <c r="B746" s="147">
        <f t="shared" si="40"/>
        <v>108601</v>
      </c>
      <c r="C746" s="147">
        <v>27622</v>
      </c>
      <c r="D746" s="147">
        <v>77780</v>
      </c>
      <c r="E746" s="147">
        <v>3199</v>
      </c>
      <c r="F746" s="147"/>
      <c r="G746" s="147">
        <f t="shared" si="41"/>
        <v>934609</v>
      </c>
      <c r="H746" s="147">
        <v>195661</v>
      </c>
      <c r="I746" s="147">
        <v>478109</v>
      </c>
      <c r="J746" s="147">
        <v>260839</v>
      </c>
    </row>
    <row r="747" spans="1:10" s="136" customFormat="1" ht="9" customHeight="1" x14ac:dyDescent="0.25">
      <c r="A747" s="140" t="s">
        <v>35</v>
      </c>
      <c r="B747" s="147">
        <f t="shared" si="40"/>
        <v>789367</v>
      </c>
      <c r="C747" s="147">
        <v>218567</v>
      </c>
      <c r="D747" s="147">
        <v>547066</v>
      </c>
      <c r="E747" s="147">
        <v>23734</v>
      </c>
      <c r="F747" s="147"/>
      <c r="G747" s="147">
        <f t="shared" si="41"/>
        <v>7218298</v>
      </c>
      <c r="H747" s="147">
        <v>1564041</v>
      </c>
      <c r="I747" s="147">
        <v>3711228</v>
      </c>
      <c r="J747" s="147">
        <v>1943029</v>
      </c>
    </row>
    <row r="748" spans="1:10" s="136" customFormat="1" ht="9" customHeight="1" x14ac:dyDescent="0.25">
      <c r="A748" s="140" t="s">
        <v>145</v>
      </c>
      <c r="B748" s="147">
        <f t="shared" si="40"/>
        <v>1138247</v>
      </c>
      <c r="C748" s="147">
        <v>299163</v>
      </c>
      <c r="D748" s="147">
        <v>813936</v>
      </c>
      <c r="E748" s="147">
        <v>25148</v>
      </c>
      <c r="F748" s="147"/>
      <c r="G748" s="147">
        <f t="shared" si="41"/>
        <v>8672823</v>
      </c>
      <c r="H748" s="147">
        <v>1906341</v>
      </c>
      <c r="I748" s="147">
        <v>4720682</v>
      </c>
      <c r="J748" s="147">
        <v>2045800</v>
      </c>
    </row>
    <row r="749" spans="1:10" s="136" customFormat="1" ht="9" customHeight="1" x14ac:dyDescent="0.25">
      <c r="A749" s="141" t="s">
        <v>129</v>
      </c>
      <c r="B749" s="150">
        <f t="shared" si="40"/>
        <v>207953</v>
      </c>
      <c r="C749" s="150">
        <v>39961</v>
      </c>
      <c r="D749" s="150">
        <v>161534</v>
      </c>
      <c r="E749" s="150">
        <v>6458</v>
      </c>
      <c r="F749" s="150"/>
      <c r="G749" s="150">
        <f t="shared" si="41"/>
        <v>1710628</v>
      </c>
      <c r="H749" s="150">
        <v>253585</v>
      </c>
      <c r="I749" s="150">
        <v>931149</v>
      </c>
      <c r="J749" s="150">
        <v>525894</v>
      </c>
    </row>
    <row r="750" spans="1:10" s="136" customFormat="1" ht="9" customHeight="1" x14ac:dyDescent="0.25">
      <c r="A750" s="140" t="s">
        <v>38</v>
      </c>
      <c r="B750" s="147">
        <f t="shared" si="40"/>
        <v>119515</v>
      </c>
      <c r="C750" s="147">
        <v>17154</v>
      </c>
      <c r="D750" s="147">
        <v>99151</v>
      </c>
      <c r="E750" s="147">
        <v>3210</v>
      </c>
      <c r="F750" s="147"/>
      <c r="G750" s="147">
        <f t="shared" si="41"/>
        <v>860883</v>
      </c>
      <c r="H750" s="147">
        <v>121194</v>
      </c>
      <c r="I750" s="147">
        <v>476064</v>
      </c>
      <c r="J750" s="147">
        <v>263625</v>
      </c>
    </row>
    <row r="751" spans="1:10" s="136" customFormat="1" ht="9" customHeight="1" x14ac:dyDescent="0.25">
      <c r="A751" s="140" t="s">
        <v>39</v>
      </c>
      <c r="B751" s="147">
        <f t="shared" si="40"/>
        <v>93272</v>
      </c>
      <c r="C751" s="147">
        <v>18279</v>
      </c>
      <c r="D751" s="147">
        <v>72525</v>
      </c>
      <c r="E751" s="147">
        <v>2468</v>
      </c>
      <c r="F751" s="147"/>
      <c r="G751" s="147">
        <f t="shared" si="41"/>
        <v>658783</v>
      </c>
      <c r="H751" s="147">
        <v>110615</v>
      </c>
      <c r="I751" s="147">
        <v>345579</v>
      </c>
      <c r="J751" s="147">
        <v>202589</v>
      </c>
    </row>
    <row r="752" spans="1:10" s="136" customFormat="1" ht="9" customHeight="1" x14ac:dyDescent="0.25">
      <c r="A752" s="140" t="s">
        <v>40</v>
      </c>
      <c r="B752" s="147">
        <f t="shared" si="40"/>
        <v>450862</v>
      </c>
      <c r="C752" s="147">
        <v>83012</v>
      </c>
      <c r="D752" s="147">
        <v>349577</v>
      </c>
      <c r="E752" s="147">
        <v>18273</v>
      </c>
      <c r="F752" s="147"/>
      <c r="G752" s="147">
        <f t="shared" si="41"/>
        <v>4718464</v>
      </c>
      <c r="H752" s="147">
        <v>669855</v>
      </c>
      <c r="I752" s="147">
        <v>2548348</v>
      </c>
      <c r="J752" s="147">
        <v>1500261</v>
      </c>
    </row>
    <row r="753" spans="1:10" s="136" customFormat="1" ht="9" customHeight="1" x14ac:dyDescent="0.25">
      <c r="A753" s="141" t="s">
        <v>41</v>
      </c>
      <c r="B753" s="150">
        <f t="shared" si="40"/>
        <v>96846</v>
      </c>
      <c r="C753" s="150">
        <v>15781</v>
      </c>
      <c r="D753" s="150">
        <v>78091</v>
      </c>
      <c r="E753" s="150">
        <v>2974</v>
      </c>
      <c r="F753" s="150"/>
      <c r="G753" s="150">
        <f t="shared" si="41"/>
        <v>808099</v>
      </c>
      <c r="H753" s="150">
        <v>130703</v>
      </c>
      <c r="I753" s="150">
        <v>434693</v>
      </c>
      <c r="J753" s="150">
        <v>242703</v>
      </c>
    </row>
    <row r="754" spans="1:10" s="136" customFormat="1" ht="9" customHeight="1" x14ac:dyDescent="0.25">
      <c r="A754" s="140" t="s">
        <v>42</v>
      </c>
      <c r="B754" s="147">
        <f t="shared" si="40"/>
        <v>243092</v>
      </c>
      <c r="C754" s="147">
        <v>55466</v>
      </c>
      <c r="D754" s="147">
        <v>179690</v>
      </c>
      <c r="E754" s="147">
        <v>7936</v>
      </c>
      <c r="F754" s="147"/>
      <c r="G754" s="147">
        <f t="shared" si="41"/>
        <v>2084064</v>
      </c>
      <c r="H754" s="147">
        <v>385633</v>
      </c>
      <c r="I754" s="147">
        <v>1050757</v>
      </c>
      <c r="J754" s="147">
        <v>647674</v>
      </c>
    </row>
    <row r="755" spans="1:10" s="136" customFormat="1" ht="9" customHeight="1" x14ac:dyDescent="0.25">
      <c r="A755" s="140" t="s">
        <v>43</v>
      </c>
      <c r="B755" s="147">
        <f t="shared" si="40"/>
        <v>209036</v>
      </c>
      <c r="C755" s="147">
        <v>36825</v>
      </c>
      <c r="D755" s="147">
        <v>164320</v>
      </c>
      <c r="E755" s="147">
        <v>7891</v>
      </c>
      <c r="F755" s="147"/>
      <c r="G755" s="147">
        <f t="shared" si="41"/>
        <v>1829453</v>
      </c>
      <c r="H755" s="147">
        <v>285633</v>
      </c>
      <c r="I755" s="147">
        <v>895085</v>
      </c>
      <c r="J755" s="147">
        <v>648735</v>
      </c>
    </row>
    <row r="756" spans="1:10" s="136" customFormat="1" ht="9" customHeight="1" x14ac:dyDescent="0.25">
      <c r="A756" s="140" t="s">
        <v>44</v>
      </c>
      <c r="B756" s="147">
        <f t="shared" si="40"/>
        <v>244221</v>
      </c>
      <c r="C756" s="147">
        <v>28794</v>
      </c>
      <c r="D756" s="147">
        <v>209186</v>
      </c>
      <c r="E756" s="147">
        <v>6241</v>
      </c>
      <c r="F756" s="147"/>
      <c r="G756" s="147">
        <f t="shared" si="41"/>
        <v>1556007</v>
      </c>
      <c r="H756" s="147">
        <v>183443</v>
      </c>
      <c r="I756" s="147">
        <v>860049</v>
      </c>
      <c r="J756" s="147">
        <v>512515</v>
      </c>
    </row>
    <row r="757" spans="1:10" s="136" customFormat="1" ht="9" customHeight="1" x14ac:dyDescent="0.25">
      <c r="A757" s="141" t="s">
        <v>45</v>
      </c>
      <c r="B757" s="150">
        <f t="shared" si="40"/>
        <v>209025</v>
      </c>
      <c r="C757" s="150">
        <v>51864</v>
      </c>
      <c r="D757" s="150">
        <v>150820</v>
      </c>
      <c r="E757" s="150">
        <v>6341</v>
      </c>
      <c r="F757" s="150"/>
      <c r="G757" s="150">
        <f t="shared" si="41"/>
        <v>2016251</v>
      </c>
      <c r="H757" s="150">
        <v>419479</v>
      </c>
      <c r="I757" s="150">
        <v>1076527</v>
      </c>
      <c r="J757" s="150">
        <v>520245</v>
      </c>
    </row>
    <row r="758" spans="1:10" s="136" customFormat="1" ht="9" customHeight="1" x14ac:dyDescent="0.25">
      <c r="A758" s="140" t="s">
        <v>46</v>
      </c>
      <c r="B758" s="147">
        <f t="shared" si="40"/>
        <v>237759</v>
      </c>
      <c r="C758" s="147">
        <v>60635</v>
      </c>
      <c r="D758" s="147">
        <v>168653</v>
      </c>
      <c r="E758" s="147">
        <v>8471</v>
      </c>
      <c r="F758" s="147"/>
      <c r="G758" s="147">
        <f t="shared" si="41"/>
        <v>2217857</v>
      </c>
      <c r="H758" s="147">
        <v>450255</v>
      </c>
      <c r="I758" s="147">
        <v>1074819</v>
      </c>
      <c r="J758" s="147">
        <v>692783</v>
      </c>
    </row>
    <row r="759" spans="1:10" s="136" customFormat="1" ht="9" customHeight="1" x14ac:dyDescent="0.25">
      <c r="A759" s="140" t="s">
        <v>47</v>
      </c>
      <c r="B759" s="147">
        <f t="shared" si="40"/>
        <v>323248</v>
      </c>
      <c r="C759" s="147">
        <v>83667</v>
      </c>
      <c r="D759" s="147">
        <v>230852</v>
      </c>
      <c r="E759" s="147">
        <v>8729</v>
      </c>
      <c r="F759" s="147"/>
      <c r="G759" s="147">
        <f t="shared" si="41"/>
        <v>2835414</v>
      </c>
      <c r="H759" s="147">
        <v>635294</v>
      </c>
      <c r="I759" s="147">
        <v>1484877</v>
      </c>
      <c r="J759" s="147">
        <v>715243</v>
      </c>
    </row>
    <row r="760" spans="1:10" s="136" customFormat="1" ht="9" customHeight="1" x14ac:dyDescent="0.25">
      <c r="A760" s="140" t="s">
        <v>48</v>
      </c>
      <c r="B760" s="147">
        <f t="shared" si="40"/>
        <v>100982</v>
      </c>
      <c r="C760" s="147">
        <v>11998</v>
      </c>
      <c r="D760" s="147">
        <v>86256</v>
      </c>
      <c r="E760" s="147">
        <v>2728</v>
      </c>
      <c r="F760" s="147"/>
      <c r="G760" s="147">
        <f t="shared" si="41"/>
        <v>676596</v>
      </c>
      <c r="H760" s="147">
        <v>90564</v>
      </c>
      <c r="I760" s="147">
        <v>363505</v>
      </c>
      <c r="J760" s="147">
        <v>222527</v>
      </c>
    </row>
    <row r="761" spans="1:10" s="136" customFormat="1" ht="9" customHeight="1" x14ac:dyDescent="0.25">
      <c r="A761" s="141" t="s">
        <v>49</v>
      </c>
      <c r="B761" s="150">
        <f t="shared" si="40"/>
        <v>333955</v>
      </c>
      <c r="C761" s="150">
        <v>65243</v>
      </c>
      <c r="D761" s="150">
        <v>257334</v>
      </c>
      <c r="E761" s="150">
        <v>11378</v>
      </c>
      <c r="F761" s="150"/>
      <c r="G761" s="150">
        <f t="shared" si="41"/>
        <v>3244825</v>
      </c>
      <c r="H761" s="150">
        <v>539537</v>
      </c>
      <c r="I761" s="150">
        <v>1769393</v>
      </c>
      <c r="J761" s="150">
        <v>935895</v>
      </c>
    </row>
    <row r="762" spans="1:10" s="136" customFormat="1" ht="9" customHeight="1" x14ac:dyDescent="0.25">
      <c r="A762" s="140" t="s">
        <v>50</v>
      </c>
      <c r="B762" s="147">
        <f t="shared" si="40"/>
        <v>38964</v>
      </c>
      <c r="C762" s="147">
        <v>6088</v>
      </c>
      <c r="D762" s="147">
        <v>31087</v>
      </c>
      <c r="E762" s="147">
        <v>1789</v>
      </c>
      <c r="F762" s="147"/>
      <c r="G762" s="147">
        <f t="shared" si="41"/>
        <v>378640</v>
      </c>
      <c r="H762" s="147">
        <v>51029</v>
      </c>
      <c r="I762" s="147">
        <v>182344</v>
      </c>
      <c r="J762" s="147">
        <v>145267</v>
      </c>
    </row>
    <row r="763" spans="1:10" s="136" customFormat="1" ht="9" customHeight="1" x14ac:dyDescent="0.25">
      <c r="A763" s="140" t="s">
        <v>146</v>
      </c>
      <c r="B763" s="147">
        <f t="shared" si="40"/>
        <v>363349</v>
      </c>
      <c r="C763" s="147">
        <v>58201</v>
      </c>
      <c r="D763" s="147">
        <v>295621</v>
      </c>
      <c r="E763" s="147">
        <v>9527</v>
      </c>
      <c r="F763" s="147"/>
      <c r="G763" s="147">
        <f t="shared" si="41"/>
        <v>2907064</v>
      </c>
      <c r="H763" s="147">
        <v>464103</v>
      </c>
      <c r="I763" s="147">
        <v>1662276</v>
      </c>
      <c r="J763" s="147">
        <v>780685</v>
      </c>
    </row>
    <row r="764" spans="1:10" s="136" customFormat="1" ht="9" customHeight="1" x14ac:dyDescent="0.25">
      <c r="A764" s="140" t="s">
        <v>52</v>
      </c>
      <c r="B764" s="147">
        <f t="shared" si="40"/>
        <v>233102</v>
      </c>
      <c r="C764" s="147">
        <v>22809</v>
      </c>
      <c r="D764" s="147">
        <v>206040</v>
      </c>
      <c r="E764" s="147">
        <v>4253</v>
      </c>
      <c r="F764" s="147"/>
      <c r="G764" s="147">
        <f t="shared" si="41"/>
        <v>1316927</v>
      </c>
      <c r="H764" s="147">
        <v>172516</v>
      </c>
      <c r="I764" s="147">
        <v>795482</v>
      </c>
      <c r="J764" s="147">
        <v>348929</v>
      </c>
    </row>
    <row r="765" spans="1:10" s="136" customFormat="1" ht="9" customHeight="1" x14ac:dyDescent="0.25">
      <c r="A765" s="141" t="s">
        <v>53</v>
      </c>
      <c r="B765" s="150">
        <f t="shared" si="40"/>
        <v>86865</v>
      </c>
      <c r="C765" s="150">
        <v>18734</v>
      </c>
      <c r="D765" s="150">
        <v>65311</v>
      </c>
      <c r="E765" s="150">
        <v>2820</v>
      </c>
      <c r="F765" s="150"/>
      <c r="G765" s="150">
        <f t="shared" si="41"/>
        <v>755245</v>
      </c>
      <c r="H765" s="150">
        <v>129063</v>
      </c>
      <c r="I765" s="150">
        <v>397445</v>
      </c>
      <c r="J765" s="150">
        <v>228737</v>
      </c>
    </row>
    <row r="766" spans="1:10" s="145" customFormat="1" ht="5.25" customHeight="1" x14ac:dyDescent="0.25">
      <c r="A766" s="138"/>
      <c r="B766" s="148"/>
      <c r="C766" s="148"/>
      <c r="D766" s="148"/>
      <c r="E766" s="148"/>
      <c r="F766" s="148"/>
      <c r="G766" s="148"/>
      <c r="H766" s="148"/>
      <c r="I766" s="148"/>
      <c r="J766" s="148"/>
    </row>
    <row r="767" spans="1:10" s="136" customFormat="1" ht="9" customHeight="1" x14ac:dyDescent="0.25">
      <c r="A767" s="177">
        <v>2018</v>
      </c>
      <c r="B767" s="147"/>
      <c r="C767" s="140"/>
      <c r="D767" s="140"/>
      <c r="E767" s="140"/>
      <c r="F767" s="147"/>
      <c r="G767" s="147"/>
      <c r="H767" s="140"/>
      <c r="I767" s="140"/>
      <c r="J767" s="140"/>
    </row>
    <row r="768" spans="1:10" s="136" customFormat="1" ht="9" customHeight="1" x14ac:dyDescent="0.25">
      <c r="A768" s="138" t="s">
        <v>13</v>
      </c>
      <c r="B768" s="148">
        <f>SUM(B770:B801)</f>
        <v>9200666</v>
      </c>
      <c r="C768" s="148">
        <f>SUM(C770:C801)</f>
        <v>2028892</v>
      </c>
      <c r="D768" s="148">
        <f>SUM(D770:D801)</f>
        <v>6912320</v>
      </c>
      <c r="E768" s="148">
        <f>SUM(E770:E801)</f>
        <v>259454</v>
      </c>
      <c r="F768" s="148"/>
      <c r="G768" s="148">
        <f>SUM(G770:G801)</f>
        <v>78415485</v>
      </c>
      <c r="H768" s="148">
        <f>SUM(H770:H801)</f>
        <v>14177866</v>
      </c>
      <c r="I768" s="148">
        <f>SUM(I770:I801)</f>
        <v>42503820</v>
      </c>
      <c r="J768" s="148">
        <f>SUM(J770:J801)</f>
        <v>21733799</v>
      </c>
    </row>
    <row r="769" spans="1:10" s="136" customFormat="1" ht="3" customHeight="1" x14ac:dyDescent="0.25">
      <c r="A769" s="138"/>
      <c r="B769" s="148"/>
      <c r="C769" s="148"/>
      <c r="E769" s="148"/>
      <c r="F769" s="148"/>
      <c r="G769" s="148"/>
      <c r="H769" s="148"/>
      <c r="I769" s="148"/>
      <c r="J769" s="148"/>
    </row>
    <row r="770" spans="1:10" s="136" customFormat="1" ht="9" customHeight="1" x14ac:dyDescent="0.25">
      <c r="A770" s="140" t="s">
        <v>23</v>
      </c>
      <c r="B770" s="147">
        <f t="shared" ref="B770:B801" si="42">SUM(C770,D770,E770)</f>
        <v>164656</v>
      </c>
      <c r="C770" s="147">
        <v>30442</v>
      </c>
      <c r="D770" s="160">
        <v>129353</v>
      </c>
      <c r="E770" s="160">
        <v>4861</v>
      </c>
      <c r="F770" s="147"/>
      <c r="G770" s="147">
        <f t="shared" ref="G770:G801" si="43">SUM(H770,I770,J770)</f>
        <v>1381356</v>
      </c>
      <c r="H770" s="147">
        <v>192493</v>
      </c>
      <c r="I770" s="147">
        <v>782370</v>
      </c>
      <c r="J770" s="160">
        <v>406493</v>
      </c>
    </row>
    <row r="771" spans="1:10" s="136" customFormat="1" ht="9" customHeight="1" x14ac:dyDescent="0.25">
      <c r="A771" s="140" t="s">
        <v>24</v>
      </c>
      <c r="B771" s="147">
        <f t="shared" si="42"/>
        <v>429737</v>
      </c>
      <c r="C771" s="147">
        <v>104565</v>
      </c>
      <c r="D771" s="160">
        <v>310793</v>
      </c>
      <c r="E771" s="147">
        <v>14379</v>
      </c>
      <c r="F771" s="147"/>
      <c r="G771" s="147">
        <f t="shared" si="43"/>
        <v>3791371</v>
      </c>
      <c r="H771" s="147">
        <v>642128</v>
      </c>
      <c r="I771" s="147">
        <v>1946576</v>
      </c>
      <c r="J771" s="147">
        <v>1202667</v>
      </c>
    </row>
    <row r="772" spans="1:10" s="136" customFormat="1" ht="9" customHeight="1" x14ac:dyDescent="0.25">
      <c r="A772" s="140" t="s">
        <v>25</v>
      </c>
      <c r="B772" s="147">
        <f t="shared" si="42"/>
        <v>100249</v>
      </c>
      <c r="C772" s="147">
        <v>23414</v>
      </c>
      <c r="D772" s="147">
        <v>74019</v>
      </c>
      <c r="E772" s="147">
        <v>2816</v>
      </c>
      <c r="F772" s="147"/>
      <c r="G772" s="147">
        <f t="shared" si="43"/>
        <v>757496</v>
      </c>
      <c r="H772" s="147">
        <v>135042</v>
      </c>
      <c r="I772" s="147">
        <v>387145</v>
      </c>
      <c r="J772" s="147">
        <v>235309</v>
      </c>
    </row>
    <row r="773" spans="1:10" s="136" customFormat="1" ht="9" customHeight="1" x14ac:dyDescent="0.25">
      <c r="A773" s="141" t="s">
        <v>26</v>
      </c>
      <c r="B773" s="150">
        <f t="shared" si="42"/>
        <v>61172</v>
      </c>
      <c r="C773" s="150">
        <v>7984</v>
      </c>
      <c r="D773" s="150">
        <v>51757</v>
      </c>
      <c r="E773" s="150">
        <v>1431</v>
      </c>
      <c r="F773" s="150"/>
      <c r="G773" s="150">
        <f t="shared" si="43"/>
        <v>463465</v>
      </c>
      <c r="H773" s="150">
        <v>67643</v>
      </c>
      <c r="I773" s="150">
        <v>275748</v>
      </c>
      <c r="J773" s="150">
        <v>120074</v>
      </c>
    </row>
    <row r="774" spans="1:10" s="136" customFormat="1" ht="9" customHeight="1" x14ac:dyDescent="0.25">
      <c r="A774" s="140" t="s">
        <v>126</v>
      </c>
      <c r="B774" s="147">
        <f t="shared" si="42"/>
        <v>341107</v>
      </c>
      <c r="C774" s="147">
        <v>66814</v>
      </c>
      <c r="D774" s="147">
        <v>263226</v>
      </c>
      <c r="E774" s="147">
        <v>11067</v>
      </c>
      <c r="F774" s="147"/>
      <c r="G774" s="147">
        <f t="shared" si="43"/>
        <v>3097485</v>
      </c>
      <c r="H774" s="147">
        <v>460212</v>
      </c>
      <c r="I774" s="147">
        <v>1711098</v>
      </c>
      <c r="J774" s="147">
        <v>926175</v>
      </c>
    </row>
    <row r="775" spans="1:10" s="136" customFormat="1" ht="9" customHeight="1" x14ac:dyDescent="0.25">
      <c r="A775" s="140" t="s">
        <v>28</v>
      </c>
      <c r="B775" s="147">
        <f t="shared" si="42"/>
        <v>85461</v>
      </c>
      <c r="C775" s="147">
        <v>20959</v>
      </c>
      <c r="D775" s="147">
        <v>62411</v>
      </c>
      <c r="E775" s="147">
        <v>2091</v>
      </c>
      <c r="F775" s="147"/>
      <c r="G775" s="147">
        <f t="shared" si="43"/>
        <v>651987</v>
      </c>
      <c r="H775" s="147">
        <v>138107</v>
      </c>
      <c r="I775" s="147">
        <v>339430</v>
      </c>
      <c r="J775" s="147">
        <v>174450</v>
      </c>
    </row>
    <row r="776" spans="1:10" s="136" customFormat="1" ht="9" customHeight="1" x14ac:dyDescent="0.25">
      <c r="A776" s="140" t="s">
        <v>29</v>
      </c>
      <c r="B776" s="147">
        <f t="shared" si="42"/>
        <v>141569</v>
      </c>
      <c r="C776" s="147">
        <v>15411</v>
      </c>
      <c r="D776" s="147">
        <v>122658</v>
      </c>
      <c r="E776" s="147">
        <v>3500</v>
      </c>
      <c r="F776" s="147"/>
      <c r="G776" s="147">
        <f t="shared" si="43"/>
        <v>994906</v>
      </c>
      <c r="H776" s="147">
        <v>121518</v>
      </c>
      <c r="I776" s="147">
        <v>579704</v>
      </c>
      <c r="J776" s="147">
        <v>293684</v>
      </c>
    </row>
    <row r="777" spans="1:10" s="136" customFormat="1" ht="9" customHeight="1" x14ac:dyDescent="0.25">
      <c r="A777" s="141" t="s">
        <v>30</v>
      </c>
      <c r="B777" s="150">
        <f t="shared" si="42"/>
        <v>447145</v>
      </c>
      <c r="C777" s="150">
        <v>88718</v>
      </c>
      <c r="D777" s="150">
        <v>344316</v>
      </c>
      <c r="E777" s="150">
        <v>14111</v>
      </c>
      <c r="F777" s="150"/>
      <c r="G777" s="150">
        <f t="shared" si="43"/>
        <v>4471066</v>
      </c>
      <c r="H777" s="150">
        <v>751428</v>
      </c>
      <c r="I777" s="150">
        <v>2537856</v>
      </c>
      <c r="J777" s="150">
        <v>1181782</v>
      </c>
    </row>
    <row r="778" spans="1:10" s="136" customFormat="1" ht="9" customHeight="1" x14ac:dyDescent="0.25">
      <c r="A778" s="140" t="s">
        <v>144</v>
      </c>
      <c r="B778" s="147">
        <f t="shared" si="42"/>
        <v>1052589</v>
      </c>
      <c r="C778" s="147">
        <v>230793</v>
      </c>
      <c r="D778" s="147">
        <v>800174</v>
      </c>
      <c r="E778" s="147">
        <v>21622</v>
      </c>
      <c r="F778" s="147"/>
      <c r="G778" s="147">
        <f t="shared" si="43"/>
        <v>7803095</v>
      </c>
      <c r="H778" s="147">
        <v>1379460</v>
      </c>
      <c r="I778" s="147">
        <v>4611619</v>
      </c>
      <c r="J778" s="147">
        <v>1812016</v>
      </c>
    </row>
    <row r="779" spans="1:10" s="136" customFormat="1" ht="9" customHeight="1" x14ac:dyDescent="0.25">
      <c r="A779" s="140" t="s">
        <v>31</v>
      </c>
      <c r="B779" s="147">
        <f t="shared" si="42"/>
        <v>89295</v>
      </c>
      <c r="C779" s="147">
        <v>23373</v>
      </c>
      <c r="D779" s="147">
        <v>62068</v>
      </c>
      <c r="E779" s="147">
        <v>3854</v>
      </c>
      <c r="F779" s="147"/>
      <c r="G779" s="147">
        <f t="shared" si="43"/>
        <v>1026108</v>
      </c>
      <c r="H779" s="147">
        <v>192054</v>
      </c>
      <c r="I779" s="147">
        <v>510657</v>
      </c>
      <c r="J779" s="147">
        <v>323397</v>
      </c>
    </row>
    <row r="780" spans="1:10" s="136" customFormat="1" ht="9" customHeight="1" x14ac:dyDescent="0.25">
      <c r="A780" s="140" t="s">
        <v>32</v>
      </c>
      <c r="B780" s="147">
        <f t="shared" si="42"/>
        <v>461542</v>
      </c>
      <c r="C780" s="147">
        <v>109501</v>
      </c>
      <c r="D780" s="147">
        <v>336986</v>
      </c>
      <c r="E780" s="147">
        <v>15055</v>
      </c>
      <c r="F780" s="147"/>
      <c r="G780" s="147">
        <f t="shared" si="43"/>
        <v>4383523</v>
      </c>
      <c r="H780" s="147">
        <v>833660</v>
      </c>
      <c r="I780" s="147">
        <v>2287222</v>
      </c>
      <c r="J780" s="147">
        <v>1262641</v>
      </c>
    </row>
    <row r="781" spans="1:10" s="136" customFormat="1" ht="9" customHeight="1" x14ac:dyDescent="0.25">
      <c r="A781" s="141" t="s">
        <v>33</v>
      </c>
      <c r="B781" s="150">
        <f t="shared" si="42"/>
        <v>88174</v>
      </c>
      <c r="C781" s="150">
        <v>14057</v>
      </c>
      <c r="D781" s="150">
        <v>71725</v>
      </c>
      <c r="E781" s="150">
        <v>2392</v>
      </c>
      <c r="F781" s="150"/>
      <c r="G781" s="150">
        <f t="shared" si="43"/>
        <v>674469</v>
      </c>
      <c r="H781" s="150">
        <v>98615</v>
      </c>
      <c r="I781" s="150">
        <v>375786</v>
      </c>
      <c r="J781" s="150">
        <v>200068</v>
      </c>
    </row>
    <row r="782" spans="1:10" s="136" customFormat="1" ht="9" customHeight="1" x14ac:dyDescent="0.25">
      <c r="A782" s="140" t="s">
        <v>34</v>
      </c>
      <c r="B782" s="147">
        <f t="shared" si="42"/>
        <v>115789</v>
      </c>
      <c r="C782" s="147">
        <v>30001</v>
      </c>
      <c r="D782" s="147">
        <v>82674</v>
      </c>
      <c r="E782" s="147">
        <v>3114</v>
      </c>
      <c r="F782" s="147"/>
      <c r="G782" s="147">
        <f t="shared" si="43"/>
        <v>992731</v>
      </c>
      <c r="H782" s="147">
        <v>211589</v>
      </c>
      <c r="I782" s="147">
        <v>519781</v>
      </c>
      <c r="J782" s="147">
        <v>261361</v>
      </c>
    </row>
    <row r="783" spans="1:10" s="136" customFormat="1" ht="9" customHeight="1" x14ac:dyDescent="0.25">
      <c r="A783" s="140" t="s">
        <v>35</v>
      </c>
      <c r="B783" s="147">
        <f t="shared" si="42"/>
        <v>799882</v>
      </c>
      <c r="C783" s="147">
        <v>215284</v>
      </c>
      <c r="D783" s="147">
        <v>560988</v>
      </c>
      <c r="E783" s="147">
        <v>23610</v>
      </c>
      <c r="F783" s="147"/>
      <c r="G783" s="147">
        <f t="shared" si="43"/>
        <v>7223974</v>
      </c>
      <c r="H783" s="147">
        <v>1496222</v>
      </c>
      <c r="I783" s="147">
        <v>3751986</v>
      </c>
      <c r="J783" s="147">
        <v>1975766</v>
      </c>
    </row>
    <row r="784" spans="1:10" s="136" customFormat="1" ht="9" customHeight="1" x14ac:dyDescent="0.25">
      <c r="A784" s="140" t="s">
        <v>145</v>
      </c>
      <c r="B784" s="147">
        <f t="shared" si="42"/>
        <v>1174581</v>
      </c>
      <c r="C784" s="147">
        <v>317476</v>
      </c>
      <c r="D784" s="147">
        <v>833073</v>
      </c>
      <c r="E784" s="147">
        <v>24032</v>
      </c>
      <c r="F784" s="147"/>
      <c r="G784" s="147">
        <f t="shared" si="43"/>
        <v>8955056</v>
      </c>
      <c r="H784" s="147">
        <v>2013900</v>
      </c>
      <c r="I784" s="147">
        <v>4927861</v>
      </c>
      <c r="J784" s="147">
        <v>2013295</v>
      </c>
    </row>
    <row r="785" spans="1:10" s="136" customFormat="1" ht="9" customHeight="1" x14ac:dyDescent="0.25">
      <c r="A785" s="141" t="s">
        <v>129</v>
      </c>
      <c r="B785" s="150">
        <f t="shared" si="42"/>
        <v>220203</v>
      </c>
      <c r="C785" s="150">
        <v>42575</v>
      </c>
      <c r="D785" s="150">
        <v>171046</v>
      </c>
      <c r="E785" s="150">
        <v>6582</v>
      </c>
      <c r="F785" s="150"/>
      <c r="G785" s="150">
        <f t="shared" si="43"/>
        <v>1796074</v>
      </c>
      <c r="H785" s="150">
        <v>261827</v>
      </c>
      <c r="I785" s="150">
        <v>983154</v>
      </c>
      <c r="J785" s="150">
        <v>551093</v>
      </c>
    </row>
    <row r="786" spans="1:10" s="136" customFormat="1" ht="9" customHeight="1" x14ac:dyDescent="0.25">
      <c r="A786" s="140" t="s">
        <v>38</v>
      </c>
      <c r="B786" s="147">
        <f t="shared" si="42"/>
        <v>117912</v>
      </c>
      <c r="C786" s="147">
        <v>19106</v>
      </c>
      <c r="D786" s="147">
        <v>95777</v>
      </c>
      <c r="E786" s="147">
        <v>3029</v>
      </c>
      <c r="F786" s="147"/>
      <c r="G786" s="147">
        <f t="shared" si="43"/>
        <v>848845</v>
      </c>
      <c r="H786" s="147">
        <v>121570</v>
      </c>
      <c r="I786" s="147">
        <v>472915</v>
      </c>
      <c r="J786" s="147">
        <v>254360</v>
      </c>
    </row>
    <row r="787" spans="1:10" s="136" customFormat="1" ht="9" customHeight="1" x14ac:dyDescent="0.25">
      <c r="A787" s="140" t="s">
        <v>39</v>
      </c>
      <c r="B787" s="147">
        <f t="shared" si="42"/>
        <v>87588</v>
      </c>
      <c r="C787" s="147">
        <v>19686</v>
      </c>
      <c r="D787" s="147">
        <v>65471</v>
      </c>
      <c r="E787" s="147">
        <v>2431</v>
      </c>
      <c r="F787" s="147"/>
      <c r="G787" s="147">
        <f t="shared" si="43"/>
        <v>669135</v>
      </c>
      <c r="H787" s="147">
        <v>122992</v>
      </c>
      <c r="I787" s="147">
        <v>343123</v>
      </c>
      <c r="J787" s="147">
        <v>203020</v>
      </c>
    </row>
    <row r="788" spans="1:10" s="136" customFormat="1" ht="9" customHeight="1" x14ac:dyDescent="0.25">
      <c r="A788" s="140" t="s">
        <v>40</v>
      </c>
      <c r="B788" s="147">
        <f t="shared" si="42"/>
        <v>458404</v>
      </c>
      <c r="C788" s="147">
        <v>93873</v>
      </c>
      <c r="D788" s="147">
        <v>345827</v>
      </c>
      <c r="E788" s="147">
        <v>18704</v>
      </c>
      <c r="F788" s="147"/>
      <c r="G788" s="147">
        <f t="shared" si="43"/>
        <v>4897842</v>
      </c>
      <c r="H788" s="147">
        <v>724793</v>
      </c>
      <c r="I788" s="147">
        <v>2605240</v>
      </c>
      <c r="J788" s="147">
        <v>1567809</v>
      </c>
    </row>
    <row r="789" spans="1:10" s="136" customFormat="1" ht="9" customHeight="1" x14ac:dyDescent="0.25">
      <c r="A789" s="141" t="s">
        <v>41</v>
      </c>
      <c r="B789" s="150">
        <f t="shared" si="42"/>
        <v>104494</v>
      </c>
      <c r="C789" s="150">
        <v>15980</v>
      </c>
      <c r="D789" s="150">
        <v>85399</v>
      </c>
      <c r="E789" s="150">
        <v>3115</v>
      </c>
      <c r="F789" s="150"/>
      <c r="G789" s="150">
        <f t="shared" si="43"/>
        <v>888947</v>
      </c>
      <c r="H789" s="150">
        <v>128069</v>
      </c>
      <c r="I789" s="150">
        <v>499842</v>
      </c>
      <c r="J789" s="150">
        <v>261036</v>
      </c>
    </row>
    <row r="790" spans="1:10" s="136" customFormat="1" ht="9" customHeight="1" x14ac:dyDescent="0.25">
      <c r="A790" s="140" t="s">
        <v>42</v>
      </c>
      <c r="B790" s="147">
        <f t="shared" si="42"/>
        <v>259085</v>
      </c>
      <c r="C790" s="147">
        <v>60550</v>
      </c>
      <c r="D790" s="147">
        <v>190861</v>
      </c>
      <c r="E790" s="147">
        <v>7674</v>
      </c>
      <c r="F790" s="147"/>
      <c r="G790" s="147">
        <f t="shared" si="43"/>
        <v>2251929</v>
      </c>
      <c r="H790" s="147">
        <v>430176</v>
      </c>
      <c r="I790" s="147">
        <v>1178041</v>
      </c>
      <c r="J790" s="147">
        <v>643712</v>
      </c>
    </row>
    <row r="791" spans="1:10" s="136" customFormat="1" ht="9" customHeight="1" x14ac:dyDescent="0.25">
      <c r="A791" s="140" t="s">
        <v>43</v>
      </c>
      <c r="B791" s="147">
        <f t="shared" si="42"/>
        <v>225505</v>
      </c>
      <c r="C791" s="147">
        <v>38574</v>
      </c>
      <c r="D791" s="147">
        <v>178997</v>
      </c>
      <c r="E791" s="147">
        <v>7934</v>
      </c>
      <c r="F791" s="147"/>
      <c r="G791" s="147">
        <f t="shared" si="43"/>
        <v>1960615</v>
      </c>
      <c r="H791" s="147">
        <v>295642</v>
      </c>
      <c r="I791" s="147">
        <v>999840</v>
      </c>
      <c r="J791" s="147">
        <v>665133</v>
      </c>
    </row>
    <row r="792" spans="1:10" s="136" customFormat="1" ht="9" customHeight="1" x14ac:dyDescent="0.25">
      <c r="A792" s="140" t="s">
        <v>44</v>
      </c>
      <c r="B792" s="147">
        <f t="shared" si="42"/>
        <v>213232</v>
      </c>
      <c r="C792" s="147">
        <v>34716</v>
      </c>
      <c r="D792" s="147">
        <v>172203</v>
      </c>
      <c r="E792" s="147">
        <v>6313</v>
      </c>
      <c r="F792" s="147"/>
      <c r="G792" s="147">
        <f t="shared" si="43"/>
        <v>1583299</v>
      </c>
      <c r="H792" s="147">
        <v>230623</v>
      </c>
      <c r="I792" s="147">
        <v>823013</v>
      </c>
      <c r="J792" s="147">
        <v>529663</v>
      </c>
    </row>
    <row r="793" spans="1:10" s="136" customFormat="1" ht="9" customHeight="1" x14ac:dyDescent="0.25">
      <c r="A793" s="141" t="s">
        <v>45</v>
      </c>
      <c r="B793" s="150">
        <f t="shared" si="42"/>
        <v>214847</v>
      </c>
      <c r="C793" s="150">
        <v>59231</v>
      </c>
      <c r="D793" s="150">
        <v>149258</v>
      </c>
      <c r="E793" s="150">
        <v>6358</v>
      </c>
      <c r="F793" s="150"/>
      <c r="G793" s="150">
        <f t="shared" si="43"/>
        <v>2083586</v>
      </c>
      <c r="H793" s="150">
        <v>465987</v>
      </c>
      <c r="I793" s="150">
        <v>1084323</v>
      </c>
      <c r="J793" s="150">
        <v>533276</v>
      </c>
    </row>
    <row r="794" spans="1:10" s="136" customFormat="1" ht="9" customHeight="1" x14ac:dyDescent="0.25">
      <c r="A794" s="140" t="s">
        <v>46</v>
      </c>
      <c r="B794" s="147">
        <f t="shared" si="42"/>
        <v>255387</v>
      </c>
      <c r="C794" s="147">
        <v>65953</v>
      </c>
      <c r="D794" s="147">
        <v>181133</v>
      </c>
      <c r="E794" s="147">
        <v>8301</v>
      </c>
      <c r="F794" s="147"/>
      <c r="G794" s="147">
        <f t="shared" si="43"/>
        <v>2312334</v>
      </c>
      <c r="H794" s="147">
        <v>479021</v>
      </c>
      <c r="I794" s="147">
        <v>1137301</v>
      </c>
      <c r="J794" s="147">
        <v>696012</v>
      </c>
    </row>
    <row r="795" spans="1:10" s="136" customFormat="1" ht="9" customHeight="1" x14ac:dyDescent="0.25">
      <c r="A795" s="140" t="s">
        <v>47</v>
      </c>
      <c r="B795" s="147">
        <f t="shared" si="42"/>
        <v>326737</v>
      </c>
      <c r="C795" s="147">
        <v>81822</v>
      </c>
      <c r="D795" s="147">
        <v>236141</v>
      </c>
      <c r="E795" s="147">
        <v>8774</v>
      </c>
      <c r="F795" s="147"/>
      <c r="G795" s="147">
        <f t="shared" si="43"/>
        <v>2845197</v>
      </c>
      <c r="H795" s="147">
        <v>609967</v>
      </c>
      <c r="I795" s="147">
        <v>1501107</v>
      </c>
      <c r="J795" s="147">
        <v>734123</v>
      </c>
    </row>
    <row r="796" spans="1:10" s="136" customFormat="1" ht="9" customHeight="1" x14ac:dyDescent="0.25">
      <c r="A796" s="140" t="s">
        <v>48</v>
      </c>
      <c r="B796" s="147">
        <f t="shared" si="42"/>
        <v>92618</v>
      </c>
      <c r="C796" s="147">
        <v>13847</v>
      </c>
      <c r="D796" s="147">
        <v>76197</v>
      </c>
      <c r="E796" s="147">
        <v>2574</v>
      </c>
      <c r="F796" s="147"/>
      <c r="G796" s="147">
        <f t="shared" si="43"/>
        <v>658504</v>
      </c>
      <c r="H796" s="147">
        <v>100075</v>
      </c>
      <c r="I796" s="147">
        <v>342326</v>
      </c>
      <c r="J796" s="147">
        <v>216103</v>
      </c>
    </row>
    <row r="797" spans="1:10" s="136" customFormat="1" ht="9" customHeight="1" x14ac:dyDescent="0.25">
      <c r="A797" s="141" t="s">
        <v>49</v>
      </c>
      <c r="B797" s="150">
        <f t="shared" si="42"/>
        <v>351075</v>
      </c>
      <c r="C797" s="150">
        <v>74465</v>
      </c>
      <c r="D797" s="150">
        <v>265297</v>
      </c>
      <c r="E797" s="150">
        <v>11313</v>
      </c>
      <c r="F797" s="150"/>
      <c r="G797" s="150">
        <f t="shared" si="43"/>
        <v>3423988</v>
      </c>
      <c r="H797" s="150">
        <v>617756</v>
      </c>
      <c r="I797" s="150">
        <v>1860291</v>
      </c>
      <c r="J797" s="150">
        <v>945941</v>
      </c>
    </row>
    <row r="798" spans="1:10" s="136" customFormat="1" ht="9" customHeight="1" x14ac:dyDescent="0.25">
      <c r="A798" s="140" t="s">
        <v>50</v>
      </c>
      <c r="B798" s="147">
        <f t="shared" si="42"/>
        <v>39268</v>
      </c>
      <c r="C798" s="147">
        <v>6355</v>
      </c>
      <c r="D798" s="147">
        <v>30965</v>
      </c>
      <c r="E798" s="147">
        <v>1948</v>
      </c>
      <c r="F798" s="147"/>
      <c r="G798" s="147">
        <f t="shared" si="43"/>
        <v>405359</v>
      </c>
      <c r="H798" s="147">
        <v>53830</v>
      </c>
      <c r="I798" s="147">
        <v>188068</v>
      </c>
      <c r="J798" s="147">
        <v>163461</v>
      </c>
    </row>
    <row r="799" spans="1:10" s="136" customFormat="1" ht="9" customHeight="1" x14ac:dyDescent="0.25">
      <c r="A799" s="140" t="s">
        <v>146</v>
      </c>
      <c r="B799" s="147">
        <f t="shared" si="42"/>
        <v>374947</v>
      </c>
      <c r="C799" s="147">
        <v>58649</v>
      </c>
      <c r="D799" s="147">
        <v>307084</v>
      </c>
      <c r="E799" s="147">
        <v>9214</v>
      </c>
      <c r="F799" s="147"/>
      <c r="G799" s="147">
        <f t="shared" si="43"/>
        <v>2969646</v>
      </c>
      <c r="H799" s="147">
        <v>473905</v>
      </c>
      <c r="I799" s="147">
        <v>1723551</v>
      </c>
      <c r="J799" s="147">
        <v>772190</v>
      </c>
    </row>
    <row r="800" spans="1:10" s="136" customFormat="1" ht="9" customHeight="1" x14ac:dyDescent="0.25">
      <c r="A800" s="140" t="s">
        <v>52</v>
      </c>
      <c r="B800" s="147">
        <f t="shared" si="42"/>
        <v>211728</v>
      </c>
      <c r="C800" s="147">
        <v>24369</v>
      </c>
      <c r="D800" s="147">
        <v>183031</v>
      </c>
      <c r="E800" s="147">
        <v>4328</v>
      </c>
      <c r="F800" s="147"/>
      <c r="G800" s="147">
        <f t="shared" si="43"/>
        <v>1324074</v>
      </c>
      <c r="H800" s="147">
        <v>184550</v>
      </c>
      <c r="I800" s="147">
        <v>776826</v>
      </c>
      <c r="J800" s="147">
        <v>362698</v>
      </c>
    </row>
    <row r="801" spans="1:12" s="136" customFormat="1" ht="9" customHeight="1" x14ac:dyDescent="0.25">
      <c r="A801" s="141" t="s">
        <v>53</v>
      </c>
      <c r="B801" s="150">
        <f t="shared" si="42"/>
        <v>94688</v>
      </c>
      <c r="C801" s="150">
        <v>20349</v>
      </c>
      <c r="D801" s="150">
        <v>71412</v>
      </c>
      <c r="E801" s="150">
        <v>2927</v>
      </c>
      <c r="F801" s="150"/>
      <c r="G801" s="150">
        <f t="shared" si="43"/>
        <v>828023</v>
      </c>
      <c r="H801" s="150">
        <v>143012</v>
      </c>
      <c r="I801" s="150">
        <v>440020</v>
      </c>
      <c r="J801" s="150">
        <v>244991</v>
      </c>
    </row>
    <row r="802" spans="1:12" ht="3" customHeight="1" x14ac:dyDescent="0.25">
      <c r="A802" s="173"/>
      <c r="B802" s="173"/>
      <c r="C802" s="173"/>
      <c r="D802" s="173"/>
      <c r="E802" s="173"/>
      <c r="F802" s="173"/>
      <c r="G802" s="173"/>
      <c r="H802" s="173"/>
      <c r="I802" s="173"/>
      <c r="J802" s="173"/>
    </row>
    <row r="803" spans="1:12" ht="3" customHeight="1" x14ac:dyDescent="0.25"/>
    <row r="804" spans="1:12" s="133" customFormat="1" ht="9" customHeight="1" x14ac:dyDescent="0.25">
      <c r="A804" s="166" t="s">
        <v>147</v>
      </c>
    </row>
    <row r="805" spans="1:12" s="133" customFormat="1" ht="9" customHeight="1" x14ac:dyDescent="0.25">
      <c r="A805" s="166" t="s">
        <v>148</v>
      </c>
    </row>
    <row r="806" spans="1:12" s="133" customFormat="1" ht="9" customHeight="1" x14ac:dyDescent="0.25">
      <c r="A806" s="166" t="s">
        <v>149</v>
      </c>
    </row>
    <row r="807" spans="1:12" s="133" customFormat="1" ht="9" customHeight="1" x14ac:dyDescent="0.25">
      <c r="A807" s="166" t="s">
        <v>150</v>
      </c>
    </row>
    <row r="808" spans="1:12" ht="12.75" hidden="1" customHeight="1" x14ac:dyDescent="0.25">
      <c r="A808" s="175"/>
      <c r="B808" s="163"/>
      <c r="C808" s="179"/>
      <c r="D808" s="179"/>
      <c r="E808" s="179"/>
      <c r="F808" s="163"/>
      <c r="G808" s="163"/>
      <c r="H808" s="179"/>
      <c r="I808" s="179"/>
      <c r="J808" s="179"/>
      <c r="L808" s="174" t="s">
        <v>74</v>
      </c>
    </row>
    <row r="809" spans="1:12" ht="11.25" hidden="1" customHeight="1" x14ac:dyDescent="0.25">
      <c r="A809" s="175"/>
      <c r="B809" s="163"/>
      <c r="C809" s="179"/>
      <c r="D809" s="179"/>
      <c r="E809" s="179"/>
      <c r="F809" s="163"/>
      <c r="G809" s="163"/>
      <c r="H809" s="179"/>
      <c r="I809" s="179"/>
      <c r="J809" s="179"/>
    </row>
    <row r="810" spans="1:12" ht="11.25" hidden="1" customHeight="1" x14ac:dyDescent="0.25">
      <c r="A810" s="175"/>
      <c r="B810" s="163"/>
      <c r="C810" s="179"/>
      <c r="D810" s="179"/>
      <c r="E810" s="179"/>
      <c r="F810" s="163"/>
      <c r="G810" s="163"/>
      <c r="H810" s="179"/>
      <c r="I810" s="179"/>
      <c r="J810" s="179"/>
    </row>
    <row r="811" spans="1:12" ht="11.25" hidden="1" customHeight="1" x14ac:dyDescent="0.25">
      <c r="A811" s="175"/>
      <c r="B811" s="163"/>
      <c r="C811" s="179"/>
      <c r="D811" s="179"/>
      <c r="E811" s="179"/>
      <c r="F811" s="163"/>
      <c r="G811" s="163"/>
      <c r="H811" s="179"/>
      <c r="I811" s="179"/>
      <c r="J811" s="179"/>
    </row>
    <row r="812" spans="1:12" ht="11.25" hidden="1" customHeight="1" x14ac:dyDescent="0.25">
      <c r="A812" s="175"/>
      <c r="B812" s="175"/>
      <c r="C812" s="175"/>
      <c r="D812" s="175"/>
      <c r="E812" s="175"/>
      <c r="F812" s="175"/>
      <c r="G812" s="175"/>
      <c r="H812" s="175"/>
      <c r="I812" s="175"/>
      <c r="J812" s="175"/>
    </row>
    <row r="813" spans="1:12" ht="11.25" hidden="1" customHeight="1" x14ac:dyDescent="0.25">
      <c r="A813" s="180"/>
      <c r="B813" s="181"/>
      <c r="F813" s="181"/>
      <c r="G813" s="181"/>
    </row>
    <row r="814" spans="1:12" ht="11.25" hidden="1" customHeight="1" x14ac:dyDescent="0.25">
      <c r="A814" s="126"/>
      <c r="B814" s="182"/>
      <c r="C814" s="182"/>
      <c r="D814" s="182"/>
      <c r="E814" s="182"/>
      <c r="F814" s="182"/>
      <c r="G814" s="182"/>
      <c r="H814" s="182"/>
      <c r="I814" s="182"/>
      <c r="J814" s="182"/>
    </row>
    <row r="815" spans="1:12" ht="11.25" hidden="1" customHeight="1" x14ac:dyDescent="0.25">
      <c r="A815" s="175"/>
      <c r="B815" s="163"/>
      <c r="C815" s="179"/>
      <c r="D815" s="179"/>
      <c r="E815" s="179"/>
      <c r="F815" s="163"/>
      <c r="G815" s="163"/>
      <c r="H815" s="179"/>
      <c r="I815" s="179"/>
      <c r="J815" s="179"/>
    </row>
    <row r="816" spans="1:12" ht="11.25" hidden="1" customHeight="1" x14ac:dyDescent="0.25">
      <c r="A816" s="175"/>
      <c r="B816" s="163"/>
      <c r="C816" s="179"/>
      <c r="D816" s="179"/>
      <c r="E816" s="179"/>
      <c r="F816" s="163"/>
      <c r="G816" s="163"/>
      <c r="H816" s="179"/>
      <c r="I816" s="179"/>
      <c r="J816" s="179"/>
    </row>
    <row r="817" spans="1:10" ht="11.25" hidden="1" customHeight="1" x14ac:dyDescent="0.25">
      <c r="A817" s="175"/>
      <c r="B817" s="163"/>
      <c r="C817" s="179"/>
      <c r="D817" s="179"/>
      <c r="E817" s="179"/>
      <c r="F817" s="163"/>
      <c r="G817" s="163"/>
      <c r="H817" s="179"/>
      <c r="I817" s="179"/>
      <c r="J817" s="179"/>
    </row>
    <row r="818" spans="1:10" ht="11.25" hidden="1" customHeight="1" x14ac:dyDescent="0.25">
      <c r="A818" s="175"/>
      <c r="B818" s="163"/>
      <c r="C818" s="179"/>
      <c r="D818" s="179"/>
      <c r="E818" s="179"/>
      <c r="F818" s="163"/>
      <c r="G818" s="163"/>
      <c r="H818" s="179"/>
      <c r="I818" s="179"/>
      <c r="J818" s="179"/>
    </row>
    <row r="819" spans="1:10" ht="11.25" hidden="1" customHeight="1" x14ac:dyDescent="0.25">
      <c r="A819" s="175"/>
      <c r="B819" s="163"/>
      <c r="C819" s="179"/>
      <c r="D819" s="179"/>
      <c r="E819" s="179"/>
      <c r="F819" s="163"/>
      <c r="G819" s="163"/>
      <c r="H819" s="179"/>
      <c r="I819" s="179"/>
      <c r="J819" s="179"/>
    </row>
    <row r="820" spans="1:10" ht="11.25" hidden="1" customHeight="1" x14ac:dyDescent="0.25">
      <c r="A820" s="175"/>
      <c r="B820" s="163"/>
      <c r="C820" s="179"/>
      <c r="D820" s="179"/>
      <c r="E820" s="179"/>
      <c r="F820" s="163"/>
      <c r="G820" s="163"/>
      <c r="H820" s="179"/>
      <c r="I820" s="179"/>
      <c r="J820" s="179"/>
    </row>
    <row r="821" spans="1:10" ht="11.25" hidden="1" customHeight="1" x14ac:dyDescent="0.25">
      <c r="A821" s="175"/>
      <c r="B821" s="163"/>
      <c r="C821" s="179"/>
      <c r="D821" s="179"/>
      <c r="E821" s="179"/>
      <c r="F821" s="163"/>
      <c r="G821" s="163"/>
      <c r="H821" s="179"/>
      <c r="I821" s="179"/>
      <c r="J821" s="179"/>
    </row>
    <row r="822" spans="1:10" ht="11.25" hidden="1" customHeight="1" x14ac:dyDescent="0.25">
      <c r="A822" s="175"/>
      <c r="B822" s="163"/>
      <c r="C822" s="179"/>
      <c r="D822" s="179"/>
      <c r="E822" s="179"/>
      <c r="F822" s="163"/>
      <c r="G822" s="163"/>
      <c r="H822" s="179"/>
      <c r="I822" s="179"/>
      <c r="J822" s="179"/>
    </row>
    <row r="823" spans="1:10" ht="11.25" hidden="1" customHeight="1" x14ac:dyDescent="0.25">
      <c r="A823" s="175"/>
      <c r="B823" s="163"/>
      <c r="C823" s="179"/>
      <c r="D823" s="179"/>
      <c r="E823" s="179"/>
      <c r="F823" s="163"/>
      <c r="G823" s="163"/>
      <c r="H823" s="179"/>
      <c r="I823" s="179"/>
      <c r="J823" s="179"/>
    </row>
    <row r="824" spans="1:10" ht="11.25" hidden="1" customHeight="1" x14ac:dyDescent="0.25">
      <c r="A824" s="175"/>
      <c r="B824" s="163"/>
      <c r="C824" s="179"/>
      <c r="D824" s="179"/>
      <c r="E824" s="179"/>
      <c r="F824" s="163"/>
      <c r="G824" s="163"/>
      <c r="H824" s="179"/>
      <c r="I824" s="179"/>
      <c r="J824" s="179"/>
    </row>
    <row r="825" spans="1:10" ht="11.25" hidden="1" customHeight="1" x14ac:dyDescent="0.25">
      <c r="A825" s="175"/>
      <c r="B825" s="163"/>
      <c r="C825" s="179"/>
      <c r="D825" s="179"/>
      <c r="E825" s="179"/>
      <c r="F825" s="163"/>
      <c r="G825" s="163"/>
      <c r="H825" s="179"/>
      <c r="I825" s="179"/>
      <c r="J825" s="179"/>
    </row>
    <row r="826" spans="1:10" ht="11.25" hidden="1" customHeight="1" x14ac:dyDescent="0.25">
      <c r="A826" s="175"/>
      <c r="B826" s="163"/>
      <c r="C826" s="179"/>
      <c r="D826" s="179"/>
      <c r="E826" s="179"/>
      <c r="F826" s="163"/>
      <c r="G826" s="163"/>
      <c r="H826" s="179"/>
      <c r="I826" s="179"/>
      <c r="J826" s="179"/>
    </row>
    <row r="827" spans="1:10" ht="11.25" hidden="1" customHeight="1" x14ac:dyDescent="0.25">
      <c r="A827" s="175"/>
      <c r="B827" s="163"/>
      <c r="C827" s="179"/>
      <c r="D827" s="179"/>
      <c r="E827" s="179"/>
      <c r="F827" s="163"/>
      <c r="G827" s="163"/>
      <c r="H827" s="179"/>
      <c r="I827" s="179"/>
      <c r="J827" s="179"/>
    </row>
    <row r="828" spans="1:10" ht="11.25" hidden="1" customHeight="1" x14ac:dyDescent="0.25">
      <c r="A828" s="175"/>
      <c r="B828" s="163"/>
      <c r="C828" s="179"/>
      <c r="D828" s="179"/>
      <c r="E828" s="179"/>
      <c r="F828" s="163"/>
      <c r="G828" s="163"/>
      <c r="H828" s="179"/>
      <c r="I828" s="179"/>
      <c r="J828" s="179"/>
    </row>
    <row r="829" spans="1:10" ht="11.25" hidden="1" customHeight="1" x14ac:dyDescent="0.25">
      <c r="A829" s="175"/>
      <c r="B829" s="163"/>
      <c r="C829" s="179"/>
      <c r="D829" s="179"/>
      <c r="E829" s="179"/>
      <c r="F829" s="163"/>
      <c r="G829" s="163"/>
      <c r="H829" s="179"/>
      <c r="I829" s="179"/>
      <c r="J829" s="179"/>
    </row>
    <row r="830" spans="1:10" ht="11.25" hidden="1" customHeight="1" x14ac:dyDescent="0.25">
      <c r="A830" s="175"/>
      <c r="B830" s="163"/>
      <c r="C830" s="179"/>
      <c r="D830" s="179"/>
      <c r="E830" s="179"/>
      <c r="F830" s="163"/>
      <c r="G830" s="163"/>
      <c r="H830" s="179"/>
      <c r="I830" s="179"/>
      <c r="J830" s="179"/>
    </row>
    <row r="831" spans="1:10" ht="11.25" hidden="1" customHeight="1" x14ac:dyDescent="0.25">
      <c r="A831" s="175"/>
      <c r="B831" s="163"/>
      <c r="C831" s="179"/>
      <c r="D831" s="179"/>
      <c r="E831" s="179"/>
      <c r="F831" s="163"/>
      <c r="G831" s="163"/>
      <c r="H831" s="179"/>
      <c r="I831" s="179"/>
      <c r="J831" s="179"/>
    </row>
    <row r="832" spans="1:10" ht="11.25" hidden="1" customHeight="1" x14ac:dyDescent="0.25">
      <c r="A832" s="175"/>
      <c r="B832" s="163"/>
      <c r="C832" s="179"/>
      <c r="D832" s="179"/>
      <c r="E832" s="179"/>
      <c r="F832" s="163"/>
      <c r="G832" s="163"/>
      <c r="H832" s="179"/>
      <c r="I832" s="179"/>
      <c r="J832" s="179"/>
    </row>
    <row r="833" spans="1:10" ht="11.25" hidden="1" customHeight="1" x14ac:dyDescent="0.25">
      <c r="A833" s="175"/>
      <c r="B833" s="163"/>
      <c r="C833" s="179"/>
      <c r="D833" s="179"/>
      <c r="E833" s="179"/>
      <c r="F833" s="163"/>
      <c r="G833" s="163"/>
      <c r="H833" s="179"/>
      <c r="I833" s="179"/>
      <c r="J833" s="179"/>
    </row>
    <row r="834" spans="1:10" ht="11.25" hidden="1" customHeight="1" x14ac:dyDescent="0.25">
      <c r="A834" s="175"/>
      <c r="B834" s="163"/>
      <c r="C834" s="179"/>
      <c r="D834" s="179"/>
      <c r="E834" s="179"/>
      <c r="F834" s="163"/>
      <c r="G834" s="163"/>
      <c r="H834" s="179"/>
      <c r="I834" s="179"/>
      <c r="J834" s="179"/>
    </row>
    <row r="835" spans="1:10" ht="11.25" hidden="1" customHeight="1" x14ac:dyDescent="0.25">
      <c r="A835" s="175"/>
      <c r="B835" s="163"/>
      <c r="C835" s="179"/>
      <c r="D835" s="179"/>
      <c r="E835" s="179"/>
      <c r="F835" s="163"/>
      <c r="G835" s="163"/>
      <c r="H835" s="179"/>
      <c r="I835" s="179"/>
      <c r="J835" s="179"/>
    </row>
    <row r="836" spans="1:10" ht="11.25" hidden="1" customHeight="1" x14ac:dyDescent="0.25">
      <c r="A836" s="175"/>
      <c r="B836" s="163"/>
      <c r="C836" s="179"/>
      <c r="D836" s="179"/>
      <c r="E836" s="179"/>
      <c r="F836" s="163"/>
      <c r="G836" s="163"/>
      <c r="H836" s="179"/>
      <c r="I836" s="179"/>
      <c r="J836" s="179"/>
    </row>
    <row r="837" spans="1:10" ht="11.25" hidden="1" customHeight="1" x14ac:dyDescent="0.25">
      <c r="A837" s="175"/>
      <c r="B837" s="163"/>
      <c r="C837" s="179"/>
      <c r="D837" s="179"/>
      <c r="E837" s="179"/>
      <c r="F837" s="163"/>
      <c r="G837" s="163"/>
      <c r="H837" s="179"/>
      <c r="I837" s="179"/>
      <c r="J837" s="179"/>
    </row>
    <row r="838" spans="1:10" ht="11.25" hidden="1" customHeight="1" x14ac:dyDescent="0.25">
      <c r="A838" s="175"/>
      <c r="B838" s="163"/>
      <c r="C838" s="179"/>
      <c r="D838" s="179"/>
      <c r="E838" s="179"/>
      <c r="F838" s="163"/>
      <c r="G838" s="163"/>
      <c r="H838" s="179"/>
      <c r="I838" s="179"/>
      <c r="J838" s="179"/>
    </row>
    <row r="839" spans="1:10" ht="11.25" hidden="1" customHeight="1" x14ac:dyDescent="0.25">
      <c r="A839" s="175"/>
      <c r="B839" s="163"/>
      <c r="C839" s="179"/>
      <c r="D839" s="179"/>
      <c r="E839" s="179"/>
      <c r="F839" s="163"/>
      <c r="G839" s="163"/>
      <c r="H839" s="179"/>
      <c r="I839" s="179"/>
      <c r="J839" s="179"/>
    </row>
    <row r="840" spans="1:10" ht="11.25" hidden="1" customHeight="1" x14ac:dyDescent="0.25">
      <c r="A840" s="175"/>
      <c r="B840" s="163"/>
      <c r="C840" s="179"/>
      <c r="D840" s="179"/>
      <c r="E840" s="179"/>
      <c r="F840" s="163"/>
      <c r="G840" s="163"/>
      <c r="H840" s="179"/>
      <c r="I840" s="179"/>
      <c r="J840" s="179"/>
    </row>
    <row r="841" spans="1:10" ht="11.25" hidden="1" customHeight="1" x14ac:dyDescent="0.25">
      <c r="A841" s="175"/>
      <c r="B841" s="163"/>
      <c r="C841" s="179"/>
      <c r="D841" s="179"/>
      <c r="E841" s="179"/>
      <c r="F841" s="163"/>
      <c r="G841" s="163"/>
      <c r="H841" s="179"/>
      <c r="I841" s="179"/>
      <c r="J841" s="179"/>
    </row>
    <row r="842" spans="1:10" ht="11.25" hidden="1" customHeight="1" x14ac:dyDescent="0.25">
      <c r="A842" s="175"/>
      <c r="B842" s="163"/>
      <c r="C842" s="179"/>
      <c r="D842" s="179"/>
      <c r="E842" s="179"/>
      <c r="F842" s="163"/>
      <c r="G842" s="163"/>
      <c r="H842" s="179"/>
      <c r="I842" s="179"/>
      <c r="J842" s="179"/>
    </row>
    <row r="843" spans="1:10" ht="11.25" hidden="1" customHeight="1" x14ac:dyDescent="0.25">
      <c r="A843" s="175"/>
      <c r="B843" s="163"/>
      <c r="C843" s="179"/>
      <c r="D843" s="179"/>
      <c r="E843" s="179"/>
      <c r="F843" s="163"/>
      <c r="G843" s="163"/>
      <c r="H843" s="179"/>
      <c r="I843" s="179"/>
      <c r="J843" s="179"/>
    </row>
    <row r="844" spans="1:10" ht="11.25" hidden="1" customHeight="1" x14ac:dyDescent="0.25">
      <c r="A844" s="175"/>
      <c r="B844" s="163"/>
      <c r="C844" s="179"/>
      <c r="D844" s="179"/>
      <c r="E844" s="179"/>
      <c r="F844" s="163"/>
      <c r="G844" s="163"/>
      <c r="H844" s="179"/>
      <c r="I844" s="179"/>
      <c r="J844" s="179"/>
    </row>
  </sheetData>
  <sheetProtection sheet="1" objects="1" scenarios="1"/>
  <mergeCells count="9">
    <mergeCell ref="H7:H8"/>
    <mergeCell ref="I7:I8"/>
    <mergeCell ref="J7:J8"/>
    <mergeCell ref="A6:A8"/>
    <mergeCell ref="B7:B8"/>
    <mergeCell ref="C7:C8"/>
    <mergeCell ref="D7:D8"/>
    <mergeCell ref="E7:E8"/>
    <mergeCell ref="G7:G8"/>
  </mergeCells>
  <hyperlinks>
    <hyperlink ref="J1" location="Índice!A1" tooltip="Ir a Índice" display="Índice!A1"/>
  </hyperlinks>
  <printOptions horizontalCentered="1" verticalCentered="1" gridLinesSet="0"/>
  <pageMargins left="0.39370078740157483" right="0.39370078740157483" top="0.39370078740157483" bottom="0.39370078740157483" header="0.39370078740157483" footer="0.39370078740157483"/>
  <pageSetup orientation="portrait" r:id="rId1"/>
  <headerFooter>
    <oddHeader>&amp;L&amp;"Arial,Normal"&amp;10&amp;K000080INEGI. Anuario estadístico y geográfico por entidad federativa 2019.</oddHeader>
  </headerFooter>
  <rowBreaks count="10" manualBreakCount="10">
    <brk id="82" max="16383" man="1"/>
    <brk id="154" max="16383" man="1"/>
    <brk id="226" max="16383" man="1"/>
    <brk id="298" max="16383" man="1"/>
    <brk id="370" max="16383" man="1"/>
    <brk id="442" max="16383" man="1"/>
    <brk id="514" max="9" man="1"/>
    <brk id="586" max="16383" man="1"/>
    <brk id="658" max="9" man="1"/>
    <brk id="730" max="9" man="1"/>
  </rowBreaks>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908"/>
  <sheetViews>
    <sheetView showGridLines="0" showRowColHeaders="0" zoomScale="130" zoomScaleNormal="130" workbookViewId="0">
      <pane xSplit="1" ySplit="10" topLeftCell="B11" activePane="bottomRight" state="frozen"/>
      <selection activeCell="B5" sqref="B5"/>
      <selection pane="topRight" activeCell="B5" sqref="B5"/>
      <selection pane="bottomLeft" activeCell="B5" sqref="B5"/>
      <selection pane="bottomRight"/>
    </sheetView>
  </sheetViews>
  <sheetFormatPr baseColWidth="10" defaultColWidth="0" defaultRowHeight="11.25" customHeight="1" zeroHeight="1" x14ac:dyDescent="0.25"/>
  <cols>
    <col min="1" max="1" width="18.140625" style="12" customWidth="1"/>
    <col min="2" max="2" width="6.28515625" style="12" customWidth="1"/>
    <col min="3" max="3" width="1.7109375" style="12" customWidth="1"/>
    <col min="4" max="4" width="5.7109375" style="12" customWidth="1"/>
    <col min="5" max="5" width="1.85546875" style="12" customWidth="1"/>
    <col min="6" max="6" width="5.85546875" style="12" customWidth="1"/>
    <col min="7" max="9" width="7.5703125" style="12" customWidth="1"/>
    <col min="10" max="10" width="7.28515625" style="12" customWidth="1"/>
    <col min="11" max="11" width="1.85546875" style="12" customWidth="1"/>
    <col min="12" max="12" width="6.28515625" style="12" customWidth="1"/>
    <col min="13" max="14" width="7.7109375" style="12" customWidth="1"/>
    <col min="15" max="15" width="8" style="12" customWidth="1"/>
    <col min="16" max="16" width="0.85546875" style="12" customWidth="1"/>
    <col min="17" max="16384" width="12.7109375" style="12" hidden="1"/>
  </cols>
  <sheetData>
    <row r="1" spans="1:15" s="3" customFormat="1" ht="12.95" customHeight="1" x14ac:dyDescent="0.2">
      <c r="A1" s="1" t="s">
        <v>0</v>
      </c>
      <c r="B1" s="2"/>
      <c r="C1" s="2"/>
      <c r="D1" s="2"/>
      <c r="E1" s="2"/>
      <c r="F1" s="2"/>
      <c r="G1" s="2"/>
      <c r="H1" s="2"/>
      <c r="I1" s="2"/>
      <c r="J1" s="2"/>
      <c r="K1" s="2"/>
      <c r="L1" s="2"/>
      <c r="M1" s="2"/>
      <c r="N1" s="867" t="s">
        <v>1</v>
      </c>
      <c r="O1" s="867"/>
    </row>
    <row r="2" spans="1:15" s="3" customFormat="1" ht="12.95" customHeight="1" x14ac:dyDescent="0.25">
      <c r="A2" s="1" t="s">
        <v>2</v>
      </c>
      <c r="B2" s="4"/>
      <c r="C2" s="2"/>
      <c r="D2" s="5"/>
      <c r="E2" s="5"/>
      <c r="F2" s="6"/>
      <c r="G2" s="6"/>
      <c r="H2" s="6"/>
      <c r="I2" s="6"/>
      <c r="J2" s="6"/>
      <c r="K2" s="2"/>
      <c r="L2" s="5"/>
      <c r="M2" s="6"/>
      <c r="N2" s="6"/>
      <c r="O2" s="2"/>
    </row>
    <row r="3" spans="1:15" s="10" customFormat="1" ht="12.95" customHeight="1" x14ac:dyDescent="0.25">
      <c r="A3" s="7" t="s">
        <v>61</v>
      </c>
      <c r="B3" s="8"/>
      <c r="C3" s="8"/>
      <c r="D3" s="8"/>
      <c r="E3" s="8"/>
      <c r="F3" s="9"/>
      <c r="G3" s="9"/>
      <c r="H3" s="9"/>
      <c r="I3" s="9"/>
      <c r="J3" s="9"/>
      <c r="K3" s="8"/>
      <c r="L3" s="8"/>
      <c r="M3" s="9"/>
      <c r="N3" s="9"/>
      <c r="O3" s="8"/>
    </row>
    <row r="4" spans="1:15" ht="3" customHeight="1" x14ac:dyDescent="0.25">
      <c r="A4" s="11"/>
      <c r="B4" s="11"/>
      <c r="C4" s="11"/>
      <c r="D4" s="11"/>
      <c r="E4" s="11"/>
      <c r="F4" s="11"/>
      <c r="G4" s="11"/>
      <c r="H4" s="11"/>
      <c r="I4" s="11"/>
      <c r="J4" s="11"/>
      <c r="K4" s="11"/>
      <c r="L4" s="11"/>
      <c r="M4" s="11"/>
      <c r="N4" s="11"/>
      <c r="O4" s="11"/>
    </row>
    <row r="5" spans="1:15" ht="3" customHeight="1" x14ac:dyDescent="0.25">
      <c r="A5" s="13"/>
      <c r="B5" s="13"/>
      <c r="C5" s="13"/>
      <c r="D5" s="13"/>
      <c r="E5" s="13"/>
      <c r="F5" s="13"/>
      <c r="G5" s="13"/>
      <c r="H5" s="13"/>
      <c r="I5" s="13"/>
      <c r="J5" s="13"/>
      <c r="K5" s="13"/>
      <c r="L5" s="868" t="s">
        <v>3</v>
      </c>
      <c r="M5" s="868"/>
      <c r="N5" s="868"/>
      <c r="O5" s="868"/>
    </row>
    <row r="6" spans="1:15" s="14" customFormat="1" ht="8.25" customHeight="1" x14ac:dyDescent="0.15">
      <c r="A6" s="870" t="s">
        <v>4</v>
      </c>
      <c r="B6" s="872" t="s">
        <v>5</v>
      </c>
      <c r="C6" s="775"/>
      <c r="D6" s="869" t="s">
        <v>6</v>
      </c>
      <c r="E6" s="869"/>
      <c r="F6" s="869"/>
      <c r="G6" s="869"/>
      <c r="H6" s="869"/>
      <c r="I6" s="869"/>
      <c r="J6" s="869"/>
      <c r="K6" s="775"/>
      <c r="L6" s="869"/>
      <c r="M6" s="869"/>
      <c r="N6" s="869"/>
      <c r="O6" s="869"/>
    </row>
    <row r="7" spans="1:15" s="14" customFormat="1" ht="9" customHeight="1" x14ac:dyDescent="0.15">
      <c r="A7" s="871"/>
      <c r="B7" s="873"/>
      <c r="C7" s="775"/>
      <c r="D7" s="775" t="s">
        <v>7</v>
      </c>
      <c r="E7" s="775"/>
      <c r="F7" s="874" t="s">
        <v>8</v>
      </c>
      <c r="G7" s="874"/>
      <c r="H7" s="874"/>
      <c r="I7" s="875" t="s">
        <v>9</v>
      </c>
      <c r="J7" s="15" t="s">
        <v>7</v>
      </c>
      <c r="K7" s="775"/>
      <c r="L7" s="775" t="s">
        <v>7</v>
      </c>
      <c r="M7" s="15" t="s">
        <v>10</v>
      </c>
      <c r="N7" s="775" t="s">
        <v>11</v>
      </c>
      <c r="O7" s="15" t="s">
        <v>7</v>
      </c>
    </row>
    <row r="8" spans="1:15" s="14" customFormat="1" ht="8.65" customHeight="1" x14ac:dyDescent="0.15">
      <c r="A8" s="871"/>
      <c r="B8" s="873"/>
      <c r="C8" s="775"/>
      <c r="D8" s="775" t="s">
        <v>12</v>
      </c>
      <c r="E8" s="775"/>
      <c r="F8" s="775" t="s">
        <v>13</v>
      </c>
      <c r="G8" s="775" t="s">
        <v>14</v>
      </c>
      <c r="H8" s="775" t="s">
        <v>15</v>
      </c>
      <c r="I8" s="876"/>
      <c r="J8" s="775" t="s">
        <v>16</v>
      </c>
      <c r="K8" s="775"/>
      <c r="L8" s="775" t="s">
        <v>12</v>
      </c>
      <c r="M8" s="775" t="s">
        <v>17</v>
      </c>
      <c r="N8" s="775"/>
      <c r="O8" s="775" t="s">
        <v>16</v>
      </c>
    </row>
    <row r="9" spans="1:15" s="14" customFormat="1" ht="8.65" customHeight="1" x14ac:dyDescent="0.15">
      <c r="A9" s="871"/>
      <c r="B9" s="775"/>
      <c r="C9" s="775"/>
      <c r="D9" s="775" t="s">
        <v>18</v>
      </c>
      <c r="E9" s="775"/>
      <c r="F9" s="775"/>
      <c r="G9" s="775" t="s">
        <v>19</v>
      </c>
      <c r="H9" s="775"/>
      <c r="I9" s="876"/>
      <c r="J9" s="775" t="s">
        <v>18</v>
      </c>
      <c r="K9" s="775"/>
      <c r="L9" s="775" t="s">
        <v>18</v>
      </c>
      <c r="M9" s="775" t="s">
        <v>20</v>
      </c>
      <c r="N9" s="775"/>
      <c r="O9" s="775" t="s">
        <v>18</v>
      </c>
    </row>
    <row r="10" spans="1:15" ht="3" customHeight="1" x14ac:dyDescent="0.25">
      <c r="A10" s="11"/>
      <c r="B10" s="11"/>
      <c r="C10" s="11"/>
      <c r="D10" s="11"/>
      <c r="E10" s="11"/>
      <c r="F10" s="11"/>
      <c r="G10" s="11"/>
      <c r="H10" s="11"/>
      <c r="I10" s="11"/>
      <c r="J10" s="11"/>
      <c r="K10" s="11"/>
      <c r="L10" s="11"/>
      <c r="M10" s="11"/>
      <c r="N10" s="11"/>
      <c r="O10" s="11"/>
    </row>
    <row r="11" spans="1:15" ht="3" customHeight="1" x14ac:dyDescent="0.25">
      <c r="A11" s="13"/>
      <c r="B11" s="13"/>
      <c r="C11" s="13"/>
      <c r="D11" s="13"/>
      <c r="E11" s="13"/>
      <c r="F11" s="13"/>
      <c r="G11" s="13"/>
      <c r="H11" s="13"/>
      <c r="I11" s="13"/>
      <c r="J11" s="13"/>
      <c r="K11" s="13"/>
      <c r="L11" s="13"/>
      <c r="M11" s="13"/>
      <c r="N11" s="13"/>
      <c r="O11" s="13"/>
    </row>
    <row r="12" spans="1:15" s="18" customFormat="1" ht="9" customHeight="1" x14ac:dyDescent="0.25">
      <c r="A12" s="16">
        <v>1996</v>
      </c>
      <c r="B12" s="17"/>
      <c r="C12" s="17"/>
      <c r="D12" s="17"/>
      <c r="E12" s="17"/>
      <c r="F12" s="17"/>
      <c r="G12" s="17"/>
      <c r="H12" s="17"/>
      <c r="I12" s="17"/>
      <c r="J12" s="17"/>
      <c r="K12" s="17"/>
      <c r="L12" s="17"/>
      <c r="M12" s="17"/>
      <c r="N12" s="17"/>
      <c r="O12" s="17"/>
    </row>
    <row r="13" spans="1:15" s="18" customFormat="1" ht="9" customHeight="1" x14ac:dyDescent="0.25">
      <c r="A13" s="19" t="s">
        <v>21</v>
      </c>
      <c r="B13" s="20">
        <f>SUM(B15:B47)</f>
        <v>1597</v>
      </c>
      <c r="C13" s="20"/>
      <c r="D13" s="21" t="s">
        <v>22</v>
      </c>
      <c r="E13" s="20"/>
      <c r="F13" s="20">
        <f>SUM(F15:F47)</f>
        <v>1230</v>
      </c>
      <c r="G13" s="20">
        <f>SUM(G15:G47)</f>
        <v>72</v>
      </c>
      <c r="H13" s="20">
        <f>SUM(H15:H47)</f>
        <v>1158</v>
      </c>
      <c r="I13" s="20">
        <f>SUM(I15:I47)</f>
        <v>665</v>
      </c>
      <c r="J13" s="20">
        <f>SUM(J15:J47)</f>
        <v>565</v>
      </c>
      <c r="K13" s="20"/>
      <c r="L13" s="21" t="s">
        <v>22</v>
      </c>
      <c r="M13" s="20">
        <f>SUM(M15:M47)</f>
        <v>80</v>
      </c>
      <c r="N13" s="20">
        <f>SUM(N15:N47)</f>
        <v>44</v>
      </c>
      <c r="O13" s="20">
        <f>SUM(O15:O47)</f>
        <v>36</v>
      </c>
    </row>
    <row r="14" spans="1:15" s="18" customFormat="1" ht="3" customHeight="1" x14ac:dyDescent="0.25">
      <c r="A14" s="19"/>
      <c r="B14" s="20"/>
      <c r="C14" s="20"/>
      <c r="D14" s="20"/>
      <c r="E14" s="20"/>
      <c r="G14" s="20"/>
      <c r="H14" s="20"/>
      <c r="I14" s="20"/>
      <c r="J14" s="20"/>
      <c r="K14" s="20"/>
      <c r="L14" s="20"/>
      <c r="M14" s="20"/>
      <c r="N14" s="20"/>
      <c r="O14" s="20"/>
    </row>
    <row r="15" spans="1:15" s="18" customFormat="1" ht="9" customHeight="1" x14ac:dyDescent="0.25">
      <c r="A15" s="22" t="s">
        <v>23</v>
      </c>
      <c r="B15" s="23">
        <v>2</v>
      </c>
      <c r="C15" s="23"/>
      <c r="D15" s="24" t="s">
        <v>22</v>
      </c>
      <c r="E15" s="23"/>
      <c r="F15" s="25">
        <f t="shared" ref="F15:F47" si="0">SUM(G15:H15)</f>
        <v>3</v>
      </c>
      <c r="G15" s="23">
        <v>0</v>
      </c>
      <c r="H15" s="23">
        <v>3</v>
      </c>
      <c r="I15" s="23">
        <v>0</v>
      </c>
      <c r="J15" s="23">
        <f t="shared" ref="J15:J47" si="1">(F15)-I15</f>
        <v>3</v>
      </c>
      <c r="K15" s="23"/>
      <c r="L15" s="24" t="s">
        <v>22</v>
      </c>
      <c r="M15" s="23">
        <v>0</v>
      </c>
      <c r="N15" s="23">
        <v>0</v>
      </c>
      <c r="O15" s="23">
        <f t="shared" ref="O15:O47" si="2">(M15)-N15</f>
        <v>0</v>
      </c>
    </row>
    <row r="16" spans="1:15" s="18" customFormat="1" ht="9" customHeight="1" x14ac:dyDescent="0.25">
      <c r="A16" s="22" t="s">
        <v>24</v>
      </c>
      <c r="B16" s="23">
        <v>0</v>
      </c>
      <c r="C16" s="23"/>
      <c r="D16" s="24" t="s">
        <v>22</v>
      </c>
      <c r="E16" s="23"/>
      <c r="F16" s="25">
        <f t="shared" si="0"/>
        <v>26</v>
      </c>
      <c r="G16" s="23">
        <v>0</v>
      </c>
      <c r="H16" s="23">
        <v>26</v>
      </c>
      <c r="I16" s="23">
        <v>10</v>
      </c>
      <c r="J16" s="23">
        <f t="shared" si="1"/>
        <v>16</v>
      </c>
      <c r="K16" s="23"/>
      <c r="L16" s="24" t="s">
        <v>22</v>
      </c>
      <c r="M16" s="23">
        <v>0</v>
      </c>
      <c r="N16" s="23">
        <v>0</v>
      </c>
      <c r="O16" s="23">
        <f t="shared" si="2"/>
        <v>0</v>
      </c>
    </row>
    <row r="17" spans="1:15" s="18" customFormat="1" ht="9" customHeight="1" x14ac:dyDescent="0.25">
      <c r="A17" s="22" t="s">
        <v>25</v>
      </c>
      <c r="B17" s="23">
        <v>0</v>
      </c>
      <c r="C17" s="23"/>
      <c r="D17" s="24" t="s">
        <v>22</v>
      </c>
      <c r="E17" s="23"/>
      <c r="F17" s="25">
        <f t="shared" si="0"/>
        <v>2</v>
      </c>
      <c r="G17" s="23">
        <v>0</v>
      </c>
      <c r="H17" s="23">
        <v>2</v>
      </c>
      <c r="I17" s="23">
        <v>1</v>
      </c>
      <c r="J17" s="23">
        <f t="shared" si="1"/>
        <v>1</v>
      </c>
      <c r="K17" s="23"/>
      <c r="L17" s="24" t="s">
        <v>22</v>
      </c>
      <c r="M17" s="23">
        <v>0</v>
      </c>
      <c r="N17" s="23">
        <v>0</v>
      </c>
      <c r="O17" s="23">
        <f t="shared" si="2"/>
        <v>0</v>
      </c>
    </row>
    <row r="18" spans="1:15" s="18" customFormat="1" ht="9" customHeight="1" x14ac:dyDescent="0.25">
      <c r="A18" s="26" t="s">
        <v>26</v>
      </c>
      <c r="B18" s="27">
        <v>1</v>
      </c>
      <c r="C18" s="27"/>
      <c r="D18" s="28" t="s">
        <v>22</v>
      </c>
      <c r="E18" s="27"/>
      <c r="F18" s="29">
        <f t="shared" si="0"/>
        <v>2</v>
      </c>
      <c r="G18" s="27">
        <v>0</v>
      </c>
      <c r="H18" s="27">
        <v>2</v>
      </c>
      <c r="I18" s="27">
        <v>0</v>
      </c>
      <c r="J18" s="27">
        <f t="shared" si="1"/>
        <v>2</v>
      </c>
      <c r="K18" s="27"/>
      <c r="L18" s="28" t="s">
        <v>22</v>
      </c>
      <c r="M18" s="27">
        <v>0</v>
      </c>
      <c r="N18" s="27">
        <v>0</v>
      </c>
      <c r="O18" s="27">
        <f t="shared" si="2"/>
        <v>0</v>
      </c>
    </row>
    <row r="19" spans="1:15" s="18" customFormat="1" ht="9" customHeight="1" x14ac:dyDescent="0.25">
      <c r="A19" s="22" t="s">
        <v>27</v>
      </c>
      <c r="B19" s="23">
        <v>1</v>
      </c>
      <c r="C19" s="23"/>
      <c r="D19" s="24" t="s">
        <v>22</v>
      </c>
      <c r="E19" s="23"/>
      <c r="F19" s="25">
        <f t="shared" si="0"/>
        <v>10</v>
      </c>
      <c r="G19" s="23">
        <v>0</v>
      </c>
      <c r="H19" s="23">
        <v>10</v>
      </c>
      <c r="I19" s="23">
        <v>6</v>
      </c>
      <c r="J19" s="23">
        <f t="shared" si="1"/>
        <v>4</v>
      </c>
      <c r="K19" s="23"/>
      <c r="L19" s="24" t="s">
        <v>22</v>
      </c>
      <c r="M19" s="23">
        <v>0</v>
      </c>
      <c r="N19" s="23">
        <v>0</v>
      </c>
      <c r="O19" s="23">
        <f t="shared" si="2"/>
        <v>0</v>
      </c>
    </row>
    <row r="20" spans="1:15" s="18" customFormat="1" ht="9" customHeight="1" x14ac:dyDescent="0.25">
      <c r="A20" s="22" t="s">
        <v>28</v>
      </c>
      <c r="B20" s="23">
        <v>0</v>
      </c>
      <c r="C20" s="23"/>
      <c r="D20" s="24" t="s">
        <v>22</v>
      </c>
      <c r="E20" s="23"/>
      <c r="F20" s="25">
        <f t="shared" si="0"/>
        <v>7</v>
      </c>
      <c r="G20" s="23">
        <v>0</v>
      </c>
      <c r="H20" s="23">
        <v>7</v>
      </c>
      <c r="I20" s="23">
        <v>2</v>
      </c>
      <c r="J20" s="23">
        <f t="shared" si="1"/>
        <v>5</v>
      </c>
      <c r="K20" s="23"/>
      <c r="L20" s="24" t="s">
        <v>22</v>
      </c>
      <c r="M20" s="23">
        <v>0</v>
      </c>
      <c r="N20" s="23">
        <v>0</v>
      </c>
      <c r="O20" s="23">
        <f t="shared" si="2"/>
        <v>0</v>
      </c>
    </row>
    <row r="21" spans="1:15" s="18" customFormat="1" ht="9" customHeight="1" x14ac:dyDescent="0.25">
      <c r="A21" s="22" t="s">
        <v>29</v>
      </c>
      <c r="B21" s="23">
        <v>1</v>
      </c>
      <c r="C21" s="23"/>
      <c r="D21" s="24" t="s">
        <v>22</v>
      </c>
      <c r="E21" s="23"/>
      <c r="F21" s="25">
        <f t="shared" si="0"/>
        <v>9</v>
      </c>
      <c r="G21" s="23">
        <v>2</v>
      </c>
      <c r="H21" s="23">
        <v>7</v>
      </c>
      <c r="I21" s="23">
        <v>3</v>
      </c>
      <c r="J21" s="23">
        <f t="shared" si="1"/>
        <v>6</v>
      </c>
      <c r="K21" s="23"/>
      <c r="L21" s="24" t="s">
        <v>22</v>
      </c>
      <c r="M21" s="23">
        <v>0</v>
      </c>
      <c r="N21" s="23">
        <v>0</v>
      </c>
      <c r="O21" s="23">
        <f t="shared" si="2"/>
        <v>0</v>
      </c>
    </row>
    <row r="22" spans="1:15" s="18" customFormat="1" ht="9" customHeight="1" x14ac:dyDescent="0.25">
      <c r="A22" s="26" t="s">
        <v>30</v>
      </c>
      <c r="B22" s="27">
        <v>0</v>
      </c>
      <c r="C22" s="27"/>
      <c r="D22" s="28" t="s">
        <v>22</v>
      </c>
      <c r="E22" s="27"/>
      <c r="F22" s="29">
        <f t="shared" si="0"/>
        <v>10</v>
      </c>
      <c r="G22" s="27">
        <v>0</v>
      </c>
      <c r="H22" s="27">
        <v>10</v>
      </c>
      <c r="I22" s="27">
        <v>2</v>
      </c>
      <c r="J22" s="27">
        <f t="shared" si="1"/>
        <v>8</v>
      </c>
      <c r="K22" s="27"/>
      <c r="L22" s="28" t="s">
        <v>22</v>
      </c>
      <c r="M22" s="27">
        <v>0</v>
      </c>
      <c r="N22" s="27">
        <v>0</v>
      </c>
      <c r="O22" s="27">
        <f t="shared" si="2"/>
        <v>0</v>
      </c>
    </row>
    <row r="23" spans="1:15" s="18" customFormat="1" ht="9" customHeight="1" x14ac:dyDescent="0.25">
      <c r="A23" s="22" t="s">
        <v>63</v>
      </c>
      <c r="B23" s="23">
        <v>384</v>
      </c>
      <c r="C23" s="23"/>
      <c r="D23" s="24" t="s">
        <v>22</v>
      </c>
      <c r="E23" s="23"/>
      <c r="F23" s="25">
        <f t="shared" si="0"/>
        <v>612</v>
      </c>
      <c r="G23" s="23">
        <v>47</v>
      </c>
      <c r="H23" s="23">
        <v>565</v>
      </c>
      <c r="I23" s="23">
        <v>405</v>
      </c>
      <c r="J23" s="23">
        <f t="shared" si="1"/>
        <v>207</v>
      </c>
      <c r="K23" s="23"/>
      <c r="L23" s="24" t="s">
        <v>22</v>
      </c>
      <c r="M23" s="23">
        <v>48</v>
      </c>
      <c r="N23" s="23">
        <v>25</v>
      </c>
      <c r="O23" s="23">
        <f t="shared" si="2"/>
        <v>23</v>
      </c>
    </row>
    <row r="24" spans="1:15" s="18" customFormat="1" ht="9" customHeight="1" x14ac:dyDescent="0.25">
      <c r="A24" s="22" t="s">
        <v>31</v>
      </c>
      <c r="B24" s="23">
        <v>1</v>
      </c>
      <c r="C24" s="23"/>
      <c r="D24" s="24" t="s">
        <v>22</v>
      </c>
      <c r="E24" s="23"/>
      <c r="F24" s="25">
        <f t="shared" si="0"/>
        <v>10</v>
      </c>
      <c r="G24" s="23">
        <v>0</v>
      </c>
      <c r="H24" s="23">
        <v>10</v>
      </c>
      <c r="I24" s="23">
        <v>2</v>
      </c>
      <c r="J24" s="23">
        <f t="shared" si="1"/>
        <v>8</v>
      </c>
      <c r="K24" s="23"/>
      <c r="L24" s="24" t="s">
        <v>22</v>
      </c>
      <c r="M24" s="23">
        <v>2</v>
      </c>
      <c r="N24" s="23">
        <v>2</v>
      </c>
      <c r="O24" s="23">
        <f t="shared" si="2"/>
        <v>0</v>
      </c>
    </row>
    <row r="25" spans="1:15" s="18" customFormat="1" ht="9" customHeight="1" x14ac:dyDescent="0.25">
      <c r="A25" s="22" t="s">
        <v>32</v>
      </c>
      <c r="B25" s="23">
        <v>4</v>
      </c>
      <c r="C25" s="23"/>
      <c r="D25" s="24" t="s">
        <v>22</v>
      </c>
      <c r="E25" s="23"/>
      <c r="F25" s="25">
        <f t="shared" si="0"/>
        <v>39</v>
      </c>
      <c r="G25" s="23">
        <v>1</v>
      </c>
      <c r="H25" s="23">
        <v>38</v>
      </c>
      <c r="I25" s="23">
        <v>10</v>
      </c>
      <c r="J25" s="23">
        <f t="shared" si="1"/>
        <v>29</v>
      </c>
      <c r="K25" s="23"/>
      <c r="L25" s="24" t="s">
        <v>22</v>
      </c>
      <c r="M25" s="23">
        <v>1</v>
      </c>
      <c r="N25" s="23">
        <v>1</v>
      </c>
      <c r="O25" s="23">
        <f t="shared" si="2"/>
        <v>0</v>
      </c>
    </row>
    <row r="26" spans="1:15" s="18" customFormat="1" ht="9" customHeight="1" x14ac:dyDescent="0.25">
      <c r="A26" s="26" t="s">
        <v>33</v>
      </c>
      <c r="B26" s="27">
        <v>1</v>
      </c>
      <c r="C26" s="27"/>
      <c r="D26" s="28" t="s">
        <v>22</v>
      </c>
      <c r="E26" s="27"/>
      <c r="F26" s="29">
        <f t="shared" si="0"/>
        <v>17</v>
      </c>
      <c r="G26" s="27">
        <v>0</v>
      </c>
      <c r="H26" s="27">
        <v>17</v>
      </c>
      <c r="I26" s="27">
        <v>5</v>
      </c>
      <c r="J26" s="27">
        <f t="shared" si="1"/>
        <v>12</v>
      </c>
      <c r="K26" s="27"/>
      <c r="L26" s="28" t="s">
        <v>22</v>
      </c>
      <c r="M26" s="27">
        <v>4</v>
      </c>
      <c r="N26" s="27">
        <v>2</v>
      </c>
      <c r="O26" s="27">
        <f t="shared" si="2"/>
        <v>2</v>
      </c>
    </row>
    <row r="27" spans="1:15" s="18" customFormat="1" ht="9" customHeight="1" x14ac:dyDescent="0.25">
      <c r="A27" s="22" t="s">
        <v>34</v>
      </c>
      <c r="B27" s="23">
        <v>7</v>
      </c>
      <c r="C27" s="23"/>
      <c r="D27" s="24" t="s">
        <v>22</v>
      </c>
      <c r="E27" s="23"/>
      <c r="F27" s="25">
        <f t="shared" si="0"/>
        <v>18</v>
      </c>
      <c r="G27" s="23">
        <v>0</v>
      </c>
      <c r="H27" s="23">
        <v>18</v>
      </c>
      <c r="I27" s="23">
        <v>6</v>
      </c>
      <c r="J27" s="23">
        <f t="shared" si="1"/>
        <v>12</v>
      </c>
      <c r="K27" s="23"/>
      <c r="L27" s="24" t="s">
        <v>22</v>
      </c>
      <c r="M27" s="23">
        <v>1</v>
      </c>
      <c r="N27" s="23">
        <v>0</v>
      </c>
      <c r="O27" s="23">
        <f t="shared" si="2"/>
        <v>1</v>
      </c>
    </row>
    <row r="28" spans="1:15" s="18" customFormat="1" ht="9" customHeight="1" x14ac:dyDescent="0.25">
      <c r="A28" s="22" t="s">
        <v>35</v>
      </c>
      <c r="B28" s="23">
        <v>2</v>
      </c>
      <c r="C28" s="23"/>
      <c r="D28" s="24" t="s">
        <v>22</v>
      </c>
      <c r="E28" s="23"/>
      <c r="F28" s="25">
        <f t="shared" si="0"/>
        <v>43</v>
      </c>
      <c r="G28" s="23">
        <v>1</v>
      </c>
      <c r="H28" s="23">
        <v>42</v>
      </c>
      <c r="I28" s="23">
        <v>15</v>
      </c>
      <c r="J28" s="23">
        <f t="shared" si="1"/>
        <v>28</v>
      </c>
      <c r="K28" s="23"/>
      <c r="L28" s="24" t="s">
        <v>22</v>
      </c>
      <c r="M28" s="23">
        <v>4</v>
      </c>
      <c r="N28" s="23">
        <v>4</v>
      </c>
      <c r="O28" s="23">
        <f t="shared" si="2"/>
        <v>0</v>
      </c>
    </row>
    <row r="29" spans="1:15" s="18" customFormat="1" ht="9" customHeight="1" x14ac:dyDescent="0.25">
      <c r="A29" s="22" t="s">
        <v>36</v>
      </c>
      <c r="B29" s="23">
        <v>154</v>
      </c>
      <c r="C29" s="23"/>
      <c r="D29" s="24" t="s">
        <v>22</v>
      </c>
      <c r="E29" s="23"/>
      <c r="F29" s="25">
        <f t="shared" si="0"/>
        <v>242</v>
      </c>
      <c r="G29" s="23">
        <v>21</v>
      </c>
      <c r="H29" s="23">
        <v>221</v>
      </c>
      <c r="I29" s="23">
        <v>143</v>
      </c>
      <c r="J29" s="23">
        <f t="shared" si="1"/>
        <v>99</v>
      </c>
      <c r="K29" s="23"/>
      <c r="L29" s="24" t="s">
        <v>22</v>
      </c>
      <c r="M29" s="23">
        <v>5</v>
      </c>
      <c r="N29" s="23">
        <v>4</v>
      </c>
      <c r="O29" s="23">
        <f t="shared" si="2"/>
        <v>1</v>
      </c>
    </row>
    <row r="30" spans="1:15" s="18" customFormat="1" ht="9" customHeight="1" x14ac:dyDescent="0.25">
      <c r="A30" s="26" t="s">
        <v>37</v>
      </c>
      <c r="B30" s="27">
        <v>2</v>
      </c>
      <c r="C30" s="27"/>
      <c r="D30" s="28" t="s">
        <v>22</v>
      </c>
      <c r="E30" s="27"/>
      <c r="F30" s="29">
        <f t="shared" si="0"/>
        <v>26</v>
      </c>
      <c r="G30" s="27">
        <v>0</v>
      </c>
      <c r="H30" s="27">
        <v>26</v>
      </c>
      <c r="I30" s="27">
        <v>8</v>
      </c>
      <c r="J30" s="27">
        <f t="shared" si="1"/>
        <v>18</v>
      </c>
      <c r="K30" s="27"/>
      <c r="L30" s="28" t="s">
        <v>22</v>
      </c>
      <c r="M30" s="27">
        <v>0</v>
      </c>
      <c r="N30" s="27">
        <v>0</v>
      </c>
      <c r="O30" s="27">
        <f t="shared" si="2"/>
        <v>0</v>
      </c>
    </row>
    <row r="31" spans="1:15" s="18" customFormat="1" ht="9" customHeight="1" x14ac:dyDescent="0.25">
      <c r="A31" s="22" t="s">
        <v>38</v>
      </c>
      <c r="B31" s="23">
        <v>6</v>
      </c>
      <c r="C31" s="23"/>
      <c r="D31" s="24" t="s">
        <v>22</v>
      </c>
      <c r="E31" s="23"/>
      <c r="F31" s="25">
        <f t="shared" si="0"/>
        <v>9</v>
      </c>
      <c r="G31" s="23">
        <v>0</v>
      </c>
      <c r="H31" s="23">
        <v>9</v>
      </c>
      <c r="I31" s="23">
        <v>4</v>
      </c>
      <c r="J31" s="23">
        <f t="shared" si="1"/>
        <v>5</v>
      </c>
      <c r="K31" s="23"/>
      <c r="L31" s="24" t="s">
        <v>22</v>
      </c>
      <c r="M31" s="23">
        <v>3</v>
      </c>
      <c r="N31" s="23">
        <v>2</v>
      </c>
      <c r="O31" s="23">
        <f t="shared" si="2"/>
        <v>1</v>
      </c>
    </row>
    <row r="32" spans="1:15" s="18" customFormat="1" ht="9" customHeight="1" x14ac:dyDescent="0.25">
      <c r="A32" s="22" t="s">
        <v>39</v>
      </c>
      <c r="B32" s="23">
        <v>0</v>
      </c>
      <c r="C32" s="23"/>
      <c r="D32" s="24" t="s">
        <v>22</v>
      </c>
      <c r="E32" s="23"/>
      <c r="F32" s="25">
        <f t="shared" si="0"/>
        <v>0</v>
      </c>
      <c r="G32" s="23">
        <v>0</v>
      </c>
      <c r="H32" s="23">
        <v>0</v>
      </c>
      <c r="I32" s="23">
        <v>0</v>
      </c>
      <c r="J32" s="23">
        <f t="shared" si="1"/>
        <v>0</v>
      </c>
      <c r="K32" s="23"/>
      <c r="L32" s="24" t="s">
        <v>22</v>
      </c>
      <c r="M32" s="23">
        <v>1</v>
      </c>
      <c r="N32" s="23">
        <v>1</v>
      </c>
      <c r="O32" s="23">
        <f t="shared" si="2"/>
        <v>0</v>
      </c>
    </row>
    <row r="33" spans="1:15" s="18" customFormat="1" ht="9" customHeight="1" x14ac:dyDescent="0.25">
      <c r="A33" s="22" t="s">
        <v>40</v>
      </c>
      <c r="B33" s="23">
        <v>0</v>
      </c>
      <c r="C33" s="23"/>
      <c r="D33" s="24" t="s">
        <v>22</v>
      </c>
      <c r="E33" s="23"/>
      <c r="F33" s="25">
        <f t="shared" si="0"/>
        <v>11</v>
      </c>
      <c r="G33" s="23">
        <v>0</v>
      </c>
      <c r="H33" s="23">
        <v>11</v>
      </c>
      <c r="I33" s="23">
        <v>3</v>
      </c>
      <c r="J33" s="23">
        <f t="shared" si="1"/>
        <v>8</v>
      </c>
      <c r="K33" s="23"/>
      <c r="L33" s="24" t="s">
        <v>22</v>
      </c>
      <c r="M33" s="23">
        <v>0</v>
      </c>
      <c r="N33" s="23">
        <v>0</v>
      </c>
      <c r="O33" s="23">
        <f t="shared" si="2"/>
        <v>0</v>
      </c>
    </row>
    <row r="34" spans="1:15" s="18" customFormat="1" ht="9" customHeight="1" x14ac:dyDescent="0.25">
      <c r="A34" s="26" t="s">
        <v>41</v>
      </c>
      <c r="B34" s="27">
        <v>0</v>
      </c>
      <c r="C34" s="27"/>
      <c r="D34" s="28" t="s">
        <v>22</v>
      </c>
      <c r="E34" s="27"/>
      <c r="F34" s="29">
        <f t="shared" si="0"/>
        <v>9</v>
      </c>
      <c r="G34" s="27">
        <v>0</v>
      </c>
      <c r="H34" s="27">
        <v>9</v>
      </c>
      <c r="I34" s="27">
        <v>2</v>
      </c>
      <c r="J34" s="27">
        <f t="shared" si="1"/>
        <v>7</v>
      </c>
      <c r="K34" s="27"/>
      <c r="L34" s="28" t="s">
        <v>22</v>
      </c>
      <c r="M34" s="27">
        <v>1</v>
      </c>
      <c r="N34" s="27">
        <v>0</v>
      </c>
      <c r="O34" s="27">
        <f t="shared" si="2"/>
        <v>1</v>
      </c>
    </row>
    <row r="35" spans="1:15" s="18" customFormat="1" ht="9" customHeight="1" x14ac:dyDescent="0.25">
      <c r="A35" s="22" t="s">
        <v>42</v>
      </c>
      <c r="B35" s="23">
        <v>5</v>
      </c>
      <c r="C35" s="23"/>
      <c r="D35" s="24" t="s">
        <v>22</v>
      </c>
      <c r="E35" s="23"/>
      <c r="F35" s="25">
        <f t="shared" si="0"/>
        <v>19</v>
      </c>
      <c r="G35" s="23">
        <v>0</v>
      </c>
      <c r="H35" s="23">
        <v>19</v>
      </c>
      <c r="I35" s="23">
        <v>6</v>
      </c>
      <c r="J35" s="23">
        <f t="shared" si="1"/>
        <v>13</v>
      </c>
      <c r="K35" s="23"/>
      <c r="L35" s="24" t="s">
        <v>22</v>
      </c>
      <c r="M35" s="23">
        <v>5</v>
      </c>
      <c r="N35" s="23">
        <v>0</v>
      </c>
      <c r="O35" s="23">
        <f t="shared" si="2"/>
        <v>5</v>
      </c>
    </row>
    <row r="36" spans="1:15" s="18" customFormat="1" ht="9" customHeight="1" x14ac:dyDescent="0.25">
      <c r="A36" s="22" t="s">
        <v>43</v>
      </c>
      <c r="B36" s="23">
        <v>1</v>
      </c>
      <c r="C36" s="23"/>
      <c r="D36" s="24" t="s">
        <v>22</v>
      </c>
      <c r="E36" s="23"/>
      <c r="F36" s="25">
        <f t="shared" si="0"/>
        <v>16</v>
      </c>
      <c r="G36" s="23">
        <v>0</v>
      </c>
      <c r="H36" s="23">
        <v>16</v>
      </c>
      <c r="I36" s="23">
        <v>4</v>
      </c>
      <c r="J36" s="23">
        <f t="shared" si="1"/>
        <v>12</v>
      </c>
      <c r="K36" s="23"/>
      <c r="L36" s="24" t="s">
        <v>22</v>
      </c>
      <c r="M36" s="23">
        <v>0</v>
      </c>
      <c r="N36" s="23">
        <v>0</v>
      </c>
      <c r="O36" s="23">
        <f t="shared" si="2"/>
        <v>0</v>
      </c>
    </row>
    <row r="37" spans="1:15" s="18" customFormat="1" ht="9" customHeight="1" x14ac:dyDescent="0.25">
      <c r="A37" s="22" t="s">
        <v>44</v>
      </c>
      <c r="B37" s="23">
        <v>0</v>
      </c>
      <c r="C37" s="23"/>
      <c r="D37" s="24" t="s">
        <v>22</v>
      </c>
      <c r="E37" s="23"/>
      <c r="F37" s="25">
        <f t="shared" si="0"/>
        <v>4</v>
      </c>
      <c r="G37" s="23">
        <v>0</v>
      </c>
      <c r="H37" s="23">
        <v>4</v>
      </c>
      <c r="I37" s="23">
        <v>1</v>
      </c>
      <c r="J37" s="23">
        <f t="shared" si="1"/>
        <v>3</v>
      </c>
      <c r="K37" s="23"/>
      <c r="L37" s="24" t="s">
        <v>22</v>
      </c>
      <c r="M37" s="23">
        <v>3</v>
      </c>
      <c r="N37" s="23">
        <v>3</v>
      </c>
      <c r="O37" s="23">
        <f t="shared" si="2"/>
        <v>0</v>
      </c>
    </row>
    <row r="38" spans="1:15" s="18" customFormat="1" ht="9" customHeight="1" x14ac:dyDescent="0.25">
      <c r="A38" s="26" t="s">
        <v>45</v>
      </c>
      <c r="B38" s="27">
        <v>0</v>
      </c>
      <c r="C38" s="27"/>
      <c r="D38" s="28" t="s">
        <v>22</v>
      </c>
      <c r="E38" s="27"/>
      <c r="F38" s="29">
        <f t="shared" si="0"/>
        <v>17</v>
      </c>
      <c r="G38" s="27">
        <v>0</v>
      </c>
      <c r="H38" s="27">
        <v>17</v>
      </c>
      <c r="I38" s="27">
        <v>8</v>
      </c>
      <c r="J38" s="27">
        <f t="shared" si="1"/>
        <v>9</v>
      </c>
      <c r="K38" s="27"/>
      <c r="L38" s="28" t="s">
        <v>22</v>
      </c>
      <c r="M38" s="27">
        <v>0</v>
      </c>
      <c r="N38" s="27">
        <v>0</v>
      </c>
      <c r="O38" s="27">
        <f t="shared" si="2"/>
        <v>0</v>
      </c>
    </row>
    <row r="39" spans="1:15" s="18" customFormat="1" ht="9" customHeight="1" x14ac:dyDescent="0.25">
      <c r="A39" s="22" t="s">
        <v>46</v>
      </c>
      <c r="B39" s="23">
        <v>0</v>
      </c>
      <c r="C39" s="23"/>
      <c r="D39" s="24" t="s">
        <v>22</v>
      </c>
      <c r="E39" s="23"/>
      <c r="F39" s="25">
        <f t="shared" si="0"/>
        <v>7</v>
      </c>
      <c r="G39" s="23">
        <v>0</v>
      </c>
      <c r="H39" s="23">
        <v>7</v>
      </c>
      <c r="I39" s="23">
        <v>1</v>
      </c>
      <c r="J39" s="23">
        <f t="shared" si="1"/>
        <v>6</v>
      </c>
      <c r="K39" s="23"/>
      <c r="L39" s="24" t="s">
        <v>22</v>
      </c>
      <c r="M39" s="23">
        <v>0</v>
      </c>
      <c r="N39" s="23">
        <v>0</v>
      </c>
      <c r="O39" s="23">
        <f t="shared" si="2"/>
        <v>0</v>
      </c>
    </row>
    <row r="40" spans="1:15" s="18" customFormat="1" ht="9" customHeight="1" x14ac:dyDescent="0.25">
      <c r="A40" s="22" t="s">
        <v>47</v>
      </c>
      <c r="B40" s="23">
        <v>0</v>
      </c>
      <c r="C40" s="23"/>
      <c r="D40" s="24" t="s">
        <v>22</v>
      </c>
      <c r="E40" s="23"/>
      <c r="F40" s="25">
        <f t="shared" si="0"/>
        <v>12</v>
      </c>
      <c r="G40" s="23">
        <v>0</v>
      </c>
      <c r="H40" s="23">
        <v>12</v>
      </c>
      <c r="I40" s="23">
        <v>3</v>
      </c>
      <c r="J40" s="23">
        <f t="shared" si="1"/>
        <v>9</v>
      </c>
      <c r="K40" s="23"/>
      <c r="L40" s="24" t="s">
        <v>22</v>
      </c>
      <c r="M40" s="23">
        <v>0</v>
      </c>
      <c r="N40" s="23">
        <v>0</v>
      </c>
      <c r="O40" s="23">
        <f t="shared" si="2"/>
        <v>0</v>
      </c>
    </row>
    <row r="41" spans="1:15" s="18" customFormat="1" ht="9" customHeight="1" x14ac:dyDescent="0.25">
      <c r="A41" s="22" t="s">
        <v>48</v>
      </c>
      <c r="B41" s="23">
        <v>2</v>
      </c>
      <c r="C41" s="23"/>
      <c r="D41" s="24" t="s">
        <v>22</v>
      </c>
      <c r="E41" s="23"/>
      <c r="F41" s="25">
        <f t="shared" si="0"/>
        <v>4</v>
      </c>
      <c r="G41" s="23">
        <v>0</v>
      </c>
      <c r="H41" s="23">
        <v>4</v>
      </c>
      <c r="I41" s="23">
        <v>2</v>
      </c>
      <c r="J41" s="23">
        <f t="shared" si="1"/>
        <v>2</v>
      </c>
      <c r="K41" s="23"/>
      <c r="L41" s="24" t="s">
        <v>22</v>
      </c>
      <c r="M41" s="23">
        <v>2</v>
      </c>
      <c r="N41" s="23">
        <v>0</v>
      </c>
      <c r="O41" s="23">
        <f t="shared" si="2"/>
        <v>2</v>
      </c>
    </row>
    <row r="42" spans="1:15" s="18" customFormat="1" ht="9" customHeight="1" x14ac:dyDescent="0.25">
      <c r="A42" s="26" t="s">
        <v>49</v>
      </c>
      <c r="B42" s="27">
        <v>0</v>
      </c>
      <c r="C42" s="27"/>
      <c r="D42" s="28" t="s">
        <v>22</v>
      </c>
      <c r="E42" s="27"/>
      <c r="F42" s="29">
        <f t="shared" si="0"/>
        <v>12</v>
      </c>
      <c r="G42" s="27">
        <v>0</v>
      </c>
      <c r="H42" s="27">
        <v>12</v>
      </c>
      <c r="I42" s="27">
        <v>4</v>
      </c>
      <c r="J42" s="27">
        <f t="shared" si="1"/>
        <v>8</v>
      </c>
      <c r="K42" s="27"/>
      <c r="L42" s="28" t="s">
        <v>22</v>
      </c>
      <c r="M42" s="27">
        <v>0</v>
      </c>
      <c r="N42" s="27">
        <v>0</v>
      </c>
      <c r="O42" s="27">
        <f t="shared" si="2"/>
        <v>0</v>
      </c>
    </row>
    <row r="43" spans="1:15" s="18" customFormat="1" ht="9" customHeight="1" x14ac:dyDescent="0.25">
      <c r="A43" s="22" t="s">
        <v>50</v>
      </c>
      <c r="B43" s="23">
        <v>0</v>
      </c>
      <c r="C43" s="23"/>
      <c r="D43" s="24" t="s">
        <v>22</v>
      </c>
      <c r="E43" s="23"/>
      <c r="F43" s="25">
        <f t="shared" si="0"/>
        <v>5</v>
      </c>
      <c r="G43" s="23">
        <v>0</v>
      </c>
      <c r="H43" s="23">
        <v>5</v>
      </c>
      <c r="I43" s="23">
        <v>3</v>
      </c>
      <c r="J43" s="23">
        <f t="shared" si="1"/>
        <v>2</v>
      </c>
      <c r="K43" s="23"/>
      <c r="L43" s="24" t="s">
        <v>22</v>
      </c>
      <c r="M43" s="23">
        <v>0</v>
      </c>
      <c r="N43" s="23">
        <v>0</v>
      </c>
      <c r="O43" s="23">
        <f t="shared" si="2"/>
        <v>0</v>
      </c>
    </row>
    <row r="44" spans="1:15" s="18" customFormat="1" ht="9" customHeight="1" x14ac:dyDescent="0.25">
      <c r="A44" s="22" t="s">
        <v>51</v>
      </c>
      <c r="B44" s="23">
        <v>4</v>
      </c>
      <c r="C44" s="23"/>
      <c r="D44" s="24" t="s">
        <v>22</v>
      </c>
      <c r="E44" s="23"/>
      <c r="F44" s="25">
        <f t="shared" si="0"/>
        <v>24</v>
      </c>
      <c r="G44" s="23">
        <v>0</v>
      </c>
      <c r="H44" s="23">
        <v>24</v>
      </c>
      <c r="I44" s="23">
        <v>5</v>
      </c>
      <c r="J44" s="23">
        <f t="shared" si="1"/>
        <v>19</v>
      </c>
      <c r="K44" s="23"/>
      <c r="L44" s="24" t="s">
        <v>22</v>
      </c>
      <c r="M44" s="23">
        <v>0</v>
      </c>
      <c r="N44" s="23">
        <v>0</v>
      </c>
      <c r="O44" s="23">
        <f t="shared" si="2"/>
        <v>0</v>
      </c>
    </row>
    <row r="45" spans="1:15" s="18" customFormat="1" ht="9" customHeight="1" x14ac:dyDescent="0.25">
      <c r="A45" s="22" t="s">
        <v>52</v>
      </c>
      <c r="B45" s="23">
        <v>1</v>
      </c>
      <c r="C45" s="23"/>
      <c r="D45" s="24" t="s">
        <v>22</v>
      </c>
      <c r="E45" s="23"/>
      <c r="F45" s="25">
        <f t="shared" si="0"/>
        <v>1</v>
      </c>
      <c r="G45" s="23">
        <v>0</v>
      </c>
      <c r="H45" s="23">
        <v>1</v>
      </c>
      <c r="I45" s="23">
        <v>0</v>
      </c>
      <c r="J45" s="23">
        <f t="shared" si="1"/>
        <v>1</v>
      </c>
      <c r="K45" s="23"/>
      <c r="L45" s="24" t="s">
        <v>22</v>
      </c>
      <c r="M45" s="23">
        <v>0</v>
      </c>
      <c r="N45" s="23">
        <v>0</v>
      </c>
      <c r="O45" s="23">
        <f t="shared" si="2"/>
        <v>0</v>
      </c>
    </row>
    <row r="46" spans="1:15" s="18" customFormat="1" ht="9" customHeight="1" x14ac:dyDescent="0.25">
      <c r="A46" s="26" t="s">
        <v>53</v>
      </c>
      <c r="B46" s="27">
        <v>0</v>
      </c>
      <c r="C46" s="27"/>
      <c r="D46" s="28" t="s">
        <v>22</v>
      </c>
      <c r="E46" s="27"/>
      <c r="F46" s="29">
        <f t="shared" si="0"/>
        <v>4</v>
      </c>
      <c r="G46" s="27">
        <v>0</v>
      </c>
      <c r="H46" s="27">
        <v>4</v>
      </c>
      <c r="I46" s="27">
        <v>1</v>
      </c>
      <c r="J46" s="27">
        <f t="shared" si="1"/>
        <v>3</v>
      </c>
      <c r="K46" s="27"/>
      <c r="L46" s="28" t="s">
        <v>22</v>
      </c>
      <c r="M46" s="27">
        <v>0</v>
      </c>
      <c r="N46" s="27">
        <v>0</v>
      </c>
      <c r="O46" s="27">
        <f t="shared" si="2"/>
        <v>0</v>
      </c>
    </row>
    <row r="47" spans="1:15" s="18" customFormat="1" ht="9" customHeight="1" x14ac:dyDescent="0.25">
      <c r="A47" s="22" t="s">
        <v>54</v>
      </c>
      <c r="B47" s="23">
        <v>1018</v>
      </c>
      <c r="C47" s="23"/>
      <c r="D47" s="24" t="s">
        <v>22</v>
      </c>
      <c r="E47" s="23"/>
      <c r="F47" s="25">
        <f t="shared" si="0"/>
        <v>0</v>
      </c>
      <c r="G47" s="23">
        <v>0</v>
      </c>
      <c r="H47" s="23">
        <v>0</v>
      </c>
      <c r="I47" s="23">
        <v>0</v>
      </c>
      <c r="J47" s="23">
        <f t="shared" si="1"/>
        <v>0</v>
      </c>
      <c r="K47" s="23"/>
      <c r="L47" s="24" t="s">
        <v>22</v>
      </c>
      <c r="M47" s="23">
        <v>0</v>
      </c>
      <c r="N47" s="23">
        <v>0</v>
      </c>
      <c r="O47" s="23">
        <f t="shared" si="2"/>
        <v>0</v>
      </c>
    </row>
    <row r="48" spans="1:15" s="18" customFormat="1" ht="9" customHeight="1" x14ac:dyDescent="0.25">
      <c r="A48" s="22"/>
      <c r="B48" s="23"/>
      <c r="C48" s="23"/>
      <c r="D48" s="23"/>
      <c r="E48" s="23"/>
      <c r="G48" s="23"/>
      <c r="H48" s="23"/>
      <c r="I48" s="23"/>
      <c r="J48" s="23"/>
      <c r="K48" s="23"/>
      <c r="L48" s="23"/>
      <c r="M48" s="23"/>
      <c r="N48" s="23"/>
      <c r="O48" s="23"/>
    </row>
    <row r="49" spans="1:15" s="18" customFormat="1" ht="9" customHeight="1" x14ac:dyDescent="0.25">
      <c r="A49" s="16">
        <v>1997</v>
      </c>
      <c r="B49" s="17"/>
      <c r="C49" s="17"/>
      <c r="D49" s="17"/>
      <c r="E49" s="17"/>
      <c r="G49" s="17"/>
      <c r="H49" s="17"/>
      <c r="I49" s="17"/>
      <c r="J49" s="17"/>
      <c r="K49" s="17"/>
      <c r="L49" s="17"/>
      <c r="M49" s="17"/>
      <c r="N49" s="17"/>
      <c r="O49" s="17"/>
    </row>
    <row r="50" spans="1:15" s="18" customFormat="1" ht="9" customHeight="1" x14ac:dyDescent="0.25">
      <c r="A50" s="19" t="s">
        <v>21</v>
      </c>
      <c r="B50" s="20">
        <f>SUM(B52:B84)</f>
        <v>1935</v>
      </c>
      <c r="C50" s="20"/>
      <c r="D50" s="20">
        <f>SUM(D52:D84)</f>
        <v>565</v>
      </c>
      <c r="E50" s="20"/>
      <c r="F50" s="20">
        <f>SUM(F52:F84)</f>
        <v>1699</v>
      </c>
      <c r="G50" s="20">
        <f>SUM(G52:G84)</f>
        <v>352</v>
      </c>
      <c r="H50" s="20">
        <f>SUM(H52:H84)</f>
        <v>1347</v>
      </c>
      <c r="I50" s="20">
        <f>SUM(I52:I84)</f>
        <v>1898</v>
      </c>
      <c r="J50" s="20">
        <f>SUM(J52:J84)</f>
        <v>366</v>
      </c>
      <c r="K50" s="20"/>
      <c r="L50" s="20">
        <f>SUM(L52:L84)</f>
        <v>36</v>
      </c>
      <c r="M50" s="20">
        <f>SUM(M52:M84)</f>
        <v>146</v>
      </c>
      <c r="N50" s="20">
        <f>SUM(N52:N84)</f>
        <v>138</v>
      </c>
      <c r="O50" s="20">
        <f>SUM(O52:O84)</f>
        <v>44</v>
      </c>
    </row>
    <row r="51" spans="1:15" s="18" customFormat="1" ht="3" customHeight="1" x14ac:dyDescent="0.25">
      <c r="A51" s="19"/>
      <c r="B51" s="20"/>
      <c r="C51" s="20"/>
      <c r="D51" s="20"/>
      <c r="E51" s="20"/>
      <c r="G51" s="20"/>
      <c r="H51" s="20"/>
      <c r="I51" s="20"/>
      <c r="J51" s="20"/>
      <c r="K51" s="20"/>
      <c r="L51" s="20"/>
      <c r="M51" s="20"/>
      <c r="N51" s="20"/>
      <c r="O51" s="20"/>
    </row>
    <row r="52" spans="1:15" s="18" customFormat="1" ht="9" customHeight="1" x14ac:dyDescent="0.25">
      <c r="A52" s="22" t="s">
        <v>23</v>
      </c>
      <c r="B52" s="23">
        <v>0</v>
      </c>
      <c r="C52" s="23"/>
      <c r="D52" s="23">
        <v>3</v>
      </c>
      <c r="E52" s="23"/>
      <c r="F52" s="25">
        <f t="shared" ref="F52:F84" si="3">SUM(G52:H52)</f>
        <v>8</v>
      </c>
      <c r="G52" s="23">
        <v>1</v>
      </c>
      <c r="H52" s="23">
        <v>7</v>
      </c>
      <c r="I52" s="23">
        <v>9</v>
      </c>
      <c r="J52" s="23">
        <f t="shared" ref="J52:J84" si="4">(D52+F52)-I52</f>
        <v>2</v>
      </c>
      <c r="K52" s="23"/>
      <c r="L52" s="23">
        <v>0</v>
      </c>
      <c r="M52" s="23">
        <v>0</v>
      </c>
      <c r="N52" s="23">
        <v>0</v>
      </c>
      <c r="O52" s="23">
        <f t="shared" ref="O52:O84" si="5">(L52+M52)-N52</f>
        <v>0</v>
      </c>
    </row>
    <row r="53" spans="1:15" s="18" customFormat="1" ht="9" customHeight="1" x14ac:dyDescent="0.25">
      <c r="A53" s="22" t="s">
        <v>24</v>
      </c>
      <c r="B53" s="23">
        <v>2</v>
      </c>
      <c r="C53" s="23"/>
      <c r="D53" s="23">
        <v>16</v>
      </c>
      <c r="E53" s="23"/>
      <c r="F53" s="25">
        <f t="shared" si="3"/>
        <v>22</v>
      </c>
      <c r="G53" s="23">
        <v>0</v>
      </c>
      <c r="H53" s="23">
        <v>22</v>
      </c>
      <c r="I53" s="23">
        <v>31</v>
      </c>
      <c r="J53" s="23">
        <f t="shared" si="4"/>
        <v>7</v>
      </c>
      <c r="K53" s="23"/>
      <c r="L53" s="23">
        <v>0</v>
      </c>
      <c r="M53" s="23">
        <v>3</v>
      </c>
      <c r="N53" s="23">
        <v>1</v>
      </c>
      <c r="O53" s="23">
        <f t="shared" si="5"/>
        <v>2</v>
      </c>
    </row>
    <row r="54" spans="1:15" s="18" customFormat="1" ht="9" customHeight="1" x14ac:dyDescent="0.25">
      <c r="A54" s="22" t="s">
        <v>25</v>
      </c>
      <c r="B54" s="23">
        <v>3</v>
      </c>
      <c r="C54" s="23"/>
      <c r="D54" s="23">
        <v>1</v>
      </c>
      <c r="E54" s="23"/>
      <c r="F54" s="25">
        <f t="shared" si="3"/>
        <v>4</v>
      </c>
      <c r="G54" s="23">
        <v>0</v>
      </c>
      <c r="H54" s="23">
        <v>4</v>
      </c>
      <c r="I54" s="23">
        <v>4</v>
      </c>
      <c r="J54" s="23">
        <f t="shared" si="4"/>
        <v>1</v>
      </c>
      <c r="K54" s="23"/>
      <c r="L54" s="23">
        <v>0</v>
      </c>
      <c r="M54" s="23">
        <v>1</v>
      </c>
      <c r="N54" s="23">
        <v>1</v>
      </c>
      <c r="O54" s="23">
        <f t="shared" si="5"/>
        <v>0</v>
      </c>
    </row>
    <row r="55" spans="1:15" s="18" customFormat="1" ht="9" customHeight="1" x14ac:dyDescent="0.25">
      <c r="A55" s="26" t="s">
        <v>26</v>
      </c>
      <c r="B55" s="27">
        <v>0</v>
      </c>
      <c r="C55" s="27"/>
      <c r="D55" s="27">
        <v>2</v>
      </c>
      <c r="E55" s="27"/>
      <c r="F55" s="29">
        <f t="shared" si="3"/>
        <v>5</v>
      </c>
      <c r="G55" s="27">
        <v>1</v>
      </c>
      <c r="H55" s="27">
        <v>4</v>
      </c>
      <c r="I55" s="27">
        <v>6</v>
      </c>
      <c r="J55" s="27">
        <f t="shared" si="4"/>
        <v>1</v>
      </c>
      <c r="K55" s="27"/>
      <c r="L55" s="27">
        <v>0</v>
      </c>
      <c r="M55" s="27">
        <v>0</v>
      </c>
      <c r="N55" s="27">
        <v>0</v>
      </c>
      <c r="O55" s="27">
        <f t="shared" si="5"/>
        <v>0</v>
      </c>
    </row>
    <row r="56" spans="1:15" s="18" customFormat="1" ht="9" customHeight="1" x14ac:dyDescent="0.25">
      <c r="A56" s="22" t="s">
        <v>27</v>
      </c>
      <c r="B56" s="23">
        <v>2</v>
      </c>
      <c r="C56" s="23"/>
      <c r="D56" s="23">
        <v>4</v>
      </c>
      <c r="E56" s="23"/>
      <c r="F56" s="25">
        <f t="shared" si="3"/>
        <v>7</v>
      </c>
      <c r="G56" s="23">
        <v>0</v>
      </c>
      <c r="H56" s="23">
        <v>7</v>
      </c>
      <c r="I56" s="23">
        <v>8</v>
      </c>
      <c r="J56" s="23">
        <f t="shared" si="4"/>
        <v>3</v>
      </c>
      <c r="K56" s="23"/>
      <c r="L56" s="23">
        <v>0</v>
      </c>
      <c r="M56" s="23">
        <v>0</v>
      </c>
      <c r="N56" s="23">
        <v>0</v>
      </c>
      <c r="O56" s="23">
        <f t="shared" si="5"/>
        <v>0</v>
      </c>
    </row>
    <row r="57" spans="1:15" s="18" customFormat="1" ht="9" customHeight="1" x14ac:dyDescent="0.25">
      <c r="A57" s="22" t="s">
        <v>28</v>
      </c>
      <c r="B57" s="23">
        <v>0</v>
      </c>
      <c r="C57" s="23"/>
      <c r="D57" s="23">
        <v>5</v>
      </c>
      <c r="E57" s="23"/>
      <c r="F57" s="25">
        <f t="shared" si="3"/>
        <v>7</v>
      </c>
      <c r="G57" s="23">
        <v>0</v>
      </c>
      <c r="H57" s="23">
        <v>7</v>
      </c>
      <c r="I57" s="23">
        <v>10</v>
      </c>
      <c r="J57" s="23">
        <f t="shared" si="4"/>
        <v>2</v>
      </c>
      <c r="K57" s="23"/>
      <c r="L57" s="23">
        <v>0</v>
      </c>
      <c r="M57" s="23">
        <v>0</v>
      </c>
      <c r="N57" s="23">
        <v>0</v>
      </c>
      <c r="O57" s="23">
        <f t="shared" si="5"/>
        <v>0</v>
      </c>
    </row>
    <row r="58" spans="1:15" s="18" customFormat="1" ht="9" customHeight="1" x14ac:dyDescent="0.25">
      <c r="A58" s="22" t="s">
        <v>29</v>
      </c>
      <c r="B58" s="23">
        <v>4</v>
      </c>
      <c r="C58" s="23"/>
      <c r="D58" s="23">
        <v>6</v>
      </c>
      <c r="E58" s="23"/>
      <c r="F58" s="25">
        <f t="shared" si="3"/>
        <v>21</v>
      </c>
      <c r="G58" s="23">
        <v>1</v>
      </c>
      <c r="H58" s="23">
        <v>20</v>
      </c>
      <c r="I58" s="23">
        <v>20</v>
      </c>
      <c r="J58" s="23">
        <f t="shared" si="4"/>
        <v>7</v>
      </c>
      <c r="K58" s="23"/>
      <c r="L58" s="23">
        <v>0</v>
      </c>
      <c r="M58" s="23">
        <v>2</v>
      </c>
      <c r="N58" s="23">
        <v>0</v>
      </c>
      <c r="O58" s="23">
        <f t="shared" si="5"/>
        <v>2</v>
      </c>
    </row>
    <row r="59" spans="1:15" s="18" customFormat="1" ht="9" customHeight="1" x14ac:dyDescent="0.25">
      <c r="A59" s="26" t="s">
        <v>30</v>
      </c>
      <c r="B59" s="27">
        <v>0</v>
      </c>
      <c r="C59" s="27"/>
      <c r="D59" s="27">
        <v>8</v>
      </c>
      <c r="E59" s="27"/>
      <c r="F59" s="29">
        <f t="shared" si="3"/>
        <v>13</v>
      </c>
      <c r="G59" s="27">
        <v>0</v>
      </c>
      <c r="H59" s="27">
        <v>13</v>
      </c>
      <c r="I59" s="27">
        <v>18</v>
      </c>
      <c r="J59" s="27">
        <f t="shared" si="4"/>
        <v>3</v>
      </c>
      <c r="K59" s="27"/>
      <c r="L59" s="27">
        <v>0</v>
      </c>
      <c r="M59" s="27">
        <v>1</v>
      </c>
      <c r="N59" s="27">
        <v>1</v>
      </c>
      <c r="O59" s="27">
        <f t="shared" si="5"/>
        <v>0</v>
      </c>
    </row>
    <row r="60" spans="1:15" s="18" customFormat="1" ht="9" customHeight="1" x14ac:dyDescent="0.25">
      <c r="A60" s="22" t="s">
        <v>63</v>
      </c>
      <c r="B60" s="23">
        <v>761</v>
      </c>
      <c r="C60" s="23"/>
      <c r="D60" s="23">
        <v>207</v>
      </c>
      <c r="E60" s="23"/>
      <c r="F60" s="25">
        <f t="shared" si="3"/>
        <v>914</v>
      </c>
      <c r="G60" s="23">
        <v>239</v>
      </c>
      <c r="H60" s="23">
        <v>675</v>
      </c>
      <c r="I60" s="23">
        <v>971</v>
      </c>
      <c r="J60" s="23">
        <f t="shared" si="4"/>
        <v>150</v>
      </c>
      <c r="K60" s="23"/>
      <c r="L60" s="23">
        <v>23</v>
      </c>
      <c r="M60" s="23">
        <v>81</v>
      </c>
      <c r="N60" s="23">
        <v>82</v>
      </c>
      <c r="O60" s="23">
        <f t="shared" si="5"/>
        <v>22</v>
      </c>
    </row>
    <row r="61" spans="1:15" s="18" customFormat="1" ht="9" customHeight="1" x14ac:dyDescent="0.25">
      <c r="A61" s="22" t="s">
        <v>31</v>
      </c>
      <c r="B61" s="23">
        <v>0</v>
      </c>
      <c r="C61" s="23"/>
      <c r="D61" s="23">
        <v>8</v>
      </c>
      <c r="E61" s="23"/>
      <c r="F61" s="25">
        <f t="shared" si="3"/>
        <v>7</v>
      </c>
      <c r="G61" s="23">
        <v>0</v>
      </c>
      <c r="H61" s="23">
        <v>7</v>
      </c>
      <c r="I61" s="23">
        <v>14</v>
      </c>
      <c r="J61" s="23">
        <f t="shared" si="4"/>
        <v>1</v>
      </c>
      <c r="K61" s="23"/>
      <c r="L61" s="23">
        <v>0</v>
      </c>
      <c r="M61" s="23">
        <v>2</v>
      </c>
      <c r="N61" s="23">
        <v>2</v>
      </c>
      <c r="O61" s="23">
        <f t="shared" si="5"/>
        <v>0</v>
      </c>
    </row>
    <row r="62" spans="1:15" s="18" customFormat="1" ht="9" customHeight="1" x14ac:dyDescent="0.25">
      <c r="A62" s="22" t="s">
        <v>32</v>
      </c>
      <c r="B62" s="23">
        <v>9</v>
      </c>
      <c r="C62" s="23"/>
      <c r="D62" s="23">
        <v>29</v>
      </c>
      <c r="E62" s="23"/>
      <c r="F62" s="25">
        <f t="shared" si="3"/>
        <v>45</v>
      </c>
      <c r="G62" s="23">
        <v>2</v>
      </c>
      <c r="H62" s="23">
        <v>43</v>
      </c>
      <c r="I62" s="23">
        <v>62</v>
      </c>
      <c r="J62" s="23">
        <f t="shared" si="4"/>
        <v>12</v>
      </c>
      <c r="K62" s="23"/>
      <c r="L62" s="23">
        <v>0</v>
      </c>
      <c r="M62" s="23">
        <v>2</v>
      </c>
      <c r="N62" s="23">
        <v>2</v>
      </c>
      <c r="O62" s="23">
        <f t="shared" si="5"/>
        <v>0</v>
      </c>
    </row>
    <row r="63" spans="1:15" s="18" customFormat="1" ht="9" customHeight="1" x14ac:dyDescent="0.25">
      <c r="A63" s="26" t="s">
        <v>33</v>
      </c>
      <c r="B63" s="27">
        <v>6</v>
      </c>
      <c r="C63" s="27"/>
      <c r="D63" s="27">
        <v>12</v>
      </c>
      <c r="E63" s="27"/>
      <c r="F63" s="29">
        <f t="shared" si="3"/>
        <v>14</v>
      </c>
      <c r="G63" s="27">
        <v>1</v>
      </c>
      <c r="H63" s="27">
        <v>13</v>
      </c>
      <c r="I63" s="27">
        <v>24</v>
      </c>
      <c r="J63" s="27">
        <f t="shared" si="4"/>
        <v>2</v>
      </c>
      <c r="K63" s="27"/>
      <c r="L63" s="27">
        <v>2</v>
      </c>
      <c r="M63" s="27">
        <v>1</v>
      </c>
      <c r="N63" s="27">
        <v>1</v>
      </c>
      <c r="O63" s="27">
        <f t="shared" si="5"/>
        <v>2</v>
      </c>
    </row>
    <row r="64" spans="1:15" s="18" customFormat="1" ht="9" customHeight="1" x14ac:dyDescent="0.25">
      <c r="A64" s="22" t="s">
        <v>34</v>
      </c>
      <c r="B64" s="23">
        <v>9</v>
      </c>
      <c r="C64" s="23"/>
      <c r="D64" s="23">
        <v>12</v>
      </c>
      <c r="E64" s="23"/>
      <c r="F64" s="25">
        <f t="shared" si="3"/>
        <v>20</v>
      </c>
      <c r="G64" s="23">
        <v>0</v>
      </c>
      <c r="H64" s="23">
        <v>20</v>
      </c>
      <c r="I64" s="23">
        <v>22</v>
      </c>
      <c r="J64" s="23">
        <f t="shared" si="4"/>
        <v>10</v>
      </c>
      <c r="K64" s="23"/>
      <c r="L64" s="23">
        <v>1</v>
      </c>
      <c r="M64" s="23">
        <v>1</v>
      </c>
      <c r="N64" s="23">
        <v>2</v>
      </c>
      <c r="O64" s="23">
        <f t="shared" si="5"/>
        <v>0</v>
      </c>
    </row>
    <row r="65" spans="1:15" s="18" customFormat="1" ht="9" customHeight="1" x14ac:dyDescent="0.25">
      <c r="A65" s="22" t="s">
        <v>35</v>
      </c>
      <c r="B65" s="23">
        <v>6</v>
      </c>
      <c r="C65" s="23"/>
      <c r="D65" s="23">
        <v>28</v>
      </c>
      <c r="E65" s="23"/>
      <c r="F65" s="25">
        <f t="shared" si="3"/>
        <v>35</v>
      </c>
      <c r="G65" s="23">
        <v>0</v>
      </c>
      <c r="H65" s="23">
        <v>35</v>
      </c>
      <c r="I65" s="23">
        <v>50</v>
      </c>
      <c r="J65" s="23">
        <f t="shared" si="4"/>
        <v>13</v>
      </c>
      <c r="K65" s="23"/>
      <c r="L65" s="23">
        <v>0</v>
      </c>
      <c r="M65" s="23">
        <v>2</v>
      </c>
      <c r="N65" s="23">
        <v>1</v>
      </c>
      <c r="O65" s="23">
        <f t="shared" si="5"/>
        <v>1</v>
      </c>
    </row>
    <row r="66" spans="1:15" s="18" customFormat="1" ht="9" customHeight="1" x14ac:dyDescent="0.25">
      <c r="A66" s="22" t="s">
        <v>36</v>
      </c>
      <c r="B66" s="23">
        <v>293</v>
      </c>
      <c r="C66" s="23"/>
      <c r="D66" s="23">
        <v>99</v>
      </c>
      <c r="E66" s="23"/>
      <c r="F66" s="25">
        <f t="shared" si="3"/>
        <v>363</v>
      </c>
      <c r="G66" s="23">
        <v>102</v>
      </c>
      <c r="H66" s="23">
        <v>261</v>
      </c>
      <c r="I66" s="23">
        <v>382</v>
      </c>
      <c r="J66" s="23">
        <f t="shared" si="4"/>
        <v>80</v>
      </c>
      <c r="K66" s="23"/>
      <c r="L66" s="23">
        <v>1</v>
      </c>
      <c r="M66" s="23">
        <v>19</v>
      </c>
      <c r="N66" s="23">
        <v>15</v>
      </c>
      <c r="O66" s="23">
        <f t="shared" si="5"/>
        <v>5</v>
      </c>
    </row>
    <row r="67" spans="1:15" s="18" customFormat="1" ht="9" customHeight="1" x14ac:dyDescent="0.25">
      <c r="A67" s="26" t="s">
        <v>37</v>
      </c>
      <c r="B67" s="27">
        <v>7</v>
      </c>
      <c r="C67" s="27"/>
      <c r="D67" s="27">
        <v>18</v>
      </c>
      <c r="E67" s="27"/>
      <c r="F67" s="29">
        <f t="shared" si="3"/>
        <v>19</v>
      </c>
      <c r="G67" s="27">
        <v>1</v>
      </c>
      <c r="H67" s="27">
        <v>18</v>
      </c>
      <c r="I67" s="27">
        <v>29</v>
      </c>
      <c r="J67" s="27">
        <f t="shared" si="4"/>
        <v>8</v>
      </c>
      <c r="K67" s="27"/>
      <c r="L67" s="27">
        <v>0</v>
      </c>
      <c r="M67" s="27">
        <v>1</v>
      </c>
      <c r="N67" s="27">
        <v>0</v>
      </c>
      <c r="O67" s="27">
        <f t="shared" si="5"/>
        <v>1</v>
      </c>
    </row>
    <row r="68" spans="1:15" s="18" customFormat="1" ht="9" customHeight="1" x14ac:dyDescent="0.25">
      <c r="A68" s="22" t="s">
        <v>38</v>
      </c>
      <c r="B68" s="23">
        <v>10</v>
      </c>
      <c r="C68" s="23"/>
      <c r="D68" s="23">
        <v>5</v>
      </c>
      <c r="E68" s="23"/>
      <c r="F68" s="25">
        <f t="shared" si="3"/>
        <v>9</v>
      </c>
      <c r="G68" s="23">
        <v>1</v>
      </c>
      <c r="H68" s="23">
        <v>8</v>
      </c>
      <c r="I68" s="23">
        <v>10</v>
      </c>
      <c r="J68" s="23">
        <f t="shared" si="4"/>
        <v>4</v>
      </c>
      <c r="K68" s="23"/>
      <c r="L68" s="23">
        <v>1</v>
      </c>
      <c r="M68" s="23">
        <v>5</v>
      </c>
      <c r="N68" s="23">
        <v>5</v>
      </c>
      <c r="O68" s="23">
        <f t="shared" si="5"/>
        <v>1</v>
      </c>
    </row>
    <row r="69" spans="1:15" s="18" customFormat="1" ht="9" customHeight="1" x14ac:dyDescent="0.25">
      <c r="A69" s="22" t="s">
        <v>39</v>
      </c>
      <c r="B69" s="23">
        <v>1</v>
      </c>
      <c r="C69" s="23"/>
      <c r="D69" s="23">
        <v>0</v>
      </c>
      <c r="E69" s="23"/>
      <c r="F69" s="25">
        <f t="shared" si="3"/>
        <v>0</v>
      </c>
      <c r="G69" s="23">
        <v>0</v>
      </c>
      <c r="H69" s="23">
        <v>0</v>
      </c>
      <c r="I69" s="23">
        <v>0</v>
      </c>
      <c r="J69" s="23">
        <f t="shared" si="4"/>
        <v>0</v>
      </c>
      <c r="K69" s="23"/>
      <c r="L69" s="23">
        <v>0</v>
      </c>
      <c r="M69" s="23">
        <v>1</v>
      </c>
      <c r="N69" s="23">
        <v>1</v>
      </c>
      <c r="O69" s="23">
        <f t="shared" si="5"/>
        <v>0</v>
      </c>
    </row>
    <row r="70" spans="1:15" s="18" customFormat="1" ht="9" customHeight="1" x14ac:dyDescent="0.25">
      <c r="A70" s="22" t="s">
        <v>40</v>
      </c>
      <c r="B70" s="23">
        <v>2</v>
      </c>
      <c r="C70" s="23"/>
      <c r="D70" s="23">
        <v>8</v>
      </c>
      <c r="E70" s="23"/>
      <c r="F70" s="25">
        <f t="shared" si="3"/>
        <v>15</v>
      </c>
      <c r="G70" s="23">
        <v>1</v>
      </c>
      <c r="H70" s="23">
        <v>14</v>
      </c>
      <c r="I70" s="23">
        <v>21</v>
      </c>
      <c r="J70" s="23">
        <f t="shared" si="4"/>
        <v>2</v>
      </c>
      <c r="K70" s="23"/>
      <c r="L70" s="23">
        <v>0</v>
      </c>
      <c r="M70" s="23">
        <v>0</v>
      </c>
      <c r="N70" s="23">
        <v>0</v>
      </c>
      <c r="O70" s="23">
        <f t="shared" si="5"/>
        <v>0</v>
      </c>
    </row>
    <row r="71" spans="1:15" s="18" customFormat="1" ht="9" customHeight="1" x14ac:dyDescent="0.25">
      <c r="A71" s="26" t="s">
        <v>41</v>
      </c>
      <c r="B71" s="27">
        <v>9</v>
      </c>
      <c r="C71" s="27"/>
      <c r="D71" s="27">
        <v>7</v>
      </c>
      <c r="E71" s="27"/>
      <c r="F71" s="29">
        <f t="shared" si="3"/>
        <v>18</v>
      </c>
      <c r="G71" s="27">
        <v>0</v>
      </c>
      <c r="H71" s="27">
        <v>18</v>
      </c>
      <c r="I71" s="27">
        <v>22</v>
      </c>
      <c r="J71" s="27">
        <f t="shared" si="4"/>
        <v>3</v>
      </c>
      <c r="K71" s="27"/>
      <c r="L71" s="27">
        <v>1</v>
      </c>
      <c r="M71" s="27">
        <v>2</v>
      </c>
      <c r="N71" s="27">
        <v>2</v>
      </c>
      <c r="O71" s="27">
        <f t="shared" si="5"/>
        <v>1</v>
      </c>
    </row>
    <row r="72" spans="1:15" s="18" customFormat="1" ht="9" customHeight="1" x14ac:dyDescent="0.25">
      <c r="A72" s="22" t="s">
        <v>42</v>
      </c>
      <c r="B72" s="23">
        <v>9</v>
      </c>
      <c r="C72" s="23"/>
      <c r="D72" s="23">
        <v>13</v>
      </c>
      <c r="E72" s="23"/>
      <c r="F72" s="25">
        <f t="shared" si="3"/>
        <v>19</v>
      </c>
      <c r="G72" s="23">
        <v>1</v>
      </c>
      <c r="H72" s="23">
        <v>18</v>
      </c>
      <c r="I72" s="23">
        <v>30</v>
      </c>
      <c r="J72" s="23">
        <f t="shared" si="4"/>
        <v>2</v>
      </c>
      <c r="K72" s="23"/>
      <c r="L72" s="23">
        <v>5</v>
      </c>
      <c r="M72" s="23">
        <v>6</v>
      </c>
      <c r="N72" s="23">
        <v>9</v>
      </c>
      <c r="O72" s="23">
        <f t="shared" si="5"/>
        <v>2</v>
      </c>
    </row>
    <row r="73" spans="1:15" s="18" customFormat="1" ht="9" customHeight="1" x14ac:dyDescent="0.25">
      <c r="A73" s="22" t="s">
        <v>43</v>
      </c>
      <c r="B73" s="23">
        <v>6</v>
      </c>
      <c r="C73" s="23"/>
      <c r="D73" s="23">
        <v>12</v>
      </c>
      <c r="E73" s="23"/>
      <c r="F73" s="25">
        <f t="shared" si="3"/>
        <v>26</v>
      </c>
      <c r="G73" s="23">
        <v>0</v>
      </c>
      <c r="H73" s="23">
        <v>26</v>
      </c>
      <c r="I73" s="23">
        <v>30</v>
      </c>
      <c r="J73" s="23">
        <f t="shared" si="4"/>
        <v>8</v>
      </c>
      <c r="K73" s="23"/>
      <c r="L73" s="23">
        <v>0</v>
      </c>
      <c r="M73" s="23">
        <v>2</v>
      </c>
      <c r="N73" s="23">
        <v>1</v>
      </c>
      <c r="O73" s="23">
        <f t="shared" si="5"/>
        <v>1</v>
      </c>
    </row>
    <row r="74" spans="1:15" s="18" customFormat="1" ht="9" customHeight="1" x14ac:dyDescent="0.25">
      <c r="A74" s="22" t="s">
        <v>44</v>
      </c>
      <c r="B74" s="23">
        <v>3</v>
      </c>
      <c r="C74" s="23"/>
      <c r="D74" s="23">
        <v>3</v>
      </c>
      <c r="E74" s="23"/>
      <c r="F74" s="25">
        <f t="shared" si="3"/>
        <v>6</v>
      </c>
      <c r="G74" s="23">
        <v>0</v>
      </c>
      <c r="H74" s="23">
        <v>6</v>
      </c>
      <c r="I74" s="23">
        <v>4</v>
      </c>
      <c r="J74" s="23">
        <f t="shared" si="4"/>
        <v>5</v>
      </c>
      <c r="K74" s="23"/>
      <c r="L74" s="23">
        <v>0</v>
      </c>
      <c r="M74" s="23">
        <v>3</v>
      </c>
      <c r="N74" s="23">
        <v>2</v>
      </c>
      <c r="O74" s="23">
        <f t="shared" si="5"/>
        <v>1</v>
      </c>
    </row>
    <row r="75" spans="1:15" s="18" customFormat="1" ht="9" customHeight="1" x14ac:dyDescent="0.25">
      <c r="A75" s="26" t="s">
        <v>45</v>
      </c>
      <c r="B75" s="27">
        <v>1</v>
      </c>
      <c r="C75" s="27"/>
      <c r="D75" s="27">
        <v>9</v>
      </c>
      <c r="E75" s="27"/>
      <c r="F75" s="29">
        <f t="shared" si="3"/>
        <v>17</v>
      </c>
      <c r="G75" s="27">
        <v>0</v>
      </c>
      <c r="H75" s="27">
        <v>17</v>
      </c>
      <c r="I75" s="27">
        <v>18</v>
      </c>
      <c r="J75" s="27">
        <f t="shared" si="4"/>
        <v>8</v>
      </c>
      <c r="K75" s="27"/>
      <c r="L75" s="27">
        <v>0</v>
      </c>
      <c r="M75" s="27">
        <v>1</v>
      </c>
      <c r="N75" s="27">
        <v>1</v>
      </c>
      <c r="O75" s="27">
        <f t="shared" si="5"/>
        <v>0</v>
      </c>
    </row>
    <row r="76" spans="1:15" s="18" customFormat="1" ht="9" customHeight="1" x14ac:dyDescent="0.25">
      <c r="A76" s="22" t="s">
        <v>46</v>
      </c>
      <c r="B76" s="23">
        <v>4</v>
      </c>
      <c r="C76" s="23"/>
      <c r="D76" s="23">
        <v>6</v>
      </c>
      <c r="E76" s="23"/>
      <c r="F76" s="25">
        <f t="shared" si="3"/>
        <v>5</v>
      </c>
      <c r="G76" s="23">
        <v>0</v>
      </c>
      <c r="H76" s="23">
        <v>5</v>
      </c>
      <c r="I76" s="23">
        <v>10</v>
      </c>
      <c r="J76" s="23">
        <f t="shared" si="4"/>
        <v>1</v>
      </c>
      <c r="K76" s="23"/>
      <c r="L76" s="23">
        <v>0</v>
      </c>
      <c r="M76" s="23">
        <v>2</v>
      </c>
      <c r="N76" s="23">
        <v>2</v>
      </c>
      <c r="O76" s="23">
        <f t="shared" si="5"/>
        <v>0</v>
      </c>
    </row>
    <row r="77" spans="1:15" s="18" customFormat="1" ht="9" customHeight="1" x14ac:dyDescent="0.25">
      <c r="A77" s="22" t="s">
        <v>47</v>
      </c>
      <c r="B77" s="23">
        <v>1</v>
      </c>
      <c r="C77" s="23"/>
      <c r="D77" s="23">
        <v>9</v>
      </c>
      <c r="E77" s="23"/>
      <c r="F77" s="25">
        <f t="shared" si="3"/>
        <v>10</v>
      </c>
      <c r="G77" s="23">
        <v>0</v>
      </c>
      <c r="H77" s="23">
        <v>10</v>
      </c>
      <c r="I77" s="23">
        <v>16</v>
      </c>
      <c r="J77" s="23">
        <f t="shared" si="4"/>
        <v>3</v>
      </c>
      <c r="K77" s="23"/>
      <c r="L77" s="23">
        <v>0</v>
      </c>
      <c r="M77" s="23">
        <v>0</v>
      </c>
      <c r="N77" s="23">
        <v>0</v>
      </c>
      <c r="O77" s="23">
        <f t="shared" si="5"/>
        <v>0</v>
      </c>
    </row>
    <row r="78" spans="1:15" s="18" customFormat="1" ht="9" customHeight="1" x14ac:dyDescent="0.25">
      <c r="A78" s="22" t="s">
        <v>48</v>
      </c>
      <c r="B78" s="23">
        <v>1</v>
      </c>
      <c r="C78" s="23"/>
      <c r="D78" s="23">
        <v>2</v>
      </c>
      <c r="E78" s="23"/>
      <c r="F78" s="25">
        <f t="shared" si="3"/>
        <v>8</v>
      </c>
      <c r="G78" s="23">
        <v>0</v>
      </c>
      <c r="H78" s="23">
        <v>8</v>
      </c>
      <c r="I78" s="23">
        <v>6</v>
      </c>
      <c r="J78" s="23">
        <f t="shared" si="4"/>
        <v>4</v>
      </c>
      <c r="K78" s="23"/>
      <c r="L78" s="23">
        <v>2</v>
      </c>
      <c r="M78" s="23">
        <v>2</v>
      </c>
      <c r="N78" s="23">
        <v>3</v>
      </c>
      <c r="O78" s="23">
        <f t="shared" si="5"/>
        <v>1</v>
      </c>
    </row>
    <row r="79" spans="1:15" s="18" customFormat="1" ht="9" customHeight="1" x14ac:dyDescent="0.25">
      <c r="A79" s="26" t="s">
        <v>49</v>
      </c>
      <c r="B79" s="27">
        <v>2</v>
      </c>
      <c r="C79" s="27"/>
      <c r="D79" s="27">
        <v>8</v>
      </c>
      <c r="E79" s="27"/>
      <c r="F79" s="29">
        <f t="shared" si="3"/>
        <v>16</v>
      </c>
      <c r="G79" s="27">
        <v>0</v>
      </c>
      <c r="H79" s="27">
        <v>16</v>
      </c>
      <c r="I79" s="27">
        <v>18</v>
      </c>
      <c r="J79" s="27">
        <f t="shared" si="4"/>
        <v>6</v>
      </c>
      <c r="K79" s="27"/>
      <c r="L79" s="27">
        <v>0</v>
      </c>
      <c r="M79" s="27">
        <v>1</v>
      </c>
      <c r="N79" s="27">
        <v>1</v>
      </c>
      <c r="O79" s="27">
        <f t="shared" si="5"/>
        <v>0</v>
      </c>
    </row>
    <row r="80" spans="1:15" s="18" customFormat="1" ht="9" customHeight="1" x14ac:dyDescent="0.25">
      <c r="A80" s="22" t="s">
        <v>50</v>
      </c>
      <c r="B80" s="23">
        <v>2</v>
      </c>
      <c r="C80" s="23"/>
      <c r="D80" s="23">
        <v>2</v>
      </c>
      <c r="E80" s="23"/>
      <c r="F80" s="25">
        <f t="shared" si="3"/>
        <v>3</v>
      </c>
      <c r="G80" s="23">
        <v>0</v>
      </c>
      <c r="H80" s="23">
        <v>3</v>
      </c>
      <c r="I80" s="23">
        <v>4</v>
      </c>
      <c r="J80" s="23">
        <f t="shared" si="4"/>
        <v>1</v>
      </c>
      <c r="K80" s="23"/>
      <c r="L80" s="23">
        <v>0</v>
      </c>
      <c r="M80" s="23">
        <v>1</v>
      </c>
      <c r="N80" s="23">
        <v>1</v>
      </c>
      <c r="O80" s="23">
        <f t="shared" si="5"/>
        <v>0</v>
      </c>
    </row>
    <row r="81" spans="1:16" s="18" customFormat="1" ht="9" customHeight="1" x14ac:dyDescent="0.25">
      <c r="A81" s="22" t="s">
        <v>51</v>
      </c>
      <c r="B81" s="23">
        <v>10</v>
      </c>
      <c r="C81" s="23"/>
      <c r="D81" s="23">
        <v>19</v>
      </c>
      <c r="E81" s="23"/>
      <c r="F81" s="25">
        <f t="shared" si="3"/>
        <v>35</v>
      </c>
      <c r="G81" s="23">
        <v>1</v>
      </c>
      <c r="H81" s="23">
        <v>34</v>
      </c>
      <c r="I81" s="23">
        <v>42</v>
      </c>
      <c r="J81" s="23">
        <f t="shared" si="4"/>
        <v>12</v>
      </c>
      <c r="K81" s="23"/>
      <c r="L81" s="23">
        <v>0</v>
      </c>
      <c r="M81" s="23">
        <v>4</v>
      </c>
      <c r="N81" s="23">
        <v>2</v>
      </c>
      <c r="O81" s="23">
        <f t="shared" si="5"/>
        <v>2</v>
      </c>
    </row>
    <row r="82" spans="1:16" s="18" customFormat="1" ht="9" customHeight="1" x14ac:dyDescent="0.25">
      <c r="A82" s="22" t="s">
        <v>52</v>
      </c>
      <c r="B82" s="23">
        <v>3</v>
      </c>
      <c r="C82" s="23"/>
      <c r="D82" s="23">
        <v>1</v>
      </c>
      <c r="E82" s="23"/>
      <c r="F82" s="25">
        <f t="shared" si="3"/>
        <v>6</v>
      </c>
      <c r="G82" s="23">
        <v>0</v>
      </c>
      <c r="H82" s="23">
        <v>6</v>
      </c>
      <c r="I82" s="23">
        <v>2</v>
      </c>
      <c r="J82" s="23">
        <f t="shared" si="4"/>
        <v>5</v>
      </c>
      <c r="K82" s="23"/>
      <c r="L82" s="23">
        <v>0</v>
      </c>
      <c r="M82" s="23">
        <v>0</v>
      </c>
      <c r="N82" s="23">
        <v>0</v>
      </c>
      <c r="O82" s="23">
        <f t="shared" si="5"/>
        <v>0</v>
      </c>
    </row>
    <row r="83" spans="1:16" s="18" customFormat="1" ht="9" customHeight="1" x14ac:dyDescent="0.25">
      <c r="A83" s="26" t="s">
        <v>53</v>
      </c>
      <c r="B83" s="27">
        <v>0</v>
      </c>
      <c r="C83" s="27"/>
      <c r="D83" s="27">
        <v>3</v>
      </c>
      <c r="E83" s="27"/>
      <c r="F83" s="29">
        <f t="shared" si="3"/>
        <v>2</v>
      </c>
      <c r="G83" s="27">
        <v>0</v>
      </c>
      <c r="H83" s="27">
        <v>2</v>
      </c>
      <c r="I83" s="27">
        <v>5</v>
      </c>
      <c r="J83" s="27">
        <f t="shared" si="4"/>
        <v>0</v>
      </c>
      <c r="K83" s="27"/>
      <c r="L83" s="27">
        <v>0</v>
      </c>
      <c r="M83" s="27">
        <v>0</v>
      </c>
      <c r="N83" s="27">
        <v>0</v>
      </c>
      <c r="O83" s="27">
        <f t="shared" si="5"/>
        <v>0</v>
      </c>
    </row>
    <row r="84" spans="1:16" s="18" customFormat="1" ht="9" customHeight="1" x14ac:dyDescent="0.25">
      <c r="A84" s="22" t="s">
        <v>54</v>
      </c>
      <c r="B84" s="23">
        <v>769</v>
      </c>
      <c r="C84" s="23"/>
      <c r="D84" s="23">
        <v>0</v>
      </c>
      <c r="E84" s="23"/>
      <c r="F84" s="25">
        <f t="shared" si="3"/>
        <v>0</v>
      </c>
      <c r="G84" s="23">
        <v>0</v>
      </c>
      <c r="H84" s="23">
        <v>0</v>
      </c>
      <c r="I84" s="23">
        <v>0</v>
      </c>
      <c r="J84" s="23">
        <f t="shared" si="4"/>
        <v>0</v>
      </c>
      <c r="K84" s="23"/>
      <c r="L84" s="23">
        <v>0</v>
      </c>
      <c r="M84" s="23">
        <v>0</v>
      </c>
      <c r="N84" s="23">
        <v>0</v>
      </c>
      <c r="O84" s="23">
        <f t="shared" si="5"/>
        <v>0</v>
      </c>
    </row>
    <row r="85" spans="1:16" s="18" customFormat="1" ht="9" customHeight="1" x14ac:dyDescent="0.25">
      <c r="A85" s="22"/>
      <c r="B85" s="23"/>
      <c r="C85" s="23"/>
      <c r="D85" s="23"/>
      <c r="E85" s="23"/>
      <c r="G85" s="23"/>
      <c r="H85" s="23"/>
      <c r="I85" s="23"/>
      <c r="J85" s="23"/>
      <c r="K85" s="23"/>
      <c r="L85" s="23"/>
      <c r="M85" s="23"/>
      <c r="N85" s="23"/>
      <c r="O85" s="23"/>
    </row>
    <row r="86" spans="1:16" s="18" customFormat="1" ht="9" customHeight="1" x14ac:dyDescent="0.25">
      <c r="A86" s="16">
        <v>1998</v>
      </c>
      <c r="B86" s="17"/>
      <c r="C86" s="17"/>
      <c r="D86" s="17"/>
      <c r="E86" s="17"/>
      <c r="G86" s="17"/>
      <c r="H86" s="17"/>
      <c r="I86" s="17"/>
      <c r="J86" s="17"/>
      <c r="K86" s="17"/>
      <c r="L86" s="17"/>
      <c r="M86" s="17"/>
      <c r="N86" s="17"/>
      <c r="O86" s="17"/>
      <c r="P86" s="30"/>
    </row>
    <row r="87" spans="1:16" s="18" customFormat="1" ht="9" customHeight="1" x14ac:dyDescent="0.25">
      <c r="A87" s="19" t="s">
        <v>21</v>
      </c>
      <c r="B87" s="20">
        <f>SUM(B89:B121)</f>
        <v>2017</v>
      </c>
      <c r="C87" s="20"/>
      <c r="D87" s="20">
        <f>SUM(D89:D121)</f>
        <v>366</v>
      </c>
      <c r="E87" s="20"/>
      <c r="F87" s="20">
        <f>SUM(F89:F121)</f>
        <v>1962</v>
      </c>
      <c r="G87" s="20">
        <f>SUM(G89:G121)</f>
        <v>468</v>
      </c>
      <c r="H87" s="20">
        <f>SUM(H89:H121)</f>
        <v>1494</v>
      </c>
      <c r="I87" s="20">
        <f>SUM(I89:I121)</f>
        <v>1907</v>
      </c>
      <c r="J87" s="20">
        <f>SUM(J89:J121)</f>
        <v>421</v>
      </c>
      <c r="K87" s="20"/>
      <c r="L87" s="20">
        <f>SUM(L89:L121)</f>
        <v>44</v>
      </c>
      <c r="M87" s="20">
        <f>SUM(M89:M121)</f>
        <v>414</v>
      </c>
      <c r="N87" s="20">
        <f>SUM(N89:N121)</f>
        <v>275</v>
      </c>
      <c r="O87" s="20">
        <f>SUM(O89:O121)+3</f>
        <v>186</v>
      </c>
      <c r="P87" s="20"/>
    </row>
    <row r="88" spans="1:16" s="18" customFormat="1" ht="3" customHeight="1" x14ac:dyDescent="0.25">
      <c r="A88" s="19"/>
      <c r="B88" s="20"/>
      <c r="C88" s="20"/>
      <c r="D88" s="20"/>
      <c r="E88" s="20"/>
      <c r="G88" s="20"/>
      <c r="H88" s="20"/>
      <c r="I88" s="20"/>
      <c r="J88" s="20"/>
      <c r="K88" s="20"/>
      <c r="L88" s="20"/>
      <c r="M88" s="20"/>
      <c r="N88" s="20"/>
      <c r="O88" s="20"/>
    </row>
    <row r="89" spans="1:16" s="18" customFormat="1" ht="9" customHeight="1" x14ac:dyDescent="0.25">
      <c r="A89" s="22" t="s">
        <v>23</v>
      </c>
      <c r="B89" s="23">
        <v>2</v>
      </c>
      <c r="C89" s="23"/>
      <c r="D89" s="23">
        <v>2</v>
      </c>
      <c r="E89" s="23"/>
      <c r="F89" s="25">
        <f t="shared" ref="F89:F121" si="6">SUM(G89:H89)</f>
        <v>9</v>
      </c>
      <c r="G89" s="23">
        <v>0</v>
      </c>
      <c r="H89" s="23">
        <v>9</v>
      </c>
      <c r="I89" s="23">
        <v>9</v>
      </c>
      <c r="J89" s="23">
        <f t="shared" ref="J89:J121" si="7">(D89+F89)-I89</f>
        <v>2</v>
      </c>
      <c r="K89" s="23"/>
      <c r="L89" s="23">
        <v>0</v>
      </c>
      <c r="M89" s="23">
        <v>0</v>
      </c>
      <c r="N89" s="23">
        <v>0</v>
      </c>
      <c r="O89" s="23">
        <f t="shared" ref="O89:O121" si="8">(L89+M89)-N89</f>
        <v>0</v>
      </c>
    </row>
    <row r="90" spans="1:16" s="18" customFormat="1" ht="9" customHeight="1" x14ac:dyDescent="0.25">
      <c r="A90" s="22" t="s">
        <v>24</v>
      </c>
      <c r="B90" s="23">
        <v>7</v>
      </c>
      <c r="C90" s="23"/>
      <c r="D90" s="23">
        <v>7</v>
      </c>
      <c r="E90" s="23"/>
      <c r="F90" s="25">
        <f t="shared" si="6"/>
        <v>20</v>
      </c>
      <c r="G90" s="23">
        <v>2</v>
      </c>
      <c r="H90" s="23">
        <v>18</v>
      </c>
      <c r="I90" s="23">
        <v>23</v>
      </c>
      <c r="J90" s="23">
        <f t="shared" si="7"/>
        <v>4</v>
      </c>
      <c r="K90" s="23"/>
      <c r="L90" s="23">
        <v>2</v>
      </c>
      <c r="M90" s="23">
        <v>5</v>
      </c>
      <c r="N90" s="23">
        <v>3</v>
      </c>
      <c r="O90" s="23">
        <f t="shared" si="8"/>
        <v>4</v>
      </c>
    </row>
    <row r="91" spans="1:16" s="18" customFormat="1" ht="9" customHeight="1" x14ac:dyDescent="0.25">
      <c r="A91" s="22" t="s">
        <v>25</v>
      </c>
      <c r="B91" s="23">
        <v>1</v>
      </c>
      <c r="C91" s="23"/>
      <c r="D91" s="23">
        <v>1</v>
      </c>
      <c r="E91" s="23"/>
      <c r="F91" s="25">
        <f t="shared" si="6"/>
        <v>1</v>
      </c>
      <c r="G91" s="23">
        <v>0</v>
      </c>
      <c r="H91" s="23">
        <v>1</v>
      </c>
      <c r="I91" s="23">
        <v>2</v>
      </c>
      <c r="J91" s="23">
        <f t="shared" si="7"/>
        <v>0</v>
      </c>
      <c r="K91" s="23"/>
      <c r="L91" s="23">
        <v>0</v>
      </c>
      <c r="M91" s="23">
        <v>4</v>
      </c>
      <c r="N91" s="23">
        <v>2</v>
      </c>
      <c r="O91" s="23">
        <f t="shared" si="8"/>
        <v>2</v>
      </c>
    </row>
    <row r="92" spans="1:16" s="18" customFormat="1" ht="9" customHeight="1" x14ac:dyDescent="0.25">
      <c r="A92" s="26" t="s">
        <v>26</v>
      </c>
      <c r="B92" s="27">
        <v>3</v>
      </c>
      <c r="C92" s="27"/>
      <c r="D92" s="27">
        <v>1</v>
      </c>
      <c r="E92" s="27"/>
      <c r="F92" s="29">
        <f t="shared" si="6"/>
        <v>5</v>
      </c>
      <c r="G92" s="27">
        <v>2</v>
      </c>
      <c r="H92" s="27">
        <v>3</v>
      </c>
      <c r="I92" s="27">
        <v>6</v>
      </c>
      <c r="J92" s="27">
        <f t="shared" si="7"/>
        <v>0</v>
      </c>
      <c r="K92" s="27"/>
      <c r="L92" s="27">
        <v>0</v>
      </c>
      <c r="M92" s="27">
        <v>3</v>
      </c>
      <c r="N92" s="27">
        <v>2</v>
      </c>
      <c r="O92" s="27">
        <f t="shared" si="8"/>
        <v>1</v>
      </c>
    </row>
    <row r="93" spans="1:16" s="18" customFormat="1" ht="9" customHeight="1" x14ac:dyDescent="0.25">
      <c r="A93" s="22" t="s">
        <v>27</v>
      </c>
      <c r="B93" s="23">
        <v>3</v>
      </c>
      <c r="C93" s="23"/>
      <c r="D93" s="23">
        <v>3</v>
      </c>
      <c r="E93" s="23"/>
      <c r="F93" s="25">
        <f t="shared" si="6"/>
        <v>9</v>
      </c>
      <c r="G93" s="23">
        <v>0</v>
      </c>
      <c r="H93" s="23">
        <v>9</v>
      </c>
      <c r="I93" s="23">
        <v>9</v>
      </c>
      <c r="J93" s="23">
        <f t="shared" si="7"/>
        <v>3</v>
      </c>
      <c r="K93" s="23"/>
      <c r="L93" s="23">
        <v>0</v>
      </c>
      <c r="M93" s="23">
        <v>10</v>
      </c>
      <c r="N93" s="23">
        <v>5</v>
      </c>
      <c r="O93" s="23">
        <f t="shared" si="8"/>
        <v>5</v>
      </c>
    </row>
    <row r="94" spans="1:16" s="18" customFormat="1" ht="9" customHeight="1" x14ac:dyDescent="0.25">
      <c r="A94" s="22" t="s">
        <v>28</v>
      </c>
      <c r="B94" s="23">
        <v>7</v>
      </c>
      <c r="C94" s="23"/>
      <c r="D94" s="23">
        <v>2</v>
      </c>
      <c r="E94" s="23"/>
      <c r="F94" s="25">
        <f t="shared" si="6"/>
        <v>5</v>
      </c>
      <c r="G94" s="23">
        <v>1</v>
      </c>
      <c r="H94" s="23">
        <v>4</v>
      </c>
      <c r="I94" s="23">
        <v>6</v>
      </c>
      <c r="J94" s="23">
        <f t="shared" si="7"/>
        <v>1</v>
      </c>
      <c r="K94" s="23"/>
      <c r="L94" s="23">
        <v>0</v>
      </c>
      <c r="M94" s="23">
        <v>2</v>
      </c>
      <c r="N94" s="23">
        <v>1</v>
      </c>
      <c r="O94" s="23">
        <f t="shared" si="8"/>
        <v>1</v>
      </c>
    </row>
    <row r="95" spans="1:16" s="18" customFormat="1" ht="9" customHeight="1" x14ac:dyDescent="0.25">
      <c r="A95" s="22" t="s">
        <v>29</v>
      </c>
      <c r="B95" s="23">
        <v>13</v>
      </c>
      <c r="C95" s="23"/>
      <c r="D95" s="23">
        <v>7</v>
      </c>
      <c r="E95" s="23"/>
      <c r="F95" s="25">
        <f t="shared" si="6"/>
        <v>10</v>
      </c>
      <c r="G95" s="23">
        <v>2</v>
      </c>
      <c r="H95" s="23">
        <v>8</v>
      </c>
      <c r="I95" s="23">
        <v>9</v>
      </c>
      <c r="J95" s="23">
        <f t="shared" si="7"/>
        <v>8</v>
      </c>
      <c r="K95" s="23"/>
      <c r="L95" s="23">
        <v>2</v>
      </c>
      <c r="M95" s="23">
        <v>8</v>
      </c>
      <c r="N95" s="23">
        <v>5</v>
      </c>
      <c r="O95" s="23">
        <f t="shared" si="8"/>
        <v>5</v>
      </c>
    </row>
    <row r="96" spans="1:16" s="18" customFormat="1" ht="9" customHeight="1" x14ac:dyDescent="0.25">
      <c r="A96" s="26" t="s">
        <v>30</v>
      </c>
      <c r="B96" s="27">
        <v>18</v>
      </c>
      <c r="C96" s="27"/>
      <c r="D96" s="27">
        <v>3</v>
      </c>
      <c r="E96" s="27"/>
      <c r="F96" s="29">
        <f t="shared" si="6"/>
        <v>13</v>
      </c>
      <c r="G96" s="27">
        <v>0</v>
      </c>
      <c r="H96" s="27">
        <v>13</v>
      </c>
      <c r="I96" s="27">
        <v>12</v>
      </c>
      <c r="J96" s="27">
        <f t="shared" si="7"/>
        <v>4</v>
      </c>
      <c r="K96" s="27"/>
      <c r="L96" s="27">
        <v>0</v>
      </c>
      <c r="M96" s="27">
        <v>19</v>
      </c>
      <c r="N96" s="27">
        <v>13</v>
      </c>
      <c r="O96" s="27">
        <f t="shared" si="8"/>
        <v>6</v>
      </c>
    </row>
    <row r="97" spans="1:15" s="18" customFormat="1" ht="9" customHeight="1" x14ac:dyDescent="0.25">
      <c r="A97" s="22" t="s">
        <v>63</v>
      </c>
      <c r="B97" s="23">
        <v>687</v>
      </c>
      <c r="C97" s="23"/>
      <c r="D97" s="23">
        <v>150</v>
      </c>
      <c r="E97" s="23"/>
      <c r="F97" s="25">
        <f t="shared" si="6"/>
        <v>1308</v>
      </c>
      <c r="G97" s="23">
        <v>371</v>
      </c>
      <c r="H97" s="23">
        <v>937</v>
      </c>
      <c r="I97" s="23">
        <v>1244</v>
      </c>
      <c r="J97" s="23">
        <f t="shared" si="7"/>
        <v>214</v>
      </c>
      <c r="K97" s="23"/>
      <c r="L97" s="23">
        <v>22</v>
      </c>
      <c r="M97" s="23">
        <v>199</v>
      </c>
      <c r="N97" s="23">
        <v>137</v>
      </c>
      <c r="O97" s="23">
        <f t="shared" si="8"/>
        <v>84</v>
      </c>
    </row>
    <row r="98" spans="1:15" s="18" customFormat="1" ht="9" customHeight="1" x14ac:dyDescent="0.25">
      <c r="A98" s="22" t="s">
        <v>31</v>
      </c>
      <c r="B98" s="23">
        <v>9</v>
      </c>
      <c r="C98" s="23"/>
      <c r="D98" s="23">
        <v>1</v>
      </c>
      <c r="E98" s="23"/>
      <c r="F98" s="25">
        <f t="shared" si="6"/>
        <v>8</v>
      </c>
      <c r="G98" s="23">
        <v>0</v>
      </c>
      <c r="H98" s="23">
        <v>8</v>
      </c>
      <c r="I98" s="23">
        <v>6</v>
      </c>
      <c r="J98" s="23">
        <f t="shared" si="7"/>
        <v>3</v>
      </c>
      <c r="K98" s="23"/>
      <c r="L98" s="23">
        <v>0</v>
      </c>
      <c r="M98" s="23">
        <v>3</v>
      </c>
      <c r="N98" s="23">
        <v>2</v>
      </c>
      <c r="O98" s="23">
        <f t="shared" si="8"/>
        <v>1</v>
      </c>
    </row>
    <row r="99" spans="1:15" s="18" customFormat="1" ht="9" customHeight="1" x14ac:dyDescent="0.25">
      <c r="A99" s="22" t="s">
        <v>32</v>
      </c>
      <c r="B99" s="23">
        <v>33</v>
      </c>
      <c r="C99" s="23"/>
      <c r="D99" s="23">
        <v>12</v>
      </c>
      <c r="E99" s="23"/>
      <c r="F99" s="25">
        <f t="shared" si="6"/>
        <v>45</v>
      </c>
      <c r="G99" s="23">
        <v>2</v>
      </c>
      <c r="H99" s="23">
        <v>43</v>
      </c>
      <c r="I99" s="23">
        <v>42</v>
      </c>
      <c r="J99" s="23">
        <f t="shared" si="7"/>
        <v>15</v>
      </c>
      <c r="K99" s="23"/>
      <c r="L99" s="23">
        <v>0</v>
      </c>
      <c r="M99" s="23">
        <v>8</v>
      </c>
      <c r="N99" s="23">
        <v>4</v>
      </c>
      <c r="O99" s="23">
        <f t="shared" si="8"/>
        <v>4</v>
      </c>
    </row>
    <row r="100" spans="1:15" s="18" customFormat="1" ht="9" customHeight="1" x14ac:dyDescent="0.25">
      <c r="A100" s="26" t="s">
        <v>33</v>
      </c>
      <c r="B100" s="27">
        <v>7</v>
      </c>
      <c r="C100" s="27"/>
      <c r="D100" s="27">
        <v>2</v>
      </c>
      <c r="E100" s="27"/>
      <c r="F100" s="29">
        <f t="shared" si="6"/>
        <v>14</v>
      </c>
      <c r="G100" s="27">
        <v>1</v>
      </c>
      <c r="H100" s="27">
        <v>13</v>
      </c>
      <c r="I100" s="27">
        <v>13</v>
      </c>
      <c r="J100" s="27">
        <f t="shared" si="7"/>
        <v>3</v>
      </c>
      <c r="K100" s="27"/>
      <c r="L100" s="27">
        <v>2</v>
      </c>
      <c r="M100" s="27">
        <v>4</v>
      </c>
      <c r="N100" s="27">
        <v>4</v>
      </c>
      <c r="O100" s="27">
        <f t="shared" si="8"/>
        <v>2</v>
      </c>
    </row>
    <row r="101" spans="1:15" s="18" customFormat="1" ht="9" customHeight="1" x14ac:dyDescent="0.25">
      <c r="A101" s="22" t="s">
        <v>34</v>
      </c>
      <c r="B101" s="23">
        <v>21</v>
      </c>
      <c r="C101" s="23"/>
      <c r="D101" s="23">
        <v>10</v>
      </c>
      <c r="E101" s="23"/>
      <c r="F101" s="25">
        <f t="shared" si="6"/>
        <v>19</v>
      </c>
      <c r="G101" s="23">
        <v>2</v>
      </c>
      <c r="H101" s="23">
        <v>17</v>
      </c>
      <c r="I101" s="23">
        <v>22</v>
      </c>
      <c r="J101" s="23">
        <f t="shared" si="7"/>
        <v>7</v>
      </c>
      <c r="K101" s="23"/>
      <c r="L101" s="23">
        <v>0</v>
      </c>
      <c r="M101" s="23">
        <v>2</v>
      </c>
      <c r="N101" s="23">
        <v>0</v>
      </c>
      <c r="O101" s="23">
        <f t="shared" si="8"/>
        <v>2</v>
      </c>
    </row>
    <row r="102" spans="1:15" s="18" customFormat="1" ht="9" customHeight="1" x14ac:dyDescent="0.25">
      <c r="A102" s="22" t="s">
        <v>35</v>
      </c>
      <c r="B102" s="23">
        <v>27</v>
      </c>
      <c r="C102" s="23"/>
      <c r="D102" s="23">
        <v>13</v>
      </c>
      <c r="E102" s="23"/>
      <c r="F102" s="25">
        <f t="shared" si="6"/>
        <v>35</v>
      </c>
      <c r="G102" s="23">
        <v>1</v>
      </c>
      <c r="H102" s="23">
        <v>34</v>
      </c>
      <c r="I102" s="23">
        <v>32</v>
      </c>
      <c r="J102" s="23">
        <f t="shared" si="7"/>
        <v>16</v>
      </c>
      <c r="K102" s="23"/>
      <c r="L102" s="23">
        <v>1</v>
      </c>
      <c r="M102" s="23">
        <v>9</v>
      </c>
      <c r="N102" s="23">
        <v>7</v>
      </c>
      <c r="O102" s="23">
        <f t="shared" si="8"/>
        <v>3</v>
      </c>
    </row>
    <row r="103" spans="1:15" s="18" customFormat="1" ht="9" customHeight="1" x14ac:dyDescent="0.25">
      <c r="A103" s="22" t="s">
        <v>36</v>
      </c>
      <c r="B103" s="23">
        <v>282</v>
      </c>
      <c r="C103" s="23"/>
      <c r="D103" s="23">
        <v>80</v>
      </c>
      <c r="E103" s="23"/>
      <c r="F103" s="25">
        <f t="shared" si="6"/>
        <v>201</v>
      </c>
      <c r="G103" s="23">
        <v>57</v>
      </c>
      <c r="H103" s="23">
        <v>144</v>
      </c>
      <c r="I103" s="23">
        <v>222</v>
      </c>
      <c r="J103" s="23">
        <f t="shared" si="7"/>
        <v>59</v>
      </c>
      <c r="K103" s="23"/>
      <c r="L103" s="23">
        <v>5</v>
      </c>
      <c r="M103" s="23">
        <v>36</v>
      </c>
      <c r="N103" s="23">
        <v>32</v>
      </c>
      <c r="O103" s="23">
        <f t="shared" si="8"/>
        <v>9</v>
      </c>
    </row>
    <row r="104" spans="1:15" s="18" customFormat="1" ht="9" customHeight="1" x14ac:dyDescent="0.25">
      <c r="A104" s="26" t="s">
        <v>37</v>
      </c>
      <c r="B104" s="27">
        <v>13</v>
      </c>
      <c r="C104" s="27"/>
      <c r="D104" s="27">
        <v>8</v>
      </c>
      <c r="E104" s="27"/>
      <c r="F104" s="29">
        <f t="shared" si="6"/>
        <v>16</v>
      </c>
      <c r="G104" s="27">
        <v>1</v>
      </c>
      <c r="H104" s="27">
        <v>15</v>
      </c>
      <c r="I104" s="27">
        <v>22</v>
      </c>
      <c r="J104" s="27">
        <f t="shared" si="7"/>
        <v>2</v>
      </c>
      <c r="K104" s="27"/>
      <c r="L104" s="27">
        <v>1</v>
      </c>
      <c r="M104" s="27">
        <v>9</v>
      </c>
      <c r="N104" s="27">
        <v>5</v>
      </c>
      <c r="O104" s="27">
        <f t="shared" si="8"/>
        <v>5</v>
      </c>
    </row>
    <row r="105" spans="1:15" s="18" customFormat="1" ht="9" customHeight="1" x14ac:dyDescent="0.25">
      <c r="A105" s="22" t="s">
        <v>38</v>
      </c>
      <c r="B105" s="23">
        <v>10</v>
      </c>
      <c r="C105" s="23"/>
      <c r="D105" s="23">
        <v>4</v>
      </c>
      <c r="E105" s="23"/>
      <c r="F105" s="25">
        <f t="shared" si="6"/>
        <v>15</v>
      </c>
      <c r="G105" s="23">
        <v>1</v>
      </c>
      <c r="H105" s="23">
        <v>14</v>
      </c>
      <c r="I105" s="23">
        <v>18</v>
      </c>
      <c r="J105" s="23">
        <f t="shared" si="7"/>
        <v>1</v>
      </c>
      <c r="K105" s="23"/>
      <c r="L105" s="23">
        <v>1</v>
      </c>
      <c r="M105" s="23">
        <v>8</v>
      </c>
      <c r="N105" s="23">
        <v>6</v>
      </c>
      <c r="O105" s="23">
        <f t="shared" si="8"/>
        <v>3</v>
      </c>
    </row>
    <row r="106" spans="1:15" s="18" customFormat="1" ht="9" customHeight="1" x14ac:dyDescent="0.25">
      <c r="A106" s="22" t="s">
        <v>39</v>
      </c>
      <c r="B106" s="23">
        <v>2</v>
      </c>
      <c r="C106" s="23"/>
      <c r="D106" s="23">
        <v>0</v>
      </c>
      <c r="E106" s="23"/>
      <c r="F106" s="25">
        <f t="shared" si="6"/>
        <v>2</v>
      </c>
      <c r="G106" s="23">
        <v>0</v>
      </c>
      <c r="H106" s="23">
        <v>2</v>
      </c>
      <c r="I106" s="23">
        <v>2</v>
      </c>
      <c r="J106" s="23">
        <f t="shared" si="7"/>
        <v>0</v>
      </c>
      <c r="K106" s="23"/>
      <c r="L106" s="23">
        <v>0</v>
      </c>
      <c r="M106" s="23">
        <v>1</v>
      </c>
      <c r="N106" s="23">
        <v>0</v>
      </c>
      <c r="O106" s="23">
        <f t="shared" si="8"/>
        <v>1</v>
      </c>
    </row>
    <row r="107" spans="1:15" s="18" customFormat="1" ht="9" customHeight="1" x14ac:dyDescent="0.25">
      <c r="A107" s="22" t="s">
        <v>40</v>
      </c>
      <c r="B107" s="23">
        <v>9</v>
      </c>
      <c r="C107" s="23"/>
      <c r="D107" s="23">
        <v>2</v>
      </c>
      <c r="E107" s="23"/>
      <c r="F107" s="25">
        <f t="shared" si="6"/>
        <v>11</v>
      </c>
      <c r="G107" s="23">
        <v>0</v>
      </c>
      <c r="H107" s="23">
        <v>11</v>
      </c>
      <c r="I107" s="23">
        <v>10</v>
      </c>
      <c r="J107" s="23">
        <f t="shared" si="7"/>
        <v>3</v>
      </c>
      <c r="K107" s="23"/>
      <c r="L107" s="23">
        <v>0</v>
      </c>
      <c r="M107" s="23">
        <v>1</v>
      </c>
      <c r="N107" s="23">
        <v>0</v>
      </c>
      <c r="O107" s="23">
        <f t="shared" si="8"/>
        <v>1</v>
      </c>
    </row>
    <row r="108" spans="1:15" s="18" customFormat="1" ht="9" customHeight="1" x14ac:dyDescent="0.25">
      <c r="A108" s="26" t="s">
        <v>41</v>
      </c>
      <c r="B108" s="27">
        <v>13</v>
      </c>
      <c r="C108" s="27"/>
      <c r="D108" s="27">
        <v>3</v>
      </c>
      <c r="E108" s="27"/>
      <c r="F108" s="29">
        <f t="shared" si="6"/>
        <v>17</v>
      </c>
      <c r="G108" s="27">
        <v>1</v>
      </c>
      <c r="H108" s="27">
        <v>16</v>
      </c>
      <c r="I108" s="27">
        <v>19</v>
      </c>
      <c r="J108" s="27">
        <f t="shared" si="7"/>
        <v>1</v>
      </c>
      <c r="K108" s="27"/>
      <c r="L108" s="27">
        <v>1</v>
      </c>
      <c r="M108" s="27">
        <v>8</v>
      </c>
      <c r="N108" s="27">
        <v>5</v>
      </c>
      <c r="O108" s="27">
        <f t="shared" si="8"/>
        <v>4</v>
      </c>
    </row>
    <row r="109" spans="1:15" s="18" customFormat="1" ht="9" customHeight="1" x14ac:dyDescent="0.25">
      <c r="A109" s="22" t="s">
        <v>42</v>
      </c>
      <c r="B109" s="23">
        <v>16</v>
      </c>
      <c r="C109" s="23"/>
      <c r="D109" s="23">
        <v>2</v>
      </c>
      <c r="E109" s="23"/>
      <c r="F109" s="25">
        <f t="shared" si="6"/>
        <v>28</v>
      </c>
      <c r="G109" s="23">
        <v>4</v>
      </c>
      <c r="H109" s="23">
        <v>24</v>
      </c>
      <c r="I109" s="23">
        <v>19</v>
      </c>
      <c r="J109" s="23">
        <f t="shared" si="7"/>
        <v>11</v>
      </c>
      <c r="K109" s="23"/>
      <c r="L109" s="23">
        <v>2</v>
      </c>
      <c r="M109" s="23">
        <v>18</v>
      </c>
      <c r="N109" s="23">
        <v>12</v>
      </c>
      <c r="O109" s="23">
        <f t="shared" si="8"/>
        <v>8</v>
      </c>
    </row>
    <row r="110" spans="1:15" s="18" customFormat="1" ht="9" customHeight="1" x14ac:dyDescent="0.25">
      <c r="A110" s="22" t="s">
        <v>43</v>
      </c>
      <c r="B110" s="23">
        <v>31</v>
      </c>
      <c r="C110" s="23"/>
      <c r="D110" s="23">
        <v>8</v>
      </c>
      <c r="E110" s="23"/>
      <c r="F110" s="25">
        <f t="shared" si="6"/>
        <v>34</v>
      </c>
      <c r="G110" s="23">
        <v>3</v>
      </c>
      <c r="H110" s="23">
        <v>31</v>
      </c>
      <c r="I110" s="23">
        <v>28</v>
      </c>
      <c r="J110" s="23">
        <f t="shared" si="7"/>
        <v>14</v>
      </c>
      <c r="K110" s="23"/>
      <c r="L110" s="23">
        <v>1</v>
      </c>
      <c r="M110" s="23">
        <v>3</v>
      </c>
      <c r="N110" s="23">
        <v>2</v>
      </c>
      <c r="O110" s="23">
        <f t="shared" si="8"/>
        <v>2</v>
      </c>
    </row>
    <row r="111" spans="1:15" s="18" customFormat="1" ht="9" customHeight="1" x14ac:dyDescent="0.25">
      <c r="A111" s="22" t="s">
        <v>44</v>
      </c>
      <c r="B111" s="23">
        <v>5</v>
      </c>
      <c r="C111" s="23"/>
      <c r="D111" s="23">
        <v>5</v>
      </c>
      <c r="E111" s="23"/>
      <c r="F111" s="25">
        <f t="shared" si="6"/>
        <v>5</v>
      </c>
      <c r="G111" s="23">
        <v>0</v>
      </c>
      <c r="H111" s="23">
        <v>5</v>
      </c>
      <c r="I111" s="23">
        <v>9</v>
      </c>
      <c r="J111" s="23">
        <f t="shared" si="7"/>
        <v>1</v>
      </c>
      <c r="K111" s="23"/>
      <c r="L111" s="23">
        <v>1</v>
      </c>
      <c r="M111" s="23">
        <v>7</v>
      </c>
      <c r="N111" s="23">
        <v>2</v>
      </c>
      <c r="O111" s="23">
        <f t="shared" si="8"/>
        <v>6</v>
      </c>
    </row>
    <row r="112" spans="1:15" s="18" customFormat="1" ht="9" customHeight="1" x14ac:dyDescent="0.25">
      <c r="A112" s="26" t="s">
        <v>45</v>
      </c>
      <c r="B112" s="27">
        <v>10</v>
      </c>
      <c r="C112" s="27"/>
      <c r="D112" s="27">
        <v>8</v>
      </c>
      <c r="E112" s="27"/>
      <c r="F112" s="29">
        <f t="shared" si="6"/>
        <v>19</v>
      </c>
      <c r="G112" s="27">
        <v>1</v>
      </c>
      <c r="H112" s="27">
        <v>18</v>
      </c>
      <c r="I112" s="27">
        <v>22</v>
      </c>
      <c r="J112" s="27">
        <f t="shared" si="7"/>
        <v>5</v>
      </c>
      <c r="K112" s="27"/>
      <c r="L112" s="27">
        <v>0</v>
      </c>
      <c r="M112" s="27">
        <v>4</v>
      </c>
      <c r="N112" s="27">
        <v>1</v>
      </c>
      <c r="O112" s="27">
        <f t="shared" si="8"/>
        <v>3</v>
      </c>
    </row>
    <row r="113" spans="1:16" s="18" customFormat="1" ht="9" customHeight="1" x14ac:dyDescent="0.25">
      <c r="A113" s="22" t="s">
        <v>46</v>
      </c>
      <c r="B113" s="23">
        <v>2</v>
      </c>
      <c r="C113" s="23"/>
      <c r="D113" s="23">
        <v>1</v>
      </c>
      <c r="E113" s="23"/>
      <c r="F113" s="25">
        <f t="shared" si="6"/>
        <v>4</v>
      </c>
      <c r="G113" s="23">
        <v>0</v>
      </c>
      <c r="H113" s="23">
        <v>4</v>
      </c>
      <c r="I113" s="23">
        <v>5</v>
      </c>
      <c r="J113" s="23">
        <f t="shared" si="7"/>
        <v>0</v>
      </c>
      <c r="K113" s="23"/>
      <c r="L113" s="23">
        <v>0</v>
      </c>
      <c r="M113" s="23">
        <v>6</v>
      </c>
      <c r="N113" s="23">
        <v>2</v>
      </c>
      <c r="O113" s="23">
        <f t="shared" si="8"/>
        <v>4</v>
      </c>
    </row>
    <row r="114" spans="1:16" s="18" customFormat="1" ht="9" customHeight="1" x14ac:dyDescent="0.25">
      <c r="A114" s="22" t="s">
        <v>47</v>
      </c>
      <c r="B114" s="23">
        <v>10</v>
      </c>
      <c r="C114" s="23"/>
      <c r="D114" s="23">
        <v>3</v>
      </c>
      <c r="E114" s="23"/>
      <c r="F114" s="25">
        <f t="shared" si="6"/>
        <v>16</v>
      </c>
      <c r="G114" s="23">
        <v>3</v>
      </c>
      <c r="H114" s="23">
        <v>13</v>
      </c>
      <c r="I114" s="23">
        <v>12</v>
      </c>
      <c r="J114" s="23">
        <f t="shared" si="7"/>
        <v>7</v>
      </c>
      <c r="K114" s="23"/>
      <c r="L114" s="23">
        <v>0</v>
      </c>
      <c r="M114" s="23">
        <v>3</v>
      </c>
      <c r="N114" s="23">
        <v>2</v>
      </c>
      <c r="O114" s="23">
        <f t="shared" si="8"/>
        <v>1</v>
      </c>
    </row>
    <row r="115" spans="1:16" s="18" customFormat="1" ht="9" customHeight="1" x14ac:dyDescent="0.25">
      <c r="A115" s="22" t="s">
        <v>48</v>
      </c>
      <c r="B115" s="23">
        <v>10</v>
      </c>
      <c r="C115" s="23"/>
      <c r="D115" s="23">
        <v>4</v>
      </c>
      <c r="E115" s="23"/>
      <c r="F115" s="25">
        <f t="shared" si="6"/>
        <v>9</v>
      </c>
      <c r="G115" s="23">
        <v>1</v>
      </c>
      <c r="H115" s="23">
        <v>8</v>
      </c>
      <c r="I115" s="23">
        <v>9</v>
      </c>
      <c r="J115" s="23">
        <f t="shared" si="7"/>
        <v>4</v>
      </c>
      <c r="K115" s="23"/>
      <c r="L115" s="23">
        <v>1</v>
      </c>
      <c r="M115" s="23">
        <v>3</v>
      </c>
      <c r="N115" s="23">
        <v>3</v>
      </c>
      <c r="O115" s="23">
        <f t="shared" si="8"/>
        <v>1</v>
      </c>
    </row>
    <row r="116" spans="1:16" s="18" customFormat="1" ht="9" customHeight="1" x14ac:dyDescent="0.25">
      <c r="A116" s="26" t="s">
        <v>49</v>
      </c>
      <c r="B116" s="27">
        <v>30</v>
      </c>
      <c r="C116" s="27"/>
      <c r="D116" s="27">
        <v>6</v>
      </c>
      <c r="E116" s="27"/>
      <c r="F116" s="29">
        <f t="shared" si="6"/>
        <v>23</v>
      </c>
      <c r="G116" s="27">
        <v>3</v>
      </c>
      <c r="H116" s="27">
        <v>20</v>
      </c>
      <c r="I116" s="27">
        <v>15</v>
      </c>
      <c r="J116" s="27">
        <f t="shared" si="7"/>
        <v>14</v>
      </c>
      <c r="K116" s="27"/>
      <c r="L116" s="27">
        <v>0</v>
      </c>
      <c r="M116" s="27">
        <v>2</v>
      </c>
      <c r="N116" s="27">
        <v>2</v>
      </c>
      <c r="O116" s="27">
        <f t="shared" si="8"/>
        <v>0</v>
      </c>
    </row>
    <row r="117" spans="1:16" s="18" customFormat="1" ht="9" customHeight="1" x14ac:dyDescent="0.25">
      <c r="A117" s="22" t="s">
        <v>50</v>
      </c>
      <c r="B117" s="23">
        <v>10</v>
      </c>
      <c r="C117" s="23"/>
      <c r="D117" s="23">
        <v>1</v>
      </c>
      <c r="E117" s="23"/>
      <c r="F117" s="25">
        <f t="shared" si="6"/>
        <v>4</v>
      </c>
      <c r="G117" s="23">
        <v>0</v>
      </c>
      <c r="H117" s="23">
        <v>4</v>
      </c>
      <c r="I117" s="23">
        <v>4</v>
      </c>
      <c r="J117" s="23">
        <f t="shared" si="7"/>
        <v>1</v>
      </c>
      <c r="K117" s="23"/>
      <c r="L117" s="23">
        <v>0</v>
      </c>
      <c r="M117" s="23">
        <v>3</v>
      </c>
      <c r="N117" s="23">
        <v>2</v>
      </c>
      <c r="O117" s="23">
        <f t="shared" si="8"/>
        <v>1</v>
      </c>
    </row>
    <row r="118" spans="1:16" s="18" customFormat="1" ht="9" customHeight="1" x14ac:dyDescent="0.25">
      <c r="A118" s="22" t="s">
        <v>51</v>
      </c>
      <c r="B118" s="23">
        <v>30</v>
      </c>
      <c r="C118" s="23"/>
      <c r="D118" s="23">
        <v>12</v>
      </c>
      <c r="E118" s="23"/>
      <c r="F118" s="25">
        <f t="shared" si="6"/>
        <v>45</v>
      </c>
      <c r="G118" s="23">
        <v>8</v>
      </c>
      <c r="H118" s="23">
        <v>37</v>
      </c>
      <c r="I118" s="23">
        <v>43</v>
      </c>
      <c r="J118" s="23">
        <f t="shared" si="7"/>
        <v>14</v>
      </c>
      <c r="K118" s="23"/>
      <c r="L118" s="23">
        <v>2</v>
      </c>
      <c r="M118" s="23">
        <v>17</v>
      </c>
      <c r="N118" s="23">
        <v>12</v>
      </c>
      <c r="O118" s="23">
        <f t="shared" si="8"/>
        <v>7</v>
      </c>
    </row>
    <row r="119" spans="1:16" s="18" customFormat="1" ht="9" customHeight="1" x14ac:dyDescent="0.25">
      <c r="A119" s="22" t="s">
        <v>52</v>
      </c>
      <c r="B119" s="23">
        <v>5</v>
      </c>
      <c r="C119" s="23"/>
      <c r="D119" s="23">
        <v>5</v>
      </c>
      <c r="E119" s="23"/>
      <c r="F119" s="25">
        <f t="shared" si="6"/>
        <v>9</v>
      </c>
      <c r="G119" s="23">
        <v>1</v>
      </c>
      <c r="H119" s="23">
        <v>8</v>
      </c>
      <c r="I119" s="23">
        <v>11</v>
      </c>
      <c r="J119" s="23">
        <f t="shared" si="7"/>
        <v>3</v>
      </c>
      <c r="K119" s="23"/>
      <c r="L119" s="23">
        <v>0</v>
      </c>
      <c r="M119" s="23">
        <v>2</v>
      </c>
      <c r="N119" s="23">
        <v>1</v>
      </c>
      <c r="O119" s="23">
        <f t="shared" si="8"/>
        <v>1</v>
      </c>
    </row>
    <row r="120" spans="1:16" s="18" customFormat="1" ht="9" customHeight="1" x14ac:dyDescent="0.25">
      <c r="A120" s="26" t="s">
        <v>53</v>
      </c>
      <c r="B120" s="27">
        <v>2</v>
      </c>
      <c r="C120" s="27"/>
      <c r="D120" s="27">
        <v>0</v>
      </c>
      <c r="E120" s="27"/>
      <c r="F120" s="29">
        <f t="shared" si="6"/>
        <v>3</v>
      </c>
      <c r="G120" s="27">
        <v>0</v>
      </c>
      <c r="H120" s="27">
        <v>3</v>
      </c>
      <c r="I120" s="27">
        <v>2</v>
      </c>
      <c r="J120" s="27">
        <f t="shared" si="7"/>
        <v>1</v>
      </c>
      <c r="K120" s="27"/>
      <c r="L120" s="27">
        <v>0</v>
      </c>
      <c r="M120" s="27">
        <v>7</v>
      </c>
      <c r="N120" s="27">
        <v>1</v>
      </c>
      <c r="O120" s="27">
        <f t="shared" si="8"/>
        <v>6</v>
      </c>
    </row>
    <row r="121" spans="1:16" s="18" customFormat="1" ht="9" customHeight="1" x14ac:dyDescent="0.25">
      <c r="A121" s="22" t="s">
        <v>54</v>
      </c>
      <c r="B121" s="23">
        <v>689</v>
      </c>
      <c r="C121" s="23"/>
      <c r="D121" s="23">
        <v>0</v>
      </c>
      <c r="E121" s="23"/>
      <c r="F121" s="25">
        <f t="shared" si="6"/>
        <v>0</v>
      </c>
      <c r="G121" s="23">
        <v>0</v>
      </c>
      <c r="H121" s="23">
        <v>0</v>
      </c>
      <c r="I121" s="23">
        <v>0</v>
      </c>
      <c r="J121" s="23">
        <f t="shared" si="7"/>
        <v>0</v>
      </c>
      <c r="K121" s="23"/>
      <c r="L121" s="23">
        <v>0</v>
      </c>
      <c r="M121" s="23">
        <v>0</v>
      </c>
      <c r="N121" s="23">
        <v>0</v>
      </c>
      <c r="O121" s="23">
        <f t="shared" si="8"/>
        <v>0</v>
      </c>
    </row>
    <row r="122" spans="1:16" s="18" customFormat="1" ht="9" customHeight="1" x14ac:dyDescent="0.25">
      <c r="A122" s="22"/>
      <c r="B122" s="23"/>
      <c r="C122" s="23"/>
      <c r="D122" s="23"/>
      <c r="E122" s="23"/>
      <c r="G122" s="23"/>
      <c r="H122" s="23"/>
      <c r="I122" s="23"/>
      <c r="J122" s="23"/>
      <c r="K122" s="23"/>
      <c r="L122" s="23"/>
      <c r="M122" s="23"/>
      <c r="N122" s="23"/>
      <c r="O122" s="23"/>
    </row>
    <row r="123" spans="1:16" s="18" customFormat="1" ht="9" customHeight="1" x14ac:dyDescent="0.25">
      <c r="A123" s="16">
        <v>1999</v>
      </c>
      <c r="B123" s="17"/>
      <c r="C123" s="17"/>
      <c r="D123" s="17"/>
      <c r="E123" s="17"/>
      <c r="G123" s="17"/>
      <c r="H123" s="17"/>
      <c r="I123" s="17"/>
      <c r="J123" s="17"/>
      <c r="K123" s="17"/>
      <c r="L123" s="17"/>
      <c r="M123" s="17"/>
      <c r="N123" s="17"/>
      <c r="O123" s="17"/>
    </row>
    <row r="124" spans="1:16" s="18" customFormat="1" ht="9" customHeight="1" x14ac:dyDescent="0.25">
      <c r="A124" s="19" t="s">
        <v>21</v>
      </c>
      <c r="B124" s="20">
        <f>SUM(B126:B158)</f>
        <v>1850</v>
      </c>
      <c r="C124" s="20"/>
      <c r="D124" s="20">
        <f>SUM(D126:D158)</f>
        <v>421</v>
      </c>
      <c r="E124" s="20"/>
      <c r="F124" s="20">
        <f>SUM(F126:F158)</f>
        <v>2328</v>
      </c>
      <c r="G124" s="20">
        <f>SUM(G126:G158)</f>
        <v>579</v>
      </c>
      <c r="H124" s="20">
        <f>SUM(H126:H158)</f>
        <v>1749</v>
      </c>
      <c r="I124" s="20">
        <f>SUM(I126:I158)</f>
        <v>2222</v>
      </c>
      <c r="J124" s="20">
        <f>SUM(J126:J158)</f>
        <v>527</v>
      </c>
      <c r="K124" s="20"/>
      <c r="L124" s="20">
        <f>SUM(L126:L158)+3</f>
        <v>186</v>
      </c>
      <c r="M124" s="20">
        <f>SUM(M126:M158)</f>
        <v>585</v>
      </c>
      <c r="N124" s="20">
        <f>SUM(N126:N158)</f>
        <v>554</v>
      </c>
      <c r="O124" s="20">
        <f>SUM(O126:O158)</f>
        <v>214</v>
      </c>
      <c r="P124" s="20"/>
    </row>
    <row r="125" spans="1:16" s="18" customFormat="1" ht="3" customHeight="1" x14ac:dyDescent="0.25">
      <c r="A125" s="19"/>
      <c r="B125" s="20"/>
      <c r="C125" s="20"/>
      <c r="D125" s="20"/>
      <c r="E125" s="20"/>
      <c r="G125" s="20"/>
      <c r="H125" s="20"/>
      <c r="I125" s="20"/>
      <c r="J125" s="20"/>
      <c r="K125" s="20"/>
      <c r="L125" s="20"/>
      <c r="M125" s="20"/>
      <c r="N125" s="20"/>
      <c r="O125" s="20"/>
    </row>
    <row r="126" spans="1:16" s="18" customFormat="1" ht="9" customHeight="1" x14ac:dyDescent="0.25">
      <c r="A126" s="22" t="s">
        <v>23</v>
      </c>
      <c r="B126" s="23">
        <v>11</v>
      </c>
      <c r="C126" s="23"/>
      <c r="D126" s="23">
        <v>2</v>
      </c>
      <c r="E126" s="23"/>
      <c r="F126" s="25">
        <f t="shared" ref="F126:F158" si="9">SUM(G126:H126)</f>
        <v>18</v>
      </c>
      <c r="G126" s="23">
        <v>2</v>
      </c>
      <c r="H126" s="23">
        <v>16</v>
      </c>
      <c r="I126" s="23">
        <v>11</v>
      </c>
      <c r="J126" s="23">
        <f t="shared" ref="J126:J158" si="10">(D126+F126)-I126</f>
        <v>9</v>
      </c>
      <c r="K126" s="23"/>
      <c r="L126" s="23">
        <v>0</v>
      </c>
      <c r="M126" s="23">
        <v>6</v>
      </c>
      <c r="N126" s="23">
        <v>4</v>
      </c>
      <c r="O126" s="23">
        <f t="shared" ref="O126:O158" si="11">(L126+M126)-N126</f>
        <v>2</v>
      </c>
    </row>
    <row r="127" spans="1:16" s="18" customFormat="1" ht="9" customHeight="1" x14ac:dyDescent="0.25">
      <c r="A127" s="22" t="s">
        <v>24</v>
      </c>
      <c r="B127" s="23">
        <v>31</v>
      </c>
      <c r="C127" s="23"/>
      <c r="D127" s="23">
        <v>4</v>
      </c>
      <c r="E127" s="23"/>
      <c r="F127" s="25">
        <f t="shared" si="9"/>
        <v>29</v>
      </c>
      <c r="G127" s="23">
        <v>4</v>
      </c>
      <c r="H127" s="23">
        <v>25</v>
      </c>
      <c r="I127" s="23">
        <v>22</v>
      </c>
      <c r="J127" s="23">
        <f t="shared" si="10"/>
        <v>11</v>
      </c>
      <c r="K127" s="23"/>
      <c r="L127" s="23">
        <v>4</v>
      </c>
      <c r="M127" s="23">
        <v>17</v>
      </c>
      <c r="N127" s="23">
        <v>16</v>
      </c>
      <c r="O127" s="23">
        <f t="shared" si="11"/>
        <v>5</v>
      </c>
    </row>
    <row r="128" spans="1:16" s="18" customFormat="1" ht="9" customHeight="1" x14ac:dyDescent="0.25">
      <c r="A128" s="22" t="s">
        <v>25</v>
      </c>
      <c r="B128" s="23">
        <v>5</v>
      </c>
      <c r="C128" s="23"/>
      <c r="D128" s="23">
        <v>0</v>
      </c>
      <c r="E128" s="23"/>
      <c r="F128" s="25">
        <f t="shared" si="9"/>
        <v>5</v>
      </c>
      <c r="G128" s="23">
        <v>0</v>
      </c>
      <c r="H128" s="23">
        <v>5</v>
      </c>
      <c r="I128" s="23">
        <v>3</v>
      </c>
      <c r="J128" s="23">
        <f t="shared" si="10"/>
        <v>2</v>
      </c>
      <c r="K128" s="23"/>
      <c r="L128" s="23">
        <v>2</v>
      </c>
      <c r="M128" s="23">
        <v>1</v>
      </c>
      <c r="N128" s="23">
        <v>3</v>
      </c>
      <c r="O128" s="23">
        <f t="shared" si="11"/>
        <v>0</v>
      </c>
    </row>
    <row r="129" spans="1:15" s="18" customFormat="1" ht="9" customHeight="1" x14ac:dyDescent="0.25">
      <c r="A129" s="26" t="s">
        <v>26</v>
      </c>
      <c r="B129" s="27">
        <v>3</v>
      </c>
      <c r="C129" s="27"/>
      <c r="D129" s="27">
        <v>0</v>
      </c>
      <c r="E129" s="27"/>
      <c r="F129" s="29">
        <f t="shared" si="9"/>
        <v>3</v>
      </c>
      <c r="G129" s="27">
        <v>0</v>
      </c>
      <c r="H129" s="27">
        <v>3</v>
      </c>
      <c r="I129" s="27">
        <v>2</v>
      </c>
      <c r="J129" s="27">
        <f t="shared" si="10"/>
        <v>1</v>
      </c>
      <c r="K129" s="27"/>
      <c r="L129" s="27">
        <v>1</v>
      </c>
      <c r="M129" s="27">
        <v>4</v>
      </c>
      <c r="N129" s="27">
        <v>3</v>
      </c>
      <c r="O129" s="27">
        <f t="shared" si="11"/>
        <v>2</v>
      </c>
    </row>
    <row r="130" spans="1:15" s="18" customFormat="1" ht="9" customHeight="1" x14ac:dyDescent="0.25">
      <c r="A130" s="22" t="s">
        <v>27</v>
      </c>
      <c r="B130" s="23">
        <v>26</v>
      </c>
      <c r="C130" s="23"/>
      <c r="D130" s="23">
        <v>3</v>
      </c>
      <c r="E130" s="23"/>
      <c r="F130" s="25">
        <f t="shared" si="9"/>
        <v>16</v>
      </c>
      <c r="G130" s="23">
        <v>2</v>
      </c>
      <c r="H130" s="23">
        <v>14</v>
      </c>
      <c r="I130" s="23">
        <v>10</v>
      </c>
      <c r="J130" s="23">
        <f t="shared" si="10"/>
        <v>9</v>
      </c>
      <c r="K130" s="23"/>
      <c r="L130" s="23">
        <v>5</v>
      </c>
      <c r="M130" s="23">
        <v>10</v>
      </c>
      <c r="N130" s="23">
        <v>12</v>
      </c>
      <c r="O130" s="23">
        <f t="shared" si="11"/>
        <v>3</v>
      </c>
    </row>
    <row r="131" spans="1:15" s="18" customFormat="1" ht="9" customHeight="1" x14ac:dyDescent="0.25">
      <c r="A131" s="22" t="s">
        <v>28</v>
      </c>
      <c r="B131" s="23">
        <v>1</v>
      </c>
      <c r="C131" s="23"/>
      <c r="D131" s="23">
        <v>1</v>
      </c>
      <c r="E131" s="23"/>
      <c r="F131" s="25">
        <f t="shared" si="9"/>
        <v>2</v>
      </c>
      <c r="G131" s="23">
        <v>0</v>
      </c>
      <c r="H131" s="23">
        <v>2</v>
      </c>
      <c r="I131" s="23">
        <v>3</v>
      </c>
      <c r="J131" s="23">
        <f t="shared" si="10"/>
        <v>0</v>
      </c>
      <c r="K131" s="23"/>
      <c r="L131" s="23">
        <v>1</v>
      </c>
      <c r="M131" s="23">
        <v>3</v>
      </c>
      <c r="N131" s="23">
        <v>3</v>
      </c>
      <c r="O131" s="23">
        <f t="shared" si="11"/>
        <v>1</v>
      </c>
    </row>
    <row r="132" spans="1:15" s="18" customFormat="1" ht="9" customHeight="1" x14ac:dyDescent="0.25">
      <c r="A132" s="22" t="s">
        <v>29</v>
      </c>
      <c r="B132" s="23">
        <v>27</v>
      </c>
      <c r="C132" s="23"/>
      <c r="D132" s="23">
        <v>8</v>
      </c>
      <c r="E132" s="23"/>
      <c r="F132" s="25">
        <f t="shared" si="9"/>
        <v>20</v>
      </c>
      <c r="G132" s="23">
        <v>6</v>
      </c>
      <c r="H132" s="23">
        <v>14</v>
      </c>
      <c r="I132" s="23">
        <v>20</v>
      </c>
      <c r="J132" s="23">
        <f t="shared" si="10"/>
        <v>8</v>
      </c>
      <c r="K132" s="23"/>
      <c r="L132" s="23">
        <v>5</v>
      </c>
      <c r="M132" s="23">
        <v>5</v>
      </c>
      <c r="N132" s="23">
        <v>7</v>
      </c>
      <c r="O132" s="23">
        <f t="shared" si="11"/>
        <v>3</v>
      </c>
    </row>
    <row r="133" spans="1:15" s="18" customFormat="1" ht="9" customHeight="1" x14ac:dyDescent="0.25">
      <c r="A133" s="26" t="s">
        <v>30</v>
      </c>
      <c r="B133" s="27">
        <v>28</v>
      </c>
      <c r="C133" s="27"/>
      <c r="D133" s="27">
        <v>4</v>
      </c>
      <c r="E133" s="27"/>
      <c r="F133" s="29">
        <f t="shared" si="9"/>
        <v>20</v>
      </c>
      <c r="G133" s="27">
        <v>3</v>
      </c>
      <c r="H133" s="27">
        <v>17</v>
      </c>
      <c r="I133" s="27">
        <v>15</v>
      </c>
      <c r="J133" s="27">
        <f t="shared" si="10"/>
        <v>9</v>
      </c>
      <c r="K133" s="27"/>
      <c r="L133" s="27">
        <v>6</v>
      </c>
      <c r="M133" s="27">
        <v>12</v>
      </c>
      <c r="N133" s="27">
        <v>18</v>
      </c>
      <c r="O133" s="27">
        <f t="shared" si="11"/>
        <v>0</v>
      </c>
    </row>
    <row r="134" spans="1:15" s="18" customFormat="1" ht="9" customHeight="1" x14ac:dyDescent="0.25">
      <c r="A134" s="22" t="s">
        <v>63</v>
      </c>
      <c r="B134" s="23">
        <v>903</v>
      </c>
      <c r="C134" s="23"/>
      <c r="D134" s="23">
        <v>214</v>
      </c>
      <c r="E134" s="23"/>
      <c r="F134" s="25">
        <f t="shared" si="9"/>
        <v>1505</v>
      </c>
      <c r="G134" s="23">
        <v>443</v>
      </c>
      <c r="H134" s="23">
        <v>1062</v>
      </c>
      <c r="I134" s="23">
        <v>1484</v>
      </c>
      <c r="J134" s="23">
        <f t="shared" si="10"/>
        <v>235</v>
      </c>
      <c r="K134" s="23"/>
      <c r="L134" s="23">
        <v>84</v>
      </c>
      <c r="M134" s="23">
        <v>236</v>
      </c>
      <c r="N134" s="23">
        <v>233</v>
      </c>
      <c r="O134" s="23">
        <f t="shared" si="11"/>
        <v>87</v>
      </c>
    </row>
    <row r="135" spans="1:15" s="18" customFormat="1" ht="9" customHeight="1" x14ac:dyDescent="0.25">
      <c r="A135" s="22" t="s">
        <v>31</v>
      </c>
      <c r="B135" s="23">
        <v>23</v>
      </c>
      <c r="C135" s="23"/>
      <c r="D135" s="23">
        <v>3</v>
      </c>
      <c r="E135" s="23"/>
      <c r="F135" s="25">
        <f t="shared" si="9"/>
        <v>12</v>
      </c>
      <c r="G135" s="23">
        <v>0</v>
      </c>
      <c r="H135" s="23">
        <v>12</v>
      </c>
      <c r="I135" s="23">
        <v>12</v>
      </c>
      <c r="J135" s="23">
        <f t="shared" si="10"/>
        <v>3</v>
      </c>
      <c r="K135" s="23"/>
      <c r="L135" s="23">
        <v>1</v>
      </c>
      <c r="M135" s="23">
        <v>13</v>
      </c>
      <c r="N135" s="23">
        <v>5</v>
      </c>
      <c r="O135" s="23">
        <f t="shared" si="11"/>
        <v>9</v>
      </c>
    </row>
    <row r="136" spans="1:15" s="18" customFormat="1" ht="9" customHeight="1" x14ac:dyDescent="0.25">
      <c r="A136" s="22" t="s">
        <v>32</v>
      </c>
      <c r="B136" s="23">
        <v>44</v>
      </c>
      <c r="C136" s="23"/>
      <c r="D136" s="23">
        <v>15</v>
      </c>
      <c r="E136" s="23"/>
      <c r="F136" s="25">
        <f t="shared" si="9"/>
        <v>58</v>
      </c>
      <c r="G136" s="23">
        <v>5</v>
      </c>
      <c r="H136" s="23">
        <v>53</v>
      </c>
      <c r="I136" s="23">
        <v>50</v>
      </c>
      <c r="J136" s="23">
        <f t="shared" si="10"/>
        <v>23</v>
      </c>
      <c r="K136" s="23"/>
      <c r="L136" s="23">
        <v>4</v>
      </c>
      <c r="M136" s="23">
        <v>10</v>
      </c>
      <c r="N136" s="23">
        <v>8</v>
      </c>
      <c r="O136" s="23">
        <f t="shared" si="11"/>
        <v>6</v>
      </c>
    </row>
    <row r="137" spans="1:15" s="18" customFormat="1" ht="9" customHeight="1" x14ac:dyDescent="0.25">
      <c r="A137" s="26" t="s">
        <v>33</v>
      </c>
      <c r="B137" s="27">
        <v>15</v>
      </c>
      <c r="C137" s="27"/>
      <c r="D137" s="27">
        <v>3</v>
      </c>
      <c r="E137" s="27"/>
      <c r="F137" s="29">
        <f t="shared" si="9"/>
        <v>21</v>
      </c>
      <c r="G137" s="27">
        <v>3</v>
      </c>
      <c r="H137" s="27">
        <v>18</v>
      </c>
      <c r="I137" s="27">
        <v>18</v>
      </c>
      <c r="J137" s="27">
        <f t="shared" si="10"/>
        <v>6</v>
      </c>
      <c r="K137" s="27"/>
      <c r="L137" s="27">
        <v>2</v>
      </c>
      <c r="M137" s="27">
        <v>9</v>
      </c>
      <c r="N137" s="27">
        <v>7</v>
      </c>
      <c r="O137" s="27">
        <f t="shared" si="11"/>
        <v>4</v>
      </c>
    </row>
    <row r="138" spans="1:15" s="18" customFormat="1" ht="9" customHeight="1" x14ac:dyDescent="0.25">
      <c r="A138" s="22" t="s">
        <v>34</v>
      </c>
      <c r="B138" s="23">
        <v>21</v>
      </c>
      <c r="C138" s="23"/>
      <c r="D138" s="23">
        <v>7</v>
      </c>
      <c r="E138" s="23"/>
      <c r="F138" s="25">
        <f t="shared" si="9"/>
        <v>22</v>
      </c>
      <c r="G138" s="23">
        <v>2</v>
      </c>
      <c r="H138" s="23">
        <v>20</v>
      </c>
      <c r="I138" s="23">
        <v>23</v>
      </c>
      <c r="J138" s="23">
        <f t="shared" si="10"/>
        <v>6</v>
      </c>
      <c r="K138" s="23"/>
      <c r="L138" s="23">
        <v>2</v>
      </c>
      <c r="M138" s="23">
        <v>13</v>
      </c>
      <c r="N138" s="23">
        <v>12</v>
      </c>
      <c r="O138" s="23">
        <f t="shared" si="11"/>
        <v>3</v>
      </c>
    </row>
    <row r="139" spans="1:15" s="18" customFormat="1" ht="9" customHeight="1" x14ac:dyDescent="0.25">
      <c r="A139" s="22" t="s">
        <v>35</v>
      </c>
      <c r="B139" s="23">
        <v>66</v>
      </c>
      <c r="C139" s="23"/>
      <c r="D139" s="23">
        <v>16</v>
      </c>
      <c r="E139" s="23"/>
      <c r="F139" s="25">
        <f t="shared" si="9"/>
        <v>57</v>
      </c>
      <c r="G139" s="23">
        <v>10</v>
      </c>
      <c r="H139" s="23">
        <v>47</v>
      </c>
      <c r="I139" s="23">
        <v>47</v>
      </c>
      <c r="J139" s="23">
        <f t="shared" si="10"/>
        <v>26</v>
      </c>
      <c r="K139" s="23"/>
      <c r="L139" s="23">
        <v>3</v>
      </c>
      <c r="M139" s="23">
        <v>24</v>
      </c>
      <c r="N139" s="23">
        <v>22</v>
      </c>
      <c r="O139" s="23">
        <f t="shared" si="11"/>
        <v>5</v>
      </c>
    </row>
    <row r="140" spans="1:15" s="18" customFormat="1" ht="9" customHeight="1" x14ac:dyDescent="0.25">
      <c r="A140" s="22" t="s">
        <v>36</v>
      </c>
      <c r="B140" s="23">
        <v>200</v>
      </c>
      <c r="C140" s="23"/>
      <c r="D140" s="23">
        <v>59</v>
      </c>
      <c r="E140" s="23"/>
      <c r="F140" s="25">
        <f t="shared" si="9"/>
        <v>260</v>
      </c>
      <c r="G140" s="23">
        <v>72</v>
      </c>
      <c r="H140" s="23">
        <v>188</v>
      </c>
      <c r="I140" s="23">
        <v>246</v>
      </c>
      <c r="J140" s="23">
        <f t="shared" si="10"/>
        <v>73</v>
      </c>
      <c r="K140" s="23"/>
      <c r="L140" s="23">
        <v>9</v>
      </c>
      <c r="M140" s="23">
        <v>52</v>
      </c>
      <c r="N140" s="23">
        <v>41</v>
      </c>
      <c r="O140" s="23">
        <f t="shared" si="11"/>
        <v>20</v>
      </c>
    </row>
    <row r="141" spans="1:15" s="18" customFormat="1" ht="9" customHeight="1" x14ac:dyDescent="0.25">
      <c r="A141" s="26" t="s">
        <v>37</v>
      </c>
      <c r="B141" s="27">
        <v>27</v>
      </c>
      <c r="C141" s="27"/>
      <c r="D141" s="27">
        <v>2</v>
      </c>
      <c r="E141" s="27"/>
      <c r="F141" s="29">
        <f t="shared" si="9"/>
        <v>27</v>
      </c>
      <c r="G141" s="27">
        <v>0</v>
      </c>
      <c r="H141" s="27">
        <v>27</v>
      </c>
      <c r="I141" s="27">
        <v>16</v>
      </c>
      <c r="J141" s="27">
        <f t="shared" si="10"/>
        <v>13</v>
      </c>
      <c r="K141" s="27"/>
      <c r="L141" s="27">
        <v>5</v>
      </c>
      <c r="M141" s="27">
        <v>12</v>
      </c>
      <c r="N141" s="27">
        <v>15</v>
      </c>
      <c r="O141" s="27">
        <f t="shared" si="11"/>
        <v>2</v>
      </c>
    </row>
    <row r="142" spans="1:15" s="18" customFormat="1" ht="9" customHeight="1" x14ac:dyDescent="0.25">
      <c r="A142" s="22" t="s">
        <v>38</v>
      </c>
      <c r="B142" s="23">
        <v>11</v>
      </c>
      <c r="C142" s="23"/>
      <c r="D142" s="23">
        <v>1</v>
      </c>
      <c r="E142" s="23"/>
      <c r="F142" s="25">
        <f t="shared" si="9"/>
        <v>17</v>
      </c>
      <c r="G142" s="23">
        <v>1</v>
      </c>
      <c r="H142" s="23">
        <v>16</v>
      </c>
      <c r="I142" s="23">
        <v>12</v>
      </c>
      <c r="J142" s="23">
        <f t="shared" si="10"/>
        <v>6</v>
      </c>
      <c r="K142" s="23"/>
      <c r="L142" s="23">
        <v>3</v>
      </c>
      <c r="M142" s="23">
        <v>7</v>
      </c>
      <c r="N142" s="23">
        <v>7</v>
      </c>
      <c r="O142" s="23">
        <f t="shared" si="11"/>
        <v>3</v>
      </c>
    </row>
    <row r="143" spans="1:15" s="18" customFormat="1" ht="9" customHeight="1" x14ac:dyDescent="0.25">
      <c r="A143" s="22" t="s">
        <v>39</v>
      </c>
      <c r="B143" s="23">
        <v>7</v>
      </c>
      <c r="C143" s="23"/>
      <c r="D143" s="23">
        <v>0</v>
      </c>
      <c r="E143" s="23"/>
      <c r="F143" s="25">
        <f t="shared" si="9"/>
        <v>3</v>
      </c>
      <c r="G143" s="23">
        <v>0</v>
      </c>
      <c r="H143" s="23">
        <v>3</v>
      </c>
      <c r="I143" s="23">
        <v>1</v>
      </c>
      <c r="J143" s="23">
        <f t="shared" si="10"/>
        <v>2</v>
      </c>
      <c r="K143" s="23"/>
      <c r="L143" s="23">
        <v>1</v>
      </c>
      <c r="M143" s="23">
        <v>8</v>
      </c>
      <c r="N143" s="23">
        <v>7</v>
      </c>
      <c r="O143" s="23">
        <f t="shared" si="11"/>
        <v>2</v>
      </c>
    </row>
    <row r="144" spans="1:15" s="18" customFormat="1" ht="9" customHeight="1" x14ac:dyDescent="0.25">
      <c r="A144" s="22" t="s">
        <v>40</v>
      </c>
      <c r="B144" s="23">
        <v>11</v>
      </c>
      <c r="C144" s="23"/>
      <c r="D144" s="23">
        <v>3</v>
      </c>
      <c r="E144" s="23"/>
      <c r="F144" s="25">
        <f t="shared" si="9"/>
        <v>18</v>
      </c>
      <c r="G144" s="23">
        <v>1</v>
      </c>
      <c r="H144" s="23">
        <v>17</v>
      </c>
      <c r="I144" s="23">
        <v>12</v>
      </c>
      <c r="J144" s="23">
        <f t="shared" si="10"/>
        <v>9</v>
      </c>
      <c r="K144" s="23"/>
      <c r="L144" s="23">
        <v>1</v>
      </c>
      <c r="M144" s="23">
        <v>7</v>
      </c>
      <c r="N144" s="23">
        <v>4</v>
      </c>
      <c r="O144" s="23">
        <f t="shared" si="11"/>
        <v>4</v>
      </c>
    </row>
    <row r="145" spans="1:15" s="18" customFormat="1" ht="9" customHeight="1" x14ac:dyDescent="0.25">
      <c r="A145" s="26" t="s">
        <v>41</v>
      </c>
      <c r="B145" s="27">
        <v>14</v>
      </c>
      <c r="C145" s="27"/>
      <c r="D145" s="27">
        <v>1</v>
      </c>
      <c r="E145" s="27"/>
      <c r="F145" s="29">
        <f t="shared" si="9"/>
        <v>10</v>
      </c>
      <c r="G145" s="27">
        <v>0</v>
      </c>
      <c r="H145" s="27">
        <v>10</v>
      </c>
      <c r="I145" s="27">
        <v>6</v>
      </c>
      <c r="J145" s="27">
        <f t="shared" si="10"/>
        <v>5</v>
      </c>
      <c r="K145" s="27"/>
      <c r="L145" s="27">
        <v>4</v>
      </c>
      <c r="M145" s="27">
        <v>14</v>
      </c>
      <c r="N145" s="27">
        <v>15</v>
      </c>
      <c r="O145" s="27">
        <f t="shared" si="11"/>
        <v>3</v>
      </c>
    </row>
    <row r="146" spans="1:15" s="18" customFormat="1" ht="9" customHeight="1" x14ac:dyDescent="0.25">
      <c r="A146" s="22" t="s">
        <v>42</v>
      </c>
      <c r="B146" s="23">
        <v>29</v>
      </c>
      <c r="C146" s="23"/>
      <c r="D146" s="23">
        <v>11</v>
      </c>
      <c r="E146" s="23"/>
      <c r="F146" s="25">
        <f t="shared" si="9"/>
        <v>33</v>
      </c>
      <c r="G146" s="23">
        <v>1</v>
      </c>
      <c r="H146" s="23">
        <v>32</v>
      </c>
      <c r="I146" s="23">
        <v>32</v>
      </c>
      <c r="J146" s="23">
        <f t="shared" si="10"/>
        <v>12</v>
      </c>
      <c r="K146" s="23"/>
      <c r="L146" s="23">
        <v>8</v>
      </c>
      <c r="M146" s="23">
        <v>16</v>
      </c>
      <c r="N146" s="23">
        <v>19</v>
      </c>
      <c r="O146" s="23">
        <f t="shared" si="11"/>
        <v>5</v>
      </c>
    </row>
    <row r="147" spans="1:15" s="18" customFormat="1" ht="9" customHeight="1" x14ac:dyDescent="0.25">
      <c r="A147" s="22" t="s">
        <v>43</v>
      </c>
      <c r="B147" s="23">
        <v>52</v>
      </c>
      <c r="C147" s="23"/>
      <c r="D147" s="23">
        <v>14</v>
      </c>
      <c r="E147" s="23"/>
      <c r="F147" s="25">
        <f t="shared" si="9"/>
        <v>32</v>
      </c>
      <c r="G147" s="23">
        <v>4</v>
      </c>
      <c r="H147" s="23">
        <v>28</v>
      </c>
      <c r="I147" s="23">
        <v>39</v>
      </c>
      <c r="J147" s="23">
        <f t="shared" si="10"/>
        <v>7</v>
      </c>
      <c r="K147" s="23"/>
      <c r="L147" s="23">
        <v>2</v>
      </c>
      <c r="M147" s="23">
        <v>12</v>
      </c>
      <c r="N147" s="23">
        <v>6</v>
      </c>
      <c r="O147" s="23">
        <f t="shared" si="11"/>
        <v>8</v>
      </c>
    </row>
    <row r="148" spans="1:15" s="18" customFormat="1" ht="9" customHeight="1" x14ac:dyDescent="0.25">
      <c r="A148" s="22" t="s">
        <v>44</v>
      </c>
      <c r="B148" s="23">
        <v>8</v>
      </c>
      <c r="C148" s="23"/>
      <c r="D148" s="23">
        <v>1</v>
      </c>
      <c r="E148" s="23"/>
      <c r="F148" s="25">
        <f t="shared" si="9"/>
        <v>4</v>
      </c>
      <c r="G148" s="23">
        <v>1</v>
      </c>
      <c r="H148" s="23">
        <v>3</v>
      </c>
      <c r="I148" s="23">
        <v>3</v>
      </c>
      <c r="J148" s="23">
        <f t="shared" si="10"/>
        <v>2</v>
      </c>
      <c r="K148" s="23"/>
      <c r="L148" s="23">
        <v>6</v>
      </c>
      <c r="M148" s="23">
        <v>6</v>
      </c>
      <c r="N148" s="23">
        <v>11</v>
      </c>
      <c r="O148" s="23">
        <f t="shared" si="11"/>
        <v>1</v>
      </c>
    </row>
    <row r="149" spans="1:15" s="18" customFormat="1" ht="9" customHeight="1" x14ac:dyDescent="0.25">
      <c r="A149" s="26" t="s">
        <v>45</v>
      </c>
      <c r="B149" s="27">
        <v>24</v>
      </c>
      <c r="C149" s="27"/>
      <c r="D149" s="27">
        <v>5</v>
      </c>
      <c r="E149" s="27"/>
      <c r="F149" s="29">
        <f t="shared" si="9"/>
        <v>18</v>
      </c>
      <c r="G149" s="27">
        <v>3</v>
      </c>
      <c r="H149" s="27">
        <v>15</v>
      </c>
      <c r="I149" s="27">
        <v>14</v>
      </c>
      <c r="J149" s="27">
        <f t="shared" si="10"/>
        <v>9</v>
      </c>
      <c r="K149" s="27"/>
      <c r="L149" s="27">
        <v>3</v>
      </c>
      <c r="M149" s="27">
        <v>2</v>
      </c>
      <c r="N149" s="27">
        <v>3</v>
      </c>
      <c r="O149" s="27">
        <f t="shared" si="11"/>
        <v>2</v>
      </c>
    </row>
    <row r="150" spans="1:15" s="18" customFormat="1" ht="9" customHeight="1" x14ac:dyDescent="0.25">
      <c r="A150" s="22" t="s">
        <v>46</v>
      </c>
      <c r="B150" s="23">
        <v>10</v>
      </c>
      <c r="C150" s="23"/>
      <c r="D150" s="23">
        <v>0</v>
      </c>
      <c r="E150" s="23"/>
      <c r="F150" s="25">
        <f t="shared" si="9"/>
        <v>10</v>
      </c>
      <c r="G150" s="23">
        <v>2</v>
      </c>
      <c r="H150" s="23">
        <v>8</v>
      </c>
      <c r="I150" s="23">
        <v>6</v>
      </c>
      <c r="J150" s="23">
        <f t="shared" si="10"/>
        <v>4</v>
      </c>
      <c r="K150" s="23"/>
      <c r="L150" s="23">
        <v>4</v>
      </c>
      <c r="M150" s="23">
        <v>11</v>
      </c>
      <c r="N150" s="23">
        <v>10</v>
      </c>
      <c r="O150" s="23">
        <f t="shared" si="11"/>
        <v>5</v>
      </c>
    </row>
    <row r="151" spans="1:15" s="18" customFormat="1" ht="9" customHeight="1" x14ac:dyDescent="0.25">
      <c r="A151" s="22" t="s">
        <v>47</v>
      </c>
      <c r="B151" s="23">
        <v>18</v>
      </c>
      <c r="C151" s="23"/>
      <c r="D151" s="23">
        <v>7</v>
      </c>
      <c r="E151" s="23"/>
      <c r="F151" s="25">
        <f t="shared" si="9"/>
        <v>15</v>
      </c>
      <c r="G151" s="23">
        <v>2</v>
      </c>
      <c r="H151" s="23">
        <v>13</v>
      </c>
      <c r="I151" s="23">
        <v>15</v>
      </c>
      <c r="J151" s="23">
        <f t="shared" si="10"/>
        <v>7</v>
      </c>
      <c r="K151" s="23"/>
      <c r="L151" s="23">
        <v>1</v>
      </c>
      <c r="M151" s="23">
        <v>10</v>
      </c>
      <c r="N151" s="23">
        <v>4</v>
      </c>
      <c r="O151" s="23">
        <f t="shared" si="11"/>
        <v>7</v>
      </c>
    </row>
    <row r="152" spans="1:15" s="18" customFormat="1" ht="9" customHeight="1" x14ac:dyDescent="0.25">
      <c r="A152" s="22" t="s">
        <v>48</v>
      </c>
      <c r="B152" s="23">
        <v>12</v>
      </c>
      <c r="C152" s="23"/>
      <c r="D152" s="23">
        <v>4</v>
      </c>
      <c r="E152" s="23"/>
      <c r="F152" s="25">
        <f t="shared" si="9"/>
        <v>22</v>
      </c>
      <c r="G152" s="23">
        <v>4</v>
      </c>
      <c r="H152" s="23">
        <v>18</v>
      </c>
      <c r="I152" s="23">
        <v>18</v>
      </c>
      <c r="J152" s="23">
        <f t="shared" si="10"/>
        <v>8</v>
      </c>
      <c r="K152" s="23"/>
      <c r="L152" s="23">
        <v>1</v>
      </c>
      <c r="M152" s="23">
        <v>7</v>
      </c>
      <c r="N152" s="23">
        <v>7</v>
      </c>
      <c r="O152" s="23">
        <f t="shared" si="11"/>
        <v>1</v>
      </c>
    </row>
    <row r="153" spans="1:15" s="18" customFormat="1" ht="9" customHeight="1" x14ac:dyDescent="0.25">
      <c r="A153" s="26" t="s">
        <v>49</v>
      </c>
      <c r="B153" s="27">
        <v>21</v>
      </c>
      <c r="C153" s="27"/>
      <c r="D153" s="27">
        <v>14</v>
      </c>
      <c r="E153" s="27"/>
      <c r="F153" s="29">
        <f t="shared" si="9"/>
        <v>15</v>
      </c>
      <c r="G153" s="27">
        <v>1</v>
      </c>
      <c r="H153" s="27">
        <v>14</v>
      </c>
      <c r="I153" s="27">
        <v>24</v>
      </c>
      <c r="J153" s="27">
        <f t="shared" si="10"/>
        <v>5</v>
      </c>
      <c r="K153" s="27"/>
      <c r="L153" s="27">
        <v>0</v>
      </c>
      <c r="M153" s="27">
        <v>8</v>
      </c>
      <c r="N153" s="27">
        <v>4</v>
      </c>
      <c r="O153" s="27">
        <f t="shared" si="11"/>
        <v>4</v>
      </c>
    </row>
    <row r="154" spans="1:15" s="18" customFormat="1" ht="9" customHeight="1" x14ac:dyDescent="0.25">
      <c r="A154" s="22" t="s">
        <v>50</v>
      </c>
      <c r="B154" s="23">
        <v>8</v>
      </c>
      <c r="C154" s="23"/>
      <c r="D154" s="23">
        <v>1</v>
      </c>
      <c r="E154" s="23"/>
      <c r="F154" s="25">
        <f t="shared" si="9"/>
        <v>5</v>
      </c>
      <c r="G154" s="23">
        <v>0</v>
      </c>
      <c r="H154" s="23">
        <v>5</v>
      </c>
      <c r="I154" s="23">
        <v>3</v>
      </c>
      <c r="J154" s="23">
        <f t="shared" si="10"/>
        <v>3</v>
      </c>
      <c r="K154" s="23"/>
      <c r="L154" s="23">
        <v>1</v>
      </c>
      <c r="M154" s="23">
        <v>2</v>
      </c>
      <c r="N154" s="23">
        <v>2</v>
      </c>
      <c r="O154" s="23">
        <f t="shared" si="11"/>
        <v>1</v>
      </c>
    </row>
    <row r="155" spans="1:15" s="18" customFormat="1" ht="9" customHeight="1" x14ac:dyDescent="0.25">
      <c r="A155" s="22" t="s">
        <v>51</v>
      </c>
      <c r="B155" s="23">
        <v>32</v>
      </c>
      <c r="C155" s="23"/>
      <c r="D155" s="23">
        <v>14</v>
      </c>
      <c r="E155" s="23"/>
      <c r="F155" s="25">
        <f t="shared" si="9"/>
        <v>43</v>
      </c>
      <c r="G155" s="23">
        <v>7</v>
      </c>
      <c r="H155" s="23">
        <v>36</v>
      </c>
      <c r="I155" s="23">
        <v>44</v>
      </c>
      <c r="J155" s="23">
        <f t="shared" si="10"/>
        <v>13</v>
      </c>
      <c r="K155" s="23"/>
      <c r="L155" s="23">
        <v>7</v>
      </c>
      <c r="M155" s="23">
        <v>33</v>
      </c>
      <c r="N155" s="23">
        <v>29</v>
      </c>
      <c r="O155" s="23">
        <f t="shared" si="11"/>
        <v>11</v>
      </c>
    </row>
    <row r="156" spans="1:15" s="18" customFormat="1" ht="9" customHeight="1" x14ac:dyDescent="0.25">
      <c r="A156" s="22" t="s">
        <v>52</v>
      </c>
      <c r="B156" s="23">
        <v>6</v>
      </c>
      <c r="C156" s="23"/>
      <c r="D156" s="23">
        <v>3</v>
      </c>
      <c r="E156" s="23"/>
      <c r="F156" s="25">
        <f t="shared" si="9"/>
        <v>4</v>
      </c>
      <c r="G156" s="23">
        <v>0</v>
      </c>
      <c r="H156" s="23">
        <v>4</v>
      </c>
      <c r="I156" s="23">
        <v>7</v>
      </c>
      <c r="J156" s="23">
        <f t="shared" si="10"/>
        <v>0</v>
      </c>
      <c r="K156" s="23"/>
      <c r="L156" s="23">
        <v>1</v>
      </c>
      <c r="M156" s="23">
        <v>7</v>
      </c>
      <c r="N156" s="23">
        <v>6</v>
      </c>
      <c r="O156" s="23">
        <f t="shared" si="11"/>
        <v>2</v>
      </c>
    </row>
    <row r="157" spans="1:15" s="18" customFormat="1" ht="9" customHeight="1" x14ac:dyDescent="0.25">
      <c r="A157" s="26" t="s">
        <v>53</v>
      </c>
      <c r="B157" s="27">
        <v>5</v>
      </c>
      <c r="C157" s="27"/>
      <c r="D157" s="27">
        <v>1</v>
      </c>
      <c r="E157" s="27"/>
      <c r="F157" s="29">
        <f t="shared" si="9"/>
        <v>4</v>
      </c>
      <c r="G157" s="27">
        <v>0</v>
      </c>
      <c r="H157" s="27">
        <v>4</v>
      </c>
      <c r="I157" s="27">
        <v>4</v>
      </c>
      <c r="J157" s="27">
        <f t="shared" si="10"/>
        <v>1</v>
      </c>
      <c r="K157" s="27"/>
      <c r="L157" s="27">
        <v>6</v>
      </c>
      <c r="M157" s="27">
        <v>8</v>
      </c>
      <c r="N157" s="27">
        <v>11</v>
      </c>
      <c r="O157" s="27">
        <f t="shared" si="11"/>
        <v>3</v>
      </c>
    </row>
    <row r="158" spans="1:15" s="18" customFormat="1" ht="9" customHeight="1" x14ac:dyDescent="0.25">
      <c r="A158" s="22" t="s">
        <v>54</v>
      </c>
      <c r="B158" s="23">
        <v>151</v>
      </c>
      <c r="C158" s="23"/>
      <c r="D158" s="23">
        <v>0</v>
      </c>
      <c r="E158" s="23"/>
      <c r="F158" s="25">
        <f t="shared" si="9"/>
        <v>0</v>
      </c>
      <c r="G158" s="23">
        <v>0</v>
      </c>
      <c r="H158" s="23">
        <v>0</v>
      </c>
      <c r="I158" s="23">
        <v>0</v>
      </c>
      <c r="J158" s="23">
        <f t="shared" si="10"/>
        <v>0</v>
      </c>
      <c r="K158" s="23"/>
      <c r="L158" s="23">
        <v>0</v>
      </c>
      <c r="M158" s="23">
        <v>0</v>
      </c>
      <c r="N158" s="23">
        <v>0</v>
      </c>
      <c r="O158" s="23">
        <f t="shared" si="11"/>
        <v>0</v>
      </c>
    </row>
    <row r="159" spans="1:15" s="18" customFormat="1" ht="9" customHeight="1" x14ac:dyDescent="0.25">
      <c r="A159" s="22"/>
      <c r="B159" s="17"/>
      <c r="C159" s="17"/>
      <c r="D159" s="17"/>
      <c r="E159" s="17"/>
      <c r="G159" s="17"/>
      <c r="H159" s="17"/>
      <c r="I159" s="17"/>
      <c r="J159" s="17"/>
      <c r="K159" s="17"/>
      <c r="L159" s="17"/>
      <c r="M159" s="17"/>
      <c r="N159" s="17"/>
      <c r="O159" s="17"/>
    </row>
    <row r="160" spans="1:15" s="18" customFormat="1" ht="9" customHeight="1" x14ac:dyDescent="0.25">
      <c r="A160" s="16">
        <v>2000</v>
      </c>
      <c r="H160" s="20"/>
      <c r="I160" s="20"/>
      <c r="J160" s="20"/>
      <c r="K160" s="20"/>
      <c r="L160" s="20"/>
      <c r="M160" s="20"/>
      <c r="O160" s="20"/>
    </row>
    <row r="161" spans="1:15" s="18" customFormat="1" ht="11.1" customHeight="1" x14ac:dyDescent="0.25">
      <c r="A161" s="19" t="s">
        <v>21</v>
      </c>
      <c r="B161" s="20">
        <f>SUM(B163:B195)</f>
        <v>1672</v>
      </c>
      <c r="C161" s="20"/>
      <c r="D161" s="20">
        <f>SUM(D163:D195)</f>
        <v>527</v>
      </c>
      <c r="E161" s="20"/>
      <c r="F161" s="20">
        <f>SUM(F163:F195)</f>
        <v>2607</v>
      </c>
      <c r="G161" s="20">
        <f>SUM(G163:G195)</f>
        <v>692</v>
      </c>
      <c r="H161" s="20">
        <f>SUM(H163:H195)</f>
        <v>1915</v>
      </c>
      <c r="I161" s="20">
        <f>SUM(I163:I195)</f>
        <v>2689</v>
      </c>
      <c r="J161" s="20">
        <f>SUM(J163:J195)</f>
        <v>445</v>
      </c>
      <c r="K161" s="20"/>
      <c r="L161" s="20">
        <f>SUM(L163:L195)</f>
        <v>214</v>
      </c>
      <c r="M161" s="20">
        <f>SUM(M163:M195)</f>
        <v>644</v>
      </c>
      <c r="N161" s="20">
        <f>SUM(N163:N195)</f>
        <v>742</v>
      </c>
      <c r="O161" s="20">
        <f>SUM(O163:O195)</f>
        <v>116</v>
      </c>
    </row>
    <row r="162" spans="1:15" s="18" customFormat="1" ht="3" customHeight="1" x14ac:dyDescent="0.25">
      <c r="A162" s="19"/>
      <c r="B162" s="20"/>
      <c r="C162" s="20"/>
      <c r="D162" s="20"/>
      <c r="E162" s="20"/>
      <c r="G162" s="20"/>
      <c r="H162" s="23"/>
      <c r="I162" s="23"/>
      <c r="J162" s="23"/>
      <c r="K162" s="23"/>
      <c r="L162" s="23"/>
      <c r="M162" s="23"/>
      <c r="N162" s="20"/>
      <c r="O162" s="23"/>
    </row>
    <row r="163" spans="1:15" s="18" customFormat="1" ht="9" customHeight="1" x14ac:dyDescent="0.25">
      <c r="A163" s="22" t="s">
        <v>23</v>
      </c>
      <c r="B163" s="23">
        <v>12</v>
      </c>
      <c r="C163" s="23"/>
      <c r="D163" s="23">
        <v>9</v>
      </c>
      <c r="E163" s="23"/>
      <c r="F163" s="25">
        <f t="shared" ref="F163:F195" si="12">SUM(G163:H163)</f>
        <v>31</v>
      </c>
      <c r="G163" s="23">
        <v>0</v>
      </c>
      <c r="H163" s="23">
        <v>31</v>
      </c>
      <c r="I163" s="23">
        <v>23</v>
      </c>
      <c r="J163" s="23">
        <f t="shared" ref="J163:J195" si="13">(D163+F163)-I163</f>
        <v>17</v>
      </c>
      <c r="K163" s="23"/>
      <c r="L163" s="23">
        <v>2</v>
      </c>
      <c r="M163" s="23">
        <v>12</v>
      </c>
      <c r="N163" s="23">
        <v>7</v>
      </c>
      <c r="O163" s="23">
        <f t="shared" ref="O163:O195" si="14">(L163+M163)-N163</f>
        <v>7</v>
      </c>
    </row>
    <row r="164" spans="1:15" s="18" customFormat="1" ht="9" customHeight="1" x14ac:dyDescent="0.25">
      <c r="A164" s="22" t="s">
        <v>24</v>
      </c>
      <c r="B164" s="23">
        <v>31</v>
      </c>
      <c r="C164" s="23"/>
      <c r="D164" s="23">
        <v>11</v>
      </c>
      <c r="E164" s="23"/>
      <c r="F164" s="25">
        <f t="shared" si="12"/>
        <v>26</v>
      </c>
      <c r="G164" s="23">
        <v>6</v>
      </c>
      <c r="H164" s="23">
        <v>20</v>
      </c>
      <c r="I164" s="23">
        <v>30</v>
      </c>
      <c r="J164" s="23">
        <f t="shared" si="13"/>
        <v>7</v>
      </c>
      <c r="K164" s="23"/>
      <c r="L164" s="23">
        <v>5</v>
      </c>
      <c r="M164" s="23">
        <v>11</v>
      </c>
      <c r="N164" s="23">
        <v>14</v>
      </c>
      <c r="O164" s="23">
        <f t="shared" si="14"/>
        <v>2</v>
      </c>
    </row>
    <row r="165" spans="1:15" s="18" customFormat="1" ht="9" customHeight="1" x14ac:dyDescent="0.25">
      <c r="A165" s="22" t="s">
        <v>25</v>
      </c>
      <c r="B165" s="23">
        <v>4</v>
      </c>
      <c r="C165" s="23"/>
      <c r="D165" s="23">
        <v>2</v>
      </c>
      <c r="E165" s="23"/>
      <c r="F165" s="25">
        <f t="shared" si="12"/>
        <v>7</v>
      </c>
      <c r="G165" s="23">
        <v>0</v>
      </c>
      <c r="H165" s="23">
        <v>7</v>
      </c>
      <c r="I165" s="23">
        <v>6</v>
      </c>
      <c r="J165" s="23">
        <f t="shared" si="13"/>
        <v>3</v>
      </c>
      <c r="K165" s="23"/>
      <c r="L165" s="23">
        <v>0</v>
      </c>
      <c r="M165" s="23">
        <v>4</v>
      </c>
      <c r="N165" s="23">
        <v>4</v>
      </c>
      <c r="O165" s="23">
        <f t="shared" si="14"/>
        <v>0</v>
      </c>
    </row>
    <row r="166" spans="1:15" s="18" customFormat="1" ht="9" customHeight="1" x14ac:dyDescent="0.25">
      <c r="A166" s="26" t="s">
        <v>26</v>
      </c>
      <c r="B166" s="27">
        <v>7</v>
      </c>
      <c r="C166" s="27"/>
      <c r="D166" s="27">
        <v>1</v>
      </c>
      <c r="E166" s="27"/>
      <c r="F166" s="29">
        <f t="shared" si="12"/>
        <v>7</v>
      </c>
      <c r="G166" s="27">
        <v>0</v>
      </c>
      <c r="H166" s="27">
        <v>7</v>
      </c>
      <c r="I166" s="27">
        <v>6</v>
      </c>
      <c r="J166" s="27">
        <f t="shared" si="13"/>
        <v>2</v>
      </c>
      <c r="K166" s="27"/>
      <c r="L166" s="27">
        <v>2</v>
      </c>
      <c r="M166" s="27">
        <v>3</v>
      </c>
      <c r="N166" s="27">
        <v>5</v>
      </c>
      <c r="O166" s="27">
        <f t="shared" si="14"/>
        <v>0</v>
      </c>
    </row>
    <row r="167" spans="1:15" s="18" customFormat="1" ht="9" customHeight="1" x14ac:dyDescent="0.25">
      <c r="A167" s="22" t="s">
        <v>27</v>
      </c>
      <c r="B167" s="23">
        <v>30</v>
      </c>
      <c r="C167" s="23"/>
      <c r="D167" s="23">
        <v>9</v>
      </c>
      <c r="E167" s="23"/>
      <c r="F167" s="25">
        <f t="shared" si="12"/>
        <v>28</v>
      </c>
      <c r="G167" s="23">
        <v>8</v>
      </c>
      <c r="H167" s="23">
        <v>20</v>
      </c>
      <c r="I167" s="23">
        <v>28</v>
      </c>
      <c r="J167" s="23">
        <f t="shared" si="13"/>
        <v>9</v>
      </c>
      <c r="K167" s="23"/>
      <c r="L167" s="23">
        <v>3</v>
      </c>
      <c r="M167" s="23">
        <v>18</v>
      </c>
      <c r="N167" s="23">
        <v>15</v>
      </c>
      <c r="O167" s="23">
        <f t="shared" si="14"/>
        <v>6</v>
      </c>
    </row>
    <row r="168" spans="1:15" s="18" customFormat="1" ht="9" customHeight="1" x14ac:dyDescent="0.25">
      <c r="A168" s="22" t="s">
        <v>28</v>
      </c>
      <c r="B168" s="23">
        <v>1</v>
      </c>
      <c r="C168" s="23"/>
      <c r="D168" s="23">
        <v>0</v>
      </c>
      <c r="E168" s="23"/>
      <c r="F168" s="25">
        <f t="shared" si="12"/>
        <v>10</v>
      </c>
      <c r="G168" s="23">
        <v>1</v>
      </c>
      <c r="H168" s="23">
        <v>9</v>
      </c>
      <c r="I168" s="23">
        <v>7</v>
      </c>
      <c r="J168" s="23">
        <f t="shared" si="13"/>
        <v>3</v>
      </c>
      <c r="K168" s="23"/>
      <c r="L168" s="23">
        <v>1</v>
      </c>
      <c r="M168" s="23">
        <v>6</v>
      </c>
      <c r="N168" s="23">
        <v>5</v>
      </c>
      <c r="O168" s="23">
        <f t="shared" si="14"/>
        <v>2</v>
      </c>
    </row>
    <row r="169" spans="1:15" s="18" customFormat="1" ht="9" customHeight="1" x14ac:dyDescent="0.25">
      <c r="A169" s="22" t="s">
        <v>29</v>
      </c>
      <c r="B169" s="23">
        <v>22</v>
      </c>
      <c r="C169" s="23"/>
      <c r="D169" s="23">
        <v>8</v>
      </c>
      <c r="E169" s="23"/>
      <c r="F169" s="25">
        <f t="shared" si="12"/>
        <v>18</v>
      </c>
      <c r="G169" s="23">
        <v>2</v>
      </c>
      <c r="H169" s="23">
        <v>16</v>
      </c>
      <c r="I169" s="23">
        <v>21</v>
      </c>
      <c r="J169" s="23">
        <f t="shared" si="13"/>
        <v>5</v>
      </c>
      <c r="K169" s="23"/>
      <c r="L169" s="23">
        <v>3</v>
      </c>
      <c r="M169" s="23">
        <v>14</v>
      </c>
      <c r="N169" s="23">
        <v>15</v>
      </c>
      <c r="O169" s="23">
        <f t="shared" si="14"/>
        <v>2</v>
      </c>
    </row>
    <row r="170" spans="1:15" s="18" customFormat="1" ht="9" customHeight="1" x14ac:dyDescent="0.25">
      <c r="A170" s="26" t="s">
        <v>30</v>
      </c>
      <c r="B170" s="27">
        <v>38</v>
      </c>
      <c r="C170" s="27"/>
      <c r="D170" s="27">
        <v>9</v>
      </c>
      <c r="E170" s="27"/>
      <c r="F170" s="29">
        <f t="shared" si="12"/>
        <v>50</v>
      </c>
      <c r="G170" s="27">
        <v>13</v>
      </c>
      <c r="H170" s="27">
        <v>37</v>
      </c>
      <c r="I170" s="27">
        <v>39</v>
      </c>
      <c r="J170" s="27">
        <f t="shared" si="13"/>
        <v>20</v>
      </c>
      <c r="K170" s="27"/>
      <c r="L170" s="27">
        <v>0</v>
      </c>
      <c r="M170" s="27">
        <v>18</v>
      </c>
      <c r="N170" s="27">
        <v>10</v>
      </c>
      <c r="O170" s="27">
        <f t="shared" si="14"/>
        <v>8</v>
      </c>
    </row>
    <row r="171" spans="1:15" s="18" customFormat="1" ht="9" customHeight="1" x14ac:dyDescent="0.25">
      <c r="A171" s="22" t="s">
        <v>63</v>
      </c>
      <c r="B171" s="23">
        <v>822</v>
      </c>
      <c r="C171" s="23"/>
      <c r="D171" s="23">
        <v>235</v>
      </c>
      <c r="E171" s="23"/>
      <c r="F171" s="25">
        <f t="shared" si="12"/>
        <v>1571</v>
      </c>
      <c r="G171" s="23">
        <v>467</v>
      </c>
      <c r="H171" s="23">
        <v>1104</v>
      </c>
      <c r="I171" s="23">
        <v>1649</v>
      </c>
      <c r="J171" s="23">
        <f t="shared" si="13"/>
        <v>157</v>
      </c>
      <c r="K171" s="23"/>
      <c r="L171" s="23">
        <v>87</v>
      </c>
      <c r="M171" s="23">
        <v>239</v>
      </c>
      <c r="N171" s="23">
        <v>292</v>
      </c>
      <c r="O171" s="23">
        <f t="shared" si="14"/>
        <v>34</v>
      </c>
    </row>
    <row r="172" spans="1:15" s="18" customFormat="1" ht="9" customHeight="1" x14ac:dyDescent="0.25">
      <c r="A172" s="22" t="s">
        <v>31</v>
      </c>
      <c r="B172" s="23">
        <v>20</v>
      </c>
      <c r="C172" s="23"/>
      <c r="D172" s="23">
        <v>3</v>
      </c>
      <c r="E172" s="23"/>
      <c r="F172" s="25">
        <f t="shared" si="12"/>
        <v>20</v>
      </c>
      <c r="G172" s="23">
        <v>3</v>
      </c>
      <c r="H172" s="23">
        <v>17</v>
      </c>
      <c r="I172" s="23">
        <v>18</v>
      </c>
      <c r="J172" s="23">
        <f t="shared" si="13"/>
        <v>5</v>
      </c>
      <c r="K172" s="23"/>
      <c r="L172" s="23">
        <v>9</v>
      </c>
      <c r="M172" s="23">
        <v>13</v>
      </c>
      <c r="N172" s="23">
        <v>20</v>
      </c>
      <c r="O172" s="23">
        <f t="shared" si="14"/>
        <v>2</v>
      </c>
    </row>
    <row r="173" spans="1:15" s="18" customFormat="1" ht="9" customHeight="1" x14ac:dyDescent="0.25">
      <c r="A173" s="22" t="s">
        <v>32</v>
      </c>
      <c r="B173" s="23">
        <v>32</v>
      </c>
      <c r="C173" s="23"/>
      <c r="D173" s="23">
        <v>23</v>
      </c>
      <c r="E173" s="23"/>
      <c r="F173" s="25">
        <f t="shared" si="12"/>
        <v>55</v>
      </c>
      <c r="G173" s="23">
        <v>5</v>
      </c>
      <c r="H173" s="23">
        <v>50</v>
      </c>
      <c r="I173" s="23">
        <v>59</v>
      </c>
      <c r="J173" s="23">
        <f t="shared" si="13"/>
        <v>19</v>
      </c>
      <c r="K173" s="23"/>
      <c r="L173" s="23">
        <v>6</v>
      </c>
      <c r="M173" s="23">
        <v>14</v>
      </c>
      <c r="N173" s="23">
        <v>18</v>
      </c>
      <c r="O173" s="23">
        <f t="shared" si="14"/>
        <v>2</v>
      </c>
    </row>
    <row r="174" spans="1:15" s="18" customFormat="1" ht="9" customHeight="1" x14ac:dyDescent="0.25">
      <c r="A174" s="26" t="s">
        <v>33</v>
      </c>
      <c r="B174" s="27">
        <v>13</v>
      </c>
      <c r="C174" s="27"/>
      <c r="D174" s="27">
        <v>6</v>
      </c>
      <c r="E174" s="27"/>
      <c r="F174" s="29">
        <f t="shared" si="12"/>
        <v>23</v>
      </c>
      <c r="G174" s="27">
        <v>3</v>
      </c>
      <c r="H174" s="27">
        <v>20</v>
      </c>
      <c r="I174" s="27">
        <v>18</v>
      </c>
      <c r="J174" s="27">
        <f t="shared" si="13"/>
        <v>11</v>
      </c>
      <c r="K174" s="27"/>
      <c r="L174" s="27">
        <v>4</v>
      </c>
      <c r="M174" s="27">
        <v>4</v>
      </c>
      <c r="N174" s="27">
        <v>8</v>
      </c>
      <c r="O174" s="27">
        <f t="shared" si="14"/>
        <v>0</v>
      </c>
    </row>
    <row r="175" spans="1:15" s="18" customFormat="1" ht="9" customHeight="1" x14ac:dyDescent="0.25">
      <c r="A175" s="22" t="s">
        <v>34</v>
      </c>
      <c r="B175" s="23">
        <v>23</v>
      </c>
      <c r="C175" s="23"/>
      <c r="D175" s="23">
        <v>6</v>
      </c>
      <c r="E175" s="23"/>
      <c r="F175" s="25">
        <f t="shared" si="12"/>
        <v>25</v>
      </c>
      <c r="G175" s="23">
        <v>4</v>
      </c>
      <c r="H175" s="23">
        <v>21</v>
      </c>
      <c r="I175" s="23">
        <v>22</v>
      </c>
      <c r="J175" s="23">
        <f t="shared" si="13"/>
        <v>9</v>
      </c>
      <c r="K175" s="23"/>
      <c r="L175" s="23">
        <v>3</v>
      </c>
      <c r="M175" s="23">
        <v>10</v>
      </c>
      <c r="N175" s="23">
        <v>12</v>
      </c>
      <c r="O175" s="23">
        <f t="shared" si="14"/>
        <v>1</v>
      </c>
    </row>
    <row r="176" spans="1:15" s="18" customFormat="1" ht="9" customHeight="1" x14ac:dyDescent="0.25">
      <c r="A176" s="22" t="s">
        <v>35</v>
      </c>
      <c r="B176" s="23">
        <v>105</v>
      </c>
      <c r="C176" s="23"/>
      <c r="D176" s="23">
        <v>26</v>
      </c>
      <c r="E176" s="23"/>
      <c r="F176" s="25">
        <f t="shared" si="12"/>
        <v>70</v>
      </c>
      <c r="G176" s="23">
        <v>10</v>
      </c>
      <c r="H176" s="23">
        <v>60</v>
      </c>
      <c r="I176" s="23">
        <v>72</v>
      </c>
      <c r="J176" s="23">
        <f t="shared" si="13"/>
        <v>24</v>
      </c>
      <c r="K176" s="23"/>
      <c r="L176" s="23">
        <v>5</v>
      </c>
      <c r="M176" s="23">
        <v>17</v>
      </c>
      <c r="N176" s="23">
        <v>16</v>
      </c>
      <c r="O176" s="23">
        <f t="shared" si="14"/>
        <v>6</v>
      </c>
    </row>
    <row r="177" spans="1:15" s="18" customFormat="1" ht="9" customHeight="1" x14ac:dyDescent="0.25">
      <c r="A177" s="22" t="s">
        <v>36</v>
      </c>
      <c r="B177" s="23">
        <v>194</v>
      </c>
      <c r="C177" s="23"/>
      <c r="D177" s="23">
        <v>73</v>
      </c>
      <c r="E177" s="23"/>
      <c r="F177" s="25">
        <f t="shared" si="12"/>
        <v>292</v>
      </c>
      <c r="G177" s="23">
        <v>103</v>
      </c>
      <c r="H177" s="23">
        <v>189</v>
      </c>
      <c r="I177" s="23">
        <v>317</v>
      </c>
      <c r="J177" s="23">
        <f t="shared" si="13"/>
        <v>48</v>
      </c>
      <c r="K177" s="23"/>
      <c r="L177" s="23">
        <v>20</v>
      </c>
      <c r="M177" s="23">
        <v>36</v>
      </c>
      <c r="N177" s="23">
        <v>51</v>
      </c>
      <c r="O177" s="23">
        <f t="shared" si="14"/>
        <v>5</v>
      </c>
    </row>
    <row r="178" spans="1:15" s="18" customFormat="1" ht="9" customHeight="1" x14ac:dyDescent="0.25">
      <c r="A178" s="26" t="s">
        <v>37</v>
      </c>
      <c r="B178" s="27">
        <v>27</v>
      </c>
      <c r="C178" s="27"/>
      <c r="D178" s="27">
        <v>13</v>
      </c>
      <c r="E178" s="27"/>
      <c r="F178" s="29">
        <f t="shared" si="12"/>
        <v>23</v>
      </c>
      <c r="G178" s="27">
        <v>5</v>
      </c>
      <c r="H178" s="27">
        <v>18</v>
      </c>
      <c r="I178" s="27">
        <v>30</v>
      </c>
      <c r="J178" s="27">
        <f t="shared" si="13"/>
        <v>6</v>
      </c>
      <c r="K178" s="27"/>
      <c r="L178" s="27">
        <v>2</v>
      </c>
      <c r="M178" s="27">
        <v>21</v>
      </c>
      <c r="N178" s="27">
        <v>19</v>
      </c>
      <c r="O178" s="27">
        <f t="shared" si="14"/>
        <v>4</v>
      </c>
    </row>
    <row r="179" spans="1:15" s="18" customFormat="1" ht="9" customHeight="1" x14ac:dyDescent="0.25">
      <c r="A179" s="22" t="s">
        <v>38</v>
      </c>
      <c r="B179" s="23">
        <v>22</v>
      </c>
      <c r="C179" s="23"/>
      <c r="D179" s="23">
        <v>6</v>
      </c>
      <c r="E179" s="23"/>
      <c r="F179" s="25">
        <f t="shared" si="12"/>
        <v>26</v>
      </c>
      <c r="G179" s="23">
        <v>3</v>
      </c>
      <c r="H179" s="23">
        <v>23</v>
      </c>
      <c r="I179" s="23">
        <v>19</v>
      </c>
      <c r="J179" s="23">
        <f t="shared" si="13"/>
        <v>13</v>
      </c>
      <c r="K179" s="23"/>
      <c r="L179" s="23">
        <v>3</v>
      </c>
      <c r="M179" s="23">
        <v>4</v>
      </c>
      <c r="N179" s="23">
        <v>6</v>
      </c>
      <c r="O179" s="23">
        <f t="shared" si="14"/>
        <v>1</v>
      </c>
    </row>
    <row r="180" spans="1:15" s="18" customFormat="1" ht="9" customHeight="1" x14ac:dyDescent="0.25">
      <c r="A180" s="22" t="s">
        <v>39</v>
      </c>
      <c r="B180" s="23">
        <v>4</v>
      </c>
      <c r="C180" s="23"/>
      <c r="D180" s="23">
        <v>2</v>
      </c>
      <c r="E180" s="23"/>
      <c r="F180" s="25">
        <f t="shared" si="12"/>
        <v>5</v>
      </c>
      <c r="G180" s="23">
        <v>2</v>
      </c>
      <c r="H180" s="23">
        <v>3</v>
      </c>
      <c r="I180" s="23">
        <v>5</v>
      </c>
      <c r="J180" s="23">
        <f t="shared" si="13"/>
        <v>2</v>
      </c>
      <c r="K180" s="23"/>
      <c r="L180" s="23">
        <v>2</v>
      </c>
      <c r="M180" s="23">
        <v>4</v>
      </c>
      <c r="N180" s="23">
        <v>5</v>
      </c>
      <c r="O180" s="23">
        <f t="shared" si="14"/>
        <v>1</v>
      </c>
    </row>
    <row r="181" spans="1:15" s="18" customFormat="1" ht="9" customHeight="1" x14ac:dyDescent="0.25">
      <c r="A181" s="22" t="s">
        <v>40</v>
      </c>
      <c r="B181" s="23">
        <v>18</v>
      </c>
      <c r="C181" s="23"/>
      <c r="D181" s="23">
        <v>9</v>
      </c>
      <c r="E181" s="23"/>
      <c r="F181" s="25">
        <f t="shared" si="12"/>
        <v>24</v>
      </c>
      <c r="G181" s="23">
        <v>3</v>
      </c>
      <c r="H181" s="23">
        <v>21</v>
      </c>
      <c r="I181" s="23">
        <v>26</v>
      </c>
      <c r="J181" s="23">
        <f t="shared" si="13"/>
        <v>7</v>
      </c>
      <c r="K181" s="23"/>
      <c r="L181" s="23">
        <v>4</v>
      </c>
      <c r="M181" s="23">
        <v>20</v>
      </c>
      <c r="N181" s="23">
        <v>21</v>
      </c>
      <c r="O181" s="23">
        <f t="shared" si="14"/>
        <v>3</v>
      </c>
    </row>
    <row r="182" spans="1:15" s="18" customFormat="1" ht="9" customHeight="1" x14ac:dyDescent="0.25">
      <c r="A182" s="26" t="s">
        <v>41</v>
      </c>
      <c r="B182" s="27">
        <v>22</v>
      </c>
      <c r="C182" s="27"/>
      <c r="D182" s="27">
        <v>5</v>
      </c>
      <c r="E182" s="27"/>
      <c r="F182" s="29">
        <f t="shared" si="12"/>
        <v>25</v>
      </c>
      <c r="G182" s="27">
        <v>3</v>
      </c>
      <c r="H182" s="27">
        <v>22</v>
      </c>
      <c r="I182" s="27">
        <v>22</v>
      </c>
      <c r="J182" s="27">
        <f t="shared" si="13"/>
        <v>8</v>
      </c>
      <c r="K182" s="27"/>
      <c r="L182" s="27">
        <v>3</v>
      </c>
      <c r="M182" s="27">
        <v>11</v>
      </c>
      <c r="N182" s="27">
        <v>13</v>
      </c>
      <c r="O182" s="27">
        <f t="shared" si="14"/>
        <v>1</v>
      </c>
    </row>
    <row r="183" spans="1:15" s="18" customFormat="1" ht="9" customHeight="1" x14ac:dyDescent="0.25">
      <c r="A183" s="22" t="s">
        <v>42</v>
      </c>
      <c r="B183" s="23">
        <v>30</v>
      </c>
      <c r="C183" s="23"/>
      <c r="D183" s="23">
        <v>12</v>
      </c>
      <c r="E183" s="23"/>
      <c r="F183" s="25">
        <f t="shared" si="12"/>
        <v>27</v>
      </c>
      <c r="G183" s="23">
        <v>5</v>
      </c>
      <c r="H183" s="23">
        <v>22</v>
      </c>
      <c r="I183" s="23">
        <v>34</v>
      </c>
      <c r="J183" s="23">
        <f t="shared" si="13"/>
        <v>5</v>
      </c>
      <c r="K183" s="23"/>
      <c r="L183" s="23">
        <v>5</v>
      </c>
      <c r="M183" s="23">
        <v>28</v>
      </c>
      <c r="N183" s="23">
        <v>31</v>
      </c>
      <c r="O183" s="23">
        <f t="shared" si="14"/>
        <v>2</v>
      </c>
    </row>
    <row r="184" spans="1:15" s="18" customFormat="1" ht="9" customHeight="1" x14ac:dyDescent="0.25">
      <c r="A184" s="22" t="s">
        <v>43</v>
      </c>
      <c r="B184" s="23">
        <v>43</v>
      </c>
      <c r="C184" s="23"/>
      <c r="D184" s="23">
        <v>7</v>
      </c>
      <c r="E184" s="23"/>
      <c r="F184" s="25">
        <f t="shared" si="12"/>
        <v>27</v>
      </c>
      <c r="G184" s="23">
        <v>8</v>
      </c>
      <c r="H184" s="23">
        <v>19</v>
      </c>
      <c r="I184" s="23">
        <v>30</v>
      </c>
      <c r="J184" s="23">
        <f t="shared" si="13"/>
        <v>4</v>
      </c>
      <c r="K184" s="23"/>
      <c r="L184" s="23">
        <v>8</v>
      </c>
      <c r="M184" s="23">
        <v>10</v>
      </c>
      <c r="N184" s="23">
        <v>15</v>
      </c>
      <c r="O184" s="23">
        <f t="shared" si="14"/>
        <v>3</v>
      </c>
    </row>
    <row r="185" spans="1:15" s="18" customFormat="1" ht="9" customHeight="1" x14ac:dyDescent="0.25">
      <c r="A185" s="22" t="s">
        <v>44</v>
      </c>
      <c r="B185" s="23">
        <v>8</v>
      </c>
      <c r="C185" s="23"/>
      <c r="D185" s="23">
        <v>2</v>
      </c>
      <c r="E185" s="23"/>
      <c r="F185" s="25">
        <f t="shared" si="12"/>
        <v>17</v>
      </c>
      <c r="G185" s="23">
        <v>5</v>
      </c>
      <c r="H185" s="23">
        <v>12</v>
      </c>
      <c r="I185" s="23">
        <v>13</v>
      </c>
      <c r="J185" s="23">
        <f t="shared" si="13"/>
        <v>6</v>
      </c>
      <c r="K185" s="23"/>
      <c r="L185" s="23">
        <v>1</v>
      </c>
      <c r="M185" s="23">
        <v>5</v>
      </c>
      <c r="N185" s="23">
        <v>5</v>
      </c>
      <c r="O185" s="23">
        <f t="shared" si="14"/>
        <v>1</v>
      </c>
    </row>
    <row r="186" spans="1:15" s="18" customFormat="1" ht="9" customHeight="1" x14ac:dyDescent="0.25">
      <c r="A186" s="26" t="s">
        <v>45</v>
      </c>
      <c r="B186" s="27">
        <v>13</v>
      </c>
      <c r="C186" s="27"/>
      <c r="D186" s="27">
        <v>9</v>
      </c>
      <c r="E186" s="27"/>
      <c r="F186" s="29">
        <f t="shared" si="12"/>
        <v>37</v>
      </c>
      <c r="G186" s="27">
        <v>5</v>
      </c>
      <c r="H186" s="27">
        <v>32</v>
      </c>
      <c r="I186" s="27">
        <v>34</v>
      </c>
      <c r="J186" s="27">
        <f t="shared" si="13"/>
        <v>12</v>
      </c>
      <c r="K186" s="27"/>
      <c r="L186" s="27">
        <v>2</v>
      </c>
      <c r="M186" s="27">
        <v>12</v>
      </c>
      <c r="N186" s="27">
        <v>12</v>
      </c>
      <c r="O186" s="27">
        <f t="shared" si="14"/>
        <v>2</v>
      </c>
    </row>
    <row r="187" spans="1:15" s="18" customFormat="1" ht="9" customHeight="1" x14ac:dyDescent="0.25">
      <c r="A187" s="22" t="s">
        <v>46</v>
      </c>
      <c r="B187" s="23">
        <v>11</v>
      </c>
      <c r="C187" s="23"/>
      <c r="D187" s="23">
        <v>4</v>
      </c>
      <c r="E187" s="23"/>
      <c r="F187" s="25">
        <f t="shared" si="12"/>
        <v>15</v>
      </c>
      <c r="G187" s="23">
        <v>5</v>
      </c>
      <c r="H187" s="23">
        <v>10</v>
      </c>
      <c r="I187" s="23">
        <v>14</v>
      </c>
      <c r="J187" s="23">
        <f t="shared" si="13"/>
        <v>5</v>
      </c>
      <c r="K187" s="23"/>
      <c r="L187" s="23">
        <v>5</v>
      </c>
      <c r="M187" s="23">
        <v>23</v>
      </c>
      <c r="N187" s="23">
        <v>23</v>
      </c>
      <c r="O187" s="23">
        <f t="shared" si="14"/>
        <v>5</v>
      </c>
    </row>
    <row r="188" spans="1:15" s="18" customFormat="1" ht="9" customHeight="1" x14ac:dyDescent="0.25">
      <c r="A188" s="22" t="s">
        <v>47</v>
      </c>
      <c r="B188" s="23">
        <v>25</v>
      </c>
      <c r="C188" s="23"/>
      <c r="D188" s="23">
        <v>7</v>
      </c>
      <c r="E188" s="23"/>
      <c r="F188" s="25">
        <f t="shared" si="12"/>
        <v>28</v>
      </c>
      <c r="G188" s="23">
        <v>0</v>
      </c>
      <c r="H188" s="23">
        <v>28</v>
      </c>
      <c r="I188" s="23">
        <v>24</v>
      </c>
      <c r="J188" s="23">
        <f t="shared" si="13"/>
        <v>11</v>
      </c>
      <c r="K188" s="23"/>
      <c r="L188" s="23">
        <v>7</v>
      </c>
      <c r="M188" s="23">
        <v>6</v>
      </c>
      <c r="N188" s="23">
        <v>12</v>
      </c>
      <c r="O188" s="23">
        <f t="shared" si="14"/>
        <v>1</v>
      </c>
    </row>
    <row r="189" spans="1:15" s="18" customFormat="1" ht="9" customHeight="1" x14ac:dyDescent="0.25">
      <c r="A189" s="22" t="s">
        <v>48</v>
      </c>
      <c r="B189" s="23">
        <v>11</v>
      </c>
      <c r="C189" s="23"/>
      <c r="D189" s="23">
        <v>8</v>
      </c>
      <c r="E189" s="23"/>
      <c r="F189" s="25">
        <f t="shared" si="12"/>
        <v>30</v>
      </c>
      <c r="G189" s="23">
        <v>9</v>
      </c>
      <c r="H189" s="23">
        <v>21</v>
      </c>
      <c r="I189" s="23">
        <v>34</v>
      </c>
      <c r="J189" s="23">
        <f t="shared" si="13"/>
        <v>4</v>
      </c>
      <c r="K189" s="23"/>
      <c r="L189" s="23">
        <v>1</v>
      </c>
      <c r="M189" s="23">
        <v>8</v>
      </c>
      <c r="N189" s="23">
        <v>8</v>
      </c>
      <c r="O189" s="23">
        <f t="shared" si="14"/>
        <v>1</v>
      </c>
    </row>
    <row r="190" spans="1:15" s="18" customFormat="1" ht="9" customHeight="1" x14ac:dyDescent="0.25">
      <c r="A190" s="26" t="s">
        <v>49</v>
      </c>
      <c r="B190" s="27">
        <v>30</v>
      </c>
      <c r="C190" s="27"/>
      <c r="D190" s="27">
        <v>5</v>
      </c>
      <c r="E190" s="27"/>
      <c r="F190" s="29">
        <f t="shared" si="12"/>
        <v>21</v>
      </c>
      <c r="G190" s="27">
        <v>8</v>
      </c>
      <c r="H190" s="27">
        <v>13</v>
      </c>
      <c r="I190" s="27">
        <v>21</v>
      </c>
      <c r="J190" s="27">
        <f t="shared" si="13"/>
        <v>5</v>
      </c>
      <c r="K190" s="27"/>
      <c r="L190" s="27">
        <v>4</v>
      </c>
      <c r="M190" s="27">
        <v>32</v>
      </c>
      <c r="N190" s="27">
        <v>30</v>
      </c>
      <c r="O190" s="27">
        <f t="shared" si="14"/>
        <v>6</v>
      </c>
    </row>
    <row r="191" spans="1:15" s="18" customFormat="1" ht="9" customHeight="1" x14ac:dyDescent="0.25">
      <c r="A191" s="22" t="s">
        <v>50</v>
      </c>
      <c r="B191" s="23">
        <v>9</v>
      </c>
      <c r="C191" s="23"/>
      <c r="D191" s="23">
        <v>3</v>
      </c>
      <c r="E191" s="23"/>
      <c r="F191" s="25">
        <f t="shared" si="12"/>
        <v>8</v>
      </c>
      <c r="G191" s="23">
        <v>1</v>
      </c>
      <c r="H191" s="23">
        <v>7</v>
      </c>
      <c r="I191" s="23">
        <v>11</v>
      </c>
      <c r="J191" s="23">
        <f t="shared" si="13"/>
        <v>0</v>
      </c>
      <c r="K191" s="23"/>
      <c r="L191" s="23">
        <v>1</v>
      </c>
      <c r="M191" s="23">
        <v>5</v>
      </c>
      <c r="N191" s="23">
        <v>5</v>
      </c>
      <c r="O191" s="23">
        <f t="shared" si="14"/>
        <v>1</v>
      </c>
    </row>
    <row r="192" spans="1:15" s="18" customFormat="1" ht="9" customHeight="1" x14ac:dyDescent="0.25">
      <c r="A192" s="22" t="s">
        <v>51</v>
      </c>
      <c r="B192" s="23">
        <v>32</v>
      </c>
      <c r="C192" s="23"/>
      <c r="D192" s="23">
        <v>13</v>
      </c>
      <c r="E192" s="23"/>
      <c r="F192" s="25">
        <f t="shared" si="12"/>
        <v>46</v>
      </c>
      <c r="G192" s="23">
        <v>4</v>
      </c>
      <c r="H192" s="23">
        <v>42</v>
      </c>
      <c r="I192" s="23">
        <v>45</v>
      </c>
      <c r="J192" s="23">
        <f t="shared" si="13"/>
        <v>14</v>
      </c>
      <c r="K192" s="23"/>
      <c r="L192" s="23">
        <v>11</v>
      </c>
      <c r="M192" s="23">
        <v>19</v>
      </c>
      <c r="N192" s="23">
        <v>29</v>
      </c>
      <c r="O192" s="23">
        <f t="shared" si="14"/>
        <v>1</v>
      </c>
    </row>
    <row r="193" spans="1:15" s="18" customFormat="1" ht="9" customHeight="1" x14ac:dyDescent="0.25">
      <c r="A193" s="22" t="s">
        <v>52</v>
      </c>
      <c r="B193" s="23">
        <v>5</v>
      </c>
      <c r="C193" s="23"/>
      <c r="D193" s="23">
        <v>0</v>
      </c>
      <c r="E193" s="23"/>
      <c r="F193" s="25">
        <f t="shared" si="12"/>
        <v>8</v>
      </c>
      <c r="G193" s="23">
        <v>1</v>
      </c>
      <c r="H193" s="23">
        <v>7</v>
      </c>
      <c r="I193" s="23">
        <v>7</v>
      </c>
      <c r="J193" s="23">
        <f t="shared" si="13"/>
        <v>1</v>
      </c>
      <c r="K193" s="23"/>
      <c r="L193" s="23">
        <v>2</v>
      </c>
      <c r="M193" s="23">
        <v>10</v>
      </c>
      <c r="N193" s="23">
        <v>8</v>
      </c>
      <c r="O193" s="23">
        <f t="shared" si="14"/>
        <v>4</v>
      </c>
    </row>
    <row r="194" spans="1:15" s="18" customFormat="1" ht="9" customHeight="1" x14ac:dyDescent="0.25">
      <c r="A194" s="26" t="s">
        <v>53</v>
      </c>
      <c r="B194" s="27">
        <v>3</v>
      </c>
      <c r="C194" s="27"/>
      <c r="D194" s="27">
        <v>1</v>
      </c>
      <c r="E194" s="27"/>
      <c r="F194" s="29">
        <f t="shared" si="12"/>
        <v>7</v>
      </c>
      <c r="G194" s="27">
        <v>0</v>
      </c>
      <c r="H194" s="27">
        <v>7</v>
      </c>
      <c r="I194" s="27">
        <v>5</v>
      </c>
      <c r="J194" s="27">
        <f t="shared" si="13"/>
        <v>3</v>
      </c>
      <c r="K194" s="27"/>
      <c r="L194" s="27">
        <v>3</v>
      </c>
      <c r="M194" s="27">
        <v>7</v>
      </c>
      <c r="N194" s="27">
        <v>8</v>
      </c>
      <c r="O194" s="27">
        <f t="shared" si="14"/>
        <v>2</v>
      </c>
    </row>
    <row r="195" spans="1:15" s="18" customFormat="1" ht="10.5" customHeight="1" x14ac:dyDescent="0.25">
      <c r="A195" s="22" t="s">
        <v>54</v>
      </c>
      <c r="B195" s="23">
        <v>5</v>
      </c>
      <c r="C195" s="23"/>
      <c r="D195" s="23">
        <v>0</v>
      </c>
      <c r="E195" s="23"/>
      <c r="F195" s="25">
        <f t="shared" si="12"/>
        <v>0</v>
      </c>
      <c r="G195" s="23">
        <v>0</v>
      </c>
      <c r="H195" s="23">
        <v>0</v>
      </c>
      <c r="I195" s="23">
        <v>0</v>
      </c>
      <c r="J195" s="23">
        <f t="shared" si="13"/>
        <v>0</v>
      </c>
      <c r="K195" s="23"/>
      <c r="L195" s="23">
        <v>0</v>
      </c>
      <c r="M195" s="23">
        <v>0</v>
      </c>
      <c r="N195" s="23">
        <v>0</v>
      </c>
      <c r="O195" s="23">
        <f t="shared" si="14"/>
        <v>0</v>
      </c>
    </row>
    <row r="196" spans="1:15" s="18" customFormat="1" ht="9" customHeight="1" x14ac:dyDescent="0.25">
      <c r="A196" s="22"/>
      <c r="B196" s="17"/>
      <c r="C196" s="17"/>
      <c r="D196" s="17"/>
      <c r="E196" s="17"/>
      <c r="G196" s="17"/>
      <c r="H196" s="17"/>
      <c r="I196" s="17"/>
      <c r="J196" s="17"/>
      <c r="K196" s="17"/>
      <c r="L196" s="17"/>
      <c r="M196" s="17"/>
      <c r="N196" s="17"/>
      <c r="O196" s="17"/>
    </row>
    <row r="197" spans="1:15" s="18" customFormat="1" ht="9" customHeight="1" x14ac:dyDescent="0.25">
      <c r="A197" s="16">
        <v>2001</v>
      </c>
      <c r="H197" s="20"/>
      <c r="I197" s="20"/>
      <c r="J197" s="20"/>
      <c r="K197" s="20"/>
      <c r="L197" s="20"/>
      <c r="M197" s="20"/>
      <c r="O197" s="20"/>
    </row>
    <row r="198" spans="1:15" s="18" customFormat="1" ht="9.9499999999999993" customHeight="1" x14ac:dyDescent="0.25">
      <c r="A198" s="19" t="s">
        <v>21</v>
      </c>
      <c r="B198" s="20">
        <f>SUM(B200:B232)</f>
        <v>2464</v>
      </c>
      <c r="C198" s="20"/>
      <c r="D198" s="20">
        <f>SUM(D200:D232)</f>
        <v>445</v>
      </c>
      <c r="E198" s="20"/>
      <c r="F198" s="20">
        <f>SUM(F200:F232)</f>
        <v>2216</v>
      </c>
      <c r="G198" s="20">
        <f>SUM(G200:G232)</f>
        <v>738</v>
      </c>
      <c r="H198" s="20">
        <f>SUM(H200:H232)</f>
        <v>1478</v>
      </c>
      <c r="I198" s="20">
        <f>SUM(I200:I232)</f>
        <v>2284</v>
      </c>
      <c r="J198" s="20">
        <f>SUM(J200:J232)</f>
        <v>377</v>
      </c>
      <c r="K198" s="20"/>
      <c r="L198" s="20">
        <f>SUM(L200:L232)</f>
        <v>116</v>
      </c>
      <c r="M198" s="20">
        <f>SUM(M200:M232)</f>
        <v>720</v>
      </c>
      <c r="N198" s="20">
        <f>SUM(N200:N232)</f>
        <v>473</v>
      </c>
      <c r="O198" s="20">
        <f>SUM(O200:O232)</f>
        <v>363</v>
      </c>
    </row>
    <row r="199" spans="1:15" s="18" customFormat="1" ht="3" customHeight="1" x14ac:dyDescent="0.25">
      <c r="A199" s="19"/>
      <c r="B199" s="20"/>
      <c r="C199" s="20"/>
      <c r="D199" s="20"/>
      <c r="E199" s="20"/>
      <c r="G199" s="20"/>
      <c r="H199" s="23"/>
      <c r="I199" s="23"/>
      <c r="J199" s="23"/>
      <c r="K199" s="23"/>
      <c r="L199" s="23"/>
      <c r="M199" s="23"/>
      <c r="N199" s="20"/>
      <c r="O199" s="23"/>
    </row>
    <row r="200" spans="1:15" s="18" customFormat="1" ht="9" customHeight="1" x14ac:dyDescent="0.25">
      <c r="A200" s="22" t="s">
        <v>23</v>
      </c>
      <c r="B200" s="23">
        <v>13</v>
      </c>
      <c r="C200" s="23"/>
      <c r="D200" s="23">
        <v>17</v>
      </c>
      <c r="E200" s="23"/>
      <c r="F200" s="25">
        <f t="shared" ref="F200:F232" si="15">SUM(G200:H200)</f>
        <v>45</v>
      </c>
      <c r="G200" s="23">
        <v>1</v>
      </c>
      <c r="H200" s="23">
        <v>44</v>
      </c>
      <c r="I200" s="23">
        <v>46</v>
      </c>
      <c r="J200" s="23">
        <f t="shared" ref="J200:J232" si="16">(D200+F200)-I200</f>
        <v>16</v>
      </c>
      <c r="K200" s="23"/>
      <c r="L200" s="23">
        <v>7</v>
      </c>
      <c r="M200" s="23">
        <v>12</v>
      </c>
      <c r="N200" s="23">
        <v>13</v>
      </c>
      <c r="O200" s="23">
        <f t="shared" ref="O200:O232" si="17">(L200+M200)-N200</f>
        <v>6</v>
      </c>
    </row>
    <row r="201" spans="1:15" s="18" customFormat="1" ht="9" customHeight="1" x14ac:dyDescent="0.25">
      <c r="A201" s="22" t="s">
        <v>24</v>
      </c>
      <c r="B201" s="23">
        <v>104</v>
      </c>
      <c r="C201" s="23"/>
      <c r="D201" s="23">
        <v>7</v>
      </c>
      <c r="E201" s="23"/>
      <c r="F201" s="25">
        <f t="shared" si="15"/>
        <v>21</v>
      </c>
      <c r="G201" s="23">
        <v>8</v>
      </c>
      <c r="H201" s="23">
        <v>13</v>
      </c>
      <c r="I201" s="23">
        <v>22</v>
      </c>
      <c r="J201" s="23">
        <f t="shared" si="16"/>
        <v>6</v>
      </c>
      <c r="K201" s="23"/>
      <c r="L201" s="23">
        <v>2</v>
      </c>
      <c r="M201" s="23">
        <v>18</v>
      </c>
      <c r="N201" s="23">
        <v>9</v>
      </c>
      <c r="O201" s="23">
        <f t="shared" si="17"/>
        <v>11</v>
      </c>
    </row>
    <row r="202" spans="1:15" s="18" customFormat="1" ht="9" customHeight="1" x14ac:dyDescent="0.25">
      <c r="A202" s="22" t="s">
        <v>25</v>
      </c>
      <c r="B202" s="23">
        <v>22</v>
      </c>
      <c r="C202" s="23"/>
      <c r="D202" s="23">
        <v>3</v>
      </c>
      <c r="E202" s="23"/>
      <c r="F202" s="25">
        <f t="shared" si="15"/>
        <v>6</v>
      </c>
      <c r="G202" s="23">
        <v>0</v>
      </c>
      <c r="H202" s="23">
        <v>6</v>
      </c>
      <c r="I202" s="23">
        <v>6</v>
      </c>
      <c r="J202" s="23">
        <f t="shared" si="16"/>
        <v>3</v>
      </c>
      <c r="K202" s="23"/>
      <c r="L202" s="23">
        <v>0</v>
      </c>
      <c r="M202" s="23">
        <v>5</v>
      </c>
      <c r="N202" s="23">
        <v>3</v>
      </c>
      <c r="O202" s="23">
        <f t="shared" si="17"/>
        <v>2</v>
      </c>
    </row>
    <row r="203" spans="1:15" s="18" customFormat="1" ht="9" customHeight="1" x14ac:dyDescent="0.25">
      <c r="A203" s="26" t="s">
        <v>26</v>
      </c>
      <c r="B203" s="27">
        <v>7</v>
      </c>
      <c r="C203" s="27"/>
      <c r="D203" s="27">
        <v>2</v>
      </c>
      <c r="E203" s="27"/>
      <c r="F203" s="29">
        <f t="shared" si="15"/>
        <v>5</v>
      </c>
      <c r="G203" s="27">
        <v>1</v>
      </c>
      <c r="H203" s="27">
        <v>4</v>
      </c>
      <c r="I203" s="27">
        <v>5</v>
      </c>
      <c r="J203" s="27">
        <f t="shared" si="16"/>
        <v>2</v>
      </c>
      <c r="K203" s="27"/>
      <c r="L203" s="27">
        <v>0</v>
      </c>
      <c r="M203" s="27">
        <v>5</v>
      </c>
      <c r="N203" s="27">
        <v>1</v>
      </c>
      <c r="O203" s="27">
        <f t="shared" si="17"/>
        <v>4</v>
      </c>
    </row>
    <row r="204" spans="1:15" s="18" customFormat="1" ht="9" customHeight="1" x14ac:dyDescent="0.25">
      <c r="A204" s="22" t="s">
        <v>27</v>
      </c>
      <c r="B204" s="23">
        <v>42</v>
      </c>
      <c r="C204" s="23"/>
      <c r="D204" s="23">
        <v>9</v>
      </c>
      <c r="E204" s="23"/>
      <c r="F204" s="25">
        <f t="shared" si="15"/>
        <v>19</v>
      </c>
      <c r="G204" s="23">
        <v>5</v>
      </c>
      <c r="H204" s="23">
        <v>14</v>
      </c>
      <c r="I204" s="23">
        <v>22</v>
      </c>
      <c r="J204" s="23">
        <f t="shared" si="16"/>
        <v>6</v>
      </c>
      <c r="K204" s="23"/>
      <c r="L204" s="23">
        <v>6</v>
      </c>
      <c r="M204" s="23">
        <v>17</v>
      </c>
      <c r="N204" s="23">
        <v>16</v>
      </c>
      <c r="O204" s="23">
        <f t="shared" si="17"/>
        <v>7</v>
      </c>
    </row>
    <row r="205" spans="1:15" s="18" customFormat="1" ht="9" customHeight="1" x14ac:dyDescent="0.25">
      <c r="A205" s="22" t="s">
        <v>28</v>
      </c>
      <c r="B205" s="23">
        <v>4</v>
      </c>
      <c r="C205" s="23"/>
      <c r="D205" s="23">
        <v>3</v>
      </c>
      <c r="E205" s="23"/>
      <c r="F205" s="25">
        <f t="shared" si="15"/>
        <v>6</v>
      </c>
      <c r="G205" s="23">
        <v>2</v>
      </c>
      <c r="H205" s="23">
        <v>4</v>
      </c>
      <c r="I205" s="23">
        <v>7</v>
      </c>
      <c r="J205" s="23">
        <f t="shared" si="16"/>
        <v>2</v>
      </c>
      <c r="K205" s="23"/>
      <c r="L205" s="23">
        <v>2</v>
      </c>
      <c r="M205" s="23">
        <v>15</v>
      </c>
      <c r="N205" s="23">
        <v>9</v>
      </c>
      <c r="O205" s="23">
        <f t="shared" si="17"/>
        <v>8</v>
      </c>
    </row>
    <row r="206" spans="1:15" s="18" customFormat="1" ht="9" customHeight="1" x14ac:dyDescent="0.25">
      <c r="A206" s="22" t="s">
        <v>29</v>
      </c>
      <c r="B206" s="23">
        <v>36</v>
      </c>
      <c r="C206" s="23"/>
      <c r="D206" s="23">
        <v>5</v>
      </c>
      <c r="E206" s="23"/>
      <c r="F206" s="25">
        <f t="shared" si="15"/>
        <v>12</v>
      </c>
      <c r="G206" s="23">
        <v>5</v>
      </c>
      <c r="H206" s="23">
        <v>7</v>
      </c>
      <c r="I206" s="23">
        <v>13</v>
      </c>
      <c r="J206" s="23">
        <f t="shared" si="16"/>
        <v>4</v>
      </c>
      <c r="K206" s="23"/>
      <c r="L206" s="23">
        <v>2</v>
      </c>
      <c r="M206" s="23">
        <v>13</v>
      </c>
      <c r="N206" s="23">
        <v>8</v>
      </c>
      <c r="O206" s="23">
        <f t="shared" si="17"/>
        <v>7</v>
      </c>
    </row>
    <row r="207" spans="1:15" s="18" customFormat="1" ht="9" customHeight="1" x14ac:dyDescent="0.25">
      <c r="A207" s="26" t="s">
        <v>30</v>
      </c>
      <c r="B207" s="27">
        <v>56</v>
      </c>
      <c r="C207" s="27"/>
      <c r="D207" s="27">
        <v>20</v>
      </c>
      <c r="E207" s="27"/>
      <c r="F207" s="29">
        <f t="shared" si="15"/>
        <v>25</v>
      </c>
      <c r="G207" s="27">
        <v>2</v>
      </c>
      <c r="H207" s="27">
        <v>23</v>
      </c>
      <c r="I207" s="27">
        <v>37</v>
      </c>
      <c r="J207" s="27">
        <f t="shared" si="16"/>
        <v>8</v>
      </c>
      <c r="K207" s="27"/>
      <c r="L207" s="27">
        <v>8</v>
      </c>
      <c r="M207" s="27">
        <v>35</v>
      </c>
      <c r="N207" s="27">
        <v>17</v>
      </c>
      <c r="O207" s="27">
        <f t="shared" si="17"/>
        <v>26</v>
      </c>
    </row>
    <row r="208" spans="1:15" s="18" customFormat="1" ht="9" customHeight="1" x14ac:dyDescent="0.25">
      <c r="A208" s="22" t="s">
        <v>63</v>
      </c>
      <c r="B208" s="23">
        <v>1182</v>
      </c>
      <c r="C208" s="23"/>
      <c r="D208" s="23">
        <v>157</v>
      </c>
      <c r="E208" s="23"/>
      <c r="F208" s="25">
        <f t="shared" si="15"/>
        <v>1367</v>
      </c>
      <c r="G208" s="23">
        <v>524</v>
      </c>
      <c r="H208" s="23">
        <v>843</v>
      </c>
      <c r="I208" s="23">
        <v>1352</v>
      </c>
      <c r="J208" s="23">
        <f t="shared" si="16"/>
        <v>172</v>
      </c>
      <c r="K208" s="23"/>
      <c r="L208" s="23">
        <v>34</v>
      </c>
      <c r="M208" s="23">
        <v>236</v>
      </c>
      <c r="N208" s="23">
        <v>159</v>
      </c>
      <c r="O208" s="23">
        <f t="shared" si="17"/>
        <v>111</v>
      </c>
    </row>
    <row r="209" spans="1:15" s="18" customFormat="1" ht="9" customHeight="1" x14ac:dyDescent="0.25">
      <c r="A209" s="22" t="s">
        <v>31</v>
      </c>
      <c r="B209" s="23">
        <v>22</v>
      </c>
      <c r="C209" s="23"/>
      <c r="D209" s="23">
        <v>5</v>
      </c>
      <c r="E209" s="23"/>
      <c r="F209" s="25">
        <f t="shared" si="15"/>
        <v>14</v>
      </c>
      <c r="G209" s="23">
        <v>2</v>
      </c>
      <c r="H209" s="23">
        <v>12</v>
      </c>
      <c r="I209" s="23">
        <v>15</v>
      </c>
      <c r="J209" s="23">
        <f t="shared" si="16"/>
        <v>4</v>
      </c>
      <c r="K209" s="23"/>
      <c r="L209" s="23">
        <v>2</v>
      </c>
      <c r="M209" s="23">
        <v>12</v>
      </c>
      <c r="N209" s="23">
        <v>8</v>
      </c>
      <c r="O209" s="23">
        <f t="shared" si="17"/>
        <v>6</v>
      </c>
    </row>
    <row r="210" spans="1:15" s="18" customFormat="1" ht="9" customHeight="1" x14ac:dyDescent="0.25">
      <c r="A210" s="22" t="s">
        <v>32</v>
      </c>
      <c r="B210" s="23">
        <v>64</v>
      </c>
      <c r="C210" s="23"/>
      <c r="D210" s="23">
        <v>19</v>
      </c>
      <c r="E210" s="23"/>
      <c r="F210" s="25">
        <f t="shared" si="15"/>
        <v>57</v>
      </c>
      <c r="G210" s="23">
        <v>9</v>
      </c>
      <c r="H210" s="23">
        <v>48</v>
      </c>
      <c r="I210" s="23">
        <v>63</v>
      </c>
      <c r="J210" s="23">
        <f t="shared" si="16"/>
        <v>13</v>
      </c>
      <c r="K210" s="23"/>
      <c r="L210" s="23">
        <v>2</v>
      </c>
      <c r="M210" s="23">
        <v>14</v>
      </c>
      <c r="N210" s="23">
        <v>11</v>
      </c>
      <c r="O210" s="23">
        <f t="shared" si="17"/>
        <v>5</v>
      </c>
    </row>
    <row r="211" spans="1:15" s="18" customFormat="1" ht="9" customHeight="1" x14ac:dyDescent="0.25">
      <c r="A211" s="26" t="s">
        <v>33</v>
      </c>
      <c r="B211" s="27">
        <v>20</v>
      </c>
      <c r="C211" s="27"/>
      <c r="D211" s="27">
        <v>11</v>
      </c>
      <c r="E211" s="27"/>
      <c r="F211" s="29">
        <f t="shared" si="15"/>
        <v>13</v>
      </c>
      <c r="G211" s="27">
        <v>2</v>
      </c>
      <c r="H211" s="27">
        <v>11</v>
      </c>
      <c r="I211" s="27">
        <v>21</v>
      </c>
      <c r="J211" s="27">
        <f t="shared" si="16"/>
        <v>3</v>
      </c>
      <c r="K211" s="27"/>
      <c r="L211" s="27">
        <v>0</v>
      </c>
      <c r="M211" s="27">
        <v>9</v>
      </c>
      <c r="N211" s="27">
        <v>4</v>
      </c>
      <c r="O211" s="27">
        <f t="shared" si="17"/>
        <v>5</v>
      </c>
    </row>
    <row r="212" spans="1:15" s="18" customFormat="1" ht="9" customHeight="1" x14ac:dyDescent="0.25">
      <c r="A212" s="22" t="s">
        <v>34</v>
      </c>
      <c r="B212" s="23">
        <v>24</v>
      </c>
      <c r="C212" s="23"/>
      <c r="D212" s="23">
        <v>9</v>
      </c>
      <c r="E212" s="23"/>
      <c r="F212" s="25">
        <f t="shared" si="15"/>
        <v>21</v>
      </c>
      <c r="G212" s="23">
        <v>3</v>
      </c>
      <c r="H212" s="23">
        <v>18</v>
      </c>
      <c r="I212" s="23">
        <v>25</v>
      </c>
      <c r="J212" s="23">
        <f t="shared" si="16"/>
        <v>5</v>
      </c>
      <c r="K212" s="23"/>
      <c r="L212" s="23">
        <v>1</v>
      </c>
      <c r="M212" s="23">
        <v>9</v>
      </c>
      <c r="N212" s="23">
        <v>3</v>
      </c>
      <c r="O212" s="23">
        <f t="shared" si="17"/>
        <v>7</v>
      </c>
    </row>
    <row r="213" spans="1:15" s="18" customFormat="1" ht="9" customHeight="1" x14ac:dyDescent="0.25">
      <c r="A213" s="22" t="s">
        <v>35</v>
      </c>
      <c r="B213" s="23">
        <v>89</v>
      </c>
      <c r="C213" s="23"/>
      <c r="D213" s="23">
        <v>24</v>
      </c>
      <c r="E213" s="23"/>
      <c r="F213" s="25">
        <f t="shared" si="15"/>
        <v>52</v>
      </c>
      <c r="G213" s="23">
        <v>9</v>
      </c>
      <c r="H213" s="23">
        <v>43</v>
      </c>
      <c r="I213" s="23">
        <v>66</v>
      </c>
      <c r="J213" s="23">
        <f t="shared" si="16"/>
        <v>10</v>
      </c>
      <c r="K213" s="23"/>
      <c r="L213" s="23">
        <v>6</v>
      </c>
      <c r="M213" s="23">
        <v>24</v>
      </c>
      <c r="N213" s="23">
        <v>17</v>
      </c>
      <c r="O213" s="23">
        <f t="shared" si="17"/>
        <v>13</v>
      </c>
    </row>
    <row r="214" spans="1:15" s="18" customFormat="1" ht="9" customHeight="1" x14ac:dyDescent="0.25">
      <c r="A214" s="22" t="s">
        <v>36</v>
      </c>
      <c r="B214" s="23">
        <v>227</v>
      </c>
      <c r="C214" s="23"/>
      <c r="D214" s="23">
        <v>48</v>
      </c>
      <c r="E214" s="23"/>
      <c r="F214" s="25">
        <f t="shared" si="15"/>
        <v>274</v>
      </c>
      <c r="G214" s="23">
        <v>110</v>
      </c>
      <c r="H214" s="23">
        <v>164</v>
      </c>
      <c r="I214" s="23">
        <v>278</v>
      </c>
      <c r="J214" s="23">
        <f t="shared" si="16"/>
        <v>44</v>
      </c>
      <c r="K214" s="23"/>
      <c r="L214" s="23">
        <v>5</v>
      </c>
      <c r="M214" s="23">
        <v>46</v>
      </c>
      <c r="N214" s="23">
        <v>30</v>
      </c>
      <c r="O214" s="23">
        <f t="shared" si="17"/>
        <v>21</v>
      </c>
    </row>
    <row r="215" spans="1:15" s="18" customFormat="1" ht="9" customHeight="1" x14ac:dyDescent="0.25">
      <c r="A215" s="26" t="s">
        <v>37</v>
      </c>
      <c r="B215" s="27">
        <v>39</v>
      </c>
      <c r="C215" s="27"/>
      <c r="D215" s="27">
        <v>6</v>
      </c>
      <c r="E215" s="27"/>
      <c r="F215" s="29">
        <f t="shared" si="15"/>
        <v>10</v>
      </c>
      <c r="G215" s="27">
        <v>3</v>
      </c>
      <c r="H215" s="27">
        <v>7</v>
      </c>
      <c r="I215" s="27">
        <v>12</v>
      </c>
      <c r="J215" s="27">
        <f t="shared" si="16"/>
        <v>4</v>
      </c>
      <c r="K215" s="27"/>
      <c r="L215" s="27">
        <v>4</v>
      </c>
      <c r="M215" s="27">
        <v>17</v>
      </c>
      <c r="N215" s="27">
        <v>14</v>
      </c>
      <c r="O215" s="27">
        <f t="shared" si="17"/>
        <v>7</v>
      </c>
    </row>
    <row r="216" spans="1:15" s="18" customFormat="1" ht="9" customHeight="1" x14ac:dyDescent="0.25">
      <c r="A216" s="22" t="s">
        <v>38</v>
      </c>
      <c r="B216" s="23">
        <v>25</v>
      </c>
      <c r="C216" s="23"/>
      <c r="D216" s="23">
        <v>13</v>
      </c>
      <c r="E216" s="23"/>
      <c r="F216" s="25">
        <f t="shared" si="15"/>
        <v>13</v>
      </c>
      <c r="G216" s="23">
        <v>1</v>
      </c>
      <c r="H216" s="23">
        <v>12</v>
      </c>
      <c r="I216" s="23">
        <v>22</v>
      </c>
      <c r="J216" s="23">
        <f t="shared" si="16"/>
        <v>4</v>
      </c>
      <c r="K216" s="23"/>
      <c r="L216" s="23">
        <v>1</v>
      </c>
      <c r="M216" s="23">
        <v>5</v>
      </c>
      <c r="N216" s="23">
        <v>3</v>
      </c>
      <c r="O216" s="23">
        <f t="shared" si="17"/>
        <v>3</v>
      </c>
    </row>
    <row r="217" spans="1:15" s="18" customFormat="1" ht="9" customHeight="1" x14ac:dyDescent="0.25">
      <c r="A217" s="22" t="s">
        <v>39</v>
      </c>
      <c r="B217" s="23">
        <v>26</v>
      </c>
      <c r="C217" s="23"/>
      <c r="D217" s="23">
        <v>2</v>
      </c>
      <c r="E217" s="23"/>
      <c r="F217" s="25">
        <f t="shared" si="15"/>
        <v>7</v>
      </c>
      <c r="G217" s="23">
        <v>2</v>
      </c>
      <c r="H217" s="23">
        <v>5</v>
      </c>
      <c r="I217" s="23">
        <v>7</v>
      </c>
      <c r="J217" s="23">
        <f t="shared" si="16"/>
        <v>2</v>
      </c>
      <c r="K217" s="23"/>
      <c r="L217" s="23">
        <v>1</v>
      </c>
      <c r="M217" s="23">
        <v>5</v>
      </c>
      <c r="N217" s="23">
        <v>6</v>
      </c>
      <c r="O217" s="23">
        <f t="shared" si="17"/>
        <v>0</v>
      </c>
    </row>
    <row r="218" spans="1:15" s="18" customFormat="1" ht="9" customHeight="1" x14ac:dyDescent="0.25">
      <c r="A218" s="22" t="s">
        <v>40</v>
      </c>
      <c r="B218" s="23">
        <v>30</v>
      </c>
      <c r="C218" s="23"/>
      <c r="D218" s="23">
        <v>7</v>
      </c>
      <c r="E218" s="23"/>
      <c r="F218" s="25">
        <f t="shared" si="15"/>
        <v>20</v>
      </c>
      <c r="G218" s="23">
        <v>4</v>
      </c>
      <c r="H218" s="23">
        <v>16</v>
      </c>
      <c r="I218" s="23">
        <v>19</v>
      </c>
      <c r="J218" s="23">
        <f t="shared" si="16"/>
        <v>8</v>
      </c>
      <c r="K218" s="23"/>
      <c r="L218" s="23">
        <v>3</v>
      </c>
      <c r="M218" s="23">
        <v>7</v>
      </c>
      <c r="N218" s="23">
        <v>6</v>
      </c>
      <c r="O218" s="23">
        <f t="shared" si="17"/>
        <v>4</v>
      </c>
    </row>
    <row r="219" spans="1:15" s="18" customFormat="1" ht="9" customHeight="1" x14ac:dyDescent="0.25">
      <c r="A219" s="26" t="s">
        <v>41</v>
      </c>
      <c r="B219" s="27">
        <v>20</v>
      </c>
      <c r="C219" s="27"/>
      <c r="D219" s="27">
        <v>8</v>
      </c>
      <c r="E219" s="27"/>
      <c r="F219" s="29">
        <f t="shared" si="15"/>
        <v>17</v>
      </c>
      <c r="G219" s="27">
        <v>6</v>
      </c>
      <c r="H219" s="27">
        <v>11</v>
      </c>
      <c r="I219" s="27">
        <v>20</v>
      </c>
      <c r="J219" s="27">
        <f t="shared" si="16"/>
        <v>5</v>
      </c>
      <c r="K219" s="27"/>
      <c r="L219" s="27">
        <v>1</v>
      </c>
      <c r="M219" s="27">
        <v>13</v>
      </c>
      <c r="N219" s="27">
        <v>6</v>
      </c>
      <c r="O219" s="27">
        <f t="shared" si="17"/>
        <v>8</v>
      </c>
    </row>
    <row r="220" spans="1:15" s="18" customFormat="1" ht="9" customHeight="1" x14ac:dyDescent="0.25">
      <c r="A220" s="22" t="s">
        <v>42</v>
      </c>
      <c r="B220" s="23">
        <v>32</v>
      </c>
      <c r="C220" s="23"/>
      <c r="D220" s="23">
        <v>5</v>
      </c>
      <c r="E220" s="23"/>
      <c r="F220" s="25">
        <f t="shared" si="15"/>
        <v>17</v>
      </c>
      <c r="G220" s="23">
        <v>4</v>
      </c>
      <c r="H220" s="23">
        <v>13</v>
      </c>
      <c r="I220" s="23">
        <v>19</v>
      </c>
      <c r="J220" s="23">
        <f t="shared" si="16"/>
        <v>3</v>
      </c>
      <c r="K220" s="23"/>
      <c r="L220" s="23">
        <v>2</v>
      </c>
      <c r="M220" s="23">
        <v>19</v>
      </c>
      <c r="N220" s="23">
        <v>12</v>
      </c>
      <c r="O220" s="23">
        <f t="shared" si="17"/>
        <v>9</v>
      </c>
    </row>
    <row r="221" spans="1:15" s="18" customFormat="1" ht="9" customHeight="1" x14ac:dyDescent="0.25">
      <c r="A221" s="22" t="s">
        <v>43</v>
      </c>
      <c r="B221" s="23">
        <v>36</v>
      </c>
      <c r="C221" s="23"/>
      <c r="D221" s="23">
        <v>4</v>
      </c>
      <c r="E221" s="23"/>
      <c r="F221" s="25">
        <f t="shared" si="15"/>
        <v>17</v>
      </c>
      <c r="G221" s="23">
        <v>6</v>
      </c>
      <c r="H221" s="23">
        <v>11</v>
      </c>
      <c r="I221" s="23">
        <v>19</v>
      </c>
      <c r="J221" s="23">
        <f t="shared" si="16"/>
        <v>2</v>
      </c>
      <c r="K221" s="23"/>
      <c r="L221" s="23">
        <v>3</v>
      </c>
      <c r="M221" s="23">
        <v>26</v>
      </c>
      <c r="N221" s="23">
        <v>19</v>
      </c>
      <c r="O221" s="23">
        <f t="shared" si="17"/>
        <v>10</v>
      </c>
    </row>
    <row r="222" spans="1:15" s="18" customFormat="1" ht="9" customHeight="1" x14ac:dyDescent="0.25">
      <c r="A222" s="22" t="s">
        <v>44</v>
      </c>
      <c r="B222" s="23">
        <v>21</v>
      </c>
      <c r="C222" s="23"/>
      <c r="D222" s="23">
        <v>6</v>
      </c>
      <c r="E222" s="23"/>
      <c r="F222" s="25">
        <f t="shared" si="15"/>
        <v>10</v>
      </c>
      <c r="G222" s="23">
        <v>2</v>
      </c>
      <c r="H222" s="23">
        <v>8</v>
      </c>
      <c r="I222" s="23">
        <v>11</v>
      </c>
      <c r="J222" s="23">
        <f t="shared" si="16"/>
        <v>5</v>
      </c>
      <c r="K222" s="23"/>
      <c r="L222" s="23">
        <v>1</v>
      </c>
      <c r="M222" s="23">
        <v>10</v>
      </c>
      <c r="N222" s="23">
        <v>4</v>
      </c>
      <c r="O222" s="23">
        <f t="shared" si="17"/>
        <v>7</v>
      </c>
    </row>
    <row r="223" spans="1:15" s="18" customFormat="1" ht="9" customHeight="1" x14ac:dyDescent="0.25">
      <c r="A223" s="26" t="s">
        <v>45</v>
      </c>
      <c r="B223" s="27">
        <v>32</v>
      </c>
      <c r="C223" s="27"/>
      <c r="D223" s="27">
        <v>12</v>
      </c>
      <c r="E223" s="27"/>
      <c r="F223" s="29">
        <f t="shared" si="15"/>
        <v>16</v>
      </c>
      <c r="G223" s="27">
        <v>1</v>
      </c>
      <c r="H223" s="27">
        <v>15</v>
      </c>
      <c r="I223" s="27">
        <v>27</v>
      </c>
      <c r="J223" s="27">
        <f t="shared" si="16"/>
        <v>1</v>
      </c>
      <c r="K223" s="27"/>
      <c r="L223" s="27">
        <v>2</v>
      </c>
      <c r="M223" s="27">
        <v>6</v>
      </c>
      <c r="N223" s="27">
        <v>3</v>
      </c>
      <c r="O223" s="27">
        <f t="shared" si="17"/>
        <v>5</v>
      </c>
    </row>
    <row r="224" spans="1:15" s="18" customFormat="1" ht="9" customHeight="1" x14ac:dyDescent="0.25">
      <c r="A224" s="22" t="s">
        <v>46</v>
      </c>
      <c r="B224" s="23">
        <v>12</v>
      </c>
      <c r="C224" s="23"/>
      <c r="D224" s="23">
        <v>5</v>
      </c>
      <c r="E224" s="23"/>
      <c r="F224" s="25">
        <f t="shared" si="15"/>
        <v>9</v>
      </c>
      <c r="G224" s="23">
        <v>0</v>
      </c>
      <c r="H224" s="23">
        <v>9</v>
      </c>
      <c r="I224" s="23">
        <v>12</v>
      </c>
      <c r="J224" s="23">
        <f t="shared" si="16"/>
        <v>2</v>
      </c>
      <c r="K224" s="23"/>
      <c r="L224" s="23">
        <v>5</v>
      </c>
      <c r="M224" s="23">
        <v>19</v>
      </c>
      <c r="N224" s="23">
        <v>12</v>
      </c>
      <c r="O224" s="23">
        <f t="shared" si="17"/>
        <v>12</v>
      </c>
    </row>
    <row r="225" spans="1:15" s="18" customFormat="1" ht="9" customHeight="1" x14ac:dyDescent="0.25">
      <c r="A225" s="22" t="s">
        <v>47</v>
      </c>
      <c r="B225" s="23">
        <v>36</v>
      </c>
      <c r="C225" s="23"/>
      <c r="D225" s="23">
        <v>11</v>
      </c>
      <c r="E225" s="23"/>
      <c r="F225" s="25">
        <f t="shared" si="15"/>
        <v>20</v>
      </c>
      <c r="G225" s="23">
        <v>5</v>
      </c>
      <c r="H225" s="23">
        <v>15</v>
      </c>
      <c r="I225" s="23">
        <v>23</v>
      </c>
      <c r="J225" s="23">
        <f t="shared" si="16"/>
        <v>8</v>
      </c>
      <c r="K225" s="23"/>
      <c r="L225" s="23">
        <v>1</v>
      </c>
      <c r="M225" s="23">
        <v>19</v>
      </c>
      <c r="N225" s="23">
        <v>9</v>
      </c>
      <c r="O225" s="23">
        <f t="shared" si="17"/>
        <v>11</v>
      </c>
    </row>
    <row r="226" spans="1:15" s="18" customFormat="1" ht="9" customHeight="1" x14ac:dyDescent="0.25">
      <c r="A226" s="22" t="s">
        <v>48</v>
      </c>
      <c r="B226" s="23">
        <v>15</v>
      </c>
      <c r="C226" s="23"/>
      <c r="D226" s="23">
        <v>4</v>
      </c>
      <c r="E226" s="23"/>
      <c r="F226" s="25">
        <f t="shared" si="15"/>
        <v>30</v>
      </c>
      <c r="G226" s="23">
        <v>5</v>
      </c>
      <c r="H226" s="23">
        <v>25</v>
      </c>
      <c r="I226" s="23">
        <v>19</v>
      </c>
      <c r="J226" s="23">
        <f t="shared" si="16"/>
        <v>15</v>
      </c>
      <c r="K226" s="23"/>
      <c r="L226" s="23">
        <v>1</v>
      </c>
      <c r="M226" s="23">
        <v>11</v>
      </c>
      <c r="N226" s="23">
        <v>5</v>
      </c>
      <c r="O226" s="23">
        <f t="shared" si="17"/>
        <v>7</v>
      </c>
    </row>
    <row r="227" spans="1:15" s="18" customFormat="1" ht="9" customHeight="1" x14ac:dyDescent="0.25">
      <c r="A227" s="26" t="s">
        <v>49</v>
      </c>
      <c r="B227" s="27">
        <v>60</v>
      </c>
      <c r="C227" s="27"/>
      <c r="D227" s="27">
        <v>5</v>
      </c>
      <c r="E227" s="27"/>
      <c r="F227" s="29">
        <f t="shared" si="15"/>
        <v>23</v>
      </c>
      <c r="G227" s="27">
        <v>8</v>
      </c>
      <c r="H227" s="27">
        <v>15</v>
      </c>
      <c r="I227" s="27">
        <v>26</v>
      </c>
      <c r="J227" s="27">
        <f t="shared" si="16"/>
        <v>2</v>
      </c>
      <c r="K227" s="27"/>
      <c r="L227" s="27">
        <v>6</v>
      </c>
      <c r="M227" s="27">
        <v>24</v>
      </c>
      <c r="N227" s="27">
        <v>18</v>
      </c>
      <c r="O227" s="27">
        <f t="shared" si="17"/>
        <v>12</v>
      </c>
    </row>
    <row r="228" spans="1:15" s="18" customFormat="1" ht="9" customHeight="1" x14ac:dyDescent="0.25">
      <c r="A228" s="22" t="s">
        <v>50</v>
      </c>
      <c r="B228" s="23">
        <v>5</v>
      </c>
      <c r="C228" s="23"/>
      <c r="D228" s="23">
        <v>0</v>
      </c>
      <c r="E228" s="23"/>
      <c r="F228" s="25">
        <f t="shared" si="15"/>
        <v>6</v>
      </c>
      <c r="G228" s="23">
        <v>2</v>
      </c>
      <c r="H228" s="23">
        <v>4</v>
      </c>
      <c r="I228" s="23">
        <v>6</v>
      </c>
      <c r="J228" s="23">
        <f t="shared" si="16"/>
        <v>0</v>
      </c>
      <c r="K228" s="23"/>
      <c r="L228" s="23">
        <v>1</v>
      </c>
      <c r="M228" s="23">
        <v>6</v>
      </c>
      <c r="N228" s="23">
        <v>6</v>
      </c>
      <c r="O228" s="23">
        <f t="shared" si="17"/>
        <v>1</v>
      </c>
    </row>
    <row r="229" spans="1:15" s="18" customFormat="1" ht="9" customHeight="1" x14ac:dyDescent="0.25">
      <c r="A229" s="22" t="s">
        <v>51</v>
      </c>
      <c r="B229" s="23">
        <v>48</v>
      </c>
      <c r="C229" s="23"/>
      <c r="D229" s="23">
        <v>14</v>
      </c>
      <c r="E229" s="23"/>
      <c r="F229" s="25">
        <f t="shared" si="15"/>
        <v>52</v>
      </c>
      <c r="G229" s="23">
        <v>4</v>
      </c>
      <c r="H229" s="23">
        <v>48</v>
      </c>
      <c r="I229" s="23">
        <v>50</v>
      </c>
      <c r="J229" s="23">
        <f t="shared" si="16"/>
        <v>16</v>
      </c>
      <c r="K229" s="23"/>
      <c r="L229" s="23">
        <v>1</v>
      </c>
      <c r="M229" s="23">
        <v>37</v>
      </c>
      <c r="N229" s="23">
        <v>19</v>
      </c>
      <c r="O229" s="23">
        <f t="shared" si="17"/>
        <v>19</v>
      </c>
    </row>
    <row r="230" spans="1:15" s="18" customFormat="1" ht="9" customHeight="1" x14ac:dyDescent="0.25">
      <c r="A230" s="22" t="s">
        <v>52</v>
      </c>
      <c r="B230" s="23">
        <v>7</v>
      </c>
      <c r="C230" s="23"/>
      <c r="D230" s="23">
        <v>1</v>
      </c>
      <c r="E230" s="23"/>
      <c r="F230" s="25">
        <f t="shared" si="15"/>
        <v>7</v>
      </c>
      <c r="G230" s="23">
        <v>1</v>
      </c>
      <c r="H230" s="23">
        <v>6</v>
      </c>
      <c r="I230" s="23">
        <v>6</v>
      </c>
      <c r="J230" s="23">
        <f t="shared" si="16"/>
        <v>2</v>
      </c>
      <c r="K230" s="23"/>
      <c r="L230" s="23">
        <v>4</v>
      </c>
      <c r="M230" s="23">
        <v>15</v>
      </c>
      <c r="N230" s="23">
        <v>15</v>
      </c>
      <c r="O230" s="23">
        <f t="shared" si="17"/>
        <v>4</v>
      </c>
    </row>
    <row r="231" spans="1:15" s="18" customFormat="1" ht="9" customHeight="1" x14ac:dyDescent="0.25">
      <c r="A231" s="26" t="s">
        <v>53</v>
      </c>
      <c r="B231" s="27">
        <v>8</v>
      </c>
      <c r="C231" s="27"/>
      <c r="D231" s="27">
        <v>3</v>
      </c>
      <c r="E231" s="27"/>
      <c r="F231" s="29">
        <f t="shared" si="15"/>
        <v>5</v>
      </c>
      <c r="G231" s="27">
        <v>1</v>
      </c>
      <c r="H231" s="27">
        <v>4</v>
      </c>
      <c r="I231" s="27">
        <v>8</v>
      </c>
      <c r="J231" s="27">
        <f t="shared" si="16"/>
        <v>0</v>
      </c>
      <c r="K231" s="27"/>
      <c r="L231" s="27">
        <v>2</v>
      </c>
      <c r="M231" s="27">
        <v>11</v>
      </c>
      <c r="N231" s="27">
        <v>8</v>
      </c>
      <c r="O231" s="27">
        <f t="shared" si="17"/>
        <v>5</v>
      </c>
    </row>
    <row r="232" spans="1:15" s="18" customFormat="1" ht="9" customHeight="1" x14ac:dyDescent="0.25">
      <c r="A232" s="22" t="s">
        <v>54</v>
      </c>
      <c r="B232" s="23">
        <v>100</v>
      </c>
      <c r="C232" s="23"/>
      <c r="D232" s="23">
        <v>0</v>
      </c>
      <c r="E232" s="23"/>
      <c r="F232" s="25">
        <f t="shared" si="15"/>
        <v>0</v>
      </c>
      <c r="G232" s="23">
        <v>0</v>
      </c>
      <c r="H232" s="23">
        <v>0</v>
      </c>
      <c r="I232" s="23">
        <v>0</v>
      </c>
      <c r="J232" s="23">
        <f t="shared" si="16"/>
        <v>0</v>
      </c>
      <c r="K232" s="23"/>
      <c r="L232" s="23">
        <v>0</v>
      </c>
      <c r="M232" s="23">
        <v>0</v>
      </c>
      <c r="N232" s="23">
        <v>0</v>
      </c>
      <c r="O232" s="23">
        <f t="shared" si="17"/>
        <v>0</v>
      </c>
    </row>
    <row r="233" spans="1:15" s="18" customFormat="1" ht="9" customHeight="1" x14ac:dyDescent="0.25">
      <c r="A233" s="22"/>
      <c r="B233" s="17"/>
      <c r="C233" s="17"/>
      <c r="D233" s="17"/>
      <c r="E233" s="17"/>
      <c r="G233" s="17"/>
      <c r="H233" s="17"/>
      <c r="I233" s="17"/>
      <c r="J233" s="17"/>
      <c r="K233" s="17"/>
      <c r="L233" s="17"/>
      <c r="M233" s="17"/>
      <c r="N233" s="17"/>
      <c r="O233" s="17"/>
    </row>
    <row r="234" spans="1:15" s="18" customFormat="1" ht="9" customHeight="1" x14ac:dyDescent="0.25">
      <c r="A234" s="16">
        <v>2002</v>
      </c>
      <c r="O234" s="20"/>
    </row>
    <row r="235" spans="1:15" s="18" customFormat="1" ht="11.25" customHeight="1" x14ac:dyDescent="0.25">
      <c r="A235" s="19" t="s">
        <v>21</v>
      </c>
      <c r="B235" s="20">
        <f>SUM(B237:B269)</f>
        <v>2849</v>
      </c>
      <c r="C235" s="20"/>
      <c r="D235" s="20">
        <f>SUM(D237:D269)</f>
        <v>377</v>
      </c>
      <c r="E235" s="20"/>
      <c r="F235" s="20">
        <f>SUM(F237:F269)</f>
        <v>2034</v>
      </c>
      <c r="G235" s="20">
        <f>SUM(G237:G269)</f>
        <v>862</v>
      </c>
      <c r="H235" s="20">
        <f>SUM(H237:H269)</f>
        <v>1172</v>
      </c>
      <c r="I235" s="20">
        <f>SUM(I237:I269)</f>
        <v>1976</v>
      </c>
      <c r="J235" s="20">
        <f>SUM(J237:J269)</f>
        <v>435</v>
      </c>
      <c r="K235" s="20"/>
      <c r="L235" s="20">
        <f>SUM(L237:L269)</f>
        <v>363</v>
      </c>
      <c r="M235" s="20">
        <f>SUM(M237:M269)</f>
        <v>455</v>
      </c>
      <c r="N235" s="20">
        <f>SUM(N237:N269)</f>
        <v>664</v>
      </c>
      <c r="O235" s="20">
        <f>SUM(O237:O269)</f>
        <v>154</v>
      </c>
    </row>
    <row r="236" spans="1:15" s="18" customFormat="1" ht="3" customHeight="1" x14ac:dyDescent="0.25">
      <c r="A236" s="19"/>
      <c r="B236" s="20"/>
      <c r="C236" s="20"/>
      <c r="D236" s="20"/>
      <c r="E236" s="20"/>
      <c r="G236" s="20"/>
      <c r="H236" s="20"/>
      <c r="I236" s="20"/>
      <c r="J236" s="20"/>
      <c r="K236" s="20"/>
      <c r="L236" s="20"/>
      <c r="M236" s="20"/>
      <c r="N236" s="20"/>
      <c r="O236" s="23"/>
    </row>
    <row r="237" spans="1:15" s="18" customFormat="1" ht="9" customHeight="1" x14ac:dyDescent="0.25">
      <c r="A237" s="22" t="s">
        <v>23</v>
      </c>
      <c r="B237" s="23">
        <v>20</v>
      </c>
      <c r="C237" s="23"/>
      <c r="D237" s="23">
        <v>16</v>
      </c>
      <c r="E237" s="23"/>
      <c r="F237" s="25">
        <f t="shared" ref="F237:F269" si="18">SUM(G237:H237)</f>
        <v>37</v>
      </c>
      <c r="G237" s="23">
        <v>1</v>
      </c>
      <c r="H237" s="23">
        <v>36</v>
      </c>
      <c r="I237" s="23">
        <v>43</v>
      </c>
      <c r="J237" s="23">
        <f t="shared" ref="J237:J269" si="19">(D237+F237)-I237</f>
        <v>10</v>
      </c>
      <c r="K237" s="23"/>
      <c r="L237" s="23">
        <v>6</v>
      </c>
      <c r="M237" s="23">
        <v>3</v>
      </c>
      <c r="N237" s="23">
        <v>9</v>
      </c>
      <c r="O237" s="23">
        <f t="shared" ref="O237:O269" si="20">(L237+M237)-N237</f>
        <v>0</v>
      </c>
    </row>
    <row r="238" spans="1:15" s="18" customFormat="1" ht="9" customHeight="1" x14ac:dyDescent="0.25">
      <c r="A238" s="22" t="s">
        <v>24</v>
      </c>
      <c r="B238" s="23">
        <v>64</v>
      </c>
      <c r="C238" s="23"/>
      <c r="D238" s="23">
        <v>6</v>
      </c>
      <c r="E238" s="23"/>
      <c r="F238" s="25">
        <f t="shared" si="18"/>
        <v>33</v>
      </c>
      <c r="G238" s="23">
        <v>8</v>
      </c>
      <c r="H238" s="23">
        <v>25</v>
      </c>
      <c r="I238" s="23">
        <v>30</v>
      </c>
      <c r="J238" s="23">
        <f t="shared" si="19"/>
        <v>9</v>
      </c>
      <c r="K238" s="23"/>
      <c r="L238" s="23">
        <v>11</v>
      </c>
      <c r="M238" s="23">
        <v>23</v>
      </c>
      <c r="N238" s="23">
        <v>27</v>
      </c>
      <c r="O238" s="23">
        <f t="shared" si="20"/>
        <v>7</v>
      </c>
    </row>
    <row r="239" spans="1:15" s="18" customFormat="1" ht="9" customHeight="1" x14ac:dyDescent="0.25">
      <c r="A239" s="22" t="s">
        <v>25</v>
      </c>
      <c r="B239" s="23">
        <v>36</v>
      </c>
      <c r="C239" s="23"/>
      <c r="D239" s="23">
        <v>3</v>
      </c>
      <c r="E239" s="23"/>
      <c r="F239" s="25">
        <f t="shared" si="18"/>
        <v>8</v>
      </c>
      <c r="G239" s="23">
        <v>3</v>
      </c>
      <c r="H239" s="23">
        <v>5</v>
      </c>
      <c r="I239" s="23">
        <v>11</v>
      </c>
      <c r="J239" s="23">
        <f t="shared" si="19"/>
        <v>0</v>
      </c>
      <c r="K239" s="23"/>
      <c r="L239" s="23">
        <v>2</v>
      </c>
      <c r="M239" s="23">
        <v>4</v>
      </c>
      <c r="N239" s="23">
        <v>5</v>
      </c>
      <c r="O239" s="23">
        <f t="shared" si="20"/>
        <v>1</v>
      </c>
    </row>
    <row r="240" spans="1:15" s="18" customFormat="1" ht="9" customHeight="1" x14ac:dyDescent="0.25">
      <c r="A240" s="26" t="s">
        <v>26</v>
      </c>
      <c r="B240" s="27">
        <v>10</v>
      </c>
      <c r="C240" s="27"/>
      <c r="D240" s="27">
        <v>2</v>
      </c>
      <c r="E240" s="27"/>
      <c r="F240" s="29">
        <f t="shared" si="18"/>
        <v>3</v>
      </c>
      <c r="G240" s="27">
        <v>1</v>
      </c>
      <c r="H240" s="27">
        <v>2</v>
      </c>
      <c r="I240" s="27">
        <v>4</v>
      </c>
      <c r="J240" s="27">
        <f t="shared" si="19"/>
        <v>1</v>
      </c>
      <c r="K240" s="27"/>
      <c r="L240" s="27">
        <v>4</v>
      </c>
      <c r="M240" s="27">
        <v>6</v>
      </c>
      <c r="N240" s="27">
        <v>7</v>
      </c>
      <c r="O240" s="27">
        <f t="shared" si="20"/>
        <v>3</v>
      </c>
    </row>
    <row r="241" spans="1:15" s="18" customFormat="1" ht="9" customHeight="1" x14ac:dyDescent="0.25">
      <c r="A241" s="22" t="s">
        <v>27</v>
      </c>
      <c r="B241" s="23">
        <v>41</v>
      </c>
      <c r="C241" s="23"/>
      <c r="D241" s="23">
        <v>6</v>
      </c>
      <c r="E241" s="23"/>
      <c r="F241" s="25">
        <f t="shared" si="18"/>
        <v>22</v>
      </c>
      <c r="G241" s="23">
        <v>9</v>
      </c>
      <c r="H241" s="23">
        <v>13</v>
      </c>
      <c r="I241" s="23">
        <v>25</v>
      </c>
      <c r="J241" s="23">
        <f t="shared" si="19"/>
        <v>3</v>
      </c>
      <c r="K241" s="23"/>
      <c r="L241" s="23">
        <v>7</v>
      </c>
      <c r="M241" s="23">
        <v>10</v>
      </c>
      <c r="N241" s="23">
        <v>17</v>
      </c>
      <c r="O241" s="23">
        <f t="shared" si="20"/>
        <v>0</v>
      </c>
    </row>
    <row r="242" spans="1:15" s="18" customFormat="1" ht="9" customHeight="1" x14ac:dyDescent="0.25">
      <c r="A242" s="22" t="s">
        <v>28</v>
      </c>
      <c r="B242" s="23">
        <v>5</v>
      </c>
      <c r="C242" s="23"/>
      <c r="D242" s="23">
        <v>2</v>
      </c>
      <c r="E242" s="23"/>
      <c r="F242" s="25">
        <f t="shared" si="18"/>
        <v>14</v>
      </c>
      <c r="G242" s="23">
        <v>1</v>
      </c>
      <c r="H242" s="23">
        <v>13</v>
      </c>
      <c r="I242" s="23">
        <v>4</v>
      </c>
      <c r="J242" s="23">
        <f t="shared" si="19"/>
        <v>12</v>
      </c>
      <c r="K242" s="23"/>
      <c r="L242" s="23">
        <v>8</v>
      </c>
      <c r="M242" s="23">
        <v>0</v>
      </c>
      <c r="N242" s="23">
        <v>8</v>
      </c>
      <c r="O242" s="23">
        <f t="shared" si="20"/>
        <v>0</v>
      </c>
    </row>
    <row r="243" spans="1:15" s="18" customFormat="1" ht="9" customHeight="1" x14ac:dyDescent="0.25">
      <c r="A243" s="22" t="s">
        <v>29</v>
      </c>
      <c r="B243" s="23">
        <v>33</v>
      </c>
      <c r="C243" s="23"/>
      <c r="D243" s="23">
        <v>4</v>
      </c>
      <c r="E243" s="23"/>
      <c r="F243" s="25">
        <f t="shared" si="18"/>
        <v>16</v>
      </c>
      <c r="G243" s="23">
        <v>2</v>
      </c>
      <c r="H243" s="23">
        <v>14</v>
      </c>
      <c r="I243" s="23">
        <v>17</v>
      </c>
      <c r="J243" s="23">
        <f t="shared" si="19"/>
        <v>3</v>
      </c>
      <c r="K243" s="23"/>
      <c r="L243" s="23">
        <v>7</v>
      </c>
      <c r="M243" s="23">
        <v>15</v>
      </c>
      <c r="N243" s="23">
        <v>14</v>
      </c>
      <c r="O243" s="23">
        <f t="shared" si="20"/>
        <v>8</v>
      </c>
    </row>
    <row r="244" spans="1:15" s="18" customFormat="1" ht="9" customHeight="1" x14ac:dyDescent="0.25">
      <c r="A244" s="26" t="s">
        <v>30</v>
      </c>
      <c r="B244" s="27">
        <v>71</v>
      </c>
      <c r="C244" s="27"/>
      <c r="D244" s="27">
        <v>8</v>
      </c>
      <c r="E244" s="27"/>
      <c r="F244" s="29">
        <f t="shared" si="18"/>
        <v>23</v>
      </c>
      <c r="G244" s="27">
        <v>5</v>
      </c>
      <c r="H244" s="27">
        <v>18</v>
      </c>
      <c r="I244" s="27">
        <v>20</v>
      </c>
      <c r="J244" s="27">
        <f t="shared" si="19"/>
        <v>11</v>
      </c>
      <c r="K244" s="27"/>
      <c r="L244" s="27">
        <v>26</v>
      </c>
      <c r="M244" s="27">
        <v>21</v>
      </c>
      <c r="N244" s="27">
        <v>38</v>
      </c>
      <c r="O244" s="27">
        <f t="shared" si="20"/>
        <v>9</v>
      </c>
    </row>
    <row r="245" spans="1:15" s="18" customFormat="1" ht="9" customHeight="1" x14ac:dyDescent="0.25">
      <c r="A245" s="22" t="s">
        <v>63</v>
      </c>
      <c r="B245" s="23">
        <v>1327</v>
      </c>
      <c r="C245" s="23"/>
      <c r="D245" s="23">
        <v>172</v>
      </c>
      <c r="E245" s="23"/>
      <c r="F245" s="25">
        <f t="shared" si="18"/>
        <v>1235</v>
      </c>
      <c r="G245" s="23">
        <v>599</v>
      </c>
      <c r="H245" s="23">
        <v>636</v>
      </c>
      <c r="I245" s="23">
        <v>1185</v>
      </c>
      <c r="J245" s="23">
        <f t="shared" si="19"/>
        <v>222</v>
      </c>
      <c r="K245" s="23"/>
      <c r="L245" s="23">
        <v>111</v>
      </c>
      <c r="M245" s="23">
        <v>156</v>
      </c>
      <c r="N245" s="23">
        <v>216</v>
      </c>
      <c r="O245" s="23">
        <f t="shared" si="20"/>
        <v>51</v>
      </c>
    </row>
    <row r="246" spans="1:15" s="18" customFormat="1" ht="9" customHeight="1" x14ac:dyDescent="0.25">
      <c r="A246" s="22" t="s">
        <v>31</v>
      </c>
      <c r="B246" s="23">
        <v>39</v>
      </c>
      <c r="C246" s="23"/>
      <c r="D246" s="23">
        <v>4</v>
      </c>
      <c r="E246" s="23"/>
      <c r="F246" s="25">
        <f t="shared" si="18"/>
        <v>14</v>
      </c>
      <c r="G246" s="23">
        <v>2</v>
      </c>
      <c r="H246" s="23">
        <v>12</v>
      </c>
      <c r="I246" s="23">
        <v>10</v>
      </c>
      <c r="J246" s="23">
        <f t="shared" si="19"/>
        <v>8</v>
      </c>
      <c r="K246" s="23"/>
      <c r="L246" s="23">
        <v>6</v>
      </c>
      <c r="M246" s="23">
        <v>6</v>
      </c>
      <c r="N246" s="23">
        <v>11</v>
      </c>
      <c r="O246" s="23">
        <f t="shared" si="20"/>
        <v>1</v>
      </c>
    </row>
    <row r="247" spans="1:15" s="18" customFormat="1" ht="9" customHeight="1" x14ac:dyDescent="0.25">
      <c r="A247" s="22" t="s">
        <v>32</v>
      </c>
      <c r="B247" s="23">
        <v>74</v>
      </c>
      <c r="C247" s="23"/>
      <c r="D247" s="23">
        <v>13</v>
      </c>
      <c r="E247" s="23"/>
      <c r="F247" s="25">
        <f t="shared" si="18"/>
        <v>53</v>
      </c>
      <c r="G247" s="23">
        <v>12</v>
      </c>
      <c r="H247" s="23">
        <v>41</v>
      </c>
      <c r="I247" s="23">
        <v>52</v>
      </c>
      <c r="J247" s="23">
        <f t="shared" si="19"/>
        <v>14</v>
      </c>
      <c r="K247" s="23"/>
      <c r="L247" s="23">
        <v>5</v>
      </c>
      <c r="M247" s="23">
        <v>6</v>
      </c>
      <c r="N247" s="23">
        <v>8</v>
      </c>
      <c r="O247" s="23">
        <f t="shared" si="20"/>
        <v>3</v>
      </c>
    </row>
    <row r="248" spans="1:15" s="18" customFormat="1" ht="9" customHeight="1" x14ac:dyDescent="0.25">
      <c r="A248" s="26" t="s">
        <v>33</v>
      </c>
      <c r="B248" s="27">
        <v>21</v>
      </c>
      <c r="C248" s="27"/>
      <c r="D248" s="27">
        <v>3</v>
      </c>
      <c r="E248" s="27"/>
      <c r="F248" s="29">
        <f t="shared" si="18"/>
        <v>15</v>
      </c>
      <c r="G248" s="27">
        <v>5</v>
      </c>
      <c r="H248" s="27">
        <v>10</v>
      </c>
      <c r="I248" s="27">
        <v>13</v>
      </c>
      <c r="J248" s="27">
        <f t="shared" si="19"/>
        <v>5</v>
      </c>
      <c r="K248" s="27"/>
      <c r="L248" s="27">
        <v>5</v>
      </c>
      <c r="M248" s="27">
        <v>3</v>
      </c>
      <c r="N248" s="27">
        <v>8</v>
      </c>
      <c r="O248" s="27">
        <f t="shared" si="20"/>
        <v>0</v>
      </c>
    </row>
    <row r="249" spans="1:15" s="18" customFormat="1" ht="9" customHeight="1" x14ac:dyDescent="0.25">
      <c r="A249" s="22" t="s">
        <v>34</v>
      </c>
      <c r="B249" s="23">
        <v>37</v>
      </c>
      <c r="C249" s="23"/>
      <c r="D249" s="23">
        <v>5</v>
      </c>
      <c r="E249" s="23"/>
      <c r="F249" s="25">
        <f t="shared" si="18"/>
        <v>10</v>
      </c>
      <c r="G249" s="23">
        <v>3</v>
      </c>
      <c r="H249" s="23">
        <v>7</v>
      </c>
      <c r="I249" s="23">
        <v>12</v>
      </c>
      <c r="J249" s="23">
        <f t="shared" si="19"/>
        <v>3</v>
      </c>
      <c r="K249" s="23"/>
      <c r="L249" s="23">
        <v>7</v>
      </c>
      <c r="M249" s="23">
        <v>14</v>
      </c>
      <c r="N249" s="23">
        <v>15</v>
      </c>
      <c r="O249" s="23">
        <f t="shared" si="20"/>
        <v>6</v>
      </c>
    </row>
    <row r="250" spans="1:15" s="18" customFormat="1" ht="9" customHeight="1" x14ac:dyDescent="0.25">
      <c r="A250" s="22" t="s">
        <v>35</v>
      </c>
      <c r="B250" s="23">
        <v>88</v>
      </c>
      <c r="C250" s="23"/>
      <c r="D250" s="23">
        <v>10</v>
      </c>
      <c r="E250" s="23"/>
      <c r="F250" s="25">
        <f t="shared" si="18"/>
        <v>25</v>
      </c>
      <c r="G250" s="23">
        <v>7</v>
      </c>
      <c r="H250" s="23">
        <v>18</v>
      </c>
      <c r="I250" s="23">
        <v>30</v>
      </c>
      <c r="J250" s="23">
        <f t="shared" si="19"/>
        <v>5</v>
      </c>
      <c r="K250" s="23"/>
      <c r="L250" s="23">
        <v>13</v>
      </c>
      <c r="M250" s="23">
        <v>24</v>
      </c>
      <c r="N250" s="23">
        <v>27</v>
      </c>
      <c r="O250" s="23">
        <f t="shared" si="20"/>
        <v>10</v>
      </c>
    </row>
    <row r="251" spans="1:15" s="18" customFormat="1" ht="9" customHeight="1" x14ac:dyDescent="0.25">
      <c r="A251" s="22" t="s">
        <v>36</v>
      </c>
      <c r="B251" s="23">
        <v>264</v>
      </c>
      <c r="C251" s="23"/>
      <c r="D251" s="23">
        <v>44</v>
      </c>
      <c r="E251" s="23"/>
      <c r="F251" s="25">
        <f t="shared" si="18"/>
        <v>263</v>
      </c>
      <c r="G251" s="23">
        <v>119</v>
      </c>
      <c r="H251" s="23">
        <v>144</v>
      </c>
      <c r="I251" s="23">
        <v>261</v>
      </c>
      <c r="J251" s="23">
        <f t="shared" si="19"/>
        <v>46</v>
      </c>
      <c r="K251" s="23"/>
      <c r="L251" s="23">
        <v>21</v>
      </c>
      <c r="M251" s="23">
        <v>13</v>
      </c>
      <c r="N251" s="23">
        <v>28</v>
      </c>
      <c r="O251" s="23">
        <f t="shared" si="20"/>
        <v>6</v>
      </c>
    </row>
    <row r="252" spans="1:15" s="18" customFormat="1" ht="9" customHeight="1" x14ac:dyDescent="0.25">
      <c r="A252" s="26" t="s">
        <v>37</v>
      </c>
      <c r="B252" s="27">
        <v>24</v>
      </c>
      <c r="C252" s="27"/>
      <c r="D252" s="27">
        <v>4</v>
      </c>
      <c r="E252" s="27"/>
      <c r="F252" s="29">
        <f t="shared" si="18"/>
        <v>7</v>
      </c>
      <c r="G252" s="27">
        <v>3</v>
      </c>
      <c r="H252" s="27">
        <v>4</v>
      </c>
      <c r="I252" s="27">
        <v>11</v>
      </c>
      <c r="J252" s="27">
        <f t="shared" si="19"/>
        <v>0</v>
      </c>
      <c r="K252" s="27"/>
      <c r="L252" s="27">
        <v>7</v>
      </c>
      <c r="M252" s="27">
        <v>11</v>
      </c>
      <c r="N252" s="27">
        <v>17</v>
      </c>
      <c r="O252" s="27">
        <f t="shared" si="20"/>
        <v>1</v>
      </c>
    </row>
    <row r="253" spans="1:15" s="18" customFormat="1" ht="9" customHeight="1" x14ac:dyDescent="0.25">
      <c r="A253" s="22" t="s">
        <v>38</v>
      </c>
      <c r="B253" s="23">
        <v>33</v>
      </c>
      <c r="C253" s="23"/>
      <c r="D253" s="23">
        <v>4</v>
      </c>
      <c r="E253" s="23"/>
      <c r="F253" s="25">
        <f t="shared" si="18"/>
        <v>16</v>
      </c>
      <c r="G253" s="23">
        <v>5</v>
      </c>
      <c r="H253" s="23">
        <v>11</v>
      </c>
      <c r="I253" s="23">
        <v>14</v>
      </c>
      <c r="J253" s="23">
        <f t="shared" si="19"/>
        <v>6</v>
      </c>
      <c r="K253" s="23"/>
      <c r="L253" s="23">
        <v>3</v>
      </c>
      <c r="M253" s="23">
        <v>3</v>
      </c>
      <c r="N253" s="23">
        <v>5</v>
      </c>
      <c r="O253" s="23">
        <f t="shared" si="20"/>
        <v>1</v>
      </c>
    </row>
    <row r="254" spans="1:15" s="18" customFormat="1" ht="9" customHeight="1" x14ac:dyDescent="0.25">
      <c r="A254" s="22" t="s">
        <v>39</v>
      </c>
      <c r="B254" s="23">
        <v>12</v>
      </c>
      <c r="C254" s="23"/>
      <c r="D254" s="23">
        <v>2</v>
      </c>
      <c r="E254" s="23"/>
      <c r="F254" s="25">
        <f t="shared" si="18"/>
        <v>3</v>
      </c>
      <c r="G254" s="23">
        <v>0</v>
      </c>
      <c r="H254" s="23">
        <v>3</v>
      </c>
      <c r="I254" s="23">
        <v>4</v>
      </c>
      <c r="J254" s="23">
        <f t="shared" si="19"/>
        <v>1</v>
      </c>
      <c r="K254" s="23"/>
      <c r="L254" s="23">
        <v>0</v>
      </c>
      <c r="M254" s="23">
        <v>0</v>
      </c>
      <c r="N254" s="23">
        <v>0</v>
      </c>
      <c r="O254" s="23">
        <f t="shared" si="20"/>
        <v>0</v>
      </c>
    </row>
    <row r="255" spans="1:15" s="18" customFormat="1" ht="9" customHeight="1" x14ac:dyDescent="0.25">
      <c r="A255" s="22" t="s">
        <v>40</v>
      </c>
      <c r="B255" s="23">
        <v>32</v>
      </c>
      <c r="C255" s="23"/>
      <c r="D255" s="23">
        <v>8</v>
      </c>
      <c r="E255" s="23"/>
      <c r="F255" s="25">
        <f t="shared" si="18"/>
        <v>25</v>
      </c>
      <c r="G255" s="23">
        <v>5</v>
      </c>
      <c r="H255" s="23">
        <v>20</v>
      </c>
      <c r="I255" s="23">
        <v>21</v>
      </c>
      <c r="J255" s="23">
        <f t="shared" si="19"/>
        <v>12</v>
      </c>
      <c r="K255" s="23"/>
      <c r="L255" s="23">
        <v>4</v>
      </c>
      <c r="M255" s="23">
        <v>7</v>
      </c>
      <c r="N255" s="23">
        <v>10</v>
      </c>
      <c r="O255" s="23">
        <f t="shared" si="20"/>
        <v>1</v>
      </c>
    </row>
    <row r="256" spans="1:15" s="18" customFormat="1" ht="9" customHeight="1" x14ac:dyDescent="0.25">
      <c r="A256" s="26" t="s">
        <v>41</v>
      </c>
      <c r="B256" s="27">
        <v>38</v>
      </c>
      <c r="C256" s="27"/>
      <c r="D256" s="27">
        <v>5</v>
      </c>
      <c r="E256" s="27"/>
      <c r="F256" s="29">
        <f t="shared" si="18"/>
        <v>18</v>
      </c>
      <c r="G256" s="27">
        <v>5</v>
      </c>
      <c r="H256" s="27">
        <v>13</v>
      </c>
      <c r="I256" s="27">
        <v>16</v>
      </c>
      <c r="J256" s="27">
        <f t="shared" si="19"/>
        <v>7</v>
      </c>
      <c r="K256" s="27"/>
      <c r="L256" s="27">
        <v>8</v>
      </c>
      <c r="M256" s="27">
        <v>11</v>
      </c>
      <c r="N256" s="27">
        <v>10</v>
      </c>
      <c r="O256" s="27">
        <f t="shared" si="20"/>
        <v>9</v>
      </c>
    </row>
    <row r="257" spans="1:15" s="18" customFormat="1" ht="9" customHeight="1" x14ac:dyDescent="0.25">
      <c r="A257" s="22" t="s">
        <v>42</v>
      </c>
      <c r="B257" s="23">
        <v>36</v>
      </c>
      <c r="C257" s="23"/>
      <c r="D257" s="23">
        <v>3</v>
      </c>
      <c r="E257" s="23"/>
      <c r="F257" s="25">
        <f t="shared" si="18"/>
        <v>14</v>
      </c>
      <c r="G257" s="23">
        <v>4</v>
      </c>
      <c r="H257" s="23">
        <v>10</v>
      </c>
      <c r="I257" s="23">
        <v>12</v>
      </c>
      <c r="J257" s="23">
        <f t="shared" si="19"/>
        <v>5</v>
      </c>
      <c r="K257" s="23"/>
      <c r="L257" s="23">
        <v>9</v>
      </c>
      <c r="M257" s="23">
        <v>15</v>
      </c>
      <c r="N257" s="23">
        <v>19</v>
      </c>
      <c r="O257" s="23">
        <f t="shared" si="20"/>
        <v>5</v>
      </c>
    </row>
    <row r="258" spans="1:15" s="18" customFormat="1" ht="9" customHeight="1" x14ac:dyDescent="0.25">
      <c r="A258" s="22" t="s">
        <v>43</v>
      </c>
      <c r="B258" s="23">
        <v>29</v>
      </c>
      <c r="C258" s="23"/>
      <c r="D258" s="23">
        <v>2</v>
      </c>
      <c r="E258" s="23"/>
      <c r="F258" s="25">
        <f t="shared" si="18"/>
        <v>11</v>
      </c>
      <c r="G258" s="23">
        <v>4</v>
      </c>
      <c r="H258" s="23">
        <v>7</v>
      </c>
      <c r="I258" s="23">
        <v>9</v>
      </c>
      <c r="J258" s="23">
        <f t="shared" si="19"/>
        <v>4</v>
      </c>
      <c r="K258" s="23"/>
      <c r="L258" s="23">
        <v>10</v>
      </c>
      <c r="M258" s="23">
        <v>7</v>
      </c>
      <c r="N258" s="23">
        <v>15</v>
      </c>
      <c r="O258" s="23">
        <f t="shared" si="20"/>
        <v>2</v>
      </c>
    </row>
    <row r="259" spans="1:15" s="18" customFormat="1" ht="9" customHeight="1" x14ac:dyDescent="0.25">
      <c r="A259" s="22" t="s">
        <v>44</v>
      </c>
      <c r="B259" s="23">
        <v>25</v>
      </c>
      <c r="C259" s="23"/>
      <c r="D259" s="23">
        <v>5</v>
      </c>
      <c r="E259" s="23"/>
      <c r="F259" s="25">
        <f t="shared" si="18"/>
        <v>10</v>
      </c>
      <c r="G259" s="23">
        <v>5</v>
      </c>
      <c r="H259" s="23">
        <v>5</v>
      </c>
      <c r="I259" s="23">
        <v>13</v>
      </c>
      <c r="J259" s="23">
        <f t="shared" si="19"/>
        <v>2</v>
      </c>
      <c r="K259" s="23"/>
      <c r="L259" s="23">
        <v>7</v>
      </c>
      <c r="M259" s="23">
        <v>4</v>
      </c>
      <c r="N259" s="23">
        <v>10</v>
      </c>
      <c r="O259" s="23">
        <f t="shared" si="20"/>
        <v>1</v>
      </c>
    </row>
    <row r="260" spans="1:15" s="18" customFormat="1" ht="9" customHeight="1" x14ac:dyDescent="0.25">
      <c r="A260" s="26" t="s">
        <v>45</v>
      </c>
      <c r="B260" s="27">
        <v>32</v>
      </c>
      <c r="C260" s="27"/>
      <c r="D260" s="27">
        <v>1</v>
      </c>
      <c r="E260" s="27"/>
      <c r="F260" s="29">
        <f t="shared" si="18"/>
        <v>13</v>
      </c>
      <c r="G260" s="27">
        <v>3</v>
      </c>
      <c r="H260" s="27">
        <v>10</v>
      </c>
      <c r="I260" s="27">
        <v>7</v>
      </c>
      <c r="J260" s="27">
        <f t="shared" si="19"/>
        <v>7</v>
      </c>
      <c r="K260" s="27"/>
      <c r="L260" s="27">
        <v>5</v>
      </c>
      <c r="M260" s="27">
        <v>6</v>
      </c>
      <c r="N260" s="27">
        <v>7</v>
      </c>
      <c r="O260" s="27">
        <f t="shared" si="20"/>
        <v>4</v>
      </c>
    </row>
    <row r="261" spans="1:15" s="18" customFormat="1" ht="9" customHeight="1" x14ac:dyDescent="0.25">
      <c r="A261" s="22" t="s">
        <v>46</v>
      </c>
      <c r="B261" s="23">
        <v>11</v>
      </c>
      <c r="C261" s="23"/>
      <c r="D261" s="23">
        <v>2</v>
      </c>
      <c r="E261" s="23"/>
      <c r="F261" s="25">
        <f t="shared" si="18"/>
        <v>13</v>
      </c>
      <c r="G261" s="23">
        <v>4</v>
      </c>
      <c r="H261" s="23">
        <v>9</v>
      </c>
      <c r="I261" s="23">
        <v>13</v>
      </c>
      <c r="J261" s="23">
        <f t="shared" si="19"/>
        <v>2</v>
      </c>
      <c r="K261" s="23"/>
      <c r="L261" s="23">
        <v>12</v>
      </c>
      <c r="M261" s="23">
        <v>9</v>
      </c>
      <c r="N261" s="23">
        <v>19</v>
      </c>
      <c r="O261" s="23">
        <f t="shared" si="20"/>
        <v>2</v>
      </c>
    </row>
    <row r="262" spans="1:15" s="18" customFormat="1" ht="9" customHeight="1" x14ac:dyDescent="0.25">
      <c r="A262" s="22" t="s">
        <v>47</v>
      </c>
      <c r="B262" s="23">
        <v>33</v>
      </c>
      <c r="C262" s="23"/>
      <c r="D262" s="23">
        <v>8</v>
      </c>
      <c r="E262" s="23"/>
      <c r="F262" s="25">
        <f t="shared" si="18"/>
        <v>20</v>
      </c>
      <c r="G262" s="23">
        <v>7</v>
      </c>
      <c r="H262" s="23">
        <v>13</v>
      </c>
      <c r="I262" s="23">
        <v>22</v>
      </c>
      <c r="J262" s="23">
        <f t="shared" si="19"/>
        <v>6</v>
      </c>
      <c r="K262" s="23"/>
      <c r="L262" s="23">
        <v>11</v>
      </c>
      <c r="M262" s="23">
        <v>14</v>
      </c>
      <c r="N262" s="23">
        <v>19</v>
      </c>
      <c r="O262" s="23">
        <f t="shared" si="20"/>
        <v>6</v>
      </c>
    </row>
    <row r="263" spans="1:15" s="18" customFormat="1" ht="9" customHeight="1" x14ac:dyDescent="0.25">
      <c r="A263" s="22" t="s">
        <v>48</v>
      </c>
      <c r="B263" s="23">
        <v>32</v>
      </c>
      <c r="C263" s="23"/>
      <c r="D263" s="23">
        <v>15</v>
      </c>
      <c r="E263" s="23"/>
      <c r="F263" s="25">
        <f t="shared" si="18"/>
        <v>18</v>
      </c>
      <c r="G263" s="23">
        <v>7</v>
      </c>
      <c r="H263" s="23">
        <v>11</v>
      </c>
      <c r="I263" s="23">
        <v>27</v>
      </c>
      <c r="J263" s="23">
        <f t="shared" si="19"/>
        <v>6</v>
      </c>
      <c r="K263" s="23"/>
      <c r="L263" s="23">
        <v>7</v>
      </c>
      <c r="M263" s="23">
        <v>5</v>
      </c>
      <c r="N263" s="23">
        <v>12</v>
      </c>
      <c r="O263" s="23">
        <f t="shared" si="20"/>
        <v>0</v>
      </c>
    </row>
    <row r="264" spans="1:15" s="18" customFormat="1" ht="9" customHeight="1" x14ac:dyDescent="0.25">
      <c r="A264" s="26" t="s">
        <v>49</v>
      </c>
      <c r="B264" s="27">
        <v>55</v>
      </c>
      <c r="C264" s="27"/>
      <c r="D264" s="27">
        <v>2</v>
      </c>
      <c r="E264" s="27"/>
      <c r="F264" s="29">
        <f t="shared" si="18"/>
        <v>22</v>
      </c>
      <c r="G264" s="27">
        <v>6</v>
      </c>
      <c r="H264" s="27">
        <v>16</v>
      </c>
      <c r="I264" s="27">
        <v>17</v>
      </c>
      <c r="J264" s="27">
        <f t="shared" si="19"/>
        <v>7</v>
      </c>
      <c r="K264" s="27"/>
      <c r="L264" s="27">
        <v>12</v>
      </c>
      <c r="M264" s="27">
        <v>24</v>
      </c>
      <c r="N264" s="27">
        <v>28</v>
      </c>
      <c r="O264" s="27">
        <f t="shared" si="20"/>
        <v>8</v>
      </c>
    </row>
    <row r="265" spans="1:15" s="18" customFormat="1" ht="9" customHeight="1" x14ac:dyDescent="0.25">
      <c r="A265" s="22" t="s">
        <v>50</v>
      </c>
      <c r="B265" s="23">
        <v>13</v>
      </c>
      <c r="C265" s="23"/>
      <c r="D265" s="23">
        <v>0</v>
      </c>
      <c r="E265" s="23"/>
      <c r="F265" s="25">
        <f t="shared" si="18"/>
        <v>7</v>
      </c>
      <c r="G265" s="23">
        <v>3</v>
      </c>
      <c r="H265" s="23">
        <v>4</v>
      </c>
      <c r="I265" s="23">
        <v>5</v>
      </c>
      <c r="J265" s="23">
        <f t="shared" si="19"/>
        <v>2</v>
      </c>
      <c r="K265" s="23"/>
      <c r="L265" s="23">
        <v>1</v>
      </c>
      <c r="M265" s="23">
        <v>4</v>
      </c>
      <c r="N265" s="23">
        <v>5</v>
      </c>
      <c r="O265" s="23">
        <f t="shared" si="20"/>
        <v>0</v>
      </c>
    </row>
    <row r="266" spans="1:15" s="18" customFormat="1" ht="9" customHeight="1" x14ac:dyDescent="0.25">
      <c r="A266" s="22" t="s">
        <v>51</v>
      </c>
      <c r="B266" s="23">
        <v>72</v>
      </c>
      <c r="C266" s="23"/>
      <c r="D266" s="23">
        <v>16</v>
      </c>
      <c r="E266" s="23"/>
      <c r="F266" s="25">
        <f t="shared" si="18"/>
        <v>53</v>
      </c>
      <c r="G266" s="23">
        <v>18</v>
      </c>
      <c r="H266" s="23">
        <v>35</v>
      </c>
      <c r="I266" s="23">
        <v>54</v>
      </c>
      <c r="J266" s="23">
        <f t="shared" si="19"/>
        <v>15</v>
      </c>
      <c r="K266" s="23"/>
      <c r="L266" s="23">
        <v>19</v>
      </c>
      <c r="M266" s="23">
        <v>14</v>
      </c>
      <c r="N266" s="23">
        <v>30</v>
      </c>
      <c r="O266" s="23">
        <f t="shared" si="20"/>
        <v>3</v>
      </c>
    </row>
    <row r="267" spans="1:15" s="18" customFormat="1" ht="9" customHeight="1" x14ac:dyDescent="0.25">
      <c r="A267" s="22" t="s">
        <v>52</v>
      </c>
      <c r="B267" s="23">
        <v>18</v>
      </c>
      <c r="C267" s="23"/>
      <c r="D267" s="23">
        <v>2</v>
      </c>
      <c r="E267" s="23"/>
      <c r="F267" s="25">
        <f t="shared" si="18"/>
        <v>9</v>
      </c>
      <c r="G267" s="23">
        <v>3</v>
      </c>
      <c r="H267" s="23">
        <v>6</v>
      </c>
      <c r="I267" s="23">
        <v>11</v>
      </c>
      <c r="J267" s="23">
        <f t="shared" si="19"/>
        <v>0</v>
      </c>
      <c r="K267" s="23"/>
      <c r="L267" s="23">
        <v>4</v>
      </c>
      <c r="M267" s="23">
        <v>7</v>
      </c>
      <c r="N267" s="23">
        <v>9</v>
      </c>
      <c r="O267" s="23">
        <f t="shared" si="20"/>
        <v>2</v>
      </c>
    </row>
    <row r="268" spans="1:15" s="18" customFormat="1" ht="9" customHeight="1" x14ac:dyDescent="0.25">
      <c r="A268" s="26" t="s">
        <v>53</v>
      </c>
      <c r="B268" s="27">
        <v>13</v>
      </c>
      <c r="C268" s="27"/>
      <c r="D268" s="27">
        <v>0</v>
      </c>
      <c r="E268" s="27"/>
      <c r="F268" s="29">
        <f t="shared" si="18"/>
        <v>4</v>
      </c>
      <c r="G268" s="27">
        <v>3</v>
      </c>
      <c r="H268" s="27">
        <v>1</v>
      </c>
      <c r="I268" s="27">
        <v>3</v>
      </c>
      <c r="J268" s="27">
        <f t="shared" si="19"/>
        <v>1</v>
      </c>
      <c r="K268" s="27"/>
      <c r="L268" s="27">
        <v>5</v>
      </c>
      <c r="M268" s="27">
        <v>10</v>
      </c>
      <c r="N268" s="27">
        <v>11</v>
      </c>
      <c r="O268" s="27">
        <f t="shared" si="20"/>
        <v>4</v>
      </c>
    </row>
    <row r="269" spans="1:15" s="18" customFormat="1" ht="9" customHeight="1" x14ac:dyDescent="0.25">
      <c r="A269" s="22" t="s">
        <v>54</v>
      </c>
      <c r="B269" s="23">
        <v>211</v>
      </c>
      <c r="C269" s="23"/>
      <c r="D269" s="23">
        <v>0</v>
      </c>
      <c r="E269" s="23"/>
      <c r="F269" s="25">
        <f t="shared" si="18"/>
        <v>0</v>
      </c>
      <c r="G269" s="23">
        <v>0</v>
      </c>
      <c r="H269" s="23">
        <v>0</v>
      </c>
      <c r="I269" s="23">
        <v>0</v>
      </c>
      <c r="J269" s="23">
        <f t="shared" si="19"/>
        <v>0</v>
      </c>
      <c r="K269" s="23"/>
      <c r="L269" s="23">
        <v>0</v>
      </c>
      <c r="M269" s="23">
        <v>0</v>
      </c>
      <c r="N269" s="23">
        <v>0</v>
      </c>
      <c r="O269" s="23">
        <f t="shared" si="20"/>
        <v>0</v>
      </c>
    </row>
    <row r="270" spans="1:15" s="18" customFormat="1" ht="9" customHeight="1" x14ac:dyDescent="0.25">
      <c r="A270" s="22"/>
      <c r="B270" s="17"/>
      <c r="C270" s="17"/>
      <c r="D270" s="17"/>
      <c r="E270" s="17"/>
      <c r="G270" s="17"/>
      <c r="H270" s="17"/>
      <c r="I270" s="17"/>
      <c r="J270" s="17"/>
      <c r="K270" s="17"/>
      <c r="L270" s="17"/>
      <c r="M270" s="17"/>
      <c r="N270" s="17"/>
      <c r="O270" s="17"/>
    </row>
    <row r="271" spans="1:15" s="18" customFormat="1" ht="9" customHeight="1" x14ac:dyDescent="0.25">
      <c r="A271" s="16">
        <v>2003</v>
      </c>
      <c r="O271" s="20"/>
    </row>
    <row r="272" spans="1:15" s="18" customFormat="1" ht="11.25" customHeight="1" x14ac:dyDescent="0.25">
      <c r="A272" s="19" t="s">
        <v>21</v>
      </c>
      <c r="B272" s="20">
        <f>SUM(B274:B306)</f>
        <v>3145</v>
      </c>
      <c r="C272" s="20"/>
      <c r="D272" s="20">
        <f>SUM(D274:D306)</f>
        <v>435</v>
      </c>
      <c r="E272" s="20"/>
      <c r="F272" s="20">
        <f>SUM(F274:F306)</f>
        <v>2455</v>
      </c>
      <c r="G272" s="20">
        <f>SUM(G274:G306)</f>
        <v>941</v>
      </c>
      <c r="H272" s="20">
        <f>SUM(H274:H306)</f>
        <v>1514</v>
      </c>
      <c r="I272" s="20">
        <f>SUM(I274:I306)</f>
        <v>2250</v>
      </c>
      <c r="J272" s="20">
        <f>SUM(J274:J306)</f>
        <v>640</v>
      </c>
      <c r="K272" s="20"/>
      <c r="L272" s="20">
        <f>SUM(L274:L306)</f>
        <v>154</v>
      </c>
      <c r="M272" s="20">
        <f>SUM(M274:M306)</f>
        <v>383</v>
      </c>
      <c r="N272" s="20">
        <f>SUM(N274:N306)</f>
        <v>443</v>
      </c>
      <c r="O272" s="20">
        <f>SUM(O274:O306)</f>
        <v>94</v>
      </c>
    </row>
    <row r="273" spans="1:15" s="18" customFormat="1" ht="3" customHeight="1" x14ac:dyDescent="0.25">
      <c r="A273" s="19"/>
      <c r="B273" s="20"/>
      <c r="C273" s="20"/>
      <c r="D273" s="20"/>
      <c r="E273" s="20"/>
      <c r="G273" s="20"/>
      <c r="H273" s="20"/>
      <c r="I273" s="20"/>
      <c r="J273" s="20"/>
      <c r="K273" s="20"/>
      <c r="L273" s="20"/>
      <c r="M273" s="20"/>
      <c r="N273" s="20"/>
      <c r="O273" s="23"/>
    </row>
    <row r="274" spans="1:15" s="18" customFormat="1" ht="9" customHeight="1" x14ac:dyDescent="0.25">
      <c r="A274" s="22" t="s">
        <v>23</v>
      </c>
      <c r="B274" s="23">
        <v>18</v>
      </c>
      <c r="C274" s="23"/>
      <c r="D274" s="23">
        <v>10</v>
      </c>
      <c r="E274" s="23"/>
      <c r="F274" s="25">
        <f t="shared" ref="F274:F306" si="21">SUM(G274:H274)</f>
        <v>34</v>
      </c>
      <c r="G274" s="23">
        <v>3</v>
      </c>
      <c r="H274" s="23">
        <v>31</v>
      </c>
      <c r="I274" s="23">
        <v>32</v>
      </c>
      <c r="J274" s="23">
        <f t="shared" ref="J274:J306" si="22">(D274+F274)-I274</f>
        <v>12</v>
      </c>
      <c r="K274" s="23"/>
      <c r="L274" s="23">
        <v>0</v>
      </c>
      <c r="M274" s="23">
        <v>2</v>
      </c>
      <c r="N274" s="23">
        <v>1</v>
      </c>
      <c r="O274" s="23">
        <f t="shared" ref="O274:O306" si="23">(L274+M274)-N274</f>
        <v>1</v>
      </c>
    </row>
    <row r="275" spans="1:15" s="18" customFormat="1" ht="9" customHeight="1" x14ac:dyDescent="0.25">
      <c r="A275" s="22" t="s">
        <v>24</v>
      </c>
      <c r="B275" s="23">
        <v>44</v>
      </c>
      <c r="C275" s="23"/>
      <c r="D275" s="23">
        <v>9</v>
      </c>
      <c r="E275" s="23"/>
      <c r="F275" s="25">
        <f t="shared" si="21"/>
        <v>25</v>
      </c>
      <c r="G275" s="23">
        <v>13</v>
      </c>
      <c r="H275" s="23">
        <v>12</v>
      </c>
      <c r="I275" s="23">
        <v>29</v>
      </c>
      <c r="J275" s="23">
        <f t="shared" si="22"/>
        <v>5</v>
      </c>
      <c r="K275" s="23"/>
      <c r="L275" s="23">
        <v>7</v>
      </c>
      <c r="M275" s="23">
        <v>28</v>
      </c>
      <c r="N275" s="23">
        <v>31</v>
      </c>
      <c r="O275" s="23">
        <f t="shared" si="23"/>
        <v>4</v>
      </c>
    </row>
    <row r="276" spans="1:15" s="18" customFormat="1" ht="9" customHeight="1" x14ac:dyDescent="0.25">
      <c r="A276" s="22" t="s">
        <v>25</v>
      </c>
      <c r="B276" s="23">
        <v>18</v>
      </c>
      <c r="C276" s="23"/>
      <c r="D276" s="23">
        <v>0</v>
      </c>
      <c r="E276" s="23"/>
      <c r="F276" s="25">
        <f t="shared" si="21"/>
        <v>11</v>
      </c>
      <c r="G276" s="23">
        <v>6</v>
      </c>
      <c r="H276" s="23">
        <v>5</v>
      </c>
      <c r="I276" s="23">
        <v>7</v>
      </c>
      <c r="J276" s="23">
        <f t="shared" si="22"/>
        <v>4</v>
      </c>
      <c r="K276" s="23"/>
      <c r="L276" s="23">
        <v>1</v>
      </c>
      <c r="M276" s="23">
        <v>7</v>
      </c>
      <c r="N276" s="23">
        <v>6</v>
      </c>
      <c r="O276" s="23">
        <f t="shared" si="23"/>
        <v>2</v>
      </c>
    </row>
    <row r="277" spans="1:15" s="18" customFormat="1" ht="9" customHeight="1" x14ac:dyDescent="0.25">
      <c r="A277" s="26" t="s">
        <v>26</v>
      </c>
      <c r="B277" s="27">
        <v>18</v>
      </c>
      <c r="C277" s="27"/>
      <c r="D277" s="27">
        <v>1</v>
      </c>
      <c r="E277" s="27"/>
      <c r="F277" s="29">
        <f t="shared" si="21"/>
        <v>5</v>
      </c>
      <c r="G277" s="27">
        <v>2</v>
      </c>
      <c r="H277" s="27">
        <v>3</v>
      </c>
      <c r="I277" s="27">
        <v>4</v>
      </c>
      <c r="J277" s="27">
        <f t="shared" si="22"/>
        <v>2</v>
      </c>
      <c r="K277" s="27"/>
      <c r="L277" s="27">
        <v>3</v>
      </c>
      <c r="M277" s="27">
        <v>4</v>
      </c>
      <c r="N277" s="27">
        <v>4</v>
      </c>
      <c r="O277" s="27">
        <f t="shared" si="23"/>
        <v>3</v>
      </c>
    </row>
    <row r="278" spans="1:15" s="18" customFormat="1" ht="9" customHeight="1" x14ac:dyDescent="0.25">
      <c r="A278" s="22" t="s">
        <v>27</v>
      </c>
      <c r="B278" s="23">
        <v>32</v>
      </c>
      <c r="C278" s="23"/>
      <c r="D278" s="23">
        <v>3</v>
      </c>
      <c r="E278" s="23"/>
      <c r="F278" s="25">
        <f t="shared" si="21"/>
        <v>17</v>
      </c>
      <c r="G278" s="23">
        <v>6</v>
      </c>
      <c r="H278" s="23">
        <v>11</v>
      </c>
      <c r="I278" s="23">
        <v>17</v>
      </c>
      <c r="J278" s="23">
        <f t="shared" si="22"/>
        <v>3</v>
      </c>
      <c r="K278" s="23"/>
      <c r="L278" s="23">
        <v>0</v>
      </c>
      <c r="M278" s="23">
        <v>0</v>
      </c>
      <c r="N278" s="23">
        <v>0</v>
      </c>
      <c r="O278" s="23">
        <f t="shared" si="23"/>
        <v>0</v>
      </c>
    </row>
    <row r="279" spans="1:15" s="18" customFormat="1" ht="9" customHeight="1" x14ac:dyDescent="0.25">
      <c r="A279" s="22" t="s">
        <v>28</v>
      </c>
      <c r="B279" s="23">
        <v>4</v>
      </c>
      <c r="C279" s="23"/>
      <c r="D279" s="23">
        <v>12</v>
      </c>
      <c r="E279" s="23"/>
      <c r="F279" s="25">
        <f t="shared" si="21"/>
        <v>4</v>
      </c>
      <c r="G279" s="23">
        <v>0</v>
      </c>
      <c r="H279" s="23">
        <v>4</v>
      </c>
      <c r="I279" s="23">
        <v>14</v>
      </c>
      <c r="J279" s="23">
        <f t="shared" si="22"/>
        <v>2</v>
      </c>
      <c r="K279" s="23"/>
      <c r="L279" s="23">
        <v>0</v>
      </c>
      <c r="M279" s="23">
        <v>1</v>
      </c>
      <c r="N279" s="23">
        <v>1</v>
      </c>
      <c r="O279" s="23">
        <f t="shared" si="23"/>
        <v>0</v>
      </c>
    </row>
    <row r="280" spans="1:15" s="18" customFormat="1" ht="9" customHeight="1" x14ac:dyDescent="0.25">
      <c r="A280" s="22" t="s">
        <v>29</v>
      </c>
      <c r="B280" s="23">
        <v>34</v>
      </c>
      <c r="C280" s="23"/>
      <c r="D280" s="23">
        <v>3</v>
      </c>
      <c r="E280" s="23"/>
      <c r="F280" s="25">
        <f t="shared" si="21"/>
        <v>18</v>
      </c>
      <c r="G280" s="23">
        <v>3</v>
      </c>
      <c r="H280" s="23">
        <v>15</v>
      </c>
      <c r="I280" s="23">
        <v>14</v>
      </c>
      <c r="J280" s="23">
        <f t="shared" si="22"/>
        <v>7</v>
      </c>
      <c r="K280" s="23"/>
      <c r="L280" s="23">
        <v>8</v>
      </c>
      <c r="M280" s="23">
        <v>14</v>
      </c>
      <c r="N280" s="23">
        <v>20</v>
      </c>
      <c r="O280" s="23">
        <f t="shared" si="23"/>
        <v>2</v>
      </c>
    </row>
    <row r="281" spans="1:15" s="18" customFormat="1" ht="9" customHeight="1" x14ac:dyDescent="0.25">
      <c r="A281" s="26" t="s">
        <v>30</v>
      </c>
      <c r="B281" s="27">
        <v>44</v>
      </c>
      <c r="C281" s="27"/>
      <c r="D281" s="27">
        <v>11</v>
      </c>
      <c r="E281" s="27"/>
      <c r="F281" s="29">
        <f t="shared" si="21"/>
        <v>43</v>
      </c>
      <c r="G281" s="27">
        <v>10</v>
      </c>
      <c r="H281" s="27">
        <v>33</v>
      </c>
      <c r="I281" s="27">
        <v>36</v>
      </c>
      <c r="J281" s="27">
        <f t="shared" si="22"/>
        <v>18</v>
      </c>
      <c r="K281" s="27"/>
      <c r="L281" s="27">
        <v>9</v>
      </c>
      <c r="M281" s="27">
        <v>16</v>
      </c>
      <c r="N281" s="27">
        <v>22</v>
      </c>
      <c r="O281" s="27">
        <f t="shared" si="23"/>
        <v>3</v>
      </c>
    </row>
    <row r="282" spans="1:15" s="18" customFormat="1" ht="9" customHeight="1" x14ac:dyDescent="0.25">
      <c r="A282" s="22" t="s">
        <v>63</v>
      </c>
      <c r="B282" s="23">
        <v>1336</v>
      </c>
      <c r="C282" s="23"/>
      <c r="D282" s="23">
        <v>222</v>
      </c>
      <c r="E282" s="23"/>
      <c r="F282" s="25">
        <f t="shared" si="21"/>
        <v>1590</v>
      </c>
      <c r="G282" s="23">
        <v>651</v>
      </c>
      <c r="H282" s="23">
        <v>939</v>
      </c>
      <c r="I282" s="23">
        <v>1451</v>
      </c>
      <c r="J282" s="23">
        <f t="shared" si="22"/>
        <v>361</v>
      </c>
      <c r="K282" s="23"/>
      <c r="L282" s="23">
        <v>51</v>
      </c>
      <c r="M282" s="23">
        <v>123</v>
      </c>
      <c r="N282" s="23">
        <v>142</v>
      </c>
      <c r="O282" s="23">
        <f t="shared" si="23"/>
        <v>32</v>
      </c>
    </row>
    <row r="283" spans="1:15" s="18" customFormat="1" ht="9" customHeight="1" x14ac:dyDescent="0.25">
      <c r="A283" s="22" t="s">
        <v>31</v>
      </c>
      <c r="B283" s="23">
        <v>23</v>
      </c>
      <c r="C283" s="23"/>
      <c r="D283" s="23">
        <v>8</v>
      </c>
      <c r="E283" s="23"/>
      <c r="F283" s="25">
        <f t="shared" si="21"/>
        <v>11</v>
      </c>
      <c r="G283" s="23">
        <v>2</v>
      </c>
      <c r="H283" s="23">
        <v>9</v>
      </c>
      <c r="I283" s="23">
        <v>13</v>
      </c>
      <c r="J283" s="23">
        <f t="shared" si="22"/>
        <v>6</v>
      </c>
      <c r="K283" s="23"/>
      <c r="L283" s="23">
        <v>1</v>
      </c>
      <c r="M283" s="23">
        <v>4</v>
      </c>
      <c r="N283" s="23">
        <v>5</v>
      </c>
      <c r="O283" s="23">
        <f t="shared" si="23"/>
        <v>0</v>
      </c>
    </row>
    <row r="284" spans="1:15" s="18" customFormat="1" ht="9" customHeight="1" x14ac:dyDescent="0.25">
      <c r="A284" s="22" t="s">
        <v>32</v>
      </c>
      <c r="B284" s="23">
        <v>51</v>
      </c>
      <c r="C284" s="23"/>
      <c r="D284" s="23">
        <v>14</v>
      </c>
      <c r="E284" s="23"/>
      <c r="F284" s="25">
        <f t="shared" si="21"/>
        <v>61</v>
      </c>
      <c r="G284" s="23">
        <v>8</v>
      </c>
      <c r="H284" s="23">
        <v>53</v>
      </c>
      <c r="I284" s="23">
        <v>43</v>
      </c>
      <c r="J284" s="23">
        <f t="shared" si="22"/>
        <v>32</v>
      </c>
      <c r="K284" s="23"/>
      <c r="L284" s="23">
        <v>3</v>
      </c>
      <c r="M284" s="23">
        <v>5</v>
      </c>
      <c r="N284" s="23">
        <v>8</v>
      </c>
      <c r="O284" s="23">
        <f t="shared" si="23"/>
        <v>0</v>
      </c>
    </row>
    <row r="285" spans="1:15" s="18" customFormat="1" ht="9" customHeight="1" x14ac:dyDescent="0.25">
      <c r="A285" s="26" t="s">
        <v>33</v>
      </c>
      <c r="B285" s="27">
        <v>16</v>
      </c>
      <c r="C285" s="27"/>
      <c r="D285" s="27">
        <v>5</v>
      </c>
      <c r="E285" s="27"/>
      <c r="F285" s="29">
        <f t="shared" si="21"/>
        <v>15</v>
      </c>
      <c r="G285" s="27">
        <v>1</v>
      </c>
      <c r="H285" s="27">
        <v>14</v>
      </c>
      <c r="I285" s="27">
        <v>11</v>
      </c>
      <c r="J285" s="27">
        <f t="shared" si="22"/>
        <v>9</v>
      </c>
      <c r="K285" s="27"/>
      <c r="L285" s="27">
        <v>0</v>
      </c>
      <c r="M285" s="27">
        <v>7</v>
      </c>
      <c r="N285" s="27">
        <v>7</v>
      </c>
      <c r="O285" s="27">
        <f t="shared" si="23"/>
        <v>0</v>
      </c>
    </row>
    <row r="286" spans="1:15" s="18" customFormat="1" ht="9" customHeight="1" x14ac:dyDescent="0.25">
      <c r="A286" s="22" t="s">
        <v>34</v>
      </c>
      <c r="B286" s="23">
        <v>47</v>
      </c>
      <c r="C286" s="23"/>
      <c r="D286" s="23">
        <v>3</v>
      </c>
      <c r="E286" s="23"/>
      <c r="F286" s="25">
        <f t="shared" si="21"/>
        <v>33</v>
      </c>
      <c r="G286" s="23">
        <v>7</v>
      </c>
      <c r="H286" s="23">
        <v>26</v>
      </c>
      <c r="I286" s="23">
        <v>28</v>
      </c>
      <c r="J286" s="23">
        <f t="shared" si="22"/>
        <v>8</v>
      </c>
      <c r="K286" s="23"/>
      <c r="L286" s="23">
        <v>6</v>
      </c>
      <c r="M286" s="23">
        <v>12</v>
      </c>
      <c r="N286" s="23">
        <v>16</v>
      </c>
      <c r="O286" s="23">
        <f t="shared" si="23"/>
        <v>2</v>
      </c>
    </row>
    <row r="287" spans="1:15" s="18" customFormat="1" ht="9" customHeight="1" x14ac:dyDescent="0.25">
      <c r="A287" s="22" t="s">
        <v>35</v>
      </c>
      <c r="B287" s="23">
        <v>53</v>
      </c>
      <c r="C287" s="23"/>
      <c r="D287" s="23">
        <v>5</v>
      </c>
      <c r="E287" s="23"/>
      <c r="F287" s="25">
        <f t="shared" si="21"/>
        <v>24</v>
      </c>
      <c r="G287" s="23">
        <v>9</v>
      </c>
      <c r="H287" s="23">
        <v>15</v>
      </c>
      <c r="I287" s="23">
        <v>24</v>
      </c>
      <c r="J287" s="23">
        <f t="shared" si="22"/>
        <v>5</v>
      </c>
      <c r="K287" s="23"/>
      <c r="L287" s="23">
        <v>10</v>
      </c>
      <c r="M287" s="23">
        <v>32</v>
      </c>
      <c r="N287" s="23">
        <v>35</v>
      </c>
      <c r="O287" s="23">
        <f t="shared" si="23"/>
        <v>7</v>
      </c>
    </row>
    <row r="288" spans="1:15" s="18" customFormat="1" ht="9" customHeight="1" x14ac:dyDescent="0.25">
      <c r="A288" s="22" t="s">
        <v>36</v>
      </c>
      <c r="B288" s="23">
        <v>279</v>
      </c>
      <c r="C288" s="23"/>
      <c r="D288" s="23">
        <v>46</v>
      </c>
      <c r="E288" s="23"/>
      <c r="F288" s="25">
        <f t="shared" si="21"/>
        <v>284</v>
      </c>
      <c r="G288" s="23">
        <v>125</v>
      </c>
      <c r="H288" s="23">
        <v>159</v>
      </c>
      <c r="I288" s="23">
        <v>263</v>
      </c>
      <c r="J288" s="23">
        <f t="shared" si="22"/>
        <v>67</v>
      </c>
      <c r="K288" s="23"/>
      <c r="L288" s="23">
        <v>6</v>
      </c>
      <c r="M288" s="23">
        <v>10</v>
      </c>
      <c r="N288" s="23">
        <v>13</v>
      </c>
      <c r="O288" s="23">
        <f t="shared" si="23"/>
        <v>3</v>
      </c>
    </row>
    <row r="289" spans="1:15" s="18" customFormat="1" ht="9" customHeight="1" x14ac:dyDescent="0.25">
      <c r="A289" s="26" t="s">
        <v>37</v>
      </c>
      <c r="B289" s="27">
        <v>30</v>
      </c>
      <c r="C289" s="27"/>
      <c r="D289" s="27">
        <v>0</v>
      </c>
      <c r="E289" s="27"/>
      <c r="F289" s="29">
        <f t="shared" si="21"/>
        <v>10</v>
      </c>
      <c r="G289" s="27">
        <v>5</v>
      </c>
      <c r="H289" s="27">
        <v>5</v>
      </c>
      <c r="I289" s="27">
        <v>7</v>
      </c>
      <c r="J289" s="27">
        <f t="shared" si="22"/>
        <v>3</v>
      </c>
      <c r="K289" s="27"/>
      <c r="L289" s="27">
        <v>1</v>
      </c>
      <c r="M289" s="27">
        <v>5</v>
      </c>
      <c r="N289" s="27">
        <v>5</v>
      </c>
      <c r="O289" s="27">
        <f t="shared" si="23"/>
        <v>1</v>
      </c>
    </row>
    <row r="290" spans="1:15" s="18" customFormat="1" ht="9" customHeight="1" x14ac:dyDescent="0.25">
      <c r="A290" s="22" t="s">
        <v>38</v>
      </c>
      <c r="B290" s="23">
        <v>21</v>
      </c>
      <c r="C290" s="23"/>
      <c r="D290" s="23">
        <v>6</v>
      </c>
      <c r="E290" s="23"/>
      <c r="F290" s="25">
        <f t="shared" si="21"/>
        <v>11</v>
      </c>
      <c r="G290" s="23">
        <v>7</v>
      </c>
      <c r="H290" s="23">
        <v>4</v>
      </c>
      <c r="I290" s="23">
        <v>16</v>
      </c>
      <c r="J290" s="23">
        <f t="shared" si="22"/>
        <v>1</v>
      </c>
      <c r="K290" s="23"/>
      <c r="L290" s="23">
        <v>1</v>
      </c>
      <c r="M290" s="23">
        <v>4</v>
      </c>
      <c r="N290" s="23">
        <v>3</v>
      </c>
      <c r="O290" s="23">
        <f t="shared" si="23"/>
        <v>2</v>
      </c>
    </row>
    <row r="291" spans="1:15" s="18" customFormat="1" ht="9" customHeight="1" x14ac:dyDescent="0.25">
      <c r="A291" s="22" t="s">
        <v>39</v>
      </c>
      <c r="B291" s="23">
        <v>7</v>
      </c>
      <c r="C291" s="23"/>
      <c r="D291" s="23">
        <v>1</v>
      </c>
      <c r="E291" s="23"/>
      <c r="F291" s="25">
        <f t="shared" si="21"/>
        <v>3</v>
      </c>
      <c r="G291" s="23">
        <v>3</v>
      </c>
      <c r="H291" s="23">
        <v>0</v>
      </c>
      <c r="I291" s="23">
        <v>4</v>
      </c>
      <c r="J291" s="23">
        <f t="shared" si="22"/>
        <v>0</v>
      </c>
      <c r="K291" s="23"/>
      <c r="L291" s="23">
        <v>0</v>
      </c>
      <c r="M291" s="23">
        <v>1</v>
      </c>
      <c r="N291" s="23">
        <v>1</v>
      </c>
      <c r="O291" s="23">
        <f t="shared" si="23"/>
        <v>0</v>
      </c>
    </row>
    <row r="292" spans="1:15" s="18" customFormat="1" ht="9" customHeight="1" x14ac:dyDescent="0.25">
      <c r="A292" s="22" t="s">
        <v>40</v>
      </c>
      <c r="B292" s="23">
        <v>18</v>
      </c>
      <c r="C292" s="23"/>
      <c r="D292" s="23">
        <v>12</v>
      </c>
      <c r="E292" s="23"/>
      <c r="F292" s="25">
        <f t="shared" si="21"/>
        <v>15</v>
      </c>
      <c r="G292" s="23">
        <v>5</v>
      </c>
      <c r="H292" s="23">
        <v>10</v>
      </c>
      <c r="I292" s="23">
        <v>22</v>
      </c>
      <c r="J292" s="23">
        <f t="shared" si="22"/>
        <v>5</v>
      </c>
      <c r="K292" s="23"/>
      <c r="L292" s="23">
        <v>1</v>
      </c>
      <c r="M292" s="23">
        <v>1</v>
      </c>
      <c r="N292" s="23">
        <v>1</v>
      </c>
      <c r="O292" s="23">
        <f t="shared" si="23"/>
        <v>1</v>
      </c>
    </row>
    <row r="293" spans="1:15" s="18" customFormat="1" ht="9" customHeight="1" x14ac:dyDescent="0.25">
      <c r="A293" s="26" t="s">
        <v>41</v>
      </c>
      <c r="B293" s="27">
        <v>26</v>
      </c>
      <c r="C293" s="27"/>
      <c r="D293" s="27">
        <v>7</v>
      </c>
      <c r="E293" s="27"/>
      <c r="F293" s="29">
        <f t="shared" si="21"/>
        <v>10</v>
      </c>
      <c r="G293" s="27">
        <v>7</v>
      </c>
      <c r="H293" s="27">
        <v>3</v>
      </c>
      <c r="I293" s="27">
        <v>15</v>
      </c>
      <c r="J293" s="27">
        <f t="shared" si="22"/>
        <v>2</v>
      </c>
      <c r="K293" s="27"/>
      <c r="L293" s="27">
        <v>9</v>
      </c>
      <c r="M293" s="27">
        <v>6</v>
      </c>
      <c r="N293" s="27">
        <v>14</v>
      </c>
      <c r="O293" s="27">
        <f t="shared" si="23"/>
        <v>1</v>
      </c>
    </row>
    <row r="294" spans="1:15" s="18" customFormat="1" ht="9" customHeight="1" x14ac:dyDescent="0.25">
      <c r="A294" s="22" t="s">
        <v>42</v>
      </c>
      <c r="B294" s="23">
        <v>33</v>
      </c>
      <c r="C294" s="23"/>
      <c r="D294" s="23">
        <v>5</v>
      </c>
      <c r="E294" s="23"/>
      <c r="F294" s="25">
        <f t="shared" si="21"/>
        <v>31</v>
      </c>
      <c r="G294" s="23">
        <v>9</v>
      </c>
      <c r="H294" s="23">
        <v>22</v>
      </c>
      <c r="I294" s="23">
        <v>23</v>
      </c>
      <c r="J294" s="23">
        <f t="shared" si="22"/>
        <v>13</v>
      </c>
      <c r="K294" s="23"/>
      <c r="L294" s="23">
        <v>5</v>
      </c>
      <c r="M294" s="23">
        <v>8</v>
      </c>
      <c r="N294" s="23">
        <v>11</v>
      </c>
      <c r="O294" s="23">
        <f t="shared" si="23"/>
        <v>2</v>
      </c>
    </row>
    <row r="295" spans="1:15" s="18" customFormat="1" ht="9" customHeight="1" x14ac:dyDescent="0.25">
      <c r="A295" s="22" t="s">
        <v>43</v>
      </c>
      <c r="B295" s="23">
        <v>29</v>
      </c>
      <c r="C295" s="23"/>
      <c r="D295" s="23">
        <v>4</v>
      </c>
      <c r="E295" s="23"/>
      <c r="F295" s="25">
        <f t="shared" si="21"/>
        <v>11</v>
      </c>
      <c r="G295" s="23">
        <v>4</v>
      </c>
      <c r="H295" s="23">
        <v>7</v>
      </c>
      <c r="I295" s="23">
        <v>11</v>
      </c>
      <c r="J295" s="23">
        <f t="shared" si="22"/>
        <v>4</v>
      </c>
      <c r="K295" s="23"/>
      <c r="L295" s="23">
        <v>2</v>
      </c>
      <c r="M295" s="23">
        <v>1</v>
      </c>
      <c r="N295" s="23">
        <v>3</v>
      </c>
      <c r="O295" s="23">
        <f t="shared" si="23"/>
        <v>0</v>
      </c>
    </row>
    <row r="296" spans="1:15" s="18" customFormat="1" ht="9" customHeight="1" x14ac:dyDescent="0.25">
      <c r="A296" s="22" t="s">
        <v>44</v>
      </c>
      <c r="B296" s="23">
        <v>23</v>
      </c>
      <c r="C296" s="23"/>
      <c r="D296" s="23">
        <v>2</v>
      </c>
      <c r="E296" s="23"/>
      <c r="F296" s="25">
        <f t="shared" si="21"/>
        <v>12</v>
      </c>
      <c r="G296" s="23">
        <v>1</v>
      </c>
      <c r="H296" s="23">
        <v>11</v>
      </c>
      <c r="I296" s="23">
        <v>9</v>
      </c>
      <c r="J296" s="23">
        <f t="shared" si="22"/>
        <v>5</v>
      </c>
      <c r="K296" s="23"/>
      <c r="L296" s="23">
        <v>1</v>
      </c>
      <c r="M296" s="23">
        <v>10</v>
      </c>
      <c r="N296" s="23">
        <v>7</v>
      </c>
      <c r="O296" s="23">
        <f t="shared" si="23"/>
        <v>4</v>
      </c>
    </row>
    <row r="297" spans="1:15" s="18" customFormat="1" ht="9" customHeight="1" x14ac:dyDescent="0.25">
      <c r="A297" s="26" t="s">
        <v>45</v>
      </c>
      <c r="B297" s="27">
        <v>28</v>
      </c>
      <c r="C297" s="27"/>
      <c r="D297" s="27">
        <v>7</v>
      </c>
      <c r="E297" s="27"/>
      <c r="F297" s="29">
        <f t="shared" si="21"/>
        <v>18</v>
      </c>
      <c r="G297" s="27">
        <v>3</v>
      </c>
      <c r="H297" s="27">
        <v>15</v>
      </c>
      <c r="I297" s="27">
        <v>21</v>
      </c>
      <c r="J297" s="27">
        <f t="shared" si="22"/>
        <v>4</v>
      </c>
      <c r="K297" s="27"/>
      <c r="L297" s="27">
        <v>4</v>
      </c>
      <c r="M297" s="27">
        <v>5</v>
      </c>
      <c r="N297" s="27">
        <v>9</v>
      </c>
      <c r="O297" s="27">
        <f t="shared" si="23"/>
        <v>0</v>
      </c>
    </row>
    <row r="298" spans="1:15" s="18" customFormat="1" ht="9" customHeight="1" x14ac:dyDescent="0.25">
      <c r="A298" s="22" t="s">
        <v>46</v>
      </c>
      <c r="B298" s="23">
        <v>25</v>
      </c>
      <c r="C298" s="23"/>
      <c r="D298" s="23">
        <v>2</v>
      </c>
      <c r="E298" s="23"/>
      <c r="F298" s="25">
        <f t="shared" si="21"/>
        <v>36</v>
      </c>
      <c r="G298" s="23">
        <v>16</v>
      </c>
      <c r="H298" s="23">
        <v>20</v>
      </c>
      <c r="I298" s="23">
        <v>21</v>
      </c>
      <c r="J298" s="23">
        <f t="shared" si="22"/>
        <v>17</v>
      </c>
      <c r="K298" s="23"/>
      <c r="L298" s="23">
        <v>2</v>
      </c>
      <c r="M298" s="23">
        <v>6</v>
      </c>
      <c r="N298" s="23">
        <v>5</v>
      </c>
      <c r="O298" s="23">
        <f t="shared" si="23"/>
        <v>3</v>
      </c>
    </row>
    <row r="299" spans="1:15" s="18" customFormat="1" ht="9" customHeight="1" x14ac:dyDescent="0.25">
      <c r="A299" s="22" t="s">
        <v>47</v>
      </c>
      <c r="B299" s="23">
        <v>32</v>
      </c>
      <c r="C299" s="23"/>
      <c r="D299" s="23">
        <v>6</v>
      </c>
      <c r="E299" s="23"/>
      <c r="F299" s="25">
        <f t="shared" si="21"/>
        <v>21</v>
      </c>
      <c r="G299" s="23">
        <v>7</v>
      </c>
      <c r="H299" s="23">
        <v>14</v>
      </c>
      <c r="I299" s="23">
        <v>21</v>
      </c>
      <c r="J299" s="23">
        <f t="shared" si="22"/>
        <v>6</v>
      </c>
      <c r="K299" s="23"/>
      <c r="L299" s="23">
        <v>6</v>
      </c>
      <c r="M299" s="23">
        <v>15</v>
      </c>
      <c r="N299" s="23">
        <v>16</v>
      </c>
      <c r="O299" s="23">
        <f t="shared" si="23"/>
        <v>5</v>
      </c>
    </row>
    <row r="300" spans="1:15" s="18" customFormat="1" ht="9" customHeight="1" x14ac:dyDescent="0.25">
      <c r="A300" s="22" t="s">
        <v>48</v>
      </c>
      <c r="B300" s="23">
        <v>19</v>
      </c>
      <c r="C300" s="23"/>
      <c r="D300" s="23">
        <v>6</v>
      </c>
      <c r="E300" s="23"/>
      <c r="F300" s="25">
        <f t="shared" si="21"/>
        <v>14</v>
      </c>
      <c r="G300" s="23">
        <v>7</v>
      </c>
      <c r="H300" s="23">
        <v>7</v>
      </c>
      <c r="I300" s="23">
        <v>17</v>
      </c>
      <c r="J300" s="23">
        <f t="shared" si="22"/>
        <v>3</v>
      </c>
      <c r="K300" s="23"/>
      <c r="L300" s="23">
        <v>0</v>
      </c>
      <c r="M300" s="23">
        <v>10</v>
      </c>
      <c r="N300" s="23">
        <v>10</v>
      </c>
      <c r="O300" s="23">
        <f t="shared" si="23"/>
        <v>0</v>
      </c>
    </row>
    <row r="301" spans="1:15" s="18" customFormat="1" ht="9" customHeight="1" x14ac:dyDescent="0.25">
      <c r="A301" s="26" t="s">
        <v>49</v>
      </c>
      <c r="B301" s="27">
        <v>36</v>
      </c>
      <c r="C301" s="27"/>
      <c r="D301" s="27">
        <v>7</v>
      </c>
      <c r="E301" s="27"/>
      <c r="F301" s="29">
        <f t="shared" si="21"/>
        <v>19</v>
      </c>
      <c r="G301" s="27">
        <v>5</v>
      </c>
      <c r="H301" s="27">
        <v>14</v>
      </c>
      <c r="I301" s="27">
        <v>20</v>
      </c>
      <c r="J301" s="27">
        <f t="shared" si="22"/>
        <v>6</v>
      </c>
      <c r="K301" s="27"/>
      <c r="L301" s="27">
        <v>8</v>
      </c>
      <c r="M301" s="27">
        <v>19</v>
      </c>
      <c r="N301" s="27">
        <v>21</v>
      </c>
      <c r="O301" s="27">
        <f t="shared" si="23"/>
        <v>6</v>
      </c>
    </row>
    <row r="302" spans="1:15" s="18" customFormat="1" ht="9" customHeight="1" x14ac:dyDescent="0.25">
      <c r="A302" s="22" t="s">
        <v>50</v>
      </c>
      <c r="B302" s="23">
        <v>5</v>
      </c>
      <c r="C302" s="23"/>
      <c r="D302" s="23">
        <v>2</v>
      </c>
      <c r="E302" s="23"/>
      <c r="F302" s="25">
        <f t="shared" si="21"/>
        <v>16</v>
      </c>
      <c r="G302" s="23">
        <v>6</v>
      </c>
      <c r="H302" s="23">
        <v>10</v>
      </c>
      <c r="I302" s="23">
        <v>13</v>
      </c>
      <c r="J302" s="23">
        <f t="shared" si="22"/>
        <v>5</v>
      </c>
      <c r="K302" s="23"/>
      <c r="L302" s="23">
        <v>0</v>
      </c>
      <c r="M302" s="23">
        <v>3</v>
      </c>
      <c r="N302" s="23">
        <v>2</v>
      </c>
      <c r="O302" s="23">
        <f t="shared" si="23"/>
        <v>1</v>
      </c>
    </row>
    <row r="303" spans="1:15" s="18" customFormat="1" ht="9" customHeight="1" x14ac:dyDescent="0.25">
      <c r="A303" s="22" t="s">
        <v>51</v>
      </c>
      <c r="B303" s="23">
        <v>68</v>
      </c>
      <c r="C303" s="23"/>
      <c r="D303" s="23">
        <v>15</v>
      </c>
      <c r="E303" s="23"/>
      <c r="F303" s="25">
        <f t="shared" si="21"/>
        <v>34</v>
      </c>
      <c r="G303" s="23">
        <v>7</v>
      </c>
      <c r="H303" s="23">
        <v>27</v>
      </c>
      <c r="I303" s="23">
        <v>35</v>
      </c>
      <c r="J303" s="23">
        <f t="shared" si="22"/>
        <v>14</v>
      </c>
      <c r="K303" s="23"/>
      <c r="L303" s="23">
        <v>3</v>
      </c>
      <c r="M303" s="23">
        <v>12</v>
      </c>
      <c r="N303" s="23">
        <v>12</v>
      </c>
      <c r="O303" s="23">
        <f t="shared" si="23"/>
        <v>3</v>
      </c>
    </row>
    <row r="304" spans="1:15" s="18" customFormat="1" ht="9" customHeight="1" x14ac:dyDescent="0.25">
      <c r="A304" s="22" t="s">
        <v>52</v>
      </c>
      <c r="B304" s="23">
        <v>14</v>
      </c>
      <c r="C304" s="23"/>
      <c r="D304" s="23">
        <v>0</v>
      </c>
      <c r="E304" s="23"/>
      <c r="F304" s="25">
        <f t="shared" si="21"/>
        <v>12</v>
      </c>
      <c r="G304" s="23">
        <v>3</v>
      </c>
      <c r="H304" s="23">
        <v>9</v>
      </c>
      <c r="I304" s="23">
        <v>3</v>
      </c>
      <c r="J304" s="23">
        <f t="shared" si="22"/>
        <v>9</v>
      </c>
      <c r="K304" s="23"/>
      <c r="L304" s="23">
        <v>2</v>
      </c>
      <c r="M304" s="23">
        <v>8</v>
      </c>
      <c r="N304" s="23">
        <v>6</v>
      </c>
      <c r="O304" s="23">
        <f t="shared" si="23"/>
        <v>4</v>
      </c>
    </row>
    <row r="305" spans="1:15" s="18" customFormat="1" ht="9" customHeight="1" x14ac:dyDescent="0.25">
      <c r="A305" s="26" t="s">
        <v>53</v>
      </c>
      <c r="B305" s="27">
        <v>16</v>
      </c>
      <c r="C305" s="27"/>
      <c r="D305" s="27">
        <v>1</v>
      </c>
      <c r="E305" s="27"/>
      <c r="F305" s="29">
        <f t="shared" si="21"/>
        <v>7</v>
      </c>
      <c r="G305" s="27">
        <v>0</v>
      </c>
      <c r="H305" s="27">
        <v>7</v>
      </c>
      <c r="I305" s="27">
        <v>6</v>
      </c>
      <c r="J305" s="27">
        <f t="shared" si="22"/>
        <v>2</v>
      </c>
      <c r="K305" s="27"/>
      <c r="L305" s="27">
        <v>4</v>
      </c>
      <c r="M305" s="27">
        <v>4</v>
      </c>
      <c r="N305" s="27">
        <v>6</v>
      </c>
      <c r="O305" s="27">
        <f t="shared" si="23"/>
        <v>2</v>
      </c>
    </row>
    <row r="306" spans="1:15" s="18" customFormat="1" ht="9" customHeight="1" x14ac:dyDescent="0.25">
      <c r="A306" s="22" t="s">
        <v>54</v>
      </c>
      <c r="B306" s="23">
        <v>698</v>
      </c>
      <c r="C306" s="23"/>
      <c r="D306" s="23">
        <v>0</v>
      </c>
      <c r="E306" s="23"/>
      <c r="F306" s="25">
        <f t="shared" si="21"/>
        <v>0</v>
      </c>
      <c r="G306" s="23">
        <v>0</v>
      </c>
      <c r="H306" s="23">
        <v>0</v>
      </c>
      <c r="I306" s="23">
        <v>0</v>
      </c>
      <c r="J306" s="23">
        <f t="shared" si="22"/>
        <v>0</v>
      </c>
      <c r="K306" s="23"/>
      <c r="L306" s="23">
        <v>0</v>
      </c>
      <c r="M306" s="23">
        <v>0</v>
      </c>
      <c r="N306" s="23">
        <v>0</v>
      </c>
      <c r="O306" s="23">
        <f t="shared" si="23"/>
        <v>0</v>
      </c>
    </row>
    <row r="307" spans="1:15" s="18" customFormat="1" ht="9" customHeight="1" x14ac:dyDescent="0.25">
      <c r="A307" s="22"/>
      <c r="B307" s="17"/>
      <c r="C307" s="17"/>
      <c r="D307" s="17"/>
      <c r="E307" s="17"/>
      <c r="G307" s="17"/>
      <c r="H307" s="17"/>
      <c r="I307" s="17"/>
      <c r="J307" s="17"/>
      <c r="K307" s="17"/>
      <c r="L307" s="17"/>
      <c r="M307" s="17"/>
      <c r="N307" s="17"/>
      <c r="O307" s="17"/>
    </row>
    <row r="308" spans="1:15" s="18" customFormat="1" ht="9" customHeight="1" x14ac:dyDescent="0.25">
      <c r="A308" s="16">
        <v>2004</v>
      </c>
      <c r="O308" s="20"/>
    </row>
    <row r="309" spans="1:15" s="18" customFormat="1" ht="9.9499999999999993" customHeight="1" x14ac:dyDescent="0.25">
      <c r="A309" s="19" t="s">
        <v>21</v>
      </c>
      <c r="B309" s="20">
        <f>SUM(B311:B343)</f>
        <v>3060</v>
      </c>
      <c r="C309" s="20"/>
      <c r="D309" s="20">
        <f>SUM(D311:D343)</f>
        <v>640</v>
      </c>
      <c r="E309" s="20"/>
      <c r="F309" s="20">
        <f>SUM(F311:F343)</f>
        <v>2243</v>
      </c>
      <c r="G309" s="20">
        <f>SUM(G311:G343)</f>
        <v>698</v>
      </c>
      <c r="H309" s="20">
        <f>SUM(H311:H343)</f>
        <v>1545</v>
      </c>
      <c r="I309" s="20">
        <f>SUM(I311:I343)</f>
        <v>2206</v>
      </c>
      <c r="J309" s="20">
        <f>SUM(J311:J343)</f>
        <v>677</v>
      </c>
      <c r="K309" s="20"/>
      <c r="L309" s="20">
        <f>SUM(L311:L343)</f>
        <v>94</v>
      </c>
      <c r="M309" s="20">
        <f>SUM(M311:M343)</f>
        <v>434</v>
      </c>
      <c r="N309" s="20">
        <f>SUM(N311:N343)</f>
        <v>431</v>
      </c>
      <c r="O309" s="20">
        <f>SUM(O311:O343)</f>
        <v>97</v>
      </c>
    </row>
    <row r="310" spans="1:15" s="18" customFormat="1" ht="3" customHeight="1" x14ac:dyDescent="0.25">
      <c r="A310" s="19"/>
      <c r="B310" s="20"/>
      <c r="C310" s="20"/>
      <c r="D310" s="20"/>
      <c r="E310" s="20"/>
      <c r="G310" s="20"/>
      <c r="H310" s="20"/>
      <c r="I310" s="20"/>
      <c r="J310" s="20"/>
      <c r="K310" s="20"/>
      <c r="L310" s="20"/>
      <c r="M310" s="20"/>
      <c r="N310" s="20"/>
      <c r="O310" s="23"/>
    </row>
    <row r="311" spans="1:15" s="18" customFormat="1" ht="9" customHeight="1" x14ac:dyDescent="0.25">
      <c r="A311" s="22" t="s">
        <v>23</v>
      </c>
      <c r="B311" s="23">
        <v>6</v>
      </c>
      <c r="C311" s="23"/>
      <c r="D311" s="23">
        <v>12</v>
      </c>
      <c r="E311" s="23"/>
      <c r="F311" s="25">
        <f t="shared" ref="F311:F343" si="24">SUM(G311:H311)</f>
        <v>31</v>
      </c>
      <c r="G311" s="23">
        <v>3</v>
      </c>
      <c r="H311" s="23">
        <v>28</v>
      </c>
      <c r="I311" s="23">
        <v>32</v>
      </c>
      <c r="J311" s="23">
        <f t="shared" ref="J311:J343" si="25">(D311+F311)-I311</f>
        <v>11</v>
      </c>
      <c r="K311" s="23"/>
      <c r="L311" s="23">
        <v>1</v>
      </c>
      <c r="M311" s="23">
        <v>3</v>
      </c>
      <c r="N311" s="23">
        <v>4</v>
      </c>
      <c r="O311" s="23">
        <f t="shared" ref="O311:O343" si="26">(L311+M311)-N311</f>
        <v>0</v>
      </c>
    </row>
    <row r="312" spans="1:15" s="18" customFormat="1" ht="9" customHeight="1" x14ac:dyDescent="0.25">
      <c r="A312" s="22" t="s">
        <v>24</v>
      </c>
      <c r="B312" s="23">
        <v>28</v>
      </c>
      <c r="C312" s="23"/>
      <c r="D312" s="23">
        <v>5</v>
      </c>
      <c r="E312" s="23"/>
      <c r="F312" s="25">
        <f t="shared" si="24"/>
        <v>20</v>
      </c>
      <c r="G312" s="23">
        <v>7</v>
      </c>
      <c r="H312" s="23">
        <v>13</v>
      </c>
      <c r="I312" s="23">
        <v>20</v>
      </c>
      <c r="J312" s="23">
        <f t="shared" si="25"/>
        <v>5</v>
      </c>
      <c r="K312" s="23"/>
      <c r="L312" s="23">
        <v>4</v>
      </c>
      <c r="M312" s="23">
        <v>46</v>
      </c>
      <c r="N312" s="23">
        <v>37</v>
      </c>
      <c r="O312" s="23">
        <f t="shared" si="26"/>
        <v>13</v>
      </c>
    </row>
    <row r="313" spans="1:15" s="18" customFormat="1" ht="9" customHeight="1" x14ac:dyDescent="0.25">
      <c r="A313" s="22" t="s">
        <v>25</v>
      </c>
      <c r="B313" s="23">
        <v>9</v>
      </c>
      <c r="C313" s="23"/>
      <c r="D313" s="23">
        <v>4</v>
      </c>
      <c r="E313" s="23"/>
      <c r="F313" s="25">
        <f t="shared" si="24"/>
        <v>11</v>
      </c>
      <c r="G313" s="23">
        <v>2</v>
      </c>
      <c r="H313" s="23">
        <v>9</v>
      </c>
      <c r="I313" s="23">
        <v>10</v>
      </c>
      <c r="J313" s="23">
        <f t="shared" si="25"/>
        <v>5</v>
      </c>
      <c r="K313" s="23"/>
      <c r="L313" s="23">
        <v>2</v>
      </c>
      <c r="M313" s="23">
        <v>3</v>
      </c>
      <c r="N313" s="23">
        <v>4</v>
      </c>
      <c r="O313" s="23">
        <f t="shared" si="26"/>
        <v>1</v>
      </c>
    </row>
    <row r="314" spans="1:15" s="18" customFormat="1" ht="9" customHeight="1" x14ac:dyDescent="0.25">
      <c r="A314" s="26" t="s">
        <v>26</v>
      </c>
      <c r="B314" s="27">
        <v>12</v>
      </c>
      <c r="C314" s="27"/>
      <c r="D314" s="27">
        <v>2</v>
      </c>
      <c r="E314" s="27"/>
      <c r="F314" s="29">
        <f t="shared" si="24"/>
        <v>6</v>
      </c>
      <c r="G314" s="27">
        <v>1</v>
      </c>
      <c r="H314" s="27">
        <v>5</v>
      </c>
      <c r="I314" s="27">
        <v>6</v>
      </c>
      <c r="J314" s="27">
        <f t="shared" si="25"/>
        <v>2</v>
      </c>
      <c r="K314" s="27"/>
      <c r="L314" s="27">
        <v>3</v>
      </c>
      <c r="M314" s="27">
        <v>4</v>
      </c>
      <c r="N314" s="27">
        <v>6</v>
      </c>
      <c r="O314" s="27">
        <f t="shared" si="26"/>
        <v>1</v>
      </c>
    </row>
    <row r="315" spans="1:15" s="18" customFormat="1" ht="9" customHeight="1" x14ac:dyDescent="0.25">
      <c r="A315" s="22" t="s">
        <v>27</v>
      </c>
      <c r="B315" s="23">
        <v>22</v>
      </c>
      <c r="C315" s="23"/>
      <c r="D315" s="23">
        <v>3</v>
      </c>
      <c r="E315" s="23"/>
      <c r="F315" s="25">
        <f t="shared" si="24"/>
        <v>21</v>
      </c>
      <c r="G315" s="23">
        <v>4</v>
      </c>
      <c r="H315" s="23">
        <v>17</v>
      </c>
      <c r="I315" s="23">
        <v>11</v>
      </c>
      <c r="J315" s="23">
        <f t="shared" si="25"/>
        <v>13</v>
      </c>
      <c r="K315" s="23"/>
      <c r="L315" s="23">
        <v>0</v>
      </c>
      <c r="M315" s="23">
        <v>2</v>
      </c>
      <c r="N315" s="23">
        <v>1</v>
      </c>
      <c r="O315" s="23">
        <f t="shared" si="26"/>
        <v>1</v>
      </c>
    </row>
    <row r="316" spans="1:15" s="18" customFormat="1" ht="9" customHeight="1" x14ac:dyDescent="0.25">
      <c r="A316" s="22" t="s">
        <v>28</v>
      </c>
      <c r="B316" s="23">
        <v>4</v>
      </c>
      <c r="C316" s="23"/>
      <c r="D316" s="23">
        <v>2</v>
      </c>
      <c r="E316" s="23"/>
      <c r="F316" s="25">
        <f t="shared" si="24"/>
        <v>16</v>
      </c>
      <c r="G316" s="23">
        <v>0</v>
      </c>
      <c r="H316" s="23">
        <v>16</v>
      </c>
      <c r="I316" s="23">
        <v>9</v>
      </c>
      <c r="J316" s="23">
        <f t="shared" si="25"/>
        <v>9</v>
      </c>
      <c r="K316" s="23"/>
      <c r="L316" s="23">
        <v>0</v>
      </c>
      <c r="M316" s="23">
        <v>1</v>
      </c>
      <c r="N316" s="23">
        <v>1</v>
      </c>
      <c r="O316" s="23">
        <f t="shared" si="26"/>
        <v>0</v>
      </c>
    </row>
    <row r="317" spans="1:15" s="18" customFormat="1" ht="9" customHeight="1" x14ac:dyDescent="0.25">
      <c r="A317" s="22" t="s">
        <v>29</v>
      </c>
      <c r="B317" s="23">
        <v>15</v>
      </c>
      <c r="C317" s="23"/>
      <c r="D317" s="23">
        <v>7</v>
      </c>
      <c r="E317" s="23"/>
      <c r="F317" s="25">
        <f t="shared" si="24"/>
        <v>31</v>
      </c>
      <c r="G317" s="23">
        <v>10</v>
      </c>
      <c r="H317" s="23">
        <v>21</v>
      </c>
      <c r="I317" s="23">
        <v>23</v>
      </c>
      <c r="J317" s="23">
        <f t="shared" si="25"/>
        <v>15</v>
      </c>
      <c r="K317" s="23"/>
      <c r="L317" s="23">
        <v>2</v>
      </c>
      <c r="M317" s="23">
        <v>5</v>
      </c>
      <c r="N317" s="23">
        <v>6</v>
      </c>
      <c r="O317" s="23">
        <f t="shared" si="26"/>
        <v>1</v>
      </c>
    </row>
    <row r="318" spans="1:15" s="18" customFormat="1" ht="9" customHeight="1" x14ac:dyDescent="0.25">
      <c r="A318" s="26" t="s">
        <v>30</v>
      </c>
      <c r="B318" s="27">
        <v>20</v>
      </c>
      <c r="C318" s="27"/>
      <c r="D318" s="27">
        <v>18</v>
      </c>
      <c r="E318" s="27"/>
      <c r="F318" s="29">
        <f t="shared" si="24"/>
        <v>30</v>
      </c>
      <c r="G318" s="27">
        <v>4</v>
      </c>
      <c r="H318" s="27">
        <v>26</v>
      </c>
      <c r="I318" s="27">
        <v>35</v>
      </c>
      <c r="J318" s="27">
        <f t="shared" si="25"/>
        <v>13</v>
      </c>
      <c r="K318" s="27"/>
      <c r="L318" s="27">
        <v>3</v>
      </c>
      <c r="M318" s="27">
        <v>11</v>
      </c>
      <c r="N318" s="27">
        <v>11</v>
      </c>
      <c r="O318" s="27">
        <f t="shared" si="26"/>
        <v>3</v>
      </c>
    </row>
    <row r="319" spans="1:15" s="18" customFormat="1" ht="9" customHeight="1" x14ac:dyDescent="0.25">
      <c r="A319" s="22" t="s">
        <v>63</v>
      </c>
      <c r="B319" s="23">
        <v>1216</v>
      </c>
      <c r="C319" s="23"/>
      <c r="D319" s="23">
        <v>361</v>
      </c>
      <c r="E319" s="23"/>
      <c r="F319" s="25">
        <f t="shared" si="24"/>
        <v>1378</v>
      </c>
      <c r="G319" s="23">
        <v>474</v>
      </c>
      <c r="H319" s="23">
        <v>904</v>
      </c>
      <c r="I319" s="23">
        <v>1391</v>
      </c>
      <c r="J319" s="23">
        <f t="shared" si="25"/>
        <v>348</v>
      </c>
      <c r="K319" s="23"/>
      <c r="L319" s="23">
        <v>32</v>
      </c>
      <c r="M319" s="23">
        <v>209</v>
      </c>
      <c r="N319" s="23">
        <v>203</v>
      </c>
      <c r="O319" s="23">
        <f t="shared" si="26"/>
        <v>38</v>
      </c>
    </row>
    <row r="320" spans="1:15" s="18" customFormat="1" ht="9" customHeight="1" x14ac:dyDescent="0.25">
      <c r="A320" s="22" t="s">
        <v>31</v>
      </c>
      <c r="B320" s="23">
        <v>29</v>
      </c>
      <c r="C320" s="23"/>
      <c r="D320" s="23">
        <v>6</v>
      </c>
      <c r="E320" s="23"/>
      <c r="F320" s="25">
        <f t="shared" si="24"/>
        <v>12</v>
      </c>
      <c r="G320" s="23">
        <v>2</v>
      </c>
      <c r="H320" s="23">
        <v>10</v>
      </c>
      <c r="I320" s="23">
        <v>11</v>
      </c>
      <c r="J320" s="23">
        <f t="shared" si="25"/>
        <v>7</v>
      </c>
      <c r="K320" s="23"/>
      <c r="L320" s="23">
        <v>0</v>
      </c>
      <c r="M320" s="23">
        <v>4</v>
      </c>
      <c r="N320" s="23">
        <v>2</v>
      </c>
      <c r="O320" s="23">
        <f t="shared" si="26"/>
        <v>2</v>
      </c>
    </row>
    <row r="321" spans="1:15" s="18" customFormat="1" ht="9" customHeight="1" x14ac:dyDescent="0.25">
      <c r="A321" s="22" t="s">
        <v>32</v>
      </c>
      <c r="B321" s="23">
        <v>26</v>
      </c>
      <c r="C321" s="23"/>
      <c r="D321" s="23">
        <v>32</v>
      </c>
      <c r="E321" s="23"/>
      <c r="F321" s="25">
        <f t="shared" si="24"/>
        <v>55</v>
      </c>
      <c r="G321" s="23">
        <v>8</v>
      </c>
      <c r="H321" s="23">
        <v>47</v>
      </c>
      <c r="I321" s="23">
        <v>67</v>
      </c>
      <c r="J321" s="23">
        <f t="shared" si="25"/>
        <v>20</v>
      </c>
      <c r="K321" s="23"/>
      <c r="L321" s="23">
        <v>0</v>
      </c>
      <c r="M321" s="23">
        <v>6</v>
      </c>
      <c r="N321" s="23">
        <v>6</v>
      </c>
      <c r="O321" s="23">
        <f t="shared" si="26"/>
        <v>0</v>
      </c>
    </row>
    <row r="322" spans="1:15" s="18" customFormat="1" ht="9" customHeight="1" x14ac:dyDescent="0.25">
      <c r="A322" s="26" t="s">
        <v>33</v>
      </c>
      <c r="B322" s="27">
        <v>12</v>
      </c>
      <c r="C322" s="27"/>
      <c r="D322" s="27">
        <v>9</v>
      </c>
      <c r="E322" s="27"/>
      <c r="F322" s="29">
        <f t="shared" si="24"/>
        <v>19</v>
      </c>
      <c r="G322" s="27">
        <v>3</v>
      </c>
      <c r="H322" s="27">
        <v>16</v>
      </c>
      <c r="I322" s="27">
        <v>20</v>
      </c>
      <c r="J322" s="27">
        <f t="shared" si="25"/>
        <v>8</v>
      </c>
      <c r="K322" s="27"/>
      <c r="L322" s="27">
        <v>0</v>
      </c>
      <c r="M322" s="27">
        <v>2</v>
      </c>
      <c r="N322" s="27">
        <v>0</v>
      </c>
      <c r="O322" s="27">
        <f t="shared" si="26"/>
        <v>2</v>
      </c>
    </row>
    <row r="323" spans="1:15" s="18" customFormat="1" ht="9" customHeight="1" x14ac:dyDescent="0.25">
      <c r="A323" s="22" t="s">
        <v>34</v>
      </c>
      <c r="B323" s="23">
        <v>21</v>
      </c>
      <c r="C323" s="23"/>
      <c r="D323" s="23">
        <v>8</v>
      </c>
      <c r="E323" s="23"/>
      <c r="F323" s="25">
        <f t="shared" si="24"/>
        <v>16</v>
      </c>
      <c r="G323" s="23">
        <v>2</v>
      </c>
      <c r="H323" s="23">
        <v>14</v>
      </c>
      <c r="I323" s="23">
        <v>17</v>
      </c>
      <c r="J323" s="23">
        <f t="shared" si="25"/>
        <v>7</v>
      </c>
      <c r="K323" s="23"/>
      <c r="L323" s="23">
        <v>2</v>
      </c>
      <c r="M323" s="23">
        <v>4</v>
      </c>
      <c r="N323" s="23">
        <v>4</v>
      </c>
      <c r="O323" s="23">
        <f t="shared" si="26"/>
        <v>2</v>
      </c>
    </row>
    <row r="324" spans="1:15" s="18" customFormat="1" ht="9" customHeight="1" x14ac:dyDescent="0.25">
      <c r="A324" s="22" t="s">
        <v>35</v>
      </c>
      <c r="B324" s="23">
        <v>42</v>
      </c>
      <c r="C324" s="23"/>
      <c r="D324" s="23">
        <v>5</v>
      </c>
      <c r="E324" s="23"/>
      <c r="F324" s="25">
        <f t="shared" si="24"/>
        <v>17</v>
      </c>
      <c r="G324" s="23">
        <v>7</v>
      </c>
      <c r="H324" s="23">
        <v>10</v>
      </c>
      <c r="I324" s="23">
        <v>16</v>
      </c>
      <c r="J324" s="23">
        <f t="shared" si="25"/>
        <v>6</v>
      </c>
      <c r="K324" s="23"/>
      <c r="L324" s="23">
        <v>7</v>
      </c>
      <c r="M324" s="23">
        <v>20</v>
      </c>
      <c r="N324" s="23">
        <v>24</v>
      </c>
      <c r="O324" s="23">
        <f t="shared" si="26"/>
        <v>3</v>
      </c>
    </row>
    <row r="325" spans="1:15" s="18" customFormat="1" ht="9" customHeight="1" x14ac:dyDescent="0.25">
      <c r="A325" s="22" t="s">
        <v>36</v>
      </c>
      <c r="B325" s="23">
        <v>256</v>
      </c>
      <c r="C325" s="23"/>
      <c r="D325" s="23">
        <v>67</v>
      </c>
      <c r="E325" s="23"/>
      <c r="F325" s="25">
        <f t="shared" si="24"/>
        <v>291</v>
      </c>
      <c r="G325" s="23">
        <v>105</v>
      </c>
      <c r="H325" s="23">
        <v>186</v>
      </c>
      <c r="I325" s="23">
        <v>266</v>
      </c>
      <c r="J325" s="23">
        <f t="shared" si="25"/>
        <v>92</v>
      </c>
      <c r="K325" s="23"/>
      <c r="L325" s="23">
        <v>3</v>
      </c>
      <c r="M325" s="23">
        <v>9</v>
      </c>
      <c r="N325" s="23">
        <v>12</v>
      </c>
      <c r="O325" s="23">
        <f t="shared" si="26"/>
        <v>0</v>
      </c>
    </row>
    <row r="326" spans="1:15" s="18" customFormat="1" ht="9" customHeight="1" x14ac:dyDescent="0.25">
      <c r="A326" s="26" t="s">
        <v>37</v>
      </c>
      <c r="B326" s="27">
        <v>15</v>
      </c>
      <c r="C326" s="27"/>
      <c r="D326" s="27">
        <v>3</v>
      </c>
      <c r="E326" s="27"/>
      <c r="F326" s="29">
        <f t="shared" si="24"/>
        <v>17</v>
      </c>
      <c r="G326" s="27">
        <v>7</v>
      </c>
      <c r="H326" s="27">
        <v>10</v>
      </c>
      <c r="I326" s="27">
        <v>13</v>
      </c>
      <c r="J326" s="27">
        <f t="shared" si="25"/>
        <v>7</v>
      </c>
      <c r="K326" s="27"/>
      <c r="L326" s="27">
        <v>1</v>
      </c>
      <c r="M326" s="27">
        <v>8</v>
      </c>
      <c r="N326" s="27">
        <v>5</v>
      </c>
      <c r="O326" s="27">
        <f t="shared" si="26"/>
        <v>4</v>
      </c>
    </row>
    <row r="327" spans="1:15" s="18" customFormat="1" ht="9" customHeight="1" x14ac:dyDescent="0.25">
      <c r="A327" s="22" t="s">
        <v>38</v>
      </c>
      <c r="B327" s="23">
        <v>15</v>
      </c>
      <c r="C327" s="23"/>
      <c r="D327" s="23">
        <v>1</v>
      </c>
      <c r="E327" s="23"/>
      <c r="F327" s="25">
        <f t="shared" si="24"/>
        <v>8</v>
      </c>
      <c r="G327" s="23">
        <v>4</v>
      </c>
      <c r="H327" s="23">
        <v>4</v>
      </c>
      <c r="I327" s="23">
        <v>6</v>
      </c>
      <c r="J327" s="23">
        <f t="shared" si="25"/>
        <v>3</v>
      </c>
      <c r="K327" s="23"/>
      <c r="L327" s="23">
        <v>2</v>
      </c>
      <c r="M327" s="23">
        <v>3</v>
      </c>
      <c r="N327" s="23">
        <v>4</v>
      </c>
      <c r="O327" s="23">
        <f t="shared" si="26"/>
        <v>1</v>
      </c>
    </row>
    <row r="328" spans="1:15" s="18" customFormat="1" ht="9" customHeight="1" x14ac:dyDescent="0.25">
      <c r="A328" s="22" t="s">
        <v>39</v>
      </c>
      <c r="B328" s="23">
        <v>11</v>
      </c>
      <c r="C328" s="23"/>
      <c r="D328" s="23">
        <v>0</v>
      </c>
      <c r="E328" s="23"/>
      <c r="F328" s="25">
        <f t="shared" si="24"/>
        <v>12</v>
      </c>
      <c r="G328" s="23">
        <v>1</v>
      </c>
      <c r="H328" s="23">
        <v>11</v>
      </c>
      <c r="I328" s="23">
        <v>7</v>
      </c>
      <c r="J328" s="23">
        <f t="shared" si="25"/>
        <v>5</v>
      </c>
      <c r="K328" s="23"/>
      <c r="L328" s="23">
        <v>0</v>
      </c>
      <c r="M328" s="23">
        <v>0</v>
      </c>
      <c r="N328" s="23">
        <v>0</v>
      </c>
      <c r="O328" s="23">
        <f t="shared" si="26"/>
        <v>0</v>
      </c>
    </row>
    <row r="329" spans="1:15" s="18" customFormat="1" ht="9" customHeight="1" x14ac:dyDescent="0.25">
      <c r="A329" s="22" t="s">
        <v>40</v>
      </c>
      <c r="B329" s="23">
        <v>13</v>
      </c>
      <c r="C329" s="23"/>
      <c r="D329" s="23">
        <v>5</v>
      </c>
      <c r="E329" s="23"/>
      <c r="F329" s="25">
        <f t="shared" si="24"/>
        <v>16</v>
      </c>
      <c r="G329" s="23">
        <v>6</v>
      </c>
      <c r="H329" s="23">
        <v>10</v>
      </c>
      <c r="I329" s="23">
        <v>16</v>
      </c>
      <c r="J329" s="23">
        <f t="shared" si="25"/>
        <v>5</v>
      </c>
      <c r="K329" s="23"/>
      <c r="L329" s="23">
        <v>1</v>
      </c>
      <c r="M329" s="23">
        <v>4</v>
      </c>
      <c r="N329" s="23">
        <v>5</v>
      </c>
      <c r="O329" s="23">
        <f t="shared" si="26"/>
        <v>0</v>
      </c>
    </row>
    <row r="330" spans="1:15" s="18" customFormat="1" ht="9" customHeight="1" x14ac:dyDescent="0.25">
      <c r="A330" s="26" t="s">
        <v>41</v>
      </c>
      <c r="B330" s="27">
        <v>19</v>
      </c>
      <c r="C330" s="27"/>
      <c r="D330" s="27">
        <v>2</v>
      </c>
      <c r="E330" s="27"/>
      <c r="F330" s="29">
        <f t="shared" si="24"/>
        <v>19</v>
      </c>
      <c r="G330" s="27">
        <v>6</v>
      </c>
      <c r="H330" s="27">
        <v>13</v>
      </c>
      <c r="I330" s="27">
        <v>16</v>
      </c>
      <c r="J330" s="27">
        <f t="shared" si="25"/>
        <v>5</v>
      </c>
      <c r="K330" s="27"/>
      <c r="L330" s="27">
        <v>1</v>
      </c>
      <c r="M330" s="27">
        <v>5</v>
      </c>
      <c r="N330" s="27">
        <v>5</v>
      </c>
      <c r="O330" s="27">
        <f t="shared" si="26"/>
        <v>1</v>
      </c>
    </row>
    <row r="331" spans="1:15" s="18" customFormat="1" ht="9" customHeight="1" x14ac:dyDescent="0.25">
      <c r="A331" s="22" t="s">
        <v>42</v>
      </c>
      <c r="B331" s="23">
        <v>32</v>
      </c>
      <c r="C331" s="23"/>
      <c r="D331" s="23">
        <v>13</v>
      </c>
      <c r="E331" s="23"/>
      <c r="F331" s="25">
        <f t="shared" si="24"/>
        <v>22</v>
      </c>
      <c r="G331" s="23">
        <v>2</v>
      </c>
      <c r="H331" s="23">
        <v>20</v>
      </c>
      <c r="I331" s="23">
        <v>23</v>
      </c>
      <c r="J331" s="23">
        <f t="shared" si="25"/>
        <v>12</v>
      </c>
      <c r="K331" s="23"/>
      <c r="L331" s="23">
        <v>2</v>
      </c>
      <c r="M331" s="23">
        <v>7</v>
      </c>
      <c r="N331" s="23">
        <v>5</v>
      </c>
      <c r="O331" s="23">
        <f t="shared" si="26"/>
        <v>4</v>
      </c>
    </row>
    <row r="332" spans="1:15" s="18" customFormat="1" ht="9" customHeight="1" x14ac:dyDescent="0.25">
      <c r="A332" s="22" t="s">
        <v>43</v>
      </c>
      <c r="B332" s="23">
        <v>17</v>
      </c>
      <c r="C332" s="23"/>
      <c r="D332" s="23">
        <v>4</v>
      </c>
      <c r="E332" s="23"/>
      <c r="F332" s="25">
        <f t="shared" si="24"/>
        <v>17</v>
      </c>
      <c r="G332" s="23">
        <v>4</v>
      </c>
      <c r="H332" s="23">
        <v>13</v>
      </c>
      <c r="I332" s="23">
        <v>13</v>
      </c>
      <c r="J332" s="23">
        <f t="shared" si="25"/>
        <v>8</v>
      </c>
      <c r="K332" s="23"/>
      <c r="L332" s="23">
        <v>0</v>
      </c>
      <c r="M332" s="23">
        <v>3</v>
      </c>
      <c r="N332" s="23">
        <v>3</v>
      </c>
      <c r="O332" s="23">
        <f t="shared" si="26"/>
        <v>0</v>
      </c>
    </row>
    <row r="333" spans="1:15" s="18" customFormat="1" ht="9" customHeight="1" x14ac:dyDescent="0.25">
      <c r="A333" s="22" t="s">
        <v>44</v>
      </c>
      <c r="B333" s="23">
        <v>17</v>
      </c>
      <c r="C333" s="23"/>
      <c r="D333" s="23">
        <v>5</v>
      </c>
      <c r="E333" s="23"/>
      <c r="F333" s="25">
        <f t="shared" si="24"/>
        <v>18</v>
      </c>
      <c r="G333" s="23">
        <v>5</v>
      </c>
      <c r="H333" s="23">
        <v>13</v>
      </c>
      <c r="I333" s="23">
        <v>17</v>
      </c>
      <c r="J333" s="23">
        <f t="shared" si="25"/>
        <v>6</v>
      </c>
      <c r="K333" s="23"/>
      <c r="L333" s="23">
        <v>4</v>
      </c>
      <c r="M333" s="23">
        <v>9</v>
      </c>
      <c r="N333" s="23">
        <v>11</v>
      </c>
      <c r="O333" s="23">
        <f t="shared" si="26"/>
        <v>2</v>
      </c>
    </row>
    <row r="334" spans="1:15" s="18" customFormat="1" ht="9" customHeight="1" x14ac:dyDescent="0.25">
      <c r="A334" s="26" t="s">
        <v>45</v>
      </c>
      <c r="B334" s="27">
        <v>18</v>
      </c>
      <c r="C334" s="27"/>
      <c r="D334" s="27">
        <v>4</v>
      </c>
      <c r="E334" s="27"/>
      <c r="F334" s="29">
        <f t="shared" si="24"/>
        <v>22</v>
      </c>
      <c r="G334" s="27">
        <v>3</v>
      </c>
      <c r="H334" s="27">
        <v>19</v>
      </c>
      <c r="I334" s="27">
        <v>19</v>
      </c>
      <c r="J334" s="27">
        <f t="shared" si="25"/>
        <v>7</v>
      </c>
      <c r="K334" s="27"/>
      <c r="L334" s="27">
        <v>0</v>
      </c>
      <c r="M334" s="27">
        <v>12</v>
      </c>
      <c r="N334" s="27">
        <v>6</v>
      </c>
      <c r="O334" s="27">
        <f t="shared" si="26"/>
        <v>6</v>
      </c>
    </row>
    <row r="335" spans="1:15" s="18" customFormat="1" ht="9" customHeight="1" x14ac:dyDescent="0.25">
      <c r="A335" s="22" t="s">
        <v>46</v>
      </c>
      <c r="B335" s="23">
        <v>16</v>
      </c>
      <c r="C335" s="23"/>
      <c r="D335" s="23">
        <v>17</v>
      </c>
      <c r="E335" s="23"/>
      <c r="F335" s="25">
        <f t="shared" si="24"/>
        <v>11</v>
      </c>
      <c r="G335" s="23">
        <v>4</v>
      </c>
      <c r="H335" s="23">
        <v>7</v>
      </c>
      <c r="I335" s="23">
        <v>25</v>
      </c>
      <c r="J335" s="23">
        <f t="shared" si="25"/>
        <v>3</v>
      </c>
      <c r="K335" s="23"/>
      <c r="L335" s="23">
        <v>3</v>
      </c>
      <c r="M335" s="23">
        <v>6</v>
      </c>
      <c r="N335" s="23">
        <v>8</v>
      </c>
      <c r="O335" s="23">
        <f t="shared" si="26"/>
        <v>1</v>
      </c>
    </row>
    <row r="336" spans="1:15" s="18" customFormat="1" ht="9" customHeight="1" x14ac:dyDescent="0.25">
      <c r="A336" s="22" t="s">
        <v>47</v>
      </c>
      <c r="B336" s="23">
        <v>30</v>
      </c>
      <c r="C336" s="23"/>
      <c r="D336" s="23">
        <v>6</v>
      </c>
      <c r="E336" s="23"/>
      <c r="F336" s="25">
        <f t="shared" si="24"/>
        <v>20</v>
      </c>
      <c r="G336" s="23">
        <v>4</v>
      </c>
      <c r="H336" s="23">
        <v>16</v>
      </c>
      <c r="I336" s="23">
        <v>16</v>
      </c>
      <c r="J336" s="23">
        <f t="shared" si="25"/>
        <v>10</v>
      </c>
      <c r="K336" s="23"/>
      <c r="L336" s="23">
        <v>5</v>
      </c>
      <c r="M336" s="23">
        <v>8</v>
      </c>
      <c r="N336" s="23">
        <v>10</v>
      </c>
      <c r="O336" s="23">
        <f t="shared" si="26"/>
        <v>3</v>
      </c>
    </row>
    <row r="337" spans="1:15" s="18" customFormat="1" ht="9" customHeight="1" x14ac:dyDescent="0.25">
      <c r="A337" s="22" t="s">
        <v>48</v>
      </c>
      <c r="B337" s="23">
        <v>22</v>
      </c>
      <c r="C337" s="23"/>
      <c r="D337" s="23">
        <v>3</v>
      </c>
      <c r="E337" s="23"/>
      <c r="F337" s="25">
        <f t="shared" si="24"/>
        <v>15</v>
      </c>
      <c r="G337" s="23">
        <v>2</v>
      </c>
      <c r="H337" s="23">
        <v>13</v>
      </c>
      <c r="I337" s="23">
        <v>13</v>
      </c>
      <c r="J337" s="23">
        <f t="shared" si="25"/>
        <v>5</v>
      </c>
      <c r="K337" s="23"/>
      <c r="L337" s="23">
        <v>0</v>
      </c>
      <c r="M337" s="23">
        <v>3</v>
      </c>
      <c r="N337" s="23">
        <v>3</v>
      </c>
      <c r="O337" s="23">
        <f t="shared" si="26"/>
        <v>0</v>
      </c>
    </row>
    <row r="338" spans="1:15" s="18" customFormat="1" ht="9" customHeight="1" x14ac:dyDescent="0.25">
      <c r="A338" s="26" t="s">
        <v>49</v>
      </c>
      <c r="B338" s="27">
        <v>39</v>
      </c>
      <c r="C338" s="27"/>
      <c r="D338" s="27">
        <v>6</v>
      </c>
      <c r="E338" s="27"/>
      <c r="F338" s="29">
        <f t="shared" si="24"/>
        <v>22</v>
      </c>
      <c r="G338" s="27">
        <v>4</v>
      </c>
      <c r="H338" s="27">
        <v>18</v>
      </c>
      <c r="I338" s="27">
        <v>16</v>
      </c>
      <c r="J338" s="27">
        <f t="shared" si="25"/>
        <v>12</v>
      </c>
      <c r="K338" s="27"/>
      <c r="L338" s="27">
        <v>6</v>
      </c>
      <c r="M338" s="27">
        <v>11</v>
      </c>
      <c r="N338" s="27">
        <v>13</v>
      </c>
      <c r="O338" s="27">
        <f t="shared" si="26"/>
        <v>4</v>
      </c>
    </row>
    <row r="339" spans="1:15" s="18" customFormat="1" ht="9" customHeight="1" x14ac:dyDescent="0.25">
      <c r="A339" s="22" t="s">
        <v>50</v>
      </c>
      <c r="B339" s="23">
        <v>5</v>
      </c>
      <c r="C339" s="23"/>
      <c r="D339" s="23">
        <v>5</v>
      </c>
      <c r="E339" s="23"/>
      <c r="F339" s="25">
        <f t="shared" si="24"/>
        <v>10</v>
      </c>
      <c r="G339" s="23">
        <v>0</v>
      </c>
      <c r="H339" s="23">
        <v>10</v>
      </c>
      <c r="I339" s="23">
        <v>10</v>
      </c>
      <c r="J339" s="23">
        <f t="shared" si="25"/>
        <v>5</v>
      </c>
      <c r="K339" s="23"/>
      <c r="L339" s="23">
        <v>1</v>
      </c>
      <c r="M339" s="23">
        <v>5</v>
      </c>
      <c r="N339" s="23">
        <v>5</v>
      </c>
      <c r="O339" s="23">
        <f t="shared" si="26"/>
        <v>1</v>
      </c>
    </row>
    <row r="340" spans="1:15" s="18" customFormat="1" ht="9" customHeight="1" x14ac:dyDescent="0.25">
      <c r="A340" s="22" t="s">
        <v>51</v>
      </c>
      <c r="B340" s="23">
        <v>40</v>
      </c>
      <c r="C340" s="23"/>
      <c r="D340" s="23">
        <v>14</v>
      </c>
      <c r="E340" s="23"/>
      <c r="F340" s="25">
        <f t="shared" si="24"/>
        <v>36</v>
      </c>
      <c r="G340" s="23">
        <v>12</v>
      </c>
      <c r="H340" s="23">
        <v>24</v>
      </c>
      <c r="I340" s="23">
        <v>39</v>
      </c>
      <c r="J340" s="23">
        <f t="shared" si="25"/>
        <v>11</v>
      </c>
      <c r="K340" s="23"/>
      <c r="L340" s="23">
        <v>3</v>
      </c>
      <c r="M340" s="23">
        <v>11</v>
      </c>
      <c r="N340" s="23">
        <v>12</v>
      </c>
      <c r="O340" s="23">
        <f t="shared" si="26"/>
        <v>2</v>
      </c>
    </row>
    <row r="341" spans="1:15" s="18" customFormat="1" ht="9" customHeight="1" x14ac:dyDescent="0.25">
      <c r="A341" s="22" t="s">
        <v>52</v>
      </c>
      <c r="B341" s="23">
        <v>8</v>
      </c>
      <c r="C341" s="23"/>
      <c r="D341" s="23">
        <v>9</v>
      </c>
      <c r="E341" s="23"/>
      <c r="F341" s="25">
        <f t="shared" si="24"/>
        <v>14</v>
      </c>
      <c r="G341" s="23">
        <v>1</v>
      </c>
      <c r="H341" s="23">
        <v>13</v>
      </c>
      <c r="I341" s="23">
        <v>15</v>
      </c>
      <c r="J341" s="23">
        <f t="shared" si="25"/>
        <v>8</v>
      </c>
      <c r="K341" s="23"/>
      <c r="L341" s="23">
        <v>4</v>
      </c>
      <c r="M341" s="23">
        <v>6</v>
      </c>
      <c r="N341" s="23">
        <v>9</v>
      </c>
      <c r="O341" s="23">
        <f t="shared" si="26"/>
        <v>1</v>
      </c>
    </row>
    <row r="342" spans="1:15" s="18" customFormat="1" ht="9" customHeight="1" x14ac:dyDescent="0.25">
      <c r="A342" s="26" t="s">
        <v>53</v>
      </c>
      <c r="B342" s="27">
        <v>11</v>
      </c>
      <c r="C342" s="27"/>
      <c r="D342" s="27">
        <v>2</v>
      </c>
      <c r="E342" s="27"/>
      <c r="F342" s="29">
        <f t="shared" si="24"/>
        <v>10</v>
      </c>
      <c r="G342" s="27">
        <v>1</v>
      </c>
      <c r="H342" s="27">
        <v>9</v>
      </c>
      <c r="I342" s="27">
        <v>8</v>
      </c>
      <c r="J342" s="27">
        <f t="shared" si="25"/>
        <v>4</v>
      </c>
      <c r="K342" s="27"/>
      <c r="L342" s="27">
        <v>2</v>
      </c>
      <c r="M342" s="27">
        <v>4</v>
      </c>
      <c r="N342" s="27">
        <v>6</v>
      </c>
      <c r="O342" s="27">
        <f t="shared" si="26"/>
        <v>0</v>
      </c>
    </row>
    <row r="343" spans="1:15" s="18" customFormat="1" ht="9" customHeight="1" x14ac:dyDescent="0.25">
      <c r="A343" s="22" t="s">
        <v>54</v>
      </c>
      <c r="B343" s="23">
        <v>1014</v>
      </c>
      <c r="C343" s="23"/>
      <c r="D343" s="23">
        <v>0</v>
      </c>
      <c r="E343" s="23"/>
      <c r="F343" s="25">
        <f t="shared" si="24"/>
        <v>0</v>
      </c>
      <c r="G343" s="23">
        <v>0</v>
      </c>
      <c r="H343" s="23">
        <v>0</v>
      </c>
      <c r="I343" s="23">
        <v>0</v>
      </c>
      <c r="J343" s="23">
        <f t="shared" si="25"/>
        <v>0</v>
      </c>
      <c r="K343" s="23"/>
      <c r="L343" s="23">
        <v>0</v>
      </c>
      <c r="M343" s="23">
        <v>0</v>
      </c>
      <c r="N343" s="23">
        <v>0</v>
      </c>
      <c r="O343" s="23">
        <f t="shared" si="26"/>
        <v>0</v>
      </c>
    </row>
    <row r="344" spans="1:15" s="18" customFormat="1" ht="9" customHeight="1" x14ac:dyDescent="0.25">
      <c r="A344" s="22"/>
      <c r="B344" s="17"/>
      <c r="C344" s="17"/>
      <c r="D344" s="17"/>
      <c r="E344" s="17"/>
      <c r="G344" s="17"/>
      <c r="H344" s="17"/>
      <c r="I344" s="17"/>
      <c r="J344" s="17"/>
      <c r="K344" s="17"/>
      <c r="L344" s="17"/>
      <c r="M344" s="17"/>
      <c r="N344" s="17"/>
      <c r="O344" s="17"/>
    </row>
    <row r="345" spans="1:15" s="18" customFormat="1" ht="9" customHeight="1" x14ac:dyDescent="0.25">
      <c r="A345" s="16">
        <v>2005</v>
      </c>
      <c r="O345" s="20"/>
    </row>
    <row r="346" spans="1:15" s="18" customFormat="1" ht="9.9499999999999993" customHeight="1" x14ac:dyDescent="0.25">
      <c r="A346" s="19" t="s">
        <v>21</v>
      </c>
      <c r="B346" s="20">
        <f>SUM(B348:B380)</f>
        <v>4126</v>
      </c>
      <c r="C346" s="20"/>
      <c r="D346" s="20">
        <f>SUM(D348:D380)</f>
        <v>677</v>
      </c>
      <c r="E346" s="20"/>
      <c r="F346" s="20">
        <f>SUM(F348:F380)</f>
        <v>2255</v>
      </c>
      <c r="G346" s="20">
        <f>SUM(G348:G380)</f>
        <v>594</v>
      </c>
      <c r="H346" s="20">
        <f>SUM(H348:H380)</f>
        <v>1661</v>
      </c>
      <c r="I346" s="20">
        <f>SUM(I348:I380)</f>
        <v>2202</v>
      </c>
      <c r="J346" s="20">
        <f>SUM(J348:J380)</f>
        <v>730</v>
      </c>
      <c r="K346" s="20"/>
      <c r="L346" s="20">
        <f>SUM(L348:L380)</f>
        <v>97</v>
      </c>
      <c r="M346" s="20">
        <f>SUM(M348:M380)</f>
        <v>386</v>
      </c>
      <c r="N346" s="20">
        <f>SUM(N348:N380)</f>
        <v>425</v>
      </c>
      <c r="O346" s="20">
        <f>SUM(O348:O380)</f>
        <v>58</v>
      </c>
    </row>
    <row r="347" spans="1:15" s="18" customFormat="1" ht="3" customHeight="1" x14ac:dyDescent="0.25">
      <c r="A347" s="19"/>
      <c r="B347" s="20"/>
      <c r="C347" s="20"/>
      <c r="D347" s="20"/>
      <c r="E347" s="20"/>
      <c r="G347" s="20"/>
      <c r="H347" s="20"/>
      <c r="I347" s="20"/>
      <c r="J347" s="20"/>
      <c r="K347" s="20"/>
      <c r="L347" s="20"/>
      <c r="M347" s="20"/>
      <c r="N347" s="20"/>
      <c r="O347" s="23"/>
    </row>
    <row r="348" spans="1:15" s="18" customFormat="1" ht="9" customHeight="1" x14ac:dyDescent="0.25">
      <c r="A348" s="22" t="s">
        <v>23</v>
      </c>
      <c r="B348" s="23">
        <v>42</v>
      </c>
      <c r="C348" s="23"/>
      <c r="D348" s="23">
        <v>11</v>
      </c>
      <c r="E348" s="23"/>
      <c r="F348" s="25">
        <f t="shared" ref="F348:F380" si="27">SUM(G348:H348)</f>
        <v>33</v>
      </c>
      <c r="G348" s="23">
        <v>3</v>
      </c>
      <c r="H348" s="23">
        <v>30</v>
      </c>
      <c r="I348" s="23">
        <v>29</v>
      </c>
      <c r="J348" s="23">
        <f t="shared" ref="J348:J380" si="28">(D348+F348)-I348</f>
        <v>15</v>
      </c>
      <c r="K348" s="23"/>
      <c r="L348" s="23">
        <v>0</v>
      </c>
      <c r="M348" s="23">
        <v>2</v>
      </c>
      <c r="N348" s="23">
        <v>2</v>
      </c>
      <c r="O348" s="23">
        <f t="shared" ref="O348:O380" si="29">(L348+M348)-N348</f>
        <v>0</v>
      </c>
    </row>
    <row r="349" spans="1:15" s="18" customFormat="1" ht="9" customHeight="1" x14ac:dyDescent="0.25">
      <c r="A349" s="22" t="s">
        <v>24</v>
      </c>
      <c r="B349" s="23">
        <v>70</v>
      </c>
      <c r="C349" s="23"/>
      <c r="D349" s="23">
        <v>5</v>
      </c>
      <c r="E349" s="23"/>
      <c r="F349" s="25">
        <f t="shared" si="27"/>
        <v>21</v>
      </c>
      <c r="G349" s="23">
        <v>4</v>
      </c>
      <c r="H349" s="23">
        <v>17</v>
      </c>
      <c r="I349" s="23">
        <v>14</v>
      </c>
      <c r="J349" s="23">
        <f t="shared" si="28"/>
        <v>12</v>
      </c>
      <c r="K349" s="23"/>
      <c r="L349" s="23">
        <v>13</v>
      </c>
      <c r="M349" s="23">
        <v>38</v>
      </c>
      <c r="N349" s="23">
        <v>44</v>
      </c>
      <c r="O349" s="23">
        <f t="shared" si="29"/>
        <v>7</v>
      </c>
    </row>
    <row r="350" spans="1:15" s="18" customFormat="1" ht="9" customHeight="1" x14ac:dyDescent="0.25">
      <c r="A350" s="22" t="s">
        <v>25</v>
      </c>
      <c r="B350" s="23">
        <v>28</v>
      </c>
      <c r="C350" s="23"/>
      <c r="D350" s="23">
        <v>5</v>
      </c>
      <c r="E350" s="23"/>
      <c r="F350" s="25">
        <f t="shared" si="27"/>
        <v>5</v>
      </c>
      <c r="G350" s="23">
        <v>1</v>
      </c>
      <c r="H350" s="23">
        <v>4</v>
      </c>
      <c r="I350" s="23">
        <v>8</v>
      </c>
      <c r="J350" s="23">
        <f t="shared" si="28"/>
        <v>2</v>
      </c>
      <c r="K350" s="23"/>
      <c r="L350" s="23">
        <v>1</v>
      </c>
      <c r="M350" s="23">
        <v>2</v>
      </c>
      <c r="N350" s="23">
        <v>3</v>
      </c>
      <c r="O350" s="23">
        <f t="shared" si="29"/>
        <v>0</v>
      </c>
    </row>
    <row r="351" spans="1:15" s="18" customFormat="1" ht="9" customHeight="1" x14ac:dyDescent="0.25">
      <c r="A351" s="26" t="s">
        <v>26</v>
      </c>
      <c r="B351" s="27">
        <v>23</v>
      </c>
      <c r="C351" s="27"/>
      <c r="D351" s="27">
        <v>2</v>
      </c>
      <c r="E351" s="27"/>
      <c r="F351" s="29">
        <f t="shared" si="27"/>
        <v>15</v>
      </c>
      <c r="G351" s="27">
        <v>0</v>
      </c>
      <c r="H351" s="27">
        <v>15</v>
      </c>
      <c r="I351" s="27">
        <v>9</v>
      </c>
      <c r="J351" s="27">
        <f t="shared" si="28"/>
        <v>8</v>
      </c>
      <c r="K351" s="27"/>
      <c r="L351" s="27">
        <v>1</v>
      </c>
      <c r="M351" s="27">
        <v>1</v>
      </c>
      <c r="N351" s="27">
        <v>2</v>
      </c>
      <c r="O351" s="27">
        <f t="shared" si="29"/>
        <v>0</v>
      </c>
    </row>
    <row r="352" spans="1:15" s="18" customFormat="1" ht="9" customHeight="1" x14ac:dyDescent="0.25">
      <c r="A352" s="22" t="s">
        <v>27</v>
      </c>
      <c r="B352" s="23">
        <v>53</v>
      </c>
      <c r="C352" s="23"/>
      <c r="D352" s="23">
        <v>13</v>
      </c>
      <c r="E352" s="23"/>
      <c r="F352" s="25">
        <f t="shared" si="27"/>
        <v>14</v>
      </c>
      <c r="G352" s="23">
        <v>4</v>
      </c>
      <c r="H352" s="23">
        <v>10</v>
      </c>
      <c r="I352" s="23">
        <v>20</v>
      </c>
      <c r="J352" s="23">
        <f t="shared" si="28"/>
        <v>7</v>
      </c>
      <c r="K352" s="23"/>
      <c r="L352" s="23">
        <v>1</v>
      </c>
      <c r="M352" s="23">
        <v>4</v>
      </c>
      <c r="N352" s="23">
        <v>4</v>
      </c>
      <c r="O352" s="23">
        <f t="shared" si="29"/>
        <v>1</v>
      </c>
    </row>
    <row r="353" spans="1:15" s="18" customFormat="1" ht="9" customHeight="1" x14ac:dyDescent="0.25">
      <c r="A353" s="22" t="s">
        <v>28</v>
      </c>
      <c r="B353" s="23">
        <v>29</v>
      </c>
      <c r="C353" s="23"/>
      <c r="D353" s="23">
        <v>9</v>
      </c>
      <c r="E353" s="23"/>
      <c r="F353" s="25">
        <f t="shared" si="27"/>
        <v>25</v>
      </c>
      <c r="G353" s="23">
        <v>2</v>
      </c>
      <c r="H353" s="23">
        <v>23</v>
      </c>
      <c r="I353" s="23">
        <v>20</v>
      </c>
      <c r="J353" s="23">
        <f t="shared" si="28"/>
        <v>14</v>
      </c>
      <c r="K353" s="23"/>
      <c r="L353" s="23">
        <v>0</v>
      </c>
      <c r="M353" s="23">
        <v>0</v>
      </c>
      <c r="N353" s="23">
        <v>0</v>
      </c>
      <c r="O353" s="23">
        <f t="shared" si="29"/>
        <v>0</v>
      </c>
    </row>
    <row r="354" spans="1:15" s="18" customFormat="1" ht="9" customHeight="1" x14ac:dyDescent="0.25">
      <c r="A354" s="22" t="s">
        <v>29</v>
      </c>
      <c r="B354" s="23">
        <v>36</v>
      </c>
      <c r="C354" s="23"/>
      <c r="D354" s="23">
        <v>15</v>
      </c>
      <c r="E354" s="23"/>
      <c r="F354" s="25">
        <f t="shared" si="27"/>
        <v>29</v>
      </c>
      <c r="G354" s="23">
        <v>4</v>
      </c>
      <c r="H354" s="23">
        <v>25</v>
      </c>
      <c r="I354" s="23">
        <v>25</v>
      </c>
      <c r="J354" s="23">
        <f t="shared" si="28"/>
        <v>19</v>
      </c>
      <c r="K354" s="23"/>
      <c r="L354" s="23">
        <v>1</v>
      </c>
      <c r="M354" s="23">
        <v>4</v>
      </c>
      <c r="N354" s="23">
        <v>4</v>
      </c>
      <c r="O354" s="23">
        <f t="shared" si="29"/>
        <v>1</v>
      </c>
    </row>
    <row r="355" spans="1:15" s="18" customFormat="1" ht="9" customHeight="1" x14ac:dyDescent="0.25">
      <c r="A355" s="26" t="s">
        <v>30</v>
      </c>
      <c r="B355" s="27">
        <v>105</v>
      </c>
      <c r="C355" s="27"/>
      <c r="D355" s="27">
        <v>13</v>
      </c>
      <c r="E355" s="27"/>
      <c r="F355" s="29">
        <f t="shared" si="27"/>
        <v>20</v>
      </c>
      <c r="G355" s="27">
        <v>0</v>
      </c>
      <c r="H355" s="27">
        <v>20</v>
      </c>
      <c r="I355" s="27">
        <v>17</v>
      </c>
      <c r="J355" s="27">
        <f t="shared" si="28"/>
        <v>16</v>
      </c>
      <c r="K355" s="27"/>
      <c r="L355" s="27">
        <v>3</v>
      </c>
      <c r="M355" s="27">
        <v>7</v>
      </c>
      <c r="N355" s="27">
        <v>10</v>
      </c>
      <c r="O355" s="27">
        <f t="shared" si="29"/>
        <v>0</v>
      </c>
    </row>
    <row r="356" spans="1:15" s="18" customFormat="1" ht="9" customHeight="1" x14ac:dyDescent="0.25">
      <c r="A356" s="22" t="s">
        <v>63</v>
      </c>
      <c r="B356" s="23">
        <v>1580</v>
      </c>
      <c r="C356" s="23"/>
      <c r="D356" s="23">
        <v>348</v>
      </c>
      <c r="E356" s="23"/>
      <c r="F356" s="25">
        <f t="shared" si="27"/>
        <v>1385</v>
      </c>
      <c r="G356" s="23">
        <v>392</v>
      </c>
      <c r="H356" s="23">
        <v>993</v>
      </c>
      <c r="I356" s="23">
        <v>1363</v>
      </c>
      <c r="J356" s="23">
        <f t="shared" si="28"/>
        <v>370</v>
      </c>
      <c r="K356" s="23"/>
      <c r="L356" s="23">
        <v>38</v>
      </c>
      <c r="M356" s="23">
        <v>202</v>
      </c>
      <c r="N356" s="23">
        <v>214</v>
      </c>
      <c r="O356" s="23">
        <f t="shared" si="29"/>
        <v>26</v>
      </c>
    </row>
    <row r="357" spans="1:15" s="18" customFormat="1" ht="9" customHeight="1" x14ac:dyDescent="0.25">
      <c r="A357" s="22" t="s">
        <v>31</v>
      </c>
      <c r="B357" s="23">
        <v>43</v>
      </c>
      <c r="C357" s="23"/>
      <c r="D357" s="23">
        <v>7</v>
      </c>
      <c r="E357" s="23"/>
      <c r="F357" s="25">
        <f t="shared" si="27"/>
        <v>9</v>
      </c>
      <c r="G357" s="23">
        <v>1</v>
      </c>
      <c r="H357" s="23">
        <v>8</v>
      </c>
      <c r="I357" s="23">
        <v>12</v>
      </c>
      <c r="J357" s="23">
        <f t="shared" si="28"/>
        <v>4</v>
      </c>
      <c r="K357" s="23"/>
      <c r="L357" s="23">
        <v>2</v>
      </c>
      <c r="M357" s="23">
        <v>5</v>
      </c>
      <c r="N357" s="23">
        <v>7</v>
      </c>
      <c r="O357" s="23">
        <f t="shared" si="29"/>
        <v>0</v>
      </c>
    </row>
    <row r="358" spans="1:15" s="18" customFormat="1" ht="9" customHeight="1" x14ac:dyDescent="0.25">
      <c r="A358" s="22" t="s">
        <v>32</v>
      </c>
      <c r="B358" s="23">
        <v>107</v>
      </c>
      <c r="C358" s="23"/>
      <c r="D358" s="23">
        <v>20</v>
      </c>
      <c r="E358" s="23"/>
      <c r="F358" s="25">
        <f t="shared" si="27"/>
        <v>57</v>
      </c>
      <c r="G358" s="23">
        <v>8</v>
      </c>
      <c r="H358" s="23">
        <v>49</v>
      </c>
      <c r="I358" s="23">
        <v>55</v>
      </c>
      <c r="J358" s="23">
        <f t="shared" si="28"/>
        <v>22</v>
      </c>
      <c r="K358" s="23"/>
      <c r="L358" s="23">
        <v>0</v>
      </c>
      <c r="M358" s="23">
        <v>4</v>
      </c>
      <c r="N358" s="23">
        <v>3</v>
      </c>
      <c r="O358" s="23">
        <f t="shared" si="29"/>
        <v>1</v>
      </c>
    </row>
    <row r="359" spans="1:15" s="18" customFormat="1" ht="9" customHeight="1" x14ac:dyDescent="0.25">
      <c r="A359" s="26" t="s">
        <v>33</v>
      </c>
      <c r="B359" s="27">
        <v>17</v>
      </c>
      <c r="C359" s="27"/>
      <c r="D359" s="27">
        <v>8</v>
      </c>
      <c r="E359" s="27"/>
      <c r="F359" s="29">
        <f t="shared" si="27"/>
        <v>19</v>
      </c>
      <c r="G359" s="27">
        <v>2</v>
      </c>
      <c r="H359" s="27">
        <v>17</v>
      </c>
      <c r="I359" s="27">
        <v>20</v>
      </c>
      <c r="J359" s="27">
        <f t="shared" si="28"/>
        <v>7</v>
      </c>
      <c r="K359" s="27"/>
      <c r="L359" s="27">
        <v>2</v>
      </c>
      <c r="M359" s="27">
        <v>1</v>
      </c>
      <c r="N359" s="27">
        <v>3</v>
      </c>
      <c r="O359" s="27">
        <f t="shared" si="29"/>
        <v>0</v>
      </c>
    </row>
    <row r="360" spans="1:15" s="18" customFormat="1" ht="9" customHeight="1" x14ac:dyDescent="0.25">
      <c r="A360" s="22" t="s">
        <v>34</v>
      </c>
      <c r="B360" s="23">
        <v>32</v>
      </c>
      <c r="C360" s="23"/>
      <c r="D360" s="23">
        <v>7</v>
      </c>
      <c r="E360" s="23"/>
      <c r="F360" s="25">
        <f t="shared" si="27"/>
        <v>22</v>
      </c>
      <c r="G360" s="23">
        <v>7</v>
      </c>
      <c r="H360" s="23">
        <v>15</v>
      </c>
      <c r="I360" s="23">
        <v>21</v>
      </c>
      <c r="J360" s="23">
        <f t="shared" si="28"/>
        <v>8</v>
      </c>
      <c r="K360" s="23"/>
      <c r="L360" s="23">
        <v>2</v>
      </c>
      <c r="M360" s="23">
        <v>8</v>
      </c>
      <c r="N360" s="23">
        <v>8</v>
      </c>
      <c r="O360" s="23">
        <f t="shared" si="29"/>
        <v>2</v>
      </c>
    </row>
    <row r="361" spans="1:15" s="18" customFormat="1" ht="9" customHeight="1" x14ac:dyDescent="0.25">
      <c r="A361" s="22" t="s">
        <v>35</v>
      </c>
      <c r="B361" s="23">
        <v>99</v>
      </c>
      <c r="C361" s="23"/>
      <c r="D361" s="23">
        <v>6</v>
      </c>
      <c r="E361" s="23"/>
      <c r="F361" s="25">
        <f t="shared" si="27"/>
        <v>17</v>
      </c>
      <c r="G361" s="23">
        <v>3</v>
      </c>
      <c r="H361" s="23">
        <v>14</v>
      </c>
      <c r="I361" s="23">
        <v>18</v>
      </c>
      <c r="J361" s="23">
        <f t="shared" si="28"/>
        <v>5</v>
      </c>
      <c r="K361" s="23"/>
      <c r="L361" s="23">
        <v>3</v>
      </c>
      <c r="M361" s="23">
        <v>13</v>
      </c>
      <c r="N361" s="23">
        <v>13</v>
      </c>
      <c r="O361" s="23">
        <f t="shared" si="29"/>
        <v>3</v>
      </c>
    </row>
    <row r="362" spans="1:15" s="18" customFormat="1" ht="9" customHeight="1" x14ac:dyDescent="0.25">
      <c r="A362" s="22" t="s">
        <v>36</v>
      </c>
      <c r="B362" s="23">
        <v>721</v>
      </c>
      <c r="C362" s="23"/>
      <c r="D362" s="23">
        <v>92</v>
      </c>
      <c r="E362" s="23"/>
      <c r="F362" s="25">
        <f t="shared" si="27"/>
        <v>287</v>
      </c>
      <c r="G362" s="23">
        <v>113</v>
      </c>
      <c r="H362" s="23">
        <v>174</v>
      </c>
      <c r="I362" s="23">
        <v>300</v>
      </c>
      <c r="J362" s="23">
        <f t="shared" si="28"/>
        <v>79</v>
      </c>
      <c r="K362" s="23"/>
      <c r="L362" s="23">
        <v>0</v>
      </c>
      <c r="M362" s="23">
        <v>18</v>
      </c>
      <c r="N362" s="23">
        <v>13</v>
      </c>
      <c r="O362" s="23">
        <f t="shared" si="29"/>
        <v>5</v>
      </c>
    </row>
    <row r="363" spans="1:15" s="18" customFormat="1" ht="9" customHeight="1" x14ac:dyDescent="0.25">
      <c r="A363" s="26" t="s">
        <v>37</v>
      </c>
      <c r="B363" s="27">
        <v>61</v>
      </c>
      <c r="C363" s="27"/>
      <c r="D363" s="27">
        <v>7</v>
      </c>
      <c r="E363" s="27"/>
      <c r="F363" s="29">
        <f t="shared" si="27"/>
        <v>14</v>
      </c>
      <c r="G363" s="27">
        <v>3</v>
      </c>
      <c r="H363" s="27">
        <v>11</v>
      </c>
      <c r="I363" s="27">
        <v>11</v>
      </c>
      <c r="J363" s="27">
        <f t="shared" si="28"/>
        <v>10</v>
      </c>
      <c r="K363" s="27"/>
      <c r="L363" s="27">
        <v>4</v>
      </c>
      <c r="M363" s="27">
        <v>5</v>
      </c>
      <c r="N363" s="27">
        <v>9</v>
      </c>
      <c r="O363" s="27">
        <f t="shared" si="29"/>
        <v>0</v>
      </c>
    </row>
    <row r="364" spans="1:15" s="18" customFormat="1" ht="9" customHeight="1" x14ac:dyDescent="0.25">
      <c r="A364" s="22" t="s">
        <v>38</v>
      </c>
      <c r="B364" s="23">
        <v>42</v>
      </c>
      <c r="C364" s="23"/>
      <c r="D364" s="23">
        <v>3</v>
      </c>
      <c r="E364" s="23"/>
      <c r="F364" s="25">
        <f t="shared" si="27"/>
        <v>14</v>
      </c>
      <c r="G364" s="23">
        <v>1</v>
      </c>
      <c r="H364" s="23">
        <v>13</v>
      </c>
      <c r="I364" s="23">
        <v>12</v>
      </c>
      <c r="J364" s="23">
        <f t="shared" si="28"/>
        <v>5</v>
      </c>
      <c r="K364" s="23"/>
      <c r="L364" s="23">
        <v>1</v>
      </c>
      <c r="M364" s="23">
        <v>3</v>
      </c>
      <c r="N364" s="23">
        <v>4</v>
      </c>
      <c r="O364" s="23">
        <f t="shared" si="29"/>
        <v>0</v>
      </c>
    </row>
    <row r="365" spans="1:15" s="18" customFormat="1" ht="9" customHeight="1" x14ac:dyDescent="0.25">
      <c r="A365" s="22" t="s">
        <v>39</v>
      </c>
      <c r="B365" s="23">
        <v>30</v>
      </c>
      <c r="C365" s="23"/>
      <c r="D365" s="23">
        <v>5</v>
      </c>
      <c r="E365" s="23"/>
      <c r="F365" s="25">
        <f t="shared" si="27"/>
        <v>26</v>
      </c>
      <c r="G365" s="23">
        <v>3</v>
      </c>
      <c r="H365" s="23">
        <v>23</v>
      </c>
      <c r="I365" s="23">
        <v>17</v>
      </c>
      <c r="J365" s="23">
        <f t="shared" si="28"/>
        <v>14</v>
      </c>
      <c r="K365" s="23"/>
      <c r="L365" s="23">
        <v>0</v>
      </c>
      <c r="M365" s="23">
        <v>0</v>
      </c>
      <c r="N365" s="23">
        <v>0</v>
      </c>
      <c r="O365" s="23">
        <f t="shared" si="29"/>
        <v>0</v>
      </c>
    </row>
    <row r="366" spans="1:15" s="18" customFormat="1" ht="9" customHeight="1" x14ac:dyDescent="0.25">
      <c r="A366" s="22" t="s">
        <v>40</v>
      </c>
      <c r="B366" s="23">
        <v>69</v>
      </c>
      <c r="C366" s="23"/>
      <c r="D366" s="23">
        <v>5</v>
      </c>
      <c r="E366" s="23"/>
      <c r="F366" s="25">
        <f t="shared" si="27"/>
        <v>11</v>
      </c>
      <c r="G366" s="23">
        <v>3</v>
      </c>
      <c r="H366" s="23">
        <v>8</v>
      </c>
      <c r="I366" s="23">
        <v>12</v>
      </c>
      <c r="J366" s="23">
        <f t="shared" si="28"/>
        <v>4</v>
      </c>
      <c r="K366" s="23"/>
      <c r="L366" s="23">
        <v>0</v>
      </c>
      <c r="M366" s="23">
        <v>4</v>
      </c>
      <c r="N366" s="23">
        <v>4</v>
      </c>
      <c r="O366" s="23">
        <f t="shared" si="29"/>
        <v>0</v>
      </c>
    </row>
    <row r="367" spans="1:15" s="18" customFormat="1" ht="9" customHeight="1" x14ac:dyDescent="0.25">
      <c r="A367" s="26" t="s">
        <v>41</v>
      </c>
      <c r="B367" s="27">
        <v>74</v>
      </c>
      <c r="C367" s="27"/>
      <c r="D367" s="27">
        <v>5</v>
      </c>
      <c r="E367" s="27"/>
      <c r="F367" s="29">
        <f t="shared" si="27"/>
        <v>12</v>
      </c>
      <c r="G367" s="27">
        <v>3</v>
      </c>
      <c r="H367" s="27">
        <v>9</v>
      </c>
      <c r="I367" s="27">
        <v>13</v>
      </c>
      <c r="J367" s="27">
        <f t="shared" si="28"/>
        <v>4</v>
      </c>
      <c r="K367" s="27"/>
      <c r="L367" s="27">
        <v>1</v>
      </c>
      <c r="M367" s="27">
        <v>2</v>
      </c>
      <c r="N367" s="27">
        <v>2</v>
      </c>
      <c r="O367" s="27">
        <f t="shared" si="29"/>
        <v>1</v>
      </c>
    </row>
    <row r="368" spans="1:15" s="18" customFormat="1" ht="9" customHeight="1" x14ac:dyDescent="0.25">
      <c r="A368" s="22" t="s">
        <v>42</v>
      </c>
      <c r="B368" s="23">
        <v>73</v>
      </c>
      <c r="C368" s="23"/>
      <c r="D368" s="23">
        <v>12</v>
      </c>
      <c r="E368" s="23"/>
      <c r="F368" s="25">
        <f t="shared" si="27"/>
        <v>26</v>
      </c>
      <c r="G368" s="23">
        <v>6</v>
      </c>
      <c r="H368" s="23">
        <v>20</v>
      </c>
      <c r="I368" s="23">
        <v>28</v>
      </c>
      <c r="J368" s="23">
        <f t="shared" si="28"/>
        <v>10</v>
      </c>
      <c r="K368" s="23"/>
      <c r="L368" s="23">
        <v>4</v>
      </c>
      <c r="M368" s="23">
        <v>3</v>
      </c>
      <c r="N368" s="23">
        <v>7</v>
      </c>
      <c r="O368" s="23">
        <f t="shared" si="29"/>
        <v>0</v>
      </c>
    </row>
    <row r="369" spans="1:16" s="18" customFormat="1" ht="9" customHeight="1" x14ac:dyDescent="0.25">
      <c r="A369" s="22" t="s">
        <v>43</v>
      </c>
      <c r="B369" s="23">
        <v>60</v>
      </c>
      <c r="C369" s="23"/>
      <c r="D369" s="23">
        <v>8</v>
      </c>
      <c r="E369" s="23"/>
      <c r="F369" s="25">
        <f t="shared" si="27"/>
        <v>21</v>
      </c>
      <c r="G369" s="23">
        <v>5</v>
      </c>
      <c r="H369" s="23">
        <v>16</v>
      </c>
      <c r="I369" s="23">
        <v>20</v>
      </c>
      <c r="J369" s="23">
        <f t="shared" si="28"/>
        <v>9</v>
      </c>
      <c r="K369" s="23"/>
      <c r="L369" s="23">
        <v>0</v>
      </c>
      <c r="M369" s="23">
        <v>2</v>
      </c>
      <c r="N369" s="23">
        <v>2</v>
      </c>
      <c r="O369" s="23">
        <f t="shared" si="29"/>
        <v>0</v>
      </c>
    </row>
    <row r="370" spans="1:16" s="18" customFormat="1" ht="9" customHeight="1" x14ac:dyDescent="0.25">
      <c r="A370" s="22" t="s">
        <v>44</v>
      </c>
      <c r="B370" s="23">
        <v>62</v>
      </c>
      <c r="C370" s="23"/>
      <c r="D370" s="23">
        <v>6</v>
      </c>
      <c r="E370" s="23"/>
      <c r="F370" s="25">
        <f t="shared" si="27"/>
        <v>14</v>
      </c>
      <c r="G370" s="23">
        <v>2</v>
      </c>
      <c r="H370" s="23">
        <v>12</v>
      </c>
      <c r="I370" s="23">
        <v>14</v>
      </c>
      <c r="J370" s="23">
        <f t="shared" si="28"/>
        <v>6</v>
      </c>
      <c r="K370" s="23"/>
      <c r="L370" s="23">
        <v>2</v>
      </c>
      <c r="M370" s="23">
        <v>8</v>
      </c>
      <c r="N370" s="23">
        <v>10</v>
      </c>
      <c r="O370" s="23">
        <f t="shared" si="29"/>
        <v>0</v>
      </c>
    </row>
    <row r="371" spans="1:16" s="18" customFormat="1" ht="9" customHeight="1" x14ac:dyDescent="0.25">
      <c r="A371" s="26" t="s">
        <v>45</v>
      </c>
      <c r="B371" s="27">
        <v>44</v>
      </c>
      <c r="C371" s="27"/>
      <c r="D371" s="27">
        <v>7</v>
      </c>
      <c r="E371" s="27"/>
      <c r="F371" s="29">
        <f t="shared" si="27"/>
        <v>20</v>
      </c>
      <c r="G371" s="27">
        <v>1</v>
      </c>
      <c r="H371" s="27">
        <v>19</v>
      </c>
      <c r="I371" s="27">
        <v>15</v>
      </c>
      <c r="J371" s="27">
        <f t="shared" si="28"/>
        <v>12</v>
      </c>
      <c r="K371" s="27"/>
      <c r="L371" s="27">
        <v>6</v>
      </c>
      <c r="M371" s="27">
        <v>6</v>
      </c>
      <c r="N371" s="27">
        <v>10</v>
      </c>
      <c r="O371" s="27">
        <f t="shared" si="29"/>
        <v>2</v>
      </c>
    </row>
    <row r="372" spans="1:16" s="18" customFormat="1" ht="9" customHeight="1" x14ac:dyDescent="0.25">
      <c r="A372" s="22" t="s">
        <v>46</v>
      </c>
      <c r="B372" s="23">
        <v>51</v>
      </c>
      <c r="C372" s="23"/>
      <c r="D372" s="23">
        <v>3</v>
      </c>
      <c r="E372" s="23"/>
      <c r="F372" s="25">
        <f t="shared" si="27"/>
        <v>20</v>
      </c>
      <c r="G372" s="23">
        <v>5</v>
      </c>
      <c r="H372" s="23">
        <v>15</v>
      </c>
      <c r="I372" s="23">
        <v>13</v>
      </c>
      <c r="J372" s="23">
        <f t="shared" si="28"/>
        <v>10</v>
      </c>
      <c r="K372" s="23"/>
      <c r="L372" s="23">
        <v>1</v>
      </c>
      <c r="M372" s="23">
        <v>4</v>
      </c>
      <c r="N372" s="23">
        <v>4</v>
      </c>
      <c r="O372" s="23">
        <f t="shared" si="29"/>
        <v>1</v>
      </c>
    </row>
    <row r="373" spans="1:16" s="18" customFormat="1" ht="9" customHeight="1" x14ac:dyDescent="0.25">
      <c r="A373" s="22" t="s">
        <v>47</v>
      </c>
      <c r="B373" s="23">
        <v>90</v>
      </c>
      <c r="C373" s="23"/>
      <c r="D373" s="23">
        <v>10</v>
      </c>
      <c r="E373" s="23"/>
      <c r="F373" s="25">
        <f t="shared" si="27"/>
        <v>19</v>
      </c>
      <c r="G373" s="23">
        <v>6</v>
      </c>
      <c r="H373" s="23">
        <v>13</v>
      </c>
      <c r="I373" s="23">
        <v>22</v>
      </c>
      <c r="J373" s="23">
        <f t="shared" si="28"/>
        <v>7</v>
      </c>
      <c r="K373" s="23"/>
      <c r="L373" s="23">
        <v>3</v>
      </c>
      <c r="M373" s="23">
        <v>8</v>
      </c>
      <c r="N373" s="23">
        <v>10</v>
      </c>
      <c r="O373" s="23">
        <f t="shared" si="29"/>
        <v>1</v>
      </c>
    </row>
    <row r="374" spans="1:16" s="18" customFormat="1" ht="9" customHeight="1" x14ac:dyDescent="0.25">
      <c r="A374" s="22" t="s">
        <v>48</v>
      </c>
      <c r="B374" s="23">
        <v>33</v>
      </c>
      <c r="C374" s="23"/>
      <c r="D374" s="23">
        <v>5</v>
      </c>
      <c r="E374" s="23"/>
      <c r="F374" s="25">
        <f t="shared" si="27"/>
        <v>14</v>
      </c>
      <c r="G374" s="23">
        <v>2</v>
      </c>
      <c r="H374" s="23">
        <v>12</v>
      </c>
      <c r="I374" s="23">
        <v>14</v>
      </c>
      <c r="J374" s="23">
        <f t="shared" si="28"/>
        <v>5</v>
      </c>
      <c r="K374" s="23"/>
      <c r="L374" s="23">
        <v>0</v>
      </c>
      <c r="M374" s="23">
        <v>1</v>
      </c>
      <c r="N374" s="23">
        <v>0</v>
      </c>
      <c r="O374" s="23">
        <f t="shared" si="29"/>
        <v>1</v>
      </c>
    </row>
    <row r="375" spans="1:16" s="18" customFormat="1" ht="9" customHeight="1" x14ac:dyDescent="0.25">
      <c r="A375" s="26" t="s">
        <v>49</v>
      </c>
      <c r="B375" s="27">
        <v>90</v>
      </c>
      <c r="C375" s="27"/>
      <c r="D375" s="27">
        <v>12</v>
      </c>
      <c r="E375" s="27"/>
      <c r="F375" s="29">
        <f t="shared" si="27"/>
        <v>15</v>
      </c>
      <c r="G375" s="27">
        <v>2</v>
      </c>
      <c r="H375" s="27">
        <v>13</v>
      </c>
      <c r="I375" s="27">
        <v>20</v>
      </c>
      <c r="J375" s="27">
        <f t="shared" si="28"/>
        <v>7</v>
      </c>
      <c r="K375" s="27"/>
      <c r="L375" s="27">
        <v>4</v>
      </c>
      <c r="M375" s="27">
        <v>6</v>
      </c>
      <c r="N375" s="27">
        <v>9</v>
      </c>
      <c r="O375" s="27">
        <f t="shared" si="29"/>
        <v>1</v>
      </c>
    </row>
    <row r="376" spans="1:16" s="18" customFormat="1" ht="9" customHeight="1" x14ac:dyDescent="0.25">
      <c r="A376" s="22" t="s">
        <v>50</v>
      </c>
      <c r="B376" s="23">
        <v>19</v>
      </c>
      <c r="C376" s="23"/>
      <c r="D376" s="23">
        <v>5</v>
      </c>
      <c r="E376" s="23"/>
      <c r="F376" s="25">
        <f t="shared" si="27"/>
        <v>10</v>
      </c>
      <c r="G376" s="23">
        <v>0</v>
      </c>
      <c r="H376" s="23">
        <v>10</v>
      </c>
      <c r="I376" s="23">
        <v>10</v>
      </c>
      <c r="J376" s="23">
        <f t="shared" si="28"/>
        <v>5</v>
      </c>
      <c r="K376" s="23"/>
      <c r="L376" s="23">
        <v>1</v>
      </c>
      <c r="M376" s="23">
        <v>3</v>
      </c>
      <c r="N376" s="23">
        <v>4</v>
      </c>
      <c r="O376" s="23">
        <f t="shared" si="29"/>
        <v>0</v>
      </c>
    </row>
    <row r="377" spans="1:16" s="18" customFormat="1" ht="9" customHeight="1" x14ac:dyDescent="0.25">
      <c r="A377" s="22" t="s">
        <v>51</v>
      </c>
      <c r="B377" s="23">
        <v>175</v>
      </c>
      <c r="C377" s="23"/>
      <c r="D377" s="23">
        <v>11</v>
      </c>
      <c r="E377" s="23"/>
      <c r="F377" s="25">
        <f t="shared" si="27"/>
        <v>38</v>
      </c>
      <c r="G377" s="23">
        <v>4</v>
      </c>
      <c r="H377" s="23">
        <v>34</v>
      </c>
      <c r="I377" s="23">
        <v>27</v>
      </c>
      <c r="J377" s="23">
        <f t="shared" si="28"/>
        <v>22</v>
      </c>
      <c r="K377" s="23"/>
      <c r="L377" s="23">
        <v>2</v>
      </c>
      <c r="M377" s="23">
        <v>12</v>
      </c>
      <c r="N377" s="23">
        <v>10</v>
      </c>
      <c r="O377" s="23">
        <f t="shared" si="29"/>
        <v>4</v>
      </c>
    </row>
    <row r="378" spans="1:16" s="18" customFormat="1" ht="9" customHeight="1" x14ac:dyDescent="0.25">
      <c r="A378" s="22" t="s">
        <v>52</v>
      </c>
      <c r="B378" s="23">
        <v>43</v>
      </c>
      <c r="C378" s="23"/>
      <c r="D378" s="23">
        <v>8</v>
      </c>
      <c r="E378" s="23"/>
      <c r="F378" s="25">
        <f t="shared" si="27"/>
        <v>17</v>
      </c>
      <c r="G378" s="23">
        <v>2</v>
      </c>
      <c r="H378" s="23">
        <v>15</v>
      </c>
      <c r="I378" s="23">
        <v>14</v>
      </c>
      <c r="J378" s="23">
        <f t="shared" si="28"/>
        <v>11</v>
      </c>
      <c r="K378" s="23"/>
      <c r="L378" s="23">
        <v>1</v>
      </c>
      <c r="M378" s="23">
        <v>1</v>
      </c>
      <c r="N378" s="23">
        <v>1</v>
      </c>
      <c r="O378" s="23">
        <f t="shared" si="29"/>
        <v>1</v>
      </c>
    </row>
    <row r="379" spans="1:16" s="18" customFormat="1" ht="9" customHeight="1" x14ac:dyDescent="0.25">
      <c r="A379" s="26" t="s">
        <v>53</v>
      </c>
      <c r="B379" s="27">
        <v>23</v>
      </c>
      <c r="C379" s="27"/>
      <c r="D379" s="27">
        <v>4</v>
      </c>
      <c r="E379" s="27"/>
      <c r="F379" s="29">
        <f t="shared" si="27"/>
        <v>6</v>
      </c>
      <c r="G379" s="27">
        <v>2</v>
      </c>
      <c r="H379" s="27">
        <v>4</v>
      </c>
      <c r="I379" s="27">
        <v>9</v>
      </c>
      <c r="J379" s="27">
        <f t="shared" si="28"/>
        <v>1</v>
      </c>
      <c r="K379" s="27"/>
      <c r="L379" s="27">
        <v>0</v>
      </c>
      <c r="M379" s="27">
        <v>9</v>
      </c>
      <c r="N379" s="27">
        <v>9</v>
      </c>
      <c r="O379" s="27">
        <f t="shared" si="29"/>
        <v>0</v>
      </c>
    </row>
    <row r="380" spans="1:16" s="18" customFormat="1" ht="9" customHeight="1" x14ac:dyDescent="0.25">
      <c r="A380" s="22" t="s">
        <v>54</v>
      </c>
      <c r="B380" s="23">
        <v>102</v>
      </c>
      <c r="C380" s="23"/>
      <c r="D380" s="23">
        <v>0</v>
      </c>
      <c r="E380" s="23"/>
      <c r="F380" s="25">
        <f t="shared" si="27"/>
        <v>0</v>
      </c>
      <c r="G380" s="23">
        <v>0</v>
      </c>
      <c r="H380" s="23">
        <v>0</v>
      </c>
      <c r="I380" s="23">
        <v>0</v>
      </c>
      <c r="J380" s="23">
        <f t="shared" si="28"/>
        <v>0</v>
      </c>
      <c r="K380" s="23"/>
      <c r="L380" s="23">
        <v>0</v>
      </c>
      <c r="M380" s="23">
        <v>0</v>
      </c>
      <c r="N380" s="23">
        <v>0</v>
      </c>
      <c r="O380" s="23">
        <f t="shared" si="29"/>
        <v>0</v>
      </c>
    </row>
    <row r="381" spans="1:16" s="18" customFormat="1" ht="9" customHeight="1" x14ac:dyDescent="0.25">
      <c r="A381" s="22"/>
      <c r="B381" s="20"/>
      <c r="C381" s="20"/>
      <c r="D381" s="20"/>
      <c r="E381" s="20"/>
      <c r="G381" s="20"/>
      <c r="H381" s="20"/>
      <c r="I381" s="20"/>
      <c r="J381" s="20"/>
      <c r="K381" s="20"/>
      <c r="L381" s="20"/>
      <c r="M381" s="20"/>
      <c r="N381" s="20"/>
      <c r="O381" s="20"/>
    </row>
    <row r="382" spans="1:16" s="18" customFormat="1" ht="9" customHeight="1" x14ac:dyDescent="0.25">
      <c r="A382" s="16">
        <v>2006</v>
      </c>
      <c r="O382" s="20"/>
      <c r="P382" s="30"/>
    </row>
    <row r="383" spans="1:16" s="18" customFormat="1" ht="9.9499999999999993" customHeight="1" x14ac:dyDescent="0.25">
      <c r="A383" s="19" t="s">
        <v>21</v>
      </c>
      <c r="B383" s="20">
        <f>SUM(B385:B417)</f>
        <v>4179</v>
      </c>
      <c r="C383" s="20"/>
      <c r="D383" s="20">
        <f>SUM(D385:D417)</f>
        <v>730</v>
      </c>
      <c r="E383" s="20"/>
      <c r="F383" s="20">
        <f>SUM(F385:F417)</f>
        <v>2248</v>
      </c>
      <c r="G383" s="20">
        <f>SUM(G385:G417)</f>
        <v>591</v>
      </c>
      <c r="H383" s="20">
        <f>SUM(H385:H417)</f>
        <v>1657</v>
      </c>
      <c r="I383" s="20">
        <f>SUM(I385:I417)</f>
        <v>2135</v>
      </c>
      <c r="J383" s="20">
        <f>SUM(J385:J417)</f>
        <v>843</v>
      </c>
      <c r="K383" s="20"/>
      <c r="L383" s="20">
        <f>SUM(L385:L417)</f>
        <v>58</v>
      </c>
      <c r="M383" s="20">
        <f>SUM(M385:M417)</f>
        <v>349</v>
      </c>
      <c r="N383" s="20">
        <f>SUM(N385:N417)</f>
        <v>323</v>
      </c>
      <c r="O383" s="20">
        <f>SUM(O385:O417)</f>
        <v>84</v>
      </c>
      <c r="P383" s="20"/>
    </row>
    <row r="384" spans="1:16" s="18" customFormat="1" ht="3" customHeight="1" x14ac:dyDescent="0.25">
      <c r="A384" s="19"/>
      <c r="B384" s="20"/>
      <c r="C384" s="20"/>
      <c r="D384" s="20"/>
      <c r="E384" s="20"/>
      <c r="G384" s="20"/>
      <c r="H384" s="20"/>
      <c r="I384" s="20"/>
      <c r="J384" s="20"/>
      <c r="K384" s="20"/>
      <c r="L384" s="20"/>
      <c r="M384" s="20"/>
      <c r="N384" s="20"/>
      <c r="O384" s="23"/>
    </row>
    <row r="385" spans="1:15" s="18" customFormat="1" ht="8.65" customHeight="1" x14ac:dyDescent="0.25">
      <c r="A385" s="22" t="s">
        <v>23</v>
      </c>
      <c r="B385" s="23">
        <v>20</v>
      </c>
      <c r="C385" s="23"/>
      <c r="D385" s="23">
        <v>15</v>
      </c>
      <c r="E385" s="23"/>
      <c r="F385" s="25">
        <f t="shared" ref="F385:F417" si="30">SUM(G385:H385)</f>
        <v>18</v>
      </c>
      <c r="G385" s="23">
        <v>0</v>
      </c>
      <c r="H385" s="23">
        <v>18</v>
      </c>
      <c r="I385" s="23">
        <v>22</v>
      </c>
      <c r="J385" s="23">
        <f t="shared" ref="J385:J417" si="31">(D385+F385)-I385</f>
        <v>11</v>
      </c>
      <c r="K385" s="23"/>
      <c r="L385" s="23">
        <v>0</v>
      </c>
      <c r="M385" s="23">
        <v>1</v>
      </c>
      <c r="N385" s="23">
        <v>1</v>
      </c>
      <c r="O385" s="23">
        <f t="shared" ref="O385:O417" si="32">(L385+M385)-N385</f>
        <v>0</v>
      </c>
    </row>
    <row r="386" spans="1:15" s="18" customFormat="1" ht="8.65" customHeight="1" x14ac:dyDescent="0.25">
      <c r="A386" s="22" t="s">
        <v>24</v>
      </c>
      <c r="B386" s="23">
        <v>95</v>
      </c>
      <c r="C386" s="23"/>
      <c r="D386" s="23">
        <v>12</v>
      </c>
      <c r="E386" s="23"/>
      <c r="F386" s="25">
        <f t="shared" si="30"/>
        <v>22</v>
      </c>
      <c r="G386" s="23">
        <v>6</v>
      </c>
      <c r="H386" s="23">
        <v>16</v>
      </c>
      <c r="I386" s="23">
        <v>21</v>
      </c>
      <c r="J386" s="23">
        <f t="shared" si="31"/>
        <v>13</v>
      </c>
      <c r="K386" s="23"/>
      <c r="L386" s="23">
        <v>7</v>
      </c>
      <c r="M386" s="23">
        <v>18</v>
      </c>
      <c r="N386" s="23">
        <v>22</v>
      </c>
      <c r="O386" s="23">
        <f t="shared" si="32"/>
        <v>3</v>
      </c>
    </row>
    <row r="387" spans="1:15" s="18" customFormat="1" ht="8.65" customHeight="1" x14ac:dyDescent="0.25">
      <c r="A387" s="22" t="s">
        <v>25</v>
      </c>
      <c r="B387" s="23">
        <v>25</v>
      </c>
      <c r="C387" s="23"/>
      <c r="D387" s="23">
        <v>2</v>
      </c>
      <c r="E387" s="23"/>
      <c r="F387" s="25">
        <f t="shared" si="30"/>
        <v>6</v>
      </c>
      <c r="G387" s="23">
        <v>5</v>
      </c>
      <c r="H387" s="23">
        <v>1</v>
      </c>
      <c r="I387" s="23">
        <v>7</v>
      </c>
      <c r="J387" s="23">
        <f t="shared" si="31"/>
        <v>1</v>
      </c>
      <c r="K387" s="23"/>
      <c r="L387" s="23">
        <v>0</v>
      </c>
      <c r="M387" s="23">
        <v>4</v>
      </c>
      <c r="N387" s="23">
        <v>2</v>
      </c>
      <c r="O387" s="23">
        <f t="shared" si="32"/>
        <v>2</v>
      </c>
    </row>
    <row r="388" spans="1:15" s="18" customFormat="1" ht="8.65" customHeight="1" x14ac:dyDescent="0.25">
      <c r="A388" s="26" t="s">
        <v>26</v>
      </c>
      <c r="B388" s="27">
        <v>33</v>
      </c>
      <c r="C388" s="27"/>
      <c r="D388" s="27">
        <v>8</v>
      </c>
      <c r="E388" s="27"/>
      <c r="F388" s="29">
        <f t="shared" si="30"/>
        <v>16</v>
      </c>
      <c r="G388" s="27">
        <v>0</v>
      </c>
      <c r="H388" s="27">
        <v>16</v>
      </c>
      <c r="I388" s="27">
        <v>17</v>
      </c>
      <c r="J388" s="27">
        <f t="shared" si="31"/>
        <v>7</v>
      </c>
      <c r="K388" s="27"/>
      <c r="L388" s="27">
        <v>0</v>
      </c>
      <c r="M388" s="27">
        <v>2</v>
      </c>
      <c r="N388" s="27">
        <v>1</v>
      </c>
      <c r="O388" s="27">
        <f t="shared" si="32"/>
        <v>1</v>
      </c>
    </row>
    <row r="389" spans="1:15" s="18" customFormat="1" ht="8.65" customHeight="1" x14ac:dyDescent="0.25">
      <c r="A389" s="22" t="s">
        <v>27</v>
      </c>
      <c r="B389" s="23">
        <v>48</v>
      </c>
      <c r="C389" s="23"/>
      <c r="D389" s="23">
        <v>7</v>
      </c>
      <c r="E389" s="23"/>
      <c r="F389" s="25">
        <f t="shared" si="30"/>
        <v>21</v>
      </c>
      <c r="G389" s="23">
        <v>3</v>
      </c>
      <c r="H389" s="23">
        <v>18</v>
      </c>
      <c r="I389" s="23">
        <v>16</v>
      </c>
      <c r="J389" s="23">
        <f t="shared" si="31"/>
        <v>12</v>
      </c>
      <c r="K389" s="23"/>
      <c r="L389" s="23">
        <v>1</v>
      </c>
      <c r="M389" s="23">
        <v>5</v>
      </c>
      <c r="N389" s="23">
        <v>2</v>
      </c>
      <c r="O389" s="23">
        <f t="shared" si="32"/>
        <v>4</v>
      </c>
    </row>
    <row r="390" spans="1:15" s="18" customFormat="1" ht="8.65" customHeight="1" x14ac:dyDescent="0.25">
      <c r="A390" s="22" t="s">
        <v>28</v>
      </c>
      <c r="B390" s="23">
        <v>6</v>
      </c>
      <c r="C390" s="23"/>
      <c r="D390" s="23">
        <v>14</v>
      </c>
      <c r="E390" s="23"/>
      <c r="F390" s="25">
        <f t="shared" si="30"/>
        <v>13</v>
      </c>
      <c r="G390" s="23">
        <v>1</v>
      </c>
      <c r="H390" s="23">
        <v>12</v>
      </c>
      <c r="I390" s="23">
        <v>17</v>
      </c>
      <c r="J390" s="23">
        <f t="shared" si="31"/>
        <v>10</v>
      </c>
      <c r="K390" s="23"/>
      <c r="L390" s="23">
        <v>0</v>
      </c>
      <c r="M390" s="23">
        <v>0</v>
      </c>
      <c r="N390" s="23">
        <v>0</v>
      </c>
      <c r="O390" s="23">
        <f t="shared" si="32"/>
        <v>0</v>
      </c>
    </row>
    <row r="391" spans="1:15" s="18" customFormat="1" ht="8.65" customHeight="1" x14ac:dyDescent="0.25">
      <c r="A391" s="22" t="s">
        <v>29</v>
      </c>
      <c r="B391" s="23">
        <v>43</v>
      </c>
      <c r="C391" s="23"/>
      <c r="D391" s="23">
        <v>19</v>
      </c>
      <c r="E391" s="23"/>
      <c r="F391" s="25">
        <f t="shared" si="30"/>
        <v>43</v>
      </c>
      <c r="G391" s="23">
        <v>11</v>
      </c>
      <c r="H391" s="23">
        <v>32</v>
      </c>
      <c r="I391" s="23">
        <v>37</v>
      </c>
      <c r="J391" s="23">
        <f t="shared" si="31"/>
        <v>25</v>
      </c>
      <c r="K391" s="23"/>
      <c r="L391" s="23">
        <v>1</v>
      </c>
      <c r="M391" s="23">
        <v>6</v>
      </c>
      <c r="N391" s="23">
        <v>4</v>
      </c>
      <c r="O391" s="23">
        <f t="shared" si="32"/>
        <v>3</v>
      </c>
    </row>
    <row r="392" spans="1:15" s="18" customFormat="1" ht="8.65" customHeight="1" x14ac:dyDescent="0.25">
      <c r="A392" s="26" t="s">
        <v>30</v>
      </c>
      <c r="B392" s="27">
        <v>88</v>
      </c>
      <c r="C392" s="27"/>
      <c r="D392" s="27">
        <v>16</v>
      </c>
      <c r="E392" s="27"/>
      <c r="F392" s="29">
        <f t="shared" si="30"/>
        <v>34</v>
      </c>
      <c r="G392" s="27">
        <v>2</v>
      </c>
      <c r="H392" s="27">
        <v>32</v>
      </c>
      <c r="I392" s="27">
        <v>30</v>
      </c>
      <c r="J392" s="27">
        <f t="shared" si="31"/>
        <v>20</v>
      </c>
      <c r="K392" s="27"/>
      <c r="L392" s="27">
        <v>0</v>
      </c>
      <c r="M392" s="27">
        <v>6</v>
      </c>
      <c r="N392" s="27">
        <v>5</v>
      </c>
      <c r="O392" s="27">
        <f t="shared" si="32"/>
        <v>1</v>
      </c>
    </row>
    <row r="393" spans="1:15" s="18" customFormat="1" ht="8.65" customHeight="1" x14ac:dyDescent="0.25">
      <c r="A393" s="22" t="s">
        <v>63</v>
      </c>
      <c r="B393" s="23">
        <v>1584</v>
      </c>
      <c r="C393" s="23"/>
      <c r="D393" s="23">
        <v>370</v>
      </c>
      <c r="E393" s="23"/>
      <c r="F393" s="25">
        <f t="shared" si="30"/>
        <v>1296</v>
      </c>
      <c r="G393" s="23">
        <v>352</v>
      </c>
      <c r="H393" s="23">
        <v>944</v>
      </c>
      <c r="I393" s="23">
        <v>1246</v>
      </c>
      <c r="J393" s="23">
        <f t="shared" si="31"/>
        <v>420</v>
      </c>
      <c r="K393" s="23"/>
      <c r="L393" s="23">
        <v>26</v>
      </c>
      <c r="M393" s="23">
        <v>187</v>
      </c>
      <c r="N393" s="23">
        <v>174</v>
      </c>
      <c r="O393" s="23">
        <f t="shared" si="32"/>
        <v>39</v>
      </c>
    </row>
    <row r="394" spans="1:15" s="18" customFormat="1" ht="8.65" customHeight="1" x14ac:dyDescent="0.25">
      <c r="A394" s="22" t="s">
        <v>31</v>
      </c>
      <c r="B394" s="23">
        <v>16</v>
      </c>
      <c r="C394" s="23"/>
      <c r="D394" s="23">
        <v>4</v>
      </c>
      <c r="E394" s="23"/>
      <c r="F394" s="25">
        <f t="shared" si="30"/>
        <v>6</v>
      </c>
      <c r="G394" s="23">
        <v>0</v>
      </c>
      <c r="H394" s="23">
        <v>6</v>
      </c>
      <c r="I394" s="23">
        <v>6</v>
      </c>
      <c r="J394" s="23">
        <f t="shared" si="31"/>
        <v>4</v>
      </c>
      <c r="K394" s="23"/>
      <c r="L394" s="23">
        <v>0</v>
      </c>
      <c r="M394" s="23">
        <v>5</v>
      </c>
      <c r="N394" s="23">
        <v>5</v>
      </c>
      <c r="O394" s="23">
        <f t="shared" si="32"/>
        <v>0</v>
      </c>
    </row>
    <row r="395" spans="1:15" s="18" customFormat="1" ht="8.65" customHeight="1" x14ac:dyDescent="0.25">
      <c r="A395" s="22" t="s">
        <v>32</v>
      </c>
      <c r="B395" s="23">
        <v>98</v>
      </c>
      <c r="C395" s="23"/>
      <c r="D395" s="23">
        <v>22</v>
      </c>
      <c r="E395" s="23"/>
      <c r="F395" s="25">
        <f t="shared" si="30"/>
        <v>58</v>
      </c>
      <c r="G395" s="23">
        <v>11</v>
      </c>
      <c r="H395" s="23">
        <v>47</v>
      </c>
      <c r="I395" s="23">
        <v>52</v>
      </c>
      <c r="J395" s="23">
        <f t="shared" si="31"/>
        <v>28</v>
      </c>
      <c r="K395" s="23"/>
      <c r="L395" s="23">
        <v>1</v>
      </c>
      <c r="M395" s="23">
        <v>2</v>
      </c>
      <c r="N395" s="23">
        <v>3</v>
      </c>
      <c r="O395" s="23">
        <f t="shared" si="32"/>
        <v>0</v>
      </c>
    </row>
    <row r="396" spans="1:15" s="18" customFormat="1" ht="8.65" customHeight="1" x14ac:dyDescent="0.25">
      <c r="A396" s="26" t="s">
        <v>33</v>
      </c>
      <c r="B396" s="27">
        <v>32</v>
      </c>
      <c r="C396" s="27"/>
      <c r="D396" s="27">
        <v>7</v>
      </c>
      <c r="E396" s="27"/>
      <c r="F396" s="29">
        <f t="shared" si="30"/>
        <v>13</v>
      </c>
      <c r="G396" s="27">
        <v>1</v>
      </c>
      <c r="H396" s="27">
        <v>12</v>
      </c>
      <c r="I396" s="27">
        <v>14</v>
      </c>
      <c r="J396" s="27">
        <f t="shared" si="31"/>
        <v>6</v>
      </c>
      <c r="K396" s="27"/>
      <c r="L396" s="27">
        <v>0</v>
      </c>
      <c r="M396" s="27">
        <v>4</v>
      </c>
      <c r="N396" s="27">
        <v>3</v>
      </c>
      <c r="O396" s="27">
        <f t="shared" si="32"/>
        <v>1</v>
      </c>
    </row>
    <row r="397" spans="1:15" s="18" customFormat="1" ht="8.65" customHeight="1" x14ac:dyDescent="0.25">
      <c r="A397" s="22" t="s">
        <v>34</v>
      </c>
      <c r="B397" s="23">
        <v>48</v>
      </c>
      <c r="C397" s="23"/>
      <c r="D397" s="23">
        <v>8</v>
      </c>
      <c r="E397" s="23"/>
      <c r="F397" s="25">
        <f t="shared" si="30"/>
        <v>16</v>
      </c>
      <c r="G397" s="23">
        <v>5</v>
      </c>
      <c r="H397" s="23">
        <v>11</v>
      </c>
      <c r="I397" s="23">
        <v>17</v>
      </c>
      <c r="J397" s="23">
        <f t="shared" si="31"/>
        <v>7</v>
      </c>
      <c r="K397" s="23"/>
      <c r="L397" s="23">
        <v>2</v>
      </c>
      <c r="M397" s="23">
        <v>10</v>
      </c>
      <c r="N397" s="23">
        <v>10</v>
      </c>
      <c r="O397" s="23">
        <f t="shared" si="32"/>
        <v>2</v>
      </c>
    </row>
    <row r="398" spans="1:15" s="18" customFormat="1" ht="8.65" customHeight="1" x14ac:dyDescent="0.25">
      <c r="A398" s="22" t="s">
        <v>35</v>
      </c>
      <c r="B398" s="23">
        <v>104</v>
      </c>
      <c r="C398" s="23"/>
      <c r="D398" s="23">
        <v>5</v>
      </c>
      <c r="E398" s="23"/>
      <c r="F398" s="25">
        <f t="shared" si="30"/>
        <v>14</v>
      </c>
      <c r="G398" s="23">
        <v>6</v>
      </c>
      <c r="H398" s="23">
        <v>8</v>
      </c>
      <c r="I398" s="23">
        <v>15</v>
      </c>
      <c r="J398" s="23">
        <f t="shared" si="31"/>
        <v>4</v>
      </c>
      <c r="K398" s="23"/>
      <c r="L398" s="23">
        <v>3</v>
      </c>
      <c r="M398" s="23">
        <v>12</v>
      </c>
      <c r="N398" s="23">
        <v>10</v>
      </c>
      <c r="O398" s="23">
        <f t="shared" si="32"/>
        <v>5</v>
      </c>
    </row>
    <row r="399" spans="1:15" s="18" customFormat="1" ht="8.65" customHeight="1" x14ac:dyDescent="0.25">
      <c r="A399" s="22" t="s">
        <v>36</v>
      </c>
      <c r="B399" s="23">
        <v>805</v>
      </c>
      <c r="C399" s="23"/>
      <c r="D399" s="23">
        <v>79</v>
      </c>
      <c r="E399" s="23"/>
      <c r="F399" s="25">
        <f t="shared" si="30"/>
        <v>314</v>
      </c>
      <c r="G399" s="23">
        <v>118</v>
      </c>
      <c r="H399" s="23">
        <v>196</v>
      </c>
      <c r="I399" s="23">
        <v>276</v>
      </c>
      <c r="J399" s="23">
        <f t="shared" si="31"/>
        <v>117</v>
      </c>
      <c r="K399" s="23"/>
      <c r="L399" s="23">
        <v>5</v>
      </c>
      <c r="M399" s="23">
        <v>8</v>
      </c>
      <c r="N399" s="23">
        <v>12</v>
      </c>
      <c r="O399" s="23">
        <f t="shared" si="32"/>
        <v>1</v>
      </c>
    </row>
    <row r="400" spans="1:15" s="18" customFormat="1" ht="8.65" customHeight="1" x14ac:dyDescent="0.25">
      <c r="A400" s="26" t="s">
        <v>37</v>
      </c>
      <c r="B400" s="27">
        <v>56</v>
      </c>
      <c r="C400" s="27"/>
      <c r="D400" s="27">
        <v>10</v>
      </c>
      <c r="E400" s="27"/>
      <c r="F400" s="29">
        <f t="shared" si="30"/>
        <v>15</v>
      </c>
      <c r="G400" s="27">
        <v>5</v>
      </c>
      <c r="H400" s="27">
        <v>10</v>
      </c>
      <c r="I400" s="27">
        <v>19</v>
      </c>
      <c r="J400" s="27">
        <f t="shared" si="31"/>
        <v>6</v>
      </c>
      <c r="K400" s="27"/>
      <c r="L400" s="27">
        <v>0</v>
      </c>
      <c r="M400" s="27">
        <v>8</v>
      </c>
      <c r="N400" s="27">
        <v>6</v>
      </c>
      <c r="O400" s="27">
        <f t="shared" si="32"/>
        <v>2</v>
      </c>
    </row>
    <row r="401" spans="1:15" s="18" customFormat="1" ht="8.65" customHeight="1" x14ac:dyDescent="0.25">
      <c r="A401" s="22" t="s">
        <v>38</v>
      </c>
      <c r="B401" s="23">
        <v>37</v>
      </c>
      <c r="C401" s="23"/>
      <c r="D401" s="23">
        <v>5</v>
      </c>
      <c r="E401" s="23"/>
      <c r="F401" s="25">
        <f t="shared" si="30"/>
        <v>20</v>
      </c>
      <c r="G401" s="23">
        <v>7</v>
      </c>
      <c r="H401" s="23">
        <v>13</v>
      </c>
      <c r="I401" s="23">
        <v>18</v>
      </c>
      <c r="J401" s="23">
        <f t="shared" si="31"/>
        <v>7</v>
      </c>
      <c r="K401" s="23"/>
      <c r="L401" s="23">
        <v>0</v>
      </c>
      <c r="M401" s="23">
        <v>2</v>
      </c>
      <c r="N401" s="23">
        <v>2</v>
      </c>
      <c r="O401" s="23">
        <f t="shared" si="32"/>
        <v>0</v>
      </c>
    </row>
    <row r="402" spans="1:15" s="18" customFormat="1" ht="8.65" customHeight="1" x14ac:dyDescent="0.25">
      <c r="A402" s="22" t="s">
        <v>39</v>
      </c>
      <c r="B402" s="23">
        <v>29</v>
      </c>
      <c r="C402" s="23"/>
      <c r="D402" s="23">
        <v>14</v>
      </c>
      <c r="E402" s="23"/>
      <c r="F402" s="25">
        <f t="shared" si="30"/>
        <v>15</v>
      </c>
      <c r="G402" s="23">
        <v>4</v>
      </c>
      <c r="H402" s="23">
        <v>11</v>
      </c>
      <c r="I402" s="23">
        <v>25</v>
      </c>
      <c r="J402" s="23">
        <f t="shared" si="31"/>
        <v>4</v>
      </c>
      <c r="K402" s="23"/>
      <c r="L402" s="23">
        <v>0</v>
      </c>
      <c r="M402" s="23">
        <v>0</v>
      </c>
      <c r="N402" s="23">
        <v>0</v>
      </c>
      <c r="O402" s="23">
        <f t="shared" si="32"/>
        <v>0</v>
      </c>
    </row>
    <row r="403" spans="1:15" s="18" customFormat="1" ht="8.65" customHeight="1" x14ac:dyDescent="0.25">
      <c r="A403" s="22" t="s">
        <v>40</v>
      </c>
      <c r="B403" s="23">
        <v>62</v>
      </c>
      <c r="C403" s="23"/>
      <c r="D403" s="23">
        <v>4</v>
      </c>
      <c r="E403" s="23"/>
      <c r="F403" s="25">
        <f t="shared" si="30"/>
        <v>35</v>
      </c>
      <c r="G403" s="23">
        <v>7</v>
      </c>
      <c r="H403" s="23">
        <v>28</v>
      </c>
      <c r="I403" s="23">
        <v>21</v>
      </c>
      <c r="J403" s="23">
        <f t="shared" si="31"/>
        <v>18</v>
      </c>
      <c r="K403" s="23"/>
      <c r="L403" s="23">
        <v>0</v>
      </c>
      <c r="M403" s="23">
        <v>1</v>
      </c>
      <c r="N403" s="23">
        <v>1</v>
      </c>
      <c r="O403" s="23">
        <f t="shared" si="32"/>
        <v>0</v>
      </c>
    </row>
    <row r="404" spans="1:15" s="18" customFormat="1" ht="8.65" customHeight="1" x14ac:dyDescent="0.25">
      <c r="A404" s="26" t="s">
        <v>41</v>
      </c>
      <c r="B404" s="27">
        <v>44</v>
      </c>
      <c r="C404" s="27"/>
      <c r="D404" s="27">
        <v>4</v>
      </c>
      <c r="E404" s="27"/>
      <c r="F404" s="29">
        <f t="shared" si="30"/>
        <v>12</v>
      </c>
      <c r="G404" s="27">
        <v>2</v>
      </c>
      <c r="H404" s="27">
        <v>10</v>
      </c>
      <c r="I404" s="27">
        <v>8</v>
      </c>
      <c r="J404" s="27">
        <f t="shared" si="31"/>
        <v>8</v>
      </c>
      <c r="K404" s="27"/>
      <c r="L404" s="27">
        <v>1</v>
      </c>
      <c r="M404" s="27">
        <v>1</v>
      </c>
      <c r="N404" s="27">
        <v>2</v>
      </c>
      <c r="O404" s="27">
        <f t="shared" si="32"/>
        <v>0</v>
      </c>
    </row>
    <row r="405" spans="1:15" s="18" customFormat="1" ht="8.65" customHeight="1" x14ac:dyDescent="0.25">
      <c r="A405" s="22" t="s">
        <v>42</v>
      </c>
      <c r="B405" s="23">
        <v>68</v>
      </c>
      <c r="C405" s="23"/>
      <c r="D405" s="23">
        <v>10</v>
      </c>
      <c r="E405" s="23"/>
      <c r="F405" s="25">
        <f t="shared" si="30"/>
        <v>30</v>
      </c>
      <c r="G405" s="23">
        <v>6</v>
      </c>
      <c r="H405" s="23">
        <v>24</v>
      </c>
      <c r="I405" s="23">
        <v>19</v>
      </c>
      <c r="J405" s="23">
        <f t="shared" si="31"/>
        <v>21</v>
      </c>
      <c r="K405" s="23"/>
      <c r="L405" s="23">
        <v>0</v>
      </c>
      <c r="M405" s="23">
        <v>5</v>
      </c>
      <c r="N405" s="23">
        <v>3</v>
      </c>
      <c r="O405" s="23">
        <f t="shared" si="32"/>
        <v>2</v>
      </c>
    </row>
    <row r="406" spans="1:15" s="18" customFormat="1" ht="8.65" customHeight="1" x14ac:dyDescent="0.25">
      <c r="A406" s="22" t="s">
        <v>43</v>
      </c>
      <c r="B406" s="23">
        <v>64</v>
      </c>
      <c r="C406" s="23"/>
      <c r="D406" s="23">
        <v>9</v>
      </c>
      <c r="E406" s="23"/>
      <c r="F406" s="25">
        <f t="shared" si="30"/>
        <v>22</v>
      </c>
      <c r="G406" s="23">
        <v>5</v>
      </c>
      <c r="H406" s="23">
        <v>17</v>
      </c>
      <c r="I406" s="23">
        <v>28</v>
      </c>
      <c r="J406" s="23">
        <f t="shared" si="31"/>
        <v>3</v>
      </c>
      <c r="K406" s="23"/>
      <c r="L406" s="23">
        <v>0</v>
      </c>
      <c r="M406" s="23">
        <v>6</v>
      </c>
      <c r="N406" s="23">
        <v>4</v>
      </c>
      <c r="O406" s="23">
        <f t="shared" si="32"/>
        <v>2</v>
      </c>
    </row>
    <row r="407" spans="1:15" s="18" customFormat="1" ht="8.65" customHeight="1" x14ac:dyDescent="0.25">
      <c r="A407" s="22" t="s">
        <v>44</v>
      </c>
      <c r="B407" s="23">
        <v>56</v>
      </c>
      <c r="C407" s="23"/>
      <c r="D407" s="23">
        <v>6</v>
      </c>
      <c r="E407" s="23"/>
      <c r="F407" s="25">
        <f t="shared" si="30"/>
        <v>14</v>
      </c>
      <c r="G407" s="23">
        <v>2</v>
      </c>
      <c r="H407" s="23">
        <v>12</v>
      </c>
      <c r="I407" s="23">
        <v>15</v>
      </c>
      <c r="J407" s="23">
        <f t="shared" si="31"/>
        <v>5</v>
      </c>
      <c r="K407" s="23"/>
      <c r="L407" s="23">
        <v>0</v>
      </c>
      <c r="M407" s="23">
        <v>3</v>
      </c>
      <c r="N407" s="23">
        <v>2</v>
      </c>
      <c r="O407" s="23">
        <f t="shared" si="32"/>
        <v>1</v>
      </c>
    </row>
    <row r="408" spans="1:15" s="18" customFormat="1" ht="8.65" customHeight="1" x14ac:dyDescent="0.25">
      <c r="A408" s="26" t="s">
        <v>45</v>
      </c>
      <c r="B408" s="27">
        <v>60</v>
      </c>
      <c r="C408" s="27"/>
      <c r="D408" s="27">
        <v>12</v>
      </c>
      <c r="E408" s="27"/>
      <c r="F408" s="29">
        <f t="shared" si="30"/>
        <v>36</v>
      </c>
      <c r="G408" s="27">
        <v>3</v>
      </c>
      <c r="H408" s="27">
        <v>33</v>
      </c>
      <c r="I408" s="27">
        <v>25</v>
      </c>
      <c r="J408" s="27">
        <f t="shared" si="31"/>
        <v>23</v>
      </c>
      <c r="K408" s="27"/>
      <c r="L408" s="27">
        <v>2</v>
      </c>
      <c r="M408" s="27">
        <v>12</v>
      </c>
      <c r="N408" s="27">
        <v>12</v>
      </c>
      <c r="O408" s="27">
        <f t="shared" si="32"/>
        <v>2</v>
      </c>
    </row>
    <row r="409" spans="1:15" s="18" customFormat="1" ht="8.65" customHeight="1" x14ac:dyDescent="0.25">
      <c r="A409" s="22" t="s">
        <v>46</v>
      </c>
      <c r="B409" s="23">
        <v>21</v>
      </c>
      <c r="C409" s="23"/>
      <c r="D409" s="23">
        <v>10</v>
      </c>
      <c r="E409" s="23"/>
      <c r="F409" s="25">
        <f t="shared" si="30"/>
        <v>7</v>
      </c>
      <c r="G409" s="23">
        <v>2</v>
      </c>
      <c r="H409" s="23">
        <v>5</v>
      </c>
      <c r="I409" s="23">
        <v>12</v>
      </c>
      <c r="J409" s="23">
        <f t="shared" si="31"/>
        <v>5</v>
      </c>
      <c r="K409" s="23"/>
      <c r="L409" s="23">
        <v>1</v>
      </c>
      <c r="M409" s="23">
        <v>7</v>
      </c>
      <c r="N409" s="23">
        <v>4</v>
      </c>
      <c r="O409" s="23">
        <f t="shared" si="32"/>
        <v>4</v>
      </c>
    </row>
    <row r="410" spans="1:15" s="18" customFormat="1" ht="8.65" customHeight="1" x14ac:dyDescent="0.25">
      <c r="A410" s="22" t="s">
        <v>47</v>
      </c>
      <c r="B410" s="23">
        <v>108</v>
      </c>
      <c r="C410" s="23"/>
      <c r="D410" s="23">
        <v>7</v>
      </c>
      <c r="E410" s="23"/>
      <c r="F410" s="25">
        <f t="shared" si="30"/>
        <v>31</v>
      </c>
      <c r="G410" s="23">
        <v>1</v>
      </c>
      <c r="H410" s="23">
        <v>30</v>
      </c>
      <c r="I410" s="23">
        <v>19</v>
      </c>
      <c r="J410" s="23">
        <f t="shared" si="31"/>
        <v>19</v>
      </c>
      <c r="K410" s="23"/>
      <c r="L410" s="23">
        <v>1</v>
      </c>
      <c r="M410" s="23">
        <v>4</v>
      </c>
      <c r="N410" s="23">
        <v>4</v>
      </c>
      <c r="O410" s="23">
        <f t="shared" si="32"/>
        <v>1</v>
      </c>
    </row>
    <row r="411" spans="1:15" s="18" customFormat="1" ht="8.65" customHeight="1" x14ac:dyDescent="0.25">
      <c r="A411" s="22" t="s">
        <v>48</v>
      </c>
      <c r="B411" s="23">
        <v>38</v>
      </c>
      <c r="C411" s="23"/>
      <c r="D411" s="23">
        <v>5</v>
      </c>
      <c r="E411" s="23"/>
      <c r="F411" s="25">
        <f t="shared" si="30"/>
        <v>23</v>
      </c>
      <c r="G411" s="23">
        <v>4</v>
      </c>
      <c r="H411" s="23">
        <v>19</v>
      </c>
      <c r="I411" s="23">
        <v>19</v>
      </c>
      <c r="J411" s="23">
        <f t="shared" si="31"/>
        <v>9</v>
      </c>
      <c r="K411" s="23"/>
      <c r="L411" s="23">
        <v>1</v>
      </c>
      <c r="M411" s="23">
        <v>11</v>
      </c>
      <c r="N411" s="23">
        <v>10</v>
      </c>
      <c r="O411" s="23">
        <f t="shared" si="32"/>
        <v>2</v>
      </c>
    </row>
    <row r="412" spans="1:15" s="18" customFormat="1" ht="8.65" customHeight="1" x14ac:dyDescent="0.25">
      <c r="A412" s="26" t="s">
        <v>49</v>
      </c>
      <c r="B412" s="27">
        <v>68</v>
      </c>
      <c r="C412" s="27"/>
      <c r="D412" s="27">
        <v>7</v>
      </c>
      <c r="E412" s="27"/>
      <c r="F412" s="29">
        <f t="shared" si="30"/>
        <v>15</v>
      </c>
      <c r="G412" s="27">
        <v>5</v>
      </c>
      <c r="H412" s="27">
        <v>10</v>
      </c>
      <c r="I412" s="27">
        <v>17</v>
      </c>
      <c r="J412" s="27">
        <f t="shared" si="31"/>
        <v>5</v>
      </c>
      <c r="K412" s="27"/>
      <c r="L412" s="27">
        <v>1</v>
      </c>
      <c r="M412" s="27">
        <v>6</v>
      </c>
      <c r="N412" s="27">
        <v>5</v>
      </c>
      <c r="O412" s="27">
        <f t="shared" si="32"/>
        <v>2</v>
      </c>
    </row>
    <row r="413" spans="1:15" s="18" customFormat="1" ht="8.65" customHeight="1" x14ac:dyDescent="0.25">
      <c r="A413" s="22" t="s">
        <v>50</v>
      </c>
      <c r="B413" s="23">
        <v>16</v>
      </c>
      <c r="C413" s="23"/>
      <c r="D413" s="23">
        <v>5</v>
      </c>
      <c r="E413" s="23"/>
      <c r="F413" s="25">
        <f t="shared" si="30"/>
        <v>11</v>
      </c>
      <c r="G413" s="23">
        <v>1</v>
      </c>
      <c r="H413" s="23">
        <v>10</v>
      </c>
      <c r="I413" s="23">
        <v>12</v>
      </c>
      <c r="J413" s="23">
        <f t="shared" si="31"/>
        <v>4</v>
      </c>
      <c r="K413" s="23"/>
      <c r="L413" s="23">
        <v>0</v>
      </c>
      <c r="M413" s="23">
        <v>0</v>
      </c>
      <c r="N413" s="23">
        <v>0</v>
      </c>
      <c r="O413" s="23">
        <f t="shared" si="32"/>
        <v>0</v>
      </c>
    </row>
    <row r="414" spans="1:15" s="18" customFormat="1" ht="8.65" customHeight="1" x14ac:dyDescent="0.25">
      <c r="A414" s="22" t="s">
        <v>51</v>
      </c>
      <c r="B414" s="23">
        <v>134</v>
      </c>
      <c r="C414" s="23"/>
      <c r="D414" s="23">
        <v>22</v>
      </c>
      <c r="E414" s="23"/>
      <c r="F414" s="25">
        <f t="shared" si="30"/>
        <v>46</v>
      </c>
      <c r="G414" s="23">
        <v>14</v>
      </c>
      <c r="H414" s="23">
        <v>32</v>
      </c>
      <c r="I414" s="23">
        <v>58</v>
      </c>
      <c r="J414" s="23">
        <f t="shared" si="31"/>
        <v>10</v>
      </c>
      <c r="K414" s="23"/>
      <c r="L414" s="23">
        <v>4</v>
      </c>
      <c r="M414" s="23">
        <v>7</v>
      </c>
      <c r="N414" s="23">
        <v>9</v>
      </c>
      <c r="O414" s="23">
        <f t="shared" si="32"/>
        <v>2</v>
      </c>
    </row>
    <row r="415" spans="1:15" s="18" customFormat="1" ht="8.65" customHeight="1" x14ac:dyDescent="0.25">
      <c r="A415" s="22" t="s">
        <v>52</v>
      </c>
      <c r="B415" s="23">
        <v>39</v>
      </c>
      <c r="C415" s="23"/>
      <c r="D415" s="23">
        <v>11</v>
      </c>
      <c r="E415" s="23"/>
      <c r="F415" s="25">
        <f t="shared" si="30"/>
        <v>20</v>
      </c>
      <c r="G415" s="23">
        <v>2</v>
      </c>
      <c r="H415" s="23">
        <v>18</v>
      </c>
      <c r="I415" s="23">
        <v>22</v>
      </c>
      <c r="J415" s="23">
        <f t="shared" si="31"/>
        <v>9</v>
      </c>
      <c r="K415" s="23"/>
      <c r="L415" s="23">
        <v>1</v>
      </c>
      <c r="M415" s="23">
        <v>2</v>
      </c>
      <c r="N415" s="23">
        <v>2</v>
      </c>
      <c r="O415" s="23">
        <f t="shared" si="32"/>
        <v>1</v>
      </c>
    </row>
    <row r="416" spans="1:15" s="18" customFormat="1" ht="8.65" customHeight="1" x14ac:dyDescent="0.25">
      <c r="A416" s="26" t="s">
        <v>53</v>
      </c>
      <c r="B416" s="27">
        <v>12</v>
      </c>
      <c r="C416" s="27"/>
      <c r="D416" s="27">
        <v>1</v>
      </c>
      <c r="E416" s="27"/>
      <c r="F416" s="29">
        <f t="shared" si="30"/>
        <v>6</v>
      </c>
      <c r="G416" s="27">
        <v>0</v>
      </c>
      <c r="H416" s="27">
        <v>6</v>
      </c>
      <c r="I416" s="27">
        <v>5</v>
      </c>
      <c r="J416" s="27">
        <f t="shared" si="31"/>
        <v>2</v>
      </c>
      <c r="K416" s="27"/>
      <c r="L416" s="27">
        <v>0</v>
      </c>
      <c r="M416" s="27">
        <v>4</v>
      </c>
      <c r="N416" s="27">
        <v>3</v>
      </c>
      <c r="O416" s="27">
        <f t="shared" si="32"/>
        <v>1</v>
      </c>
    </row>
    <row r="417" spans="1:15" s="18" customFormat="1" ht="8.65" customHeight="1" x14ac:dyDescent="0.25">
      <c r="A417" s="22" t="s">
        <v>54</v>
      </c>
      <c r="B417" s="23">
        <v>222</v>
      </c>
      <c r="C417" s="23"/>
      <c r="D417" s="23">
        <v>0</v>
      </c>
      <c r="E417" s="23"/>
      <c r="F417" s="25">
        <f t="shared" si="30"/>
        <v>0</v>
      </c>
      <c r="G417" s="23">
        <v>0</v>
      </c>
      <c r="H417" s="23">
        <v>0</v>
      </c>
      <c r="I417" s="23">
        <v>0</v>
      </c>
      <c r="J417" s="23">
        <f t="shared" si="31"/>
        <v>0</v>
      </c>
      <c r="K417" s="23"/>
      <c r="L417" s="23">
        <v>0</v>
      </c>
      <c r="M417" s="23">
        <v>0</v>
      </c>
      <c r="N417" s="23">
        <v>0</v>
      </c>
      <c r="O417" s="23">
        <f t="shared" si="32"/>
        <v>0</v>
      </c>
    </row>
    <row r="418" spans="1:15" s="18" customFormat="1" ht="9" customHeight="1" x14ac:dyDescent="0.25">
      <c r="A418" s="22"/>
      <c r="B418" s="23"/>
      <c r="C418" s="23"/>
      <c r="D418" s="23"/>
      <c r="E418" s="23"/>
      <c r="G418" s="23"/>
      <c r="H418" s="23"/>
      <c r="I418" s="23"/>
      <c r="J418" s="23"/>
      <c r="K418" s="23"/>
      <c r="L418" s="23"/>
      <c r="M418" s="23"/>
      <c r="N418" s="23"/>
      <c r="O418" s="23"/>
    </row>
    <row r="419" spans="1:15" s="18" customFormat="1" ht="9" customHeight="1" x14ac:dyDescent="0.25">
      <c r="A419" s="16">
        <v>2007</v>
      </c>
      <c r="B419" s="20"/>
      <c r="C419" s="20"/>
      <c r="D419" s="20"/>
      <c r="E419" s="20"/>
      <c r="G419" s="20"/>
      <c r="H419" s="20"/>
      <c r="I419" s="20"/>
      <c r="J419" s="20"/>
      <c r="K419" s="20"/>
      <c r="L419" s="20"/>
      <c r="M419" s="20"/>
      <c r="N419" s="20"/>
      <c r="O419" s="20"/>
    </row>
    <row r="420" spans="1:15" s="18" customFormat="1" ht="9" customHeight="1" x14ac:dyDescent="0.25">
      <c r="A420" s="19" t="s">
        <v>21</v>
      </c>
      <c r="B420" s="20">
        <f>SUM(B422:B454)</f>
        <v>4187</v>
      </c>
      <c r="C420" s="20"/>
      <c r="D420" s="20">
        <f>SUM(D422:D454)</f>
        <v>843</v>
      </c>
      <c r="E420" s="20"/>
      <c r="F420" s="20">
        <f>SUM(F422:F454)</f>
        <v>2247</v>
      </c>
      <c r="G420" s="20">
        <f>SUM(G422:G454)</f>
        <v>494</v>
      </c>
      <c r="H420" s="20">
        <f>SUM(H422:H454)</f>
        <v>1753</v>
      </c>
      <c r="I420" s="20">
        <f>SUM(I422:I454)</f>
        <v>2161</v>
      </c>
      <c r="J420" s="20">
        <f>SUM(J422:J454)</f>
        <v>929</v>
      </c>
      <c r="K420" s="20"/>
      <c r="L420" s="20">
        <f>SUM(L422:L454)</f>
        <v>84</v>
      </c>
      <c r="M420" s="20">
        <f>SUM(M422:M454)</f>
        <v>271</v>
      </c>
      <c r="N420" s="20">
        <f>SUM(N422:N454)</f>
        <v>286</v>
      </c>
      <c r="O420" s="20">
        <f>SUM(O422:O454)</f>
        <v>69</v>
      </c>
    </row>
    <row r="421" spans="1:15" s="18" customFormat="1" ht="3" customHeight="1" x14ac:dyDescent="0.25">
      <c r="A421" s="19"/>
      <c r="B421" s="20"/>
      <c r="C421" s="20"/>
      <c r="D421" s="20"/>
      <c r="E421" s="20"/>
      <c r="G421" s="20"/>
      <c r="H421" s="20"/>
      <c r="I421" s="20"/>
      <c r="J421" s="20"/>
      <c r="K421" s="20"/>
      <c r="L421" s="20"/>
      <c r="M421" s="20"/>
      <c r="N421" s="20"/>
      <c r="O421" s="20"/>
    </row>
    <row r="422" spans="1:15" s="18" customFormat="1" ht="8.65" customHeight="1" x14ac:dyDescent="0.25">
      <c r="A422" s="22" t="s">
        <v>23</v>
      </c>
      <c r="B422" s="23">
        <v>24</v>
      </c>
      <c r="C422" s="23"/>
      <c r="D422" s="23">
        <v>11</v>
      </c>
      <c r="E422" s="23"/>
      <c r="F422" s="25">
        <f t="shared" ref="F422:F454" si="33">SUM(G422:H422)</f>
        <v>29</v>
      </c>
      <c r="G422" s="23">
        <v>1</v>
      </c>
      <c r="H422" s="23">
        <v>28</v>
      </c>
      <c r="I422" s="23">
        <v>22</v>
      </c>
      <c r="J422" s="23">
        <f t="shared" ref="J422:J454" si="34">(D422+F422)-I422</f>
        <v>18</v>
      </c>
      <c r="K422" s="23"/>
      <c r="L422" s="23">
        <v>0</v>
      </c>
      <c r="M422" s="23">
        <v>1</v>
      </c>
      <c r="N422" s="23">
        <v>1</v>
      </c>
      <c r="O422" s="23">
        <f t="shared" ref="O422:O454" si="35">(L422+M422)-N422</f>
        <v>0</v>
      </c>
    </row>
    <row r="423" spans="1:15" s="18" customFormat="1" ht="8.65" customHeight="1" x14ac:dyDescent="0.25">
      <c r="A423" s="22" t="s">
        <v>24</v>
      </c>
      <c r="B423" s="23">
        <v>93</v>
      </c>
      <c r="C423" s="23"/>
      <c r="D423" s="23">
        <v>13</v>
      </c>
      <c r="E423" s="23"/>
      <c r="F423" s="25">
        <f t="shared" si="33"/>
        <v>11</v>
      </c>
      <c r="G423" s="23">
        <v>1</v>
      </c>
      <c r="H423" s="23">
        <v>10</v>
      </c>
      <c r="I423" s="23">
        <v>16</v>
      </c>
      <c r="J423" s="23">
        <f t="shared" si="34"/>
        <v>8</v>
      </c>
      <c r="K423" s="23"/>
      <c r="L423" s="23">
        <v>3</v>
      </c>
      <c r="M423" s="23">
        <v>20</v>
      </c>
      <c r="N423" s="23">
        <v>17</v>
      </c>
      <c r="O423" s="23">
        <f t="shared" si="35"/>
        <v>6</v>
      </c>
    </row>
    <row r="424" spans="1:15" s="18" customFormat="1" ht="8.65" customHeight="1" x14ac:dyDescent="0.25">
      <c r="A424" s="22" t="s">
        <v>25</v>
      </c>
      <c r="B424" s="23">
        <v>23</v>
      </c>
      <c r="C424" s="23"/>
      <c r="D424" s="23">
        <v>1</v>
      </c>
      <c r="E424" s="23"/>
      <c r="F424" s="25">
        <f t="shared" si="33"/>
        <v>5</v>
      </c>
      <c r="G424" s="23">
        <v>0</v>
      </c>
      <c r="H424" s="23">
        <v>5</v>
      </c>
      <c r="I424" s="23">
        <v>4</v>
      </c>
      <c r="J424" s="23">
        <f t="shared" si="34"/>
        <v>2</v>
      </c>
      <c r="K424" s="23"/>
      <c r="L424" s="23">
        <v>2</v>
      </c>
      <c r="M424" s="23">
        <v>2</v>
      </c>
      <c r="N424" s="23">
        <v>4</v>
      </c>
      <c r="O424" s="23">
        <f t="shared" si="35"/>
        <v>0</v>
      </c>
    </row>
    <row r="425" spans="1:15" s="18" customFormat="1" ht="8.65" customHeight="1" x14ac:dyDescent="0.25">
      <c r="A425" s="26" t="s">
        <v>26</v>
      </c>
      <c r="B425" s="27">
        <v>21</v>
      </c>
      <c r="C425" s="27"/>
      <c r="D425" s="27">
        <v>7</v>
      </c>
      <c r="E425" s="27"/>
      <c r="F425" s="29">
        <f t="shared" si="33"/>
        <v>21</v>
      </c>
      <c r="G425" s="27">
        <v>1</v>
      </c>
      <c r="H425" s="27">
        <v>20</v>
      </c>
      <c r="I425" s="27">
        <v>18</v>
      </c>
      <c r="J425" s="27">
        <f t="shared" si="34"/>
        <v>10</v>
      </c>
      <c r="K425" s="27"/>
      <c r="L425" s="27">
        <v>1</v>
      </c>
      <c r="M425" s="27">
        <v>5</v>
      </c>
      <c r="N425" s="27">
        <v>4</v>
      </c>
      <c r="O425" s="27">
        <f t="shared" si="35"/>
        <v>2</v>
      </c>
    </row>
    <row r="426" spans="1:15" s="18" customFormat="1" ht="8.65" customHeight="1" x14ac:dyDescent="0.25">
      <c r="A426" s="22" t="s">
        <v>27</v>
      </c>
      <c r="B426" s="23">
        <v>71</v>
      </c>
      <c r="C426" s="23"/>
      <c r="D426" s="23">
        <v>12</v>
      </c>
      <c r="E426" s="23"/>
      <c r="F426" s="25">
        <f t="shared" si="33"/>
        <v>23</v>
      </c>
      <c r="G426" s="23">
        <v>3</v>
      </c>
      <c r="H426" s="23">
        <v>20</v>
      </c>
      <c r="I426" s="23">
        <v>20</v>
      </c>
      <c r="J426" s="23">
        <f t="shared" si="34"/>
        <v>15</v>
      </c>
      <c r="K426" s="23"/>
      <c r="L426" s="23">
        <v>4</v>
      </c>
      <c r="M426" s="23">
        <v>6</v>
      </c>
      <c r="N426" s="23">
        <v>7</v>
      </c>
      <c r="O426" s="23">
        <f t="shared" si="35"/>
        <v>3</v>
      </c>
    </row>
    <row r="427" spans="1:15" s="18" customFormat="1" ht="8.65" customHeight="1" x14ac:dyDescent="0.25">
      <c r="A427" s="22" t="s">
        <v>28</v>
      </c>
      <c r="B427" s="23">
        <v>12</v>
      </c>
      <c r="C427" s="23"/>
      <c r="D427" s="23">
        <v>10</v>
      </c>
      <c r="E427" s="23"/>
      <c r="F427" s="25">
        <f t="shared" si="33"/>
        <v>5</v>
      </c>
      <c r="G427" s="23">
        <v>0</v>
      </c>
      <c r="H427" s="23">
        <v>5</v>
      </c>
      <c r="I427" s="23">
        <v>11</v>
      </c>
      <c r="J427" s="23">
        <f t="shared" si="34"/>
        <v>4</v>
      </c>
      <c r="K427" s="23"/>
      <c r="L427" s="23">
        <v>0</v>
      </c>
      <c r="M427" s="23">
        <v>0</v>
      </c>
      <c r="N427" s="23">
        <v>0</v>
      </c>
      <c r="O427" s="23">
        <f t="shared" si="35"/>
        <v>0</v>
      </c>
    </row>
    <row r="428" spans="1:15" s="18" customFormat="1" ht="8.65" customHeight="1" x14ac:dyDescent="0.25">
      <c r="A428" s="22" t="s">
        <v>29</v>
      </c>
      <c r="B428" s="23">
        <v>59</v>
      </c>
      <c r="C428" s="23"/>
      <c r="D428" s="23">
        <v>25</v>
      </c>
      <c r="E428" s="23"/>
      <c r="F428" s="25">
        <f t="shared" si="33"/>
        <v>36</v>
      </c>
      <c r="G428" s="23">
        <v>3</v>
      </c>
      <c r="H428" s="23">
        <v>33</v>
      </c>
      <c r="I428" s="23">
        <v>33</v>
      </c>
      <c r="J428" s="23">
        <f t="shared" si="34"/>
        <v>28</v>
      </c>
      <c r="K428" s="23"/>
      <c r="L428" s="23">
        <v>3</v>
      </c>
      <c r="M428" s="23">
        <v>1</v>
      </c>
      <c r="N428" s="23">
        <v>3</v>
      </c>
      <c r="O428" s="23">
        <f t="shared" si="35"/>
        <v>1</v>
      </c>
    </row>
    <row r="429" spans="1:15" s="18" customFormat="1" ht="8.65" customHeight="1" x14ac:dyDescent="0.25">
      <c r="A429" s="26" t="s">
        <v>30</v>
      </c>
      <c r="B429" s="27">
        <v>106</v>
      </c>
      <c r="C429" s="27"/>
      <c r="D429" s="27">
        <v>20</v>
      </c>
      <c r="E429" s="27"/>
      <c r="F429" s="29">
        <f t="shared" si="33"/>
        <v>28</v>
      </c>
      <c r="G429" s="27">
        <v>3</v>
      </c>
      <c r="H429" s="27">
        <v>25</v>
      </c>
      <c r="I429" s="27">
        <v>34</v>
      </c>
      <c r="J429" s="27">
        <f t="shared" si="34"/>
        <v>14</v>
      </c>
      <c r="K429" s="27"/>
      <c r="L429" s="27">
        <v>1</v>
      </c>
      <c r="M429" s="27">
        <v>6</v>
      </c>
      <c r="N429" s="27">
        <v>5</v>
      </c>
      <c r="O429" s="27">
        <f t="shared" si="35"/>
        <v>2</v>
      </c>
    </row>
    <row r="430" spans="1:15" s="18" customFormat="1" ht="8.65" customHeight="1" x14ac:dyDescent="0.25">
      <c r="A430" s="22" t="s">
        <v>63</v>
      </c>
      <c r="B430" s="23">
        <v>1849</v>
      </c>
      <c r="C430" s="23"/>
      <c r="D430" s="23">
        <v>420</v>
      </c>
      <c r="E430" s="23"/>
      <c r="F430" s="25">
        <f t="shared" si="33"/>
        <v>1380</v>
      </c>
      <c r="G430" s="23">
        <v>352</v>
      </c>
      <c r="H430" s="23">
        <v>1028</v>
      </c>
      <c r="I430" s="23">
        <v>1341</v>
      </c>
      <c r="J430" s="23">
        <f t="shared" si="34"/>
        <v>459</v>
      </c>
      <c r="K430" s="23"/>
      <c r="L430" s="23">
        <v>39</v>
      </c>
      <c r="M430" s="23">
        <v>108</v>
      </c>
      <c r="N430" s="23">
        <v>128</v>
      </c>
      <c r="O430" s="23">
        <f t="shared" si="35"/>
        <v>19</v>
      </c>
    </row>
    <row r="431" spans="1:15" s="18" customFormat="1" ht="8.65" customHeight="1" x14ac:dyDescent="0.25">
      <c r="A431" s="22" t="s">
        <v>31</v>
      </c>
      <c r="B431" s="23">
        <v>22</v>
      </c>
      <c r="C431" s="23"/>
      <c r="D431" s="23">
        <v>4</v>
      </c>
      <c r="E431" s="23"/>
      <c r="F431" s="25">
        <f t="shared" si="33"/>
        <v>9</v>
      </c>
      <c r="G431" s="23">
        <v>0</v>
      </c>
      <c r="H431" s="23">
        <v>9</v>
      </c>
      <c r="I431" s="23">
        <v>7</v>
      </c>
      <c r="J431" s="23">
        <f t="shared" si="34"/>
        <v>6</v>
      </c>
      <c r="K431" s="23"/>
      <c r="L431" s="23">
        <v>0</v>
      </c>
      <c r="M431" s="23">
        <v>6</v>
      </c>
      <c r="N431" s="23">
        <v>5</v>
      </c>
      <c r="O431" s="23">
        <f t="shared" si="35"/>
        <v>1</v>
      </c>
    </row>
    <row r="432" spans="1:15" s="18" customFormat="1" ht="8.65" customHeight="1" x14ac:dyDescent="0.25">
      <c r="A432" s="22" t="s">
        <v>32</v>
      </c>
      <c r="B432" s="23">
        <v>62</v>
      </c>
      <c r="C432" s="23"/>
      <c r="D432" s="23">
        <v>28</v>
      </c>
      <c r="E432" s="23"/>
      <c r="F432" s="25">
        <f t="shared" si="33"/>
        <v>24</v>
      </c>
      <c r="G432" s="23">
        <v>3</v>
      </c>
      <c r="H432" s="23">
        <v>21</v>
      </c>
      <c r="I432" s="23">
        <v>37</v>
      </c>
      <c r="J432" s="23">
        <f t="shared" si="34"/>
        <v>15</v>
      </c>
      <c r="K432" s="23"/>
      <c r="L432" s="23">
        <v>0</v>
      </c>
      <c r="M432" s="23">
        <v>4</v>
      </c>
      <c r="N432" s="23">
        <v>4</v>
      </c>
      <c r="O432" s="23">
        <f t="shared" si="35"/>
        <v>0</v>
      </c>
    </row>
    <row r="433" spans="1:15" s="18" customFormat="1" ht="8.65" customHeight="1" x14ac:dyDescent="0.25">
      <c r="A433" s="26" t="s">
        <v>33</v>
      </c>
      <c r="B433" s="27">
        <v>30</v>
      </c>
      <c r="C433" s="27"/>
      <c r="D433" s="27">
        <v>6</v>
      </c>
      <c r="E433" s="27"/>
      <c r="F433" s="29">
        <f t="shared" si="33"/>
        <v>22</v>
      </c>
      <c r="G433" s="27">
        <v>1</v>
      </c>
      <c r="H433" s="27">
        <v>21</v>
      </c>
      <c r="I433" s="27">
        <v>18</v>
      </c>
      <c r="J433" s="27">
        <f t="shared" si="34"/>
        <v>10</v>
      </c>
      <c r="K433" s="27"/>
      <c r="L433" s="27">
        <v>1</v>
      </c>
      <c r="M433" s="27">
        <v>3</v>
      </c>
      <c r="N433" s="27">
        <v>3</v>
      </c>
      <c r="O433" s="27">
        <f t="shared" si="35"/>
        <v>1</v>
      </c>
    </row>
    <row r="434" spans="1:15" s="18" customFormat="1" ht="8.65" customHeight="1" x14ac:dyDescent="0.25">
      <c r="A434" s="22" t="s">
        <v>34</v>
      </c>
      <c r="B434" s="23">
        <v>63</v>
      </c>
      <c r="C434" s="23"/>
      <c r="D434" s="23">
        <v>7</v>
      </c>
      <c r="E434" s="23"/>
      <c r="F434" s="25">
        <f t="shared" si="33"/>
        <v>30</v>
      </c>
      <c r="G434" s="23">
        <v>7</v>
      </c>
      <c r="H434" s="23">
        <v>23</v>
      </c>
      <c r="I434" s="23">
        <v>19</v>
      </c>
      <c r="J434" s="23">
        <f t="shared" si="34"/>
        <v>18</v>
      </c>
      <c r="K434" s="23"/>
      <c r="L434" s="23">
        <v>2</v>
      </c>
      <c r="M434" s="23">
        <v>7</v>
      </c>
      <c r="N434" s="23">
        <v>8</v>
      </c>
      <c r="O434" s="23">
        <f t="shared" si="35"/>
        <v>1</v>
      </c>
    </row>
    <row r="435" spans="1:15" s="18" customFormat="1" ht="8.65" customHeight="1" x14ac:dyDescent="0.25">
      <c r="A435" s="22" t="s">
        <v>35</v>
      </c>
      <c r="B435" s="23">
        <v>79</v>
      </c>
      <c r="C435" s="23"/>
      <c r="D435" s="23">
        <v>4</v>
      </c>
      <c r="E435" s="23"/>
      <c r="F435" s="25">
        <f t="shared" si="33"/>
        <v>19</v>
      </c>
      <c r="G435" s="23">
        <v>6</v>
      </c>
      <c r="H435" s="23">
        <v>13</v>
      </c>
      <c r="I435" s="23">
        <v>16</v>
      </c>
      <c r="J435" s="23">
        <f t="shared" si="34"/>
        <v>7</v>
      </c>
      <c r="K435" s="23"/>
      <c r="L435" s="23">
        <v>5</v>
      </c>
      <c r="M435" s="23">
        <v>13</v>
      </c>
      <c r="N435" s="23">
        <v>15</v>
      </c>
      <c r="O435" s="23">
        <f t="shared" si="35"/>
        <v>3</v>
      </c>
    </row>
    <row r="436" spans="1:15" s="18" customFormat="1" ht="8.65" customHeight="1" x14ac:dyDescent="0.25">
      <c r="A436" s="22" t="s">
        <v>36</v>
      </c>
      <c r="B436" s="23">
        <v>755</v>
      </c>
      <c r="C436" s="23"/>
      <c r="D436" s="23">
        <v>117</v>
      </c>
      <c r="E436" s="23"/>
      <c r="F436" s="25">
        <f t="shared" si="33"/>
        <v>295</v>
      </c>
      <c r="G436" s="23">
        <v>89</v>
      </c>
      <c r="H436" s="23">
        <v>206</v>
      </c>
      <c r="I436" s="23">
        <v>294</v>
      </c>
      <c r="J436" s="23">
        <f t="shared" si="34"/>
        <v>118</v>
      </c>
      <c r="K436" s="23"/>
      <c r="L436" s="23">
        <v>1</v>
      </c>
      <c r="M436" s="23">
        <v>7</v>
      </c>
      <c r="N436" s="23">
        <v>6</v>
      </c>
      <c r="O436" s="23">
        <f t="shared" si="35"/>
        <v>2</v>
      </c>
    </row>
    <row r="437" spans="1:15" s="18" customFormat="1" ht="8.65" customHeight="1" x14ac:dyDescent="0.25">
      <c r="A437" s="26" t="s">
        <v>37</v>
      </c>
      <c r="B437" s="27">
        <v>34</v>
      </c>
      <c r="C437" s="27"/>
      <c r="D437" s="27">
        <v>6</v>
      </c>
      <c r="E437" s="27"/>
      <c r="F437" s="29">
        <f t="shared" si="33"/>
        <v>4</v>
      </c>
      <c r="G437" s="27">
        <v>2</v>
      </c>
      <c r="H437" s="27">
        <v>2</v>
      </c>
      <c r="I437" s="27">
        <v>8</v>
      </c>
      <c r="J437" s="27">
        <f t="shared" si="34"/>
        <v>2</v>
      </c>
      <c r="K437" s="27"/>
      <c r="L437" s="27">
        <v>2</v>
      </c>
      <c r="M437" s="27">
        <v>4</v>
      </c>
      <c r="N437" s="27">
        <v>3</v>
      </c>
      <c r="O437" s="27">
        <f t="shared" si="35"/>
        <v>3</v>
      </c>
    </row>
    <row r="438" spans="1:15" s="18" customFormat="1" ht="8.65" customHeight="1" x14ac:dyDescent="0.25">
      <c r="A438" s="22" t="s">
        <v>38</v>
      </c>
      <c r="B438" s="23">
        <v>43</v>
      </c>
      <c r="C438" s="23"/>
      <c r="D438" s="23">
        <v>7</v>
      </c>
      <c r="E438" s="23"/>
      <c r="F438" s="25">
        <f t="shared" si="33"/>
        <v>12</v>
      </c>
      <c r="G438" s="23">
        <v>1</v>
      </c>
      <c r="H438" s="23">
        <v>11</v>
      </c>
      <c r="I438" s="23">
        <v>10</v>
      </c>
      <c r="J438" s="23">
        <f t="shared" si="34"/>
        <v>9</v>
      </c>
      <c r="K438" s="23"/>
      <c r="L438" s="23">
        <v>0</v>
      </c>
      <c r="M438" s="23">
        <v>2</v>
      </c>
      <c r="N438" s="23">
        <v>1</v>
      </c>
      <c r="O438" s="23">
        <f t="shared" si="35"/>
        <v>1</v>
      </c>
    </row>
    <row r="439" spans="1:15" s="18" customFormat="1" ht="8.65" customHeight="1" x14ac:dyDescent="0.25">
      <c r="A439" s="22" t="s">
        <v>39</v>
      </c>
      <c r="B439" s="23">
        <v>18</v>
      </c>
      <c r="C439" s="23"/>
      <c r="D439" s="23">
        <v>4</v>
      </c>
      <c r="E439" s="23"/>
      <c r="F439" s="25">
        <f t="shared" si="33"/>
        <v>8</v>
      </c>
      <c r="G439" s="23">
        <v>0</v>
      </c>
      <c r="H439" s="23">
        <v>8</v>
      </c>
      <c r="I439" s="23">
        <v>9</v>
      </c>
      <c r="J439" s="23">
        <f t="shared" si="34"/>
        <v>3</v>
      </c>
      <c r="K439" s="23"/>
      <c r="L439" s="23">
        <v>0</v>
      </c>
      <c r="M439" s="23">
        <v>2</v>
      </c>
      <c r="N439" s="23">
        <v>2</v>
      </c>
      <c r="O439" s="23">
        <f t="shared" si="35"/>
        <v>0</v>
      </c>
    </row>
    <row r="440" spans="1:15" s="18" customFormat="1" ht="8.65" customHeight="1" x14ac:dyDescent="0.25">
      <c r="A440" s="22" t="s">
        <v>40</v>
      </c>
      <c r="B440" s="23">
        <v>55</v>
      </c>
      <c r="C440" s="23"/>
      <c r="D440" s="23">
        <v>18</v>
      </c>
      <c r="E440" s="23"/>
      <c r="F440" s="25">
        <f t="shared" si="33"/>
        <v>34</v>
      </c>
      <c r="G440" s="23">
        <v>2</v>
      </c>
      <c r="H440" s="23">
        <v>32</v>
      </c>
      <c r="I440" s="23">
        <v>32</v>
      </c>
      <c r="J440" s="23">
        <f t="shared" si="34"/>
        <v>20</v>
      </c>
      <c r="K440" s="23"/>
      <c r="L440" s="23">
        <v>0</v>
      </c>
      <c r="M440" s="23">
        <v>2</v>
      </c>
      <c r="N440" s="23">
        <v>2</v>
      </c>
      <c r="O440" s="23">
        <f t="shared" si="35"/>
        <v>0</v>
      </c>
    </row>
    <row r="441" spans="1:15" s="18" customFormat="1" ht="8.65" customHeight="1" x14ac:dyDescent="0.25">
      <c r="A441" s="26" t="s">
        <v>41</v>
      </c>
      <c r="B441" s="27">
        <v>26</v>
      </c>
      <c r="C441" s="27"/>
      <c r="D441" s="27">
        <v>8</v>
      </c>
      <c r="E441" s="27"/>
      <c r="F441" s="29">
        <f t="shared" si="33"/>
        <v>14</v>
      </c>
      <c r="G441" s="27">
        <v>3</v>
      </c>
      <c r="H441" s="27">
        <v>11</v>
      </c>
      <c r="I441" s="27">
        <v>15</v>
      </c>
      <c r="J441" s="27">
        <f t="shared" si="34"/>
        <v>7</v>
      </c>
      <c r="K441" s="27"/>
      <c r="L441" s="27">
        <v>0</v>
      </c>
      <c r="M441" s="27">
        <v>8</v>
      </c>
      <c r="N441" s="27">
        <v>4</v>
      </c>
      <c r="O441" s="27">
        <f t="shared" si="35"/>
        <v>4</v>
      </c>
    </row>
    <row r="442" spans="1:15" s="18" customFormat="1" ht="8.65" customHeight="1" x14ac:dyDescent="0.25">
      <c r="A442" s="22" t="s">
        <v>42</v>
      </c>
      <c r="B442" s="23">
        <v>78</v>
      </c>
      <c r="C442" s="23"/>
      <c r="D442" s="23">
        <v>21</v>
      </c>
      <c r="E442" s="23"/>
      <c r="F442" s="25">
        <f t="shared" si="33"/>
        <v>26</v>
      </c>
      <c r="G442" s="23">
        <v>0</v>
      </c>
      <c r="H442" s="23">
        <v>26</v>
      </c>
      <c r="I442" s="23">
        <v>30</v>
      </c>
      <c r="J442" s="23">
        <f t="shared" si="34"/>
        <v>17</v>
      </c>
      <c r="K442" s="23"/>
      <c r="L442" s="23">
        <v>2</v>
      </c>
      <c r="M442" s="23">
        <v>6</v>
      </c>
      <c r="N442" s="23">
        <v>6</v>
      </c>
      <c r="O442" s="23">
        <f t="shared" si="35"/>
        <v>2</v>
      </c>
    </row>
    <row r="443" spans="1:15" s="18" customFormat="1" ht="8.65" customHeight="1" x14ac:dyDescent="0.25">
      <c r="A443" s="22" t="s">
        <v>43</v>
      </c>
      <c r="B443" s="23">
        <v>47</v>
      </c>
      <c r="C443" s="23"/>
      <c r="D443" s="23">
        <v>3</v>
      </c>
      <c r="E443" s="23"/>
      <c r="F443" s="25">
        <f t="shared" si="33"/>
        <v>23</v>
      </c>
      <c r="G443" s="23">
        <v>1</v>
      </c>
      <c r="H443" s="23">
        <v>22</v>
      </c>
      <c r="I443" s="23">
        <v>12</v>
      </c>
      <c r="J443" s="23">
        <f t="shared" si="34"/>
        <v>14</v>
      </c>
      <c r="K443" s="23"/>
      <c r="L443" s="23">
        <v>2</v>
      </c>
      <c r="M443" s="23">
        <v>3</v>
      </c>
      <c r="N443" s="23">
        <v>5</v>
      </c>
      <c r="O443" s="23">
        <f t="shared" si="35"/>
        <v>0</v>
      </c>
    </row>
    <row r="444" spans="1:15" s="18" customFormat="1" ht="8.65" customHeight="1" x14ac:dyDescent="0.25">
      <c r="A444" s="22" t="s">
        <v>44</v>
      </c>
      <c r="B444" s="23">
        <v>81</v>
      </c>
      <c r="C444" s="23"/>
      <c r="D444" s="23">
        <v>5</v>
      </c>
      <c r="E444" s="23"/>
      <c r="F444" s="25">
        <f t="shared" si="33"/>
        <v>18</v>
      </c>
      <c r="G444" s="23">
        <v>1</v>
      </c>
      <c r="H444" s="23">
        <v>17</v>
      </c>
      <c r="I444" s="23">
        <v>9</v>
      </c>
      <c r="J444" s="23">
        <f t="shared" si="34"/>
        <v>14</v>
      </c>
      <c r="K444" s="23"/>
      <c r="L444" s="23">
        <v>1</v>
      </c>
      <c r="M444" s="23">
        <v>9</v>
      </c>
      <c r="N444" s="23">
        <v>9</v>
      </c>
      <c r="O444" s="23">
        <f t="shared" si="35"/>
        <v>1</v>
      </c>
    </row>
    <row r="445" spans="1:15" s="18" customFormat="1" ht="8.65" customHeight="1" x14ac:dyDescent="0.25">
      <c r="A445" s="26" t="s">
        <v>45</v>
      </c>
      <c r="B445" s="27">
        <v>66</v>
      </c>
      <c r="C445" s="27"/>
      <c r="D445" s="27">
        <v>23</v>
      </c>
      <c r="E445" s="27"/>
      <c r="F445" s="29">
        <f t="shared" si="33"/>
        <v>46</v>
      </c>
      <c r="G445" s="27">
        <v>0</v>
      </c>
      <c r="H445" s="27">
        <v>46</v>
      </c>
      <c r="I445" s="27">
        <v>39</v>
      </c>
      <c r="J445" s="27">
        <f t="shared" si="34"/>
        <v>30</v>
      </c>
      <c r="K445" s="27"/>
      <c r="L445" s="27">
        <v>2</v>
      </c>
      <c r="M445" s="27">
        <v>5</v>
      </c>
      <c r="N445" s="27">
        <v>6</v>
      </c>
      <c r="O445" s="27">
        <f t="shared" si="35"/>
        <v>1</v>
      </c>
    </row>
    <row r="446" spans="1:15" s="18" customFormat="1" ht="8.65" customHeight="1" x14ac:dyDescent="0.25">
      <c r="A446" s="22" t="s">
        <v>46</v>
      </c>
      <c r="B446" s="23">
        <v>28</v>
      </c>
      <c r="C446" s="23"/>
      <c r="D446" s="23">
        <v>5</v>
      </c>
      <c r="E446" s="23"/>
      <c r="F446" s="25">
        <f t="shared" si="33"/>
        <v>7</v>
      </c>
      <c r="G446" s="23">
        <v>2</v>
      </c>
      <c r="H446" s="23">
        <v>5</v>
      </c>
      <c r="I446" s="23">
        <v>7</v>
      </c>
      <c r="J446" s="23">
        <f t="shared" si="34"/>
        <v>5</v>
      </c>
      <c r="K446" s="23"/>
      <c r="L446" s="23">
        <v>4</v>
      </c>
      <c r="M446" s="23">
        <v>2</v>
      </c>
      <c r="N446" s="23">
        <v>5</v>
      </c>
      <c r="O446" s="23">
        <f t="shared" si="35"/>
        <v>1</v>
      </c>
    </row>
    <row r="447" spans="1:15" s="18" customFormat="1" ht="8.65" customHeight="1" x14ac:dyDescent="0.25">
      <c r="A447" s="22" t="s">
        <v>47</v>
      </c>
      <c r="B447" s="23">
        <v>68</v>
      </c>
      <c r="C447" s="23"/>
      <c r="D447" s="23">
        <v>19</v>
      </c>
      <c r="E447" s="23"/>
      <c r="F447" s="25">
        <f t="shared" si="33"/>
        <v>15</v>
      </c>
      <c r="G447" s="23">
        <v>4</v>
      </c>
      <c r="H447" s="23">
        <v>11</v>
      </c>
      <c r="I447" s="23">
        <v>22</v>
      </c>
      <c r="J447" s="23">
        <f t="shared" si="34"/>
        <v>12</v>
      </c>
      <c r="K447" s="23"/>
      <c r="L447" s="23">
        <v>1</v>
      </c>
      <c r="M447" s="23">
        <v>5</v>
      </c>
      <c r="N447" s="23">
        <v>5</v>
      </c>
      <c r="O447" s="23">
        <f t="shared" si="35"/>
        <v>1</v>
      </c>
    </row>
    <row r="448" spans="1:15" s="18" customFormat="1" ht="8.65" customHeight="1" x14ac:dyDescent="0.25">
      <c r="A448" s="22" t="s">
        <v>48</v>
      </c>
      <c r="B448" s="23">
        <v>43</v>
      </c>
      <c r="C448" s="23"/>
      <c r="D448" s="23">
        <v>9</v>
      </c>
      <c r="E448" s="23"/>
      <c r="F448" s="25">
        <f t="shared" si="33"/>
        <v>22</v>
      </c>
      <c r="G448" s="23">
        <v>1</v>
      </c>
      <c r="H448" s="23">
        <v>21</v>
      </c>
      <c r="I448" s="23">
        <v>19</v>
      </c>
      <c r="J448" s="23">
        <f t="shared" si="34"/>
        <v>12</v>
      </c>
      <c r="K448" s="23"/>
      <c r="L448" s="23">
        <v>2</v>
      </c>
      <c r="M448" s="23">
        <v>4</v>
      </c>
      <c r="N448" s="23">
        <v>6</v>
      </c>
      <c r="O448" s="23">
        <f t="shared" si="35"/>
        <v>0</v>
      </c>
    </row>
    <row r="449" spans="1:16" s="18" customFormat="1" ht="8.65" customHeight="1" x14ac:dyDescent="0.25">
      <c r="A449" s="26" t="s">
        <v>49</v>
      </c>
      <c r="B449" s="27">
        <v>71</v>
      </c>
      <c r="C449" s="27"/>
      <c r="D449" s="27">
        <v>5</v>
      </c>
      <c r="E449" s="27"/>
      <c r="F449" s="29">
        <f t="shared" si="33"/>
        <v>15</v>
      </c>
      <c r="G449" s="27">
        <v>1</v>
      </c>
      <c r="H449" s="27">
        <v>14</v>
      </c>
      <c r="I449" s="27">
        <v>11</v>
      </c>
      <c r="J449" s="27">
        <f t="shared" si="34"/>
        <v>9</v>
      </c>
      <c r="K449" s="27"/>
      <c r="L449" s="27">
        <v>2</v>
      </c>
      <c r="M449" s="27">
        <v>10</v>
      </c>
      <c r="N449" s="27">
        <v>8</v>
      </c>
      <c r="O449" s="27">
        <f t="shared" si="35"/>
        <v>4</v>
      </c>
    </row>
    <row r="450" spans="1:16" s="18" customFormat="1" ht="8.65" customHeight="1" x14ac:dyDescent="0.25">
      <c r="A450" s="22" t="s">
        <v>50</v>
      </c>
      <c r="B450" s="23">
        <v>13</v>
      </c>
      <c r="C450" s="23"/>
      <c r="D450" s="23">
        <v>4</v>
      </c>
      <c r="E450" s="23"/>
      <c r="F450" s="25">
        <f t="shared" si="33"/>
        <v>13</v>
      </c>
      <c r="G450" s="23">
        <v>0</v>
      </c>
      <c r="H450" s="23">
        <v>13</v>
      </c>
      <c r="I450" s="23">
        <v>6</v>
      </c>
      <c r="J450" s="23">
        <f t="shared" si="34"/>
        <v>11</v>
      </c>
      <c r="K450" s="23"/>
      <c r="L450" s="23">
        <v>0</v>
      </c>
      <c r="M450" s="23">
        <v>1</v>
      </c>
      <c r="N450" s="23">
        <v>1</v>
      </c>
      <c r="O450" s="23">
        <f t="shared" si="35"/>
        <v>0</v>
      </c>
    </row>
    <row r="451" spans="1:16" s="18" customFormat="1" ht="8.65" customHeight="1" x14ac:dyDescent="0.25">
      <c r="A451" s="22" t="s">
        <v>51</v>
      </c>
      <c r="B451" s="23">
        <v>128</v>
      </c>
      <c r="C451" s="23"/>
      <c r="D451" s="23">
        <v>10</v>
      </c>
      <c r="E451" s="23"/>
      <c r="F451" s="25">
        <f t="shared" si="33"/>
        <v>23</v>
      </c>
      <c r="G451" s="23">
        <v>2</v>
      </c>
      <c r="H451" s="23">
        <v>21</v>
      </c>
      <c r="I451" s="23">
        <v>22</v>
      </c>
      <c r="J451" s="23">
        <f t="shared" si="34"/>
        <v>11</v>
      </c>
      <c r="K451" s="23"/>
      <c r="L451" s="23">
        <v>2</v>
      </c>
      <c r="M451" s="23">
        <v>7</v>
      </c>
      <c r="N451" s="23">
        <v>4</v>
      </c>
      <c r="O451" s="23">
        <f t="shared" si="35"/>
        <v>5</v>
      </c>
    </row>
    <row r="452" spans="1:16" s="18" customFormat="1" ht="8.65" customHeight="1" x14ac:dyDescent="0.25">
      <c r="A452" s="22" t="s">
        <v>52</v>
      </c>
      <c r="B452" s="23">
        <v>33</v>
      </c>
      <c r="C452" s="23"/>
      <c r="D452" s="23">
        <v>9</v>
      </c>
      <c r="E452" s="23"/>
      <c r="F452" s="25">
        <f t="shared" si="33"/>
        <v>25</v>
      </c>
      <c r="G452" s="23">
        <v>4</v>
      </c>
      <c r="H452" s="23">
        <v>21</v>
      </c>
      <c r="I452" s="23">
        <v>17</v>
      </c>
      <c r="J452" s="23">
        <f t="shared" si="34"/>
        <v>17</v>
      </c>
      <c r="K452" s="23"/>
      <c r="L452" s="23">
        <v>1</v>
      </c>
      <c r="M452" s="23">
        <v>6</v>
      </c>
      <c r="N452" s="23">
        <v>4</v>
      </c>
      <c r="O452" s="23">
        <f t="shared" si="35"/>
        <v>3</v>
      </c>
    </row>
    <row r="453" spans="1:16" s="18" customFormat="1" ht="8.65" customHeight="1" x14ac:dyDescent="0.25">
      <c r="A453" s="26" t="s">
        <v>53</v>
      </c>
      <c r="B453" s="27">
        <v>22</v>
      </c>
      <c r="C453" s="27"/>
      <c r="D453" s="27">
        <v>2</v>
      </c>
      <c r="E453" s="27"/>
      <c r="F453" s="29">
        <f t="shared" si="33"/>
        <v>5</v>
      </c>
      <c r="G453" s="27">
        <v>0</v>
      </c>
      <c r="H453" s="27">
        <v>5</v>
      </c>
      <c r="I453" s="27">
        <v>3</v>
      </c>
      <c r="J453" s="27">
        <f t="shared" si="34"/>
        <v>4</v>
      </c>
      <c r="K453" s="27"/>
      <c r="L453" s="27">
        <v>1</v>
      </c>
      <c r="M453" s="27">
        <v>4</v>
      </c>
      <c r="N453" s="27">
        <v>3</v>
      </c>
      <c r="O453" s="27">
        <f t="shared" si="35"/>
        <v>2</v>
      </c>
    </row>
    <row r="454" spans="1:16" s="18" customFormat="1" ht="8.65" customHeight="1" x14ac:dyDescent="0.25">
      <c r="A454" s="22" t="s">
        <v>54</v>
      </c>
      <c r="B454" s="23">
        <v>64</v>
      </c>
      <c r="C454" s="23"/>
      <c r="D454" s="23">
        <v>0</v>
      </c>
      <c r="E454" s="23"/>
      <c r="F454" s="25">
        <f t="shared" si="33"/>
        <v>0</v>
      </c>
      <c r="G454" s="23">
        <v>0</v>
      </c>
      <c r="H454" s="23">
        <v>0</v>
      </c>
      <c r="I454" s="23">
        <v>0</v>
      </c>
      <c r="J454" s="23">
        <f t="shared" si="34"/>
        <v>0</v>
      </c>
      <c r="K454" s="23"/>
      <c r="L454" s="23">
        <v>0</v>
      </c>
      <c r="M454" s="23">
        <v>2</v>
      </c>
      <c r="N454" s="23">
        <v>2</v>
      </c>
      <c r="O454" s="23">
        <f t="shared" si="35"/>
        <v>0</v>
      </c>
    </row>
    <row r="455" spans="1:16" s="18" customFormat="1" ht="9" customHeight="1" x14ac:dyDescent="0.25">
      <c r="A455" s="22"/>
      <c r="B455" s="23"/>
      <c r="C455" s="23"/>
      <c r="D455" s="23"/>
      <c r="E455" s="23"/>
      <c r="G455" s="23"/>
      <c r="H455" s="23"/>
      <c r="I455" s="23"/>
      <c r="J455" s="23"/>
      <c r="K455" s="23"/>
      <c r="L455" s="23"/>
      <c r="M455" s="23"/>
      <c r="N455" s="23"/>
      <c r="O455" s="23"/>
    </row>
    <row r="456" spans="1:16" s="18" customFormat="1" ht="9" customHeight="1" x14ac:dyDescent="0.25">
      <c r="A456" s="16">
        <v>2008</v>
      </c>
      <c r="B456" s="20"/>
      <c r="C456" s="20"/>
      <c r="D456" s="20"/>
      <c r="E456" s="20"/>
      <c r="G456" s="20"/>
      <c r="H456" s="20"/>
      <c r="I456" s="20"/>
      <c r="J456" s="20"/>
      <c r="K456" s="20"/>
      <c r="L456" s="20"/>
      <c r="M456" s="20"/>
      <c r="N456" s="20"/>
      <c r="O456" s="20"/>
      <c r="P456" s="30"/>
    </row>
    <row r="457" spans="1:16" s="18" customFormat="1" ht="9" customHeight="1" x14ac:dyDescent="0.25">
      <c r="A457" s="19" t="s">
        <v>21</v>
      </c>
      <c r="B457" s="20">
        <f>SUM(B459:B491)</f>
        <v>4596</v>
      </c>
      <c r="C457" s="20"/>
      <c r="D457" s="20">
        <f>SUM(D459:D491)</f>
        <v>929</v>
      </c>
      <c r="E457" s="20"/>
      <c r="F457" s="20">
        <f>SUM(F459:F491)</f>
        <v>2346</v>
      </c>
      <c r="G457" s="20">
        <f>SUM(G459:G491)</f>
        <v>553</v>
      </c>
      <c r="H457" s="20">
        <f>SUM(H459:H491)</f>
        <v>1793</v>
      </c>
      <c r="I457" s="20">
        <f>SUM(I459:I491)</f>
        <v>2288</v>
      </c>
      <c r="J457" s="20">
        <f>SUM(J459:J491)</f>
        <v>987</v>
      </c>
      <c r="K457" s="20"/>
      <c r="L457" s="20">
        <f>SUM(L459:L491)</f>
        <v>69</v>
      </c>
      <c r="M457" s="20">
        <f>SUM(M459:M491)</f>
        <v>341</v>
      </c>
      <c r="N457" s="20">
        <f>SUM(N459:N491)</f>
        <v>305</v>
      </c>
      <c r="O457" s="20">
        <f>SUM(O459:O491)</f>
        <v>105</v>
      </c>
      <c r="P457" s="20"/>
    </row>
    <row r="458" spans="1:16" s="18" customFormat="1" ht="3" customHeight="1" x14ac:dyDescent="0.25">
      <c r="A458" s="19"/>
      <c r="B458" s="20"/>
      <c r="C458" s="20"/>
      <c r="D458" s="20"/>
      <c r="E458" s="20"/>
      <c r="G458" s="20"/>
      <c r="H458" s="20"/>
      <c r="I458" s="20"/>
      <c r="J458" s="20"/>
      <c r="K458" s="20"/>
      <c r="L458" s="20"/>
      <c r="M458" s="20"/>
      <c r="N458" s="20"/>
      <c r="O458" s="20"/>
    </row>
    <row r="459" spans="1:16" s="18" customFormat="1" ht="8.65" customHeight="1" x14ac:dyDescent="0.25">
      <c r="A459" s="22" t="s">
        <v>23</v>
      </c>
      <c r="B459" s="23">
        <v>20</v>
      </c>
      <c r="C459" s="23"/>
      <c r="D459" s="23">
        <v>18</v>
      </c>
      <c r="E459" s="23"/>
      <c r="F459" s="25">
        <f t="shared" ref="F459:F491" si="36">SUM(G459:H459)</f>
        <v>3</v>
      </c>
      <c r="G459" s="23">
        <v>0</v>
      </c>
      <c r="H459" s="23">
        <v>3</v>
      </c>
      <c r="I459" s="23">
        <v>21</v>
      </c>
      <c r="J459" s="23">
        <f t="shared" ref="J459:J491" si="37">(D459+F459)-I459</f>
        <v>0</v>
      </c>
      <c r="K459" s="23"/>
      <c r="L459" s="23">
        <v>0</v>
      </c>
      <c r="M459" s="23">
        <v>1</v>
      </c>
      <c r="N459" s="23">
        <v>0</v>
      </c>
      <c r="O459" s="23">
        <f t="shared" ref="O459:O491" si="38">(L459+M459)-N459</f>
        <v>1</v>
      </c>
    </row>
    <row r="460" spans="1:16" s="18" customFormat="1" ht="8.65" customHeight="1" x14ac:dyDescent="0.25">
      <c r="A460" s="22" t="s">
        <v>24</v>
      </c>
      <c r="B460" s="23">
        <v>69</v>
      </c>
      <c r="C460" s="23"/>
      <c r="D460" s="23">
        <v>8</v>
      </c>
      <c r="E460" s="23"/>
      <c r="F460" s="25">
        <f t="shared" si="36"/>
        <v>13</v>
      </c>
      <c r="G460" s="23">
        <v>3</v>
      </c>
      <c r="H460" s="23">
        <v>10</v>
      </c>
      <c r="I460" s="23">
        <v>16</v>
      </c>
      <c r="J460" s="23">
        <f t="shared" si="37"/>
        <v>5</v>
      </c>
      <c r="K460" s="23"/>
      <c r="L460" s="23">
        <v>6</v>
      </c>
      <c r="M460" s="23">
        <v>10</v>
      </c>
      <c r="N460" s="23">
        <v>15</v>
      </c>
      <c r="O460" s="23">
        <f t="shared" si="38"/>
        <v>1</v>
      </c>
    </row>
    <row r="461" spans="1:16" s="18" customFormat="1" ht="8.65" customHeight="1" x14ac:dyDescent="0.25">
      <c r="A461" s="22" t="s">
        <v>25</v>
      </c>
      <c r="B461" s="23">
        <v>25</v>
      </c>
      <c r="C461" s="23"/>
      <c r="D461" s="23">
        <v>2</v>
      </c>
      <c r="E461" s="23"/>
      <c r="F461" s="25">
        <f t="shared" si="36"/>
        <v>11</v>
      </c>
      <c r="G461" s="23">
        <v>4</v>
      </c>
      <c r="H461" s="23">
        <v>7</v>
      </c>
      <c r="I461" s="23">
        <v>9</v>
      </c>
      <c r="J461" s="23">
        <f t="shared" si="37"/>
        <v>4</v>
      </c>
      <c r="K461" s="23"/>
      <c r="L461" s="23">
        <v>0</v>
      </c>
      <c r="M461" s="23">
        <v>2</v>
      </c>
      <c r="N461" s="23">
        <v>1</v>
      </c>
      <c r="O461" s="23">
        <f t="shared" si="38"/>
        <v>1</v>
      </c>
    </row>
    <row r="462" spans="1:16" s="18" customFormat="1" ht="8.65" customHeight="1" x14ac:dyDescent="0.25">
      <c r="A462" s="26" t="s">
        <v>26</v>
      </c>
      <c r="B462" s="27">
        <v>27</v>
      </c>
      <c r="C462" s="27"/>
      <c r="D462" s="27">
        <v>10</v>
      </c>
      <c r="E462" s="27"/>
      <c r="F462" s="29">
        <f t="shared" si="36"/>
        <v>12</v>
      </c>
      <c r="G462" s="27">
        <v>0</v>
      </c>
      <c r="H462" s="27">
        <v>12</v>
      </c>
      <c r="I462" s="27">
        <v>13</v>
      </c>
      <c r="J462" s="27">
        <f t="shared" si="37"/>
        <v>9</v>
      </c>
      <c r="K462" s="27"/>
      <c r="L462" s="27">
        <v>2</v>
      </c>
      <c r="M462" s="27">
        <v>5</v>
      </c>
      <c r="N462" s="27">
        <v>7</v>
      </c>
      <c r="O462" s="27">
        <f t="shared" si="38"/>
        <v>0</v>
      </c>
    </row>
    <row r="463" spans="1:16" s="18" customFormat="1" ht="8.65" customHeight="1" x14ac:dyDescent="0.25">
      <c r="A463" s="22" t="s">
        <v>27</v>
      </c>
      <c r="B463" s="23">
        <v>70</v>
      </c>
      <c r="C463" s="23"/>
      <c r="D463" s="23">
        <v>15</v>
      </c>
      <c r="E463" s="23"/>
      <c r="F463" s="25">
        <f t="shared" si="36"/>
        <v>20</v>
      </c>
      <c r="G463" s="23">
        <v>0</v>
      </c>
      <c r="H463" s="23">
        <v>20</v>
      </c>
      <c r="I463" s="23">
        <v>20</v>
      </c>
      <c r="J463" s="23">
        <f t="shared" si="37"/>
        <v>15</v>
      </c>
      <c r="K463" s="23"/>
      <c r="L463" s="23">
        <v>3</v>
      </c>
      <c r="M463" s="23">
        <v>5</v>
      </c>
      <c r="N463" s="23">
        <v>5</v>
      </c>
      <c r="O463" s="23">
        <f t="shared" si="38"/>
        <v>3</v>
      </c>
    </row>
    <row r="464" spans="1:16" s="18" customFormat="1" ht="8.65" customHeight="1" x14ac:dyDescent="0.25">
      <c r="A464" s="22" t="s">
        <v>28</v>
      </c>
      <c r="B464" s="23">
        <v>11</v>
      </c>
      <c r="C464" s="23"/>
      <c r="D464" s="23">
        <v>4</v>
      </c>
      <c r="E464" s="23"/>
      <c r="F464" s="25">
        <f t="shared" si="36"/>
        <v>5</v>
      </c>
      <c r="G464" s="23">
        <v>1</v>
      </c>
      <c r="H464" s="23">
        <v>4</v>
      </c>
      <c r="I464" s="23">
        <v>7</v>
      </c>
      <c r="J464" s="23">
        <f t="shared" si="37"/>
        <v>2</v>
      </c>
      <c r="K464" s="23"/>
      <c r="L464" s="23">
        <v>0</v>
      </c>
      <c r="M464" s="23">
        <v>3</v>
      </c>
      <c r="N464" s="23">
        <v>2</v>
      </c>
      <c r="O464" s="23">
        <f t="shared" si="38"/>
        <v>1</v>
      </c>
    </row>
    <row r="465" spans="1:15" s="18" customFormat="1" ht="8.65" customHeight="1" x14ac:dyDescent="0.25">
      <c r="A465" s="22" t="s">
        <v>29</v>
      </c>
      <c r="B465" s="23">
        <v>64</v>
      </c>
      <c r="C465" s="23"/>
      <c r="D465" s="23">
        <v>28</v>
      </c>
      <c r="E465" s="23"/>
      <c r="F465" s="25">
        <f t="shared" si="36"/>
        <v>27</v>
      </c>
      <c r="G465" s="23">
        <v>1</v>
      </c>
      <c r="H465" s="23">
        <v>26</v>
      </c>
      <c r="I465" s="23">
        <v>38</v>
      </c>
      <c r="J465" s="23">
        <f t="shared" si="37"/>
        <v>17</v>
      </c>
      <c r="K465" s="23"/>
      <c r="L465" s="23">
        <v>1</v>
      </c>
      <c r="M465" s="23">
        <v>3</v>
      </c>
      <c r="N465" s="23">
        <v>2</v>
      </c>
      <c r="O465" s="23">
        <f t="shared" si="38"/>
        <v>2</v>
      </c>
    </row>
    <row r="466" spans="1:15" s="18" customFormat="1" ht="8.65" customHeight="1" x14ac:dyDescent="0.25">
      <c r="A466" s="26" t="s">
        <v>30</v>
      </c>
      <c r="B466" s="27">
        <v>103</v>
      </c>
      <c r="C466" s="27"/>
      <c r="D466" s="27">
        <v>14</v>
      </c>
      <c r="E466" s="27"/>
      <c r="F466" s="29">
        <f t="shared" si="36"/>
        <v>37</v>
      </c>
      <c r="G466" s="27">
        <v>4</v>
      </c>
      <c r="H466" s="27">
        <v>33</v>
      </c>
      <c r="I466" s="27">
        <v>32</v>
      </c>
      <c r="J466" s="27">
        <f t="shared" si="37"/>
        <v>19</v>
      </c>
      <c r="K466" s="27"/>
      <c r="L466" s="27">
        <v>2</v>
      </c>
      <c r="M466" s="27">
        <v>4</v>
      </c>
      <c r="N466" s="27">
        <v>5</v>
      </c>
      <c r="O466" s="27">
        <f t="shared" si="38"/>
        <v>1</v>
      </c>
    </row>
    <row r="467" spans="1:15" s="18" customFormat="1" ht="8.65" customHeight="1" x14ac:dyDescent="0.25">
      <c r="A467" s="22" t="s">
        <v>63</v>
      </c>
      <c r="B467" s="23">
        <v>1864</v>
      </c>
      <c r="C467" s="23"/>
      <c r="D467" s="23">
        <v>459</v>
      </c>
      <c r="E467" s="23"/>
      <c r="F467" s="25">
        <f t="shared" si="36"/>
        <v>1458</v>
      </c>
      <c r="G467" s="23">
        <v>381</v>
      </c>
      <c r="H467" s="23">
        <v>1077</v>
      </c>
      <c r="I467" s="23">
        <v>1396</v>
      </c>
      <c r="J467" s="23">
        <f t="shared" si="37"/>
        <v>521</v>
      </c>
      <c r="K467" s="23"/>
      <c r="L467" s="23">
        <v>19</v>
      </c>
      <c r="M467" s="23">
        <v>131</v>
      </c>
      <c r="N467" s="23">
        <v>99</v>
      </c>
      <c r="O467" s="23">
        <f t="shared" si="38"/>
        <v>51</v>
      </c>
    </row>
    <row r="468" spans="1:15" s="18" customFormat="1" ht="8.65" customHeight="1" x14ac:dyDescent="0.25">
      <c r="A468" s="22" t="s">
        <v>31</v>
      </c>
      <c r="B468" s="23">
        <v>28</v>
      </c>
      <c r="C468" s="23"/>
      <c r="D468" s="23">
        <v>6</v>
      </c>
      <c r="E468" s="23"/>
      <c r="F468" s="25">
        <f t="shared" si="36"/>
        <v>9</v>
      </c>
      <c r="G468" s="23">
        <v>0</v>
      </c>
      <c r="H468" s="23">
        <v>9</v>
      </c>
      <c r="I468" s="23">
        <v>8</v>
      </c>
      <c r="J468" s="23">
        <f t="shared" si="37"/>
        <v>7</v>
      </c>
      <c r="K468" s="23"/>
      <c r="L468" s="23">
        <v>1</v>
      </c>
      <c r="M468" s="23">
        <v>6</v>
      </c>
      <c r="N468" s="23">
        <v>5</v>
      </c>
      <c r="O468" s="23">
        <f t="shared" si="38"/>
        <v>2</v>
      </c>
    </row>
    <row r="469" spans="1:15" s="18" customFormat="1" ht="8.65" customHeight="1" x14ac:dyDescent="0.25">
      <c r="A469" s="22" t="s">
        <v>32</v>
      </c>
      <c r="B469" s="23">
        <v>78</v>
      </c>
      <c r="C469" s="23"/>
      <c r="D469" s="23">
        <v>15</v>
      </c>
      <c r="E469" s="23"/>
      <c r="F469" s="25">
        <f t="shared" si="36"/>
        <v>34</v>
      </c>
      <c r="G469" s="23">
        <v>6</v>
      </c>
      <c r="H469" s="23">
        <v>28</v>
      </c>
      <c r="I469" s="23">
        <v>33</v>
      </c>
      <c r="J469" s="23">
        <f t="shared" si="37"/>
        <v>16</v>
      </c>
      <c r="K469" s="23"/>
      <c r="L469" s="23">
        <v>0</v>
      </c>
      <c r="M469" s="23">
        <v>6</v>
      </c>
      <c r="N469" s="23">
        <v>6</v>
      </c>
      <c r="O469" s="23">
        <f t="shared" si="38"/>
        <v>0</v>
      </c>
    </row>
    <row r="470" spans="1:15" s="18" customFormat="1" ht="8.65" customHeight="1" x14ac:dyDescent="0.25">
      <c r="A470" s="26" t="s">
        <v>33</v>
      </c>
      <c r="B470" s="27">
        <v>40</v>
      </c>
      <c r="C470" s="27"/>
      <c r="D470" s="27">
        <v>10</v>
      </c>
      <c r="E470" s="27"/>
      <c r="F470" s="29">
        <f t="shared" si="36"/>
        <v>19</v>
      </c>
      <c r="G470" s="27">
        <v>1</v>
      </c>
      <c r="H470" s="27">
        <v>18</v>
      </c>
      <c r="I470" s="27">
        <v>19</v>
      </c>
      <c r="J470" s="27">
        <f t="shared" si="37"/>
        <v>10</v>
      </c>
      <c r="K470" s="27"/>
      <c r="L470" s="27">
        <v>1</v>
      </c>
      <c r="M470" s="27">
        <v>6</v>
      </c>
      <c r="N470" s="27">
        <v>3</v>
      </c>
      <c r="O470" s="27">
        <f t="shared" si="38"/>
        <v>4</v>
      </c>
    </row>
    <row r="471" spans="1:15" s="18" customFormat="1" ht="8.65" customHeight="1" x14ac:dyDescent="0.25">
      <c r="A471" s="22" t="s">
        <v>34</v>
      </c>
      <c r="B471" s="23">
        <v>70</v>
      </c>
      <c r="C471" s="23"/>
      <c r="D471" s="23">
        <v>18</v>
      </c>
      <c r="E471" s="23"/>
      <c r="F471" s="25">
        <f t="shared" si="36"/>
        <v>28</v>
      </c>
      <c r="G471" s="23">
        <v>4</v>
      </c>
      <c r="H471" s="23">
        <v>24</v>
      </c>
      <c r="I471" s="23">
        <v>34</v>
      </c>
      <c r="J471" s="23">
        <f t="shared" si="37"/>
        <v>12</v>
      </c>
      <c r="K471" s="23"/>
      <c r="L471" s="23">
        <v>1</v>
      </c>
      <c r="M471" s="23">
        <v>4</v>
      </c>
      <c r="N471" s="23">
        <v>4</v>
      </c>
      <c r="O471" s="23">
        <f t="shared" si="38"/>
        <v>1</v>
      </c>
    </row>
    <row r="472" spans="1:15" s="18" customFormat="1" ht="8.65" customHeight="1" x14ac:dyDescent="0.25">
      <c r="A472" s="22" t="s">
        <v>35</v>
      </c>
      <c r="B472" s="23">
        <v>108</v>
      </c>
      <c r="C472" s="23"/>
      <c r="D472" s="23">
        <v>7</v>
      </c>
      <c r="E472" s="23"/>
      <c r="F472" s="25">
        <f t="shared" si="36"/>
        <v>26</v>
      </c>
      <c r="G472" s="23">
        <v>5</v>
      </c>
      <c r="H472" s="23">
        <v>21</v>
      </c>
      <c r="I472" s="23">
        <v>20</v>
      </c>
      <c r="J472" s="23">
        <f t="shared" si="37"/>
        <v>13</v>
      </c>
      <c r="K472" s="23"/>
      <c r="L472" s="23">
        <v>3</v>
      </c>
      <c r="M472" s="23">
        <v>21</v>
      </c>
      <c r="N472" s="23">
        <v>19</v>
      </c>
      <c r="O472" s="23">
        <f t="shared" si="38"/>
        <v>5</v>
      </c>
    </row>
    <row r="473" spans="1:15" s="18" customFormat="1" ht="8.65" customHeight="1" x14ac:dyDescent="0.25">
      <c r="A473" s="22" t="s">
        <v>36</v>
      </c>
      <c r="B473" s="23">
        <v>977</v>
      </c>
      <c r="C473" s="23"/>
      <c r="D473" s="23">
        <v>118</v>
      </c>
      <c r="E473" s="23"/>
      <c r="F473" s="25">
        <f t="shared" si="36"/>
        <v>305</v>
      </c>
      <c r="G473" s="23">
        <v>95</v>
      </c>
      <c r="H473" s="23">
        <v>210</v>
      </c>
      <c r="I473" s="23">
        <v>283</v>
      </c>
      <c r="J473" s="23">
        <f t="shared" si="37"/>
        <v>140</v>
      </c>
      <c r="K473" s="23"/>
      <c r="L473" s="23">
        <v>2</v>
      </c>
      <c r="M473" s="23">
        <v>16</v>
      </c>
      <c r="N473" s="23">
        <v>17</v>
      </c>
      <c r="O473" s="23">
        <f t="shared" si="38"/>
        <v>1</v>
      </c>
    </row>
    <row r="474" spans="1:15" s="18" customFormat="1" ht="8.65" customHeight="1" x14ac:dyDescent="0.25">
      <c r="A474" s="26" t="s">
        <v>37</v>
      </c>
      <c r="B474" s="27">
        <v>54</v>
      </c>
      <c r="C474" s="27"/>
      <c r="D474" s="27">
        <v>2</v>
      </c>
      <c r="E474" s="27"/>
      <c r="F474" s="29">
        <f t="shared" si="36"/>
        <v>16</v>
      </c>
      <c r="G474" s="27">
        <v>5</v>
      </c>
      <c r="H474" s="27">
        <v>11</v>
      </c>
      <c r="I474" s="27">
        <v>12</v>
      </c>
      <c r="J474" s="27">
        <f t="shared" si="37"/>
        <v>6</v>
      </c>
      <c r="K474" s="27"/>
      <c r="L474" s="27">
        <v>3</v>
      </c>
      <c r="M474" s="27">
        <v>9</v>
      </c>
      <c r="N474" s="27">
        <v>11</v>
      </c>
      <c r="O474" s="27">
        <f t="shared" si="38"/>
        <v>1</v>
      </c>
    </row>
    <row r="475" spans="1:15" s="18" customFormat="1" ht="8.65" customHeight="1" x14ac:dyDescent="0.25">
      <c r="A475" s="22" t="s">
        <v>38</v>
      </c>
      <c r="B475" s="23">
        <v>46</v>
      </c>
      <c r="C475" s="23"/>
      <c r="D475" s="23">
        <v>9</v>
      </c>
      <c r="E475" s="23"/>
      <c r="F475" s="25">
        <f t="shared" si="36"/>
        <v>12</v>
      </c>
      <c r="G475" s="23">
        <v>4</v>
      </c>
      <c r="H475" s="23">
        <v>8</v>
      </c>
      <c r="I475" s="23">
        <v>16</v>
      </c>
      <c r="J475" s="23">
        <f t="shared" si="37"/>
        <v>5</v>
      </c>
      <c r="K475" s="23"/>
      <c r="L475" s="23">
        <v>1</v>
      </c>
      <c r="M475" s="23">
        <v>5</v>
      </c>
      <c r="N475" s="23">
        <v>4</v>
      </c>
      <c r="O475" s="23">
        <f t="shared" si="38"/>
        <v>2</v>
      </c>
    </row>
    <row r="476" spans="1:15" s="18" customFormat="1" ht="8.65" customHeight="1" x14ac:dyDescent="0.25">
      <c r="A476" s="22" t="s">
        <v>39</v>
      </c>
      <c r="B476" s="23">
        <v>19</v>
      </c>
      <c r="C476" s="23"/>
      <c r="D476" s="23">
        <v>3</v>
      </c>
      <c r="E476" s="23"/>
      <c r="F476" s="25">
        <f t="shared" si="36"/>
        <v>7</v>
      </c>
      <c r="G476" s="23">
        <v>2</v>
      </c>
      <c r="H476" s="23">
        <v>5</v>
      </c>
      <c r="I476" s="23">
        <v>7</v>
      </c>
      <c r="J476" s="23">
        <f t="shared" si="37"/>
        <v>3</v>
      </c>
      <c r="K476" s="23"/>
      <c r="L476" s="23">
        <v>0</v>
      </c>
      <c r="M476" s="23">
        <v>0</v>
      </c>
      <c r="N476" s="23">
        <v>0</v>
      </c>
      <c r="O476" s="23">
        <f t="shared" si="38"/>
        <v>0</v>
      </c>
    </row>
    <row r="477" spans="1:15" s="18" customFormat="1" ht="8.65" customHeight="1" x14ac:dyDescent="0.25">
      <c r="A477" s="22" t="s">
        <v>40</v>
      </c>
      <c r="B477" s="23">
        <v>52</v>
      </c>
      <c r="C477" s="23"/>
      <c r="D477" s="23">
        <v>20</v>
      </c>
      <c r="E477" s="23"/>
      <c r="F477" s="25">
        <f t="shared" si="36"/>
        <v>19</v>
      </c>
      <c r="G477" s="23">
        <v>2</v>
      </c>
      <c r="H477" s="23">
        <v>17</v>
      </c>
      <c r="I477" s="23">
        <v>25</v>
      </c>
      <c r="J477" s="23">
        <f t="shared" si="37"/>
        <v>14</v>
      </c>
      <c r="K477" s="23"/>
      <c r="L477" s="23">
        <v>0</v>
      </c>
      <c r="M477" s="23">
        <v>3</v>
      </c>
      <c r="N477" s="23">
        <v>2</v>
      </c>
      <c r="O477" s="23">
        <f t="shared" si="38"/>
        <v>1</v>
      </c>
    </row>
    <row r="478" spans="1:15" s="18" customFormat="1" ht="8.65" customHeight="1" x14ac:dyDescent="0.25">
      <c r="A478" s="26" t="s">
        <v>41</v>
      </c>
      <c r="B478" s="27">
        <v>41</v>
      </c>
      <c r="C478" s="27"/>
      <c r="D478" s="27">
        <v>7</v>
      </c>
      <c r="E478" s="27"/>
      <c r="F478" s="29">
        <f t="shared" si="36"/>
        <v>12</v>
      </c>
      <c r="G478" s="27">
        <v>2</v>
      </c>
      <c r="H478" s="27">
        <v>10</v>
      </c>
      <c r="I478" s="27">
        <v>12</v>
      </c>
      <c r="J478" s="27">
        <f t="shared" si="37"/>
        <v>7</v>
      </c>
      <c r="K478" s="27"/>
      <c r="L478" s="27">
        <v>4</v>
      </c>
      <c r="M478" s="27">
        <v>9</v>
      </c>
      <c r="N478" s="27">
        <v>10</v>
      </c>
      <c r="O478" s="27">
        <f t="shared" si="38"/>
        <v>3</v>
      </c>
    </row>
    <row r="479" spans="1:15" s="18" customFormat="1" ht="8.65" customHeight="1" x14ac:dyDescent="0.25">
      <c r="A479" s="22" t="s">
        <v>42</v>
      </c>
      <c r="B479" s="23">
        <v>60</v>
      </c>
      <c r="C479" s="23"/>
      <c r="D479" s="23">
        <v>17</v>
      </c>
      <c r="E479" s="23"/>
      <c r="F479" s="25">
        <f t="shared" si="36"/>
        <v>22</v>
      </c>
      <c r="G479" s="23">
        <v>4</v>
      </c>
      <c r="H479" s="23">
        <v>18</v>
      </c>
      <c r="I479" s="23">
        <v>25</v>
      </c>
      <c r="J479" s="23">
        <f t="shared" si="37"/>
        <v>14</v>
      </c>
      <c r="K479" s="23"/>
      <c r="L479" s="23">
        <v>2</v>
      </c>
      <c r="M479" s="23">
        <v>14</v>
      </c>
      <c r="N479" s="23">
        <v>9</v>
      </c>
      <c r="O479" s="23">
        <f t="shared" si="38"/>
        <v>7</v>
      </c>
    </row>
    <row r="480" spans="1:15" s="18" customFormat="1" ht="8.65" customHeight="1" x14ac:dyDescent="0.25">
      <c r="A480" s="22" t="s">
        <v>43</v>
      </c>
      <c r="B480" s="23">
        <v>53</v>
      </c>
      <c r="C480" s="23"/>
      <c r="D480" s="23">
        <v>14</v>
      </c>
      <c r="E480" s="23"/>
      <c r="F480" s="25">
        <f t="shared" si="36"/>
        <v>30</v>
      </c>
      <c r="G480" s="23">
        <v>2</v>
      </c>
      <c r="H480" s="23">
        <v>28</v>
      </c>
      <c r="I480" s="23">
        <v>30</v>
      </c>
      <c r="J480" s="23">
        <f t="shared" si="37"/>
        <v>14</v>
      </c>
      <c r="K480" s="23"/>
      <c r="L480" s="23">
        <v>0</v>
      </c>
      <c r="M480" s="23">
        <v>4</v>
      </c>
      <c r="N480" s="23">
        <v>3</v>
      </c>
      <c r="O480" s="23">
        <f t="shared" si="38"/>
        <v>1</v>
      </c>
    </row>
    <row r="481" spans="1:16" s="18" customFormat="1" ht="8.65" customHeight="1" x14ac:dyDescent="0.25">
      <c r="A481" s="22" t="s">
        <v>44</v>
      </c>
      <c r="B481" s="23">
        <v>75</v>
      </c>
      <c r="C481" s="23"/>
      <c r="D481" s="23">
        <v>14</v>
      </c>
      <c r="E481" s="23"/>
      <c r="F481" s="25">
        <f t="shared" si="36"/>
        <v>28</v>
      </c>
      <c r="G481" s="23">
        <v>5</v>
      </c>
      <c r="H481" s="23">
        <v>23</v>
      </c>
      <c r="I481" s="23">
        <v>24</v>
      </c>
      <c r="J481" s="23">
        <f t="shared" si="37"/>
        <v>18</v>
      </c>
      <c r="K481" s="23"/>
      <c r="L481" s="23">
        <v>1</v>
      </c>
      <c r="M481" s="23">
        <v>5</v>
      </c>
      <c r="N481" s="23">
        <v>5</v>
      </c>
      <c r="O481" s="23">
        <f t="shared" si="38"/>
        <v>1</v>
      </c>
    </row>
    <row r="482" spans="1:16" s="18" customFormat="1" ht="8.65" customHeight="1" x14ac:dyDescent="0.25">
      <c r="A482" s="26" t="s">
        <v>45</v>
      </c>
      <c r="B482" s="27">
        <v>46</v>
      </c>
      <c r="C482" s="27"/>
      <c r="D482" s="27">
        <v>30</v>
      </c>
      <c r="E482" s="27"/>
      <c r="F482" s="29">
        <f t="shared" si="36"/>
        <v>38</v>
      </c>
      <c r="G482" s="27">
        <v>0</v>
      </c>
      <c r="H482" s="27">
        <v>38</v>
      </c>
      <c r="I482" s="27">
        <v>43</v>
      </c>
      <c r="J482" s="27">
        <f t="shared" si="37"/>
        <v>25</v>
      </c>
      <c r="K482" s="27"/>
      <c r="L482" s="27">
        <v>1</v>
      </c>
      <c r="M482" s="27">
        <v>11</v>
      </c>
      <c r="N482" s="27">
        <v>9</v>
      </c>
      <c r="O482" s="27">
        <f t="shared" si="38"/>
        <v>3</v>
      </c>
    </row>
    <row r="483" spans="1:16" s="18" customFormat="1" ht="8.65" customHeight="1" x14ac:dyDescent="0.25">
      <c r="A483" s="22" t="s">
        <v>46</v>
      </c>
      <c r="B483" s="23">
        <v>43</v>
      </c>
      <c r="C483" s="23"/>
      <c r="D483" s="23">
        <v>5</v>
      </c>
      <c r="E483" s="23"/>
      <c r="F483" s="25">
        <f t="shared" si="36"/>
        <v>9</v>
      </c>
      <c r="G483" s="23">
        <v>3</v>
      </c>
      <c r="H483" s="23">
        <v>6</v>
      </c>
      <c r="I483" s="23">
        <v>12</v>
      </c>
      <c r="J483" s="23">
        <f t="shared" si="37"/>
        <v>2</v>
      </c>
      <c r="K483" s="23"/>
      <c r="L483" s="23">
        <v>1</v>
      </c>
      <c r="M483" s="23">
        <v>14</v>
      </c>
      <c r="N483" s="23">
        <v>11</v>
      </c>
      <c r="O483" s="23">
        <f t="shared" si="38"/>
        <v>4</v>
      </c>
    </row>
    <row r="484" spans="1:16" s="18" customFormat="1" ht="8.65" customHeight="1" x14ac:dyDescent="0.25">
      <c r="A484" s="22" t="s">
        <v>47</v>
      </c>
      <c r="B484" s="23">
        <v>66</v>
      </c>
      <c r="C484" s="23"/>
      <c r="D484" s="23">
        <v>12</v>
      </c>
      <c r="E484" s="23"/>
      <c r="F484" s="25">
        <f t="shared" si="36"/>
        <v>31</v>
      </c>
      <c r="G484" s="23">
        <v>2</v>
      </c>
      <c r="H484" s="23">
        <v>29</v>
      </c>
      <c r="I484" s="23">
        <v>14</v>
      </c>
      <c r="J484" s="23">
        <f t="shared" si="37"/>
        <v>29</v>
      </c>
      <c r="K484" s="23"/>
      <c r="L484" s="23">
        <v>1</v>
      </c>
      <c r="M484" s="23">
        <v>3</v>
      </c>
      <c r="N484" s="23">
        <v>4</v>
      </c>
      <c r="O484" s="23">
        <f t="shared" si="38"/>
        <v>0</v>
      </c>
    </row>
    <row r="485" spans="1:16" s="18" customFormat="1" ht="8.65" customHeight="1" x14ac:dyDescent="0.25">
      <c r="A485" s="22" t="s">
        <v>48</v>
      </c>
      <c r="B485" s="23">
        <v>43</v>
      </c>
      <c r="C485" s="23"/>
      <c r="D485" s="23">
        <v>12</v>
      </c>
      <c r="E485" s="23"/>
      <c r="F485" s="25">
        <f t="shared" si="36"/>
        <v>18</v>
      </c>
      <c r="G485" s="23">
        <v>2</v>
      </c>
      <c r="H485" s="23">
        <v>16</v>
      </c>
      <c r="I485" s="23">
        <v>23</v>
      </c>
      <c r="J485" s="23">
        <f t="shared" si="37"/>
        <v>7</v>
      </c>
      <c r="K485" s="23"/>
      <c r="L485" s="23">
        <v>0</v>
      </c>
      <c r="M485" s="23">
        <v>1</v>
      </c>
      <c r="N485" s="23">
        <v>1</v>
      </c>
      <c r="O485" s="23">
        <f t="shared" si="38"/>
        <v>0</v>
      </c>
    </row>
    <row r="486" spans="1:16" s="18" customFormat="1" ht="8.65" customHeight="1" x14ac:dyDescent="0.25">
      <c r="A486" s="26" t="s">
        <v>49</v>
      </c>
      <c r="B486" s="27">
        <v>75</v>
      </c>
      <c r="C486" s="27"/>
      <c r="D486" s="27">
        <v>9</v>
      </c>
      <c r="E486" s="27"/>
      <c r="F486" s="29">
        <f t="shared" si="36"/>
        <v>19</v>
      </c>
      <c r="G486" s="27">
        <v>3</v>
      </c>
      <c r="H486" s="27">
        <v>16</v>
      </c>
      <c r="I486" s="27">
        <v>20</v>
      </c>
      <c r="J486" s="27">
        <f t="shared" si="37"/>
        <v>8</v>
      </c>
      <c r="K486" s="27"/>
      <c r="L486" s="27">
        <v>4</v>
      </c>
      <c r="M486" s="27">
        <v>13</v>
      </c>
      <c r="N486" s="27">
        <v>15</v>
      </c>
      <c r="O486" s="27">
        <f t="shared" si="38"/>
        <v>2</v>
      </c>
    </row>
    <row r="487" spans="1:16" s="18" customFormat="1" ht="8.65" customHeight="1" x14ac:dyDescent="0.25">
      <c r="A487" s="22" t="s">
        <v>50</v>
      </c>
      <c r="B487" s="23">
        <v>16</v>
      </c>
      <c r="C487" s="23"/>
      <c r="D487" s="23">
        <v>11</v>
      </c>
      <c r="E487" s="23"/>
      <c r="F487" s="25">
        <f t="shared" si="36"/>
        <v>11</v>
      </c>
      <c r="G487" s="23">
        <v>0</v>
      </c>
      <c r="H487" s="23">
        <v>11</v>
      </c>
      <c r="I487" s="23">
        <v>14</v>
      </c>
      <c r="J487" s="23">
        <f t="shared" si="37"/>
        <v>8</v>
      </c>
      <c r="K487" s="23"/>
      <c r="L487" s="23">
        <v>0</v>
      </c>
      <c r="M487" s="23">
        <v>6</v>
      </c>
      <c r="N487" s="23">
        <v>5</v>
      </c>
      <c r="O487" s="23">
        <f t="shared" si="38"/>
        <v>1</v>
      </c>
    </row>
    <row r="488" spans="1:16" s="18" customFormat="1" ht="8.65" customHeight="1" x14ac:dyDescent="0.25">
      <c r="A488" s="22" t="s">
        <v>51</v>
      </c>
      <c r="B488" s="23">
        <v>108</v>
      </c>
      <c r="C488" s="23"/>
      <c r="D488" s="23">
        <v>11</v>
      </c>
      <c r="E488" s="23"/>
      <c r="F488" s="25">
        <f t="shared" si="36"/>
        <v>36</v>
      </c>
      <c r="G488" s="23">
        <v>12</v>
      </c>
      <c r="H488" s="23">
        <v>24</v>
      </c>
      <c r="I488" s="23">
        <v>33</v>
      </c>
      <c r="J488" s="23">
        <f t="shared" si="37"/>
        <v>14</v>
      </c>
      <c r="K488" s="23"/>
      <c r="L488" s="23">
        <v>5</v>
      </c>
      <c r="M488" s="23">
        <v>8</v>
      </c>
      <c r="N488" s="23">
        <v>10</v>
      </c>
      <c r="O488" s="23">
        <f t="shared" si="38"/>
        <v>3</v>
      </c>
    </row>
    <row r="489" spans="1:16" s="18" customFormat="1" ht="8.65" customHeight="1" x14ac:dyDescent="0.25">
      <c r="A489" s="22" t="s">
        <v>52</v>
      </c>
      <c r="B489" s="23">
        <v>16</v>
      </c>
      <c r="C489" s="23"/>
      <c r="D489" s="23">
        <v>17</v>
      </c>
      <c r="E489" s="23"/>
      <c r="F489" s="25">
        <f t="shared" si="36"/>
        <v>27</v>
      </c>
      <c r="G489" s="23">
        <v>0</v>
      </c>
      <c r="H489" s="23">
        <v>27</v>
      </c>
      <c r="I489" s="23">
        <v>25</v>
      </c>
      <c r="J489" s="23">
        <f t="shared" si="37"/>
        <v>19</v>
      </c>
      <c r="K489" s="23"/>
      <c r="L489" s="23">
        <v>3</v>
      </c>
      <c r="M489" s="23">
        <v>9</v>
      </c>
      <c r="N489" s="23">
        <v>11</v>
      </c>
      <c r="O489" s="23">
        <f t="shared" si="38"/>
        <v>1</v>
      </c>
    </row>
    <row r="490" spans="1:16" s="18" customFormat="1" ht="8.65" customHeight="1" x14ac:dyDescent="0.25">
      <c r="A490" s="26" t="s">
        <v>53</v>
      </c>
      <c r="B490" s="27">
        <v>18</v>
      </c>
      <c r="C490" s="27"/>
      <c r="D490" s="27">
        <v>4</v>
      </c>
      <c r="E490" s="27"/>
      <c r="F490" s="29">
        <f t="shared" si="36"/>
        <v>4</v>
      </c>
      <c r="G490" s="27">
        <v>0</v>
      </c>
      <c r="H490" s="27">
        <v>4</v>
      </c>
      <c r="I490" s="27">
        <v>4</v>
      </c>
      <c r="J490" s="27">
        <f t="shared" si="37"/>
        <v>4</v>
      </c>
      <c r="K490" s="27"/>
      <c r="L490" s="27">
        <v>2</v>
      </c>
      <c r="M490" s="27">
        <v>3</v>
      </c>
      <c r="N490" s="27">
        <v>4</v>
      </c>
      <c r="O490" s="27">
        <f t="shared" si="38"/>
        <v>1</v>
      </c>
    </row>
    <row r="491" spans="1:16" s="18" customFormat="1" ht="8.65" customHeight="1" x14ac:dyDescent="0.25">
      <c r="A491" s="22" t="s">
        <v>54</v>
      </c>
      <c r="B491" s="23">
        <v>211</v>
      </c>
      <c r="C491" s="23"/>
      <c r="D491" s="23">
        <v>0</v>
      </c>
      <c r="E491" s="23"/>
      <c r="F491" s="25">
        <f t="shared" si="36"/>
        <v>0</v>
      </c>
      <c r="G491" s="23">
        <v>0</v>
      </c>
      <c r="H491" s="23">
        <v>0</v>
      </c>
      <c r="I491" s="23">
        <v>0</v>
      </c>
      <c r="J491" s="23">
        <f t="shared" si="37"/>
        <v>0</v>
      </c>
      <c r="K491" s="23"/>
      <c r="L491" s="23">
        <v>0</v>
      </c>
      <c r="M491" s="23">
        <v>1</v>
      </c>
      <c r="N491" s="23">
        <v>1</v>
      </c>
      <c r="O491" s="23">
        <f t="shared" si="38"/>
        <v>0</v>
      </c>
    </row>
    <row r="492" spans="1:16" s="18" customFormat="1" ht="9" customHeight="1" x14ac:dyDescent="0.25">
      <c r="A492" s="22"/>
      <c r="B492" s="23"/>
      <c r="C492" s="23"/>
      <c r="D492" s="23"/>
      <c r="E492" s="23"/>
      <c r="G492" s="23"/>
      <c r="H492" s="23"/>
      <c r="I492" s="23"/>
      <c r="J492" s="23"/>
      <c r="K492" s="23"/>
      <c r="L492" s="23"/>
      <c r="M492" s="23"/>
      <c r="N492" s="23"/>
      <c r="O492" s="23"/>
    </row>
    <row r="493" spans="1:16" s="18" customFormat="1" ht="9" customHeight="1" x14ac:dyDescent="0.25">
      <c r="A493" s="16">
        <v>2009</v>
      </c>
      <c r="B493" s="20"/>
      <c r="C493" s="20"/>
      <c r="D493" s="20"/>
      <c r="E493" s="20"/>
      <c r="G493" s="20"/>
      <c r="H493" s="20"/>
      <c r="I493" s="20"/>
      <c r="J493" s="20"/>
      <c r="K493" s="20"/>
      <c r="L493" s="20"/>
      <c r="M493" s="20"/>
      <c r="N493" s="20"/>
      <c r="O493" s="20"/>
      <c r="P493" s="30"/>
    </row>
    <row r="494" spans="1:16" s="18" customFormat="1" ht="9" customHeight="1" x14ac:dyDescent="0.25">
      <c r="A494" s="19" t="s">
        <v>21</v>
      </c>
      <c r="B494" s="20">
        <f>SUM(B496:B528)</f>
        <v>4352</v>
      </c>
      <c r="C494" s="20"/>
      <c r="D494" s="20">
        <f>SUM(D496:D528)</f>
        <v>988</v>
      </c>
      <c r="E494" s="34" t="s">
        <v>55</v>
      </c>
      <c r="F494" s="20">
        <f>SUM(F496:F528)</f>
        <v>2377</v>
      </c>
      <c r="G494" s="20">
        <f>SUM(G496:G528)</f>
        <v>588</v>
      </c>
      <c r="H494" s="20">
        <f>SUM(H496:H528)</f>
        <v>1789</v>
      </c>
      <c r="I494" s="20">
        <f>SUM(I496:I528)</f>
        <v>2336</v>
      </c>
      <c r="J494" s="20">
        <f>SUM(J496:J528)</f>
        <v>1029</v>
      </c>
      <c r="K494" s="20"/>
      <c r="L494" s="20">
        <f>SUM(L496:L528)</f>
        <v>105</v>
      </c>
      <c r="M494" s="20">
        <f>SUM(M496:M528)</f>
        <v>410</v>
      </c>
      <c r="N494" s="20">
        <f>SUM(N496:N528)</f>
        <v>387</v>
      </c>
      <c r="O494" s="20">
        <f>SUM(O496:O528)</f>
        <v>128</v>
      </c>
      <c r="P494" s="20"/>
    </row>
    <row r="495" spans="1:16" s="18" customFormat="1" ht="3" customHeight="1" x14ac:dyDescent="0.25">
      <c r="A495" s="19"/>
      <c r="B495" s="20"/>
      <c r="C495" s="20"/>
      <c r="D495" s="20"/>
      <c r="E495" s="20"/>
      <c r="G495" s="20"/>
      <c r="H495" s="20"/>
      <c r="I495" s="20"/>
      <c r="J495" s="20"/>
      <c r="K495" s="20"/>
      <c r="L495" s="20"/>
      <c r="M495" s="20"/>
      <c r="N495" s="20"/>
      <c r="O495" s="20"/>
    </row>
    <row r="496" spans="1:16" s="18" customFormat="1" ht="9" customHeight="1" x14ac:dyDescent="0.25">
      <c r="A496" s="22" t="s">
        <v>23</v>
      </c>
      <c r="B496" s="23">
        <v>18</v>
      </c>
      <c r="C496" s="23"/>
      <c r="D496" s="23">
        <v>0</v>
      </c>
      <c r="E496" s="23"/>
      <c r="F496" s="25">
        <f t="shared" ref="F496:F528" si="39">SUM(G496:H496)</f>
        <v>3</v>
      </c>
      <c r="G496" s="23">
        <v>0</v>
      </c>
      <c r="H496" s="23">
        <v>3</v>
      </c>
      <c r="I496" s="23">
        <v>1</v>
      </c>
      <c r="J496" s="23">
        <f t="shared" ref="J496:J528" si="40">(D496+F496)-I496</f>
        <v>2</v>
      </c>
      <c r="K496" s="23"/>
      <c r="L496" s="23">
        <v>1</v>
      </c>
      <c r="M496" s="23">
        <v>2</v>
      </c>
      <c r="N496" s="23">
        <v>2</v>
      </c>
      <c r="O496" s="23">
        <f t="shared" ref="O496:O528" si="41">(L496+M496)-N496</f>
        <v>1</v>
      </c>
      <c r="P496" s="23"/>
    </row>
    <row r="497" spans="1:16" s="18" customFormat="1" ht="9" customHeight="1" x14ac:dyDescent="0.25">
      <c r="A497" s="22" t="s">
        <v>24</v>
      </c>
      <c r="B497" s="23">
        <v>89</v>
      </c>
      <c r="C497" s="23"/>
      <c r="D497" s="23">
        <v>5</v>
      </c>
      <c r="E497" s="23"/>
      <c r="F497" s="25">
        <f t="shared" si="39"/>
        <v>10</v>
      </c>
      <c r="G497" s="23">
        <v>5</v>
      </c>
      <c r="H497" s="23">
        <v>5</v>
      </c>
      <c r="I497" s="23">
        <v>11</v>
      </c>
      <c r="J497" s="23">
        <f t="shared" si="40"/>
        <v>4</v>
      </c>
      <c r="K497" s="23"/>
      <c r="L497" s="23">
        <v>1</v>
      </c>
      <c r="M497" s="23">
        <v>7</v>
      </c>
      <c r="N497" s="23">
        <v>7</v>
      </c>
      <c r="O497" s="23">
        <f t="shared" si="41"/>
        <v>1</v>
      </c>
      <c r="P497" s="23"/>
    </row>
    <row r="498" spans="1:16" s="18" customFormat="1" ht="9" customHeight="1" x14ac:dyDescent="0.25">
      <c r="A498" s="22" t="s">
        <v>25</v>
      </c>
      <c r="B498" s="23">
        <v>23</v>
      </c>
      <c r="C498" s="23"/>
      <c r="D498" s="23">
        <v>4</v>
      </c>
      <c r="E498" s="23"/>
      <c r="F498" s="25">
        <f t="shared" si="39"/>
        <v>11</v>
      </c>
      <c r="G498" s="23">
        <v>0</v>
      </c>
      <c r="H498" s="23">
        <v>11</v>
      </c>
      <c r="I498" s="23">
        <v>7</v>
      </c>
      <c r="J498" s="23">
        <f t="shared" si="40"/>
        <v>8</v>
      </c>
      <c r="K498" s="23"/>
      <c r="L498" s="23">
        <v>1</v>
      </c>
      <c r="M498" s="23">
        <v>5</v>
      </c>
      <c r="N498" s="23">
        <v>4</v>
      </c>
      <c r="O498" s="23">
        <f t="shared" si="41"/>
        <v>2</v>
      </c>
      <c r="P498" s="23"/>
    </row>
    <row r="499" spans="1:16" s="18" customFormat="1" ht="9" customHeight="1" x14ac:dyDescent="0.25">
      <c r="A499" s="26" t="s">
        <v>26</v>
      </c>
      <c r="B499" s="27">
        <v>17</v>
      </c>
      <c r="C499" s="27"/>
      <c r="D499" s="27">
        <v>9</v>
      </c>
      <c r="E499" s="27"/>
      <c r="F499" s="29">
        <f t="shared" si="39"/>
        <v>4</v>
      </c>
      <c r="G499" s="27">
        <v>1</v>
      </c>
      <c r="H499" s="27">
        <v>3</v>
      </c>
      <c r="I499" s="27">
        <v>11</v>
      </c>
      <c r="J499" s="27">
        <f t="shared" si="40"/>
        <v>2</v>
      </c>
      <c r="K499" s="27"/>
      <c r="L499" s="27">
        <v>0</v>
      </c>
      <c r="M499" s="27">
        <v>16</v>
      </c>
      <c r="N499" s="27">
        <v>13</v>
      </c>
      <c r="O499" s="27">
        <f t="shared" si="41"/>
        <v>3</v>
      </c>
      <c r="P499" s="23"/>
    </row>
    <row r="500" spans="1:16" s="18" customFormat="1" ht="9" customHeight="1" x14ac:dyDescent="0.25">
      <c r="A500" s="22" t="s">
        <v>27</v>
      </c>
      <c r="B500" s="23">
        <v>36</v>
      </c>
      <c r="C500" s="23"/>
      <c r="D500" s="23">
        <v>15</v>
      </c>
      <c r="E500" s="23"/>
      <c r="F500" s="25">
        <f t="shared" si="39"/>
        <v>24</v>
      </c>
      <c r="G500" s="23">
        <v>0</v>
      </c>
      <c r="H500" s="23">
        <v>24</v>
      </c>
      <c r="I500" s="23">
        <v>26</v>
      </c>
      <c r="J500" s="23">
        <f t="shared" si="40"/>
        <v>13</v>
      </c>
      <c r="K500" s="23"/>
      <c r="L500" s="23">
        <v>3</v>
      </c>
      <c r="M500" s="23">
        <v>8</v>
      </c>
      <c r="N500" s="23">
        <v>9</v>
      </c>
      <c r="O500" s="23">
        <f t="shared" si="41"/>
        <v>2</v>
      </c>
      <c r="P500" s="23"/>
    </row>
    <row r="501" spans="1:16" s="18" customFormat="1" ht="9" customHeight="1" x14ac:dyDescent="0.25">
      <c r="A501" s="22" t="s">
        <v>28</v>
      </c>
      <c r="B501" s="23">
        <v>8</v>
      </c>
      <c r="C501" s="23"/>
      <c r="D501" s="23">
        <v>2</v>
      </c>
      <c r="E501" s="23"/>
      <c r="F501" s="25">
        <f t="shared" si="39"/>
        <v>2</v>
      </c>
      <c r="G501" s="23">
        <v>1</v>
      </c>
      <c r="H501" s="23">
        <v>1</v>
      </c>
      <c r="I501" s="23">
        <v>3</v>
      </c>
      <c r="J501" s="23">
        <f t="shared" si="40"/>
        <v>1</v>
      </c>
      <c r="K501" s="23"/>
      <c r="L501" s="23">
        <v>1</v>
      </c>
      <c r="M501" s="23">
        <v>2</v>
      </c>
      <c r="N501" s="23">
        <v>3</v>
      </c>
      <c r="O501" s="23">
        <f t="shared" si="41"/>
        <v>0</v>
      </c>
      <c r="P501" s="23"/>
    </row>
    <row r="502" spans="1:16" s="18" customFormat="1" ht="9" customHeight="1" x14ac:dyDescent="0.25">
      <c r="A502" s="22" t="s">
        <v>29</v>
      </c>
      <c r="B502" s="23">
        <v>64</v>
      </c>
      <c r="C502" s="23"/>
      <c r="D502" s="23">
        <v>17</v>
      </c>
      <c r="E502" s="23"/>
      <c r="F502" s="25">
        <f t="shared" si="39"/>
        <v>35</v>
      </c>
      <c r="G502" s="23">
        <v>2</v>
      </c>
      <c r="H502" s="23">
        <v>33</v>
      </c>
      <c r="I502" s="23">
        <v>34</v>
      </c>
      <c r="J502" s="23">
        <f t="shared" si="40"/>
        <v>18</v>
      </c>
      <c r="K502" s="23"/>
      <c r="L502" s="23">
        <v>2</v>
      </c>
      <c r="M502" s="23">
        <v>8</v>
      </c>
      <c r="N502" s="23">
        <v>9</v>
      </c>
      <c r="O502" s="23">
        <f t="shared" si="41"/>
        <v>1</v>
      </c>
      <c r="P502" s="23"/>
    </row>
    <row r="503" spans="1:16" s="18" customFormat="1" ht="9" customHeight="1" x14ac:dyDescent="0.25">
      <c r="A503" s="26" t="s">
        <v>30</v>
      </c>
      <c r="B503" s="27">
        <v>94</v>
      </c>
      <c r="C503" s="27"/>
      <c r="D503" s="27">
        <v>20</v>
      </c>
      <c r="E503" s="27"/>
      <c r="F503" s="29">
        <f t="shared" si="39"/>
        <v>25</v>
      </c>
      <c r="G503" s="27">
        <v>3</v>
      </c>
      <c r="H503" s="27">
        <v>22</v>
      </c>
      <c r="I503" s="27">
        <v>26</v>
      </c>
      <c r="J503" s="27">
        <f t="shared" si="40"/>
        <v>19</v>
      </c>
      <c r="K503" s="27"/>
      <c r="L503" s="27">
        <v>1</v>
      </c>
      <c r="M503" s="27">
        <v>3</v>
      </c>
      <c r="N503" s="27">
        <v>3</v>
      </c>
      <c r="O503" s="27">
        <f t="shared" si="41"/>
        <v>1</v>
      </c>
      <c r="P503" s="23"/>
    </row>
    <row r="504" spans="1:16" s="18" customFormat="1" ht="9" customHeight="1" x14ac:dyDescent="0.25">
      <c r="A504" s="22" t="s">
        <v>63</v>
      </c>
      <c r="B504" s="23">
        <v>1626</v>
      </c>
      <c r="C504" s="23"/>
      <c r="D504" s="23">
        <v>521</v>
      </c>
      <c r="E504" s="23"/>
      <c r="F504" s="25">
        <f t="shared" si="39"/>
        <v>1456</v>
      </c>
      <c r="G504" s="23">
        <v>412</v>
      </c>
      <c r="H504" s="23">
        <v>1044</v>
      </c>
      <c r="I504" s="23">
        <v>1444</v>
      </c>
      <c r="J504" s="23">
        <f t="shared" si="40"/>
        <v>533</v>
      </c>
      <c r="K504" s="23"/>
      <c r="L504" s="23">
        <v>51</v>
      </c>
      <c r="M504" s="23">
        <v>162</v>
      </c>
      <c r="N504" s="23">
        <v>165</v>
      </c>
      <c r="O504" s="23">
        <f t="shared" si="41"/>
        <v>48</v>
      </c>
      <c r="P504" s="23"/>
    </row>
    <row r="505" spans="1:16" s="18" customFormat="1" ht="9" customHeight="1" x14ac:dyDescent="0.25">
      <c r="A505" s="22" t="s">
        <v>31</v>
      </c>
      <c r="B505" s="23">
        <v>18</v>
      </c>
      <c r="C505" s="23"/>
      <c r="D505" s="23">
        <v>7</v>
      </c>
      <c r="E505" s="23"/>
      <c r="F505" s="25">
        <f t="shared" si="39"/>
        <v>4</v>
      </c>
      <c r="G505" s="23">
        <v>0</v>
      </c>
      <c r="H505" s="23">
        <v>4</v>
      </c>
      <c r="I505" s="23">
        <v>9</v>
      </c>
      <c r="J505" s="23">
        <f t="shared" si="40"/>
        <v>2</v>
      </c>
      <c r="K505" s="23"/>
      <c r="L505" s="23">
        <v>2</v>
      </c>
      <c r="M505" s="23">
        <v>2</v>
      </c>
      <c r="N505" s="23">
        <v>4</v>
      </c>
      <c r="O505" s="23">
        <f t="shared" si="41"/>
        <v>0</v>
      </c>
      <c r="P505" s="23"/>
    </row>
    <row r="506" spans="1:16" s="18" customFormat="1" ht="9" customHeight="1" x14ac:dyDescent="0.25">
      <c r="A506" s="22" t="s">
        <v>32</v>
      </c>
      <c r="B506" s="23">
        <v>113</v>
      </c>
      <c r="C506" s="23"/>
      <c r="D506" s="23">
        <v>16</v>
      </c>
      <c r="E506" s="23"/>
      <c r="F506" s="25">
        <f t="shared" si="39"/>
        <v>37</v>
      </c>
      <c r="G506" s="23">
        <v>7</v>
      </c>
      <c r="H506" s="23">
        <v>30</v>
      </c>
      <c r="I506" s="23">
        <v>34</v>
      </c>
      <c r="J506" s="23">
        <f t="shared" si="40"/>
        <v>19</v>
      </c>
      <c r="K506" s="23"/>
      <c r="L506" s="23">
        <v>0</v>
      </c>
      <c r="M506" s="23">
        <v>11</v>
      </c>
      <c r="N506" s="23">
        <v>6</v>
      </c>
      <c r="O506" s="23">
        <f t="shared" si="41"/>
        <v>5</v>
      </c>
      <c r="P506" s="23"/>
    </row>
    <row r="507" spans="1:16" s="18" customFormat="1" ht="9" customHeight="1" x14ac:dyDescent="0.25">
      <c r="A507" s="26" t="s">
        <v>33</v>
      </c>
      <c r="B507" s="27">
        <v>39</v>
      </c>
      <c r="C507" s="27"/>
      <c r="D507" s="27">
        <v>10</v>
      </c>
      <c r="E507" s="27"/>
      <c r="F507" s="29">
        <f t="shared" si="39"/>
        <v>13</v>
      </c>
      <c r="G507" s="27">
        <v>2</v>
      </c>
      <c r="H507" s="27">
        <v>11</v>
      </c>
      <c r="I507" s="27">
        <v>18</v>
      </c>
      <c r="J507" s="27">
        <f t="shared" si="40"/>
        <v>5</v>
      </c>
      <c r="K507" s="27"/>
      <c r="L507" s="27">
        <v>4</v>
      </c>
      <c r="M507" s="27">
        <v>14</v>
      </c>
      <c r="N507" s="27">
        <v>15</v>
      </c>
      <c r="O507" s="27">
        <f t="shared" si="41"/>
        <v>3</v>
      </c>
      <c r="P507" s="23"/>
    </row>
    <row r="508" spans="1:16" s="18" customFormat="1" ht="9" customHeight="1" x14ac:dyDescent="0.25">
      <c r="A508" s="22" t="s">
        <v>34</v>
      </c>
      <c r="B508" s="23">
        <v>80</v>
      </c>
      <c r="C508" s="23"/>
      <c r="D508" s="23">
        <v>12</v>
      </c>
      <c r="E508" s="23"/>
      <c r="F508" s="25">
        <f t="shared" si="39"/>
        <v>30</v>
      </c>
      <c r="G508" s="23">
        <v>5</v>
      </c>
      <c r="H508" s="23">
        <v>25</v>
      </c>
      <c r="I508" s="23">
        <v>30</v>
      </c>
      <c r="J508" s="23">
        <f t="shared" si="40"/>
        <v>12</v>
      </c>
      <c r="K508" s="23"/>
      <c r="L508" s="23">
        <v>1</v>
      </c>
      <c r="M508" s="23">
        <v>17</v>
      </c>
      <c r="N508" s="23">
        <v>15</v>
      </c>
      <c r="O508" s="23">
        <f t="shared" si="41"/>
        <v>3</v>
      </c>
      <c r="P508" s="23"/>
    </row>
    <row r="509" spans="1:16" s="18" customFormat="1" ht="9" customHeight="1" x14ac:dyDescent="0.25">
      <c r="A509" s="22" t="s">
        <v>35</v>
      </c>
      <c r="B509" s="23">
        <v>125</v>
      </c>
      <c r="C509" s="23"/>
      <c r="D509" s="23">
        <v>13</v>
      </c>
      <c r="E509" s="23"/>
      <c r="F509" s="25">
        <f t="shared" si="39"/>
        <v>20</v>
      </c>
      <c r="G509" s="23">
        <v>6</v>
      </c>
      <c r="H509" s="23">
        <v>14</v>
      </c>
      <c r="I509" s="23">
        <v>28</v>
      </c>
      <c r="J509" s="23">
        <f t="shared" si="40"/>
        <v>5</v>
      </c>
      <c r="K509" s="23"/>
      <c r="L509" s="23">
        <v>5</v>
      </c>
      <c r="M509" s="23">
        <v>18</v>
      </c>
      <c r="N509" s="23">
        <v>19</v>
      </c>
      <c r="O509" s="23">
        <f t="shared" si="41"/>
        <v>4</v>
      </c>
      <c r="P509" s="23"/>
    </row>
    <row r="510" spans="1:16" s="18" customFormat="1" ht="9" customHeight="1" x14ac:dyDescent="0.25">
      <c r="A510" s="22" t="s">
        <v>36</v>
      </c>
      <c r="B510" s="23">
        <v>840</v>
      </c>
      <c r="C510" s="23"/>
      <c r="D510" s="23">
        <v>140</v>
      </c>
      <c r="E510" s="23"/>
      <c r="F510" s="25">
        <f t="shared" si="39"/>
        <v>321</v>
      </c>
      <c r="G510" s="23">
        <v>96</v>
      </c>
      <c r="H510" s="23">
        <v>225</v>
      </c>
      <c r="I510" s="23">
        <v>288</v>
      </c>
      <c r="J510" s="23">
        <f t="shared" si="40"/>
        <v>173</v>
      </c>
      <c r="K510" s="23"/>
      <c r="L510" s="23">
        <v>1</v>
      </c>
      <c r="M510" s="23">
        <v>16</v>
      </c>
      <c r="N510" s="23">
        <v>15</v>
      </c>
      <c r="O510" s="23">
        <f t="shared" si="41"/>
        <v>2</v>
      </c>
      <c r="P510" s="23"/>
    </row>
    <row r="511" spans="1:16" s="18" customFormat="1" ht="9" customHeight="1" x14ac:dyDescent="0.25">
      <c r="A511" s="26" t="s">
        <v>37</v>
      </c>
      <c r="B511" s="27">
        <v>49</v>
      </c>
      <c r="C511" s="27"/>
      <c r="D511" s="27">
        <v>6</v>
      </c>
      <c r="E511" s="27"/>
      <c r="F511" s="29">
        <f t="shared" si="39"/>
        <v>23</v>
      </c>
      <c r="G511" s="27">
        <v>6</v>
      </c>
      <c r="H511" s="27">
        <v>17</v>
      </c>
      <c r="I511" s="27">
        <v>18</v>
      </c>
      <c r="J511" s="27">
        <f t="shared" si="40"/>
        <v>11</v>
      </c>
      <c r="K511" s="27"/>
      <c r="L511" s="27">
        <v>1</v>
      </c>
      <c r="M511" s="27">
        <v>8</v>
      </c>
      <c r="N511" s="27">
        <v>7</v>
      </c>
      <c r="O511" s="27">
        <f t="shared" si="41"/>
        <v>2</v>
      </c>
      <c r="P511" s="23"/>
    </row>
    <row r="512" spans="1:16" s="18" customFormat="1" ht="9" customHeight="1" x14ac:dyDescent="0.25">
      <c r="A512" s="22" t="s">
        <v>38</v>
      </c>
      <c r="B512" s="23">
        <v>50</v>
      </c>
      <c r="C512" s="23"/>
      <c r="D512" s="23">
        <v>5</v>
      </c>
      <c r="E512" s="23"/>
      <c r="F512" s="25">
        <f t="shared" si="39"/>
        <v>9</v>
      </c>
      <c r="G512" s="23">
        <v>1</v>
      </c>
      <c r="H512" s="23">
        <v>8</v>
      </c>
      <c r="I512" s="23">
        <v>7</v>
      </c>
      <c r="J512" s="23">
        <f t="shared" si="40"/>
        <v>7</v>
      </c>
      <c r="K512" s="23"/>
      <c r="L512" s="23">
        <v>2</v>
      </c>
      <c r="M512" s="23">
        <v>3</v>
      </c>
      <c r="N512" s="23">
        <v>4</v>
      </c>
      <c r="O512" s="23">
        <f t="shared" si="41"/>
        <v>1</v>
      </c>
      <c r="P512" s="23"/>
    </row>
    <row r="513" spans="1:16" s="18" customFormat="1" ht="9" customHeight="1" x14ac:dyDescent="0.25">
      <c r="A513" s="22" t="s">
        <v>39</v>
      </c>
      <c r="B513" s="23">
        <v>24</v>
      </c>
      <c r="C513" s="23"/>
      <c r="D513" s="23">
        <v>3</v>
      </c>
      <c r="E513" s="23"/>
      <c r="F513" s="25">
        <f t="shared" si="39"/>
        <v>6</v>
      </c>
      <c r="G513" s="23">
        <v>1</v>
      </c>
      <c r="H513" s="23">
        <v>5</v>
      </c>
      <c r="I513" s="23">
        <v>8</v>
      </c>
      <c r="J513" s="23">
        <f t="shared" si="40"/>
        <v>1</v>
      </c>
      <c r="K513" s="23"/>
      <c r="L513" s="23">
        <v>0</v>
      </c>
      <c r="M513" s="23">
        <v>5</v>
      </c>
      <c r="N513" s="23">
        <v>5</v>
      </c>
      <c r="O513" s="23">
        <f t="shared" si="41"/>
        <v>0</v>
      </c>
      <c r="P513" s="23"/>
    </row>
    <row r="514" spans="1:16" s="18" customFormat="1" ht="9" customHeight="1" x14ac:dyDescent="0.25">
      <c r="A514" s="22" t="s">
        <v>40</v>
      </c>
      <c r="B514" s="23">
        <v>61</v>
      </c>
      <c r="C514" s="23"/>
      <c r="D514" s="23">
        <v>14</v>
      </c>
      <c r="E514" s="23"/>
      <c r="F514" s="25">
        <f t="shared" si="39"/>
        <v>12</v>
      </c>
      <c r="G514" s="23">
        <v>2</v>
      </c>
      <c r="H514" s="23">
        <v>10</v>
      </c>
      <c r="I514" s="23">
        <v>20</v>
      </c>
      <c r="J514" s="23">
        <f t="shared" si="40"/>
        <v>6</v>
      </c>
      <c r="K514" s="23"/>
      <c r="L514" s="23">
        <v>1</v>
      </c>
      <c r="M514" s="23">
        <v>1</v>
      </c>
      <c r="N514" s="23">
        <v>1</v>
      </c>
      <c r="O514" s="23">
        <f t="shared" si="41"/>
        <v>1</v>
      </c>
      <c r="P514" s="23"/>
    </row>
    <row r="515" spans="1:16" s="18" customFormat="1" ht="9" customHeight="1" x14ac:dyDescent="0.25">
      <c r="A515" s="26" t="s">
        <v>41</v>
      </c>
      <c r="B515" s="27">
        <v>34</v>
      </c>
      <c r="C515" s="27"/>
      <c r="D515" s="27">
        <v>7</v>
      </c>
      <c r="E515" s="27"/>
      <c r="F515" s="29">
        <f t="shared" si="39"/>
        <v>6</v>
      </c>
      <c r="G515" s="27">
        <v>0</v>
      </c>
      <c r="H515" s="27">
        <v>6</v>
      </c>
      <c r="I515" s="27">
        <v>8</v>
      </c>
      <c r="J515" s="27">
        <f t="shared" si="40"/>
        <v>5</v>
      </c>
      <c r="K515" s="27"/>
      <c r="L515" s="27">
        <v>3</v>
      </c>
      <c r="M515" s="27">
        <v>3</v>
      </c>
      <c r="N515" s="27">
        <v>5</v>
      </c>
      <c r="O515" s="27">
        <f t="shared" si="41"/>
        <v>1</v>
      </c>
      <c r="P515" s="23"/>
    </row>
    <row r="516" spans="1:16" s="18" customFormat="1" ht="9" customHeight="1" x14ac:dyDescent="0.25">
      <c r="A516" s="22" t="s">
        <v>42</v>
      </c>
      <c r="B516" s="23">
        <v>68</v>
      </c>
      <c r="C516" s="23"/>
      <c r="D516" s="23">
        <v>14</v>
      </c>
      <c r="E516" s="23"/>
      <c r="F516" s="25">
        <f t="shared" si="39"/>
        <v>32</v>
      </c>
      <c r="G516" s="23">
        <v>2</v>
      </c>
      <c r="H516" s="23">
        <v>30</v>
      </c>
      <c r="I516" s="23">
        <v>26</v>
      </c>
      <c r="J516" s="23">
        <f t="shared" si="40"/>
        <v>20</v>
      </c>
      <c r="K516" s="23"/>
      <c r="L516" s="23">
        <v>7</v>
      </c>
      <c r="M516" s="23">
        <v>11</v>
      </c>
      <c r="N516" s="23">
        <v>13</v>
      </c>
      <c r="O516" s="23">
        <f t="shared" si="41"/>
        <v>5</v>
      </c>
      <c r="P516" s="23"/>
    </row>
    <row r="517" spans="1:16" s="18" customFormat="1" ht="9" customHeight="1" x14ac:dyDescent="0.25">
      <c r="A517" s="22" t="s">
        <v>43</v>
      </c>
      <c r="B517" s="23">
        <v>48</v>
      </c>
      <c r="C517" s="23"/>
      <c r="D517" s="23">
        <v>14</v>
      </c>
      <c r="E517" s="23"/>
      <c r="F517" s="25">
        <f t="shared" si="39"/>
        <v>32</v>
      </c>
      <c r="G517" s="23">
        <v>2</v>
      </c>
      <c r="H517" s="23">
        <v>30</v>
      </c>
      <c r="I517" s="23">
        <v>34</v>
      </c>
      <c r="J517" s="23">
        <f t="shared" si="40"/>
        <v>12</v>
      </c>
      <c r="K517" s="23"/>
      <c r="L517" s="23">
        <v>1</v>
      </c>
      <c r="M517" s="23">
        <v>0</v>
      </c>
      <c r="N517" s="23">
        <v>1</v>
      </c>
      <c r="O517" s="23">
        <f t="shared" si="41"/>
        <v>0</v>
      </c>
      <c r="P517" s="23"/>
    </row>
    <row r="518" spans="1:16" s="18" customFormat="1" ht="9" customHeight="1" x14ac:dyDescent="0.25">
      <c r="A518" s="22" t="s">
        <v>44</v>
      </c>
      <c r="B518" s="23">
        <v>71</v>
      </c>
      <c r="C518" s="23"/>
      <c r="D518" s="23">
        <v>18</v>
      </c>
      <c r="E518" s="23"/>
      <c r="F518" s="25">
        <f t="shared" si="39"/>
        <v>24</v>
      </c>
      <c r="G518" s="23">
        <v>3</v>
      </c>
      <c r="H518" s="23">
        <v>21</v>
      </c>
      <c r="I518" s="23">
        <v>22</v>
      </c>
      <c r="J518" s="23">
        <f t="shared" si="40"/>
        <v>20</v>
      </c>
      <c r="K518" s="23"/>
      <c r="L518" s="23">
        <v>1</v>
      </c>
      <c r="M518" s="23">
        <v>4</v>
      </c>
      <c r="N518" s="23">
        <v>2</v>
      </c>
      <c r="O518" s="23">
        <f t="shared" si="41"/>
        <v>3</v>
      </c>
      <c r="P518" s="23"/>
    </row>
    <row r="519" spans="1:16" s="18" customFormat="1" ht="9" customHeight="1" x14ac:dyDescent="0.25">
      <c r="A519" s="26" t="s">
        <v>45</v>
      </c>
      <c r="B519" s="27">
        <v>48</v>
      </c>
      <c r="C519" s="27"/>
      <c r="D519" s="27">
        <v>25</v>
      </c>
      <c r="E519" s="27"/>
      <c r="F519" s="29">
        <f t="shared" si="39"/>
        <v>48</v>
      </c>
      <c r="G519" s="27">
        <v>2</v>
      </c>
      <c r="H519" s="27">
        <v>46</v>
      </c>
      <c r="I519" s="27">
        <v>52</v>
      </c>
      <c r="J519" s="27">
        <f t="shared" si="40"/>
        <v>21</v>
      </c>
      <c r="K519" s="27"/>
      <c r="L519" s="27">
        <v>3</v>
      </c>
      <c r="M519" s="27">
        <v>8</v>
      </c>
      <c r="N519" s="27">
        <v>7</v>
      </c>
      <c r="O519" s="27">
        <f t="shared" si="41"/>
        <v>4</v>
      </c>
      <c r="P519" s="23"/>
    </row>
    <row r="520" spans="1:16" s="18" customFormat="1" ht="9" customHeight="1" x14ac:dyDescent="0.25">
      <c r="A520" s="22" t="s">
        <v>46</v>
      </c>
      <c r="B520" s="23">
        <v>39</v>
      </c>
      <c r="C520" s="23"/>
      <c r="D520" s="23">
        <v>2</v>
      </c>
      <c r="E520" s="23"/>
      <c r="F520" s="25">
        <f t="shared" si="39"/>
        <v>22</v>
      </c>
      <c r="G520" s="23">
        <v>3</v>
      </c>
      <c r="H520" s="23">
        <v>19</v>
      </c>
      <c r="I520" s="23">
        <v>10</v>
      </c>
      <c r="J520" s="23">
        <f t="shared" si="40"/>
        <v>14</v>
      </c>
      <c r="K520" s="23"/>
      <c r="L520" s="23">
        <v>4</v>
      </c>
      <c r="M520" s="23">
        <v>14</v>
      </c>
      <c r="N520" s="23">
        <v>15</v>
      </c>
      <c r="O520" s="23">
        <f t="shared" si="41"/>
        <v>3</v>
      </c>
      <c r="P520" s="23"/>
    </row>
    <row r="521" spans="1:16" s="18" customFormat="1" ht="9" customHeight="1" x14ac:dyDescent="0.25">
      <c r="A521" s="22" t="s">
        <v>47</v>
      </c>
      <c r="B521" s="23">
        <v>60</v>
      </c>
      <c r="C521" s="23"/>
      <c r="D521" s="23">
        <v>29</v>
      </c>
      <c r="E521" s="23"/>
      <c r="F521" s="25">
        <f t="shared" si="39"/>
        <v>41</v>
      </c>
      <c r="G521" s="23">
        <v>3</v>
      </c>
      <c r="H521" s="23">
        <v>38</v>
      </c>
      <c r="I521" s="23">
        <v>38</v>
      </c>
      <c r="J521" s="23">
        <f t="shared" si="40"/>
        <v>32</v>
      </c>
      <c r="K521" s="23"/>
      <c r="L521" s="23">
        <v>0</v>
      </c>
      <c r="M521" s="23">
        <v>18</v>
      </c>
      <c r="N521" s="23">
        <v>7</v>
      </c>
      <c r="O521" s="23">
        <f t="shared" si="41"/>
        <v>11</v>
      </c>
      <c r="P521" s="23"/>
    </row>
    <row r="522" spans="1:16" s="18" customFormat="1" ht="9" customHeight="1" x14ac:dyDescent="0.25">
      <c r="A522" s="22" t="s">
        <v>48</v>
      </c>
      <c r="B522" s="23">
        <v>43</v>
      </c>
      <c r="C522" s="23"/>
      <c r="D522" s="23">
        <v>7</v>
      </c>
      <c r="E522" s="23"/>
      <c r="F522" s="25">
        <f t="shared" si="39"/>
        <v>19</v>
      </c>
      <c r="G522" s="23">
        <v>4</v>
      </c>
      <c r="H522" s="23">
        <v>15</v>
      </c>
      <c r="I522" s="23">
        <v>18</v>
      </c>
      <c r="J522" s="23">
        <f t="shared" si="40"/>
        <v>8</v>
      </c>
      <c r="K522" s="23"/>
      <c r="L522" s="23">
        <v>0</v>
      </c>
      <c r="M522" s="23">
        <v>3</v>
      </c>
      <c r="N522" s="23">
        <v>0</v>
      </c>
      <c r="O522" s="23">
        <f t="shared" si="41"/>
        <v>3</v>
      </c>
      <c r="P522" s="23"/>
    </row>
    <row r="523" spans="1:16" s="18" customFormat="1" ht="9" customHeight="1" x14ac:dyDescent="0.25">
      <c r="A523" s="26" t="s">
        <v>49</v>
      </c>
      <c r="B523" s="27">
        <v>62</v>
      </c>
      <c r="C523" s="27"/>
      <c r="D523" s="27">
        <v>8</v>
      </c>
      <c r="E523" s="27"/>
      <c r="F523" s="29">
        <f t="shared" si="39"/>
        <v>17</v>
      </c>
      <c r="G523" s="27">
        <v>4</v>
      </c>
      <c r="H523" s="27">
        <v>13</v>
      </c>
      <c r="I523" s="27">
        <v>16</v>
      </c>
      <c r="J523" s="27">
        <f t="shared" si="40"/>
        <v>9</v>
      </c>
      <c r="K523" s="27"/>
      <c r="L523" s="27">
        <v>2</v>
      </c>
      <c r="M523" s="27">
        <v>11</v>
      </c>
      <c r="N523" s="27">
        <v>9</v>
      </c>
      <c r="O523" s="27">
        <f t="shared" si="41"/>
        <v>4</v>
      </c>
      <c r="P523" s="23"/>
    </row>
    <row r="524" spans="1:16" s="18" customFormat="1" ht="9" customHeight="1" x14ac:dyDescent="0.25">
      <c r="A524" s="22" t="s">
        <v>50</v>
      </c>
      <c r="B524" s="23">
        <v>13</v>
      </c>
      <c r="C524" s="23"/>
      <c r="D524" s="23">
        <v>8</v>
      </c>
      <c r="E524" s="23"/>
      <c r="F524" s="25">
        <f t="shared" si="39"/>
        <v>12</v>
      </c>
      <c r="G524" s="23">
        <v>0</v>
      </c>
      <c r="H524" s="23">
        <v>12</v>
      </c>
      <c r="I524" s="23">
        <v>12</v>
      </c>
      <c r="J524" s="23">
        <f t="shared" si="40"/>
        <v>8</v>
      </c>
      <c r="K524" s="23"/>
      <c r="L524" s="23">
        <v>1</v>
      </c>
      <c r="M524" s="23">
        <v>2</v>
      </c>
      <c r="N524" s="23">
        <v>3</v>
      </c>
      <c r="O524" s="23">
        <f t="shared" si="41"/>
        <v>0</v>
      </c>
      <c r="P524" s="23"/>
    </row>
    <row r="525" spans="1:16" s="18" customFormat="1" ht="9" customHeight="1" x14ac:dyDescent="0.25">
      <c r="A525" s="22" t="s">
        <v>51</v>
      </c>
      <c r="B525" s="23">
        <v>161</v>
      </c>
      <c r="C525" s="23"/>
      <c r="D525" s="23">
        <v>14</v>
      </c>
      <c r="E525" s="23"/>
      <c r="F525" s="25">
        <f t="shared" si="39"/>
        <v>28</v>
      </c>
      <c r="G525" s="23">
        <v>7</v>
      </c>
      <c r="H525" s="23">
        <v>21</v>
      </c>
      <c r="I525" s="23">
        <v>26</v>
      </c>
      <c r="J525" s="23">
        <f t="shared" si="40"/>
        <v>16</v>
      </c>
      <c r="K525" s="23"/>
      <c r="L525" s="23">
        <v>3</v>
      </c>
      <c r="M525" s="23">
        <v>13</v>
      </c>
      <c r="N525" s="23">
        <v>9</v>
      </c>
      <c r="O525" s="23">
        <f t="shared" si="41"/>
        <v>7</v>
      </c>
      <c r="P525" s="23"/>
    </row>
    <row r="526" spans="1:16" s="18" customFormat="1" ht="9" customHeight="1" x14ac:dyDescent="0.25">
      <c r="A526" s="22" t="s">
        <v>52</v>
      </c>
      <c r="B526" s="23">
        <v>34</v>
      </c>
      <c r="C526" s="23"/>
      <c r="D526" s="23">
        <v>19</v>
      </c>
      <c r="E526" s="23"/>
      <c r="F526" s="25">
        <f t="shared" si="39"/>
        <v>39</v>
      </c>
      <c r="G526" s="23">
        <v>8</v>
      </c>
      <c r="H526" s="23">
        <v>31</v>
      </c>
      <c r="I526" s="23">
        <v>40</v>
      </c>
      <c r="J526" s="23">
        <f t="shared" si="40"/>
        <v>18</v>
      </c>
      <c r="K526" s="23"/>
      <c r="L526" s="23">
        <v>1</v>
      </c>
      <c r="M526" s="23">
        <v>9</v>
      </c>
      <c r="N526" s="23">
        <v>5</v>
      </c>
      <c r="O526" s="23">
        <f t="shared" si="41"/>
        <v>5</v>
      </c>
      <c r="P526" s="23"/>
    </row>
    <row r="527" spans="1:16" s="18" customFormat="1" ht="9" customHeight="1" x14ac:dyDescent="0.25">
      <c r="A527" s="26" t="s">
        <v>53</v>
      </c>
      <c r="B527" s="27">
        <v>25</v>
      </c>
      <c r="C527" s="27"/>
      <c r="D527" s="27">
        <v>4</v>
      </c>
      <c r="E527" s="27"/>
      <c r="F527" s="29">
        <f t="shared" si="39"/>
        <v>12</v>
      </c>
      <c r="G527" s="27">
        <v>0</v>
      </c>
      <c r="H527" s="27">
        <v>12</v>
      </c>
      <c r="I527" s="27">
        <v>11</v>
      </c>
      <c r="J527" s="27">
        <f t="shared" si="40"/>
        <v>5</v>
      </c>
      <c r="K527" s="27"/>
      <c r="L527" s="27">
        <v>1</v>
      </c>
      <c r="M527" s="27">
        <v>6</v>
      </c>
      <c r="N527" s="27">
        <v>5</v>
      </c>
      <c r="O527" s="27">
        <f t="shared" si="41"/>
        <v>2</v>
      </c>
      <c r="P527" s="23"/>
    </row>
    <row r="528" spans="1:16" s="18" customFormat="1" ht="9" customHeight="1" x14ac:dyDescent="0.25">
      <c r="A528" s="22" t="s">
        <v>54</v>
      </c>
      <c r="B528" s="23">
        <v>272</v>
      </c>
      <c r="C528" s="23"/>
      <c r="D528" s="23">
        <v>0</v>
      </c>
      <c r="E528" s="23"/>
      <c r="F528" s="25">
        <f t="shared" si="39"/>
        <v>0</v>
      </c>
      <c r="G528" s="23">
        <v>0</v>
      </c>
      <c r="H528" s="23">
        <v>0</v>
      </c>
      <c r="I528" s="23">
        <v>0</v>
      </c>
      <c r="J528" s="23">
        <f t="shared" si="40"/>
        <v>0</v>
      </c>
      <c r="K528" s="23"/>
      <c r="L528" s="23">
        <v>0</v>
      </c>
      <c r="M528" s="23">
        <v>0</v>
      </c>
      <c r="N528" s="23">
        <v>0</v>
      </c>
      <c r="O528" s="23">
        <f t="shared" si="41"/>
        <v>0</v>
      </c>
      <c r="P528" s="23"/>
    </row>
    <row r="529" spans="1:16" s="18" customFormat="1" ht="9" customHeight="1" x14ac:dyDescent="0.25">
      <c r="A529" s="22"/>
      <c r="B529" s="23"/>
      <c r="C529" s="23"/>
      <c r="D529" s="23"/>
      <c r="E529" s="23"/>
      <c r="G529" s="23"/>
      <c r="H529" s="23"/>
      <c r="I529" s="23"/>
      <c r="J529" s="23"/>
      <c r="K529" s="23"/>
      <c r="L529" s="23"/>
      <c r="M529" s="23"/>
      <c r="N529" s="23"/>
      <c r="O529" s="23"/>
    </row>
    <row r="530" spans="1:16" s="18" customFormat="1" ht="9" customHeight="1" x14ac:dyDescent="0.25">
      <c r="A530" s="16">
        <v>2010</v>
      </c>
      <c r="B530" s="20"/>
      <c r="C530" s="20"/>
      <c r="D530" s="20"/>
      <c r="E530" s="20"/>
      <c r="G530" s="20"/>
      <c r="H530" s="20"/>
      <c r="I530" s="20"/>
      <c r="J530" s="20"/>
      <c r="K530" s="20"/>
      <c r="L530" s="20"/>
      <c r="M530" s="20"/>
      <c r="N530" s="20"/>
      <c r="O530" s="20"/>
      <c r="P530" s="30"/>
    </row>
    <row r="531" spans="1:16" s="18" customFormat="1" ht="9" customHeight="1" x14ac:dyDescent="0.25">
      <c r="A531" s="19" t="s">
        <v>21</v>
      </c>
      <c r="B531" s="20">
        <f>SUM(B533:B565)</f>
        <v>4555</v>
      </c>
      <c r="C531" s="20"/>
      <c r="D531" s="20">
        <f>SUM(D533:D565)</f>
        <v>1029</v>
      </c>
      <c r="E531" s="20"/>
      <c r="F531" s="20">
        <f>SUM(F533:F565)</f>
        <v>2306</v>
      </c>
      <c r="G531" s="20">
        <f>SUM(G533:G565)</f>
        <v>654</v>
      </c>
      <c r="H531" s="20">
        <f>SUM(H533:H565)</f>
        <v>1652</v>
      </c>
      <c r="I531" s="20">
        <f>SUM(I533:I565)</f>
        <v>2325</v>
      </c>
      <c r="J531" s="20">
        <f>SUM(J533:J565)</f>
        <v>1010</v>
      </c>
      <c r="K531" s="20"/>
      <c r="L531" s="20">
        <f>SUM(L533:L565)</f>
        <v>128</v>
      </c>
      <c r="M531" s="20">
        <f>SUM(M533:M565)</f>
        <v>303</v>
      </c>
      <c r="N531" s="20">
        <f>SUM(N533:N565)</f>
        <v>358</v>
      </c>
      <c r="O531" s="20">
        <f>SUM(O533:O565)</f>
        <v>73</v>
      </c>
      <c r="P531" s="20"/>
    </row>
    <row r="532" spans="1:16" s="18" customFormat="1" ht="3" customHeight="1" x14ac:dyDescent="0.25">
      <c r="A532" s="19"/>
      <c r="B532" s="20"/>
      <c r="C532" s="20"/>
      <c r="D532" s="20"/>
      <c r="E532" s="20"/>
      <c r="G532" s="20"/>
      <c r="H532" s="20"/>
      <c r="I532" s="20"/>
      <c r="J532" s="20"/>
      <c r="K532" s="20"/>
      <c r="L532" s="20"/>
      <c r="M532" s="20"/>
      <c r="N532" s="20"/>
      <c r="O532" s="20"/>
    </row>
    <row r="533" spans="1:16" s="18" customFormat="1" ht="8.65" customHeight="1" x14ac:dyDescent="0.25">
      <c r="A533" s="22" t="s">
        <v>23</v>
      </c>
      <c r="B533" s="23">
        <v>17</v>
      </c>
      <c r="C533" s="23"/>
      <c r="D533" s="23">
        <v>2</v>
      </c>
      <c r="E533" s="23"/>
      <c r="F533" s="25">
        <f t="shared" ref="F533:F565" si="42">SUM(G533:H533)</f>
        <v>9</v>
      </c>
      <c r="G533" s="23">
        <v>2</v>
      </c>
      <c r="H533" s="23">
        <v>7</v>
      </c>
      <c r="I533" s="23">
        <v>7</v>
      </c>
      <c r="J533" s="23">
        <f t="shared" ref="J533:J565" si="43">(D533+F533)-I533</f>
        <v>4</v>
      </c>
      <c r="K533" s="23"/>
      <c r="L533" s="23">
        <v>1</v>
      </c>
      <c r="M533" s="23">
        <v>1</v>
      </c>
      <c r="N533" s="23">
        <v>2</v>
      </c>
      <c r="O533" s="23">
        <f t="shared" ref="O533:O565" si="44">(L533+M533)-N533</f>
        <v>0</v>
      </c>
      <c r="P533" s="23"/>
    </row>
    <row r="534" spans="1:16" s="18" customFormat="1" ht="8.65" customHeight="1" x14ac:dyDescent="0.25">
      <c r="A534" s="22" t="s">
        <v>24</v>
      </c>
      <c r="B534" s="23">
        <v>42</v>
      </c>
      <c r="C534" s="23"/>
      <c r="D534" s="23">
        <v>4</v>
      </c>
      <c r="E534" s="23"/>
      <c r="F534" s="25">
        <f t="shared" si="42"/>
        <v>13</v>
      </c>
      <c r="G534" s="23">
        <v>7</v>
      </c>
      <c r="H534" s="23">
        <v>6</v>
      </c>
      <c r="I534" s="23">
        <v>14</v>
      </c>
      <c r="J534" s="23">
        <f t="shared" si="43"/>
        <v>3</v>
      </c>
      <c r="K534" s="23"/>
      <c r="L534" s="23">
        <v>1</v>
      </c>
      <c r="M534" s="23">
        <v>8</v>
      </c>
      <c r="N534" s="23">
        <v>7</v>
      </c>
      <c r="O534" s="23">
        <f t="shared" si="44"/>
        <v>2</v>
      </c>
      <c r="P534" s="23"/>
    </row>
    <row r="535" spans="1:16" s="18" customFormat="1" ht="8.65" customHeight="1" x14ac:dyDescent="0.25">
      <c r="A535" s="22" t="s">
        <v>25</v>
      </c>
      <c r="B535" s="23">
        <v>38</v>
      </c>
      <c r="C535" s="23"/>
      <c r="D535" s="23">
        <v>8</v>
      </c>
      <c r="E535" s="23"/>
      <c r="F535" s="25">
        <f t="shared" si="42"/>
        <v>5</v>
      </c>
      <c r="G535" s="23">
        <v>0</v>
      </c>
      <c r="H535" s="23">
        <v>5</v>
      </c>
      <c r="I535" s="23">
        <v>4</v>
      </c>
      <c r="J535" s="23">
        <f t="shared" si="43"/>
        <v>9</v>
      </c>
      <c r="K535" s="23"/>
      <c r="L535" s="23">
        <v>2</v>
      </c>
      <c r="M535" s="23">
        <v>4</v>
      </c>
      <c r="N535" s="23">
        <v>5</v>
      </c>
      <c r="O535" s="23">
        <f t="shared" si="44"/>
        <v>1</v>
      </c>
      <c r="P535" s="23"/>
    </row>
    <row r="536" spans="1:16" s="18" customFormat="1" ht="8.65" customHeight="1" x14ac:dyDescent="0.25">
      <c r="A536" s="26" t="s">
        <v>26</v>
      </c>
      <c r="B536" s="27">
        <v>11</v>
      </c>
      <c r="C536" s="27"/>
      <c r="D536" s="27">
        <v>2</v>
      </c>
      <c r="E536" s="27"/>
      <c r="F536" s="29">
        <f t="shared" si="42"/>
        <v>5</v>
      </c>
      <c r="G536" s="27">
        <v>0</v>
      </c>
      <c r="H536" s="27">
        <v>5</v>
      </c>
      <c r="I536" s="27">
        <v>2</v>
      </c>
      <c r="J536" s="27">
        <f t="shared" si="43"/>
        <v>5</v>
      </c>
      <c r="K536" s="27"/>
      <c r="L536" s="27">
        <v>3</v>
      </c>
      <c r="M536" s="27">
        <v>3</v>
      </c>
      <c r="N536" s="27">
        <v>4</v>
      </c>
      <c r="O536" s="27">
        <f t="shared" si="44"/>
        <v>2</v>
      </c>
      <c r="P536" s="23"/>
    </row>
    <row r="537" spans="1:16" s="18" customFormat="1" ht="8.65" customHeight="1" x14ac:dyDescent="0.25">
      <c r="A537" s="22" t="s">
        <v>27</v>
      </c>
      <c r="B537" s="23">
        <v>52</v>
      </c>
      <c r="C537" s="23"/>
      <c r="D537" s="23">
        <v>13</v>
      </c>
      <c r="E537" s="23"/>
      <c r="F537" s="25">
        <f t="shared" si="42"/>
        <v>28</v>
      </c>
      <c r="G537" s="23">
        <v>8</v>
      </c>
      <c r="H537" s="23">
        <v>20</v>
      </c>
      <c r="I537" s="23">
        <v>26</v>
      </c>
      <c r="J537" s="23">
        <f t="shared" si="43"/>
        <v>15</v>
      </c>
      <c r="K537" s="23"/>
      <c r="L537" s="23">
        <v>2</v>
      </c>
      <c r="M537" s="23">
        <v>2</v>
      </c>
      <c r="N537" s="23">
        <v>4</v>
      </c>
      <c r="O537" s="23">
        <f t="shared" si="44"/>
        <v>0</v>
      </c>
      <c r="P537" s="23"/>
    </row>
    <row r="538" spans="1:16" s="18" customFormat="1" ht="8.65" customHeight="1" x14ac:dyDescent="0.25">
      <c r="A538" s="22" t="s">
        <v>28</v>
      </c>
      <c r="B538" s="23">
        <v>15</v>
      </c>
      <c r="C538" s="23"/>
      <c r="D538" s="23">
        <v>1</v>
      </c>
      <c r="E538" s="23"/>
      <c r="F538" s="25">
        <f t="shared" si="42"/>
        <v>0</v>
      </c>
      <c r="G538" s="23">
        <v>0</v>
      </c>
      <c r="H538" s="23">
        <v>0</v>
      </c>
      <c r="I538" s="23">
        <v>0</v>
      </c>
      <c r="J538" s="23">
        <f t="shared" si="43"/>
        <v>1</v>
      </c>
      <c r="K538" s="23"/>
      <c r="L538" s="23">
        <v>0</v>
      </c>
      <c r="M538" s="23">
        <v>1</v>
      </c>
      <c r="N538" s="23">
        <v>0</v>
      </c>
      <c r="O538" s="23">
        <f t="shared" si="44"/>
        <v>1</v>
      </c>
      <c r="P538" s="23"/>
    </row>
    <row r="539" spans="1:16" s="18" customFormat="1" ht="8.65" customHeight="1" x14ac:dyDescent="0.25">
      <c r="A539" s="22" t="s">
        <v>29</v>
      </c>
      <c r="B539" s="23">
        <v>46</v>
      </c>
      <c r="C539" s="23"/>
      <c r="D539" s="23">
        <v>18</v>
      </c>
      <c r="E539" s="23"/>
      <c r="F539" s="25">
        <f t="shared" si="42"/>
        <v>27</v>
      </c>
      <c r="G539" s="23">
        <v>0</v>
      </c>
      <c r="H539" s="23">
        <v>27</v>
      </c>
      <c r="I539" s="23">
        <v>31</v>
      </c>
      <c r="J539" s="23">
        <f t="shared" si="43"/>
        <v>14</v>
      </c>
      <c r="K539" s="23"/>
      <c r="L539" s="23">
        <v>1</v>
      </c>
      <c r="M539" s="23">
        <v>3</v>
      </c>
      <c r="N539" s="23">
        <v>4</v>
      </c>
      <c r="O539" s="23">
        <f t="shared" si="44"/>
        <v>0</v>
      </c>
      <c r="P539" s="23"/>
    </row>
    <row r="540" spans="1:16" s="18" customFormat="1" ht="8.65" customHeight="1" x14ac:dyDescent="0.25">
      <c r="A540" s="26" t="s">
        <v>30</v>
      </c>
      <c r="B540" s="27">
        <v>113</v>
      </c>
      <c r="C540" s="27"/>
      <c r="D540" s="27">
        <v>19</v>
      </c>
      <c r="E540" s="27"/>
      <c r="F540" s="29">
        <f t="shared" si="42"/>
        <v>32</v>
      </c>
      <c r="G540" s="27">
        <v>4</v>
      </c>
      <c r="H540" s="27">
        <v>28</v>
      </c>
      <c r="I540" s="27">
        <v>29</v>
      </c>
      <c r="J540" s="27">
        <f t="shared" si="43"/>
        <v>22</v>
      </c>
      <c r="K540" s="27"/>
      <c r="L540" s="27">
        <v>1</v>
      </c>
      <c r="M540" s="27">
        <v>3</v>
      </c>
      <c r="N540" s="27">
        <v>4</v>
      </c>
      <c r="O540" s="27">
        <f t="shared" si="44"/>
        <v>0</v>
      </c>
      <c r="P540" s="23"/>
    </row>
    <row r="541" spans="1:16" s="18" customFormat="1" ht="8.65" customHeight="1" x14ac:dyDescent="0.25">
      <c r="A541" s="22" t="s">
        <v>63</v>
      </c>
      <c r="B541" s="23">
        <v>1642</v>
      </c>
      <c r="C541" s="23"/>
      <c r="D541" s="23">
        <v>533</v>
      </c>
      <c r="E541" s="23"/>
      <c r="F541" s="25">
        <f t="shared" si="42"/>
        <v>1466</v>
      </c>
      <c r="G541" s="23">
        <v>453</v>
      </c>
      <c r="H541" s="23">
        <v>1013</v>
      </c>
      <c r="I541" s="23">
        <v>1424</v>
      </c>
      <c r="J541" s="23">
        <f t="shared" si="43"/>
        <v>575</v>
      </c>
      <c r="K541" s="23"/>
      <c r="L541" s="23">
        <v>48</v>
      </c>
      <c r="M541" s="23">
        <v>117</v>
      </c>
      <c r="N541" s="23">
        <v>140</v>
      </c>
      <c r="O541" s="23">
        <f t="shared" si="44"/>
        <v>25</v>
      </c>
      <c r="P541" s="23"/>
    </row>
    <row r="542" spans="1:16" s="18" customFormat="1" ht="8.65" customHeight="1" x14ac:dyDescent="0.25">
      <c r="A542" s="22" t="s">
        <v>31</v>
      </c>
      <c r="B542" s="23">
        <v>42</v>
      </c>
      <c r="C542" s="23"/>
      <c r="D542" s="23">
        <v>2</v>
      </c>
      <c r="E542" s="23"/>
      <c r="F542" s="25">
        <f t="shared" si="42"/>
        <v>3</v>
      </c>
      <c r="G542" s="23">
        <v>0</v>
      </c>
      <c r="H542" s="23">
        <v>3</v>
      </c>
      <c r="I542" s="23">
        <v>2</v>
      </c>
      <c r="J542" s="23">
        <f t="shared" si="43"/>
        <v>3</v>
      </c>
      <c r="K542" s="23"/>
      <c r="L542" s="23">
        <v>0</v>
      </c>
      <c r="M542" s="23">
        <v>3</v>
      </c>
      <c r="N542" s="23">
        <v>3</v>
      </c>
      <c r="O542" s="23">
        <f t="shared" si="44"/>
        <v>0</v>
      </c>
      <c r="P542" s="23"/>
    </row>
    <row r="543" spans="1:16" s="18" customFormat="1" ht="8.65" customHeight="1" x14ac:dyDescent="0.25">
      <c r="A543" s="22" t="s">
        <v>32</v>
      </c>
      <c r="B543" s="23">
        <v>103</v>
      </c>
      <c r="C543" s="23"/>
      <c r="D543" s="23">
        <v>19</v>
      </c>
      <c r="E543" s="23"/>
      <c r="F543" s="25">
        <f t="shared" si="42"/>
        <v>58</v>
      </c>
      <c r="G543" s="23">
        <v>8</v>
      </c>
      <c r="H543" s="23">
        <v>50</v>
      </c>
      <c r="I543" s="23">
        <v>43</v>
      </c>
      <c r="J543" s="23">
        <f t="shared" si="43"/>
        <v>34</v>
      </c>
      <c r="K543" s="23"/>
      <c r="L543" s="23">
        <v>5</v>
      </c>
      <c r="M543" s="23">
        <v>9</v>
      </c>
      <c r="N543" s="23">
        <v>11</v>
      </c>
      <c r="O543" s="23">
        <f t="shared" si="44"/>
        <v>3</v>
      </c>
      <c r="P543" s="23"/>
    </row>
    <row r="544" spans="1:16" s="18" customFormat="1" ht="8.65" customHeight="1" x14ac:dyDescent="0.25">
      <c r="A544" s="26" t="s">
        <v>33</v>
      </c>
      <c r="B544" s="27">
        <v>41</v>
      </c>
      <c r="C544" s="27"/>
      <c r="D544" s="27">
        <v>5</v>
      </c>
      <c r="E544" s="27"/>
      <c r="F544" s="29">
        <f t="shared" si="42"/>
        <v>10</v>
      </c>
      <c r="G544" s="27">
        <v>3</v>
      </c>
      <c r="H544" s="27">
        <v>7</v>
      </c>
      <c r="I544" s="27">
        <v>9</v>
      </c>
      <c r="J544" s="27">
        <f t="shared" si="43"/>
        <v>6</v>
      </c>
      <c r="K544" s="27"/>
      <c r="L544" s="27">
        <v>3</v>
      </c>
      <c r="M544" s="27">
        <v>2</v>
      </c>
      <c r="N544" s="27">
        <v>5</v>
      </c>
      <c r="O544" s="27">
        <f t="shared" si="44"/>
        <v>0</v>
      </c>
      <c r="P544" s="23"/>
    </row>
    <row r="545" spans="1:16" s="18" customFormat="1" ht="8.65" customHeight="1" x14ac:dyDescent="0.25">
      <c r="A545" s="22" t="s">
        <v>34</v>
      </c>
      <c r="B545" s="23">
        <v>81</v>
      </c>
      <c r="C545" s="23"/>
      <c r="D545" s="23">
        <v>12</v>
      </c>
      <c r="E545" s="23"/>
      <c r="F545" s="25">
        <f t="shared" si="42"/>
        <v>22</v>
      </c>
      <c r="G545" s="23">
        <v>1</v>
      </c>
      <c r="H545" s="23">
        <v>21</v>
      </c>
      <c r="I545" s="23">
        <v>23</v>
      </c>
      <c r="J545" s="23">
        <f t="shared" si="43"/>
        <v>11</v>
      </c>
      <c r="K545" s="23"/>
      <c r="L545" s="23">
        <v>3</v>
      </c>
      <c r="M545" s="23">
        <v>19</v>
      </c>
      <c r="N545" s="23">
        <v>19</v>
      </c>
      <c r="O545" s="23">
        <f t="shared" si="44"/>
        <v>3</v>
      </c>
      <c r="P545" s="23"/>
    </row>
    <row r="546" spans="1:16" s="18" customFormat="1" ht="8.65" customHeight="1" x14ac:dyDescent="0.25">
      <c r="A546" s="22" t="s">
        <v>35</v>
      </c>
      <c r="B546" s="23">
        <v>158</v>
      </c>
      <c r="C546" s="23"/>
      <c r="D546" s="23">
        <v>5</v>
      </c>
      <c r="E546" s="23"/>
      <c r="F546" s="25">
        <f t="shared" si="42"/>
        <v>26</v>
      </c>
      <c r="G546" s="23">
        <v>8</v>
      </c>
      <c r="H546" s="23">
        <v>18</v>
      </c>
      <c r="I546" s="23">
        <v>22</v>
      </c>
      <c r="J546" s="23">
        <f t="shared" si="43"/>
        <v>9</v>
      </c>
      <c r="K546" s="23"/>
      <c r="L546" s="23">
        <v>4</v>
      </c>
      <c r="M546" s="23">
        <v>18</v>
      </c>
      <c r="N546" s="23">
        <v>17</v>
      </c>
      <c r="O546" s="23">
        <f t="shared" si="44"/>
        <v>5</v>
      </c>
      <c r="P546" s="23"/>
    </row>
    <row r="547" spans="1:16" s="18" customFormat="1" ht="8.65" customHeight="1" x14ac:dyDescent="0.25">
      <c r="A547" s="22" t="s">
        <v>36</v>
      </c>
      <c r="B547" s="23">
        <v>960</v>
      </c>
      <c r="C547" s="23"/>
      <c r="D547" s="23">
        <v>173</v>
      </c>
      <c r="E547" s="23"/>
      <c r="F547" s="25">
        <f t="shared" si="42"/>
        <v>320</v>
      </c>
      <c r="G547" s="23">
        <v>111</v>
      </c>
      <c r="H547" s="23">
        <v>209</v>
      </c>
      <c r="I547" s="23">
        <v>349</v>
      </c>
      <c r="J547" s="23">
        <f t="shared" si="43"/>
        <v>144</v>
      </c>
      <c r="K547" s="23"/>
      <c r="L547" s="23">
        <v>2</v>
      </c>
      <c r="M547" s="23">
        <v>17</v>
      </c>
      <c r="N547" s="23">
        <v>15</v>
      </c>
      <c r="O547" s="23">
        <f t="shared" si="44"/>
        <v>4</v>
      </c>
      <c r="P547" s="23"/>
    </row>
    <row r="548" spans="1:16" s="18" customFormat="1" ht="8.65" customHeight="1" x14ac:dyDescent="0.25">
      <c r="A548" s="26" t="s">
        <v>37</v>
      </c>
      <c r="B548" s="27">
        <v>55</v>
      </c>
      <c r="C548" s="27"/>
      <c r="D548" s="27">
        <v>11</v>
      </c>
      <c r="E548" s="27"/>
      <c r="F548" s="29">
        <f t="shared" si="42"/>
        <v>7</v>
      </c>
      <c r="G548" s="27">
        <v>3</v>
      </c>
      <c r="H548" s="27">
        <v>4</v>
      </c>
      <c r="I548" s="27">
        <v>15</v>
      </c>
      <c r="J548" s="27">
        <f t="shared" si="43"/>
        <v>3</v>
      </c>
      <c r="K548" s="27"/>
      <c r="L548" s="27">
        <v>2</v>
      </c>
      <c r="M548" s="27">
        <v>10</v>
      </c>
      <c r="N548" s="27">
        <v>10</v>
      </c>
      <c r="O548" s="27">
        <f t="shared" si="44"/>
        <v>2</v>
      </c>
      <c r="P548" s="23"/>
    </row>
    <row r="549" spans="1:16" s="18" customFormat="1" ht="8.65" customHeight="1" x14ac:dyDescent="0.25">
      <c r="A549" s="22" t="s">
        <v>38</v>
      </c>
      <c r="B549" s="23">
        <v>55</v>
      </c>
      <c r="C549" s="23"/>
      <c r="D549" s="23">
        <v>7</v>
      </c>
      <c r="E549" s="23"/>
      <c r="F549" s="25">
        <f t="shared" si="42"/>
        <v>12</v>
      </c>
      <c r="G549" s="23">
        <v>1</v>
      </c>
      <c r="H549" s="23">
        <v>11</v>
      </c>
      <c r="I549" s="23">
        <v>8</v>
      </c>
      <c r="J549" s="23">
        <f t="shared" si="43"/>
        <v>11</v>
      </c>
      <c r="K549" s="23"/>
      <c r="L549" s="23">
        <v>1</v>
      </c>
      <c r="M549" s="23">
        <v>3</v>
      </c>
      <c r="N549" s="23">
        <v>3</v>
      </c>
      <c r="O549" s="23">
        <f t="shared" si="44"/>
        <v>1</v>
      </c>
      <c r="P549" s="23"/>
    </row>
    <row r="550" spans="1:16" s="18" customFormat="1" ht="8.65" customHeight="1" x14ac:dyDescent="0.25">
      <c r="A550" s="22" t="s">
        <v>39</v>
      </c>
      <c r="B550" s="23">
        <v>16</v>
      </c>
      <c r="C550" s="23"/>
      <c r="D550" s="23">
        <v>1</v>
      </c>
      <c r="E550" s="23"/>
      <c r="F550" s="25">
        <f t="shared" si="42"/>
        <v>8</v>
      </c>
      <c r="G550" s="23">
        <v>2</v>
      </c>
      <c r="H550" s="23">
        <v>6</v>
      </c>
      <c r="I550" s="23">
        <v>7</v>
      </c>
      <c r="J550" s="23">
        <f t="shared" si="43"/>
        <v>2</v>
      </c>
      <c r="K550" s="23"/>
      <c r="L550" s="23">
        <v>0</v>
      </c>
      <c r="M550" s="23">
        <v>1</v>
      </c>
      <c r="N550" s="23">
        <v>1</v>
      </c>
      <c r="O550" s="23">
        <f t="shared" si="44"/>
        <v>0</v>
      </c>
      <c r="P550" s="23"/>
    </row>
    <row r="551" spans="1:16" s="18" customFormat="1" ht="8.65" customHeight="1" x14ac:dyDescent="0.25">
      <c r="A551" s="22" t="s">
        <v>40</v>
      </c>
      <c r="B551" s="23">
        <v>66</v>
      </c>
      <c r="C551" s="23"/>
      <c r="D551" s="23">
        <v>6</v>
      </c>
      <c r="E551" s="23"/>
      <c r="F551" s="25">
        <f t="shared" si="42"/>
        <v>12</v>
      </c>
      <c r="G551" s="23">
        <v>2</v>
      </c>
      <c r="H551" s="23">
        <v>10</v>
      </c>
      <c r="I551" s="23">
        <v>8</v>
      </c>
      <c r="J551" s="23">
        <f t="shared" si="43"/>
        <v>10</v>
      </c>
      <c r="K551" s="23"/>
      <c r="L551" s="23">
        <v>1</v>
      </c>
      <c r="M551" s="23">
        <v>0</v>
      </c>
      <c r="N551" s="23">
        <v>1</v>
      </c>
      <c r="O551" s="23">
        <f t="shared" si="44"/>
        <v>0</v>
      </c>
      <c r="P551" s="23"/>
    </row>
    <row r="552" spans="1:16" s="18" customFormat="1" ht="8.65" customHeight="1" x14ac:dyDescent="0.25">
      <c r="A552" s="26" t="s">
        <v>41</v>
      </c>
      <c r="B552" s="27">
        <v>41</v>
      </c>
      <c r="C552" s="27"/>
      <c r="D552" s="27">
        <v>5</v>
      </c>
      <c r="E552" s="27"/>
      <c r="F552" s="29">
        <f t="shared" si="42"/>
        <v>6</v>
      </c>
      <c r="G552" s="27">
        <v>0</v>
      </c>
      <c r="H552" s="27">
        <v>6</v>
      </c>
      <c r="I552" s="27">
        <v>6</v>
      </c>
      <c r="J552" s="27">
        <f t="shared" si="43"/>
        <v>5</v>
      </c>
      <c r="K552" s="27"/>
      <c r="L552" s="27">
        <v>1</v>
      </c>
      <c r="M552" s="27">
        <v>6</v>
      </c>
      <c r="N552" s="27">
        <v>7</v>
      </c>
      <c r="O552" s="27">
        <f t="shared" si="44"/>
        <v>0</v>
      </c>
      <c r="P552" s="23"/>
    </row>
    <row r="553" spans="1:16" s="18" customFormat="1" ht="8.65" customHeight="1" x14ac:dyDescent="0.25">
      <c r="A553" s="22" t="s">
        <v>42</v>
      </c>
      <c r="B553" s="23">
        <v>78</v>
      </c>
      <c r="C553" s="23"/>
      <c r="D553" s="23">
        <v>20</v>
      </c>
      <c r="E553" s="23"/>
      <c r="F553" s="25">
        <f t="shared" si="42"/>
        <v>18</v>
      </c>
      <c r="G553" s="23">
        <v>1</v>
      </c>
      <c r="H553" s="23">
        <v>17</v>
      </c>
      <c r="I553" s="23">
        <v>24</v>
      </c>
      <c r="J553" s="23">
        <f t="shared" si="43"/>
        <v>14</v>
      </c>
      <c r="K553" s="23"/>
      <c r="L553" s="23">
        <v>5</v>
      </c>
      <c r="M553" s="23">
        <v>7</v>
      </c>
      <c r="N553" s="23">
        <v>10</v>
      </c>
      <c r="O553" s="23">
        <f t="shared" si="44"/>
        <v>2</v>
      </c>
      <c r="P553" s="23"/>
    </row>
    <row r="554" spans="1:16" s="18" customFormat="1" ht="8.65" customHeight="1" x14ac:dyDescent="0.25">
      <c r="A554" s="22" t="s">
        <v>43</v>
      </c>
      <c r="B554" s="23">
        <v>64</v>
      </c>
      <c r="C554" s="23"/>
      <c r="D554" s="23">
        <v>12</v>
      </c>
      <c r="E554" s="23"/>
      <c r="F554" s="25">
        <f t="shared" si="42"/>
        <v>13</v>
      </c>
      <c r="G554" s="23">
        <v>3</v>
      </c>
      <c r="H554" s="23">
        <v>10</v>
      </c>
      <c r="I554" s="23">
        <v>19</v>
      </c>
      <c r="J554" s="23">
        <f t="shared" si="43"/>
        <v>6</v>
      </c>
      <c r="K554" s="23"/>
      <c r="L554" s="23">
        <v>0</v>
      </c>
      <c r="M554" s="23">
        <v>2</v>
      </c>
      <c r="N554" s="23">
        <v>1</v>
      </c>
      <c r="O554" s="23">
        <f t="shared" si="44"/>
        <v>1</v>
      </c>
      <c r="P554" s="23"/>
    </row>
    <row r="555" spans="1:16" s="18" customFormat="1" ht="8.65" customHeight="1" x14ac:dyDescent="0.25">
      <c r="A555" s="22" t="s">
        <v>44</v>
      </c>
      <c r="B555" s="23">
        <v>50</v>
      </c>
      <c r="C555" s="23"/>
      <c r="D555" s="23">
        <v>20</v>
      </c>
      <c r="E555" s="23"/>
      <c r="F555" s="25">
        <f t="shared" si="42"/>
        <v>26</v>
      </c>
      <c r="G555" s="23">
        <v>10</v>
      </c>
      <c r="H555" s="23">
        <v>16</v>
      </c>
      <c r="I555" s="23">
        <v>32</v>
      </c>
      <c r="J555" s="23">
        <f t="shared" si="43"/>
        <v>14</v>
      </c>
      <c r="K555" s="23"/>
      <c r="L555" s="23">
        <v>3</v>
      </c>
      <c r="M555" s="23">
        <v>5</v>
      </c>
      <c r="N555" s="23">
        <v>4</v>
      </c>
      <c r="O555" s="23">
        <f t="shared" si="44"/>
        <v>4</v>
      </c>
      <c r="P555" s="23"/>
    </row>
    <row r="556" spans="1:16" s="18" customFormat="1" ht="8.65" customHeight="1" x14ac:dyDescent="0.25">
      <c r="A556" s="26" t="s">
        <v>45</v>
      </c>
      <c r="B556" s="27">
        <v>46</v>
      </c>
      <c r="C556" s="27"/>
      <c r="D556" s="27">
        <v>21</v>
      </c>
      <c r="E556" s="27"/>
      <c r="F556" s="29">
        <f t="shared" si="42"/>
        <v>27</v>
      </c>
      <c r="G556" s="27">
        <v>3</v>
      </c>
      <c r="H556" s="27">
        <v>24</v>
      </c>
      <c r="I556" s="27">
        <v>35</v>
      </c>
      <c r="J556" s="27">
        <f t="shared" si="43"/>
        <v>13</v>
      </c>
      <c r="K556" s="27"/>
      <c r="L556" s="27">
        <v>4</v>
      </c>
      <c r="M556" s="27">
        <v>4</v>
      </c>
      <c r="N556" s="27">
        <v>8</v>
      </c>
      <c r="O556" s="27">
        <f t="shared" si="44"/>
        <v>0</v>
      </c>
      <c r="P556" s="23"/>
    </row>
    <row r="557" spans="1:16" s="18" customFormat="1" ht="8.65" customHeight="1" x14ac:dyDescent="0.25">
      <c r="A557" s="22" t="s">
        <v>46</v>
      </c>
      <c r="B557" s="23">
        <v>42</v>
      </c>
      <c r="C557" s="23"/>
      <c r="D557" s="23">
        <v>14</v>
      </c>
      <c r="E557" s="23"/>
      <c r="F557" s="25">
        <f t="shared" si="42"/>
        <v>14</v>
      </c>
      <c r="G557" s="23">
        <v>2</v>
      </c>
      <c r="H557" s="23">
        <v>12</v>
      </c>
      <c r="I557" s="23">
        <v>23</v>
      </c>
      <c r="J557" s="23">
        <f t="shared" si="43"/>
        <v>5</v>
      </c>
      <c r="K557" s="23"/>
      <c r="L557" s="23">
        <v>3</v>
      </c>
      <c r="M557" s="23">
        <v>14</v>
      </c>
      <c r="N557" s="23">
        <v>10</v>
      </c>
      <c r="O557" s="23">
        <f t="shared" si="44"/>
        <v>7</v>
      </c>
      <c r="P557" s="23"/>
    </row>
    <row r="558" spans="1:16" s="18" customFormat="1" ht="8.65" customHeight="1" x14ac:dyDescent="0.25">
      <c r="A558" s="22" t="s">
        <v>47</v>
      </c>
      <c r="B558" s="23">
        <v>66</v>
      </c>
      <c r="C558" s="23"/>
      <c r="D558" s="23">
        <v>32</v>
      </c>
      <c r="E558" s="23"/>
      <c r="F558" s="25">
        <f t="shared" si="42"/>
        <v>26</v>
      </c>
      <c r="G558" s="23">
        <v>1</v>
      </c>
      <c r="H558" s="23">
        <v>25</v>
      </c>
      <c r="I558" s="23">
        <v>43</v>
      </c>
      <c r="J558" s="23">
        <f t="shared" si="43"/>
        <v>15</v>
      </c>
      <c r="K558" s="23"/>
      <c r="L558" s="23">
        <v>11</v>
      </c>
      <c r="M558" s="23">
        <v>10</v>
      </c>
      <c r="N558" s="23">
        <v>19</v>
      </c>
      <c r="O558" s="23">
        <f t="shared" si="44"/>
        <v>2</v>
      </c>
      <c r="P558" s="23"/>
    </row>
    <row r="559" spans="1:16" s="18" customFormat="1" ht="8.65" customHeight="1" x14ac:dyDescent="0.25">
      <c r="A559" s="22" t="s">
        <v>48</v>
      </c>
      <c r="B559" s="23">
        <v>39</v>
      </c>
      <c r="C559" s="23"/>
      <c r="D559" s="23">
        <v>8</v>
      </c>
      <c r="E559" s="23"/>
      <c r="F559" s="25">
        <f t="shared" si="42"/>
        <v>14</v>
      </c>
      <c r="G559" s="23">
        <v>2</v>
      </c>
      <c r="H559" s="23">
        <v>12</v>
      </c>
      <c r="I559" s="23">
        <v>13</v>
      </c>
      <c r="J559" s="23">
        <f t="shared" si="43"/>
        <v>9</v>
      </c>
      <c r="K559" s="23"/>
      <c r="L559" s="23">
        <v>3</v>
      </c>
      <c r="M559" s="23">
        <v>3</v>
      </c>
      <c r="N559" s="23">
        <v>4</v>
      </c>
      <c r="O559" s="23">
        <f t="shared" si="44"/>
        <v>2</v>
      </c>
      <c r="P559" s="23"/>
    </row>
    <row r="560" spans="1:16" s="18" customFormat="1" ht="8.65" customHeight="1" x14ac:dyDescent="0.25">
      <c r="A560" s="26" t="s">
        <v>49</v>
      </c>
      <c r="B560" s="27">
        <v>75</v>
      </c>
      <c r="C560" s="27"/>
      <c r="D560" s="27">
        <v>9</v>
      </c>
      <c r="E560" s="27"/>
      <c r="F560" s="29">
        <f t="shared" si="42"/>
        <v>11</v>
      </c>
      <c r="G560" s="27">
        <v>1</v>
      </c>
      <c r="H560" s="27">
        <v>10</v>
      </c>
      <c r="I560" s="27">
        <v>12</v>
      </c>
      <c r="J560" s="27">
        <f t="shared" si="43"/>
        <v>8</v>
      </c>
      <c r="K560" s="27"/>
      <c r="L560" s="27">
        <v>4</v>
      </c>
      <c r="M560" s="27">
        <v>11</v>
      </c>
      <c r="N560" s="27">
        <v>13</v>
      </c>
      <c r="O560" s="27">
        <f t="shared" si="44"/>
        <v>2</v>
      </c>
      <c r="P560" s="23"/>
    </row>
    <row r="561" spans="1:16" s="18" customFormat="1" ht="8.65" customHeight="1" x14ac:dyDescent="0.25">
      <c r="A561" s="22" t="s">
        <v>50</v>
      </c>
      <c r="B561" s="23">
        <v>12</v>
      </c>
      <c r="C561" s="23"/>
      <c r="D561" s="23">
        <v>8</v>
      </c>
      <c r="E561" s="23"/>
      <c r="F561" s="25">
        <f t="shared" si="42"/>
        <v>16</v>
      </c>
      <c r="G561" s="23">
        <v>1</v>
      </c>
      <c r="H561" s="23">
        <v>15</v>
      </c>
      <c r="I561" s="23">
        <v>17</v>
      </c>
      <c r="J561" s="23">
        <f t="shared" si="43"/>
        <v>7</v>
      </c>
      <c r="K561" s="23"/>
      <c r="L561" s="23">
        <v>0</v>
      </c>
      <c r="M561" s="23">
        <v>0</v>
      </c>
      <c r="N561" s="23">
        <v>0</v>
      </c>
      <c r="O561" s="23">
        <f t="shared" si="44"/>
        <v>0</v>
      </c>
      <c r="P561" s="23"/>
    </row>
    <row r="562" spans="1:16" s="18" customFormat="1" ht="8.65" customHeight="1" x14ac:dyDescent="0.25">
      <c r="A562" s="22" t="s">
        <v>51</v>
      </c>
      <c r="B562" s="23">
        <v>142</v>
      </c>
      <c r="C562" s="23"/>
      <c r="D562" s="23">
        <v>16</v>
      </c>
      <c r="E562" s="23"/>
      <c r="F562" s="25">
        <f t="shared" si="42"/>
        <v>30</v>
      </c>
      <c r="G562" s="23">
        <v>13</v>
      </c>
      <c r="H562" s="23">
        <v>17</v>
      </c>
      <c r="I562" s="23">
        <v>36</v>
      </c>
      <c r="J562" s="23">
        <f t="shared" si="43"/>
        <v>10</v>
      </c>
      <c r="K562" s="23"/>
      <c r="L562" s="23">
        <v>7</v>
      </c>
      <c r="M562" s="23">
        <v>9</v>
      </c>
      <c r="N562" s="23">
        <v>13</v>
      </c>
      <c r="O562" s="23">
        <f t="shared" si="44"/>
        <v>3</v>
      </c>
      <c r="P562" s="23"/>
    </row>
    <row r="563" spans="1:16" s="18" customFormat="1" ht="8.65" customHeight="1" x14ac:dyDescent="0.25">
      <c r="A563" s="22" t="s">
        <v>52</v>
      </c>
      <c r="B563" s="23">
        <v>38</v>
      </c>
      <c r="C563" s="23"/>
      <c r="D563" s="23">
        <v>18</v>
      </c>
      <c r="E563" s="23"/>
      <c r="F563" s="25">
        <f t="shared" si="42"/>
        <v>29</v>
      </c>
      <c r="G563" s="23">
        <v>1</v>
      </c>
      <c r="H563" s="23">
        <v>28</v>
      </c>
      <c r="I563" s="23">
        <v>28</v>
      </c>
      <c r="J563" s="23">
        <f t="shared" si="43"/>
        <v>19</v>
      </c>
      <c r="K563" s="23"/>
      <c r="L563" s="23">
        <v>5</v>
      </c>
      <c r="M563" s="23">
        <v>4</v>
      </c>
      <c r="N563" s="23">
        <v>9</v>
      </c>
      <c r="O563" s="23">
        <f t="shared" si="44"/>
        <v>0</v>
      </c>
      <c r="P563" s="23"/>
    </row>
    <row r="564" spans="1:16" s="18" customFormat="1" ht="8.65" customHeight="1" x14ac:dyDescent="0.25">
      <c r="A564" s="26" t="s">
        <v>53</v>
      </c>
      <c r="B564" s="27">
        <v>23</v>
      </c>
      <c r="C564" s="27"/>
      <c r="D564" s="27">
        <v>5</v>
      </c>
      <c r="E564" s="27"/>
      <c r="F564" s="29">
        <f t="shared" si="42"/>
        <v>13</v>
      </c>
      <c r="G564" s="27">
        <v>3</v>
      </c>
      <c r="H564" s="27">
        <v>10</v>
      </c>
      <c r="I564" s="27">
        <v>14</v>
      </c>
      <c r="J564" s="27">
        <f t="shared" si="43"/>
        <v>4</v>
      </c>
      <c r="K564" s="27"/>
      <c r="L564" s="27">
        <v>2</v>
      </c>
      <c r="M564" s="27">
        <v>3</v>
      </c>
      <c r="N564" s="27">
        <v>4</v>
      </c>
      <c r="O564" s="27">
        <f t="shared" si="44"/>
        <v>1</v>
      </c>
      <c r="P564" s="23"/>
    </row>
    <row r="565" spans="1:16" s="18" customFormat="1" ht="8.65" customHeight="1" x14ac:dyDescent="0.25">
      <c r="A565" s="22" t="s">
        <v>54</v>
      </c>
      <c r="B565" s="23">
        <v>286</v>
      </c>
      <c r="C565" s="23"/>
      <c r="D565" s="23">
        <v>0</v>
      </c>
      <c r="E565" s="23"/>
      <c r="F565" s="25">
        <f t="shared" si="42"/>
        <v>0</v>
      </c>
      <c r="G565" s="23">
        <v>0</v>
      </c>
      <c r="H565" s="23">
        <v>0</v>
      </c>
      <c r="I565" s="23">
        <v>0</v>
      </c>
      <c r="J565" s="23">
        <f t="shared" si="43"/>
        <v>0</v>
      </c>
      <c r="K565" s="23"/>
      <c r="L565" s="23">
        <v>0</v>
      </c>
      <c r="M565" s="23">
        <v>1</v>
      </c>
      <c r="N565" s="23">
        <v>1</v>
      </c>
      <c r="O565" s="23">
        <f t="shared" si="44"/>
        <v>0</v>
      </c>
      <c r="P565" s="23"/>
    </row>
    <row r="566" spans="1:16" s="18" customFormat="1" ht="9" customHeight="1" x14ac:dyDescent="0.25">
      <c r="A566" s="22"/>
      <c r="B566" s="23"/>
      <c r="C566" s="23"/>
      <c r="D566" s="23"/>
      <c r="E566" s="23"/>
      <c r="F566" s="25"/>
      <c r="G566" s="23"/>
      <c r="H566" s="23"/>
      <c r="I566" s="23"/>
      <c r="J566" s="23"/>
      <c r="K566" s="23"/>
      <c r="L566" s="23"/>
      <c r="M566" s="23"/>
      <c r="N566" s="23"/>
      <c r="O566" s="23"/>
      <c r="P566" s="23"/>
    </row>
    <row r="567" spans="1:16" s="18" customFormat="1" ht="9" customHeight="1" x14ac:dyDescent="0.25">
      <c r="A567" s="16">
        <v>2011</v>
      </c>
      <c r="B567" s="20"/>
      <c r="C567" s="20"/>
      <c r="D567" s="20"/>
      <c r="E567" s="20"/>
      <c r="G567" s="20"/>
      <c r="H567" s="20"/>
      <c r="I567" s="20"/>
      <c r="J567" s="20"/>
      <c r="K567" s="20"/>
      <c r="L567" s="20"/>
      <c r="M567" s="20"/>
      <c r="N567" s="20"/>
      <c r="O567" s="20"/>
      <c r="P567" s="23"/>
    </row>
    <row r="568" spans="1:16" s="18" customFormat="1" ht="9" customHeight="1" x14ac:dyDescent="0.25">
      <c r="A568" s="19" t="s">
        <v>21</v>
      </c>
      <c r="B568" s="20">
        <f>SUM(B570:B602)</f>
        <v>5299</v>
      </c>
      <c r="C568" s="20"/>
      <c r="D568" s="20">
        <f>SUM(D570:D602)</f>
        <v>1010</v>
      </c>
      <c r="E568" s="20"/>
      <c r="F568" s="20">
        <f>SUM(F570:F602)</f>
        <v>2705</v>
      </c>
      <c r="G568" s="20">
        <f>SUM(G570:G602)</f>
        <v>916</v>
      </c>
      <c r="H568" s="20">
        <f>SUM(H570:H602)</f>
        <v>1789</v>
      </c>
      <c r="I568" s="20">
        <f>SUM(I570:I602)</f>
        <v>2710</v>
      </c>
      <c r="J568" s="20">
        <f>SUM(J570:J602)</f>
        <v>1005</v>
      </c>
      <c r="K568" s="20"/>
      <c r="L568" s="20">
        <f>SUM(L570:L602)</f>
        <v>73</v>
      </c>
      <c r="M568" s="20">
        <f>SUM(M570:M602)</f>
        <v>343</v>
      </c>
      <c r="N568" s="20">
        <f>SUM(N570:N602)</f>
        <v>309</v>
      </c>
      <c r="O568" s="20">
        <f>SUM(O570:O602)</f>
        <v>107</v>
      </c>
      <c r="P568" s="23"/>
    </row>
    <row r="569" spans="1:16" s="18" customFormat="1" ht="3" customHeight="1" x14ac:dyDescent="0.25">
      <c r="A569" s="19"/>
      <c r="B569" s="20"/>
      <c r="C569" s="20"/>
      <c r="D569" s="20"/>
      <c r="E569" s="20"/>
      <c r="G569" s="20"/>
      <c r="H569" s="20"/>
      <c r="I569" s="20"/>
      <c r="J569" s="20"/>
      <c r="K569" s="20"/>
      <c r="L569" s="20"/>
      <c r="M569" s="20"/>
      <c r="N569" s="20"/>
      <c r="O569" s="20"/>
      <c r="P569" s="23"/>
    </row>
    <row r="570" spans="1:16" s="18" customFormat="1" ht="8.65" customHeight="1" x14ac:dyDescent="0.25">
      <c r="A570" s="22" t="s">
        <v>23</v>
      </c>
      <c r="B570" s="23">
        <v>33</v>
      </c>
      <c r="C570" s="23"/>
      <c r="D570" s="23">
        <v>4</v>
      </c>
      <c r="E570" s="23"/>
      <c r="F570" s="25">
        <f t="shared" ref="F570:F602" si="45">SUM(G570:H570)</f>
        <v>8</v>
      </c>
      <c r="G570" s="23">
        <v>1</v>
      </c>
      <c r="H570" s="23">
        <v>7</v>
      </c>
      <c r="I570" s="23">
        <v>6</v>
      </c>
      <c r="J570" s="23">
        <f t="shared" ref="J570:J602" si="46">(D570+F570)-I570</f>
        <v>6</v>
      </c>
      <c r="K570" s="23"/>
      <c r="L570" s="23">
        <v>0</v>
      </c>
      <c r="M570" s="23">
        <v>2</v>
      </c>
      <c r="N570" s="23">
        <v>2</v>
      </c>
      <c r="O570" s="23">
        <f t="shared" ref="O570:O602" si="47">(L570+M570)-N570</f>
        <v>0</v>
      </c>
      <c r="P570" s="23"/>
    </row>
    <row r="571" spans="1:16" s="18" customFormat="1" ht="8.65" customHeight="1" x14ac:dyDescent="0.25">
      <c r="A571" s="22" t="s">
        <v>24</v>
      </c>
      <c r="B571" s="23">
        <v>75</v>
      </c>
      <c r="C571" s="23"/>
      <c r="D571" s="23">
        <v>3</v>
      </c>
      <c r="E571" s="23"/>
      <c r="F571" s="25">
        <f t="shared" si="45"/>
        <v>8</v>
      </c>
      <c r="G571" s="23">
        <v>3</v>
      </c>
      <c r="H571" s="23">
        <v>5</v>
      </c>
      <c r="I571" s="23">
        <v>8</v>
      </c>
      <c r="J571" s="23">
        <f t="shared" si="46"/>
        <v>3</v>
      </c>
      <c r="K571" s="23"/>
      <c r="L571" s="23">
        <v>2</v>
      </c>
      <c r="M571" s="23">
        <v>13</v>
      </c>
      <c r="N571" s="23">
        <v>11</v>
      </c>
      <c r="O571" s="23">
        <f t="shared" si="47"/>
        <v>4</v>
      </c>
      <c r="P571" s="23"/>
    </row>
    <row r="572" spans="1:16" s="18" customFormat="1" ht="8.65" customHeight="1" x14ac:dyDescent="0.25">
      <c r="A572" s="22" t="s">
        <v>25</v>
      </c>
      <c r="B572" s="23">
        <v>36</v>
      </c>
      <c r="C572" s="23"/>
      <c r="D572" s="23">
        <v>9</v>
      </c>
      <c r="E572" s="23"/>
      <c r="F572" s="25">
        <f t="shared" si="45"/>
        <v>10</v>
      </c>
      <c r="G572" s="23">
        <v>3</v>
      </c>
      <c r="H572" s="23">
        <v>7</v>
      </c>
      <c r="I572" s="23">
        <v>8</v>
      </c>
      <c r="J572" s="23">
        <f t="shared" si="46"/>
        <v>11</v>
      </c>
      <c r="K572" s="23"/>
      <c r="L572" s="23">
        <v>1</v>
      </c>
      <c r="M572" s="23">
        <v>4</v>
      </c>
      <c r="N572" s="23">
        <v>5</v>
      </c>
      <c r="O572" s="23">
        <f t="shared" si="47"/>
        <v>0</v>
      </c>
      <c r="P572" s="23"/>
    </row>
    <row r="573" spans="1:16" s="18" customFormat="1" ht="8.65" customHeight="1" x14ac:dyDescent="0.25">
      <c r="A573" s="26" t="s">
        <v>26</v>
      </c>
      <c r="B573" s="27">
        <v>33</v>
      </c>
      <c r="C573" s="27"/>
      <c r="D573" s="27">
        <v>5</v>
      </c>
      <c r="E573" s="27"/>
      <c r="F573" s="29">
        <f t="shared" si="45"/>
        <v>4</v>
      </c>
      <c r="G573" s="27">
        <v>1</v>
      </c>
      <c r="H573" s="27">
        <v>3</v>
      </c>
      <c r="I573" s="27">
        <v>8</v>
      </c>
      <c r="J573" s="27">
        <f t="shared" si="46"/>
        <v>1</v>
      </c>
      <c r="K573" s="27"/>
      <c r="L573" s="27">
        <v>2</v>
      </c>
      <c r="M573" s="27">
        <v>8</v>
      </c>
      <c r="N573" s="27">
        <v>9</v>
      </c>
      <c r="O573" s="27">
        <f t="shared" si="47"/>
        <v>1</v>
      </c>
      <c r="P573" s="23"/>
    </row>
    <row r="574" spans="1:16" s="18" customFormat="1" ht="8.65" customHeight="1" x14ac:dyDescent="0.25">
      <c r="A574" s="22" t="s">
        <v>27</v>
      </c>
      <c r="B574" s="23">
        <v>68</v>
      </c>
      <c r="C574" s="23"/>
      <c r="D574" s="23">
        <v>15</v>
      </c>
      <c r="E574" s="23"/>
      <c r="F574" s="25">
        <f t="shared" si="45"/>
        <v>32</v>
      </c>
      <c r="G574" s="23">
        <v>6</v>
      </c>
      <c r="H574" s="23">
        <v>26</v>
      </c>
      <c r="I574" s="23">
        <v>32</v>
      </c>
      <c r="J574" s="23">
        <f t="shared" si="46"/>
        <v>15</v>
      </c>
      <c r="K574" s="23"/>
      <c r="L574" s="23">
        <v>0</v>
      </c>
      <c r="M574" s="23">
        <v>4</v>
      </c>
      <c r="N574" s="23">
        <v>4</v>
      </c>
      <c r="O574" s="23">
        <f t="shared" si="47"/>
        <v>0</v>
      </c>
      <c r="P574" s="23"/>
    </row>
    <row r="575" spans="1:16" s="18" customFormat="1" ht="8.65" customHeight="1" x14ac:dyDescent="0.25">
      <c r="A575" s="22" t="s">
        <v>28</v>
      </c>
      <c r="B575" s="23">
        <v>27</v>
      </c>
      <c r="C575" s="23"/>
      <c r="D575" s="23">
        <v>1</v>
      </c>
      <c r="E575" s="23"/>
      <c r="F575" s="25">
        <f t="shared" si="45"/>
        <v>2</v>
      </c>
      <c r="G575" s="23">
        <v>1</v>
      </c>
      <c r="H575" s="23">
        <v>1</v>
      </c>
      <c r="I575" s="23">
        <v>1</v>
      </c>
      <c r="J575" s="23">
        <f t="shared" si="46"/>
        <v>2</v>
      </c>
      <c r="K575" s="23"/>
      <c r="L575" s="23">
        <v>1</v>
      </c>
      <c r="M575" s="23">
        <v>0</v>
      </c>
      <c r="N575" s="23">
        <v>1</v>
      </c>
      <c r="O575" s="23">
        <f t="shared" si="47"/>
        <v>0</v>
      </c>
      <c r="P575" s="23"/>
    </row>
    <row r="576" spans="1:16" s="18" customFormat="1" ht="8.65" customHeight="1" x14ac:dyDescent="0.25">
      <c r="A576" s="22" t="s">
        <v>29</v>
      </c>
      <c r="B576" s="23">
        <v>37</v>
      </c>
      <c r="C576" s="23"/>
      <c r="D576" s="23">
        <v>14</v>
      </c>
      <c r="E576" s="23"/>
      <c r="F576" s="25">
        <f t="shared" si="45"/>
        <v>22</v>
      </c>
      <c r="G576" s="23">
        <v>3</v>
      </c>
      <c r="H576" s="23">
        <v>19</v>
      </c>
      <c r="I576" s="23">
        <v>22</v>
      </c>
      <c r="J576" s="23">
        <f t="shared" si="46"/>
        <v>14</v>
      </c>
      <c r="K576" s="23"/>
      <c r="L576" s="23">
        <v>0</v>
      </c>
      <c r="M576" s="23">
        <v>4</v>
      </c>
      <c r="N576" s="23">
        <v>3</v>
      </c>
      <c r="O576" s="23">
        <f t="shared" si="47"/>
        <v>1</v>
      </c>
      <c r="P576" s="23"/>
    </row>
    <row r="577" spans="1:16" s="18" customFormat="1" ht="8.65" customHeight="1" x14ac:dyDescent="0.25">
      <c r="A577" s="26" t="s">
        <v>30</v>
      </c>
      <c r="B577" s="27">
        <v>141</v>
      </c>
      <c r="C577" s="27"/>
      <c r="D577" s="27">
        <v>22</v>
      </c>
      <c r="E577" s="27"/>
      <c r="F577" s="29">
        <f t="shared" si="45"/>
        <v>45</v>
      </c>
      <c r="G577" s="27">
        <v>5</v>
      </c>
      <c r="H577" s="27">
        <v>40</v>
      </c>
      <c r="I577" s="27">
        <v>36</v>
      </c>
      <c r="J577" s="27">
        <f t="shared" si="46"/>
        <v>31</v>
      </c>
      <c r="K577" s="27"/>
      <c r="L577" s="27">
        <v>0</v>
      </c>
      <c r="M577" s="27">
        <v>11</v>
      </c>
      <c r="N577" s="27">
        <v>4</v>
      </c>
      <c r="O577" s="27">
        <f t="shared" si="47"/>
        <v>7</v>
      </c>
      <c r="P577" s="23"/>
    </row>
    <row r="578" spans="1:16" s="18" customFormat="1" ht="8.65" customHeight="1" x14ac:dyDescent="0.25">
      <c r="A578" s="22" t="s">
        <v>63</v>
      </c>
      <c r="B578" s="23">
        <v>2057</v>
      </c>
      <c r="C578" s="23"/>
      <c r="D578" s="23">
        <v>575</v>
      </c>
      <c r="E578" s="23"/>
      <c r="F578" s="25">
        <f t="shared" si="45"/>
        <v>1738</v>
      </c>
      <c r="G578" s="23">
        <v>624</v>
      </c>
      <c r="H578" s="23">
        <v>1114</v>
      </c>
      <c r="I578" s="23">
        <v>1706</v>
      </c>
      <c r="J578" s="23">
        <f t="shared" si="46"/>
        <v>607</v>
      </c>
      <c r="K578" s="23"/>
      <c r="L578" s="23">
        <v>25</v>
      </c>
      <c r="M578" s="23">
        <v>114</v>
      </c>
      <c r="N578" s="23">
        <v>112</v>
      </c>
      <c r="O578" s="23">
        <f t="shared" si="47"/>
        <v>27</v>
      </c>
      <c r="P578" s="23"/>
    </row>
    <row r="579" spans="1:16" s="18" customFormat="1" ht="8.65" customHeight="1" x14ac:dyDescent="0.25">
      <c r="A579" s="22" t="s">
        <v>31</v>
      </c>
      <c r="B579" s="23">
        <v>41</v>
      </c>
      <c r="C579" s="23"/>
      <c r="D579" s="23">
        <v>3</v>
      </c>
      <c r="E579" s="23"/>
      <c r="F579" s="25">
        <f t="shared" si="45"/>
        <v>10</v>
      </c>
      <c r="G579" s="23">
        <v>2</v>
      </c>
      <c r="H579" s="23">
        <v>8</v>
      </c>
      <c r="I579" s="23">
        <v>6</v>
      </c>
      <c r="J579" s="23">
        <f t="shared" si="46"/>
        <v>7</v>
      </c>
      <c r="K579" s="23"/>
      <c r="L579" s="23">
        <v>0</v>
      </c>
      <c r="M579" s="23">
        <v>5</v>
      </c>
      <c r="N579" s="23">
        <v>3</v>
      </c>
      <c r="O579" s="23">
        <f t="shared" si="47"/>
        <v>2</v>
      </c>
      <c r="P579" s="23"/>
    </row>
    <row r="580" spans="1:16" s="18" customFormat="1" ht="8.65" customHeight="1" x14ac:dyDescent="0.25">
      <c r="A580" s="22" t="s">
        <v>32</v>
      </c>
      <c r="B580" s="23">
        <v>121</v>
      </c>
      <c r="C580" s="23"/>
      <c r="D580" s="23">
        <v>34</v>
      </c>
      <c r="E580" s="23"/>
      <c r="F580" s="25">
        <f t="shared" si="45"/>
        <v>49</v>
      </c>
      <c r="G580" s="23">
        <v>5</v>
      </c>
      <c r="H580" s="23">
        <v>44</v>
      </c>
      <c r="I580" s="23">
        <v>58</v>
      </c>
      <c r="J580" s="23">
        <f t="shared" si="46"/>
        <v>25</v>
      </c>
      <c r="K580" s="23"/>
      <c r="L580" s="23">
        <v>3</v>
      </c>
      <c r="M580" s="23">
        <v>11</v>
      </c>
      <c r="N580" s="23">
        <v>11</v>
      </c>
      <c r="O580" s="23">
        <f t="shared" si="47"/>
        <v>3</v>
      </c>
      <c r="P580" s="23"/>
    </row>
    <row r="581" spans="1:16" s="18" customFormat="1" ht="8.65" customHeight="1" x14ac:dyDescent="0.25">
      <c r="A581" s="26" t="s">
        <v>33</v>
      </c>
      <c r="B581" s="27">
        <v>41</v>
      </c>
      <c r="C581" s="27"/>
      <c r="D581" s="27">
        <v>6</v>
      </c>
      <c r="E581" s="27"/>
      <c r="F581" s="29">
        <f t="shared" si="45"/>
        <v>18</v>
      </c>
      <c r="G581" s="27">
        <v>2</v>
      </c>
      <c r="H581" s="27">
        <v>16</v>
      </c>
      <c r="I581" s="27">
        <v>10</v>
      </c>
      <c r="J581" s="27">
        <f t="shared" si="46"/>
        <v>14</v>
      </c>
      <c r="K581" s="27"/>
      <c r="L581" s="27">
        <v>0</v>
      </c>
      <c r="M581" s="27">
        <v>5</v>
      </c>
      <c r="N581" s="27">
        <v>5</v>
      </c>
      <c r="O581" s="27">
        <f t="shared" si="47"/>
        <v>0</v>
      </c>
      <c r="P581" s="23"/>
    </row>
    <row r="582" spans="1:16" s="18" customFormat="1" ht="8.65" customHeight="1" x14ac:dyDescent="0.25">
      <c r="A582" s="22" t="s">
        <v>34</v>
      </c>
      <c r="B582" s="23">
        <v>86</v>
      </c>
      <c r="C582" s="23"/>
      <c r="D582" s="23">
        <v>11</v>
      </c>
      <c r="E582" s="23"/>
      <c r="F582" s="25">
        <f t="shared" si="45"/>
        <v>29</v>
      </c>
      <c r="G582" s="23">
        <v>5</v>
      </c>
      <c r="H582" s="23">
        <v>24</v>
      </c>
      <c r="I582" s="23">
        <v>28</v>
      </c>
      <c r="J582" s="23">
        <f t="shared" si="46"/>
        <v>12</v>
      </c>
      <c r="K582" s="23"/>
      <c r="L582" s="23">
        <v>3</v>
      </c>
      <c r="M582" s="23">
        <v>9</v>
      </c>
      <c r="N582" s="23">
        <v>10</v>
      </c>
      <c r="O582" s="23">
        <f t="shared" si="47"/>
        <v>2</v>
      </c>
      <c r="P582" s="23"/>
    </row>
    <row r="583" spans="1:16" s="18" customFormat="1" ht="8.65" customHeight="1" x14ac:dyDescent="0.25">
      <c r="A583" s="22" t="s">
        <v>35</v>
      </c>
      <c r="B583" s="23">
        <v>161</v>
      </c>
      <c r="C583" s="23"/>
      <c r="D583" s="23">
        <v>9</v>
      </c>
      <c r="E583" s="23"/>
      <c r="F583" s="25">
        <f t="shared" si="45"/>
        <v>32</v>
      </c>
      <c r="G583" s="23">
        <v>11</v>
      </c>
      <c r="H583" s="23">
        <v>21</v>
      </c>
      <c r="I583" s="23">
        <v>30</v>
      </c>
      <c r="J583" s="23">
        <f t="shared" si="46"/>
        <v>11</v>
      </c>
      <c r="K583" s="23"/>
      <c r="L583" s="23">
        <v>5</v>
      </c>
      <c r="M583" s="23">
        <v>25</v>
      </c>
      <c r="N583" s="23">
        <v>24</v>
      </c>
      <c r="O583" s="23">
        <f t="shared" si="47"/>
        <v>6</v>
      </c>
      <c r="P583" s="23"/>
    </row>
    <row r="584" spans="1:16" s="18" customFormat="1" ht="8.65" customHeight="1" x14ac:dyDescent="0.25">
      <c r="A584" s="22" t="s">
        <v>36</v>
      </c>
      <c r="B584" s="23">
        <v>1100</v>
      </c>
      <c r="C584" s="23"/>
      <c r="D584" s="23">
        <v>144</v>
      </c>
      <c r="E584" s="23"/>
      <c r="F584" s="25">
        <f t="shared" si="45"/>
        <v>377</v>
      </c>
      <c r="G584" s="23">
        <v>164</v>
      </c>
      <c r="H584" s="23">
        <v>213</v>
      </c>
      <c r="I584" s="23">
        <v>407</v>
      </c>
      <c r="J584" s="23">
        <f t="shared" si="46"/>
        <v>114</v>
      </c>
      <c r="K584" s="23"/>
      <c r="L584" s="23">
        <v>4</v>
      </c>
      <c r="M584" s="23">
        <v>30</v>
      </c>
      <c r="N584" s="23">
        <v>21</v>
      </c>
      <c r="O584" s="23">
        <f t="shared" si="47"/>
        <v>13</v>
      </c>
      <c r="P584" s="23"/>
    </row>
    <row r="585" spans="1:16" s="18" customFormat="1" ht="8.65" customHeight="1" x14ac:dyDescent="0.25">
      <c r="A585" s="26" t="s">
        <v>37</v>
      </c>
      <c r="B585" s="27">
        <v>55</v>
      </c>
      <c r="C585" s="27"/>
      <c r="D585" s="27">
        <v>3</v>
      </c>
      <c r="E585" s="27"/>
      <c r="F585" s="29">
        <f t="shared" si="45"/>
        <v>14</v>
      </c>
      <c r="G585" s="27">
        <v>5</v>
      </c>
      <c r="H585" s="27">
        <v>9</v>
      </c>
      <c r="I585" s="27">
        <v>12</v>
      </c>
      <c r="J585" s="27">
        <f t="shared" si="46"/>
        <v>5</v>
      </c>
      <c r="K585" s="27"/>
      <c r="L585" s="27">
        <v>2</v>
      </c>
      <c r="M585" s="27">
        <v>9</v>
      </c>
      <c r="N585" s="27">
        <v>11</v>
      </c>
      <c r="O585" s="27">
        <f t="shared" si="47"/>
        <v>0</v>
      </c>
      <c r="P585" s="23"/>
    </row>
    <row r="586" spans="1:16" s="18" customFormat="1" ht="8.65" customHeight="1" x14ac:dyDescent="0.25">
      <c r="A586" s="22" t="s">
        <v>38</v>
      </c>
      <c r="B586" s="23">
        <v>62</v>
      </c>
      <c r="C586" s="23"/>
      <c r="D586" s="23">
        <v>11</v>
      </c>
      <c r="E586" s="23"/>
      <c r="F586" s="25">
        <f t="shared" si="45"/>
        <v>34</v>
      </c>
      <c r="G586" s="23">
        <v>12</v>
      </c>
      <c r="H586" s="23">
        <v>22</v>
      </c>
      <c r="I586" s="23">
        <v>24</v>
      </c>
      <c r="J586" s="23">
        <f t="shared" si="46"/>
        <v>21</v>
      </c>
      <c r="K586" s="23"/>
      <c r="L586" s="23">
        <v>1</v>
      </c>
      <c r="M586" s="23">
        <v>3</v>
      </c>
      <c r="N586" s="23">
        <v>2</v>
      </c>
      <c r="O586" s="23">
        <f t="shared" si="47"/>
        <v>2</v>
      </c>
      <c r="P586" s="23"/>
    </row>
    <row r="587" spans="1:16" s="18" customFormat="1" ht="8.65" customHeight="1" x14ac:dyDescent="0.25">
      <c r="A587" s="22" t="s">
        <v>39</v>
      </c>
      <c r="B587" s="23">
        <v>20</v>
      </c>
      <c r="C587" s="23"/>
      <c r="D587" s="23">
        <v>2</v>
      </c>
      <c r="E587" s="23"/>
      <c r="F587" s="25">
        <f t="shared" si="45"/>
        <v>9</v>
      </c>
      <c r="G587" s="23">
        <v>2</v>
      </c>
      <c r="H587" s="23">
        <v>7</v>
      </c>
      <c r="I587" s="23">
        <v>9</v>
      </c>
      <c r="J587" s="23">
        <f t="shared" si="46"/>
        <v>2</v>
      </c>
      <c r="K587" s="23"/>
      <c r="L587" s="23">
        <v>0</v>
      </c>
      <c r="M587" s="23">
        <v>4</v>
      </c>
      <c r="N587" s="23">
        <v>2</v>
      </c>
      <c r="O587" s="23">
        <f t="shared" si="47"/>
        <v>2</v>
      </c>
      <c r="P587" s="23"/>
    </row>
    <row r="588" spans="1:16" s="18" customFormat="1" ht="8.65" customHeight="1" x14ac:dyDescent="0.25">
      <c r="A588" s="22" t="s">
        <v>40</v>
      </c>
      <c r="B588" s="23">
        <v>69</v>
      </c>
      <c r="C588" s="23"/>
      <c r="D588" s="23">
        <v>10</v>
      </c>
      <c r="E588" s="23"/>
      <c r="F588" s="25">
        <f t="shared" si="45"/>
        <v>17</v>
      </c>
      <c r="G588" s="23">
        <v>2</v>
      </c>
      <c r="H588" s="23">
        <v>15</v>
      </c>
      <c r="I588" s="23">
        <v>18</v>
      </c>
      <c r="J588" s="23">
        <f t="shared" si="46"/>
        <v>9</v>
      </c>
      <c r="K588" s="23"/>
      <c r="L588" s="23">
        <v>0</v>
      </c>
      <c r="M588" s="23">
        <v>6</v>
      </c>
      <c r="N588" s="23">
        <v>5</v>
      </c>
      <c r="O588" s="23">
        <f t="shared" si="47"/>
        <v>1</v>
      </c>
      <c r="P588" s="23"/>
    </row>
    <row r="589" spans="1:16" s="18" customFormat="1" ht="8.65" customHeight="1" x14ac:dyDescent="0.25">
      <c r="A589" s="26" t="s">
        <v>41</v>
      </c>
      <c r="B589" s="27">
        <v>43</v>
      </c>
      <c r="C589" s="27"/>
      <c r="D589" s="27">
        <v>5</v>
      </c>
      <c r="E589" s="27"/>
      <c r="F589" s="29">
        <f t="shared" si="45"/>
        <v>6</v>
      </c>
      <c r="G589" s="27">
        <v>3</v>
      </c>
      <c r="H589" s="27">
        <v>3</v>
      </c>
      <c r="I589" s="27">
        <v>6</v>
      </c>
      <c r="J589" s="27">
        <f t="shared" si="46"/>
        <v>5</v>
      </c>
      <c r="K589" s="27"/>
      <c r="L589" s="27">
        <v>0</v>
      </c>
      <c r="M589" s="27">
        <v>3</v>
      </c>
      <c r="N589" s="27">
        <v>2</v>
      </c>
      <c r="O589" s="27">
        <f t="shared" si="47"/>
        <v>1</v>
      </c>
      <c r="P589" s="23"/>
    </row>
    <row r="590" spans="1:16" s="18" customFormat="1" ht="8.65" customHeight="1" x14ac:dyDescent="0.25">
      <c r="A590" s="22" t="s">
        <v>42</v>
      </c>
      <c r="B590" s="23">
        <v>88</v>
      </c>
      <c r="C590" s="23"/>
      <c r="D590" s="23">
        <v>14</v>
      </c>
      <c r="E590" s="23"/>
      <c r="F590" s="25">
        <f t="shared" si="45"/>
        <v>9</v>
      </c>
      <c r="G590" s="23">
        <v>0</v>
      </c>
      <c r="H590" s="23">
        <v>9</v>
      </c>
      <c r="I590" s="23">
        <v>16</v>
      </c>
      <c r="J590" s="23">
        <f t="shared" si="46"/>
        <v>7</v>
      </c>
      <c r="K590" s="23"/>
      <c r="L590" s="23">
        <v>2</v>
      </c>
      <c r="M590" s="23">
        <v>10</v>
      </c>
      <c r="N590" s="23">
        <v>6</v>
      </c>
      <c r="O590" s="23">
        <f t="shared" si="47"/>
        <v>6</v>
      </c>
      <c r="P590" s="23"/>
    </row>
    <row r="591" spans="1:16" s="18" customFormat="1" ht="8.65" customHeight="1" x14ac:dyDescent="0.25">
      <c r="A591" s="22" t="s">
        <v>43</v>
      </c>
      <c r="B591" s="23">
        <v>51</v>
      </c>
      <c r="C591" s="23"/>
      <c r="D591" s="23">
        <v>6</v>
      </c>
      <c r="E591" s="23"/>
      <c r="F591" s="25">
        <f t="shared" si="45"/>
        <v>9</v>
      </c>
      <c r="G591" s="23">
        <v>1</v>
      </c>
      <c r="H591" s="23">
        <v>8</v>
      </c>
      <c r="I591" s="23">
        <v>11</v>
      </c>
      <c r="J591" s="23">
        <f t="shared" si="46"/>
        <v>4</v>
      </c>
      <c r="K591" s="23"/>
      <c r="L591" s="23">
        <v>1</v>
      </c>
      <c r="M591" s="23">
        <v>0</v>
      </c>
      <c r="N591" s="23">
        <v>1</v>
      </c>
      <c r="O591" s="23">
        <f t="shared" si="47"/>
        <v>0</v>
      </c>
      <c r="P591" s="23"/>
    </row>
    <row r="592" spans="1:16" s="18" customFormat="1" ht="8.65" customHeight="1" x14ac:dyDescent="0.25">
      <c r="A592" s="22" t="s">
        <v>44</v>
      </c>
      <c r="B592" s="23">
        <v>100</v>
      </c>
      <c r="C592" s="23"/>
      <c r="D592" s="23">
        <v>14</v>
      </c>
      <c r="E592" s="23"/>
      <c r="F592" s="25">
        <f t="shared" si="45"/>
        <v>18</v>
      </c>
      <c r="G592" s="23">
        <v>4</v>
      </c>
      <c r="H592" s="23">
        <v>14</v>
      </c>
      <c r="I592" s="23">
        <v>24</v>
      </c>
      <c r="J592" s="23">
        <f t="shared" si="46"/>
        <v>8</v>
      </c>
      <c r="K592" s="23"/>
      <c r="L592" s="23">
        <v>4</v>
      </c>
      <c r="M592" s="23">
        <v>10</v>
      </c>
      <c r="N592" s="23">
        <v>11</v>
      </c>
      <c r="O592" s="23">
        <f t="shared" si="47"/>
        <v>3</v>
      </c>
      <c r="P592" s="23"/>
    </row>
    <row r="593" spans="1:16" s="18" customFormat="1" ht="8.65" customHeight="1" x14ac:dyDescent="0.25">
      <c r="A593" s="26" t="s">
        <v>45</v>
      </c>
      <c r="B593" s="27">
        <v>70</v>
      </c>
      <c r="C593" s="27"/>
      <c r="D593" s="27">
        <v>13</v>
      </c>
      <c r="E593" s="27"/>
      <c r="F593" s="29">
        <f t="shared" si="45"/>
        <v>43</v>
      </c>
      <c r="G593" s="27">
        <v>3</v>
      </c>
      <c r="H593" s="27">
        <v>40</v>
      </c>
      <c r="I593" s="27">
        <v>45</v>
      </c>
      <c r="J593" s="27">
        <f t="shared" si="46"/>
        <v>11</v>
      </c>
      <c r="K593" s="27"/>
      <c r="L593" s="27">
        <v>0</v>
      </c>
      <c r="M593" s="27">
        <v>5</v>
      </c>
      <c r="N593" s="27">
        <v>2</v>
      </c>
      <c r="O593" s="27">
        <f t="shared" si="47"/>
        <v>3</v>
      </c>
      <c r="P593" s="23"/>
    </row>
    <row r="594" spans="1:16" s="18" customFormat="1" ht="8.65" customHeight="1" x14ac:dyDescent="0.25">
      <c r="A594" s="22" t="s">
        <v>46</v>
      </c>
      <c r="B594" s="23">
        <v>43</v>
      </c>
      <c r="C594" s="23"/>
      <c r="D594" s="23">
        <v>5</v>
      </c>
      <c r="E594" s="23"/>
      <c r="F594" s="25">
        <f t="shared" si="45"/>
        <v>28</v>
      </c>
      <c r="G594" s="23">
        <v>14</v>
      </c>
      <c r="H594" s="23">
        <v>14</v>
      </c>
      <c r="I594" s="23">
        <v>23</v>
      </c>
      <c r="J594" s="23">
        <f t="shared" si="46"/>
        <v>10</v>
      </c>
      <c r="K594" s="23"/>
      <c r="L594" s="23">
        <v>7</v>
      </c>
      <c r="M594" s="23">
        <v>12</v>
      </c>
      <c r="N594" s="23">
        <v>17</v>
      </c>
      <c r="O594" s="23">
        <f t="shared" si="47"/>
        <v>2</v>
      </c>
      <c r="P594" s="23"/>
    </row>
    <row r="595" spans="1:16" s="18" customFormat="1" ht="8.65" customHeight="1" x14ac:dyDescent="0.25">
      <c r="A595" s="22" t="s">
        <v>47</v>
      </c>
      <c r="B595" s="23">
        <v>73</v>
      </c>
      <c r="C595" s="23"/>
      <c r="D595" s="23">
        <v>15</v>
      </c>
      <c r="E595" s="23"/>
      <c r="F595" s="25">
        <f t="shared" si="45"/>
        <v>19</v>
      </c>
      <c r="G595" s="23">
        <v>5</v>
      </c>
      <c r="H595" s="23">
        <v>14</v>
      </c>
      <c r="I595" s="23">
        <v>29</v>
      </c>
      <c r="J595" s="23">
        <f t="shared" si="46"/>
        <v>5</v>
      </c>
      <c r="K595" s="23"/>
      <c r="L595" s="23">
        <v>2</v>
      </c>
      <c r="M595" s="23">
        <v>4</v>
      </c>
      <c r="N595" s="23">
        <v>3</v>
      </c>
      <c r="O595" s="23">
        <f t="shared" si="47"/>
        <v>3</v>
      </c>
      <c r="P595" s="23"/>
    </row>
    <row r="596" spans="1:16" s="18" customFormat="1" ht="8.65" customHeight="1" x14ac:dyDescent="0.25">
      <c r="A596" s="22" t="s">
        <v>48</v>
      </c>
      <c r="B596" s="23">
        <v>42</v>
      </c>
      <c r="C596" s="23"/>
      <c r="D596" s="23">
        <v>9</v>
      </c>
      <c r="E596" s="23"/>
      <c r="F596" s="25">
        <f t="shared" si="45"/>
        <v>11</v>
      </c>
      <c r="G596" s="23">
        <v>4</v>
      </c>
      <c r="H596" s="23">
        <v>7</v>
      </c>
      <c r="I596" s="23">
        <v>15</v>
      </c>
      <c r="J596" s="23">
        <f t="shared" si="46"/>
        <v>5</v>
      </c>
      <c r="K596" s="23"/>
      <c r="L596" s="23">
        <v>2</v>
      </c>
      <c r="M596" s="23">
        <v>3</v>
      </c>
      <c r="N596" s="23">
        <v>3</v>
      </c>
      <c r="O596" s="23">
        <f t="shared" si="47"/>
        <v>2</v>
      </c>
      <c r="P596" s="23"/>
    </row>
    <row r="597" spans="1:16" s="18" customFormat="1" ht="8.65" customHeight="1" x14ac:dyDescent="0.25">
      <c r="A597" s="26" t="s">
        <v>49</v>
      </c>
      <c r="B597" s="27">
        <v>87</v>
      </c>
      <c r="C597" s="27"/>
      <c r="D597" s="27">
        <v>8</v>
      </c>
      <c r="E597" s="27"/>
      <c r="F597" s="29">
        <f t="shared" si="45"/>
        <v>19</v>
      </c>
      <c r="G597" s="27">
        <v>4</v>
      </c>
      <c r="H597" s="27">
        <v>15</v>
      </c>
      <c r="I597" s="27">
        <v>16</v>
      </c>
      <c r="J597" s="27">
        <f t="shared" si="46"/>
        <v>11</v>
      </c>
      <c r="K597" s="27"/>
      <c r="L597" s="27">
        <v>2</v>
      </c>
      <c r="M597" s="27">
        <v>9</v>
      </c>
      <c r="N597" s="27">
        <v>5</v>
      </c>
      <c r="O597" s="27">
        <f t="shared" si="47"/>
        <v>6</v>
      </c>
      <c r="P597" s="23"/>
    </row>
    <row r="598" spans="1:16" s="18" customFormat="1" ht="8.65" customHeight="1" x14ac:dyDescent="0.25">
      <c r="A598" s="22" t="s">
        <v>50</v>
      </c>
      <c r="B598" s="23">
        <v>18</v>
      </c>
      <c r="C598" s="23"/>
      <c r="D598" s="23">
        <v>7</v>
      </c>
      <c r="E598" s="23"/>
      <c r="F598" s="25">
        <f t="shared" si="45"/>
        <v>13</v>
      </c>
      <c r="G598" s="23">
        <v>4</v>
      </c>
      <c r="H598" s="23">
        <v>9</v>
      </c>
      <c r="I598" s="23">
        <v>17</v>
      </c>
      <c r="J598" s="23">
        <f t="shared" si="46"/>
        <v>3</v>
      </c>
      <c r="K598" s="23"/>
      <c r="L598" s="23">
        <v>0</v>
      </c>
      <c r="M598" s="23">
        <v>2</v>
      </c>
      <c r="N598" s="23">
        <v>1</v>
      </c>
      <c r="O598" s="23">
        <f t="shared" si="47"/>
        <v>1</v>
      </c>
      <c r="P598" s="23"/>
    </row>
    <row r="599" spans="1:16" s="18" customFormat="1" ht="8.65" customHeight="1" x14ac:dyDescent="0.25">
      <c r="A599" s="22" t="s">
        <v>51</v>
      </c>
      <c r="B599" s="23">
        <v>139</v>
      </c>
      <c r="C599" s="23"/>
      <c r="D599" s="23">
        <v>10</v>
      </c>
      <c r="E599" s="23"/>
      <c r="F599" s="25">
        <f t="shared" si="45"/>
        <v>36</v>
      </c>
      <c r="G599" s="23">
        <v>13</v>
      </c>
      <c r="H599" s="23">
        <v>23</v>
      </c>
      <c r="I599" s="23">
        <v>35</v>
      </c>
      <c r="J599" s="23">
        <f t="shared" si="46"/>
        <v>11</v>
      </c>
      <c r="K599" s="23"/>
      <c r="L599" s="23">
        <v>3</v>
      </c>
      <c r="M599" s="23">
        <v>6</v>
      </c>
      <c r="N599" s="23">
        <v>4</v>
      </c>
      <c r="O599" s="23">
        <f t="shared" si="47"/>
        <v>5</v>
      </c>
      <c r="P599" s="23"/>
    </row>
    <row r="600" spans="1:16" s="18" customFormat="1" ht="8.65" customHeight="1" x14ac:dyDescent="0.25">
      <c r="A600" s="22" t="s">
        <v>52</v>
      </c>
      <c r="B600" s="23">
        <v>38</v>
      </c>
      <c r="C600" s="23"/>
      <c r="D600" s="23">
        <v>19</v>
      </c>
      <c r="E600" s="23"/>
      <c r="F600" s="25">
        <f t="shared" si="45"/>
        <v>31</v>
      </c>
      <c r="G600" s="23">
        <v>1</v>
      </c>
      <c r="H600" s="23">
        <v>30</v>
      </c>
      <c r="I600" s="23">
        <v>38</v>
      </c>
      <c r="J600" s="23">
        <f t="shared" si="46"/>
        <v>12</v>
      </c>
      <c r="K600" s="23"/>
      <c r="L600" s="23">
        <v>0</v>
      </c>
      <c r="M600" s="23">
        <v>7</v>
      </c>
      <c r="N600" s="23">
        <v>5</v>
      </c>
      <c r="O600" s="23">
        <f t="shared" si="47"/>
        <v>2</v>
      </c>
      <c r="P600" s="23"/>
    </row>
    <row r="601" spans="1:16" s="18" customFormat="1" ht="8.65" customHeight="1" x14ac:dyDescent="0.25">
      <c r="A601" s="26" t="s">
        <v>53</v>
      </c>
      <c r="B601" s="27">
        <v>39</v>
      </c>
      <c r="C601" s="27"/>
      <c r="D601" s="27">
        <v>4</v>
      </c>
      <c r="E601" s="27"/>
      <c r="F601" s="29">
        <f t="shared" si="45"/>
        <v>5</v>
      </c>
      <c r="G601" s="27">
        <v>3</v>
      </c>
      <c r="H601" s="27">
        <v>2</v>
      </c>
      <c r="I601" s="27">
        <v>6</v>
      </c>
      <c r="J601" s="27">
        <f t="shared" si="46"/>
        <v>3</v>
      </c>
      <c r="K601" s="27"/>
      <c r="L601" s="27">
        <v>1</v>
      </c>
      <c r="M601" s="27">
        <v>5</v>
      </c>
      <c r="N601" s="27">
        <v>4</v>
      </c>
      <c r="O601" s="27">
        <f t="shared" si="47"/>
        <v>2</v>
      </c>
      <c r="P601" s="23"/>
    </row>
    <row r="602" spans="1:16" s="18" customFormat="1" ht="8.65" customHeight="1" x14ac:dyDescent="0.25">
      <c r="A602" s="22" t="s">
        <v>54</v>
      </c>
      <c r="B602" s="23">
        <v>205</v>
      </c>
      <c r="C602" s="23"/>
      <c r="D602" s="23">
        <v>0</v>
      </c>
      <c r="E602" s="23"/>
      <c r="F602" s="25">
        <f t="shared" si="45"/>
        <v>0</v>
      </c>
      <c r="G602" s="23">
        <v>0</v>
      </c>
      <c r="H602" s="23">
        <v>0</v>
      </c>
      <c r="I602" s="23">
        <v>0</v>
      </c>
      <c r="J602" s="23">
        <f t="shared" si="46"/>
        <v>0</v>
      </c>
      <c r="K602" s="23"/>
      <c r="L602" s="23">
        <v>0</v>
      </c>
      <c r="M602" s="23">
        <v>0</v>
      </c>
      <c r="N602" s="23">
        <v>0</v>
      </c>
      <c r="O602" s="23">
        <f t="shared" si="47"/>
        <v>0</v>
      </c>
      <c r="P602" s="23"/>
    </row>
    <row r="603" spans="1:16" s="18" customFormat="1" ht="9" customHeight="1" x14ac:dyDescent="0.25">
      <c r="A603" s="22"/>
      <c r="B603" s="23"/>
      <c r="C603" s="23"/>
      <c r="D603" s="23"/>
      <c r="E603" s="23"/>
      <c r="F603" s="25"/>
      <c r="G603" s="23"/>
      <c r="H603" s="23"/>
      <c r="I603" s="23"/>
      <c r="J603" s="23"/>
      <c r="K603" s="23"/>
      <c r="L603" s="23"/>
      <c r="M603" s="23"/>
      <c r="N603" s="23"/>
      <c r="O603" s="23"/>
      <c r="P603" s="23"/>
    </row>
    <row r="604" spans="1:16" s="18" customFormat="1" ht="9" customHeight="1" x14ac:dyDescent="0.25">
      <c r="A604" s="31">
        <v>2012</v>
      </c>
      <c r="B604" s="20"/>
      <c r="C604" s="20"/>
      <c r="D604" s="20"/>
      <c r="E604" s="20"/>
      <c r="G604" s="20"/>
      <c r="H604" s="20"/>
      <c r="I604" s="20"/>
      <c r="J604" s="20"/>
      <c r="K604" s="20"/>
      <c r="L604" s="20"/>
      <c r="M604" s="20"/>
      <c r="N604" s="20"/>
      <c r="O604" s="20"/>
      <c r="P604" s="23"/>
    </row>
    <row r="605" spans="1:16" s="18" customFormat="1" ht="9" customHeight="1" x14ac:dyDescent="0.25">
      <c r="A605" s="19" t="s">
        <v>21</v>
      </c>
      <c r="B605" s="20">
        <f>SUM(B607:B639)</f>
        <v>3484</v>
      </c>
      <c r="C605" s="20"/>
      <c r="D605" s="20">
        <f>SUM(D607:D639)</f>
        <v>1005</v>
      </c>
      <c r="E605" s="20"/>
      <c r="F605" s="20">
        <f>SUM(F607:F639)</f>
        <v>2960</v>
      </c>
      <c r="G605" s="20">
        <f>SUM(G607:G639)</f>
        <v>1046</v>
      </c>
      <c r="H605" s="20">
        <f>SUM(H607:H639)</f>
        <v>1914</v>
      </c>
      <c r="I605" s="20">
        <f>SUM(I607:I639)</f>
        <v>2745</v>
      </c>
      <c r="J605" s="20">
        <f>SUM(J607:J639)</f>
        <v>1220</v>
      </c>
      <c r="K605" s="20"/>
      <c r="L605" s="20">
        <f>SUM(L607:L639)</f>
        <v>107</v>
      </c>
      <c r="M605" s="20">
        <f>SUM(M607:M639)</f>
        <v>250</v>
      </c>
      <c r="N605" s="20">
        <f>SUM(N607:N639)</f>
        <v>300</v>
      </c>
      <c r="O605" s="20">
        <f>SUM(O607:O639)</f>
        <v>57</v>
      </c>
      <c r="P605" s="23"/>
    </row>
    <row r="606" spans="1:16" s="18" customFormat="1" ht="3" customHeight="1" x14ac:dyDescent="0.25">
      <c r="A606" s="19"/>
      <c r="B606" s="20"/>
      <c r="C606" s="20"/>
      <c r="D606" s="20"/>
      <c r="E606" s="20"/>
      <c r="G606" s="20"/>
      <c r="H606" s="20"/>
      <c r="I606" s="20"/>
      <c r="J606" s="20"/>
      <c r="K606" s="20"/>
      <c r="L606" s="20"/>
      <c r="M606" s="20"/>
      <c r="N606" s="20"/>
      <c r="O606" s="20"/>
      <c r="P606" s="23"/>
    </row>
    <row r="607" spans="1:16" s="18" customFormat="1" ht="8.65" customHeight="1" x14ac:dyDescent="0.25">
      <c r="A607" s="22" t="s">
        <v>23</v>
      </c>
      <c r="B607" s="23">
        <v>29</v>
      </c>
      <c r="C607" s="23"/>
      <c r="D607" s="23">
        <v>6</v>
      </c>
      <c r="E607" s="23"/>
      <c r="F607" s="25">
        <f t="shared" ref="F607:F639" si="48">SUM(G607:H607)</f>
        <v>12</v>
      </c>
      <c r="G607" s="23">
        <v>2</v>
      </c>
      <c r="H607" s="23">
        <v>10</v>
      </c>
      <c r="I607" s="23">
        <v>7</v>
      </c>
      <c r="J607" s="23">
        <v>11</v>
      </c>
      <c r="K607" s="23"/>
      <c r="L607" s="23">
        <v>0</v>
      </c>
      <c r="M607" s="23">
        <v>0</v>
      </c>
      <c r="N607" s="23">
        <v>0</v>
      </c>
      <c r="O607" s="23">
        <v>0</v>
      </c>
      <c r="P607" s="23"/>
    </row>
    <row r="608" spans="1:16" s="18" customFormat="1" ht="8.65" customHeight="1" x14ac:dyDescent="0.25">
      <c r="A608" s="22" t="s">
        <v>24</v>
      </c>
      <c r="B608" s="23">
        <v>22</v>
      </c>
      <c r="C608" s="23"/>
      <c r="D608" s="23">
        <v>3</v>
      </c>
      <c r="E608" s="23"/>
      <c r="F608" s="25">
        <f t="shared" si="48"/>
        <v>12</v>
      </c>
      <c r="G608" s="23">
        <v>3</v>
      </c>
      <c r="H608" s="23">
        <v>9</v>
      </c>
      <c r="I608" s="23">
        <v>13</v>
      </c>
      <c r="J608" s="23">
        <v>2</v>
      </c>
      <c r="K608" s="23"/>
      <c r="L608" s="23">
        <v>4</v>
      </c>
      <c r="M608" s="23">
        <v>11</v>
      </c>
      <c r="N608" s="23">
        <v>11</v>
      </c>
      <c r="O608" s="23">
        <v>4</v>
      </c>
      <c r="P608" s="23"/>
    </row>
    <row r="609" spans="1:16" s="18" customFormat="1" ht="8.65" customHeight="1" x14ac:dyDescent="0.25">
      <c r="A609" s="22" t="s">
        <v>25</v>
      </c>
      <c r="B609" s="23">
        <v>21</v>
      </c>
      <c r="C609" s="23"/>
      <c r="D609" s="23">
        <v>11</v>
      </c>
      <c r="E609" s="23"/>
      <c r="F609" s="25">
        <f t="shared" si="48"/>
        <v>16</v>
      </c>
      <c r="G609" s="23">
        <v>4</v>
      </c>
      <c r="H609" s="23">
        <v>12</v>
      </c>
      <c r="I609" s="23">
        <v>17</v>
      </c>
      <c r="J609" s="23">
        <v>10</v>
      </c>
      <c r="K609" s="23"/>
      <c r="L609" s="23">
        <v>0</v>
      </c>
      <c r="M609" s="23">
        <v>6</v>
      </c>
      <c r="N609" s="23">
        <v>4</v>
      </c>
      <c r="O609" s="23">
        <v>2</v>
      </c>
      <c r="P609" s="23"/>
    </row>
    <row r="610" spans="1:16" s="18" customFormat="1" ht="8.65" customHeight="1" x14ac:dyDescent="0.25">
      <c r="A610" s="26" t="s">
        <v>26</v>
      </c>
      <c r="B610" s="27">
        <v>13</v>
      </c>
      <c r="C610" s="27"/>
      <c r="D610" s="27">
        <v>1</v>
      </c>
      <c r="E610" s="27"/>
      <c r="F610" s="29">
        <f t="shared" si="48"/>
        <v>3</v>
      </c>
      <c r="G610" s="27">
        <v>1</v>
      </c>
      <c r="H610" s="27">
        <v>2</v>
      </c>
      <c r="I610" s="27">
        <v>3</v>
      </c>
      <c r="J610" s="27">
        <v>1</v>
      </c>
      <c r="K610" s="27"/>
      <c r="L610" s="27">
        <v>1</v>
      </c>
      <c r="M610" s="27">
        <v>3</v>
      </c>
      <c r="N610" s="27">
        <v>2</v>
      </c>
      <c r="O610" s="27">
        <v>2</v>
      </c>
      <c r="P610" s="23"/>
    </row>
    <row r="611" spans="1:16" s="18" customFormat="1" ht="8.65" customHeight="1" x14ac:dyDescent="0.25">
      <c r="A611" s="22" t="s">
        <v>27</v>
      </c>
      <c r="B611" s="23">
        <v>21</v>
      </c>
      <c r="C611" s="23"/>
      <c r="D611" s="23">
        <v>15</v>
      </c>
      <c r="E611" s="23"/>
      <c r="F611" s="25">
        <f t="shared" si="48"/>
        <v>33</v>
      </c>
      <c r="G611" s="23">
        <v>4</v>
      </c>
      <c r="H611" s="23">
        <v>29</v>
      </c>
      <c r="I611" s="23">
        <v>27</v>
      </c>
      <c r="J611" s="23">
        <v>21</v>
      </c>
      <c r="K611" s="23"/>
      <c r="L611" s="23">
        <v>0</v>
      </c>
      <c r="M611" s="23">
        <v>3</v>
      </c>
      <c r="N611" s="23">
        <v>3</v>
      </c>
      <c r="O611" s="23">
        <v>0</v>
      </c>
      <c r="P611" s="23"/>
    </row>
    <row r="612" spans="1:16" s="18" customFormat="1" ht="8.65" customHeight="1" x14ac:dyDescent="0.25">
      <c r="A612" s="22" t="s">
        <v>28</v>
      </c>
      <c r="B612" s="23">
        <v>4</v>
      </c>
      <c r="C612" s="23"/>
      <c r="D612" s="23">
        <v>2</v>
      </c>
      <c r="E612" s="23"/>
      <c r="F612" s="25">
        <f t="shared" si="48"/>
        <v>4</v>
      </c>
      <c r="G612" s="23">
        <v>0</v>
      </c>
      <c r="H612" s="23">
        <v>4</v>
      </c>
      <c r="I612" s="23">
        <v>2</v>
      </c>
      <c r="J612" s="23">
        <v>4</v>
      </c>
      <c r="K612" s="23"/>
      <c r="L612" s="23">
        <v>0</v>
      </c>
      <c r="M612" s="23">
        <v>0</v>
      </c>
      <c r="N612" s="23">
        <v>0</v>
      </c>
      <c r="O612" s="23">
        <v>0</v>
      </c>
      <c r="P612" s="23"/>
    </row>
    <row r="613" spans="1:16" s="18" customFormat="1" ht="8.65" customHeight="1" x14ac:dyDescent="0.25">
      <c r="A613" s="22" t="s">
        <v>29</v>
      </c>
      <c r="B613" s="23">
        <v>27</v>
      </c>
      <c r="C613" s="23"/>
      <c r="D613" s="23">
        <v>14</v>
      </c>
      <c r="E613" s="23"/>
      <c r="F613" s="25">
        <f t="shared" si="48"/>
        <v>26</v>
      </c>
      <c r="G613" s="23">
        <v>1</v>
      </c>
      <c r="H613" s="23">
        <v>25</v>
      </c>
      <c r="I613" s="23">
        <v>21</v>
      </c>
      <c r="J613" s="23">
        <v>19</v>
      </c>
      <c r="K613" s="23"/>
      <c r="L613" s="23">
        <v>1</v>
      </c>
      <c r="M613" s="23">
        <v>3</v>
      </c>
      <c r="N613" s="23">
        <v>4</v>
      </c>
      <c r="O613" s="23">
        <v>0</v>
      </c>
      <c r="P613" s="23"/>
    </row>
    <row r="614" spans="1:16" s="18" customFormat="1" ht="8.65" customHeight="1" x14ac:dyDescent="0.25">
      <c r="A614" s="26" t="s">
        <v>30</v>
      </c>
      <c r="B614" s="27">
        <v>51</v>
      </c>
      <c r="C614" s="27"/>
      <c r="D614" s="27">
        <v>31</v>
      </c>
      <c r="E614" s="27"/>
      <c r="F614" s="29">
        <f t="shared" si="48"/>
        <v>54</v>
      </c>
      <c r="G614" s="27">
        <v>7</v>
      </c>
      <c r="H614" s="27">
        <v>47</v>
      </c>
      <c r="I614" s="27">
        <v>60</v>
      </c>
      <c r="J614" s="27">
        <v>25</v>
      </c>
      <c r="K614" s="27"/>
      <c r="L614" s="27">
        <v>7</v>
      </c>
      <c r="M614" s="27">
        <v>10</v>
      </c>
      <c r="N614" s="27">
        <v>13</v>
      </c>
      <c r="O614" s="27">
        <v>4</v>
      </c>
      <c r="P614" s="23"/>
    </row>
    <row r="615" spans="1:16" s="18" customFormat="1" ht="8.65" customHeight="1" x14ac:dyDescent="0.25">
      <c r="A615" s="22" t="s">
        <v>63</v>
      </c>
      <c r="B615" s="23">
        <v>1309</v>
      </c>
      <c r="C615" s="23"/>
      <c r="D615" s="23">
        <v>607</v>
      </c>
      <c r="E615" s="23"/>
      <c r="F615" s="25">
        <f t="shared" si="48"/>
        <v>1884</v>
      </c>
      <c r="G615" s="23">
        <v>702</v>
      </c>
      <c r="H615" s="23">
        <v>1182</v>
      </c>
      <c r="I615" s="23">
        <v>1808</v>
      </c>
      <c r="J615" s="23">
        <v>683</v>
      </c>
      <c r="K615" s="23"/>
      <c r="L615" s="23">
        <v>27</v>
      </c>
      <c r="M615" s="23">
        <v>92</v>
      </c>
      <c r="N615" s="23">
        <v>98</v>
      </c>
      <c r="O615" s="23">
        <v>21</v>
      </c>
      <c r="P615" s="23"/>
    </row>
    <row r="616" spans="1:16" s="18" customFormat="1" ht="8.65" customHeight="1" x14ac:dyDescent="0.25">
      <c r="A616" s="22" t="s">
        <v>31</v>
      </c>
      <c r="B616" s="23">
        <v>17</v>
      </c>
      <c r="C616" s="23"/>
      <c r="D616" s="23">
        <v>7</v>
      </c>
      <c r="E616" s="23"/>
      <c r="F616" s="25">
        <f t="shared" si="48"/>
        <v>14</v>
      </c>
      <c r="G616" s="23">
        <v>2</v>
      </c>
      <c r="H616" s="23">
        <v>12</v>
      </c>
      <c r="I616" s="23">
        <v>15</v>
      </c>
      <c r="J616" s="23">
        <v>6</v>
      </c>
      <c r="K616" s="23"/>
      <c r="L616" s="23">
        <v>2</v>
      </c>
      <c r="M616" s="23">
        <v>3</v>
      </c>
      <c r="N616" s="23">
        <v>5</v>
      </c>
      <c r="O616" s="23">
        <v>0</v>
      </c>
      <c r="P616" s="23"/>
    </row>
    <row r="617" spans="1:16" s="18" customFormat="1" ht="8.65" customHeight="1" x14ac:dyDescent="0.25">
      <c r="A617" s="22" t="s">
        <v>32</v>
      </c>
      <c r="B617" s="23">
        <v>104</v>
      </c>
      <c r="C617" s="23"/>
      <c r="D617" s="23">
        <v>25</v>
      </c>
      <c r="E617" s="23"/>
      <c r="F617" s="25">
        <f t="shared" si="48"/>
        <v>71</v>
      </c>
      <c r="G617" s="23">
        <v>23</v>
      </c>
      <c r="H617" s="23">
        <v>48</v>
      </c>
      <c r="I617" s="23">
        <v>50</v>
      </c>
      <c r="J617" s="23">
        <v>46</v>
      </c>
      <c r="K617" s="23"/>
      <c r="L617" s="23">
        <v>3</v>
      </c>
      <c r="M617" s="23">
        <v>8</v>
      </c>
      <c r="N617" s="23">
        <v>8</v>
      </c>
      <c r="O617" s="23">
        <v>3</v>
      </c>
      <c r="P617" s="23"/>
    </row>
    <row r="618" spans="1:16" s="18" customFormat="1" ht="8.65" customHeight="1" x14ac:dyDescent="0.25">
      <c r="A618" s="26" t="s">
        <v>33</v>
      </c>
      <c r="B618" s="27">
        <v>21</v>
      </c>
      <c r="C618" s="27"/>
      <c r="D618" s="27">
        <v>14</v>
      </c>
      <c r="E618" s="27"/>
      <c r="F618" s="29">
        <f t="shared" si="48"/>
        <v>14</v>
      </c>
      <c r="G618" s="27">
        <v>4</v>
      </c>
      <c r="H618" s="27">
        <v>10</v>
      </c>
      <c r="I618" s="27">
        <v>16</v>
      </c>
      <c r="J618" s="27">
        <v>12</v>
      </c>
      <c r="K618" s="27"/>
      <c r="L618" s="27">
        <v>0</v>
      </c>
      <c r="M618" s="27">
        <v>2</v>
      </c>
      <c r="N618" s="27">
        <v>2</v>
      </c>
      <c r="O618" s="27">
        <v>0</v>
      </c>
      <c r="P618" s="23"/>
    </row>
    <row r="619" spans="1:16" s="18" customFormat="1" ht="8.65" customHeight="1" x14ac:dyDescent="0.25">
      <c r="A619" s="22" t="s">
        <v>34</v>
      </c>
      <c r="B619" s="23">
        <v>37</v>
      </c>
      <c r="C619" s="23"/>
      <c r="D619" s="23">
        <v>12</v>
      </c>
      <c r="E619" s="23"/>
      <c r="F619" s="25">
        <f t="shared" si="48"/>
        <v>29</v>
      </c>
      <c r="G619" s="23">
        <v>8</v>
      </c>
      <c r="H619" s="23">
        <v>21</v>
      </c>
      <c r="I619" s="23">
        <v>20</v>
      </c>
      <c r="J619" s="23">
        <v>21</v>
      </c>
      <c r="K619" s="23"/>
      <c r="L619" s="23">
        <v>2</v>
      </c>
      <c r="M619" s="23">
        <v>14</v>
      </c>
      <c r="N619" s="23">
        <v>11</v>
      </c>
      <c r="O619" s="23">
        <v>5</v>
      </c>
      <c r="P619" s="23"/>
    </row>
    <row r="620" spans="1:16" s="18" customFormat="1" ht="8.65" customHeight="1" x14ac:dyDescent="0.25">
      <c r="A620" s="22" t="s">
        <v>35</v>
      </c>
      <c r="B620" s="23">
        <v>107</v>
      </c>
      <c r="C620" s="23"/>
      <c r="D620" s="23">
        <v>11</v>
      </c>
      <c r="E620" s="23"/>
      <c r="F620" s="25">
        <f t="shared" si="48"/>
        <v>26</v>
      </c>
      <c r="G620" s="23">
        <v>13</v>
      </c>
      <c r="H620" s="23">
        <v>13</v>
      </c>
      <c r="I620" s="23">
        <v>29</v>
      </c>
      <c r="J620" s="23">
        <v>8</v>
      </c>
      <c r="K620" s="23"/>
      <c r="L620" s="23">
        <v>6</v>
      </c>
      <c r="M620" s="23">
        <v>13</v>
      </c>
      <c r="N620" s="23">
        <v>17</v>
      </c>
      <c r="O620" s="23">
        <v>2</v>
      </c>
      <c r="P620" s="23"/>
    </row>
    <row r="621" spans="1:16" s="18" customFormat="1" ht="8.65" customHeight="1" x14ac:dyDescent="0.25">
      <c r="A621" s="22" t="s">
        <v>36</v>
      </c>
      <c r="B621" s="23">
        <v>877</v>
      </c>
      <c r="C621" s="23"/>
      <c r="D621" s="23">
        <v>114</v>
      </c>
      <c r="E621" s="23"/>
      <c r="F621" s="25">
        <f t="shared" si="48"/>
        <v>447</v>
      </c>
      <c r="G621" s="23">
        <v>192</v>
      </c>
      <c r="H621" s="23">
        <v>255</v>
      </c>
      <c r="I621" s="23">
        <v>378</v>
      </c>
      <c r="J621" s="23">
        <v>183</v>
      </c>
      <c r="K621" s="23"/>
      <c r="L621" s="23">
        <v>13</v>
      </c>
      <c r="M621" s="23">
        <v>15</v>
      </c>
      <c r="N621" s="23">
        <v>26</v>
      </c>
      <c r="O621" s="23">
        <v>2</v>
      </c>
      <c r="P621" s="23"/>
    </row>
    <row r="622" spans="1:16" s="18" customFormat="1" ht="8.65" customHeight="1" x14ac:dyDescent="0.25">
      <c r="A622" s="26" t="s">
        <v>37</v>
      </c>
      <c r="B622" s="27">
        <v>42</v>
      </c>
      <c r="C622" s="27"/>
      <c r="D622" s="27">
        <v>5</v>
      </c>
      <c r="E622" s="27"/>
      <c r="F622" s="29">
        <f t="shared" si="48"/>
        <v>22</v>
      </c>
      <c r="G622" s="27">
        <v>9</v>
      </c>
      <c r="H622" s="27">
        <v>13</v>
      </c>
      <c r="I622" s="27">
        <v>14</v>
      </c>
      <c r="J622" s="27">
        <v>13</v>
      </c>
      <c r="K622" s="27"/>
      <c r="L622" s="27">
        <v>0</v>
      </c>
      <c r="M622" s="27">
        <v>3</v>
      </c>
      <c r="N622" s="27">
        <v>3</v>
      </c>
      <c r="O622" s="27">
        <v>0</v>
      </c>
      <c r="P622" s="23"/>
    </row>
    <row r="623" spans="1:16" s="18" customFormat="1" ht="8.65" customHeight="1" x14ac:dyDescent="0.25">
      <c r="A623" s="22" t="s">
        <v>38</v>
      </c>
      <c r="B623" s="23">
        <v>53</v>
      </c>
      <c r="C623" s="23"/>
      <c r="D623" s="23">
        <v>21</v>
      </c>
      <c r="E623" s="23"/>
      <c r="F623" s="25">
        <f t="shared" si="48"/>
        <v>16</v>
      </c>
      <c r="G623" s="23">
        <v>4</v>
      </c>
      <c r="H623" s="23">
        <v>12</v>
      </c>
      <c r="I623" s="23">
        <v>28</v>
      </c>
      <c r="J623" s="23">
        <v>9</v>
      </c>
      <c r="K623" s="23"/>
      <c r="L623" s="23">
        <v>2</v>
      </c>
      <c r="M623" s="23">
        <v>2</v>
      </c>
      <c r="N623" s="23">
        <v>3</v>
      </c>
      <c r="O623" s="23">
        <v>1</v>
      </c>
      <c r="P623" s="23"/>
    </row>
    <row r="624" spans="1:16" s="18" customFormat="1" ht="8.65" customHeight="1" x14ac:dyDescent="0.25">
      <c r="A624" s="22" t="s">
        <v>39</v>
      </c>
      <c r="B624" s="23">
        <v>10</v>
      </c>
      <c r="C624" s="23"/>
      <c r="D624" s="23">
        <v>2</v>
      </c>
      <c r="E624" s="23"/>
      <c r="F624" s="25">
        <f t="shared" si="48"/>
        <v>9</v>
      </c>
      <c r="G624" s="23">
        <v>1</v>
      </c>
      <c r="H624" s="23">
        <v>8</v>
      </c>
      <c r="I624" s="23">
        <v>6</v>
      </c>
      <c r="J624" s="23">
        <v>5</v>
      </c>
      <c r="K624" s="23"/>
      <c r="L624" s="23">
        <v>2</v>
      </c>
      <c r="M624" s="23">
        <v>2</v>
      </c>
      <c r="N624" s="23">
        <v>4</v>
      </c>
      <c r="O624" s="23">
        <v>0</v>
      </c>
      <c r="P624" s="23"/>
    </row>
    <row r="625" spans="1:16" s="18" customFormat="1" ht="8.65" customHeight="1" x14ac:dyDescent="0.25">
      <c r="A625" s="22" t="s">
        <v>40</v>
      </c>
      <c r="B625" s="23">
        <v>49</v>
      </c>
      <c r="C625" s="23"/>
      <c r="D625" s="23">
        <v>9</v>
      </c>
      <c r="E625" s="23"/>
      <c r="F625" s="25">
        <f t="shared" si="48"/>
        <v>19</v>
      </c>
      <c r="G625" s="23">
        <v>2</v>
      </c>
      <c r="H625" s="23">
        <v>17</v>
      </c>
      <c r="I625" s="23">
        <v>12</v>
      </c>
      <c r="J625" s="23">
        <v>16</v>
      </c>
      <c r="K625" s="23"/>
      <c r="L625" s="23">
        <v>1</v>
      </c>
      <c r="M625" s="23">
        <v>0</v>
      </c>
      <c r="N625" s="23">
        <v>1</v>
      </c>
      <c r="O625" s="23">
        <v>0</v>
      </c>
      <c r="P625" s="23"/>
    </row>
    <row r="626" spans="1:16" s="18" customFormat="1" ht="8.65" customHeight="1" x14ac:dyDescent="0.25">
      <c r="A626" s="26" t="s">
        <v>41</v>
      </c>
      <c r="B626" s="27">
        <v>19</v>
      </c>
      <c r="C626" s="27"/>
      <c r="D626" s="27">
        <v>5</v>
      </c>
      <c r="E626" s="27"/>
      <c r="F626" s="29">
        <f t="shared" si="48"/>
        <v>4</v>
      </c>
      <c r="G626" s="27">
        <v>1</v>
      </c>
      <c r="H626" s="27">
        <v>3</v>
      </c>
      <c r="I626" s="27">
        <v>5</v>
      </c>
      <c r="J626" s="27">
        <v>4</v>
      </c>
      <c r="K626" s="27"/>
      <c r="L626" s="27">
        <v>1</v>
      </c>
      <c r="M626" s="27">
        <v>3</v>
      </c>
      <c r="N626" s="27">
        <v>2</v>
      </c>
      <c r="O626" s="27">
        <v>2</v>
      </c>
      <c r="P626" s="23"/>
    </row>
    <row r="627" spans="1:16" s="18" customFormat="1" ht="8.65" customHeight="1" x14ac:dyDescent="0.25">
      <c r="A627" s="22" t="s">
        <v>42</v>
      </c>
      <c r="B627" s="23">
        <v>44</v>
      </c>
      <c r="C627" s="23"/>
      <c r="D627" s="23">
        <v>7</v>
      </c>
      <c r="E627" s="23"/>
      <c r="F627" s="25">
        <f t="shared" si="48"/>
        <v>10</v>
      </c>
      <c r="G627" s="23">
        <v>3</v>
      </c>
      <c r="H627" s="23">
        <v>7</v>
      </c>
      <c r="I627" s="23">
        <v>10</v>
      </c>
      <c r="J627" s="23">
        <v>7</v>
      </c>
      <c r="K627" s="23"/>
      <c r="L627" s="23">
        <v>6</v>
      </c>
      <c r="M627" s="23">
        <v>6</v>
      </c>
      <c r="N627" s="23">
        <v>12</v>
      </c>
      <c r="O627" s="23">
        <v>0</v>
      </c>
      <c r="P627" s="23"/>
    </row>
    <row r="628" spans="1:16" s="18" customFormat="1" ht="8.65" customHeight="1" x14ac:dyDescent="0.25">
      <c r="A628" s="22" t="s">
        <v>43</v>
      </c>
      <c r="B628" s="23">
        <v>40</v>
      </c>
      <c r="C628" s="23"/>
      <c r="D628" s="23">
        <v>4</v>
      </c>
      <c r="E628" s="23"/>
      <c r="F628" s="25">
        <f t="shared" si="48"/>
        <v>11</v>
      </c>
      <c r="G628" s="23">
        <v>5</v>
      </c>
      <c r="H628" s="23">
        <v>6</v>
      </c>
      <c r="I628" s="23">
        <v>9</v>
      </c>
      <c r="J628" s="23">
        <v>6</v>
      </c>
      <c r="K628" s="23"/>
      <c r="L628" s="23">
        <v>0</v>
      </c>
      <c r="M628" s="23">
        <v>0</v>
      </c>
      <c r="N628" s="23">
        <v>0</v>
      </c>
      <c r="O628" s="23">
        <v>0</v>
      </c>
      <c r="P628" s="23"/>
    </row>
    <row r="629" spans="1:16" s="18" customFormat="1" ht="8.65" customHeight="1" x14ac:dyDescent="0.25">
      <c r="A629" s="22" t="s">
        <v>44</v>
      </c>
      <c r="B629" s="23">
        <v>29</v>
      </c>
      <c r="C629" s="23"/>
      <c r="D629" s="23">
        <v>8</v>
      </c>
      <c r="E629" s="23"/>
      <c r="F629" s="25">
        <f t="shared" si="48"/>
        <v>28</v>
      </c>
      <c r="G629" s="23">
        <v>8</v>
      </c>
      <c r="H629" s="23">
        <v>20</v>
      </c>
      <c r="I629" s="23">
        <v>25</v>
      </c>
      <c r="J629" s="23">
        <v>11</v>
      </c>
      <c r="K629" s="23"/>
      <c r="L629" s="23">
        <v>3</v>
      </c>
      <c r="M629" s="23">
        <v>3</v>
      </c>
      <c r="N629" s="23">
        <v>4</v>
      </c>
      <c r="O629" s="23">
        <v>2</v>
      </c>
      <c r="P629" s="23"/>
    </row>
    <row r="630" spans="1:16" s="18" customFormat="1" ht="8.65" customHeight="1" x14ac:dyDescent="0.25">
      <c r="A630" s="26" t="s">
        <v>45</v>
      </c>
      <c r="B630" s="27">
        <v>27</v>
      </c>
      <c r="C630" s="27"/>
      <c r="D630" s="27">
        <v>11</v>
      </c>
      <c r="E630" s="27"/>
      <c r="F630" s="29">
        <f t="shared" si="48"/>
        <v>38</v>
      </c>
      <c r="G630" s="27">
        <v>3</v>
      </c>
      <c r="H630" s="27">
        <v>35</v>
      </c>
      <c r="I630" s="27">
        <v>24</v>
      </c>
      <c r="J630" s="27">
        <v>25</v>
      </c>
      <c r="K630" s="27"/>
      <c r="L630" s="27">
        <v>3</v>
      </c>
      <c r="M630" s="27">
        <v>8</v>
      </c>
      <c r="N630" s="27">
        <v>11</v>
      </c>
      <c r="O630" s="27">
        <v>0</v>
      </c>
      <c r="P630" s="23"/>
    </row>
    <row r="631" spans="1:16" s="18" customFormat="1" ht="8.65" customHeight="1" x14ac:dyDescent="0.25">
      <c r="A631" s="22" t="s">
        <v>46</v>
      </c>
      <c r="B631" s="23">
        <v>23</v>
      </c>
      <c r="C631" s="23"/>
      <c r="D631" s="23">
        <v>10</v>
      </c>
      <c r="E631" s="23"/>
      <c r="F631" s="25">
        <f t="shared" si="48"/>
        <v>15</v>
      </c>
      <c r="G631" s="23">
        <v>9</v>
      </c>
      <c r="H631" s="23">
        <v>6</v>
      </c>
      <c r="I631" s="23">
        <v>19</v>
      </c>
      <c r="J631" s="23">
        <v>6</v>
      </c>
      <c r="K631" s="23"/>
      <c r="L631" s="23">
        <v>2</v>
      </c>
      <c r="M631" s="23">
        <v>7</v>
      </c>
      <c r="N631" s="23">
        <v>7</v>
      </c>
      <c r="O631" s="23">
        <v>2</v>
      </c>
      <c r="P631" s="23"/>
    </row>
    <row r="632" spans="1:16" s="18" customFormat="1" ht="8.65" customHeight="1" x14ac:dyDescent="0.25">
      <c r="A632" s="22" t="s">
        <v>47</v>
      </c>
      <c r="B632" s="23">
        <v>36</v>
      </c>
      <c r="C632" s="23"/>
      <c r="D632" s="23">
        <v>5</v>
      </c>
      <c r="E632" s="23"/>
      <c r="F632" s="25">
        <f t="shared" si="48"/>
        <v>22</v>
      </c>
      <c r="G632" s="23">
        <v>7</v>
      </c>
      <c r="H632" s="23">
        <v>15</v>
      </c>
      <c r="I632" s="23">
        <v>18</v>
      </c>
      <c r="J632" s="23">
        <v>9</v>
      </c>
      <c r="K632" s="23"/>
      <c r="L632" s="23">
        <v>3</v>
      </c>
      <c r="M632" s="23">
        <v>8</v>
      </c>
      <c r="N632" s="23">
        <v>10</v>
      </c>
      <c r="O632" s="23">
        <v>1</v>
      </c>
      <c r="P632" s="23"/>
    </row>
    <row r="633" spans="1:16" s="18" customFormat="1" ht="8.65" customHeight="1" x14ac:dyDescent="0.25">
      <c r="A633" s="22" t="s">
        <v>48</v>
      </c>
      <c r="B633" s="23">
        <v>18</v>
      </c>
      <c r="C633" s="23"/>
      <c r="D633" s="23">
        <v>5</v>
      </c>
      <c r="E633" s="23"/>
      <c r="F633" s="25">
        <f t="shared" si="48"/>
        <v>6</v>
      </c>
      <c r="G633" s="23">
        <v>3</v>
      </c>
      <c r="H633" s="23">
        <v>3</v>
      </c>
      <c r="I633" s="23">
        <v>10</v>
      </c>
      <c r="J633" s="23">
        <v>1</v>
      </c>
      <c r="K633" s="23"/>
      <c r="L633" s="23">
        <v>2</v>
      </c>
      <c r="M633" s="23">
        <v>3</v>
      </c>
      <c r="N633" s="23">
        <v>5</v>
      </c>
      <c r="O633" s="23">
        <v>0</v>
      </c>
      <c r="P633" s="23"/>
    </row>
    <row r="634" spans="1:16" s="18" customFormat="1" ht="8.65" customHeight="1" x14ac:dyDescent="0.25">
      <c r="A634" s="26" t="s">
        <v>49</v>
      </c>
      <c r="B634" s="27">
        <v>33</v>
      </c>
      <c r="C634" s="27"/>
      <c r="D634" s="27">
        <v>11</v>
      </c>
      <c r="E634" s="27"/>
      <c r="F634" s="29">
        <f t="shared" si="48"/>
        <v>15</v>
      </c>
      <c r="G634" s="27">
        <v>3</v>
      </c>
      <c r="H634" s="27">
        <v>12</v>
      </c>
      <c r="I634" s="27">
        <v>18</v>
      </c>
      <c r="J634" s="27">
        <v>8</v>
      </c>
      <c r="K634" s="27"/>
      <c r="L634" s="27">
        <v>6</v>
      </c>
      <c r="M634" s="27">
        <v>3</v>
      </c>
      <c r="N634" s="27">
        <v>9</v>
      </c>
      <c r="O634" s="27">
        <v>0</v>
      </c>
      <c r="P634" s="23"/>
    </row>
    <row r="635" spans="1:16" s="18" customFormat="1" ht="8.65" customHeight="1" x14ac:dyDescent="0.25">
      <c r="A635" s="22" t="s">
        <v>50</v>
      </c>
      <c r="B635" s="23">
        <v>12</v>
      </c>
      <c r="C635" s="23"/>
      <c r="D635" s="23">
        <v>3</v>
      </c>
      <c r="E635" s="23"/>
      <c r="F635" s="25">
        <f t="shared" si="48"/>
        <v>9</v>
      </c>
      <c r="G635" s="23">
        <v>0</v>
      </c>
      <c r="H635" s="23">
        <v>9</v>
      </c>
      <c r="I635" s="23">
        <v>9</v>
      </c>
      <c r="J635" s="23">
        <v>3</v>
      </c>
      <c r="K635" s="23"/>
      <c r="L635" s="23">
        <v>1</v>
      </c>
      <c r="M635" s="23">
        <v>4</v>
      </c>
      <c r="N635" s="23">
        <v>5</v>
      </c>
      <c r="O635" s="23">
        <v>0</v>
      </c>
      <c r="P635" s="23"/>
    </row>
    <row r="636" spans="1:16" s="18" customFormat="1" ht="8.65" customHeight="1" x14ac:dyDescent="0.25">
      <c r="A636" s="22" t="s">
        <v>51</v>
      </c>
      <c r="B636" s="23">
        <v>138</v>
      </c>
      <c r="C636" s="23"/>
      <c r="D636" s="23">
        <v>11</v>
      </c>
      <c r="E636" s="23"/>
      <c r="F636" s="25">
        <f t="shared" si="48"/>
        <v>39</v>
      </c>
      <c r="G636" s="23">
        <v>16</v>
      </c>
      <c r="H636" s="23">
        <v>23</v>
      </c>
      <c r="I636" s="23">
        <v>35</v>
      </c>
      <c r="J636" s="23">
        <v>15</v>
      </c>
      <c r="K636" s="23"/>
      <c r="L636" s="23">
        <v>5</v>
      </c>
      <c r="M636" s="23">
        <v>4</v>
      </c>
      <c r="N636" s="23">
        <v>8</v>
      </c>
      <c r="O636" s="23">
        <v>1</v>
      </c>
      <c r="P636" s="23"/>
    </row>
    <row r="637" spans="1:16" s="18" customFormat="1" ht="8.65" customHeight="1" x14ac:dyDescent="0.25">
      <c r="A637" s="22" t="s">
        <v>52</v>
      </c>
      <c r="B637" s="23">
        <v>18</v>
      </c>
      <c r="C637" s="23"/>
      <c r="D637" s="23">
        <v>12</v>
      </c>
      <c r="E637" s="23"/>
      <c r="F637" s="25">
        <f t="shared" si="48"/>
        <v>36</v>
      </c>
      <c r="G637" s="23">
        <v>2</v>
      </c>
      <c r="H637" s="23">
        <v>34</v>
      </c>
      <c r="I637" s="23">
        <v>24</v>
      </c>
      <c r="J637" s="23">
        <v>24</v>
      </c>
      <c r="K637" s="23"/>
      <c r="L637" s="23">
        <v>2</v>
      </c>
      <c r="M637" s="23">
        <v>4</v>
      </c>
      <c r="N637" s="23">
        <v>5</v>
      </c>
      <c r="O637" s="23">
        <v>1</v>
      </c>
      <c r="P637" s="23"/>
    </row>
    <row r="638" spans="1:16" s="18" customFormat="1" ht="8.65" customHeight="1" x14ac:dyDescent="0.25">
      <c r="A638" s="26" t="s">
        <v>53</v>
      </c>
      <c r="B638" s="27">
        <v>30</v>
      </c>
      <c r="C638" s="27"/>
      <c r="D638" s="27">
        <v>3</v>
      </c>
      <c r="E638" s="27"/>
      <c r="F638" s="29">
        <f t="shared" si="48"/>
        <v>15</v>
      </c>
      <c r="G638" s="27">
        <v>4</v>
      </c>
      <c r="H638" s="27">
        <v>11</v>
      </c>
      <c r="I638" s="27">
        <v>13</v>
      </c>
      <c r="J638" s="27">
        <v>5</v>
      </c>
      <c r="K638" s="27"/>
      <c r="L638" s="27">
        <v>2</v>
      </c>
      <c r="M638" s="27">
        <v>6</v>
      </c>
      <c r="N638" s="27">
        <v>6</v>
      </c>
      <c r="O638" s="27">
        <v>2</v>
      </c>
      <c r="P638" s="23"/>
    </row>
    <row r="639" spans="1:16" s="18" customFormat="1" ht="8.65" customHeight="1" x14ac:dyDescent="0.25">
      <c r="A639" s="22" t="s">
        <v>54</v>
      </c>
      <c r="B639" s="23">
        <v>203</v>
      </c>
      <c r="C639" s="23"/>
      <c r="D639" s="23">
        <v>0</v>
      </c>
      <c r="E639" s="23"/>
      <c r="F639" s="25">
        <f t="shared" si="48"/>
        <v>1</v>
      </c>
      <c r="G639" s="23">
        <v>0</v>
      </c>
      <c r="H639" s="23">
        <v>1</v>
      </c>
      <c r="I639" s="23">
        <v>0</v>
      </c>
      <c r="J639" s="23">
        <v>1</v>
      </c>
      <c r="K639" s="23"/>
      <c r="L639" s="23">
        <v>0</v>
      </c>
      <c r="M639" s="23">
        <v>1</v>
      </c>
      <c r="N639" s="23">
        <v>1</v>
      </c>
      <c r="O639" s="23">
        <v>0</v>
      </c>
      <c r="P639" s="23"/>
    </row>
    <row r="640" spans="1:16" s="18" customFormat="1" ht="9" customHeight="1" x14ac:dyDescent="0.25">
      <c r="A640" s="22"/>
      <c r="B640" s="23"/>
      <c r="C640" s="23"/>
      <c r="D640" s="23"/>
      <c r="E640" s="23"/>
      <c r="F640" s="25"/>
      <c r="G640" s="23"/>
      <c r="H640" s="23"/>
      <c r="I640" s="23"/>
      <c r="J640" s="23"/>
      <c r="K640" s="23"/>
      <c r="L640" s="23"/>
      <c r="M640" s="23"/>
      <c r="N640" s="23"/>
      <c r="O640" s="23"/>
      <c r="P640" s="23"/>
    </row>
    <row r="641" spans="1:26" s="18" customFormat="1" ht="9" customHeight="1" x14ac:dyDescent="0.25">
      <c r="A641" s="31">
        <v>2013</v>
      </c>
      <c r="B641" s="20"/>
      <c r="C641" s="20"/>
      <c r="D641" s="20"/>
      <c r="E641" s="20"/>
      <c r="G641" s="20"/>
      <c r="H641" s="20"/>
      <c r="I641" s="20"/>
      <c r="J641" s="20"/>
      <c r="K641" s="20"/>
      <c r="L641" s="20"/>
      <c r="M641" s="20"/>
      <c r="N641" s="20"/>
      <c r="O641" s="20"/>
      <c r="P641" s="23"/>
    </row>
    <row r="642" spans="1:26" s="18" customFormat="1" ht="9" customHeight="1" x14ac:dyDescent="0.25">
      <c r="A642" s="19" t="s">
        <v>21</v>
      </c>
      <c r="B642" s="20">
        <f>SUM(B644:B676)</f>
        <v>4646</v>
      </c>
      <c r="C642" s="20"/>
      <c r="D642" s="20">
        <f>SUM(D644:D676)</f>
        <v>1220</v>
      </c>
      <c r="E642" s="20"/>
      <c r="F642" s="20">
        <f>SUM(F644:F676)</f>
        <v>3212</v>
      </c>
      <c r="G642" s="20">
        <f>SUM(G644:G676)</f>
        <v>1179</v>
      </c>
      <c r="H642" s="20">
        <f>SUM(H644:H676)</f>
        <v>2033</v>
      </c>
      <c r="I642" s="20">
        <f>SUM(I644:I676)</f>
        <v>2954</v>
      </c>
      <c r="J642" s="20">
        <f>SUM(J644:J676)</f>
        <v>1478</v>
      </c>
      <c r="K642" s="20"/>
      <c r="L642" s="20">
        <f>SUM(L644:L676)</f>
        <v>57</v>
      </c>
      <c r="M642" s="20">
        <f>SUM(M644:M676)</f>
        <v>269</v>
      </c>
      <c r="N642" s="20">
        <f>SUM(N644:N676)</f>
        <v>249</v>
      </c>
      <c r="O642" s="20">
        <f>SUM(O644:O676)</f>
        <v>77</v>
      </c>
      <c r="P642" s="23"/>
    </row>
    <row r="643" spans="1:26" s="18" customFormat="1" ht="3" customHeight="1" x14ac:dyDescent="0.25">
      <c r="A643" s="19"/>
      <c r="B643" s="20"/>
      <c r="C643" s="20"/>
      <c r="D643" s="20"/>
      <c r="E643" s="20"/>
      <c r="G643" s="20"/>
      <c r="H643" s="20"/>
      <c r="I643" s="20"/>
      <c r="J643" s="20"/>
      <c r="K643" s="20"/>
      <c r="L643" s="20"/>
      <c r="M643" s="20"/>
      <c r="N643" s="20"/>
      <c r="O643" s="20"/>
      <c r="P643" s="23"/>
    </row>
    <row r="644" spans="1:26" s="18" customFormat="1" ht="8.65" customHeight="1" x14ac:dyDescent="0.25">
      <c r="A644" s="22" t="s">
        <v>23</v>
      </c>
      <c r="B644" s="23">
        <v>20</v>
      </c>
      <c r="C644" s="23"/>
      <c r="D644" s="23">
        <v>11</v>
      </c>
      <c r="E644" s="23"/>
      <c r="F644" s="25">
        <f t="shared" ref="F644:F676" si="49">SUM(G644:H644)</f>
        <v>6</v>
      </c>
      <c r="G644" s="23">
        <v>2</v>
      </c>
      <c r="H644" s="23">
        <v>4</v>
      </c>
      <c r="I644" s="23">
        <v>10</v>
      </c>
      <c r="J644" s="23">
        <v>7</v>
      </c>
      <c r="K644" s="23"/>
      <c r="L644" s="23">
        <v>0</v>
      </c>
      <c r="M644" s="23">
        <v>1</v>
      </c>
      <c r="N644" s="23">
        <v>1</v>
      </c>
      <c r="O644" s="23">
        <v>0</v>
      </c>
      <c r="P644" s="23"/>
    </row>
    <row r="645" spans="1:26" s="18" customFormat="1" ht="8.65" customHeight="1" x14ac:dyDescent="0.25">
      <c r="A645" s="22" t="s">
        <v>24</v>
      </c>
      <c r="B645" s="23">
        <v>66</v>
      </c>
      <c r="C645" s="23"/>
      <c r="D645" s="23">
        <v>2</v>
      </c>
      <c r="E645" s="23"/>
      <c r="F645" s="25">
        <f t="shared" si="49"/>
        <v>28</v>
      </c>
      <c r="G645" s="23">
        <v>14</v>
      </c>
      <c r="H645" s="23">
        <v>14</v>
      </c>
      <c r="I645" s="23">
        <v>21</v>
      </c>
      <c r="J645" s="23">
        <v>9</v>
      </c>
      <c r="K645" s="23"/>
      <c r="L645" s="23">
        <v>4</v>
      </c>
      <c r="M645" s="23">
        <v>14</v>
      </c>
      <c r="N645" s="23">
        <v>14</v>
      </c>
      <c r="O645" s="23">
        <v>4</v>
      </c>
      <c r="P645" s="23"/>
      <c r="Q645" s="32"/>
      <c r="R645" s="32"/>
      <c r="S645" s="33"/>
      <c r="T645" s="33"/>
      <c r="U645" s="33"/>
      <c r="V645" s="33"/>
      <c r="W645" s="33"/>
      <c r="X645" s="33"/>
      <c r="Y645" s="33"/>
      <c r="Z645" s="32"/>
    </row>
    <row r="646" spans="1:26" s="18" customFormat="1" ht="8.65" customHeight="1" x14ac:dyDescent="0.25">
      <c r="A646" s="22" t="s">
        <v>25</v>
      </c>
      <c r="B646" s="23">
        <v>31</v>
      </c>
      <c r="C646" s="23"/>
      <c r="D646" s="23">
        <v>10</v>
      </c>
      <c r="E646" s="23"/>
      <c r="F646" s="25">
        <f t="shared" si="49"/>
        <v>24</v>
      </c>
      <c r="G646" s="23">
        <v>2</v>
      </c>
      <c r="H646" s="23">
        <v>22</v>
      </c>
      <c r="I646" s="23">
        <v>11</v>
      </c>
      <c r="J646" s="23">
        <v>23</v>
      </c>
      <c r="K646" s="23"/>
      <c r="L646" s="23">
        <v>2</v>
      </c>
      <c r="M646" s="23">
        <v>5</v>
      </c>
      <c r="N646" s="23">
        <v>5</v>
      </c>
      <c r="O646" s="23">
        <v>2</v>
      </c>
      <c r="P646" s="23"/>
    </row>
    <row r="647" spans="1:26" s="18" customFormat="1" ht="8.65" customHeight="1" x14ac:dyDescent="0.25">
      <c r="A647" s="26" t="s">
        <v>26</v>
      </c>
      <c r="B647" s="27">
        <v>21</v>
      </c>
      <c r="C647" s="27"/>
      <c r="D647" s="27">
        <v>1</v>
      </c>
      <c r="E647" s="27"/>
      <c r="F647" s="29">
        <f t="shared" si="49"/>
        <v>7</v>
      </c>
      <c r="G647" s="27">
        <v>3</v>
      </c>
      <c r="H647" s="27">
        <v>4</v>
      </c>
      <c r="I647" s="27">
        <v>6</v>
      </c>
      <c r="J647" s="27">
        <v>2</v>
      </c>
      <c r="K647" s="27"/>
      <c r="L647" s="27">
        <v>2</v>
      </c>
      <c r="M647" s="27">
        <v>2</v>
      </c>
      <c r="N647" s="27">
        <v>2</v>
      </c>
      <c r="O647" s="27">
        <v>2</v>
      </c>
      <c r="P647" s="23"/>
    </row>
    <row r="648" spans="1:26" s="18" customFormat="1" ht="8.65" customHeight="1" x14ac:dyDescent="0.25">
      <c r="A648" s="22" t="s">
        <v>27</v>
      </c>
      <c r="B648" s="23">
        <v>49</v>
      </c>
      <c r="C648" s="23"/>
      <c r="D648" s="23">
        <v>21</v>
      </c>
      <c r="E648" s="23"/>
      <c r="F648" s="25">
        <f t="shared" si="49"/>
        <v>21</v>
      </c>
      <c r="G648" s="23">
        <v>2</v>
      </c>
      <c r="H648" s="23">
        <v>19</v>
      </c>
      <c r="I648" s="23">
        <v>23</v>
      </c>
      <c r="J648" s="23">
        <v>19</v>
      </c>
      <c r="K648" s="23"/>
      <c r="L648" s="23">
        <v>0</v>
      </c>
      <c r="M648" s="23">
        <v>1</v>
      </c>
      <c r="N648" s="23">
        <v>1</v>
      </c>
      <c r="O648" s="23">
        <v>0</v>
      </c>
      <c r="P648" s="23"/>
    </row>
    <row r="649" spans="1:26" s="18" customFormat="1" ht="8.65" customHeight="1" x14ac:dyDescent="0.25">
      <c r="A649" s="22" t="s">
        <v>28</v>
      </c>
      <c r="B649" s="23">
        <v>23</v>
      </c>
      <c r="C649" s="23"/>
      <c r="D649" s="23">
        <v>4</v>
      </c>
      <c r="E649" s="23"/>
      <c r="F649" s="25">
        <f t="shared" si="49"/>
        <v>7</v>
      </c>
      <c r="G649" s="23">
        <v>2</v>
      </c>
      <c r="H649" s="23">
        <v>5</v>
      </c>
      <c r="I649" s="23">
        <v>4</v>
      </c>
      <c r="J649" s="23">
        <v>7</v>
      </c>
      <c r="K649" s="23"/>
      <c r="L649" s="23">
        <v>0</v>
      </c>
      <c r="M649" s="23">
        <v>3</v>
      </c>
      <c r="N649" s="23">
        <v>2</v>
      </c>
      <c r="O649" s="23">
        <v>1</v>
      </c>
      <c r="P649" s="23"/>
    </row>
    <row r="650" spans="1:26" s="18" customFormat="1" ht="8.65" customHeight="1" x14ac:dyDescent="0.25">
      <c r="A650" s="22" t="s">
        <v>29</v>
      </c>
      <c r="B650" s="23">
        <v>21</v>
      </c>
      <c r="C650" s="23"/>
      <c r="D650" s="23">
        <v>19</v>
      </c>
      <c r="E650" s="23"/>
      <c r="F650" s="25">
        <f t="shared" si="49"/>
        <v>27</v>
      </c>
      <c r="G650" s="23">
        <v>5</v>
      </c>
      <c r="H650" s="23">
        <v>22</v>
      </c>
      <c r="I650" s="23">
        <v>27</v>
      </c>
      <c r="J650" s="23">
        <v>19</v>
      </c>
      <c r="K650" s="23"/>
      <c r="L650" s="23">
        <v>0</v>
      </c>
      <c r="M650" s="23">
        <v>5</v>
      </c>
      <c r="N650" s="23">
        <v>2</v>
      </c>
      <c r="O650" s="23">
        <v>3</v>
      </c>
      <c r="P650" s="23"/>
    </row>
    <row r="651" spans="1:26" s="18" customFormat="1" ht="8.65" customHeight="1" x14ac:dyDescent="0.25">
      <c r="A651" s="26" t="s">
        <v>30</v>
      </c>
      <c r="B651" s="27">
        <v>133</v>
      </c>
      <c r="C651" s="27"/>
      <c r="D651" s="27">
        <v>25</v>
      </c>
      <c r="E651" s="27"/>
      <c r="F651" s="29">
        <f t="shared" si="49"/>
        <v>68</v>
      </c>
      <c r="G651" s="27">
        <v>21</v>
      </c>
      <c r="H651" s="27">
        <v>47</v>
      </c>
      <c r="I651" s="27">
        <v>62</v>
      </c>
      <c r="J651" s="27">
        <v>31</v>
      </c>
      <c r="K651" s="27"/>
      <c r="L651" s="27">
        <v>4</v>
      </c>
      <c r="M651" s="27">
        <v>18</v>
      </c>
      <c r="N651" s="27">
        <v>17</v>
      </c>
      <c r="O651" s="27">
        <v>5</v>
      </c>
      <c r="P651" s="23"/>
    </row>
    <row r="652" spans="1:26" s="18" customFormat="1" ht="8.65" customHeight="1" x14ac:dyDescent="0.25">
      <c r="A652" s="22" t="s">
        <v>63</v>
      </c>
      <c r="B652" s="23">
        <v>1738</v>
      </c>
      <c r="C652" s="23"/>
      <c r="D652" s="23">
        <v>683</v>
      </c>
      <c r="E652" s="23"/>
      <c r="F652" s="25">
        <f t="shared" si="49"/>
        <v>1965</v>
      </c>
      <c r="G652" s="23">
        <v>726</v>
      </c>
      <c r="H652" s="23">
        <v>1239</v>
      </c>
      <c r="I652" s="23">
        <v>1794</v>
      </c>
      <c r="J652" s="23">
        <v>854</v>
      </c>
      <c r="K652" s="23"/>
      <c r="L652" s="23">
        <v>21</v>
      </c>
      <c r="M652" s="23">
        <v>87</v>
      </c>
      <c r="N652" s="23">
        <v>89</v>
      </c>
      <c r="O652" s="23">
        <v>19</v>
      </c>
      <c r="P652" s="23"/>
    </row>
    <row r="653" spans="1:26" s="18" customFormat="1" ht="8.65" customHeight="1" x14ac:dyDescent="0.25">
      <c r="A653" s="22" t="s">
        <v>31</v>
      </c>
      <c r="B653" s="23">
        <v>41</v>
      </c>
      <c r="C653" s="23"/>
      <c r="D653" s="23">
        <v>6</v>
      </c>
      <c r="E653" s="23"/>
      <c r="F653" s="25">
        <f t="shared" si="49"/>
        <v>16</v>
      </c>
      <c r="G653" s="23">
        <v>5</v>
      </c>
      <c r="H653" s="23">
        <v>11</v>
      </c>
      <c r="I653" s="23">
        <v>9</v>
      </c>
      <c r="J653" s="23">
        <v>13</v>
      </c>
      <c r="K653" s="23"/>
      <c r="L653" s="23">
        <v>0</v>
      </c>
      <c r="M653" s="23">
        <v>5</v>
      </c>
      <c r="N653" s="23">
        <v>4</v>
      </c>
      <c r="O653" s="23">
        <v>1</v>
      </c>
      <c r="P653" s="23"/>
    </row>
    <row r="654" spans="1:26" s="18" customFormat="1" ht="8.65" customHeight="1" x14ac:dyDescent="0.25">
      <c r="A654" s="22" t="s">
        <v>32</v>
      </c>
      <c r="B654" s="23">
        <v>126</v>
      </c>
      <c r="C654" s="23"/>
      <c r="D654" s="23">
        <v>46</v>
      </c>
      <c r="E654" s="23"/>
      <c r="F654" s="25">
        <f t="shared" si="49"/>
        <v>39</v>
      </c>
      <c r="G654" s="23">
        <v>4</v>
      </c>
      <c r="H654" s="23">
        <v>35</v>
      </c>
      <c r="I654" s="23">
        <v>51</v>
      </c>
      <c r="J654" s="23">
        <v>34</v>
      </c>
      <c r="K654" s="23"/>
      <c r="L654" s="23">
        <v>3</v>
      </c>
      <c r="M654" s="23">
        <v>7</v>
      </c>
      <c r="N654" s="23">
        <v>8</v>
      </c>
      <c r="O654" s="23">
        <v>2</v>
      </c>
      <c r="P654" s="23"/>
    </row>
    <row r="655" spans="1:26" s="18" customFormat="1" ht="8.65" customHeight="1" x14ac:dyDescent="0.25">
      <c r="A655" s="26" t="s">
        <v>33</v>
      </c>
      <c r="B655" s="27">
        <v>32</v>
      </c>
      <c r="C655" s="27"/>
      <c r="D655" s="27">
        <v>12</v>
      </c>
      <c r="E655" s="27"/>
      <c r="F655" s="29">
        <f t="shared" si="49"/>
        <v>13</v>
      </c>
      <c r="G655" s="27">
        <v>2</v>
      </c>
      <c r="H655" s="27">
        <v>11</v>
      </c>
      <c r="I655" s="27">
        <v>15</v>
      </c>
      <c r="J655" s="27">
        <v>10</v>
      </c>
      <c r="K655" s="27"/>
      <c r="L655" s="27">
        <v>0</v>
      </c>
      <c r="M655" s="27">
        <v>1</v>
      </c>
      <c r="N655" s="27">
        <v>1</v>
      </c>
      <c r="O655" s="27">
        <v>0</v>
      </c>
      <c r="P655" s="23"/>
    </row>
    <row r="656" spans="1:26" s="18" customFormat="1" ht="8.65" customHeight="1" x14ac:dyDescent="0.25">
      <c r="A656" s="22" t="s">
        <v>34</v>
      </c>
      <c r="B656" s="23">
        <v>66</v>
      </c>
      <c r="C656" s="23"/>
      <c r="D656" s="23">
        <v>21</v>
      </c>
      <c r="E656" s="23"/>
      <c r="F656" s="25">
        <f t="shared" si="49"/>
        <v>27</v>
      </c>
      <c r="G656" s="23">
        <v>12</v>
      </c>
      <c r="H656" s="23">
        <v>15</v>
      </c>
      <c r="I656" s="23">
        <v>33</v>
      </c>
      <c r="J656" s="23">
        <v>15</v>
      </c>
      <c r="K656" s="23"/>
      <c r="L656" s="23">
        <v>5</v>
      </c>
      <c r="M656" s="23">
        <v>4</v>
      </c>
      <c r="N656" s="23">
        <v>9</v>
      </c>
      <c r="O656" s="23">
        <v>0</v>
      </c>
      <c r="P656" s="23"/>
    </row>
    <row r="657" spans="1:16" s="18" customFormat="1" ht="8.65" customHeight="1" x14ac:dyDescent="0.25">
      <c r="A657" s="22" t="s">
        <v>35</v>
      </c>
      <c r="B657" s="23">
        <v>124</v>
      </c>
      <c r="C657" s="23"/>
      <c r="D657" s="23">
        <v>8</v>
      </c>
      <c r="E657" s="23"/>
      <c r="F657" s="25">
        <f t="shared" si="49"/>
        <v>32</v>
      </c>
      <c r="G657" s="23">
        <v>13</v>
      </c>
      <c r="H657" s="23">
        <v>19</v>
      </c>
      <c r="I657" s="23">
        <v>32</v>
      </c>
      <c r="J657" s="23">
        <v>8</v>
      </c>
      <c r="K657" s="23"/>
      <c r="L657" s="23">
        <v>2</v>
      </c>
      <c r="M657" s="23">
        <v>18</v>
      </c>
      <c r="N657" s="23">
        <v>13</v>
      </c>
      <c r="O657" s="23">
        <v>7</v>
      </c>
      <c r="P657" s="23"/>
    </row>
    <row r="658" spans="1:16" s="18" customFormat="1" ht="8.65" customHeight="1" x14ac:dyDescent="0.25">
      <c r="A658" s="22" t="s">
        <v>36</v>
      </c>
      <c r="B658" s="23">
        <v>1050</v>
      </c>
      <c r="C658" s="23"/>
      <c r="D658" s="23">
        <v>183</v>
      </c>
      <c r="E658" s="23"/>
      <c r="F658" s="25">
        <f t="shared" si="49"/>
        <v>562</v>
      </c>
      <c r="G658" s="23">
        <v>273</v>
      </c>
      <c r="H658" s="23">
        <v>289</v>
      </c>
      <c r="I658" s="23">
        <v>520</v>
      </c>
      <c r="J658" s="23">
        <v>225</v>
      </c>
      <c r="K658" s="23"/>
      <c r="L658" s="23">
        <v>2</v>
      </c>
      <c r="M658" s="23">
        <v>13</v>
      </c>
      <c r="N658" s="23">
        <v>13</v>
      </c>
      <c r="O658" s="23">
        <v>2</v>
      </c>
      <c r="P658" s="23"/>
    </row>
    <row r="659" spans="1:16" s="18" customFormat="1" ht="8.65" customHeight="1" x14ac:dyDescent="0.25">
      <c r="A659" s="26" t="s">
        <v>37</v>
      </c>
      <c r="B659" s="27">
        <v>89</v>
      </c>
      <c r="C659" s="27"/>
      <c r="D659" s="27">
        <v>13</v>
      </c>
      <c r="E659" s="27"/>
      <c r="F659" s="29">
        <f t="shared" si="49"/>
        <v>19</v>
      </c>
      <c r="G659" s="27">
        <v>5</v>
      </c>
      <c r="H659" s="27">
        <v>14</v>
      </c>
      <c r="I659" s="27">
        <v>21</v>
      </c>
      <c r="J659" s="27">
        <v>11</v>
      </c>
      <c r="K659" s="27"/>
      <c r="L659" s="27">
        <v>0</v>
      </c>
      <c r="M659" s="27">
        <v>6</v>
      </c>
      <c r="N659" s="27">
        <v>5</v>
      </c>
      <c r="O659" s="27">
        <v>1</v>
      </c>
      <c r="P659" s="23"/>
    </row>
    <row r="660" spans="1:16" s="18" customFormat="1" ht="8.65" customHeight="1" x14ac:dyDescent="0.25">
      <c r="A660" s="22" t="s">
        <v>38</v>
      </c>
      <c r="B660" s="23">
        <v>68</v>
      </c>
      <c r="C660" s="23"/>
      <c r="D660" s="23">
        <v>9</v>
      </c>
      <c r="E660" s="23"/>
      <c r="F660" s="25">
        <f t="shared" si="49"/>
        <v>14</v>
      </c>
      <c r="G660" s="23">
        <v>4</v>
      </c>
      <c r="H660" s="23">
        <v>10</v>
      </c>
      <c r="I660" s="23">
        <v>13</v>
      </c>
      <c r="J660" s="23">
        <v>10</v>
      </c>
      <c r="K660" s="23"/>
      <c r="L660" s="23">
        <v>1</v>
      </c>
      <c r="M660" s="23">
        <v>4</v>
      </c>
      <c r="N660" s="23">
        <v>4</v>
      </c>
      <c r="O660" s="23">
        <v>1</v>
      </c>
      <c r="P660" s="23"/>
    </row>
    <row r="661" spans="1:16" s="18" customFormat="1" ht="8.65" customHeight="1" x14ac:dyDescent="0.25">
      <c r="A661" s="22" t="s">
        <v>39</v>
      </c>
      <c r="B661" s="23">
        <v>16</v>
      </c>
      <c r="C661" s="23"/>
      <c r="D661" s="23">
        <v>5</v>
      </c>
      <c r="E661" s="23"/>
      <c r="F661" s="25">
        <f t="shared" si="49"/>
        <v>6</v>
      </c>
      <c r="G661" s="23">
        <v>1</v>
      </c>
      <c r="H661" s="23">
        <v>5</v>
      </c>
      <c r="I661" s="23">
        <v>8</v>
      </c>
      <c r="J661" s="23">
        <v>3</v>
      </c>
      <c r="K661" s="23"/>
      <c r="L661" s="23">
        <v>0</v>
      </c>
      <c r="M661" s="23">
        <v>0</v>
      </c>
      <c r="N661" s="23">
        <v>0</v>
      </c>
      <c r="O661" s="23">
        <v>0</v>
      </c>
      <c r="P661" s="23"/>
    </row>
    <row r="662" spans="1:16" s="18" customFormat="1" ht="8.65" customHeight="1" x14ac:dyDescent="0.25">
      <c r="A662" s="22" t="s">
        <v>40</v>
      </c>
      <c r="B662" s="23">
        <v>44</v>
      </c>
      <c r="C662" s="23"/>
      <c r="D662" s="23">
        <v>16</v>
      </c>
      <c r="E662" s="23"/>
      <c r="F662" s="25">
        <f t="shared" si="49"/>
        <v>14</v>
      </c>
      <c r="G662" s="23">
        <v>2</v>
      </c>
      <c r="H662" s="23">
        <v>12</v>
      </c>
      <c r="I662" s="23">
        <v>20</v>
      </c>
      <c r="J662" s="23">
        <v>10</v>
      </c>
      <c r="K662" s="23"/>
      <c r="L662" s="23">
        <v>0</v>
      </c>
      <c r="M662" s="23">
        <v>4</v>
      </c>
      <c r="N662" s="23">
        <v>1</v>
      </c>
      <c r="O662" s="23">
        <v>3</v>
      </c>
      <c r="P662" s="23"/>
    </row>
    <row r="663" spans="1:16" s="18" customFormat="1" ht="8.65" customHeight="1" x14ac:dyDescent="0.25">
      <c r="A663" s="26" t="s">
        <v>41</v>
      </c>
      <c r="B663" s="27">
        <v>50</v>
      </c>
      <c r="C663" s="27"/>
      <c r="D663" s="27">
        <v>4</v>
      </c>
      <c r="E663" s="27"/>
      <c r="F663" s="29">
        <f t="shared" si="49"/>
        <v>10</v>
      </c>
      <c r="G663" s="27">
        <v>3</v>
      </c>
      <c r="H663" s="27">
        <v>7</v>
      </c>
      <c r="I663" s="27">
        <v>7</v>
      </c>
      <c r="J663" s="27">
        <v>7</v>
      </c>
      <c r="K663" s="27"/>
      <c r="L663" s="27">
        <v>2</v>
      </c>
      <c r="M663" s="27">
        <v>7</v>
      </c>
      <c r="N663" s="27">
        <v>7</v>
      </c>
      <c r="O663" s="27">
        <v>2</v>
      </c>
      <c r="P663" s="23"/>
    </row>
    <row r="664" spans="1:16" s="18" customFormat="1" ht="8.65" customHeight="1" x14ac:dyDescent="0.25">
      <c r="A664" s="22" t="s">
        <v>42</v>
      </c>
      <c r="B664" s="23">
        <v>53</v>
      </c>
      <c r="C664" s="23"/>
      <c r="D664" s="23">
        <v>7</v>
      </c>
      <c r="E664" s="23"/>
      <c r="F664" s="25">
        <f t="shared" si="49"/>
        <v>9</v>
      </c>
      <c r="G664" s="23">
        <v>5</v>
      </c>
      <c r="H664" s="23">
        <v>4</v>
      </c>
      <c r="I664" s="23">
        <v>12</v>
      </c>
      <c r="J664" s="23">
        <v>4</v>
      </c>
      <c r="K664" s="23"/>
      <c r="L664" s="23">
        <v>0</v>
      </c>
      <c r="M664" s="23">
        <v>10</v>
      </c>
      <c r="N664" s="23">
        <v>7</v>
      </c>
      <c r="O664" s="23">
        <v>3</v>
      </c>
      <c r="P664" s="23"/>
    </row>
    <row r="665" spans="1:16" s="18" customFormat="1" ht="8.65" customHeight="1" x14ac:dyDescent="0.25">
      <c r="A665" s="22" t="s">
        <v>43</v>
      </c>
      <c r="B665" s="23">
        <v>37</v>
      </c>
      <c r="C665" s="23"/>
      <c r="D665" s="23">
        <v>6</v>
      </c>
      <c r="E665" s="23"/>
      <c r="F665" s="25">
        <f t="shared" si="49"/>
        <v>11</v>
      </c>
      <c r="G665" s="23">
        <v>4</v>
      </c>
      <c r="H665" s="23">
        <v>7</v>
      </c>
      <c r="I665" s="23">
        <v>10</v>
      </c>
      <c r="J665" s="23">
        <v>7</v>
      </c>
      <c r="K665" s="23"/>
      <c r="L665" s="23">
        <v>0</v>
      </c>
      <c r="M665" s="23">
        <v>4</v>
      </c>
      <c r="N665" s="23">
        <v>2</v>
      </c>
      <c r="O665" s="23">
        <v>2</v>
      </c>
      <c r="P665" s="23"/>
    </row>
    <row r="666" spans="1:16" s="18" customFormat="1" ht="8.65" customHeight="1" x14ac:dyDescent="0.25">
      <c r="A666" s="22" t="s">
        <v>44</v>
      </c>
      <c r="B666" s="23">
        <v>68</v>
      </c>
      <c r="C666" s="23"/>
      <c r="D666" s="23">
        <v>11</v>
      </c>
      <c r="E666" s="23"/>
      <c r="F666" s="25">
        <f t="shared" si="49"/>
        <v>34</v>
      </c>
      <c r="G666" s="23">
        <v>8</v>
      </c>
      <c r="H666" s="23">
        <v>26</v>
      </c>
      <c r="I666" s="23">
        <v>26</v>
      </c>
      <c r="J666" s="23">
        <v>19</v>
      </c>
      <c r="K666" s="23"/>
      <c r="L666" s="23">
        <v>2</v>
      </c>
      <c r="M666" s="23">
        <v>2</v>
      </c>
      <c r="N666" s="23">
        <v>4</v>
      </c>
      <c r="O666" s="23">
        <v>0</v>
      </c>
      <c r="P666" s="23"/>
    </row>
    <row r="667" spans="1:16" s="18" customFormat="1" ht="8.65" customHeight="1" x14ac:dyDescent="0.25">
      <c r="A667" s="26" t="s">
        <v>45</v>
      </c>
      <c r="B667" s="27">
        <v>40</v>
      </c>
      <c r="C667" s="27"/>
      <c r="D667" s="27">
        <v>25</v>
      </c>
      <c r="E667" s="27"/>
      <c r="F667" s="29">
        <f t="shared" si="49"/>
        <v>56</v>
      </c>
      <c r="G667" s="27">
        <v>4</v>
      </c>
      <c r="H667" s="27">
        <v>52</v>
      </c>
      <c r="I667" s="27">
        <v>54</v>
      </c>
      <c r="J667" s="27">
        <v>27</v>
      </c>
      <c r="K667" s="27"/>
      <c r="L667" s="27">
        <v>0</v>
      </c>
      <c r="M667" s="27">
        <v>2</v>
      </c>
      <c r="N667" s="27">
        <v>2</v>
      </c>
      <c r="O667" s="27">
        <v>0</v>
      </c>
      <c r="P667" s="23"/>
    </row>
    <row r="668" spans="1:16" s="18" customFormat="1" ht="8.65" customHeight="1" x14ac:dyDescent="0.25">
      <c r="A668" s="22" t="s">
        <v>46</v>
      </c>
      <c r="B668" s="23">
        <v>69</v>
      </c>
      <c r="C668" s="23"/>
      <c r="D668" s="23">
        <v>6</v>
      </c>
      <c r="E668" s="23"/>
      <c r="F668" s="25">
        <f t="shared" si="49"/>
        <v>23</v>
      </c>
      <c r="G668" s="23">
        <v>6</v>
      </c>
      <c r="H668" s="23">
        <v>17</v>
      </c>
      <c r="I668" s="23">
        <v>23</v>
      </c>
      <c r="J668" s="23">
        <v>6</v>
      </c>
      <c r="K668" s="23"/>
      <c r="L668" s="23">
        <v>2</v>
      </c>
      <c r="M668" s="23">
        <v>4</v>
      </c>
      <c r="N668" s="23">
        <v>4</v>
      </c>
      <c r="O668" s="23">
        <v>2</v>
      </c>
      <c r="P668" s="23"/>
    </row>
    <row r="669" spans="1:16" s="18" customFormat="1" ht="8.65" customHeight="1" x14ac:dyDescent="0.25">
      <c r="A669" s="22" t="s">
        <v>47</v>
      </c>
      <c r="B669" s="23">
        <v>52</v>
      </c>
      <c r="C669" s="23"/>
      <c r="D669" s="23">
        <v>9</v>
      </c>
      <c r="E669" s="23"/>
      <c r="F669" s="25">
        <f t="shared" si="49"/>
        <v>17</v>
      </c>
      <c r="G669" s="23">
        <v>9</v>
      </c>
      <c r="H669" s="23">
        <v>8</v>
      </c>
      <c r="I669" s="23">
        <v>20</v>
      </c>
      <c r="J669" s="23">
        <v>6</v>
      </c>
      <c r="K669" s="23"/>
      <c r="L669" s="23">
        <v>1</v>
      </c>
      <c r="M669" s="23">
        <v>12</v>
      </c>
      <c r="N669" s="23">
        <v>11</v>
      </c>
      <c r="O669" s="23">
        <v>2</v>
      </c>
      <c r="P669" s="23"/>
    </row>
    <row r="670" spans="1:16" s="18" customFormat="1" ht="8.65" customHeight="1" x14ac:dyDescent="0.25">
      <c r="A670" s="22" t="s">
        <v>48</v>
      </c>
      <c r="B670" s="23">
        <v>18</v>
      </c>
      <c r="C670" s="23"/>
      <c r="D670" s="23">
        <v>1</v>
      </c>
      <c r="E670" s="23"/>
      <c r="F670" s="25">
        <f t="shared" si="49"/>
        <v>14</v>
      </c>
      <c r="G670" s="23">
        <v>3</v>
      </c>
      <c r="H670" s="23">
        <v>11</v>
      </c>
      <c r="I670" s="23">
        <v>4</v>
      </c>
      <c r="J670" s="23">
        <v>11</v>
      </c>
      <c r="K670" s="23"/>
      <c r="L670" s="23">
        <v>0</v>
      </c>
      <c r="M670" s="23">
        <v>2</v>
      </c>
      <c r="N670" s="23">
        <v>2</v>
      </c>
      <c r="O670" s="23">
        <v>0</v>
      </c>
      <c r="P670" s="23"/>
    </row>
    <row r="671" spans="1:16" s="18" customFormat="1" ht="8.65" customHeight="1" x14ac:dyDescent="0.25">
      <c r="A671" s="26" t="s">
        <v>49</v>
      </c>
      <c r="B671" s="27">
        <v>64</v>
      </c>
      <c r="C671" s="27"/>
      <c r="D671" s="27">
        <v>8</v>
      </c>
      <c r="E671" s="27"/>
      <c r="F671" s="29">
        <f t="shared" si="49"/>
        <v>31</v>
      </c>
      <c r="G671" s="27">
        <v>13</v>
      </c>
      <c r="H671" s="27">
        <v>18</v>
      </c>
      <c r="I671" s="27">
        <v>32</v>
      </c>
      <c r="J671" s="27">
        <v>7</v>
      </c>
      <c r="K671" s="27"/>
      <c r="L671" s="27">
        <v>0</v>
      </c>
      <c r="M671" s="27">
        <v>10</v>
      </c>
      <c r="N671" s="27">
        <v>5</v>
      </c>
      <c r="O671" s="27">
        <v>5</v>
      </c>
      <c r="P671" s="23"/>
    </row>
    <row r="672" spans="1:16" s="18" customFormat="1" ht="8.65" customHeight="1" x14ac:dyDescent="0.25">
      <c r="A672" s="22" t="s">
        <v>50</v>
      </c>
      <c r="B672" s="23">
        <v>13</v>
      </c>
      <c r="C672" s="23"/>
      <c r="D672" s="23">
        <v>3</v>
      </c>
      <c r="E672" s="23"/>
      <c r="F672" s="25">
        <f t="shared" si="49"/>
        <v>4</v>
      </c>
      <c r="G672" s="23">
        <v>1</v>
      </c>
      <c r="H672" s="23">
        <v>3</v>
      </c>
      <c r="I672" s="23">
        <v>3</v>
      </c>
      <c r="J672" s="23">
        <v>4</v>
      </c>
      <c r="K672" s="23"/>
      <c r="L672" s="23">
        <v>0</v>
      </c>
      <c r="M672" s="23">
        <v>0</v>
      </c>
      <c r="N672" s="23">
        <v>0</v>
      </c>
      <c r="O672" s="23">
        <v>0</v>
      </c>
      <c r="P672" s="23"/>
    </row>
    <row r="673" spans="1:16" s="18" customFormat="1" ht="8.65" customHeight="1" x14ac:dyDescent="0.25">
      <c r="A673" s="22" t="s">
        <v>51</v>
      </c>
      <c r="B673" s="23">
        <v>134</v>
      </c>
      <c r="C673" s="23"/>
      <c r="D673" s="23">
        <v>15</v>
      </c>
      <c r="E673" s="23"/>
      <c r="F673" s="25">
        <f t="shared" si="49"/>
        <v>50</v>
      </c>
      <c r="G673" s="23">
        <v>21</v>
      </c>
      <c r="H673" s="23">
        <v>29</v>
      </c>
      <c r="I673" s="23">
        <v>40</v>
      </c>
      <c r="J673" s="23">
        <v>25</v>
      </c>
      <c r="K673" s="23"/>
      <c r="L673" s="23">
        <v>1</v>
      </c>
      <c r="M673" s="23">
        <v>12</v>
      </c>
      <c r="N673" s="23">
        <v>7</v>
      </c>
      <c r="O673" s="23">
        <v>6</v>
      </c>
      <c r="P673" s="23"/>
    </row>
    <row r="674" spans="1:16" s="18" customFormat="1" ht="8.65" customHeight="1" x14ac:dyDescent="0.25">
      <c r="A674" s="22" t="s">
        <v>52</v>
      </c>
      <c r="B674" s="23">
        <v>21</v>
      </c>
      <c r="C674" s="23"/>
      <c r="D674" s="23">
        <v>24</v>
      </c>
      <c r="E674" s="23"/>
      <c r="F674" s="25">
        <f t="shared" si="49"/>
        <v>40</v>
      </c>
      <c r="G674" s="23">
        <v>3</v>
      </c>
      <c r="H674" s="23">
        <v>37</v>
      </c>
      <c r="I674" s="23">
        <v>30</v>
      </c>
      <c r="J674" s="23">
        <v>34</v>
      </c>
      <c r="K674" s="23"/>
      <c r="L674" s="23">
        <v>1</v>
      </c>
      <c r="M674" s="23">
        <v>2</v>
      </c>
      <c r="N674" s="23">
        <v>3</v>
      </c>
      <c r="O674" s="23">
        <v>0</v>
      </c>
      <c r="P674" s="23"/>
    </row>
    <row r="675" spans="1:16" s="18" customFormat="1" ht="8.65" customHeight="1" x14ac:dyDescent="0.25">
      <c r="A675" s="26" t="s">
        <v>53</v>
      </c>
      <c r="B675" s="27">
        <v>31</v>
      </c>
      <c r="C675" s="27"/>
      <c r="D675" s="27">
        <v>5</v>
      </c>
      <c r="E675" s="27"/>
      <c r="F675" s="29">
        <f t="shared" si="49"/>
        <v>13</v>
      </c>
      <c r="G675" s="27">
        <v>1</v>
      </c>
      <c r="H675" s="27">
        <v>12</v>
      </c>
      <c r="I675" s="27">
        <v>8</v>
      </c>
      <c r="J675" s="27">
        <v>10</v>
      </c>
      <c r="K675" s="27"/>
      <c r="L675" s="27">
        <v>2</v>
      </c>
      <c r="M675" s="27">
        <v>4</v>
      </c>
      <c r="N675" s="27">
        <v>4</v>
      </c>
      <c r="O675" s="27">
        <v>2</v>
      </c>
      <c r="P675" s="23"/>
    </row>
    <row r="676" spans="1:16" s="18" customFormat="1" ht="8.65" customHeight="1" x14ac:dyDescent="0.25">
      <c r="A676" s="22" t="s">
        <v>54</v>
      </c>
      <c r="B676" s="23">
        <v>238</v>
      </c>
      <c r="C676" s="23"/>
      <c r="D676" s="23">
        <v>1</v>
      </c>
      <c r="E676" s="23"/>
      <c r="F676" s="25">
        <f t="shared" si="49"/>
        <v>5</v>
      </c>
      <c r="G676" s="23">
        <v>0</v>
      </c>
      <c r="H676" s="23">
        <v>5</v>
      </c>
      <c r="I676" s="23">
        <v>5</v>
      </c>
      <c r="J676" s="23">
        <v>1</v>
      </c>
      <c r="K676" s="23"/>
      <c r="L676" s="23">
        <v>0</v>
      </c>
      <c r="M676" s="23">
        <v>0</v>
      </c>
      <c r="N676" s="23">
        <v>0</v>
      </c>
      <c r="O676" s="23">
        <v>0</v>
      </c>
      <c r="P676" s="23"/>
    </row>
    <row r="677" spans="1:16" s="18" customFormat="1" ht="9" customHeight="1" x14ac:dyDescent="0.25">
      <c r="A677" s="22"/>
      <c r="B677" s="23"/>
      <c r="C677" s="23"/>
      <c r="D677" s="23"/>
      <c r="E677" s="23"/>
      <c r="F677" s="25"/>
      <c r="G677" s="23"/>
      <c r="H677" s="23"/>
      <c r="I677" s="23"/>
      <c r="J677" s="23"/>
      <c r="K677" s="23"/>
      <c r="L677" s="23"/>
      <c r="M677" s="23"/>
      <c r="N677" s="23"/>
      <c r="O677" s="23"/>
      <c r="P677" s="23"/>
    </row>
    <row r="678" spans="1:16" s="18" customFormat="1" ht="9" customHeight="1" x14ac:dyDescent="0.25">
      <c r="A678" s="31">
        <v>2014</v>
      </c>
      <c r="B678" s="20"/>
      <c r="C678" s="20"/>
      <c r="D678" s="20"/>
      <c r="E678" s="20"/>
      <c r="G678" s="20"/>
      <c r="H678" s="20"/>
      <c r="I678" s="20"/>
      <c r="J678" s="20"/>
      <c r="K678" s="20"/>
      <c r="L678" s="20"/>
      <c r="M678" s="20"/>
      <c r="N678" s="20"/>
      <c r="O678" s="20"/>
      <c r="P678" s="23"/>
    </row>
    <row r="679" spans="1:16" s="18" customFormat="1" ht="9" customHeight="1" x14ac:dyDescent="0.25">
      <c r="A679" s="19" t="s">
        <v>21</v>
      </c>
      <c r="B679" s="20">
        <f>SUM(B681:B713)</f>
        <v>4013</v>
      </c>
      <c r="C679" s="20"/>
      <c r="D679" s="20">
        <f>SUM(D681:D713)</f>
        <v>1473</v>
      </c>
      <c r="E679" s="20" t="s">
        <v>55</v>
      </c>
      <c r="F679" s="20">
        <f>SUM(F681:F713)</f>
        <v>3420</v>
      </c>
      <c r="G679" s="20">
        <f>SUM(G681:G713)</f>
        <v>1370</v>
      </c>
      <c r="H679" s="20">
        <f>SUM(H681:H713)</f>
        <v>2050</v>
      </c>
      <c r="I679" s="20">
        <f>SUM(I681:I713)</f>
        <v>3024</v>
      </c>
      <c r="J679" s="20">
        <f>SUM(J681:J713)</f>
        <v>1869</v>
      </c>
      <c r="K679" s="20"/>
      <c r="L679" s="20">
        <f>SUM(L681:L713)</f>
        <v>80</v>
      </c>
      <c r="M679" s="20">
        <f>SUM(M681:M713)</f>
        <v>262</v>
      </c>
      <c r="N679" s="20">
        <f>SUM(N681:N713)</f>
        <v>245</v>
      </c>
      <c r="O679" s="20">
        <f>SUM(O681:O713)</f>
        <v>97</v>
      </c>
      <c r="P679" s="23"/>
    </row>
    <row r="680" spans="1:16" s="18" customFormat="1" ht="3" customHeight="1" x14ac:dyDescent="0.25">
      <c r="A680" s="19"/>
      <c r="B680" s="20"/>
      <c r="C680" s="20"/>
      <c r="D680" s="20"/>
      <c r="E680" s="20"/>
      <c r="G680" s="20"/>
      <c r="H680" s="20"/>
      <c r="I680" s="20"/>
      <c r="J680" s="20"/>
      <c r="K680" s="20"/>
      <c r="L680" s="20"/>
      <c r="M680" s="20"/>
      <c r="N680" s="20"/>
      <c r="O680" s="20"/>
      <c r="P680" s="23"/>
    </row>
    <row r="681" spans="1:16" s="18" customFormat="1" ht="9" customHeight="1" x14ac:dyDescent="0.25">
      <c r="A681" s="22" t="s">
        <v>23</v>
      </c>
      <c r="B681" s="23">
        <v>5</v>
      </c>
      <c r="C681" s="23"/>
      <c r="D681" s="23">
        <v>7</v>
      </c>
      <c r="E681" s="23"/>
      <c r="F681" s="25">
        <f t="shared" ref="F681:F713" si="50">SUM(G681:H681)</f>
        <v>7</v>
      </c>
      <c r="G681" s="23">
        <v>1</v>
      </c>
      <c r="H681" s="23">
        <v>6</v>
      </c>
      <c r="I681" s="23">
        <v>8</v>
      </c>
      <c r="J681" s="23">
        <v>6</v>
      </c>
      <c r="K681" s="23"/>
      <c r="L681" s="23">
        <v>0</v>
      </c>
      <c r="M681" s="23">
        <v>0</v>
      </c>
      <c r="N681" s="23">
        <v>0</v>
      </c>
      <c r="O681" s="23">
        <v>0</v>
      </c>
      <c r="P681" s="23"/>
    </row>
    <row r="682" spans="1:16" s="18" customFormat="1" ht="9" customHeight="1" x14ac:dyDescent="0.25">
      <c r="A682" s="22" t="s">
        <v>24</v>
      </c>
      <c r="B682" s="23">
        <v>20</v>
      </c>
      <c r="C682" s="23"/>
      <c r="D682" s="23">
        <v>9</v>
      </c>
      <c r="E682" s="23"/>
      <c r="F682" s="25">
        <f t="shared" si="50"/>
        <v>19</v>
      </c>
      <c r="G682" s="23">
        <v>11</v>
      </c>
      <c r="H682" s="23">
        <v>8</v>
      </c>
      <c r="I682" s="23">
        <v>21</v>
      </c>
      <c r="J682" s="23">
        <v>7</v>
      </c>
      <c r="K682" s="23"/>
      <c r="L682" s="23">
        <v>5</v>
      </c>
      <c r="M682" s="23">
        <v>11</v>
      </c>
      <c r="N682" s="23">
        <v>10</v>
      </c>
      <c r="O682" s="23">
        <v>6</v>
      </c>
      <c r="P682" s="23"/>
    </row>
    <row r="683" spans="1:16" s="18" customFormat="1" ht="9" customHeight="1" x14ac:dyDescent="0.25">
      <c r="A683" s="22" t="s">
        <v>25</v>
      </c>
      <c r="B683" s="23">
        <v>14</v>
      </c>
      <c r="C683" s="23"/>
      <c r="D683" s="23">
        <v>23</v>
      </c>
      <c r="E683" s="23"/>
      <c r="F683" s="25">
        <f t="shared" si="50"/>
        <v>21</v>
      </c>
      <c r="G683" s="23">
        <v>6</v>
      </c>
      <c r="H683" s="23">
        <v>15</v>
      </c>
      <c r="I683" s="23">
        <v>20</v>
      </c>
      <c r="J683" s="23">
        <v>24</v>
      </c>
      <c r="K683" s="23"/>
      <c r="L683" s="23">
        <v>2</v>
      </c>
      <c r="M683" s="23">
        <v>1</v>
      </c>
      <c r="N683" s="23">
        <v>3</v>
      </c>
      <c r="O683" s="23">
        <v>0</v>
      </c>
      <c r="P683" s="23"/>
    </row>
    <row r="684" spans="1:16" s="18" customFormat="1" ht="9" customHeight="1" x14ac:dyDescent="0.25">
      <c r="A684" s="26" t="s">
        <v>26</v>
      </c>
      <c r="B684" s="27">
        <v>4</v>
      </c>
      <c r="C684" s="27"/>
      <c r="D684" s="27">
        <v>2</v>
      </c>
      <c r="E684" s="27"/>
      <c r="F684" s="29">
        <f t="shared" si="50"/>
        <v>9</v>
      </c>
      <c r="G684" s="27">
        <v>4</v>
      </c>
      <c r="H684" s="27">
        <v>5</v>
      </c>
      <c r="I684" s="27">
        <v>7</v>
      </c>
      <c r="J684" s="27">
        <v>4</v>
      </c>
      <c r="K684" s="27"/>
      <c r="L684" s="27">
        <v>1</v>
      </c>
      <c r="M684" s="27">
        <v>1</v>
      </c>
      <c r="N684" s="27">
        <v>1</v>
      </c>
      <c r="O684" s="27">
        <v>1</v>
      </c>
      <c r="P684" s="23"/>
    </row>
    <row r="685" spans="1:16" s="18" customFormat="1" ht="9" customHeight="1" x14ac:dyDescent="0.25">
      <c r="A685" s="22" t="s">
        <v>27</v>
      </c>
      <c r="B685" s="23">
        <v>21</v>
      </c>
      <c r="C685" s="23"/>
      <c r="D685" s="23">
        <v>19</v>
      </c>
      <c r="E685" s="23"/>
      <c r="F685" s="25">
        <f t="shared" si="50"/>
        <v>17</v>
      </c>
      <c r="G685" s="23">
        <v>6</v>
      </c>
      <c r="H685" s="23">
        <v>11</v>
      </c>
      <c r="I685" s="23">
        <v>15</v>
      </c>
      <c r="J685" s="23">
        <v>21</v>
      </c>
      <c r="K685" s="23"/>
      <c r="L685" s="23">
        <v>0</v>
      </c>
      <c r="M685" s="23">
        <v>3</v>
      </c>
      <c r="N685" s="23">
        <v>2</v>
      </c>
      <c r="O685" s="23">
        <v>1</v>
      </c>
      <c r="P685" s="23"/>
    </row>
    <row r="686" spans="1:16" s="18" customFormat="1" ht="9" customHeight="1" x14ac:dyDescent="0.25">
      <c r="A686" s="22" t="s">
        <v>28</v>
      </c>
      <c r="B686" s="23">
        <v>18</v>
      </c>
      <c r="C686" s="23"/>
      <c r="D686" s="23">
        <v>6</v>
      </c>
      <c r="E686" s="23"/>
      <c r="F686" s="25">
        <f t="shared" si="50"/>
        <v>6</v>
      </c>
      <c r="G686" s="23">
        <v>1</v>
      </c>
      <c r="H686" s="23">
        <v>5</v>
      </c>
      <c r="I686" s="23">
        <v>6</v>
      </c>
      <c r="J686" s="23">
        <v>6</v>
      </c>
      <c r="K686" s="23"/>
      <c r="L686" s="23">
        <v>1</v>
      </c>
      <c r="M686" s="23">
        <v>1</v>
      </c>
      <c r="N686" s="23">
        <v>2</v>
      </c>
      <c r="O686" s="23">
        <v>0</v>
      </c>
      <c r="P686" s="23"/>
    </row>
    <row r="687" spans="1:16" s="18" customFormat="1" ht="9" customHeight="1" x14ac:dyDescent="0.25">
      <c r="A687" s="22" t="s">
        <v>29</v>
      </c>
      <c r="B687" s="23">
        <v>10</v>
      </c>
      <c r="C687" s="23"/>
      <c r="D687" s="23">
        <v>19</v>
      </c>
      <c r="E687" s="23"/>
      <c r="F687" s="25">
        <f t="shared" si="50"/>
        <v>25</v>
      </c>
      <c r="G687" s="23">
        <v>8</v>
      </c>
      <c r="H687" s="23">
        <v>17</v>
      </c>
      <c r="I687" s="23">
        <v>22</v>
      </c>
      <c r="J687" s="23">
        <v>22</v>
      </c>
      <c r="K687" s="23"/>
      <c r="L687" s="23">
        <v>3</v>
      </c>
      <c r="M687" s="23">
        <v>0</v>
      </c>
      <c r="N687" s="23">
        <v>3</v>
      </c>
      <c r="O687" s="23">
        <v>0</v>
      </c>
      <c r="P687" s="23"/>
    </row>
    <row r="688" spans="1:16" s="18" customFormat="1" ht="9" customHeight="1" x14ac:dyDescent="0.25">
      <c r="A688" s="26" t="s">
        <v>30</v>
      </c>
      <c r="B688" s="27">
        <v>43</v>
      </c>
      <c r="C688" s="27"/>
      <c r="D688" s="27">
        <v>30</v>
      </c>
      <c r="E688" s="27"/>
      <c r="F688" s="29">
        <f t="shared" si="50"/>
        <v>46</v>
      </c>
      <c r="G688" s="27">
        <v>10</v>
      </c>
      <c r="H688" s="27">
        <v>36</v>
      </c>
      <c r="I688" s="27">
        <v>40</v>
      </c>
      <c r="J688" s="27">
        <v>36</v>
      </c>
      <c r="K688" s="27"/>
      <c r="L688" s="27">
        <v>5</v>
      </c>
      <c r="M688" s="27">
        <v>8</v>
      </c>
      <c r="N688" s="27">
        <v>9</v>
      </c>
      <c r="O688" s="27">
        <v>4</v>
      </c>
      <c r="P688" s="23"/>
    </row>
    <row r="689" spans="1:16" s="18" customFormat="1" ht="9" customHeight="1" x14ac:dyDescent="0.25">
      <c r="A689" s="22" t="s">
        <v>63</v>
      </c>
      <c r="B689" s="23">
        <v>369</v>
      </c>
      <c r="C689" s="23"/>
      <c r="D689" s="23">
        <v>854</v>
      </c>
      <c r="E689" s="23"/>
      <c r="F689" s="25">
        <f t="shared" si="50"/>
        <v>2172</v>
      </c>
      <c r="G689" s="23">
        <v>834</v>
      </c>
      <c r="H689" s="23">
        <v>1338</v>
      </c>
      <c r="I689" s="23">
        <v>1899</v>
      </c>
      <c r="J689" s="23">
        <v>1127</v>
      </c>
      <c r="K689" s="23"/>
      <c r="L689" s="23">
        <v>18</v>
      </c>
      <c r="M689" s="23">
        <v>99</v>
      </c>
      <c r="N689" s="23">
        <v>75</v>
      </c>
      <c r="O689" s="23">
        <v>42</v>
      </c>
      <c r="P689" s="23"/>
    </row>
    <row r="690" spans="1:16" s="18" customFormat="1" ht="9" customHeight="1" x14ac:dyDescent="0.25">
      <c r="A690" s="22" t="s">
        <v>31</v>
      </c>
      <c r="B690" s="23">
        <v>13</v>
      </c>
      <c r="C690" s="23"/>
      <c r="D690" s="23">
        <v>13</v>
      </c>
      <c r="E690" s="23"/>
      <c r="F690" s="25">
        <f t="shared" si="50"/>
        <v>1</v>
      </c>
      <c r="G690" s="23">
        <v>1</v>
      </c>
      <c r="H690" s="23">
        <v>0</v>
      </c>
      <c r="I690" s="23">
        <v>9</v>
      </c>
      <c r="J690" s="23">
        <v>5</v>
      </c>
      <c r="K690" s="23"/>
      <c r="L690" s="23">
        <v>2</v>
      </c>
      <c r="M690" s="23">
        <v>10</v>
      </c>
      <c r="N690" s="23">
        <v>8</v>
      </c>
      <c r="O690" s="23">
        <v>4</v>
      </c>
      <c r="P690" s="23"/>
    </row>
    <row r="691" spans="1:16" s="18" customFormat="1" ht="9" customHeight="1" x14ac:dyDescent="0.25">
      <c r="A691" s="22" t="s">
        <v>32</v>
      </c>
      <c r="B691" s="23">
        <v>19</v>
      </c>
      <c r="C691" s="23"/>
      <c r="D691" s="23">
        <v>33</v>
      </c>
      <c r="E691" s="23"/>
      <c r="F691" s="25">
        <f t="shared" si="50"/>
        <v>43</v>
      </c>
      <c r="G691" s="23">
        <v>15</v>
      </c>
      <c r="H691" s="23">
        <v>28</v>
      </c>
      <c r="I691" s="23">
        <v>42</v>
      </c>
      <c r="J691" s="23">
        <v>34</v>
      </c>
      <c r="K691" s="23"/>
      <c r="L691" s="23">
        <v>2</v>
      </c>
      <c r="M691" s="23">
        <v>7</v>
      </c>
      <c r="N691" s="23">
        <v>7</v>
      </c>
      <c r="O691" s="23">
        <v>2</v>
      </c>
      <c r="P691" s="23"/>
    </row>
    <row r="692" spans="1:16" s="18" customFormat="1" ht="9" customHeight="1" x14ac:dyDescent="0.25">
      <c r="A692" s="26" t="s">
        <v>33</v>
      </c>
      <c r="B692" s="27">
        <v>17</v>
      </c>
      <c r="C692" s="27"/>
      <c r="D692" s="27">
        <v>10</v>
      </c>
      <c r="E692" s="27"/>
      <c r="F692" s="29">
        <f t="shared" si="50"/>
        <v>14</v>
      </c>
      <c r="G692" s="27">
        <v>3</v>
      </c>
      <c r="H692" s="27">
        <v>11</v>
      </c>
      <c r="I692" s="27">
        <v>12</v>
      </c>
      <c r="J692" s="27">
        <v>12</v>
      </c>
      <c r="K692" s="27"/>
      <c r="L692" s="27">
        <v>0</v>
      </c>
      <c r="M692" s="27">
        <v>0</v>
      </c>
      <c r="N692" s="27">
        <v>0</v>
      </c>
      <c r="O692" s="27">
        <v>0</v>
      </c>
      <c r="P692" s="23"/>
    </row>
    <row r="693" spans="1:16" s="18" customFormat="1" ht="9" customHeight="1" x14ac:dyDescent="0.25">
      <c r="A693" s="22" t="s">
        <v>34</v>
      </c>
      <c r="B693" s="23">
        <v>18</v>
      </c>
      <c r="C693" s="23"/>
      <c r="D693" s="23">
        <v>15</v>
      </c>
      <c r="E693" s="23"/>
      <c r="F693" s="25">
        <f t="shared" si="50"/>
        <v>24</v>
      </c>
      <c r="G693" s="23">
        <v>6</v>
      </c>
      <c r="H693" s="23">
        <v>18</v>
      </c>
      <c r="I693" s="23">
        <v>20</v>
      </c>
      <c r="J693" s="23">
        <v>19</v>
      </c>
      <c r="K693" s="23"/>
      <c r="L693" s="23">
        <v>1</v>
      </c>
      <c r="M693" s="23">
        <v>2</v>
      </c>
      <c r="N693" s="23">
        <v>3</v>
      </c>
      <c r="O693" s="23">
        <v>0</v>
      </c>
      <c r="P693" s="23"/>
    </row>
    <row r="694" spans="1:16" s="18" customFormat="1" ht="9" customHeight="1" x14ac:dyDescent="0.25">
      <c r="A694" s="22" t="s">
        <v>35</v>
      </c>
      <c r="B694" s="23">
        <v>37</v>
      </c>
      <c r="C694" s="23"/>
      <c r="D694" s="23">
        <v>8</v>
      </c>
      <c r="E694" s="23"/>
      <c r="F694" s="25">
        <f t="shared" si="50"/>
        <v>39</v>
      </c>
      <c r="G694" s="23">
        <v>14</v>
      </c>
      <c r="H694" s="23">
        <v>25</v>
      </c>
      <c r="I694" s="23">
        <v>26</v>
      </c>
      <c r="J694" s="23">
        <v>21</v>
      </c>
      <c r="K694" s="23"/>
      <c r="L694" s="23">
        <v>7</v>
      </c>
      <c r="M694" s="23">
        <v>15</v>
      </c>
      <c r="N694" s="23">
        <v>16</v>
      </c>
      <c r="O694" s="23">
        <v>6</v>
      </c>
      <c r="P694" s="23"/>
    </row>
    <row r="695" spans="1:16" s="18" customFormat="1" ht="9" customHeight="1" x14ac:dyDescent="0.25">
      <c r="A695" s="22" t="s">
        <v>36</v>
      </c>
      <c r="B695" s="23">
        <v>109</v>
      </c>
      <c r="C695" s="23"/>
      <c r="D695" s="23">
        <v>224</v>
      </c>
      <c r="E695" s="23"/>
      <c r="F695" s="25">
        <f t="shared" si="50"/>
        <v>612</v>
      </c>
      <c r="G695" s="23">
        <v>315</v>
      </c>
      <c r="H695" s="23">
        <v>297</v>
      </c>
      <c r="I695" s="23">
        <v>540</v>
      </c>
      <c r="J695" s="23">
        <v>296</v>
      </c>
      <c r="K695" s="23"/>
      <c r="L695" s="23">
        <v>2</v>
      </c>
      <c r="M695" s="23">
        <v>15</v>
      </c>
      <c r="N695" s="23">
        <v>16</v>
      </c>
      <c r="O695" s="23">
        <v>1</v>
      </c>
      <c r="P695" s="23"/>
    </row>
    <row r="696" spans="1:16" s="18" customFormat="1" ht="9" customHeight="1" x14ac:dyDescent="0.25">
      <c r="A696" s="26" t="s">
        <v>37</v>
      </c>
      <c r="B696" s="27">
        <v>37</v>
      </c>
      <c r="C696" s="27"/>
      <c r="D696" s="27">
        <v>10</v>
      </c>
      <c r="E696" s="27"/>
      <c r="F696" s="29">
        <f t="shared" si="50"/>
        <v>22</v>
      </c>
      <c r="G696" s="27">
        <v>9</v>
      </c>
      <c r="H696" s="27">
        <v>13</v>
      </c>
      <c r="I696" s="27">
        <v>13</v>
      </c>
      <c r="J696" s="27">
        <v>19</v>
      </c>
      <c r="K696" s="27"/>
      <c r="L696" s="27">
        <v>1</v>
      </c>
      <c r="M696" s="27">
        <v>2</v>
      </c>
      <c r="N696" s="27">
        <v>3</v>
      </c>
      <c r="O696" s="27">
        <v>0</v>
      </c>
      <c r="P696" s="23"/>
    </row>
    <row r="697" spans="1:16" s="18" customFormat="1" ht="9" customHeight="1" x14ac:dyDescent="0.25">
      <c r="A697" s="22" t="s">
        <v>38</v>
      </c>
      <c r="B697" s="23">
        <v>23</v>
      </c>
      <c r="C697" s="23"/>
      <c r="D697" s="23">
        <v>10</v>
      </c>
      <c r="E697" s="23"/>
      <c r="F697" s="25">
        <f t="shared" si="50"/>
        <v>22</v>
      </c>
      <c r="G697" s="23">
        <v>11</v>
      </c>
      <c r="H697" s="23">
        <v>11</v>
      </c>
      <c r="I697" s="23">
        <v>19</v>
      </c>
      <c r="J697" s="23">
        <v>13</v>
      </c>
      <c r="K697" s="23"/>
      <c r="L697" s="23">
        <v>1</v>
      </c>
      <c r="M697" s="23">
        <v>5</v>
      </c>
      <c r="N697" s="23">
        <v>2</v>
      </c>
      <c r="O697" s="23">
        <v>4</v>
      </c>
      <c r="P697" s="23"/>
    </row>
    <row r="698" spans="1:16" s="18" customFormat="1" ht="9" customHeight="1" x14ac:dyDescent="0.25">
      <c r="A698" s="22" t="s">
        <v>39</v>
      </c>
      <c r="B698" s="23">
        <v>3</v>
      </c>
      <c r="C698" s="23"/>
      <c r="D698" s="23">
        <v>3</v>
      </c>
      <c r="E698" s="23"/>
      <c r="F698" s="25">
        <f t="shared" si="50"/>
        <v>4</v>
      </c>
      <c r="G698" s="23">
        <v>1</v>
      </c>
      <c r="H698" s="23">
        <v>3</v>
      </c>
      <c r="I698" s="23">
        <v>2</v>
      </c>
      <c r="J698" s="23">
        <v>5</v>
      </c>
      <c r="K698" s="23"/>
      <c r="L698" s="23">
        <v>0</v>
      </c>
      <c r="M698" s="23">
        <v>1</v>
      </c>
      <c r="N698" s="23">
        <v>1</v>
      </c>
      <c r="O698" s="23">
        <v>0</v>
      </c>
      <c r="P698" s="23"/>
    </row>
    <row r="699" spans="1:16" s="18" customFormat="1" ht="9" customHeight="1" x14ac:dyDescent="0.25">
      <c r="A699" s="22" t="s">
        <v>40</v>
      </c>
      <c r="B699" s="23">
        <v>15</v>
      </c>
      <c r="C699" s="23"/>
      <c r="D699" s="23">
        <v>10</v>
      </c>
      <c r="E699" s="23"/>
      <c r="F699" s="25">
        <f t="shared" si="50"/>
        <v>19</v>
      </c>
      <c r="G699" s="23">
        <v>4</v>
      </c>
      <c r="H699" s="23">
        <v>15</v>
      </c>
      <c r="I699" s="23">
        <v>17</v>
      </c>
      <c r="J699" s="23">
        <v>12</v>
      </c>
      <c r="K699" s="23"/>
      <c r="L699" s="23">
        <v>3</v>
      </c>
      <c r="M699" s="23">
        <v>1</v>
      </c>
      <c r="N699" s="23">
        <v>4</v>
      </c>
      <c r="O699" s="23">
        <v>0</v>
      </c>
      <c r="P699" s="23"/>
    </row>
    <row r="700" spans="1:16" s="18" customFormat="1" ht="9" customHeight="1" x14ac:dyDescent="0.25">
      <c r="A700" s="26" t="s">
        <v>41</v>
      </c>
      <c r="B700" s="27">
        <v>9</v>
      </c>
      <c r="C700" s="27"/>
      <c r="D700" s="27">
        <v>7</v>
      </c>
      <c r="E700" s="27"/>
      <c r="F700" s="29">
        <f t="shared" si="50"/>
        <v>9</v>
      </c>
      <c r="G700" s="27">
        <v>4</v>
      </c>
      <c r="H700" s="27">
        <v>5</v>
      </c>
      <c r="I700" s="27">
        <v>8</v>
      </c>
      <c r="J700" s="27">
        <v>8</v>
      </c>
      <c r="K700" s="27"/>
      <c r="L700" s="27">
        <v>2</v>
      </c>
      <c r="M700" s="27">
        <v>2</v>
      </c>
      <c r="N700" s="27">
        <v>3</v>
      </c>
      <c r="O700" s="27">
        <v>1</v>
      </c>
      <c r="P700" s="23"/>
    </row>
    <row r="701" spans="1:16" s="18" customFormat="1" ht="9" customHeight="1" x14ac:dyDescent="0.25">
      <c r="A701" s="22" t="s">
        <v>42</v>
      </c>
      <c r="B701" s="23">
        <v>11</v>
      </c>
      <c r="C701" s="23"/>
      <c r="D701" s="23">
        <v>4</v>
      </c>
      <c r="E701" s="23"/>
      <c r="F701" s="25">
        <f t="shared" si="50"/>
        <v>11</v>
      </c>
      <c r="G701" s="23">
        <v>5</v>
      </c>
      <c r="H701" s="23">
        <v>6</v>
      </c>
      <c r="I701" s="23">
        <v>10</v>
      </c>
      <c r="J701" s="23">
        <v>5</v>
      </c>
      <c r="K701" s="23"/>
      <c r="L701" s="23">
        <v>3</v>
      </c>
      <c r="M701" s="23">
        <v>6</v>
      </c>
      <c r="N701" s="23">
        <v>7</v>
      </c>
      <c r="O701" s="23">
        <v>2</v>
      </c>
      <c r="P701" s="23"/>
    </row>
    <row r="702" spans="1:16" s="18" customFormat="1" ht="9" customHeight="1" x14ac:dyDescent="0.25">
      <c r="A702" s="22" t="s">
        <v>43</v>
      </c>
      <c r="B702" s="23">
        <v>19</v>
      </c>
      <c r="C702" s="23"/>
      <c r="D702" s="23">
        <v>7</v>
      </c>
      <c r="E702" s="23"/>
      <c r="F702" s="25">
        <f t="shared" si="50"/>
        <v>13</v>
      </c>
      <c r="G702" s="23">
        <v>10</v>
      </c>
      <c r="H702" s="23">
        <v>3</v>
      </c>
      <c r="I702" s="23">
        <v>15</v>
      </c>
      <c r="J702" s="23">
        <v>5</v>
      </c>
      <c r="K702" s="23"/>
      <c r="L702" s="23">
        <v>2</v>
      </c>
      <c r="M702" s="23">
        <v>7</v>
      </c>
      <c r="N702" s="23">
        <v>8</v>
      </c>
      <c r="O702" s="23">
        <v>1</v>
      </c>
      <c r="P702" s="23"/>
    </row>
    <row r="703" spans="1:16" s="18" customFormat="1" ht="9" customHeight="1" x14ac:dyDescent="0.25">
      <c r="A703" s="22" t="s">
        <v>44</v>
      </c>
      <c r="B703" s="23">
        <v>13</v>
      </c>
      <c r="C703" s="23"/>
      <c r="D703" s="23">
        <v>19</v>
      </c>
      <c r="E703" s="23"/>
      <c r="F703" s="25">
        <f t="shared" si="50"/>
        <v>35</v>
      </c>
      <c r="G703" s="23">
        <v>15</v>
      </c>
      <c r="H703" s="23">
        <v>20</v>
      </c>
      <c r="I703" s="23">
        <v>32</v>
      </c>
      <c r="J703" s="23">
        <v>22</v>
      </c>
      <c r="K703" s="23"/>
      <c r="L703" s="23">
        <v>0</v>
      </c>
      <c r="M703" s="23">
        <v>2</v>
      </c>
      <c r="N703" s="23">
        <v>0</v>
      </c>
      <c r="O703" s="23">
        <v>2</v>
      </c>
      <c r="P703" s="23"/>
    </row>
    <row r="704" spans="1:16" s="18" customFormat="1" ht="9" customHeight="1" x14ac:dyDescent="0.25">
      <c r="A704" s="26" t="s">
        <v>45</v>
      </c>
      <c r="B704" s="27">
        <v>18</v>
      </c>
      <c r="C704" s="27"/>
      <c r="D704" s="27">
        <v>27</v>
      </c>
      <c r="E704" s="27"/>
      <c r="F704" s="29">
        <f t="shared" si="50"/>
        <v>44</v>
      </c>
      <c r="G704" s="27">
        <v>6</v>
      </c>
      <c r="H704" s="27">
        <v>38</v>
      </c>
      <c r="I704" s="27">
        <v>55</v>
      </c>
      <c r="J704" s="27">
        <v>16</v>
      </c>
      <c r="K704" s="27"/>
      <c r="L704" s="27">
        <v>0</v>
      </c>
      <c r="M704" s="27">
        <v>4</v>
      </c>
      <c r="N704" s="27">
        <v>3</v>
      </c>
      <c r="O704" s="27">
        <v>1</v>
      </c>
      <c r="P704" s="23"/>
    </row>
    <row r="705" spans="1:26" s="18" customFormat="1" ht="9" customHeight="1" x14ac:dyDescent="0.25">
      <c r="A705" s="22" t="s">
        <v>46</v>
      </c>
      <c r="B705" s="23">
        <v>24</v>
      </c>
      <c r="C705" s="23"/>
      <c r="D705" s="23">
        <v>6</v>
      </c>
      <c r="E705" s="23"/>
      <c r="F705" s="25">
        <f t="shared" si="50"/>
        <v>17</v>
      </c>
      <c r="G705" s="23">
        <v>9</v>
      </c>
      <c r="H705" s="23">
        <v>8</v>
      </c>
      <c r="I705" s="23">
        <v>13</v>
      </c>
      <c r="J705" s="23">
        <v>10</v>
      </c>
      <c r="K705" s="23"/>
      <c r="L705" s="23">
        <v>1</v>
      </c>
      <c r="M705" s="23">
        <v>5</v>
      </c>
      <c r="N705" s="23">
        <v>2</v>
      </c>
      <c r="O705" s="23">
        <v>4</v>
      </c>
      <c r="P705" s="23"/>
    </row>
    <row r="706" spans="1:26" s="18" customFormat="1" ht="9" customHeight="1" x14ac:dyDescent="0.25">
      <c r="A706" s="22" t="s">
        <v>47</v>
      </c>
      <c r="B706" s="23">
        <v>14</v>
      </c>
      <c r="C706" s="23"/>
      <c r="D706" s="23">
        <v>6</v>
      </c>
      <c r="E706" s="23"/>
      <c r="F706" s="25">
        <f t="shared" si="50"/>
        <v>17</v>
      </c>
      <c r="G706" s="23">
        <v>9</v>
      </c>
      <c r="H706" s="23">
        <v>8</v>
      </c>
      <c r="I706" s="23">
        <v>17</v>
      </c>
      <c r="J706" s="23">
        <v>6</v>
      </c>
      <c r="K706" s="23"/>
      <c r="L706" s="23">
        <v>3</v>
      </c>
      <c r="M706" s="23">
        <v>17</v>
      </c>
      <c r="N706" s="23">
        <v>14</v>
      </c>
      <c r="O706" s="23">
        <v>6</v>
      </c>
      <c r="P706" s="23"/>
    </row>
    <row r="707" spans="1:26" s="18" customFormat="1" ht="9" customHeight="1" x14ac:dyDescent="0.25">
      <c r="A707" s="22" t="s">
        <v>48</v>
      </c>
      <c r="B707" s="23">
        <v>12</v>
      </c>
      <c r="C707" s="23"/>
      <c r="D707" s="23">
        <v>11</v>
      </c>
      <c r="E707" s="23"/>
      <c r="F707" s="25">
        <f t="shared" si="50"/>
        <v>11</v>
      </c>
      <c r="G707" s="23">
        <v>3</v>
      </c>
      <c r="H707" s="23">
        <v>8</v>
      </c>
      <c r="I707" s="23">
        <v>13</v>
      </c>
      <c r="J707" s="23">
        <v>9</v>
      </c>
      <c r="K707" s="23"/>
      <c r="L707" s="23">
        <v>1</v>
      </c>
      <c r="M707" s="23">
        <v>8</v>
      </c>
      <c r="N707" s="23">
        <v>8</v>
      </c>
      <c r="O707" s="23">
        <v>1</v>
      </c>
      <c r="P707" s="23"/>
    </row>
    <row r="708" spans="1:26" s="18" customFormat="1" ht="9" customHeight="1" x14ac:dyDescent="0.25">
      <c r="A708" s="26" t="s">
        <v>49</v>
      </c>
      <c r="B708" s="27">
        <v>28</v>
      </c>
      <c r="C708" s="27"/>
      <c r="D708" s="27">
        <v>7</v>
      </c>
      <c r="E708" s="27"/>
      <c r="F708" s="29">
        <f t="shared" si="50"/>
        <v>28</v>
      </c>
      <c r="G708" s="27">
        <v>9</v>
      </c>
      <c r="H708" s="27">
        <v>19</v>
      </c>
      <c r="I708" s="27">
        <v>23</v>
      </c>
      <c r="J708" s="27">
        <v>12</v>
      </c>
      <c r="K708" s="27"/>
      <c r="L708" s="27">
        <v>5</v>
      </c>
      <c r="M708" s="27">
        <v>6</v>
      </c>
      <c r="N708" s="27">
        <v>10</v>
      </c>
      <c r="O708" s="27">
        <v>1</v>
      </c>
      <c r="P708" s="23"/>
    </row>
    <row r="709" spans="1:26" s="18" customFormat="1" ht="9" customHeight="1" x14ac:dyDescent="0.25">
      <c r="A709" s="22" t="s">
        <v>50</v>
      </c>
      <c r="B709" s="23">
        <v>4</v>
      </c>
      <c r="C709" s="23"/>
      <c r="D709" s="23">
        <v>4</v>
      </c>
      <c r="E709" s="23"/>
      <c r="F709" s="25">
        <f t="shared" si="50"/>
        <v>3</v>
      </c>
      <c r="G709" s="23">
        <v>1</v>
      </c>
      <c r="H709" s="23">
        <v>2</v>
      </c>
      <c r="I709" s="23">
        <v>3</v>
      </c>
      <c r="J709" s="23">
        <v>4</v>
      </c>
      <c r="K709" s="23"/>
      <c r="L709" s="23">
        <v>0</v>
      </c>
      <c r="M709" s="23">
        <v>3</v>
      </c>
      <c r="N709" s="23">
        <v>3</v>
      </c>
      <c r="O709" s="23">
        <v>0</v>
      </c>
      <c r="P709" s="23"/>
    </row>
    <row r="710" spans="1:26" s="18" customFormat="1" ht="9" customHeight="1" x14ac:dyDescent="0.25">
      <c r="A710" s="22" t="s">
        <v>51</v>
      </c>
      <c r="B710" s="23">
        <v>38</v>
      </c>
      <c r="C710" s="23"/>
      <c r="D710" s="23">
        <v>25</v>
      </c>
      <c r="E710" s="23"/>
      <c r="F710" s="25">
        <f t="shared" si="50"/>
        <v>50</v>
      </c>
      <c r="G710" s="23">
        <v>23</v>
      </c>
      <c r="H710" s="23">
        <v>27</v>
      </c>
      <c r="I710" s="23">
        <v>43</v>
      </c>
      <c r="J710" s="23">
        <v>32</v>
      </c>
      <c r="K710" s="23"/>
      <c r="L710" s="23">
        <v>7</v>
      </c>
      <c r="M710" s="23">
        <v>9</v>
      </c>
      <c r="N710" s="23">
        <v>12</v>
      </c>
      <c r="O710" s="23">
        <v>4</v>
      </c>
      <c r="P710" s="23"/>
    </row>
    <row r="711" spans="1:26" s="18" customFormat="1" ht="9" customHeight="1" x14ac:dyDescent="0.25">
      <c r="A711" s="22" t="s">
        <v>52</v>
      </c>
      <c r="B711" s="23">
        <v>12</v>
      </c>
      <c r="C711" s="23"/>
      <c r="D711" s="23">
        <v>34</v>
      </c>
      <c r="E711" s="23"/>
      <c r="F711" s="25">
        <f t="shared" si="50"/>
        <v>49</v>
      </c>
      <c r="G711" s="23">
        <v>11</v>
      </c>
      <c r="H711" s="23">
        <v>38</v>
      </c>
      <c r="I711" s="23">
        <v>41</v>
      </c>
      <c r="J711" s="23">
        <v>42</v>
      </c>
      <c r="K711" s="23"/>
      <c r="L711" s="23">
        <v>0</v>
      </c>
      <c r="M711" s="23">
        <v>2</v>
      </c>
      <c r="N711" s="23">
        <v>1</v>
      </c>
      <c r="O711" s="23">
        <v>1</v>
      </c>
      <c r="P711" s="23"/>
    </row>
    <row r="712" spans="1:26" s="18" customFormat="1" ht="9" customHeight="1" x14ac:dyDescent="0.25">
      <c r="A712" s="26" t="s">
        <v>53</v>
      </c>
      <c r="B712" s="27">
        <v>7</v>
      </c>
      <c r="C712" s="27"/>
      <c r="D712" s="27">
        <v>10</v>
      </c>
      <c r="E712" s="27"/>
      <c r="F712" s="29">
        <f t="shared" si="50"/>
        <v>11</v>
      </c>
      <c r="G712" s="27">
        <v>5</v>
      </c>
      <c r="H712" s="27">
        <v>6</v>
      </c>
      <c r="I712" s="27">
        <v>13</v>
      </c>
      <c r="J712" s="27">
        <v>8</v>
      </c>
      <c r="K712" s="27"/>
      <c r="L712" s="27">
        <v>2</v>
      </c>
      <c r="M712" s="27">
        <v>9</v>
      </c>
      <c r="N712" s="27">
        <v>9</v>
      </c>
      <c r="O712" s="27">
        <v>2</v>
      </c>
      <c r="P712" s="23"/>
    </row>
    <row r="713" spans="1:26" s="18" customFormat="1" ht="9" customHeight="1" x14ac:dyDescent="0.25">
      <c r="A713" s="22" t="s">
        <v>54</v>
      </c>
      <c r="B713" s="23">
        <v>3009</v>
      </c>
      <c r="C713" s="23"/>
      <c r="D713" s="23">
        <v>1</v>
      </c>
      <c r="E713" s="23"/>
      <c r="F713" s="25">
        <f t="shared" si="50"/>
        <v>0</v>
      </c>
      <c r="G713" s="23">
        <v>0</v>
      </c>
      <c r="H713" s="23">
        <v>0</v>
      </c>
      <c r="I713" s="23">
        <v>0</v>
      </c>
      <c r="J713" s="23">
        <v>1</v>
      </c>
      <c r="K713" s="23"/>
      <c r="L713" s="23">
        <v>0</v>
      </c>
      <c r="M713" s="23">
        <v>0</v>
      </c>
      <c r="N713" s="23">
        <v>0</v>
      </c>
      <c r="O713" s="23">
        <v>0</v>
      </c>
      <c r="P713" s="23"/>
    </row>
    <row r="714" spans="1:26" s="18" customFormat="1" ht="9" customHeight="1" x14ac:dyDescent="0.25">
      <c r="A714" s="22"/>
      <c r="B714" s="23"/>
      <c r="C714" s="23"/>
      <c r="D714" s="23"/>
      <c r="E714" s="23"/>
      <c r="F714" s="25"/>
      <c r="G714" s="23"/>
      <c r="H714" s="23"/>
      <c r="I714" s="23"/>
      <c r="J714" s="23"/>
      <c r="K714" s="23"/>
      <c r="L714" s="23"/>
      <c r="M714" s="23"/>
      <c r="N714" s="23"/>
      <c r="O714" s="23"/>
      <c r="P714" s="23"/>
    </row>
    <row r="715" spans="1:26" s="18" customFormat="1" ht="9" customHeight="1" x14ac:dyDescent="0.25">
      <c r="A715" s="31">
        <v>2015</v>
      </c>
      <c r="B715" s="20"/>
      <c r="C715" s="20"/>
      <c r="D715" s="20"/>
      <c r="E715" s="20"/>
      <c r="G715" s="20"/>
      <c r="H715" s="20"/>
      <c r="I715" s="20"/>
      <c r="J715" s="20"/>
      <c r="K715" s="20"/>
      <c r="L715" s="20"/>
      <c r="M715" s="20"/>
      <c r="N715" s="20"/>
      <c r="O715" s="20"/>
      <c r="P715" s="23"/>
    </row>
    <row r="716" spans="1:26" s="18" customFormat="1" ht="9" customHeight="1" x14ac:dyDescent="0.25">
      <c r="A716" s="19" t="s">
        <v>21</v>
      </c>
      <c r="B716" s="20">
        <f>SUM(B718:B750)</f>
        <v>3985</v>
      </c>
      <c r="C716" s="20"/>
      <c r="D716" s="20">
        <f>SUM(D718:D750)</f>
        <v>1869</v>
      </c>
      <c r="E716" s="34"/>
      <c r="F716" s="20">
        <f>SUM(F718:F750)</f>
        <v>3413</v>
      </c>
      <c r="G716" s="20">
        <f>SUM(G718:G750)</f>
        <v>1409</v>
      </c>
      <c r="H716" s="20">
        <f>SUM(H718:H750)</f>
        <v>2004</v>
      </c>
      <c r="I716" s="20">
        <f>SUM(I718:I750)</f>
        <v>3431</v>
      </c>
      <c r="J716" s="20">
        <f>SUM(J718:J750)</f>
        <v>1851</v>
      </c>
      <c r="K716" s="20"/>
      <c r="L716" s="20">
        <f>SUM(L718:L750)</f>
        <v>98</v>
      </c>
      <c r="M716" s="20">
        <f>SUM(M718:M750)</f>
        <v>284</v>
      </c>
      <c r="N716" s="20">
        <f>SUM(N718:N750)</f>
        <v>294</v>
      </c>
      <c r="O716" s="20">
        <f>SUM(O718:O750)</f>
        <v>88</v>
      </c>
      <c r="P716" s="23"/>
    </row>
    <row r="717" spans="1:26" s="18" customFormat="1" ht="3" customHeight="1" x14ac:dyDescent="0.25">
      <c r="A717" s="19"/>
      <c r="B717" s="20"/>
      <c r="C717" s="20"/>
      <c r="D717" s="20"/>
      <c r="E717" s="20"/>
      <c r="G717" s="20"/>
      <c r="H717" s="20"/>
      <c r="I717" s="20"/>
      <c r="J717" s="20"/>
      <c r="K717" s="20"/>
      <c r="L717" s="20"/>
      <c r="M717" s="20"/>
      <c r="N717" s="20"/>
      <c r="O717" s="20"/>
      <c r="P717" s="23"/>
    </row>
    <row r="718" spans="1:26" s="18" customFormat="1" ht="8.65" customHeight="1" x14ac:dyDescent="0.25">
      <c r="A718" s="22" t="s">
        <v>23</v>
      </c>
      <c r="B718" s="23">
        <v>7</v>
      </c>
      <c r="C718" s="23"/>
      <c r="D718" s="23">
        <v>6</v>
      </c>
      <c r="E718" s="23"/>
      <c r="F718" s="25">
        <f t="shared" ref="F718:F750" si="51">SUM(G718:H718)</f>
        <v>9</v>
      </c>
      <c r="G718" s="23">
        <v>5</v>
      </c>
      <c r="H718" s="23">
        <v>4</v>
      </c>
      <c r="I718" s="23">
        <v>9</v>
      </c>
      <c r="J718" s="23">
        <v>6</v>
      </c>
      <c r="K718" s="23"/>
      <c r="L718" s="23">
        <v>0</v>
      </c>
      <c r="M718" s="23">
        <v>1</v>
      </c>
      <c r="N718" s="23">
        <v>1</v>
      </c>
      <c r="O718" s="23">
        <f t="shared" ref="O718:O750" si="52">L718+M718-N718</f>
        <v>0</v>
      </c>
      <c r="P718" s="23"/>
    </row>
    <row r="719" spans="1:26" s="18" customFormat="1" ht="8.65" customHeight="1" x14ac:dyDescent="0.25">
      <c r="A719" s="22" t="s">
        <v>24</v>
      </c>
      <c r="B719" s="23">
        <v>26</v>
      </c>
      <c r="C719" s="23"/>
      <c r="D719" s="23">
        <v>7</v>
      </c>
      <c r="E719" s="23"/>
      <c r="F719" s="25">
        <f t="shared" si="51"/>
        <v>26</v>
      </c>
      <c r="G719" s="23">
        <v>12</v>
      </c>
      <c r="H719" s="23">
        <v>14</v>
      </c>
      <c r="I719" s="23">
        <v>25</v>
      </c>
      <c r="J719" s="23">
        <v>8</v>
      </c>
      <c r="K719" s="23"/>
      <c r="L719" s="23">
        <v>6</v>
      </c>
      <c r="M719" s="23">
        <v>9</v>
      </c>
      <c r="N719" s="23">
        <v>12</v>
      </c>
      <c r="O719" s="23">
        <f t="shared" si="52"/>
        <v>3</v>
      </c>
      <c r="P719" s="23"/>
      <c r="Q719" s="32"/>
      <c r="R719" s="32"/>
      <c r="S719" s="33"/>
      <c r="T719" s="33"/>
      <c r="U719" s="33"/>
      <c r="V719" s="33"/>
      <c r="W719" s="33"/>
      <c r="X719" s="33"/>
      <c r="Y719" s="33"/>
      <c r="Z719" s="32"/>
    </row>
    <row r="720" spans="1:26" s="18" customFormat="1" ht="8.65" customHeight="1" x14ac:dyDescent="0.25">
      <c r="A720" s="22" t="s">
        <v>25</v>
      </c>
      <c r="B720" s="23">
        <v>19</v>
      </c>
      <c r="C720" s="23"/>
      <c r="D720" s="23">
        <v>24</v>
      </c>
      <c r="E720" s="23"/>
      <c r="F720" s="25">
        <f t="shared" si="51"/>
        <v>22</v>
      </c>
      <c r="G720" s="23">
        <v>9</v>
      </c>
      <c r="H720" s="23">
        <v>13</v>
      </c>
      <c r="I720" s="23">
        <v>20</v>
      </c>
      <c r="J720" s="23">
        <v>26</v>
      </c>
      <c r="K720" s="23"/>
      <c r="L720" s="23">
        <v>0</v>
      </c>
      <c r="M720" s="23">
        <v>2</v>
      </c>
      <c r="N720" s="23">
        <v>1</v>
      </c>
      <c r="O720" s="23">
        <f t="shared" si="52"/>
        <v>1</v>
      </c>
      <c r="P720" s="23"/>
    </row>
    <row r="721" spans="1:16" s="18" customFormat="1" ht="8.65" customHeight="1" x14ac:dyDescent="0.25">
      <c r="A721" s="26" t="s">
        <v>26</v>
      </c>
      <c r="B721" s="27">
        <v>4</v>
      </c>
      <c r="C721" s="27"/>
      <c r="D721" s="27">
        <v>4</v>
      </c>
      <c r="E721" s="27"/>
      <c r="F721" s="29">
        <f t="shared" si="51"/>
        <v>8</v>
      </c>
      <c r="G721" s="27">
        <v>5</v>
      </c>
      <c r="H721" s="27">
        <v>3</v>
      </c>
      <c r="I721" s="27">
        <v>6</v>
      </c>
      <c r="J721" s="27">
        <v>6</v>
      </c>
      <c r="K721" s="27"/>
      <c r="L721" s="27">
        <v>2</v>
      </c>
      <c r="M721" s="27">
        <v>1</v>
      </c>
      <c r="N721" s="27">
        <v>3</v>
      </c>
      <c r="O721" s="27">
        <f t="shared" si="52"/>
        <v>0</v>
      </c>
      <c r="P721" s="23"/>
    </row>
    <row r="722" spans="1:16" s="18" customFormat="1" ht="8.65" customHeight="1" x14ac:dyDescent="0.25">
      <c r="A722" s="22" t="s">
        <v>27</v>
      </c>
      <c r="B722" s="23">
        <v>29</v>
      </c>
      <c r="C722" s="23"/>
      <c r="D722" s="23">
        <v>21</v>
      </c>
      <c r="E722" s="23"/>
      <c r="F722" s="25">
        <f t="shared" si="51"/>
        <v>14</v>
      </c>
      <c r="G722" s="23">
        <v>4</v>
      </c>
      <c r="H722" s="23">
        <v>10</v>
      </c>
      <c r="I722" s="23">
        <v>16</v>
      </c>
      <c r="J722" s="23">
        <v>19</v>
      </c>
      <c r="K722" s="23"/>
      <c r="L722" s="23">
        <v>1</v>
      </c>
      <c r="M722" s="23">
        <v>0</v>
      </c>
      <c r="N722" s="23">
        <v>1</v>
      </c>
      <c r="O722" s="23">
        <f t="shared" si="52"/>
        <v>0</v>
      </c>
      <c r="P722" s="23"/>
    </row>
    <row r="723" spans="1:16" s="18" customFormat="1" ht="8.65" customHeight="1" x14ac:dyDescent="0.25">
      <c r="A723" s="22" t="s">
        <v>28</v>
      </c>
      <c r="B723" s="23">
        <v>14</v>
      </c>
      <c r="C723" s="23"/>
      <c r="D723" s="23">
        <v>6</v>
      </c>
      <c r="E723" s="23"/>
      <c r="F723" s="25">
        <f t="shared" si="51"/>
        <v>3</v>
      </c>
      <c r="G723" s="23">
        <v>1</v>
      </c>
      <c r="H723" s="23">
        <v>2</v>
      </c>
      <c r="I723" s="23">
        <v>5</v>
      </c>
      <c r="J723" s="23">
        <v>4</v>
      </c>
      <c r="K723" s="23"/>
      <c r="L723" s="23">
        <v>0</v>
      </c>
      <c r="M723" s="23">
        <v>2</v>
      </c>
      <c r="N723" s="23">
        <v>2</v>
      </c>
      <c r="O723" s="23">
        <f t="shared" si="52"/>
        <v>0</v>
      </c>
      <c r="P723" s="23"/>
    </row>
    <row r="724" spans="1:16" s="18" customFormat="1" ht="8.65" customHeight="1" x14ac:dyDescent="0.25">
      <c r="A724" s="22" t="s">
        <v>29</v>
      </c>
      <c r="B724" s="23">
        <v>18</v>
      </c>
      <c r="C724" s="23"/>
      <c r="D724" s="23">
        <v>22</v>
      </c>
      <c r="E724" s="23"/>
      <c r="F724" s="25">
        <f t="shared" si="51"/>
        <v>18</v>
      </c>
      <c r="G724" s="23">
        <v>6</v>
      </c>
      <c r="H724" s="23">
        <v>12</v>
      </c>
      <c r="I724" s="23">
        <v>22</v>
      </c>
      <c r="J724" s="23">
        <v>18</v>
      </c>
      <c r="K724" s="23"/>
      <c r="L724" s="23">
        <v>0</v>
      </c>
      <c r="M724" s="23">
        <v>2</v>
      </c>
      <c r="N724" s="23">
        <v>0</v>
      </c>
      <c r="O724" s="23">
        <f t="shared" si="52"/>
        <v>2</v>
      </c>
      <c r="P724" s="23"/>
    </row>
    <row r="725" spans="1:16" s="18" customFormat="1" ht="8.65" customHeight="1" x14ac:dyDescent="0.25">
      <c r="A725" s="26" t="s">
        <v>30</v>
      </c>
      <c r="B725" s="27">
        <v>33</v>
      </c>
      <c r="C725" s="27"/>
      <c r="D725" s="27">
        <v>36</v>
      </c>
      <c r="E725" s="27"/>
      <c r="F725" s="29">
        <f t="shared" si="51"/>
        <v>38</v>
      </c>
      <c r="G725" s="27">
        <v>12</v>
      </c>
      <c r="H725" s="27">
        <v>26</v>
      </c>
      <c r="I725" s="27">
        <v>47</v>
      </c>
      <c r="J725" s="27">
        <v>27</v>
      </c>
      <c r="K725" s="27"/>
      <c r="L725" s="27">
        <v>4</v>
      </c>
      <c r="M725" s="27">
        <v>14</v>
      </c>
      <c r="N725" s="27">
        <v>17</v>
      </c>
      <c r="O725" s="27">
        <f t="shared" si="52"/>
        <v>1</v>
      </c>
      <c r="P725" s="23"/>
    </row>
    <row r="726" spans="1:16" s="18" customFormat="1" ht="8.65" customHeight="1" x14ac:dyDescent="0.25">
      <c r="A726" s="22" t="s">
        <v>63</v>
      </c>
      <c r="B726" s="23">
        <v>543</v>
      </c>
      <c r="C726" s="23"/>
      <c r="D726" s="23">
        <v>1127</v>
      </c>
      <c r="E726" s="23"/>
      <c r="F726" s="25">
        <f t="shared" si="51"/>
        <v>2110</v>
      </c>
      <c r="G726" s="23">
        <v>828</v>
      </c>
      <c r="H726" s="23">
        <v>1282</v>
      </c>
      <c r="I726" s="23">
        <v>2104</v>
      </c>
      <c r="J726" s="23">
        <v>1133</v>
      </c>
      <c r="K726" s="23"/>
      <c r="L726" s="23">
        <v>42</v>
      </c>
      <c r="M726" s="23">
        <v>99</v>
      </c>
      <c r="N726" s="23">
        <v>121</v>
      </c>
      <c r="O726" s="23">
        <f t="shared" si="52"/>
        <v>20</v>
      </c>
      <c r="P726" s="23"/>
    </row>
    <row r="727" spans="1:16" s="18" customFormat="1" ht="8.65" customHeight="1" x14ac:dyDescent="0.25">
      <c r="A727" s="22" t="s">
        <v>31</v>
      </c>
      <c r="B727" s="23">
        <v>20</v>
      </c>
      <c r="C727" s="23"/>
      <c r="D727" s="23">
        <v>5</v>
      </c>
      <c r="E727" s="23"/>
      <c r="F727" s="25">
        <f t="shared" si="51"/>
        <v>14</v>
      </c>
      <c r="G727" s="23">
        <v>3</v>
      </c>
      <c r="H727" s="23">
        <v>11</v>
      </c>
      <c r="I727" s="23">
        <v>9</v>
      </c>
      <c r="J727" s="23">
        <v>10</v>
      </c>
      <c r="K727" s="23"/>
      <c r="L727" s="23">
        <v>4</v>
      </c>
      <c r="M727" s="23">
        <v>10</v>
      </c>
      <c r="N727" s="23">
        <v>11</v>
      </c>
      <c r="O727" s="23">
        <f t="shared" si="52"/>
        <v>3</v>
      </c>
      <c r="P727" s="23"/>
    </row>
    <row r="728" spans="1:16" s="18" customFormat="1" ht="8.65" customHeight="1" x14ac:dyDescent="0.25">
      <c r="A728" s="22" t="s">
        <v>32</v>
      </c>
      <c r="B728" s="23">
        <v>30</v>
      </c>
      <c r="C728" s="23"/>
      <c r="D728" s="23">
        <v>34</v>
      </c>
      <c r="E728" s="23"/>
      <c r="F728" s="25">
        <f t="shared" si="51"/>
        <v>40</v>
      </c>
      <c r="G728" s="23">
        <v>18</v>
      </c>
      <c r="H728" s="23">
        <v>22</v>
      </c>
      <c r="I728" s="23">
        <v>52</v>
      </c>
      <c r="J728" s="23">
        <v>22</v>
      </c>
      <c r="K728" s="23"/>
      <c r="L728" s="23">
        <v>2</v>
      </c>
      <c r="M728" s="23">
        <v>4</v>
      </c>
      <c r="N728" s="23">
        <v>4</v>
      </c>
      <c r="O728" s="23">
        <f t="shared" si="52"/>
        <v>2</v>
      </c>
      <c r="P728" s="23"/>
    </row>
    <row r="729" spans="1:16" s="18" customFormat="1" ht="8.65" customHeight="1" x14ac:dyDescent="0.25">
      <c r="A729" s="26" t="s">
        <v>33</v>
      </c>
      <c r="B729" s="27">
        <v>14</v>
      </c>
      <c r="C729" s="27"/>
      <c r="D729" s="27">
        <v>12</v>
      </c>
      <c r="E729" s="27"/>
      <c r="F729" s="29">
        <f t="shared" si="51"/>
        <v>15</v>
      </c>
      <c r="G729" s="27">
        <v>9</v>
      </c>
      <c r="H729" s="27">
        <v>6</v>
      </c>
      <c r="I729" s="27">
        <v>20</v>
      </c>
      <c r="J729" s="27">
        <v>7</v>
      </c>
      <c r="K729" s="27"/>
      <c r="L729" s="27">
        <v>0</v>
      </c>
      <c r="M729" s="27">
        <v>2</v>
      </c>
      <c r="N729" s="27">
        <v>1</v>
      </c>
      <c r="O729" s="27">
        <f>L729+M729-N729</f>
        <v>1</v>
      </c>
      <c r="P729" s="23"/>
    </row>
    <row r="730" spans="1:16" s="18" customFormat="1" ht="8.65" customHeight="1" x14ac:dyDescent="0.25">
      <c r="A730" s="22" t="s">
        <v>34</v>
      </c>
      <c r="B730" s="23">
        <v>6</v>
      </c>
      <c r="C730" s="23"/>
      <c r="D730" s="23">
        <v>19</v>
      </c>
      <c r="E730" s="23"/>
      <c r="F730" s="25">
        <f t="shared" si="51"/>
        <v>19</v>
      </c>
      <c r="G730" s="23">
        <v>5</v>
      </c>
      <c r="H730" s="23">
        <v>14</v>
      </c>
      <c r="I730" s="23">
        <v>21</v>
      </c>
      <c r="J730" s="23">
        <v>17</v>
      </c>
      <c r="K730" s="23"/>
      <c r="L730" s="23">
        <v>0</v>
      </c>
      <c r="M730" s="23">
        <v>2</v>
      </c>
      <c r="N730" s="23">
        <v>2</v>
      </c>
      <c r="O730" s="23">
        <f>L730+M730-N730</f>
        <v>0</v>
      </c>
      <c r="P730" s="23"/>
    </row>
    <row r="731" spans="1:16" s="18" customFormat="1" ht="8.65" customHeight="1" x14ac:dyDescent="0.25">
      <c r="A731" s="22" t="s">
        <v>35</v>
      </c>
      <c r="B731" s="23">
        <v>40</v>
      </c>
      <c r="C731" s="23"/>
      <c r="D731" s="23">
        <v>21</v>
      </c>
      <c r="E731" s="23"/>
      <c r="F731" s="25">
        <f t="shared" si="51"/>
        <v>36</v>
      </c>
      <c r="G731" s="23">
        <v>20</v>
      </c>
      <c r="H731" s="23">
        <v>16</v>
      </c>
      <c r="I731" s="23">
        <v>43</v>
      </c>
      <c r="J731" s="23">
        <v>14</v>
      </c>
      <c r="K731" s="23"/>
      <c r="L731" s="23">
        <v>6</v>
      </c>
      <c r="M731" s="23">
        <v>23</v>
      </c>
      <c r="N731" s="23">
        <v>16</v>
      </c>
      <c r="O731" s="23">
        <f>L731+M731-N731</f>
        <v>13</v>
      </c>
      <c r="P731" s="23"/>
    </row>
    <row r="732" spans="1:16" s="18" customFormat="1" ht="8.65" customHeight="1" x14ac:dyDescent="0.25">
      <c r="A732" s="22" t="s">
        <v>36</v>
      </c>
      <c r="B732" s="23">
        <v>171</v>
      </c>
      <c r="C732" s="23"/>
      <c r="D732" s="23">
        <v>296</v>
      </c>
      <c r="E732" s="23"/>
      <c r="F732" s="25">
        <f t="shared" si="51"/>
        <v>642</v>
      </c>
      <c r="G732" s="23">
        <v>320</v>
      </c>
      <c r="H732" s="23">
        <v>322</v>
      </c>
      <c r="I732" s="23">
        <v>633</v>
      </c>
      <c r="J732" s="23">
        <v>305</v>
      </c>
      <c r="K732" s="23"/>
      <c r="L732" s="18">
        <v>1</v>
      </c>
      <c r="M732" s="18">
        <v>23</v>
      </c>
      <c r="N732" s="18">
        <v>17</v>
      </c>
      <c r="O732" s="18">
        <v>7</v>
      </c>
      <c r="P732" s="23"/>
    </row>
    <row r="733" spans="1:16" s="18" customFormat="1" ht="8.65" customHeight="1" x14ac:dyDescent="0.25">
      <c r="A733" s="26" t="s">
        <v>37</v>
      </c>
      <c r="B733" s="27">
        <v>23</v>
      </c>
      <c r="C733" s="27"/>
      <c r="D733" s="27">
        <v>19</v>
      </c>
      <c r="E733" s="27"/>
      <c r="F733" s="29">
        <f t="shared" si="51"/>
        <v>24</v>
      </c>
      <c r="G733" s="27">
        <v>12</v>
      </c>
      <c r="H733" s="27">
        <v>12</v>
      </c>
      <c r="I733" s="27">
        <v>27</v>
      </c>
      <c r="J733" s="27">
        <v>16</v>
      </c>
      <c r="K733" s="27"/>
      <c r="L733" s="27">
        <v>0</v>
      </c>
      <c r="M733" s="27">
        <v>2</v>
      </c>
      <c r="N733" s="27">
        <v>1</v>
      </c>
      <c r="O733" s="27">
        <f t="shared" si="52"/>
        <v>1</v>
      </c>
      <c r="P733" s="23"/>
    </row>
    <row r="734" spans="1:16" s="18" customFormat="1" ht="8.65" customHeight="1" x14ac:dyDescent="0.25">
      <c r="A734" s="22" t="s">
        <v>38</v>
      </c>
      <c r="B734" s="23">
        <v>16</v>
      </c>
      <c r="C734" s="23"/>
      <c r="D734" s="23">
        <v>13</v>
      </c>
      <c r="E734" s="23"/>
      <c r="F734" s="25">
        <f t="shared" si="51"/>
        <v>28</v>
      </c>
      <c r="G734" s="23">
        <v>12</v>
      </c>
      <c r="H734" s="23">
        <v>16</v>
      </c>
      <c r="I734" s="23">
        <v>29</v>
      </c>
      <c r="J734" s="23">
        <v>12</v>
      </c>
      <c r="K734" s="23"/>
      <c r="L734" s="23">
        <v>4</v>
      </c>
      <c r="M734" s="23">
        <v>4</v>
      </c>
      <c r="N734" s="23">
        <v>7</v>
      </c>
      <c r="O734" s="23">
        <f t="shared" si="52"/>
        <v>1</v>
      </c>
      <c r="P734" s="23"/>
    </row>
    <row r="735" spans="1:16" s="18" customFormat="1" ht="8.65" customHeight="1" x14ac:dyDescent="0.25">
      <c r="A735" s="22" t="s">
        <v>39</v>
      </c>
      <c r="B735" s="23">
        <v>3</v>
      </c>
      <c r="C735" s="23"/>
      <c r="D735" s="23">
        <v>5</v>
      </c>
      <c r="E735" s="23"/>
      <c r="F735" s="25">
        <f t="shared" si="51"/>
        <v>10</v>
      </c>
      <c r="G735" s="23">
        <v>5</v>
      </c>
      <c r="H735" s="23">
        <v>5</v>
      </c>
      <c r="I735" s="23">
        <v>12</v>
      </c>
      <c r="J735" s="23">
        <v>3</v>
      </c>
      <c r="K735" s="23"/>
      <c r="L735" s="23">
        <v>0</v>
      </c>
      <c r="M735" s="23">
        <v>0</v>
      </c>
      <c r="N735" s="23">
        <v>0</v>
      </c>
      <c r="O735" s="23">
        <f t="shared" si="52"/>
        <v>0</v>
      </c>
      <c r="P735" s="23"/>
    </row>
    <row r="736" spans="1:16" s="18" customFormat="1" ht="8.65" customHeight="1" x14ac:dyDescent="0.25">
      <c r="A736" s="22" t="s">
        <v>40</v>
      </c>
      <c r="B736" s="23">
        <v>12</v>
      </c>
      <c r="C736" s="23"/>
      <c r="D736" s="23">
        <v>12</v>
      </c>
      <c r="E736" s="23"/>
      <c r="F736" s="25">
        <f t="shared" si="51"/>
        <v>17</v>
      </c>
      <c r="G736" s="23">
        <v>2</v>
      </c>
      <c r="H736" s="23">
        <v>15</v>
      </c>
      <c r="I736" s="23">
        <v>16</v>
      </c>
      <c r="J736" s="23">
        <v>13</v>
      </c>
      <c r="K736" s="23"/>
      <c r="L736" s="23">
        <v>0</v>
      </c>
      <c r="M736" s="23">
        <v>1</v>
      </c>
      <c r="N736" s="23">
        <v>1</v>
      </c>
      <c r="O736" s="23">
        <f t="shared" si="52"/>
        <v>0</v>
      </c>
      <c r="P736" s="23"/>
    </row>
    <row r="737" spans="1:16" s="18" customFormat="1" ht="8.65" customHeight="1" x14ac:dyDescent="0.25">
      <c r="A737" s="26" t="s">
        <v>41</v>
      </c>
      <c r="B737" s="27">
        <v>9</v>
      </c>
      <c r="C737" s="27"/>
      <c r="D737" s="27">
        <v>8</v>
      </c>
      <c r="E737" s="27"/>
      <c r="F737" s="29">
        <f t="shared" si="51"/>
        <v>7</v>
      </c>
      <c r="G737" s="27">
        <v>2</v>
      </c>
      <c r="H737" s="27">
        <v>5</v>
      </c>
      <c r="I737" s="27">
        <v>6</v>
      </c>
      <c r="J737" s="27">
        <v>9</v>
      </c>
      <c r="K737" s="27"/>
      <c r="L737" s="27">
        <v>1</v>
      </c>
      <c r="M737" s="27">
        <v>6</v>
      </c>
      <c r="N737" s="27">
        <v>5</v>
      </c>
      <c r="O737" s="27">
        <f t="shared" si="52"/>
        <v>2</v>
      </c>
      <c r="P737" s="23"/>
    </row>
    <row r="738" spans="1:16" s="18" customFormat="1" ht="8.65" customHeight="1" x14ac:dyDescent="0.25">
      <c r="A738" s="22" t="s">
        <v>42</v>
      </c>
      <c r="B738" s="23">
        <v>13</v>
      </c>
      <c r="C738" s="23"/>
      <c r="D738" s="23">
        <v>5</v>
      </c>
      <c r="E738" s="23"/>
      <c r="F738" s="25">
        <f t="shared" si="51"/>
        <v>12</v>
      </c>
      <c r="G738" s="23">
        <v>9</v>
      </c>
      <c r="H738" s="23">
        <v>3</v>
      </c>
      <c r="I738" s="23">
        <v>13</v>
      </c>
      <c r="J738" s="23">
        <v>4</v>
      </c>
      <c r="K738" s="23"/>
      <c r="L738" s="23">
        <v>2</v>
      </c>
      <c r="M738" s="23">
        <v>10</v>
      </c>
      <c r="N738" s="23">
        <v>7</v>
      </c>
      <c r="O738" s="23">
        <f t="shared" si="52"/>
        <v>5</v>
      </c>
      <c r="P738" s="23"/>
    </row>
    <row r="739" spans="1:16" s="18" customFormat="1" ht="8.65" customHeight="1" x14ac:dyDescent="0.25">
      <c r="A739" s="22" t="s">
        <v>43</v>
      </c>
      <c r="B739" s="23">
        <v>14</v>
      </c>
      <c r="C739" s="23"/>
      <c r="D739" s="23">
        <v>5</v>
      </c>
      <c r="E739" s="23"/>
      <c r="F739" s="25">
        <f t="shared" si="51"/>
        <v>12</v>
      </c>
      <c r="G739" s="23">
        <v>7</v>
      </c>
      <c r="H739" s="23">
        <v>5</v>
      </c>
      <c r="I739" s="23">
        <v>12</v>
      </c>
      <c r="J739" s="23">
        <v>5</v>
      </c>
      <c r="K739" s="23"/>
      <c r="L739" s="23">
        <v>1</v>
      </c>
      <c r="M739" s="23">
        <v>2</v>
      </c>
      <c r="N739" s="23">
        <v>3</v>
      </c>
      <c r="O739" s="23">
        <f t="shared" si="52"/>
        <v>0</v>
      </c>
      <c r="P739" s="23"/>
    </row>
    <row r="740" spans="1:16" s="18" customFormat="1" ht="8.65" customHeight="1" x14ac:dyDescent="0.25">
      <c r="A740" s="22" t="s">
        <v>44</v>
      </c>
      <c r="B740" s="23">
        <v>29</v>
      </c>
      <c r="C740" s="23"/>
      <c r="D740" s="23">
        <v>22</v>
      </c>
      <c r="E740" s="23"/>
      <c r="F740" s="25">
        <f t="shared" si="51"/>
        <v>47</v>
      </c>
      <c r="G740" s="23">
        <v>26</v>
      </c>
      <c r="H740" s="23">
        <v>21</v>
      </c>
      <c r="I740" s="23">
        <v>49</v>
      </c>
      <c r="J740" s="23">
        <v>20</v>
      </c>
      <c r="K740" s="23"/>
      <c r="L740" s="23">
        <v>2</v>
      </c>
      <c r="M740" s="23">
        <v>4</v>
      </c>
      <c r="N740" s="23">
        <v>5</v>
      </c>
      <c r="O740" s="23">
        <f t="shared" si="52"/>
        <v>1</v>
      </c>
      <c r="P740" s="23"/>
    </row>
    <row r="741" spans="1:16" s="18" customFormat="1" ht="8.65" customHeight="1" x14ac:dyDescent="0.25">
      <c r="A741" s="26" t="s">
        <v>45</v>
      </c>
      <c r="B741" s="27">
        <v>31</v>
      </c>
      <c r="C741" s="27"/>
      <c r="D741" s="27">
        <v>16</v>
      </c>
      <c r="E741" s="27"/>
      <c r="F741" s="29">
        <f t="shared" si="51"/>
        <v>53</v>
      </c>
      <c r="G741" s="27">
        <v>8</v>
      </c>
      <c r="H741" s="27">
        <v>45</v>
      </c>
      <c r="I741" s="27">
        <v>51</v>
      </c>
      <c r="J741" s="27">
        <v>18</v>
      </c>
      <c r="K741" s="27"/>
      <c r="L741" s="27">
        <v>1</v>
      </c>
      <c r="M741" s="27">
        <v>0</v>
      </c>
      <c r="N741" s="27">
        <v>1</v>
      </c>
      <c r="O741" s="27">
        <f t="shared" si="52"/>
        <v>0</v>
      </c>
      <c r="P741" s="23"/>
    </row>
    <row r="742" spans="1:16" s="18" customFormat="1" ht="8.65" customHeight="1" x14ac:dyDescent="0.25">
      <c r="A742" s="22" t="s">
        <v>46</v>
      </c>
      <c r="B742" s="23">
        <v>19</v>
      </c>
      <c r="C742" s="23"/>
      <c r="D742" s="23">
        <v>10</v>
      </c>
      <c r="E742" s="23"/>
      <c r="F742" s="25">
        <f t="shared" si="51"/>
        <v>26</v>
      </c>
      <c r="G742" s="23">
        <v>13</v>
      </c>
      <c r="H742" s="23">
        <v>13</v>
      </c>
      <c r="I742" s="23">
        <v>22</v>
      </c>
      <c r="J742" s="23">
        <v>14</v>
      </c>
      <c r="K742" s="23"/>
      <c r="L742" s="23">
        <v>4</v>
      </c>
      <c r="M742" s="23">
        <v>2</v>
      </c>
      <c r="N742" s="23">
        <v>5</v>
      </c>
      <c r="O742" s="23">
        <f t="shared" si="52"/>
        <v>1</v>
      </c>
      <c r="P742" s="23"/>
    </row>
    <row r="743" spans="1:16" s="18" customFormat="1" ht="8.65" customHeight="1" x14ac:dyDescent="0.25">
      <c r="A743" s="22" t="s">
        <v>47</v>
      </c>
      <c r="B743" s="23">
        <v>32</v>
      </c>
      <c r="C743" s="23"/>
      <c r="D743" s="23">
        <v>6</v>
      </c>
      <c r="E743" s="23"/>
      <c r="F743" s="25">
        <f t="shared" si="51"/>
        <v>16</v>
      </c>
      <c r="G743" s="23">
        <v>9</v>
      </c>
      <c r="H743" s="23">
        <v>7</v>
      </c>
      <c r="I743" s="23">
        <v>17</v>
      </c>
      <c r="J743" s="23">
        <v>5</v>
      </c>
      <c r="K743" s="23"/>
      <c r="L743" s="23">
        <v>6</v>
      </c>
      <c r="M743" s="23">
        <v>8</v>
      </c>
      <c r="N743" s="23">
        <v>13</v>
      </c>
      <c r="O743" s="23">
        <f t="shared" si="52"/>
        <v>1</v>
      </c>
      <c r="P743" s="23"/>
    </row>
    <row r="744" spans="1:16" s="18" customFormat="1" ht="8.65" customHeight="1" x14ac:dyDescent="0.25">
      <c r="A744" s="22" t="s">
        <v>48</v>
      </c>
      <c r="B744" s="23">
        <v>14</v>
      </c>
      <c r="C744" s="23"/>
      <c r="D744" s="23">
        <v>9</v>
      </c>
      <c r="E744" s="23"/>
      <c r="F744" s="25">
        <f t="shared" si="51"/>
        <v>12</v>
      </c>
      <c r="G744" s="23">
        <v>4</v>
      </c>
      <c r="H744" s="23">
        <v>8</v>
      </c>
      <c r="I744" s="23">
        <v>8</v>
      </c>
      <c r="J744" s="23">
        <v>13</v>
      </c>
      <c r="K744" s="23"/>
      <c r="L744" s="23">
        <v>1</v>
      </c>
      <c r="M744" s="23">
        <v>5</v>
      </c>
      <c r="N744" s="23">
        <v>3</v>
      </c>
      <c r="O744" s="23">
        <f t="shared" si="52"/>
        <v>3</v>
      </c>
      <c r="P744" s="23"/>
    </row>
    <row r="745" spans="1:16" s="18" customFormat="1" ht="8.65" customHeight="1" x14ac:dyDescent="0.25">
      <c r="A745" s="26" t="s">
        <v>49</v>
      </c>
      <c r="B745" s="27">
        <v>27</v>
      </c>
      <c r="C745" s="27"/>
      <c r="D745" s="27">
        <v>12</v>
      </c>
      <c r="E745" s="27"/>
      <c r="F745" s="29">
        <f t="shared" si="51"/>
        <v>24</v>
      </c>
      <c r="G745" s="27">
        <v>6</v>
      </c>
      <c r="H745" s="27">
        <v>18</v>
      </c>
      <c r="I745" s="27">
        <v>26</v>
      </c>
      <c r="J745" s="27">
        <v>10</v>
      </c>
      <c r="K745" s="27"/>
      <c r="L745" s="27">
        <v>1</v>
      </c>
      <c r="M745" s="27">
        <v>9</v>
      </c>
      <c r="N745" s="27">
        <v>6</v>
      </c>
      <c r="O745" s="27">
        <f t="shared" si="52"/>
        <v>4</v>
      </c>
      <c r="P745" s="23"/>
    </row>
    <row r="746" spans="1:16" s="18" customFormat="1" ht="8.65" customHeight="1" x14ac:dyDescent="0.25">
      <c r="A746" s="22" t="s">
        <v>50</v>
      </c>
      <c r="B746" s="23">
        <v>4</v>
      </c>
      <c r="C746" s="23"/>
      <c r="D746" s="23">
        <v>4</v>
      </c>
      <c r="E746" s="23"/>
      <c r="F746" s="25">
        <f t="shared" si="51"/>
        <v>5</v>
      </c>
      <c r="G746" s="23">
        <v>2</v>
      </c>
      <c r="H746" s="23">
        <v>3</v>
      </c>
      <c r="I746" s="23">
        <v>6</v>
      </c>
      <c r="J746" s="23">
        <v>3</v>
      </c>
      <c r="K746" s="23"/>
      <c r="L746" s="23">
        <v>0</v>
      </c>
      <c r="M746" s="23">
        <v>0</v>
      </c>
      <c r="N746" s="23">
        <v>0</v>
      </c>
      <c r="O746" s="23">
        <f t="shared" si="52"/>
        <v>0</v>
      </c>
      <c r="P746" s="23"/>
    </row>
    <row r="747" spans="1:16" s="18" customFormat="1" ht="8.65" customHeight="1" x14ac:dyDescent="0.25">
      <c r="A747" s="22" t="s">
        <v>51</v>
      </c>
      <c r="B747" s="23">
        <v>45</v>
      </c>
      <c r="C747" s="23"/>
      <c r="D747" s="23">
        <v>32</v>
      </c>
      <c r="E747" s="23"/>
      <c r="F747" s="25">
        <f t="shared" si="51"/>
        <v>63</v>
      </c>
      <c r="G747" s="23">
        <v>26</v>
      </c>
      <c r="H747" s="23">
        <v>37</v>
      </c>
      <c r="I747" s="23">
        <v>61</v>
      </c>
      <c r="J747" s="23">
        <v>34</v>
      </c>
      <c r="K747" s="23"/>
      <c r="L747" s="23">
        <v>4</v>
      </c>
      <c r="M747" s="23">
        <v>12</v>
      </c>
      <c r="N747" s="23">
        <v>11</v>
      </c>
      <c r="O747" s="23">
        <f t="shared" si="52"/>
        <v>5</v>
      </c>
      <c r="P747" s="23"/>
    </row>
    <row r="748" spans="1:16" s="18" customFormat="1" ht="8.65" customHeight="1" x14ac:dyDescent="0.25">
      <c r="A748" s="22" t="s">
        <v>52</v>
      </c>
      <c r="B748" s="23">
        <v>11</v>
      </c>
      <c r="C748" s="23"/>
      <c r="D748" s="23">
        <v>42</v>
      </c>
      <c r="E748" s="23"/>
      <c r="F748" s="25">
        <f t="shared" si="51"/>
        <v>25</v>
      </c>
      <c r="G748" s="23">
        <v>6</v>
      </c>
      <c r="H748" s="23">
        <v>19</v>
      </c>
      <c r="I748" s="23">
        <v>32</v>
      </c>
      <c r="J748" s="23">
        <v>35</v>
      </c>
      <c r="K748" s="23"/>
      <c r="L748" s="23">
        <v>1</v>
      </c>
      <c r="M748" s="23">
        <v>3</v>
      </c>
      <c r="N748" s="23">
        <v>4</v>
      </c>
      <c r="O748" s="23">
        <f t="shared" si="52"/>
        <v>0</v>
      </c>
      <c r="P748" s="23"/>
    </row>
    <row r="749" spans="1:16" s="18" customFormat="1" ht="8.65" customHeight="1" x14ac:dyDescent="0.25">
      <c r="A749" s="26" t="s">
        <v>53</v>
      </c>
      <c r="B749" s="27">
        <v>22</v>
      </c>
      <c r="C749" s="27"/>
      <c r="D749" s="27">
        <v>8</v>
      </c>
      <c r="E749" s="27"/>
      <c r="F749" s="29">
        <f t="shared" si="51"/>
        <v>15</v>
      </c>
      <c r="G749" s="27">
        <v>2</v>
      </c>
      <c r="H749" s="27">
        <v>13</v>
      </c>
      <c r="I749" s="27">
        <v>11</v>
      </c>
      <c r="J749" s="27">
        <v>12</v>
      </c>
      <c r="K749" s="27"/>
      <c r="L749" s="27">
        <v>2</v>
      </c>
      <c r="M749" s="27">
        <v>14</v>
      </c>
      <c r="N749" s="27">
        <v>13</v>
      </c>
      <c r="O749" s="27">
        <f t="shared" si="52"/>
        <v>3</v>
      </c>
      <c r="P749" s="23"/>
    </row>
    <row r="750" spans="1:16" s="18" customFormat="1" ht="8.65" customHeight="1" x14ac:dyDescent="0.25">
      <c r="A750" s="22" t="s">
        <v>54</v>
      </c>
      <c r="B750" s="23">
        <v>2687</v>
      </c>
      <c r="C750" s="23"/>
      <c r="D750" s="23">
        <v>1</v>
      </c>
      <c r="E750" s="23"/>
      <c r="F750" s="25">
        <f t="shared" si="51"/>
        <v>3</v>
      </c>
      <c r="G750" s="23">
        <v>1</v>
      </c>
      <c r="H750" s="23">
        <v>2</v>
      </c>
      <c r="I750" s="23">
        <v>1</v>
      </c>
      <c r="J750" s="23">
        <v>3</v>
      </c>
      <c r="K750" s="23"/>
      <c r="L750" s="23">
        <v>0</v>
      </c>
      <c r="M750" s="23">
        <v>8</v>
      </c>
      <c r="N750" s="23">
        <v>0</v>
      </c>
      <c r="O750" s="23">
        <f t="shared" si="52"/>
        <v>8</v>
      </c>
      <c r="P750" s="23"/>
    </row>
    <row r="751" spans="1:16" s="18" customFormat="1" ht="9" customHeight="1" x14ac:dyDescent="0.25">
      <c r="A751" s="22"/>
      <c r="B751" s="23"/>
      <c r="C751" s="23"/>
      <c r="D751" s="23"/>
      <c r="E751" s="23"/>
      <c r="F751" s="25"/>
      <c r="G751" s="23"/>
      <c r="H751" s="23"/>
      <c r="I751" s="23"/>
      <c r="J751" s="23"/>
      <c r="K751" s="23"/>
      <c r="L751" s="23"/>
      <c r="M751" s="23"/>
      <c r="N751" s="23"/>
      <c r="O751" s="23"/>
      <c r="P751" s="23"/>
    </row>
    <row r="752" spans="1:16" s="18" customFormat="1" ht="9" customHeight="1" x14ac:dyDescent="0.25">
      <c r="A752" s="31">
        <v>2016</v>
      </c>
      <c r="B752" s="20"/>
      <c r="C752" s="20"/>
      <c r="D752" s="20"/>
      <c r="E752" s="20"/>
      <c r="G752" s="20"/>
      <c r="H752" s="20"/>
      <c r="I752" s="20"/>
      <c r="J752" s="20"/>
      <c r="K752" s="20"/>
      <c r="L752" s="20"/>
      <c r="M752" s="20"/>
      <c r="N752" s="20"/>
      <c r="O752" s="20"/>
      <c r="P752" s="23"/>
    </row>
    <row r="753" spans="1:16" s="18" customFormat="1" ht="9" customHeight="1" x14ac:dyDescent="0.25">
      <c r="A753" s="19" t="s">
        <v>21</v>
      </c>
      <c r="B753" s="20">
        <f>SUM(B755:B787)</f>
        <v>3499</v>
      </c>
      <c r="C753" s="20"/>
      <c r="D753" s="20">
        <f>SUM(D755:D787)</f>
        <v>1851</v>
      </c>
      <c r="E753" s="34"/>
      <c r="F753" s="20">
        <f>SUM(F755:F787)</f>
        <v>2800</v>
      </c>
      <c r="G753" s="20">
        <f>SUM(G755:G787)</f>
        <v>1208</v>
      </c>
      <c r="H753" s="20">
        <f>SUM(H755:H787)</f>
        <v>1592</v>
      </c>
      <c r="I753" s="20">
        <f>SUM(I755:I787)</f>
        <v>3180</v>
      </c>
      <c r="J753" s="20">
        <f>SUM(J755:J787)</f>
        <v>1471</v>
      </c>
      <c r="K753" s="20"/>
      <c r="L753" s="20">
        <f>SUM(L755:L787)</f>
        <v>88</v>
      </c>
      <c r="M753" s="20">
        <f>SUM(M755:M787)</f>
        <v>219</v>
      </c>
      <c r="N753" s="20">
        <f>SUM(N755:N787)</f>
        <v>186</v>
      </c>
      <c r="O753" s="20">
        <f>SUM(O755:O787)</f>
        <v>121</v>
      </c>
      <c r="P753" s="23"/>
    </row>
    <row r="754" spans="1:16" s="18" customFormat="1" ht="3" customHeight="1" x14ac:dyDescent="0.25">
      <c r="A754" s="19"/>
      <c r="B754" s="20"/>
      <c r="C754" s="20"/>
      <c r="D754" s="20"/>
      <c r="E754" s="20"/>
      <c r="G754" s="20"/>
      <c r="H754" s="20"/>
      <c r="I754" s="20"/>
      <c r="J754" s="20"/>
      <c r="K754" s="20"/>
      <c r="L754" s="20"/>
      <c r="M754" s="20"/>
      <c r="N754" s="20"/>
      <c r="O754" s="20"/>
      <c r="P754" s="23"/>
    </row>
    <row r="755" spans="1:16" s="18" customFormat="1" ht="9" customHeight="1" x14ac:dyDescent="0.25">
      <c r="A755" s="22" t="s">
        <v>23</v>
      </c>
      <c r="B755" s="23">
        <v>5</v>
      </c>
      <c r="C755" s="23"/>
      <c r="D755" s="23">
        <v>6</v>
      </c>
      <c r="E755" s="23"/>
      <c r="F755" s="25">
        <f t="shared" ref="F755:F787" si="53">SUM(G755:H755)</f>
        <v>11</v>
      </c>
      <c r="G755" s="23">
        <v>5</v>
      </c>
      <c r="H755" s="23">
        <v>6</v>
      </c>
      <c r="I755" s="23">
        <v>10</v>
      </c>
      <c r="J755" s="23">
        <f t="shared" ref="J755:J787" si="54">SUM(D755,F755-I755)</f>
        <v>7</v>
      </c>
      <c r="K755" s="23"/>
      <c r="L755" s="23">
        <v>0</v>
      </c>
      <c r="M755" s="23">
        <v>4</v>
      </c>
      <c r="N755" s="23">
        <v>1</v>
      </c>
      <c r="O755" s="23">
        <v>3</v>
      </c>
      <c r="P755" s="23"/>
    </row>
    <row r="756" spans="1:16" s="18" customFormat="1" ht="9" customHeight="1" x14ac:dyDescent="0.25">
      <c r="A756" s="22" t="s">
        <v>24</v>
      </c>
      <c r="B756" s="23">
        <v>19</v>
      </c>
      <c r="C756" s="23"/>
      <c r="D756" s="23">
        <v>8</v>
      </c>
      <c r="E756" s="23"/>
      <c r="F756" s="25">
        <f t="shared" si="53"/>
        <v>16</v>
      </c>
      <c r="G756" s="23">
        <v>12</v>
      </c>
      <c r="H756" s="23">
        <v>4</v>
      </c>
      <c r="I756" s="23">
        <v>17</v>
      </c>
      <c r="J756" s="23">
        <f t="shared" si="54"/>
        <v>7</v>
      </c>
      <c r="K756" s="23"/>
      <c r="L756" s="23">
        <v>3</v>
      </c>
      <c r="M756" s="23">
        <v>12</v>
      </c>
      <c r="N756" s="23">
        <v>11</v>
      </c>
      <c r="O756" s="23">
        <v>4</v>
      </c>
      <c r="P756" s="23"/>
    </row>
    <row r="757" spans="1:16" s="18" customFormat="1" ht="9" customHeight="1" x14ac:dyDescent="0.25">
      <c r="A757" s="22" t="s">
        <v>25</v>
      </c>
      <c r="B757" s="23">
        <v>16</v>
      </c>
      <c r="C757" s="23"/>
      <c r="D757" s="23">
        <v>26</v>
      </c>
      <c r="E757" s="23"/>
      <c r="F757" s="25">
        <f t="shared" si="53"/>
        <v>11</v>
      </c>
      <c r="G757" s="23">
        <v>4</v>
      </c>
      <c r="H757" s="23">
        <v>7</v>
      </c>
      <c r="I757" s="23">
        <v>17</v>
      </c>
      <c r="J757" s="23">
        <f t="shared" si="54"/>
        <v>20</v>
      </c>
      <c r="K757" s="23"/>
      <c r="L757" s="23">
        <v>1</v>
      </c>
      <c r="M757" s="23">
        <v>9</v>
      </c>
      <c r="N757" s="23">
        <v>6</v>
      </c>
      <c r="O757" s="23">
        <v>4</v>
      </c>
      <c r="P757" s="23"/>
    </row>
    <row r="758" spans="1:16" s="18" customFormat="1" ht="9" customHeight="1" x14ac:dyDescent="0.25">
      <c r="A758" s="26" t="s">
        <v>26</v>
      </c>
      <c r="B758" s="27">
        <v>7</v>
      </c>
      <c r="C758" s="27"/>
      <c r="D758" s="27">
        <v>6</v>
      </c>
      <c r="E758" s="27"/>
      <c r="F758" s="29">
        <f t="shared" si="53"/>
        <v>6</v>
      </c>
      <c r="G758" s="27">
        <v>2</v>
      </c>
      <c r="H758" s="27">
        <v>4</v>
      </c>
      <c r="I758" s="27">
        <v>5</v>
      </c>
      <c r="J758" s="27">
        <f t="shared" si="54"/>
        <v>7</v>
      </c>
      <c r="K758" s="27"/>
      <c r="L758" s="27">
        <v>0</v>
      </c>
      <c r="M758" s="27">
        <v>0</v>
      </c>
      <c r="N758" s="27">
        <v>0</v>
      </c>
      <c r="O758" s="27">
        <v>0</v>
      </c>
      <c r="P758" s="23"/>
    </row>
    <row r="759" spans="1:16" s="18" customFormat="1" ht="9" customHeight="1" x14ac:dyDescent="0.25">
      <c r="A759" s="22" t="s">
        <v>27</v>
      </c>
      <c r="B759" s="23">
        <v>26</v>
      </c>
      <c r="C759" s="23"/>
      <c r="D759" s="23">
        <v>19</v>
      </c>
      <c r="E759" s="23"/>
      <c r="F759" s="25">
        <f t="shared" si="53"/>
        <v>11</v>
      </c>
      <c r="G759" s="23">
        <v>6</v>
      </c>
      <c r="H759" s="23">
        <v>5</v>
      </c>
      <c r="I759" s="23">
        <v>13</v>
      </c>
      <c r="J759" s="23">
        <f t="shared" si="54"/>
        <v>17</v>
      </c>
      <c r="K759" s="23"/>
      <c r="L759" s="23">
        <v>0</v>
      </c>
      <c r="M759" s="23">
        <v>0</v>
      </c>
      <c r="N759" s="23">
        <v>0</v>
      </c>
      <c r="O759" s="23">
        <v>0</v>
      </c>
      <c r="P759" s="23"/>
    </row>
    <row r="760" spans="1:16" s="18" customFormat="1" ht="9" customHeight="1" x14ac:dyDescent="0.25">
      <c r="A760" s="22" t="s">
        <v>28</v>
      </c>
      <c r="B760" s="23">
        <v>7</v>
      </c>
      <c r="C760" s="23"/>
      <c r="D760" s="23">
        <v>4</v>
      </c>
      <c r="E760" s="23"/>
      <c r="F760" s="25">
        <f t="shared" si="53"/>
        <v>8</v>
      </c>
      <c r="G760" s="23">
        <v>6</v>
      </c>
      <c r="H760" s="23">
        <v>2</v>
      </c>
      <c r="I760" s="23">
        <v>7</v>
      </c>
      <c r="J760" s="23">
        <f t="shared" si="54"/>
        <v>5</v>
      </c>
      <c r="K760" s="23"/>
      <c r="L760" s="23">
        <v>0</v>
      </c>
      <c r="M760" s="23">
        <v>2</v>
      </c>
      <c r="N760" s="23">
        <v>0</v>
      </c>
      <c r="O760" s="23">
        <v>2</v>
      </c>
      <c r="P760" s="23"/>
    </row>
    <row r="761" spans="1:16" s="18" customFormat="1" ht="9" customHeight="1" x14ac:dyDescent="0.25">
      <c r="A761" s="22" t="s">
        <v>29</v>
      </c>
      <c r="B761" s="23">
        <v>16</v>
      </c>
      <c r="C761" s="23"/>
      <c r="D761" s="23">
        <v>18</v>
      </c>
      <c r="E761" s="23"/>
      <c r="F761" s="25">
        <f t="shared" si="53"/>
        <v>21</v>
      </c>
      <c r="G761" s="23">
        <v>6</v>
      </c>
      <c r="H761" s="23">
        <v>15</v>
      </c>
      <c r="I761" s="23">
        <v>19</v>
      </c>
      <c r="J761" s="23">
        <f t="shared" si="54"/>
        <v>20</v>
      </c>
      <c r="K761" s="23"/>
      <c r="L761" s="23">
        <v>2</v>
      </c>
      <c r="M761" s="23">
        <v>1</v>
      </c>
      <c r="N761" s="23">
        <v>3</v>
      </c>
      <c r="O761" s="23">
        <v>0</v>
      </c>
      <c r="P761" s="23"/>
    </row>
    <row r="762" spans="1:16" s="18" customFormat="1" ht="9" customHeight="1" x14ac:dyDescent="0.25">
      <c r="A762" s="26" t="s">
        <v>30</v>
      </c>
      <c r="B762" s="27">
        <v>39</v>
      </c>
      <c r="C762" s="27"/>
      <c r="D762" s="27">
        <v>27</v>
      </c>
      <c r="E762" s="27"/>
      <c r="F762" s="29">
        <f t="shared" si="53"/>
        <v>28</v>
      </c>
      <c r="G762" s="27">
        <v>5</v>
      </c>
      <c r="H762" s="27">
        <v>23</v>
      </c>
      <c r="I762" s="27">
        <v>31</v>
      </c>
      <c r="J762" s="27">
        <f t="shared" si="54"/>
        <v>24</v>
      </c>
      <c r="K762" s="27"/>
      <c r="L762" s="27">
        <v>1</v>
      </c>
      <c r="M762" s="27">
        <v>6</v>
      </c>
      <c r="N762" s="27">
        <v>3</v>
      </c>
      <c r="O762" s="27">
        <v>4</v>
      </c>
      <c r="P762" s="23"/>
    </row>
    <row r="763" spans="1:16" s="18" customFormat="1" ht="9" customHeight="1" x14ac:dyDescent="0.25">
      <c r="A763" s="22" t="s">
        <v>63</v>
      </c>
      <c r="B763" s="23">
        <v>613</v>
      </c>
      <c r="C763" s="23"/>
      <c r="D763" s="23">
        <v>1133</v>
      </c>
      <c r="E763" s="23"/>
      <c r="F763" s="25">
        <f t="shared" si="53"/>
        <v>1766</v>
      </c>
      <c r="G763" s="23">
        <v>728</v>
      </c>
      <c r="H763" s="23">
        <v>1038</v>
      </c>
      <c r="I763" s="23">
        <v>2018</v>
      </c>
      <c r="J763" s="23">
        <f t="shared" si="54"/>
        <v>881</v>
      </c>
      <c r="K763" s="23"/>
      <c r="L763" s="23">
        <v>20</v>
      </c>
      <c r="M763" s="23">
        <v>77</v>
      </c>
      <c r="N763" s="23">
        <v>61</v>
      </c>
      <c r="O763" s="23">
        <v>36</v>
      </c>
      <c r="P763" s="23"/>
    </row>
    <row r="764" spans="1:16" s="18" customFormat="1" ht="9" customHeight="1" x14ac:dyDescent="0.25">
      <c r="A764" s="22" t="s">
        <v>31</v>
      </c>
      <c r="B764" s="23">
        <v>20</v>
      </c>
      <c r="C764" s="23"/>
      <c r="D764" s="23">
        <v>10</v>
      </c>
      <c r="E764" s="23"/>
      <c r="F764" s="25">
        <f t="shared" si="53"/>
        <v>10</v>
      </c>
      <c r="G764" s="23">
        <v>2</v>
      </c>
      <c r="H764" s="23">
        <v>8</v>
      </c>
      <c r="I764" s="23">
        <v>13</v>
      </c>
      <c r="J764" s="23">
        <f t="shared" si="54"/>
        <v>7</v>
      </c>
      <c r="K764" s="23"/>
      <c r="L764" s="23">
        <v>3</v>
      </c>
      <c r="M764" s="23">
        <v>14</v>
      </c>
      <c r="N764" s="23">
        <v>10</v>
      </c>
      <c r="O764" s="23">
        <v>7</v>
      </c>
      <c r="P764" s="23"/>
    </row>
    <row r="765" spans="1:16" s="18" customFormat="1" ht="9" customHeight="1" x14ac:dyDescent="0.25">
      <c r="A765" s="22" t="s">
        <v>32</v>
      </c>
      <c r="B765" s="23">
        <v>31</v>
      </c>
      <c r="C765" s="23"/>
      <c r="D765" s="23">
        <v>22</v>
      </c>
      <c r="E765" s="23"/>
      <c r="F765" s="25">
        <f t="shared" si="53"/>
        <v>26</v>
      </c>
      <c r="G765" s="23">
        <v>11</v>
      </c>
      <c r="H765" s="23">
        <v>15</v>
      </c>
      <c r="I765" s="23">
        <v>39</v>
      </c>
      <c r="J765" s="23">
        <f t="shared" si="54"/>
        <v>9</v>
      </c>
      <c r="K765" s="23"/>
      <c r="L765" s="23">
        <v>2</v>
      </c>
      <c r="M765" s="23">
        <v>4</v>
      </c>
      <c r="N765" s="23">
        <v>3</v>
      </c>
      <c r="O765" s="23">
        <v>3</v>
      </c>
      <c r="P765" s="23"/>
    </row>
    <row r="766" spans="1:16" s="18" customFormat="1" ht="9" customHeight="1" x14ac:dyDescent="0.25">
      <c r="A766" s="26" t="s">
        <v>33</v>
      </c>
      <c r="B766" s="27">
        <v>21</v>
      </c>
      <c r="C766" s="27"/>
      <c r="D766" s="27">
        <v>7</v>
      </c>
      <c r="E766" s="27"/>
      <c r="F766" s="29">
        <f t="shared" si="53"/>
        <v>13</v>
      </c>
      <c r="G766" s="27">
        <v>3</v>
      </c>
      <c r="H766" s="27">
        <v>10</v>
      </c>
      <c r="I766" s="27">
        <v>14</v>
      </c>
      <c r="J766" s="27">
        <f t="shared" si="54"/>
        <v>6</v>
      </c>
      <c r="K766" s="27"/>
      <c r="L766" s="27">
        <v>1</v>
      </c>
      <c r="M766" s="27">
        <v>0</v>
      </c>
      <c r="N766" s="27">
        <v>1</v>
      </c>
      <c r="O766" s="27">
        <v>0</v>
      </c>
      <c r="P766" s="23"/>
    </row>
    <row r="767" spans="1:16" s="18" customFormat="1" ht="9" customHeight="1" x14ac:dyDescent="0.25">
      <c r="A767" s="22" t="s">
        <v>34</v>
      </c>
      <c r="B767" s="23">
        <v>15</v>
      </c>
      <c r="C767" s="23"/>
      <c r="D767" s="23">
        <v>17</v>
      </c>
      <c r="E767" s="23"/>
      <c r="F767" s="25">
        <f t="shared" si="53"/>
        <v>31</v>
      </c>
      <c r="G767" s="23">
        <v>13</v>
      </c>
      <c r="H767" s="23">
        <v>18</v>
      </c>
      <c r="I767" s="23">
        <v>29</v>
      </c>
      <c r="J767" s="23">
        <f t="shared" si="54"/>
        <v>19</v>
      </c>
      <c r="K767" s="23"/>
      <c r="L767" s="23">
        <v>0</v>
      </c>
      <c r="M767" s="23">
        <v>2</v>
      </c>
      <c r="N767" s="23">
        <v>1</v>
      </c>
      <c r="O767" s="23">
        <v>1</v>
      </c>
      <c r="P767" s="23"/>
    </row>
    <row r="768" spans="1:16" s="18" customFormat="1" ht="9" customHeight="1" x14ac:dyDescent="0.25">
      <c r="A768" s="22" t="s">
        <v>35</v>
      </c>
      <c r="B768" s="23">
        <v>51</v>
      </c>
      <c r="C768" s="23"/>
      <c r="D768" s="23">
        <v>14</v>
      </c>
      <c r="E768" s="23"/>
      <c r="F768" s="25">
        <f t="shared" si="53"/>
        <v>33</v>
      </c>
      <c r="G768" s="23">
        <v>15</v>
      </c>
      <c r="H768" s="23">
        <v>18</v>
      </c>
      <c r="I768" s="23">
        <v>32</v>
      </c>
      <c r="J768" s="23">
        <f t="shared" si="54"/>
        <v>15</v>
      </c>
      <c r="K768" s="23"/>
      <c r="L768" s="23">
        <v>13</v>
      </c>
      <c r="M768" s="23">
        <v>11</v>
      </c>
      <c r="N768" s="23">
        <v>18</v>
      </c>
      <c r="O768" s="23">
        <v>6</v>
      </c>
      <c r="P768" s="23"/>
    </row>
    <row r="769" spans="1:16" s="18" customFormat="1" ht="9" customHeight="1" x14ac:dyDescent="0.25">
      <c r="A769" s="22" t="s">
        <v>36</v>
      </c>
      <c r="B769" s="23">
        <v>174</v>
      </c>
      <c r="C769" s="23"/>
      <c r="D769" s="23">
        <v>305</v>
      </c>
      <c r="E769" s="23"/>
      <c r="F769" s="25">
        <f t="shared" si="53"/>
        <v>428</v>
      </c>
      <c r="G769" s="23">
        <v>241</v>
      </c>
      <c r="H769" s="23">
        <v>187</v>
      </c>
      <c r="I769" s="23">
        <v>511</v>
      </c>
      <c r="J769" s="23">
        <f t="shared" si="54"/>
        <v>222</v>
      </c>
      <c r="K769" s="23"/>
      <c r="L769" s="18">
        <v>7</v>
      </c>
      <c r="M769" s="18">
        <v>11</v>
      </c>
      <c r="N769" s="18">
        <v>10</v>
      </c>
      <c r="O769" s="18">
        <v>8</v>
      </c>
      <c r="P769" s="23"/>
    </row>
    <row r="770" spans="1:16" s="18" customFormat="1" ht="9" customHeight="1" x14ac:dyDescent="0.25">
      <c r="A770" s="26" t="s">
        <v>37</v>
      </c>
      <c r="B770" s="27">
        <v>20</v>
      </c>
      <c r="C770" s="27"/>
      <c r="D770" s="27">
        <v>16</v>
      </c>
      <c r="E770" s="27"/>
      <c r="F770" s="29">
        <f t="shared" si="53"/>
        <v>10</v>
      </c>
      <c r="G770" s="27">
        <v>4</v>
      </c>
      <c r="H770" s="27">
        <v>6</v>
      </c>
      <c r="I770" s="27">
        <v>17</v>
      </c>
      <c r="J770" s="27">
        <f t="shared" si="54"/>
        <v>9</v>
      </c>
      <c r="K770" s="27"/>
      <c r="L770" s="27">
        <v>1</v>
      </c>
      <c r="M770" s="27">
        <v>3</v>
      </c>
      <c r="N770" s="27">
        <v>3</v>
      </c>
      <c r="O770" s="27">
        <v>1</v>
      </c>
      <c r="P770" s="23"/>
    </row>
    <row r="771" spans="1:16" s="18" customFormat="1" ht="9" customHeight="1" x14ac:dyDescent="0.25">
      <c r="A771" s="22" t="s">
        <v>38</v>
      </c>
      <c r="B771" s="23">
        <v>21</v>
      </c>
      <c r="C771" s="23"/>
      <c r="D771" s="23">
        <v>12</v>
      </c>
      <c r="E771" s="23"/>
      <c r="F771" s="25">
        <f t="shared" si="53"/>
        <v>24</v>
      </c>
      <c r="G771" s="23">
        <v>13</v>
      </c>
      <c r="H771" s="23">
        <v>11</v>
      </c>
      <c r="I771" s="23">
        <v>23</v>
      </c>
      <c r="J771" s="23">
        <f t="shared" si="54"/>
        <v>13</v>
      </c>
      <c r="K771" s="23"/>
      <c r="L771" s="23">
        <v>1</v>
      </c>
      <c r="M771" s="23">
        <v>4</v>
      </c>
      <c r="N771" s="23">
        <v>1</v>
      </c>
      <c r="O771" s="23">
        <v>4</v>
      </c>
      <c r="P771" s="23"/>
    </row>
    <row r="772" spans="1:16" s="18" customFormat="1" ht="9" customHeight="1" x14ac:dyDescent="0.25">
      <c r="A772" s="22" t="s">
        <v>39</v>
      </c>
      <c r="B772" s="23">
        <v>10</v>
      </c>
      <c r="C772" s="23"/>
      <c r="D772" s="23">
        <v>3</v>
      </c>
      <c r="E772" s="23"/>
      <c r="F772" s="25">
        <f t="shared" si="53"/>
        <v>5</v>
      </c>
      <c r="G772" s="23">
        <v>0</v>
      </c>
      <c r="H772" s="23">
        <v>5</v>
      </c>
      <c r="I772" s="23">
        <v>8</v>
      </c>
      <c r="J772" s="23">
        <f t="shared" si="54"/>
        <v>0</v>
      </c>
      <c r="K772" s="23"/>
      <c r="L772" s="23">
        <v>0</v>
      </c>
      <c r="M772" s="23">
        <v>2</v>
      </c>
      <c r="N772" s="23">
        <v>1</v>
      </c>
      <c r="O772" s="23">
        <v>1</v>
      </c>
      <c r="P772" s="23"/>
    </row>
    <row r="773" spans="1:16" s="18" customFormat="1" ht="9" customHeight="1" x14ac:dyDescent="0.25">
      <c r="A773" s="22" t="s">
        <v>40</v>
      </c>
      <c r="B773" s="23">
        <v>15</v>
      </c>
      <c r="C773" s="23"/>
      <c r="D773" s="23">
        <v>13</v>
      </c>
      <c r="E773" s="23"/>
      <c r="F773" s="25">
        <f t="shared" si="53"/>
        <v>14</v>
      </c>
      <c r="G773" s="23">
        <v>3</v>
      </c>
      <c r="H773" s="23">
        <v>11</v>
      </c>
      <c r="I773" s="23">
        <v>12</v>
      </c>
      <c r="J773" s="23">
        <f t="shared" si="54"/>
        <v>15</v>
      </c>
      <c r="K773" s="23"/>
      <c r="L773" s="23">
        <v>0</v>
      </c>
      <c r="M773" s="23">
        <v>0</v>
      </c>
      <c r="N773" s="23">
        <v>0</v>
      </c>
      <c r="O773" s="23">
        <v>0</v>
      </c>
      <c r="P773" s="23"/>
    </row>
    <row r="774" spans="1:16" s="18" customFormat="1" ht="9" customHeight="1" x14ac:dyDescent="0.25">
      <c r="A774" s="26" t="s">
        <v>41</v>
      </c>
      <c r="B774" s="27">
        <v>20</v>
      </c>
      <c r="C774" s="27"/>
      <c r="D774" s="27">
        <v>9</v>
      </c>
      <c r="E774" s="27"/>
      <c r="F774" s="29">
        <f t="shared" si="53"/>
        <v>13</v>
      </c>
      <c r="G774" s="27">
        <v>7</v>
      </c>
      <c r="H774" s="27">
        <v>6</v>
      </c>
      <c r="I774" s="27">
        <v>13</v>
      </c>
      <c r="J774" s="27">
        <f t="shared" si="54"/>
        <v>9</v>
      </c>
      <c r="K774" s="27"/>
      <c r="L774" s="27">
        <v>2</v>
      </c>
      <c r="M774" s="27">
        <v>2</v>
      </c>
      <c r="N774" s="27">
        <v>4</v>
      </c>
      <c r="O774" s="27">
        <v>0</v>
      </c>
      <c r="P774" s="23"/>
    </row>
    <row r="775" spans="1:16" s="18" customFormat="1" ht="9" customHeight="1" x14ac:dyDescent="0.25">
      <c r="A775" s="22" t="s">
        <v>42</v>
      </c>
      <c r="B775" s="23">
        <v>19</v>
      </c>
      <c r="C775" s="23"/>
      <c r="D775" s="23">
        <v>4</v>
      </c>
      <c r="E775" s="23"/>
      <c r="F775" s="25">
        <f t="shared" si="53"/>
        <v>13</v>
      </c>
      <c r="G775" s="23">
        <v>10</v>
      </c>
      <c r="H775" s="23">
        <v>3</v>
      </c>
      <c r="I775" s="23">
        <v>14</v>
      </c>
      <c r="J775" s="23">
        <f t="shared" si="54"/>
        <v>3</v>
      </c>
      <c r="K775" s="23"/>
      <c r="L775" s="23">
        <v>5</v>
      </c>
      <c r="M775" s="23">
        <v>6</v>
      </c>
      <c r="N775" s="23">
        <v>9</v>
      </c>
      <c r="O775" s="23">
        <v>2</v>
      </c>
      <c r="P775" s="23"/>
    </row>
    <row r="776" spans="1:16" s="18" customFormat="1" ht="9" customHeight="1" x14ac:dyDescent="0.25">
      <c r="A776" s="22" t="s">
        <v>43</v>
      </c>
      <c r="B776" s="23">
        <v>15</v>
      </c>
      <c r="C776" s="23"/>
      <c r="D776" s="23">
        <v>5</v>
      </c>
      <c r="E776" s="23"/>
      <c r="F776" s="25">
        <f t="shared" si="53"/>
        <v>14</v>
      </c>
      <c r="G776" s="23">
        <v>4</v>
      </c>
      <c r="H776" s="23">
        <v>10</v>
      </c>
      <c r="I776" s="23">
        <v>12</v>
      </c>
      <c r="J776" s="23">
        <f t="shared" si="54"/>
        <v>7</v>
      </c>
      <c r="K776" s="23"/>
      <c r="L776" s="23">
        <v>0</v>
      </c>
      <c r="M776" s="23">
        <v>3</v>
      </c>
      <c r="N776" s="23">
        <v>1</v>
      </c>
      <c r="O776" s="23">
        <v>2</v>
      </c>
      <c r="P776" s="23"/>
    </row>
    <row r="777" spans="1:16" s="18" customFormat="1" ht="9" customHeight="1" x14ac:dyDescent="0.25">
      <c r="A777" s="22" t="s">
        <v>44</v>
      </c>
      <c r="B777" s="23">
        <v>47</v>
      </c>
      <c r="C777" s="23"/>
      <c r="D777" s="23">
        <v>20</v>
      </c>
      <c r="E777" s="23"/>
      <c r="F777" s="25">
        <f t="shared" si="53"/>
        <v>49</v>
      </c>
      <c r="G777" s="23">
        <v>23</v>
      </c>
      <c r="H777" s="23">
        <v>26</v>
      </c>
      <c r="I777" s="23">
        <v>42</v>
      </c>
      <c r="J777" s="23">
        <f t="shared" si="54"/>
        <v>27</v>
      </c>
      <c r="K777" s="23"/>
      <c r="L777" s="23">
        <v>1</v>
      </c>
      <c r="M777" s="23">
        <v>1</v>
      </c>
      <c r="N777" s="23">
        <v>2</v>
      </c>
      <c r="O777" s="23">
        <v>0</v>
      </c>
      <c r="P777" s="23"/>
    </row>
    <row r="778" spans="1:16" s="18" customFormat="1" ht="9" customHeight="1" x14ac:dyDescent="0.25">
      <c r="A778" s="26" t="s">
        <v>45</v>
      </c>
      <c r="B778" s="27">
        <v>23</v>
      </c>
      <c r="C778" s="27"/>
      <c r="D778" s="27">
        <v>18</v>
      </c>
      <c r="E778" s="27"/>
      <c r="F778" s="29">
        <f t="shared" si="53"/>
        <v>42</v>
      </c>
      <c r="G778" s="27">
        <v>7</v>
      </c>
      <c r="H778" s="27">
        <v>35</v>
      </c>
      <c r="I778" s="27">
        <v>60</v>
      </c>
      <c r="J778" s="27">
        <f t="shared" si="54"/>
        <v>0</v>
      </c>
      <c r="K778" s="27"/>
      <c r="L778" s="27">
        <v>0</v>
      </c>
      <c r="M778" s="27">
        <v>0</v>
      </c>
      <c r="N778" s="27">
        <v>0</v>
      </c>
      <c r="O778" s="27">
        <v>0</v>
      </c>
      <c r="P778" s="23"/>
    </row>
    <row r="779" spans="1:16" s="18" customFormat="1" ht="9" customHeight="1" x14ac:dyDescent="0.25">
      <c r="A779" s="22" t="s">
        <v>46</v>
      </c>
      <c r="B779" s="23">
        <v>12</v>
      </c>
      <c r="C779" s="23"/>
      <c r="D779" s="23">
        <v>14</v>
      </c>
      <c r="E779" s="23"/>
      <c r="F779" s="25">
        <f t="shared" si="53"/>
        <v>8</v>
      </c>
      <c r="G779" s="23">
        <v>6</v>
      </c>
      <c r="H779" s="23">
        <v>2</v>
      </c>
      <c r="I779" s="23">
        <v>14</v>
      </c>
      <c r="J779" s="23">
        <f t="shared" si="54"/>
        <v>8</v>
      </c>
      <c r="K779" s="23"/>
      <c r="L779" s="23">
        <v>1</v>
      </c>
      <c r="M779" s="23">
        <v>4</v>
      </c>
      <c r="N779" s="23">
        <v>4</v>
      </c>
      <c r="O779" s="23">
        <v>1</v>
      </c>
      <c r="P779" s="23"/>
    </row>
    <row r="780" spans="1:16" s="18" customFormat="1" ht="9" customHeight="1" x14ac:dyDescent="0.25">
      <c r="A780" s="22" t="s">
        <v>47</v>
      </c>
      <c r="B780" s="23">
        <v>22</v>
      </c>
      <c r="C780" s="23"/>
      <c r="D780" s="23">
        <v>5</v>
      </c>
      <c r="E780" s="23"/>
      <c r="F780" s="25">
        <f t="shared" si="53"/>
        <v>7</v>
      </c>
      <c r="G780" s="23">
        <v>5</v>
      </c>
      <c r="H780" s="23">
        <v>2</v>
      </c>
      <c r="I780" s="23">
        <v>9</v>
      </c>
      <c r="J780" s="23">
        <f t="shared" si="54"/>
        <v>3</v>
      </c>
      <c r="K780" s="23"/>
      <c r="L780" s="23">
        <v>1</v>
      </c>
      <c r="M780" s="23">
        <v>6</v>
      </c>
      <c r="N780" s="23">
        <v>4</v>
      </c>
      <c r="O780" s="23">
        <v>3</v>
      </c>
      <c r="P780" s="23"/>
    </row>
    <row r="781" spans="1:16" s="18" customFormat="1" ht="9" customHeight="1" x14ac:dyDescent="0.25">
      <c r="A781" s="22" t="s">
        <v>48</v>
      </c>
      <c r="B781" s="23">
        <v>10</v>
      </c>
      <c r="C781" s="23"/>
      <c r="D781" s="23">
        <v>13</v>
      </c>
      <c r="E781" s="23"/>
      <c r="F781" s="25">
        <f t="shared" si="53"/>
        <v>20</v>
      </c>
      <c r="G781" s="23">
        <v>7</v>
      </c>
      <c r="H781" s="23">
        <v>13</v>
      </c>
      <c r="I781" s="23">
        <v>19</v>
      </c>
      <c r="J781" s="23">
        <f t="shared" si="54"/>
        <v>14</v>
      </c>
      <c r="K781" s="23"/>
      <c r="L781" s="23">
        <v>3</v>
      </c>
      <c r="M781" s="23">
        <v>0</v>
      </c>
      <c r="N781" s="23">
        <v>3</v>
      </c>
      <c r="O781" s="23">
        <v>0</v>
      </c>
      <c r="P781" s="23"/>
    </row>
    <row r="782" spans="1:16" s="18" customFormat="1" ht="9" customHeight="1" x14ac:dyDescent="0.25">
      <c r="A782" s="26" t="s">
        <v>49</v>
      </c>
      <c r="B782" s="27">
        <v>30</v>
      </c>
      <c r="C782" s="27"/>
      <c r="D782" s="27">
        <v>10</v>
      </c>
      <c r="E782" s="27"/>
      <c r="F782" s="29">
        <f t="shared" si="53"/>
        <v>41</v>
      </c>
      <c r="G782" s="27">
        <v>20</v>
      </c>
      <c r="H782" s="27">
        <v>21</v>
      </c>
      <c r="I782" s="27">
        <v>44</v>
      </c>
      <c r="J782" s="27">
        <f t="shared" si="54"/>
        <v>7</v>
      </c>
      <c r="K782" s="27"/>
      <c r="L782" s="27">
        <v>4</v>
      </c>
      <c r="M782" s="27">
        <v>3</v>
      </c>
      <c r="N782" s="27">
        <v>5</v>
      </c>
      <c r="O782" s="27">
        <v>2</v>
      </c>
      <c r="P782" s="23"/>
    </row>
    <row r="783" spans="1:16" s="18" customFormat="1" ht="9" customHeight="1" x14ac:dyDescent="0.25">
      <c r="A783" s="22" t="s">
        <v>50</v>
      </c>
      <c r="B783" s="23">
        <v>7</v>
      </c>
      <c r="C783" s="23"/>
      <c r="D783" s="23">
        <v>3</v>
      </c>
      <c r="E783" s="23"/>
      <c r="F783" s="25">
        <f t="shared" si="53"/>
        <v>12</v>
      </c>
      <c r="G783" s="23">
        <v>0</v>
      </c>
      <c r="H783" s="23">
        <v>12</v>
      </c>
      <c r="I783" s="23">
        <v>8</v>
      </c>
      <c r="J783" s="23">
        <f t="shared" si="54"/>
        <v>7</v>
      </c>
      <c r="K783" s="23"/>
      <c r="L783" s="23">
        <v>0</v>
      </c>
      <c r="M783" s="23">
        <v>1</v>
      </c>
      <c r="N783" s="23">
        <v>0</v>
      </c>
      <c r="O783" s="23">
        <v>1</v>
      </c>
      <c r="P783" s="23"/>
    </row>
    <row r="784" spans="1:16" s="18" customFormat="1" ht="9" customHeight="1" x14ac:dyDescent="0.25">
      <c r="A784" s="22" t="s">
        <v>51</v>
      </c>
      <c r="B784" s="23">
        <v>47</v>
      </c>
      <c r="C784" s="23"/>
      <c r="D784" s="23">
        <v>34</v>
      </c>
      <c r="E784" s="23"/>
      <c r="F784" s="25">
        <f t="shared" si="53"/>
        <v>54</v>
      </c>
      <c r="G784" s="23">
        <v>31</v>
      </c>
      <c r="H784" s="23">
        <v>23</v>
      </c>
      <c r="I784" s="23">
        <v>58</v>
      </c>
      <c r="J784" s="23">
        <f t="shared" si="54"/>
        <v>30</v>
      </c>
      <c r="K784" s="23"/>
      <c r="L784" s="23">
        <v>5</v>
      </c>
      <c r="M784" s="23">
        <v>12</v>
      </c>
      <c r="N784" s="23">
        <v>12</v>
      </c>
      <c r="O784" s="23">
        <v>5</v>
      </c>
      <c r="P784" s="23"/>
    </row>
    <row r="785" spans="1:16" s="18" customFormat="1" ht="9" customHeight="1" x14ac:dyDescent="0.25">
      <c r="A785" s="22" t="s">
        <v>52</v>
      </c>
      <c r="B785" s="23">
        <v>18</v>
      </c>
      <c r="C785" s="23"/>
      <c r="D785" s="23">
        <v>35</v>
      </c>
      <c r="E785" s="23"/>
      <c r="F785" s="25">
        <f t="shared" si="53"/>
        <v>43</v>
      </c>
      <c r="G785" s="23">
        <v>7</v>
      </c>
      <c r="H785" s="23">
        <v>36</v>
      </c>
      <c r="I785" s="23">
        <v>41</v>
      </c>
      <c r="J785" s="23">
        <f t="shared" si="54"/>
        <v>37</v>
      </c>
      <c r="K785" s="23"/>
      <c r="L785" s="23">
        <v>0</v>
      </c>
      <c r="M785" s="23">
        <v>4</v>
      </c>
      <c r="N785" s="23">
        <v>1</v>
      </c>
      <c r="O785" s="23">
        <v>3</v>
      </c>
      <c r="P785" s="23"/>
    </row>
    <row r="786" spans="1:16" s="18" customFormat="1" ht="9" customHeight="1" x14ac:dyDescent="0.25">
      <c r="A786" s="26" t="s">
        <v>53</v>
      </c>
      <c r="B786" s="27">
        <v>10</v>
      </c>
      <c r="C786" s="27"/>
      <c r="D786" s="27">
        <v>12</v>
      </c>
      <c r="E786" s="27"/>
      <c r="F786" s="29">
        <f t="shared" si="53"/>
        <v>8</v>
      </c>
      <c r="G786" s="27">
        <v>1</v>
      </c>
      <c r="H786" s="27">
        <v>7</v>
      </c>
      <c r="I786" s="27">
        <v>10</v>
      </c>
      <c r="J786" s="27">
        <f t="shared" si="54"/>
        <v>10</v>
      </c>
      <c r="K786" s="27"/>
      <c r="L786" s="27">
        <v>3</v>
      </c>
      <c r="M786" s="27">
        <v>13</v>
      </c>
      <c r="N786" s="27">
        <v>7</v>
      </c>
      <c r="O786" s="27">
        <v>9</v>
      </c>
      <c r="P786" s="23"/>
    </row>
    <row r="787" spans="1:16" s="18" customFormat="1" ht="9" customHeight="1" x14ac:dyDescent="0.25">
      <c r="A787" s="22" t="s">
        <v>54</v>
      </c>
      <c r="B787" s="23">
        <v>2093</v>
      </c>
      <c r="C787" s="23"/>
      <c r="D787" s="23">
        <v>3</v>
      </c>
      <c r="E787" s="23"/>
      <c r="F787" s="25">
        <f t="shared" si="53"/>
        <v>4</v>
      </c>
      <c r="G787" s="23">
        <v>1</v>
      </c>
      <c r="H787" s="23">
        <v>3</v>
      </c>
      <c r="I787" s="23">
        <v>1</v>
      </c>
      <c r="J787" s="23">
        <f t="shared" si="54"/>
        <v>6</v>
      </c>
      <c r="K787" s="23"/>
      <c r="L787" s="23">
        <v>8</v>
      </c>
      <c r="M787" s="23">
        <v>2</v>
      </c>
      <c r="N787" s="23">
        <v>1</v>
      </c>
      <c r="O787" s="23">
        <v>9</v>
      </c>
      <c r="P787" s="23"/>
    </row>
    <row r="788" spans="1:16" s="18" customFormat="1" ht="9" customHeight="1" x14ac:dyDescent="0.25">
      <c r="A788" s="22"/>
      <c r="B788" s="23"/>
      <c r="C788" s="23"/>
      <c r="D788" s="23"/>
      <c r="E788" s="23"/>
      <c r="F788" s="25"/>
      <c r="G788" s="23"/>
      <c r="H788" s="23"/>
      <c r="I788" s="23"/>
      <c r="J788" s="23"/>
      <c r="K788" s="23"/>
      <c r="L788" s="23"/>
      <c r="M788" s="23"/>
      <c r="N788" s="23"/>
      <c r="O788" s="23"/>
      <c r="P788" s="23"/>
    </row>
    <row r="789" spans="1:16" s="18" customFormat="1" ht="9" customHeight="1" x14ac:dyDescent="0.25">
      <c r="A789" s="31" t="s">
        <v>56</v>
      </c>
      <c r="B789" s="20"/>
      <c r="C789" s="20"/>
      <c r="D789" s="20"/>
      <c r="E789" s="20"/>
      <c r="G789" s="20"/>
      <c r="H789" s="20"/>
      <c r="I789" s="20"/>
      <c r="J789" s="20"/>
      <c r="K789" s="20"/>
      <c r="L789" s="20"/>
      <c r="M789" s="20"/>
      <c r="N789" s="20"/>
      <c r="O789" s="20"/>
      <c r="P789" s="23"/>
    </row>
    <row r="790" spans="1:16" s="18" customFormat="1" ht="9" customHeight="1" x14ac:dyDescent="0.25">
      <c r="A790" s="19" t="s">
        <v>21</v>
      </c>
      <c r="B790" s="20">
        <f>SUM(B792:B824)</f>
        <v>3499</v>
      </c>
      <c r="C790" s="20"/>
      <c r="D790" s="20">
        <f>SUM(D792:D825)</f>
        <v>1471</v>
      </c>
      <c r="E790" s="34"/>
      <c r="F790" s="20">
        <f>SUM(F792:F824)</f>
        <v>2728</v>
      </c>
      <c r="G790" s="20">
        <f>SUM(G792:G824)</f>
        <v>1312</v>
      </c>
      <c r="H790" s="20">
        <f>SUM(H792:H824)</f>
        <v>1416</v>
      </c>
      <c r="I790" s="20">
        <f>SUM(I792:I824)</f>
        <v>3276</v>
      </c>
      <c r="J790" s="20">
        <f>SUM(J792:J824)</f>
        <v>923</v>
      </c>
      <c r="K790" s="20"/>
      <c r="L790" s="20">
        <f>SUM(L792:L824)</f>
        <v>121</v>
      </c>
      <c r="M790" s="20">
        <f>SUM(M792:M824)</f>
        <v>153</v>
      </c>
      <c r="N790" s="20">
        <f>SUM(N792:N824)</f>
        <v>227</v>
      </c>
      <c r="O790" s="20">
        <f>SUM(O792:O824)</f>
        <v>47</v>
      </c>
      <c r="P790" s="23"/>
    </row>
    <row r="791" spans="1:16" s="18" customFormat="1" ht="3.95" customHeight="1" x14ac:dyDescent="0.25">
      <c r="A791" s="19"/>
      <c r="B791" s="20"/>
      <c r="C791" s="20"/>
      <c r="D791" s="20"/>
      <c r="E791" s="20"/>
      <c r="G791" s="20"/>
      <c r="H791" s="20"/>
      <c r="I791" s="20"/>
      <c r="J791" s="20"/>
      <c r="K791" s="20"/>
      <c r="L791" s="20"/>
      <c r="M791" s="20"/>
      <c r="N791" s="20"/>
      <c r="O791" s="20"/>
      <c r="P791" s="23"/>
    </row>
    <row r="792" spans="1:16" s="18" customFormat="1" ht="9" customHeight="1" x14ac:dyDescent="0.25">
      <c r="A792" s="22" t="s">
        <v>23</v>
      </c>
      <c r="B792" s="23">
        <v>5</v>
      </c>
      <c r="C792" s="23"/>
      <c r="D792" s="23">
        <v>7</v>
      </c>
      <c r="E792" s="23"/>
      <c r="F792" s="25">
        <f t="shared" ref="F792:F824" si="55">SUM(G792:H792)</f>
        <v>9</v>
      </c>
      <c r="G792" s="23">
        <v>6</v>
      </c>
      <c r="H792" s="23">
        <v>3</v>
      </c>
      <c r="I792" s="23">
        <v>18</v>
      </c>
      <c r="J792" s="23">
        <f t="shared" ref="J792:J824" si="56">SUM(D792,F792-I792)</f>
        <v>-2</v>
      </c>
      <c r="K792" s="23"/>
      <c r="L792" s="23">
        <v>3</v>
      </c>
      <c r="M792" s="23">
        <v>1</v>
      </c>
      <c r="N792" s="23">
        <v>3</v>
      </c>
      <c r="O792" s="23">
        <v>1</v>
      </c>
      <c r="P792" s="23"/>
    </row>
    <row r="793" spans="1:16" s="18" customFormat="1" ht="9" customHeight="1" x14ac:dyDescent="0.25">
      <c r="A793" s="22" t="s">
        <v>24</v>
      </c>
      <c r="B793" s="23">
        <v>19</v>
      </c>
      <c r="C793" s="23"/>
      <c r="D793" s="23">
        <v>7</v>
      </c>
      <c r="E793" s="23"/>
      <c r="F793" s="25">
        <f t="shared" si="55"/>
        <v>23</v>
      </c>
      <c r="G793" s="23">
        <v>19</v>
      </c>
      <c r="H793" s="23">
        <v>4</v>
      </c>
      <c r="I793" s="23">
        <v>25</v>
      </c>
      <c r="J793" s="23">
        <f t="shared" si="56"/>
        <v>5</v>
      </c>
      <c r="K793" s="23"/>
      <c r="L793" s="23">
        <v>4</v>
      </c>
      <c r="M793" s="23">
        <v>8</v>
      </c>
      <c r="N793" s="23">
        <v>13</v>
      </c>
      <c r="O793" s="23">
        <v>-1</v>
      </c>
      <c r="P793" s="23"/>
    </row>
    <row r="794" spans="1:16" s="18" customFormat="1" ht="9" customHeight="1" x14ac:dyDescent="0.25">
      <c r="A794" s="22" t="s">
        <v>25</v>
      </c>
      <c r="B794" s="23">
        <v>16</v>
      </c>
      <c r="C794" s="23"/>
      <c r="D794" s="23">
        <v>20</v>
      </c>
      <c r="E794" s="23"/>
      <c r="F794" s="25">
        <f t="shared" si="55"/>
        <v>9</v>
      </c>
      <c r="G794" s="23">
        <v>3</v>
      </c>
      <c r="H794" s="23">
        <v>6</v>
      </c>
      <c r="I794" s="23">
        <v>15</v>
      </c>
      <c r="J794" s="23">
        <f t="shared" si="56"/>
        <v>14</v>
      </c>
      <c r="K794" s="23"/>
      <c r="L794" s="23">
        <v>4</v>
      </c>
      <c r="M794" s="23">
        <v>3</v>
      </c>
      <c r="N794" s="23">
        <v>6</v>
      </c>
      <c r="O794" s="23">
        <v>1</v>
      </c>
      <c r="P794" s="23"/>
    </row>
    <row r="795" spans="1:16" s="18" customFormat="1" ht="9" customHeight="1" x14ac:dyDescent="0.25">
      <c r="A795" s="26" t="s">
        <v>26</v>
      </c>
      <c r="B795" s="27">
        <v>7</v>
      </c>
      <c r="C795" s="27"/>
      <c r="D795" s="27">
        <v>7</v>
      </c>
      <c r="E795" s="27"/>
      <c r="F795" s="29">
        <f t="shared" si="55"/>
        <v>4</v>
      </c>
      <c r="G795" s="27">
        <v>1</v>
      </c>
      <c r="H795" s="27">
        <v>3</v>
      </c>
      <c r="I795" s="27">
        <v>5</v>
      </c>
      <c r="J795" s="27">
        <f t="shared" si="56"/>
        <v>6</v>
      </c>
      <c r="K795" s="27"/>
      <c r="L795" s="27">
        <v>0</v>
      </c>
      <c r="M795" s="27">
        <v>0</v>
      </c>
      <c r="N795" s="27">
        <v>0</v>
      </c>
      <c r="O795" s="27">
        <v>0</v>
      </c>
      <c r="P795" s="23"/>
    </row>
    <row r="796" spans="1:16" s="18" customFormat="1" ht="9" customHeight="1" x14ac:dyDescent="0.25">
      <c r="A796" s="22" t="s">
        <v>27</v>
      </c>
      <c r="B796" s="23">
        <v>26</v>
      </c>
      <c r="C796" s="23"/>
      <c r="D796" s="23">
        <v>17</v>
      </c>
      <c r="E796" s="23"/>
      <c r="F796" s="25">
        <f t="shared" si="55"/>
        <v>21</v>
      </c>
      <c r="G796" s="23">
        <v>9</v>
      </c>
      <c r="H796" s="23">
        <v>12</v>
      </c>
      <c r="I796" s="23">
        <v>15</v>
      </c>
      <c r="J796" s="23">
        <f t="shared" si="56"/>
        <v>23</v>
      </c>
      <c r="K796" s="23"/>
      <c r="L796" s="23">
        <v>0</v>
      </c>
      <c r="M796" s="23">
        <v>1</v>
      </c>
      <c r="N796" s="23">
        <v>1</v>
      </c>
      <c r="O796" s="23">
        <v>0</v>
      </c>
      <c r="P796" s="23"/>
    </row>
    <row r="797" spans="1:16" s="18" customFormat="1" ht="9" customHeight="1" x14ac:dyDescent="0.25">
      <c r="A797" s="22" t="s">
        <v>28</v>
      </c>
      <c r="B797" s="23">
        <v>7</v>
      </c>
      <c r="C797" s="23"/>
      <c r="D797" s="23">
        <v>5</v>
      </c>
      <c r="E797" s="23"/>
      <c r="F797" s="25">
        <f t="shared" si="55"/>
        <v>11</v>
      </c>
      <c r="G797" s="23">
        <v>6</v>
      </c>
      <c r="H797" s="23">
        <v>5</v>
      </c>
      <c r="I797" s="23">
        <v>9</v>
      </c>
      <c r="J797" s="23">
        <f t="shared" si="56"/>
        <v>7</v>
      </c>
      <c r="K797" s="23"/>
      <c r="L797" s="23">
        <v>2</v>
      </c>
      <c r="M797" s="23">
        <v>0</v>
      </c>
      <c r="N797" s="23">
        <v>2</v>
      </c>
      <c r="O797" s="23">
        <v>0</v>
      </c>
      <c r="P797" s="23"/>
    </row>
    <row r="798" spans="1:16" s="18" customFormat="1" ht="9" customHeight="1" x14ac:dyDescent="0.25">
      <c r="A798" s="22" t="s">
        <v>29</v>
      </c>
      <c r="B798" s="23">
        <v>16</v>
      </c>
      <c r="C798" s="23"/>
      <c r="D798" s="23">
        <v>20</v>
      </c>
      <c r="E798" s="23"/>
      <c r="F798" s="25">
        <f t="shared" si="55"/>
        <v>18</v>
      </c>
      <c r="G798" s="23">
        <v>2</v>
      </c>
      <c r="H798" s="23">
        <v>16</v>
      </c>
      <c r="I798" s="23">
        <v>28</v>
      </c>
      <c r="J798" s="23">
        <f t="shared" si="56"/>
        <v>10</v>
      </c>
      <c r="K798" s="23"/>
      <c r="L798" s="23">
        <v>0</v>
      </c>
      <c r="M798" s="23">
        <v>1</v>
      </c>
      <c r="N798" s="23">
        <v>1</v>
      </c>
      <c r="O798" s="23">
        <v>0</v>
      </c>
      <c r="P798" s="23"/>
    </row>
    <row r="799" spans="1:16" s="18" customFormat="1" ht="9" customHeight="1" x14ac:dyDescent="0.25">
      <c r="A799" s="26" t="s">
        <v>30</v>
      </c>
      <c r="B799" s="27">
        <v>39</v>
      </c>
      <c r="C799" s="27"/>
      <c r="D799" s="27">
        <v>24</v>
      </c>
      <c r="E799" s="27"/>
      <c r="F799" s="29">
        <f t="shared" si="55"/>
        <v>28</v>
      </c>
      <c r="G799" s="27">
        <v>8</v>
      </c>
      <c r="H799" s="27">
        <v>20</v>
      </c>
      <c r="I799" s="27">
        <v>34</v>
      </c>
      <c r="J799" s="27">
        <f t="shared" si="56"/>
        <v>18</v>
      </c>
      <c r="K799" s="27"/>
      <c r="L799" s="27">
        <v>4</v>
      </c>
      <c r="M799" s="27">
        <v>4</v>
      </c>
      <c r="N799" s="27">
        <v>7</v>
      </c>
      <c r="O799" s="27">
        <v>1</v>
      </c>
      <c r="P799" s="23"/>
    </row>
    <row r="800" spans="1:16" s="18" customFormat="1" ht="9" customHeight="1" x14ac:dyDescent="0.25">
      <c r="A800" s="22" t="s">
        <v>63</v>
      </c>
      <c r="B800" s="23">
        <v>613</v>
      </c>
      <c r="C800" s="23"/>
      <c r="D800" s="23">
        <v>882</v>
      </c>
      <c r="E800" s="23"/>
      <c r="F800" s="25">
        <f t="shared" si="55"/>
        <v>1684</v>
      </c>
      <c r="G800" s="23">
        <v>753</v>
      </c>
      <c r="H800" s="23">
        <v>931</v>
      </c>
      <c r="I800" s="23">
        <v>2004</v>
      </c>
      <c r="J800" s="23">
        <f t="shared" si="56"/>
        <v>562</v>
      </c>
      <c r="K800" s="23"/>
      <c r="L800" s="23">
        <v>36</v>
      </c>
      <c r="M800" s="23">
        <v>61</v>
      </c>
      <c r="N800" s="23">
        <v>81</v>
      </c>
      <c r="O800" s="23">
        <v>16</v>
      </c>
      <c r="P800" s="23"/>
    </row>
    <row r="801" spans="1:16" s="18" customFormat="1" ht="9" customHeight="1" x14ac:dyDescent="0.25">
      <c r="A801" s="22" t="s">
        <v>31</v>
      </c>
      <c r="B801" s="23">
        <v>20</v>
      </c>
      <c r="C801" s="23"/>
      <c r="D801" s="23">
        <v>7</v>
      </c>
      <c r="E801" s="23"/>
      <c r="F801" s="25">
        <f t="shared" si="55"/>
        <v>11</v>
      </c>
      <c r="G801" s="23">
        <v>3</v>
      </c>
      <c r="H801" s="23">
        <v>8</v>
      </c>
      <c r="I801" s="23">
        <v>13</v>
      </c>
      <c r="J801" s="23">
        <f t="shared" si="56"/>
        <v>5</v>
      </c>
      <c r="K801" s="23"/>
      <c r="L801" s="23">
        <v>7</v>
      </c>
      <c r="M801" s="23">
        <v>7</v>
      </c>
      <c r="N801" s="23">
        <v>12</v>
      </c>
      <c r="O801" s="23">
        <v>2</v>
      </c>
      <c r="P801" s="23"/>
    </row>
    <row r="802" spans="1:16" s="18" customFormat="1" ht="9" customHeight="1" x14ac:dyDescent="0.25">
      <c r="A802" s="22" t="s">
        <v>32</v>
      </c>
      <c r="B802" s="23">
        <v>31</v>
      </c>
      <c r="C802" s="23"/>
      <c r="D802" s="23">
        <v>9</v>
      </c>
      <c r="E802" s="23"/>
      <c r="F802" s="25">
        <f t="shared" si="55"/>
        <v>41</v>
      </c>
      <c r="G802" s="25">
        <v>20</v>
      </c>
      <c r="H802" s="25">
        <v>21</v>
      </c>
      <c r="I802" s="23">
        <v>60</v>
      </c>
      <c r="J802" s="23">
        <f t="shared" si="56"/>
        <v>-10</v>
      </c>
      <c r="K802" s="23"/>
      <c r="L802" s="23">
        <v>3</v>
      </c>
      <c r="M802" s="23">
        <v>2</v>
      </c>
      <c r="N802" s="23">
        <v>5</v>
      </c>
      <c r="O802" s="23">
        <v>0</v>
      </c>
      <c r="P802" s="23"/>
    </row>
    <row r="803" spans="1:16" s="18" customFormat="1" ht="9" customHeight="1" x14ac:dyDescent="0.25">
      <c r="A803" s="26" t="s">
        <v>33</v>
      </c>
      <c r="B803" s="27">
        <v>21</v>
      </c>
      <c r="C803" s="27"/>
      <c r="D803" s="27">
        <v>6</v>
      </c>
      <c r="E803" s="27"/>
      <c r="F803" s="29">
        <f t="shared" si="55"/>
        <v>13</v>
      </c>
      <c r="G803" s="29">
        <v>5</v>
      </c>
      <c r="H803" s="29">
        <v>8</v>
      </c>
      <c r="I803" s="27">
        <v>14</v>
      </c>
      <c r="J803" s="27">
        <f t="shared" si="56"/>
        <v>5</v>
      </c>
      <c r="K803" s="27"/>
      <c r="L803" s="27">
        <v>0</v>
      </c>
      <c r="M803" s="27">
        <v>0</v>
      </c>
      <c r="N803" s="27">
        <v>0</v>
      </c>
      <c r="O803" s="27">
        <v>0</v>
      </c>
      <c r="P803" s="23"/>
    </row>
    <row r="804" spans="1:16" s="18" customFormat="1" ht="9" customHeight="1" x14ac:dyDescent="0.25">
      <c r="A804" s="22" t="s">
        <v>34</v>
      </c>
      <c r="B804" s="23">
        <v>15</v>
      </c>
      <c r="C804" s="23"/>
      <c r="D804" s="23">
        <v>19</v>
      </c>
      <c r="E804" s="23"/>
      <c r="F804" s="25">
        <f t="shared" si="55"/>
        <v>30</v>
      </c>
      <c r="G804" s="25">
        <v>16</v>
      </c>
      <c r="H804" s="25">
        <v>14</v>
      </c>
      <c r="I804" s="23">
        <v>37</v>
      </c>
      <c r="J804" s="23">
        <f t="shared" si="56"/>
        <v>12</v>
      </c>
      <c r="K804" s="23"/>
      <c r="L804" s="25">
        <v>1</v>
      </c>
      <c r="M804" s="23">
        <v>1</v>
      </c>
      <c r="N804" s="23">
        <v>2</v>
      </c>
      <c r="O804" s="23">
        <v>0</v>
      </c>
      <c r="P804" s="23"/>
    </row>
    <row r="805" spans="1:16" s="18" customFormat="1" ht="9" customHeight="1" x14ac:dyDescent="0.25">
      <c r="A805" s="22" t="s">
        <v>35</v>
      </c>
      <c r="B805" s="23">
        <v>51</v>
      </c>
      <c r="C805" s="23"/>
      <c r="D805" s="23">
        <v>15</v>
      </c>
      <c r="E805" s="23"/>
      <c r="F805" s="25">
        <f t="shared" si="55"/>
        <v>36</v>
      </c>
      <c r="G805" s="25">
        <v>18</v>
      </c>
      <c r="H805" s="25">
        <v>18</v>
      </c>
      <c r="I805" s="23">
        <v>41</v>
      </c>
      <c r="J805" s="23">
        <f t="shared" si="56"/>
        <v>10</v>
      </c>
      <c r="K805" s="23"/>
      <c r="L805" s="25">
        <v>6</v>
      </c>
      <c r="M805" s="23">
        <v>3</v>
      </c>
      <c r="N805" s="23">
        <v>9</v>
      </c>
      <c r="O805" s="23">
        <v>0</v>
      </c>
      <c r="P805" s="23"/>
    </row>
    <row r="806" spans="1:16" s="18" customFormat="1" ht="9" customHeight="1" x14ac:dyDescent="0.25">
      <c r="A806" s="22" t="s">
        <v>36</v>
      </c>
      <c r="B806" s="23">
        <v>174</v>
      </c>
      <c r="C806" s="23"/>
      <c r="D806" s="18">
        <v>222</v>
      </c>
      <c r="E806" s="23"/>
      <c r="F806" s="25">
        <f t="shared" si="55"/>
        <v>441</v>
      </c>
      <c r="G806" s="23">
        <v>286</v>
      </c>
      <c r="H806" s="23">
        <v>155</v>
      </c>
      <c r="I806" s="23">
        <v>519</v>
      </c>
      <c r="J806" s="23">
        <f t="shared" si="56"/>
        <v>144</v>
      </c>
      <c r="K806" s="23"/>
      <c r="L806" s="18">
        <v>8</v>
      </c>
      <c r="M806" s="18">
        <v>15</v>
      </c>
      <c r="N806" s="18">
        <v>18</v>
      </c>
      <c r="O806" s="18">
        <v>5</v>
      </c>
      <c r="P806" s="23"/>
    </row>
    <row r="807" spans="1:16" s="18" customFormat="1" ht="9" customHeight="1" x14ac:dyDescent="0.25">
      <c r="A807" s="26" t="s">
        <v>37</v>
      </c>
      <c r="B807" s="27">
        <v>20</v>
      </c>
      <c r="C807" s="27"/>
      <c r="D807" s="27">
        <v>9</v>
      </c>
      <c r="E807" s="27"/>
      <c r="F807" s="29">
        <f t="shared" si="55"/>
        <v>9</v>
      </c>
      <c r="G807" s="29">
        <v>6</v>
      </c>
      <c r="H807" s="29">
        <v>3</v>
      </c>
      <c r="I807" s="27">
        <v>10</v>
      </c>
      <c r="J807" s="27">
        <f t="shared" si="56"/>
        <v>8</v>
      </c>
      <c r="K807" s="27"/>
      <c r="L807" s="27">
        <v>1</v>
      </c>
      <c r="M807" s="27">
        <v>0</v>
      </c>
      <c r="N807" s="27">
        <v>1</v>
      </c>
      <c r="O807" s="27">
        <v>0</v>
      </c>
      <c r="P807" s="23"/>
    </row>
    <row r="808" spans="1:16" s="18" customFormat="1" ht="9" customHeight="1" x14ac:dyDescent="0.25">
      <c r="A808" s="22" t="s">
        <v>38</v>
      </c>
      <c r="B808" s="23">
        <v>21</v>
      </c>
      <c r="C808" s="23"/>
      <c r="D808" s="23">
        <v>13</v>
      </c>
      <c r="E808" s="23"/>
      <c r="F808" s="25">
        <f t="shared" si="55"/>
        <v>17</v>
      </c>
      <c r="G808" s="25">
        <v>6</v>
      </c>
      <c r="H808" s="25">
        <v>11</v>
      </c>
      <c r="I808" s="23">
        <v>24</v>
      </c>
      <c r="J808" s="23">
        <f t="shared" si="56"/>
        <v>6</v>
      </c>
      <c r="K808" s="23"/>
      <c r="L808" s="23">
        <v>4</v>
      </c>
      <c r="M808" s="23">
        <v>2</v>
      </c>
      <c r="N808" s="23">
        <v>6</v>
      </c>
      <c r="O808" s="23">
        <v>0</v>
      </c>
      <c r="P808" s="23"/>
    </row>
    <row r="809" spans="1:16" s="18" customFormat="1" ht="9" customHeight="1" x14ac:dyDescent="0.25">
      <c r="A809" s="22" t="s">
        <v>39</v>
      </c>
      <c r="B809" s="23">
        <v>10</v>
      </c>
      <c r="C809" s="23"/>
      <c r="D809" s="23">
        <v>0</v>
      </c>
      <c r="E809" s="23"/>
      <c r="F809" s="25">
        <f t="shared" si="55"/>
        <v>2</v>
      </c>
      <c r="G809" s="25">
        <v>1</v>
      </c>
      <c r="H809" s="25">
        <v>1</v>
      </c>
      <c r="I809" s="23">
        <v>2</v>
      </c>
      <c r="J809" s="23">
        <f t="shared" si="56"/>
        <v>0</v>
      </c>
      <c r="K809" s="23"/>
      <c r="L809" s="23">
        <v>1</v>
      </c>
      <c r="M809" s="23">
        <v>0</v>
      </c>
      <c r="N809" s="23">
        <v>1</v>
      </c>
      <c r="O809" s="23">
        <v>0</v>
      </c>
      <c r="P809" s="23"/>
    </row>
    <row r="810" spans="1:16" s="18" customFormat="1" ht="9" customHeight="1" x14ac:dyDescent="0.25">
      <c r="A810" s="22" t="s">
        <v>40</v>
      </c>
      <c r="B810" s="23">
        <v>15</v>
      </c>
      <c r="C810" s="23"/>
      <c r="D810" s="23">
        <v>15</v>
      </c>
      <c r="E810" s="23"/>
      <c r="F810" s="25">
        <f t="shared" si="55"/>
        <v>17</v>
      </c>
      <c r="G810" s="25">
        <v>4</v>
      </c>
      <c r="H810" s="25">
        <v>13</v>
      </c>
      <c r="I810" s="23">
        <v>23</v>
      </c>
      <c r="J810" s="23">
        <f t="shared" si="56"/>
        <v>9</v>
      </c>
      <c r="K810" s="23"/>
      <c r="L810" s="23">
        <v>0</v>
      </c>
      <c r="M810" s="23">
        <v>1</v>
      </c>
      <c r="N810" s="23">
        <v>1</v>
      </c>
      <c r="O810" s="23">
        <v>0</v>
      </c>
      <c r="P810" s="23"/>
    </row>
    <row r="811" spans="1:16" s="18" customFormat="1" ht="9" customHeight="1" x14ac:dyDescent="0.25">
      <c r="A811" s="26" t="s">
        <v>41</v>
      </c>
      <c r="B811" s="27">
        <v>20</v>
      </c>
      <c r="C811" s="27"/>
      <c r="D811" s="27">
        <v>9</v>
      </c>
      <c r="E811" s="27"/>
      <c r="F811" s="29">
        <f t="shared" si="55"/>
        <v>14</v>
      </c>
      <c r="G811" s="29">
        <v>11</v>
      </c>
      <c r="H811" s="29">
        <v>3</v>
      </c>
      <c r="I811" s="27">
        <v>18</v>
      </c>
      <c r="J811" s="27">
        <f t="shared" si="56"/>
        <v>5</v>
      </c>
      <c r="K811" s="27"/>
      <c r="L811" s="27">
        <v>0</v>
      </c>
      <c r="M811" s="27">
        <v>1</v>
      </c>
      <c r="N811" s="27">
        <v>1</v>
      </c>
      <c r="O811" s="27">
        <v>0</v>
      </c>
      <c r="P811" s="23"/>
    </row>
    <row r="812" spans="1:16" s="18" customFormat="1" ht="9" customHeight="1" x14ac:dyDescent="0.25">
      <c r="A812" s="22" t="s">
        <v>42</v>
      </c>
      <c r="B812" s="23">
        <v>19</v>
      </c>
      <c r="C812" s="23"/>
      <c r="D812" s="23">
        <v>3</v>
      </c>
      <c r="E812" s="23"/>
      <c r="F812" s="25">
        <f t="shared" si="55"/>
        <v>9</v>
      </c>
      <c r="G812" s="25">
        <v>4</v>
      </c>
      <c r="H812" s="25">
        <v>5</v>
      </c>
      <c r="I812" s="23">
        <v>10</v>
      </c>
      <c r="J812" s="23">
        <f t="shared" si="56"/>
        <v>2</v>
      </c>
      <c r="K812" s="23"/>
      <c r="L812" s="23">
        <v>2</v>
      </c>
      <c r="M812" s="23">
        <v>5</v>
      </c>
      <c r="N812" s="23">
        <v>7</v>
      </c>
      <c r="O812" s="23">
        <v>0</v>
      </c>
      <c r="P812" s="23"/>
    </row>
    <row r="813" spans="1:16" s="18" customFormat="1" ht="9" customHeight="1" x14ac:dyDescent="0.25">
      <c r="A813" s="22" t="s">
        <v>43</v>
      </c>
      <c r="B813" s="23">
        <v>15</v>
      </c>
      <c r="C813" s="23"/>
      <c r="D813" s="23">
        <v>7</v>
      </c>
      <c r="E813" s="23"/>
      <c r="F813" s="25">
        <f t="shared" si="55"/>
        <v>20</v>
      </c>
      <c r="G813" s="25">
        <v>14</v>
      </c>
      <c r="H813" s="25">
        <v>6</v>
      </c>
      <c r="I813" s="23">
        <v>22</v>
      </c>
      <c r="J813" s="23">
        <f t="shared" si="56"/>
        <v>5</v>
      </c>
      <c r="K813" s="23"/>
      <c r="L813" s="23">
        <v>2</v>
      </c>
      <c r="M813" s="23">
        <v>3</v>
      </c>
      <c r="N813" s="23">
        <v>5</v>
      </c>
      <c r="O813" s="23">
        <v>0</v>
      </c>
      <c r="P813" s="23"/>
    </row>
    <row r="814" spans="1:16" s="18" customFormat="1" ht="9" customHeight="1" x14ac:dyDescent="0.25">
      <c r="A814" s="22" t="s">
        <v>44</v>
      </c>
      <c r="B814" s="23">
        <v>47</v>
      </c>
      <c r="C814" s="23"/>
      <c r="D814" s="23">
        <v>27</v>
      </c>
      <c r="E814" s="23"/>
      <c r="F814" s="25">
        <f t="shared" si="55"/>
        <v>42</v>
      </c>
      <c r="G814" s="25">
        <v>20</v>
      </c>
      <c r="H814" s="25">
        <v>22</v>
      </c>
      <c r="I814" s="23">
        <v>47</v>
      </c>
      <c r="J814" s="23">
        <f t="shared" si="56"/>
        <v>22</v>
      </c>
      <c r="K814" s="23"/>
      <c r="L814" s="23">
        <v>0</v>
      </c>
      <c r="M814" s="23">
        <v>1</v>
      </c>
      <c r="N814" s="23">
        <v>0</v>
      </c>
      <c r="O814" s="23">
        <v>1</v>
      </c>
      <c r="P814" s="23"/>
    </row>
    <row r="815" spans="1:16" s="18" customFormat="1" ht="9" customHeight="1" x14ac:dyDescent="0.25">
      <c r="A815" s="26" t="s">
        <v>45</v>
      </c>
      <c r="B815" s="27">
        <v>23</v>
      </c>
      <c r="C815" s="27"/>
      <c r="D815" s="27">
        <v>0</v>
      </c>
      <c r="E815" s="27"/>
      <c r="F815" s="29">
        <f t="shared" si="55"/>
        <v>33</v>
      </c>
      <c r="G815" s="29">
        <v>5</v>
      </c>
      <c r="H815" s="29">
        <v>28</v>
      </c>
      <c r="I815" s="27">
        <v>47</v>
      </c>
      <c r="J815" s="27">
        <f t="shared" si="56"/>
        <v>-14</v>
      </c>
      <c r="K815" s="27"/>
      <c r="L815" s="27">
        <v>0</v>
      </c>
      <c r="M815" s="27">
        <v>1</v>
      </c>
      <c r="N815" s="27">
        <v>0</v>
      </c>
      <c r="O815" s="27">
        <v>1</v>
      </c>
      <c r="P815" s="23"/>
    </row>
    <row r="816" spans="1:16" s="18" customFormat="1" ht="9" customHeight="1" x14ac:dyDescent="0.25">
      <c r="A816" s="22" t="s">
        <v>46</v>
      </c>
      <c r="B816" s="23">
        <v>12</v>
      </c>
      <c r="C816" s="23"/>
      <c r="D816" s="23">
        <v>8</v>
      </c>
      <c r="E816" s="23"/>
      <c r="F816" s="25">
        <f t="shared" si="55"/>
        <v>9</v>
      </c>
      <c r="G816" s="25">
        <v>8</v>
      </c>
      <c r="H816" s="25">
        <v>1</v>
      </c>
      <c r="I816" s="23">
        <v>14</v>
      </c>
      <c r="J816" s="23">
        <f t="shared" si="56"/>
        <v>3</v>
      </c>
      <c r="K816" s="23"/>
      <c r="L816" s="23">
        <v>1</v>
      </c>
      <c r="M816" s="23">
        <v>1</v>
      </c>
      <c r="N816" s="23">
        <v>2</v>
      </c>
      <c r="O816" s="23">
        <v>0</v>
      </c>
      <c r="P816" s="23"/>
    </row>
    <row r="817" spans="1:26" s="18" customFormat="1" ht="9" customHeight="1" x14ac:dyDescent="0.25">
      <c r="A817" s="22" t="s">
        <v>47</v>
      </c>
      <c r="B817" s="23">
        <v>22</v>
      </c>
      <c r="C817" s="23"/>
      <c r="D817" s="23">
        <v>3</v>
      </c>
      <c r="E817" s="23"/>
      <c r="F817" s="25">
        <f t="shared" si="55"/>
        <v>12</v>
      </c>
      <c r="G817" s="25">
        <v>7</v>
      </c>
      <c r="H817" s="25">
        <v>5</v>
      </c>
      <c r="I817" s="23">
        <v>10</v>
      </c>
      <c r="J817" s="23">
        <f t="shared" si="56"/>
        <v>5</v>
      </c>
      <c r="K817" s="23"/>
      <c r="L817" s="23">
        <v>3</v>
      </c>
      <c r="M817" s="23">
        <v>2</v>
      </c>
      <c r="N817" s="23">
        <v>5</v>
      </c>
      <c r="O817" s="23">
        <v>0</v>
      </c>
      <c r="P817" s="23"/>
    </row>
    <row r="818" spans="1:26" s="18" customFormat="1" ht="9" customHeight="1" x14ac:dyDescent="0.25">
      <c r="A818" s="22" t="s">
        <v>48</v>
      </c>
      <c r="B818" s="23">
        <v>10</v>
      </c>
      <c r="C818" s="23"/>
      <c r="D818" s="23">
        <v>14</v>
      </c>
      <c r="E818" s="23"/>
      <c r="F818" s="25">
        <f t="shared" si="55"/>
        <v>18</v>
      </c>
      <c r="G818" s="25">
        <v>8</v>
      </c>
      <c r="H818" s="25">
        <v>10</v>
      </c>
      <c r="I818" s="23">
        <v>23</v>
      </c>
      <c r="J818" s="23">
        <f t="shared" si="56"/>
        <v>9</v>
      </c>
      <c r="K818" s="23"/>
      <c r="L818" s="23">
        <v>0</v>
      </c>
      <c r="M818" s="23">
        <v>0</v>
      </c>
      <c r="N818" s="23">
        <v>0</v>
      </c>
      <c r="O818" s="23">
        <v>0</v>
      </c>
      <c r="P818" s="23"/>
    </row>
    <row r="819" spans="1:26" s="18" customFormat="1" ht="9" customHeight="1" x14ac:dyDescent="0.25">
      <c r="A819" s="26" t="s">
        <v>49</v>
      </c>
      <c r="B819" s="27">
        <v>30</v>
      </c>
      <c r="C819" s="27"/>
      <c r="D819" s="27">
        <v>7</v>
      </c>
      <c r="E819" s="27"/>
      <c r="F819" s="29">
        <f t="shared" si="55"/>
        <v>31</v>
      </c>
      <c r="G819" s="29">
        <v>14</v>
      </c>
      <c r="H819" s="29">
        <v>17</v>
      </c>
      <c r="I819" s="27">
        <v>37</v>
      </c>
      <c r="J819" s="27">
        <f t="shared" si="56"/>
        <v>1</v>
      </c>
      <c r="K819" s="27"/>
      <c r="L819" s="27">
        <v>2</v>
      </c>
      <c r="M819" s="27">
        <v>7</v>
      </c>
      <c r="N819" s="27">
        <v>7</v>
      </c>
      <c r="O819" s="27">
        <v>2</v>
      </c>
      <c r="P819" s="23"/>
    </row>
    <row r="820" spans="1:26" s="18" customFormat="1" ht="9" customHeight="1" x14ac:dyDescent="0.25">
      <c r="A820" s="22" t="s">
        <v>50</v>
      </c>
      <c r="B820" s="23">
        <v>7</v>
      </c>
      <c r="C820" s="23"/>
      <c r="D820" s="23">
        <v>7</v>
      </c>
      <c r="E820" s="23"/>
      <c r="F820" s="25">
        <f t="shared" si="55"/>
        <v>16</v>
      </c>
      <c r="G820" s="25">
        <v>2</v>
      </c>
      <c r="H820" s="25">
        <v>14</v>
      </c>
      <c r="I820" s="23">
        <v>15</v>
      </c>
      <c r="J820" s="23">
        <f t="shared" si="56"/>
        <v>8</v>
      </c>
      <c r="K820" s="23"/>
      <c r="L820" s="23">
        <v>1</v>
      </c>
      <c r="M820" s="23">
        <v>0</v>
      </c>
      <c r="N820" s="23">
        <v>1</v>
      </c>
      <c r="O820" s="23">
        <v>0</v>
      </c>
      <c r="P820" s="23"/>
    </row>
    <row r="821" spans="1:26" s="18" customFormat="1" ht="9" customHeight="1" x14ac:dyDescent="0.25">
      <c r="A821" s="22" t="s">
        <v>51</v>
      </c>
      <c r="B821" s="23">
        <v>47</v>
      </c>
      <c r="C821" s="23"/>
      <c r="D821" s="23">
        <v>30</v>
      </c>
      <c r="E821" s="23"/>
      <c r="F821" s="25">
        <f t="shared" si="55"/>
        <v>58</v>
      </c>
      <c r="G821" s="25">
        <v>35</v>
      </c>
      <c r="H821" s="25">
        <v>23</v>
      </c>
      <c r="I821" s="23">
        <v>67</v>
      </c>
      <c r="J821" s="23">
        <f t="shared" si="56"/>
        <v>21</v>
      </c>
      <c r="K821" s="23"/>
      <c r="L821" s="23">
        <v>5</v>
      </c>
      <c r="M821" s="23">
        <v>5</v>
      </c>
      <c r="N821" s="23">
        <v>9</v>
      </c>
      <c r="O821" s="23">
        <v>1</v>
      </c>
      <c r="P821" s="23"/>
    </row>
    <row r="822" spans="1:26" s="18" customFormat="1" ht="9" customHeight="1" x14ac:dyDescent="0.25">
      <c r="A822" s="22" t="s">
        <v>52</v>
      </c>
      <c r="B822" s="23">
        <v>18</v>
      </c>
      <c r="C822" s="23"/>
      <c r="D822" s="23">
        <v>37</v>
      </c>
      <c r="E822" s="23"/>
      <c r="F822" s="25">
        <f t="shared" si="55"/>
        <v>33</v>
      </c>
      <c r="G822" s="25">
        <v>10</v>
      </c>
      <c r="H822" s="25">
        <v>23</v>
      </c>
      <c r="I822" s="23">
        <v>54</v>
      </c>
      <c r="J822" s="23">
        <f t="shared" si="56"/>
        <v>16</v>
      </c>
      <c r="K822" s="23"/>
      <c r="L822" s="23">
        <v>3</v>
      </c>
      <c r="M822" s="23">
        <v>6</v>
      </c>
      <c r="N822" s="23">
        <v>8</v>
      </c>
      <c r="O822" s="23">
        <v>1</v>
      </c>
      <c r="P822" s="23"/>
    </row>
    <row r="823" spans="1:26" s="18" customFormat="1" ht="9" customHeight="1" x14ac:dyDescent="0.25">
      <c r="A823" s="26" t="s">
        <v>53</v>
      </c>
      <c r="B823" s="27">
        <v>10</v>
      </c>
      <c r="C823" s="27"/>
      <c r="D823" s="27">
        <v>10</v>
      </c>
      <c r="E823" s="27"/>
      <c r="F823" s="29">
        <f t="shared" si="55"/>
        <v>9</v>
      </c>
      <c r="G823" s="29">
        <v>2</v>
      </c>
      <c r="H823" s="29">
        <v>7</v>
      </c>
      <c r="I823" s="27">
        <v>16</v>
      </c>
      <c r="J823" s="27">
        <f t="shared" si="56"/>
        <v>3</v>
      </c>
      <c r="K823" s="27"/>
      <c r="L823" s="27">
        <v>9</v>
      </c>
      <c r="M823" s="27">
        <v>2</v>
      </c>
      <c r="N823" s="27">
        <v>10</v>
      </c>
      <c r="O823" s="27">
        <v>1</v>
      </c>
      <c r="P823" s="23"/>
    </row>
    <row r="824" spans="1:26" s="18" customFormat="1" ht="9" customHeight="1" x14ac:dyDescent="0.25">
      <c r="A824" s="22" t="s">
        <v>54</v>
      </c>
      <c r="B824" s="23">
        <v>2093</v>
      </c>
      <c r="C824" s="23"/>
      <c r="D824" s="23">
        <v>5</v>
      </c>
      <c r="E824" s="23"/>
      <c r="F824" s="25">
        <f t="shared" si="55"/>
        <v>0</v>
      </c>
      <c r="G824" s="25">
        <v>0</v>
      </c>
      <c r="H824" s="25">
        <v>0</v>
      </c>
      <c r="I824" s="23">
        <v>0</v>
      </c>
      <c r="J824" s="23">
        <f t="shared" si="56"/>
        <v>5</v>
      </c>
      <c r="K824" s="23"/>
      <c r="L824" s="23">
        <v>9</v>
      </c>
      <c r="M824" s="23">
        <v>9</v>
      </c>
      <c r="N824" s="23">
        <v>3</v>
      </c>
      <c r="O824" s="23">
        <v>15</v>
      </c>
      <c r="P824" s="23"/>
    </row>
    <row r="825" spans="1:26" s="18" customFormat="1" ht="9" customHeight="1" x14ac:dyDescent="0.25">
      <c r="A825" s="22"/>
      <c r="B825" s="23"/>
      <c r="C825" s="23"/>
      <c r="D825" s="23"/>
      <c r="E825" s="23"/>
      <c r="F825" s="25"/>
      <c r="G825" s="23"/>
      <c r="H825" s="23"/>
      <c r="I825" s="23"/>
      <c r="J825" s="23"/>
      <c r="K825" s="23"/>
      <c r="L825" s="23"/>
      <c r="M825" s="23"/>
      <c r="N825" s="23"/>
      <c r="O825" s="23"/>
      <c r="P825" s="23"/>
    </row>
    <row r="826" spans="1:26" s="18" customFormat="1" ht="9" customHeight="1" x14ac:dyDescent="0.25">
      <c r="A826" s="31" t="s">
        <v>62</v>
      </c>
      <c r="B826" s="20"/>
      <c r="C826" s="20"/>
      <c r="D826" s="20"/>
      <c r="E826" s="20"/>
      <c r="G826" s="20"/>
      <c r="H826" s="20"/>
      <c r="I826" s="20"/>
      <c r="J826" s="20"/>
      <c r="K826" s="20"/>
      <c r="L826" s="20"/>
      <c r="M826" s="20"/>
      <c r="N826" s="20"/>
      <c r="O826" s="20"/>
      <c r="P826" s="23"/>
    </row>
    <row r="827" spans="1:26" s="18" customFormat="1" ht="9" customHeight="1" x14ac:dyDescent="0.25">
      <c r="A827" s="19" t="s">
        <v>21</v>
      </c>
      <c r="B827" s="20">
        <f>SUM(B829:B861)</f>
        <v>2856</v>
      </c>
      <c r="C827" s="20"/>
      <c r="D827" s="20">
        <f>SUM(D829:D862)</f>
        <v>923</v>
      </c>
      <c r="E827" s="34"/>
      <c r="F827" s="20">
        <f>SUM(F829:F861)</f>
        <v>2710</v>
      </c>
      <c r="G827" s="20">
        <f>SUM(G829:G861)</f>
        <v>1370</v>
      </c>
      <c r="H827" s="20">
        <f>SUM(H829:H861)</f>
        <v>1340</v>
      </c>
      <c r="I827" s="20">
        <f>SUM(I829:I861)</f>
        <v>3013</v>
      </c>
      <c r="J827" s="20">
        <f>SUM(J829:J861)</f>
        <v>620</v>
      </c>
      <c r="K827" s="20"/>
      <c r="L827" s="20">
        <f>SUM(L829:L861)</f>
        <v>47</v>
      </c>
      <c r="M827" s="20">
        <f>SUM(M829:M861)</f>
        <v>150</v>
      </c>
      <c r="N827" s="20">
        <f>SUM(N829:N861)</f>
        <v>163</v>
      </c>
      <c r="O827" s="20">
        <f>SUM(O829:O861)</f>
        <v>34</v>
      </c>
      <c r="P827" s="23"/>
    </row>
    <row r="828" spans="1:26" s="18" customFormat="1" ht="3" customHeight="1" x14ac:dyDescent="0.25">
      <c r="A828" s="19"/>
      <c r="B828" s="20"/>
      <c r="C828" s="20"/>
      <c r="D828" s="20"/>
      <c r="E828" s="20"/>
      <c r="G828" s="20"/>
      <c r="H828" s="20"/>
      <c r="I828" s="20"/>
      <c r="J828" s="20"/>
      <c r="K828" s="20"/>
      <c r="L828" s="20"/>
      <c r="M828" s="20"/>
      <c r="N828" s="20"/>
      <c r="O828" s="20"/>
      <c r="P828" s="23"/>
    </row>
    <row r="829" spans="1:26" s="18" customFormat="1" ht="9" customHeight="1" x14ac:dyDescent="0.25">
      <c r="A829" s="22" t="s">
        <v>23</v>
      </c>
      <c r="B829" s="25">
        <v>2</v>
      </c>
      <c r="C829" s="23"/>
      <c r="D829" s="25">
        <v>-2</v>
      </c>
      <c r="E829" s="23"/>
      <c r="F829" s="25">
        <f t="shared" ref="F829:F861" si="57">SUM(G829:H829)</f>
        <v>4</v>
      </c>
      <c r="G829" s="25">
        <v>3</v>
      </c>
      <c r="H829" s="23">
        <v>1</v>
      </c>
      <c r="I829" s="23">
        <v>7</v>
      </c>
      <c r="J829" s="23">
        <f t="shared" ref="J829:J861" si="58">SUM(D829,F829-I829)</f>
        <v>-5</v>
      </c>
      <c r="K829" s="23"/>
      <c r="L829" s="23">
        <v>1</v>
      </c>
      <c r="M829" s="23">
        <v>1</v>
      </c>
      <c r="N829" s="23">
        <v>2</v>
      </c>
      <c r="O829" s="23">
        <v>0</v>
      </c>
      <c r="P829" s="23"/>
    </row>
    <row r="830" spans="1:26" s="18" customFormat="1" ht="9" customHeight="1" x14ac:dyDescent="0.25">
      <c r="A830" s="22" t="s">
        <v>24</v>
      </c>
      <c r="B830" s="25">
        <v>20</v>
      </c>
      <c r="C830" s="23"/>
      <c r="D830" s="25">
        <v>5</v>
      </c>
      <c r="E830" s="23"/>
      <c r="F830" s="25">
        <f t="shared" si="57"/>
        <v>22</v>
      </c>
      <c r="G830" s="25">
        <v>14</v>
      </c>
      <c r="H830" s="23">
        <v>8</v>
      </c>
      <c r="I830" s="23">
        <v>22</v>
      </c>
      <c r="J830" s="23">
        <f t="shared" si="58"/>
        <v>5</v>
      </c>
      <c r="K830" s="23"/>
      <c r="L830" s="23">
        <v>-1</v>
      </c>
      <c r="M830" s="23">
        <v>9</v>
      </c>
      <c r="N830" s="23">
        <v>8</v>
      </c>
      <c r="O830" s="23">
        <v>0</v>
      </c>
      <c r="P830" s="23"/>
      <c r="Q830" s="32"/>
      <c r="R830" s="32"/>
      <c r="S830" s="33"/>
      <c r="T830" s="33"/>
      <c r="U830" s="33"/>
      <c r="V830" s="33"/>
      <c r="W830" s="33"/>
      <c r="X830" s="33"/>
      <c r="Y830" s="33"/>
      <c r="Z830" s="32"/>
    </row>
    <row r="831" spans="1:26" s="18" customFormat="1" ht="9" customHeight="1" x14ac:dyDescent="0.25">
      <c r="A831" s="22" t="s">
        <v>25</v>
      </c>
      <c r="B831" s="25">
        <v>7</v>
      </c>
      <c r="C831" s="23"/>
      <c r="D831" s="25">
        <v>14</v>
      </c>
      <c r="E831" s="23"/>
      <c r="F831" s="25">
        <f t="shared" si="57"/>
        <v>7</v>
      </c>
      <c r="G831" s="25">
        <v>2</v>
      </c>
      <c r="H831" s="23">
        <v>5</v>
      </c>
      <c r="I831" s="23">
        <v>7</v>
      </c>
      <c r="J831" s="23">
        <f t="shared" si="58"/>
        <v>14</v>
      </c>
      <c r="K831" s="23"/>
      <c r="L831" s="23">
        <v>1</v>
      </c>
      <c r="M831" s="23">
        <v>1</v>
      </c>
      <c r="N831" s="23">
        <v>2</v>
      </c>
      <c r="O831" s="23">
        <v>0</v>
      </c>
      <c r="P831" s="23"/>
    </row>
    <row r="832" spans="1:26" s="18" customFormat="1" ht="9" customHeight="1" x14ac:dyDescent="0.25">
      <c r="A832" s="26" t="s">
        <v>26</v>
      </c>
      <c r="B832" s="29">
        <v>2</v>
      </c>
      <c r="C832" s="27"/>
      <c r="D832" s="29">
        <v>6</v>
      </c>
      <c r="E832" s="27"/>
      <c r="F832" s="29">
        <f t="shared" si="57"/>
        <v>4</v>
      </c>
      <c r="G832" s="29">
        <v>1</v>
      </c>
      <c r="H832" s="27">
        <v>3</v>
      </c>
      <c r="I832" s="27">
        <v>8</v>
      </c>
      <c r="J832" s="27">
        <f t="shared" si="58"/>
        <v>2</v>
      </c>
      <c r="K832" s="27"/>
      <c r="L832" s="27">
        <v>0</v>
      </c>
      <c r="M832" s="27">
        <v>3</v>
      </c>
      <c r="N832" s="27">
        <v>1</v>
      </c>
      <c r="O832" s="27">
        <v>2</v>
      </c>
      <c r="P832" s="23"/>
    </row>
    <row r="833" spans="1:16" s="18" customFormat="1" ht="9" customHeight="1" x14ac:dyDescent="0.25">
      <c r="A833" s="22" t="s">
        <v>27</v>
      </c>
      <c r="B833" s="25">
        <v>28</v>
      </c>
      <c r="D833" s="23">
        <v>23</v>
      </c>
      <c r="E833" s="23"/>
      <c r="F833" s="25">
        <f t="shared" si="57"/>
        <v>18</v>
      </c>
      <c r="G833" s="23">
        <v>5</v>
      </c>
      <c r="H833" s="23">
        <v>13</v>
      </c>
      <c r="I833" s="23">
        <v>23</v>
      </c>
      <c r="J833" s="23">
        <f t="shared" si="58"/>
        <v>18</v>
      </c>
      <c r="K833" s="23"/>
      <c r="L833" s="23">
        <v>0</v>
      </c>
      <c r="M833" s="23">
        <v>1</v>
      </c>
      <c r="N833" s="23">
        <v>1</v>
      </c>
      <c r="O833" s="23">
        <v>0</v>
      </c>
      <c r="P833" s="23"/>
    </row>
    <row r="834" spans="1:16" s="18" customFormat="1" ht="9" customHeight="1" x14ac:dyDescent="0.25">
      <c r="A834" s="22" t="s">
        <v>28</v>
      </c>
      <c r="B834" s="23">
        <v>2</v>
      </c>
      <c r="C834" s="23"/>
      <c r="D834" s="23">
        <v>7</v>
      </c>
      <c r="E834" s="23"/>
      <c r="F834" s="25">
        <f t="shared" si="57"/>
        <v>2</v>
      </c>
      <c r="G834" s="23">
        <v>1</v>
      </c>
      <c r="H834" s="23">
        <v>1</v>
      </c>
      <c r="I834" s="23">
        <v>5</v>
      </c>
      <c r="J834" s="23">
        <f t="shared" si="58"/>
        <v>4</v>
      </c>
      <c r="K834" s="23"/>
      <c r="L834" s="23">
        <v>0</v>
      </c>
      <c r="M834" s="23">
        <v>1</v>
      </c>
      <c r="N834" s="23">
        <v>0</v>
      </c>
      <c r="O834" s="23">
        <v>1</v>
      </c>
      <c r="P834" s="23"/>
    </row>
    <row r="835" spans="1:16" s="18" customFormat="1" ht="9" customHeight="1" x14ac:dyDescent="0.25">
      <c r="A835" s="22" t="s">
        <v>29</v>
      </c>
      <c r="B835" s="25">
        <v>11</v>
      </c>
      <c r="C835" s="23"/>
      <c r="D835" s="23">
        <v>10</v>
      </c>
      <c r="E835" s="23"/>
      <c r="F835" s="25">
        <f t="shared" si="57"/>
        <v>9</v>
      </c>
      <c r="G835" s="23">
        <v>1</v>
      </c>
      <c r="H835" s="23">
        <v>8</v>
      </c>
      <c r="I835" s="23">
        <v>8</v>
      </c>
      <c r="J835" s="23">
        <f t="shared" si="58"/>
        <v>11</v>
      </c>
      <c r="K835" s="23"/>
      <c r="L835" s="23">
        <v>0</v>
      </c>
      <c r="M835" s="23">
        <v>1</v>
      </c>
      <c r="N835" s="23">
        <v>1</v>
      </c>
      <c r="O835" s="23">
        <v>0</v>
      </c>
      <c r="P835" s="23"/>
    </row>
    <row r="836" spans="1:16" s="18" customFormat="1" ht="9" customHeight="1" x14ac:dyDescent="0.25">
      <c r="A836" s="26" t="s">
        <v>30</v>
      </c>
      <c r="B836" s="29">
        <v>28</v>
      </c>
      <c r="C836" s="27"/>
      <c r="D836" s="27">
        <v>18</v>
      </c>
      <c r="E836" s="27"/>
      <c r="F836" s="29">
        <f t="shared" si="57"/>
        <v>27</v>
      </c>
      <c r="G836" s="27">
        <v>5</v>
      </c>
      <c r="H836" s="27">
        <v>22</v>
      </c>
      <c r="I836" s="27">
        <v>29</v>
      </c>
      <c r="J836" s="27">
        <f t="shared" si="58"/>
        <v>16</v>
      </c>
      <c r="K836" s="27"/>
      <c r="L836" s="27">
        <v>1</v>
      </c>
      <c r="M836" s="27">
        <v>5</v>
      </c>
      <c r="N836" s="27">
        <v>7</v>
      </c>
      <c r="O836" s="27">
        <v>-1</v>
      </c>
      <c r="P836" s="23"/>
    </row>
    <row r="837" spans="1:16" s="18" customFormat="1" ht="9" customHeight="1" x14ac:dyDescent="0.25">
      <c r="A837" s="22" t="s">
        <v>63</v>
      </c>
      <c r="B837" s="25">
        <v>840</v>
      </c>
      <c r="C837" s="23"/>
      <c r="D837" s="23">
        <v>562</v>
      </c>
      <c r="E837" s="23"/>
      <c r="F837" s="25">
        <f t="shared" si="57"/>
        <v>1696</v>
      </c>
      <c r="G837" s="23">
        <v>828</v>
      </c>
      <c r="H837" s="23">
        <v>868</v>
      </c>
      <c r="I837" s="23">
        <v>1913</v>
      </c>
      <c r="J837" s="23">
        <f t="shared" si="58"/>
        <v>345</v>
      </c>
      <c r="K837" s="23"/>
      <c r="L837" s="23">
        <v>16</v>
      </c>
      <c r="M837" s="23">
        <v>64</v>
      </c>
      <c r="N837" s="23">
        <v>74</v>
      </c>
      <c r="O837" s="23">
        <v>6</v>
      </c>
      <c r="P837" s="23"/>
    </row>
    <row r="838" spans="1:16" s="18" customFormat="1" ht="9" customHeight="1" x14ac:dyDescent="0.25">
      <c r="A838" s="22" t="s">
        <v>31</v>
      </c>
      <c r="B838" s="23">
        <v>14</v>
      </c>
      <c r="C838" s="23"/>
      <c r="D838" s="23">
        <v>5</v>
      </c>
      <c r="E838" s="23"/>
      <c r="F838" s="25">
        <f t="shared" si="57"/>
        <v>9</v>
      </c>
      <c r="G838" s="23">
        <v>3</v>
      </c>
      <c r="H838" s="23">
        <v>6</v>
      </c>
      <c r="I838" s="23">
        <v>11</v>
      </c>
      <c r="J838" s="23">
        <f t="shared" si="58"/>
        <v>3</v>
      </c>
      <c r="K838" s="23"/>
      <c r="L838" s="23">
        <v>2</v>
      </c>
      <c r="M838" s="23">
        <v>3</v>
      </c>
      <c r="N838" s="23">
        <v>3</v>
      </c>
      <c r="O838" s="23">
        <v>2</v>
      </c>
      <c r="P838" s="23"/>
    </row>
    <row r="839" spans="1:16" s="18" customFormat="1" ht="9" customHeight="1" x14ac:dyDescent="0.25">
      <c r="A839" s="22" t="s">
        <v>32</v>
      </c>
      <c r="B839" s="25">
        <v>30</v>
      </c>
      <c r="C839" s="23"/>
      <c r="D839" s="25">
        <v>-10</v>
      </c>
      <c r="E839" s="23"/>
      <c r="F839" s="25">
        <f t="shared" si="57"/>
        <v>44</v>
      </c>
      <c r="G839" s="25">
        <v>22</v>
      </c>
      <c r="H839" s="25">
        <v>22</v>
      </c>
      <c r="I839" s="23">
        <v>41</v>
      </c>
      <c r="J839" s="23">
        <f t="shared" si="58"/>
        <v>-7</v>
      </c>
      <c r="K839" s="23"/>
      <c r="L839" s="23">
        <v>0</v>
      </c>
      <c r="M839" s="23">
        <v>3</v>
      </c>
      <c r="N839" s="23">
        <v>2</v>
      </c>
      <c r="O839" s="23">
        <v>1</v>
      </c>
      <c r="P839" s="23"/>
    </row>
    <row r="840" spans="1:16" s="18" customFormat="1" ht="9" customHeight="1" x14ac:dyDescent="0.25">
      <c r="A840" s="26" t="s">
        <v>33</v>
      </c>
      <c r="B840" s="29">
        <v>3</v>
      </c>
      <c r="C840" s="27"/>
      <c r="D840" s="29">
        <v>5</v>
      </c>
      <c r="E840" s="27"/>
      <c r="F840" s="29">
        <f t="shared" si="57"/>
        <v>7</v>
      </c>
      <c r="G840" s="29">
        <v>4</v>
      </c>
      <c r="H840" s="29">
        <v>3</v>
      </c>
      <c r="I840" s="27">
        <v>13</v>
      </c>
      <c r="J840" s="27">
        <f t="shared" si="58"/>
        <v>-1</v>
      </c>
      <c r="K840" s="27"/>
      <c r="L840" s="27">
        <v>0</v>
      </c>
      <c r="M840" s="27">
        <v>0</v>
      </c>
      <c r="N840" s="27">
        <v>0</v>
      </c>
      <c r="O840" s="27">
        <v>0</v>
      </c>
      <c r="P840" s="23"/>
    </row>
    <row r="841" spans="1:16" s="18" customFormat="1" ht="9" customHeight="1" x14ac:dyDescent="0.25">
      <c r="A841" s="22" t="s">
        <v>34</v>
      </c>
      <c r="B841" s="25">
        <v>14</v>
      </c>
      <c r="C841" s="23"/>
      <c r="D841" s="25">
        <v>12</v>
      </c>
      <c r="E841" s="23"/>
      <c r="F841" s="25">
        <f t="shared" si="57"/>
        <v>26</v>
      </c>
      <c r="G841" s="25">
        <v>16</v>
      </c>
      <c r="H841" s="25">
        <v>10</v>
      </c>
      <c r="I841" s="23">
        <v>30</v>
      </c>
      <c r="J841" s="23">
        <f t="shared" si="58"/>
        <v>8</v>
      </c>
      <c r="K841" s="23"/>
      <c r="L841" s="25">
        <v>0</v>
      </c>
      <c r="M841" s="23">
        <v>3</v>
      </c>
      <c r="N841" s="23">
        <v>3</v>
      </c>
      <c r="O841" s="23">
        <v>0</v>
      </c>
      <c r="P841" s="23"/>
    </row>
    <row r="842" spans="1:16" s="18" customFormat="1" ht="9" customHeight="1" x14ac:dyDescent="0.25">
      <c r="A842" s="22" t="s">
        <v>35</v>
      </c>
      <c r="B842" s="23">
        <v>33</v>
      </c>
      <c r="C842" s="23"/>
      <c r="D842" s="23">
        <v>10</v>
      </c>
      <c r="E842" s="23"/>
      <c r="F842" s="25">
        <f t="shared" si="57"/>
        <v>38</v>
      </c>
      <c r="G842" s="25">
        <v>20</v>
      </c>
      <c r="H842" s="25">
        <v>18</v>
      </c>
      <c r="I842" s="23">
        <v>38</v>
      </c>
      <c r="J842" s="23">
        <f t="shared" si="58"/>
        <v>10</v>
      </c>
      <c r="K842" s="23"/>
      <c r="L842" s="25">
        <v>0</v>
      </c>
      <c r="M842" s="23">
        <v>2</v>
      </c>
      <c r="N842" s="23">
        <v>1</v>
      </c>
      <c r="O842" s="23">
        <v>1</v>
      </c>
      <c r="P842" s="23"/>
    </row>
    <row r="843" spans="1:16" s="18" customFormat="1" ht="9" customHeight="1" x14ac:dyDescent="0.25">
      <c r="A843" s="22" t="s">
        <v>36</v>
      </c>
      <c r="B843" s="23">
        <v>209</v>
      </c>
      <c r="C843" s="23"/>
      <c r="D843" s="18">
        <v>144</v>
      </c>
      <c r="E843" s="23"/>
      <c r="F843" s="25">
        <f t="shared" si="57"/>
        <v>496</v>
      </c>
      <c r="G843" s="23">
        <v>311</v>
      </c>
      <c r="H843" s="23">
        <v>185</v>
      </c>
      <c r="I843" s="23">
        <v>505</v>
      </c>
      <c r="J843" s="23">
        <f t="shared" si="58"/>
        <v>135</v>
      </c>
      <c r="K843" s="23"/>
      <c r="L843" s="18">
        <v>5</v>
      </c>
      <c r="M843" s="18">
        <v>14</v>
      </c>
      <c r="N843" s="18">
        <v>17</v>
      </c>
      <c r="O843" s="18">
        <v>2</v>
      </c>
      <c r="P843" s="23"/>
    </row>
    <row r="844" spans="1:16" s="18" customFormat="1" ht="9" customHeight="1" x14ac:dyDescent="0.25">
      <c r="A844" s="26" t="s">
        <v>37</v>
      </c>
      <c r="B844" s="27">
        <v>24</v>
      </c>
      <c r="C844" s="27"/>
      <c r="D844" s="27">
        <v>8</v>
      </c>
      <c r="E844" s="27"/>
      <c r="F844" s="29">
        <f t="shared" si="57"/>
        <v>14</v>
      </c>
      <c r="G844" s="29">
        <v>9</v>
      </c>
      <c r="H844" s="29">
        <v>5</v>
      </c>
      <c r="I844" s="29">
        <v>17</v>
      </c>
      <c r="J844" s="27">
        <f t="shared" si="58"/>
        <v>5</v>
      </c>
      <c r="K844" s="27"/>
      <c r="L844" s="27">
        <v>0</v>
      </c>
      <c r="M844" s="27">
        <v>1</v>
      </c>
      <c r="N844" s="27">
        <v>0</v>
      </c>
      <c r="O844" s="27">
        <v>1</v>
      </c>
      <c r="P844" s="23"/>
    </row>
    <row r="845" spans="1:16" s="18" customFormat="1" ht="9" customHeight="1" x14ac:dyDescent="0.25">
      <c r="A845" s="22" t="s">
        <v>38</v>
      </c>
      <c r="B845" s="25">
        <v>5</v>
      </c>
      <c r="C845" s="23"/>
      <c r="D845" s="25">
        <v>6</v>
      </c>
      <c r="E845" s="23"/>
      <c r="F845" s="25">
        <f t="shared" si="57"/>
        <v>23</v>
      </c>
      <c r="G845" s="25">
        <v>15</v>
      </c>
      <c r="H845" s="25">
        <v>8</v>
      </c>
      <c r="I845" s="25">
        <v>26</v>
      </c>
      <c r="J845" s="23">
        <f t="shared" si="58"/>
        <v>3</v>
      </c>
      <c r="K845" s="23"/>
      <c r="L845" s="23">
        <v>0</v>
      </c>
      <c r="M845" s="23">
        <v>3</v>
      </c>
      <c r="N845" s="23">
        <v>3</v>
      </c>
      <c r="O845" s="23">
        <v>0</v>
      </c>
      <c r="P845" s="23"/>
    </row>
    <row r="846" spans="1:16" s="18" customFormat="1" ht="9" customHeight="1" x14ac:dyDescent="0.25">
      <c r="A846" s="22" t="s">
        <v>39</v>
      </c>
      <c r="B846" s="23">
        <v>3</v>
      </c>
      <c r="C846" s="23"/>
      <c r="D846" s="23">
        <v>0</v>
      </c>
      <c r="E846" s="23"/>
      <c r="F846" s="25">
        <f t="shared" si="57"/>
        <v>4</v>
      </c>
      <c r="G846" s="25">
        <v>1</v>
      </c>
      <c r="H846" s="25">
        <v>3</v>
      </c>
      <c r="I846" s="25">
        <v>4</v>
      </c>
      <c r="J846" s="23">
        <f t="shared" si="58"/>
        <v>0</v>
      </c>
      <c r="K846" s="23"/>
      <c r="L846" s="23">
        <v>0</v>
      </c>
      <c r="M846" s="23">
        <v>2</v>
      </c>
      <c r="N846" s="23">
        <v>1</v>
      </c>
      <c r="O846" s="23">
        <v>1</v>
      </c>
      <c r="P846" s="23"/>
    </row>
    <row r="847" spans="1:16" s="18" customFormat="1" ht="9" customHeight="1" x14ac:dyDescent="0.25">
      <c r="A847" s="22" t="s">
        <v>40</v>
      </c>
      <c r="B847" s="25">
        <v>6</v>
      </c>
      <c r="C847" s="23"/>
      <c r="D847" s="25">
        <v>9</v>
      </c>
      <c r="E847" s="23"/>
      <c r="F847" s="25">
        <f t="shared" si="57"/>
        <v>20</v>
      </c>
      <c r="G847" s="25">
        <v>7</v>
      </c>
      <c r="H847" s="25">
        <v>13</v>
      </c>
      <c r="I847" s="25">
        <v>23</v>
      </c>
      <c r="J847" s="23">
        <f t="shared" si="58"/>
        <v>6</v>
      </c>
      <c r="K847" s="23"/>
      <c r="L847" s="23">
        <v>0</v>
      </c>
      <c r="M847" s="23">
        <v>0</v>
      </c>
      <c r="N847" s="23">
        <v>0</v>
      </c>
      <c r="O847" s="23">
        <v>0</v>
      </c>
      <c r="P847" s="23"/>
    </row>
    <row r="848" spans="1:16" s="18" customFormat="1" ht="9" customHeight="1" x14ac:dyDescent="0.25">
      <c r="A848" s="26" t="s">
        <v>41</v>
      </c>
      <c r="B848" s="29">
        <v>12</v>
      </c>
      <c r="C848" s="27"/>
      <c r="D848" s="29">
        <v>5</v>
      </c>
      <c r="E848" s="27"/>
      <c r="F848" s="29">
        <f t="shared" si="57"/>
        <v>12</v>
      </c>
      <c r="G848" s="29">
        <v>9</v>
      </c>
      <c r="H848" s="29">
        <v>3</v>
      </c>
      <c r="I848" s="29">
        <v>11</v>
      </c>
      <c r="J848" s="27">
        <f t="shared" si="58"/>
        <v>6</v>
      </c>
      <c r="K848" s="27"/>
      <c r="L848" s="27">
        <v>0</v>
      </c>
      <c r="M848" s="27">
        <v>5</v>
      </c>
      <c r="N848" s="27">
        <v>5</v>
      </c>
      <c r="O848" s="27">
        <v>0</v>
      </c>
      <c r="P848" s="23"/>
    </row>
    <row r="849" spans="1:16" s="18" customFormat="1" ht="9" customHeight="1" x14ac:dyDescent="0.25">
      <c r="A849" s="22" t="s">
        <v>42</v>
      </c>
      <c r="B849" s="25">
        <v>13</v>
      </c>
      <c r="C849" s="23"/>
      <c r="D849" s="25">
        <v>2</v>
      </c>
      <c r="E849" s="23"/>
      <c r="F849" s="25">
        <f t="shared" si="57"/>
        <v>14</v>
      </c>
      <c r="G849" s="25">
        <v>4</v>
      </c>
      <c r="H849" s="25">
        <v>10</v>
      </c>
      <c r="I849" s="25">
        <v>12</v>
      </c>
      <c r="J849" s="23">
        <f t="shared" si="58"/>
        <v>4</v>
      </c>
      <c r="K849" s="23"/>
      <c r="L849" s="23">
        <v>0</v>
      </c>
      <c r="M849" s="23">
        <v>4</v>
      </c>
      <c r="N849" s="23">
        <v>3</v>
      </c>
      <c r="O849" s="23">
        <v>1</v>
      </c>
      <c r="P849" s="23"/>
    </row>
    <row r="850" spans="1:16" s="18" customFormat="1" ht="9" customHeight="1" x14ac:dyDescent="0.25">
      <c r="A850" s="22" t="s">
        <v>43</v>
      </c>
      <c r="B850" s="23">
        <v>10</v>
      </c>
      <c r="C850" s="23"/>
      <c r="D850" s="23">
        <v>5</v>
      </c>
      <c r="E850" s="23"/>
      <c r="F850" s="25">
        <f t="shared" si="57"/>
        <v>9</v>
      </c>
      <c r="G850" s="25">
        <v>6</v>
      </c>
      <c r="H850" s="25">
        <v>3</v>
      </c>
      <c r="I850" s="25">
        <v>13</v>
      </c>
      <c r="J850" s="23">
        <f t="shared" si="58"/>
        <v>1</v>
      </c>
      <c r="K850" s="23"/>
      <c r="L850" s="23">
        <v>0</v>
      </c>
      <c r="M850" s="23">
        <v>1</v>
      </c>
      <c r="N850" s="23">
        <v>1</v>
      </c>
      <c r="O850" s="23">
        <v>0</v>
      </c>
      <c r="P850" s="23"/>
    </row>
    <row r="851" spans="1:16" s="18" customFormat="1" ht="9" customHeight="1" x14ac:dyDescent="0.25">
      <c r="A851" s="22" t="s">
        <v>44</v>
      </c>
      <c r="B851" s="25">
        <v>20</v>
      </c>
      <c r="C851" s="23"/>
      <c r="D851" s="25">
        <v>22</v>
      </c>
      <c r="E851" s="23"/>
      <c r="F851" s="25">
        <f t="shared" si="57"/>
        <v>37</v>
      </c>
      <c r="G851" s="25">
        <v>20</v>
      </c>
      <c r="H851" s="25">
        <v>17</v>
      </c>
      <c r="I851" s="25">
        <v>44</v>
      </c>
      <c r="J851" s="23">
        <f t="shared" si="58"/>
        <v>15</v>
      </c>
      <c r="K851" s="23"/>
      <c r="L851" s="23">
        <v>1</v>
      </c>
      <c r="M851" s="23">
        <v>1</v>
      </c>
      <c r="N851" s="23">
        <v>2</v>
      </c>
      <c r="O851" s="23">
        <v>0</v>
      </c>
      <c r="P851" s="23"/>
    </row>
    <row r="852" spans="1:16" s="18" customFormat="1" ht="9" customHeight="1" x14ac:dyDescent="0.25">
      <c r="A852" s="26" t="s">
        <v>45</v>
      </c>
      <c r="B852" s="29">
        <v>24</v>
      </c>
      <c r="C852" s="27"/>
      <c r="D852" s="29">
        <v>-14</v>
      </c>
      <c r="E852" s="27"/>
      <c r="F852" s="29">
        <f t="shared" si="57"/>
        <v>32</v>
      </c>
      <c r="G852" s="29">
        <v>4</v>
      </c>
      <c r="H852" s="29">
        <v>28</v>
      </c>
      <c r="I852" s="29">
        <v>40</v>
      </c>
      <c r="J852" s="27">
        <f t="shared" si="58"/>
        <v>-22</v>
      </c>
      <c r="K852" s="27"/>
      <c r="L852" s="27">
        <v>1</v>
      </c>
      <c r="M852" s="27">
        <v>0</v>
      </c>
      <c r="N852" s="27">
        <v>1</v>
      </c>
      <c r="O852" s="27">
        <v>0</v>
      </c>
      <c r="P852" s="23"/>
    </row>
    <row r="853" spans="1:16" s="18" customFormat="1" ht="9" customHeight="1" x14ac:dyDescent="0.25">
      <c r="A853" s="22" t="s">
        <v>46</v>
      </c>
      <c r="B853" s="25">
        <v>6</v>
      </c>
      <c r="C853" s="23"/>
      <c r="D853" s="25">
        <v>3</v>
      </c>
      <c r="E853" s="23"/>
      <c r="F853" s="25">
        <f t="shared" si="57"/>
        <v>9</v>
      </c>
      <c r="G853" s="25">
        <v>5</v>
      </c>
      <c r="H853" s="25">
        <v>4</v>
      </c>
      <c r="I853" s="25">
        <v>9</v>
      </c>
      <c r="J853" s="23">
        <f t="shared" si="58"/>
        <v>3</v>
      </c>
      <c r="K853" s="23"/>
      <c r="L853" s="23">
        <v>0</v>
      </c>
      <c r="M853" s="23">
        <v>1</v>
      </c>
      <c r="N853" s="23">
        <v>1</v>
      </c>
      <c r="O853" s="23">
        <v>0</v>
      </c>
      <c r="P853" s="23"/>
    </row>
    <row r="854" spans="1:16" s="18" customFormat="1" ht="9" customHeight="1" x14ac:dyDescent="0.25">
      <c r="A854" s="22" t="s">
        <v>47</v>
      </c>
      <c r="B854" s="23">
        <v>22</v>
      </c>
      <c r="C854" s="23"/>
      <c r="D854" s="23">
        <v>5</v>
      </c>
      <c r="E854" s="23"/>
      <c r="F854" s="25">
        <f t="shared" si="57"/>
        <v>13</v>
      </c>
      <c r="G854" s="25">
        <v>8</v>
      </c>
      <c r="H854" s="25">
        <v>5</v>
      </c>
      <c r="I854" s="25">
        <v>15</v>
      </c>
      <c r="J854" s="23">
        <f t="shared" si="58"/>
        <v>3</v>
      </c>
      <c r="K854" s="23"/>
      <c r="L854" s="23">
        <v>0</v>
      </c>
      <c r="M854" s="23">
        <v>1</v>
      </c>
      <c r="N854" s="23">
        <v>1</v>
      </c>
      <c r="O854" s="23">
        <v>0</v>
      </c>
      <c r="P854" s="23"/>
    </row>
    <row r="855" spans="1:16" s="18" customFormat="1" ht="9" customHeight="1" x14ac:dyDescent="0.25">
      <c r="A855" s="22" t="s">
        <v>48</v>
      </c>
      <c r="B855" s="23">
        <v>3</v>
      </c>
      <c r="C855" s="23"/>
      <c r="D855" s="23">
        <v>9</v>
      </c>
      <c r="E855" s="23"/>
      <c r="F855" s="25">
        <f t="shared" si="57"/>
        <v>5</v>
      </c>
      <c r="G855" s="25">
        <v>2</v>
      </c>
      <c r="H855" s="25">
        <v>3</v>
      </c>
      <c r="I855" s="25">
        <v>7</v>
      </c>
      <c r="J855" s="23">
        <f t="shared" si="58"/>
        <v>7</v>
      </c>
      <c r="K855" s="23"/>
      <c r="L855" s="23">
        <v>0</v>
      </c>
      <c r="M855" s="23">
        <v>0</v>
      </c>
      <c r="N855" s="23">
        <v>0</v>
      </c>
      <c r="O855" s="23">
        <v>0</v>
      </c>
      <c r="P855" s="23"/>
    </row>
    <row r="856" spans="1:16" s="18" customFormat="1" ht="9" customHeight="1" x14ac:dyDescent="0.25">
      <c r="A856" s="26" t="s">
        <v>49</v>
      </c>
      <c r="B856" s="29">
        <v>28</v>
      </c>
      <c r="C856" s="27"/>
      <c r="D856" s="29">
        <v>1</v>
      </c>
      <c r="E856" s="27"/>
      <c r="F856" s="29">
        <f t="shared" si="57"/>
        <v>23</v>
      </c>
      <c r="G856" s="29">
        <v>9</v>
      </c>
      <c r="H856" s="29">
        <v>14</v>
      </c>
      <c r="I856" s="29">
        <v>21</v>
      </c>
      <c r="J856" s="27">
        <f t="shared" si="58"/>
        <v>3</v>
      </c>
      <c r="K856" s="27"/>
      <c r="L856" s="27">
        <v>2</v>
      </c>
      <c r="M856" s="27">
        <v>9</v>
      </c>
      <c r="N856" s="27">
        <v>11</v>
      </c>
      <c r="O856" s="27">
        <v>0</v>
      </c>
      <c r="P856" s="23"/>
    </row>
    <row r="857" spans="1:16" s="18" customFormat="1" ht="9" customHeight="1" x14ac:dyDescent="0.25">
      <c r="A857" s="22" t="s">
        <v>50</v>
      </c>
      <c r="B857" s="25">
        <v>3</v>
      </c>
      <c r="C857" s="23"/>
      <c r="D857" s="25">
        <v>8</v>
      </c>
      <c r="E857" s="23"/>
      <c r="F857" s="25">
        <f t="shared" si="57"/>
        <v>4</v>
      </c>
      <c r="G857" s="25">
        <v>0</v>
      </c>
      <c r="H857" s="25">
        <v>4</v>
      </c>
      <c r="I857" s="25">
        <v>16</v>
      </c>
      <c r="J857" s="23">
        <f t="shared" si="58"/>
        <v>-4</v>
      </c>
      <c r="K857" s="23"/>
      <c r="L857" s="23">
        <v>0</v>
      </c>
      <c r="M857" s="23">
        <v>1</v>
      </c>
      <c r="N857" s="23">
        <v>1</v>
      </c>
      <c r="O857" s="23">
        <v>0</v>
      </c>
      <c r="P857" s="23"/>
    </row>
    <row r="858" spans="1:16" s="18" customFormat="1" ht="9" customHeight="1" x14ac:dyDescent="0.25">
      <c r="A858" s="22" t="s">
        <v>51</v>
      </c>
      <c r="B858" s="23">
        <v>24</v>
      </c>
      <c r="C858" s="23"/>
      <c r="D858" s="23">
        <v>21</v>
      </c>
      <c r="E858" s="23"/>
      <c r="F858" s="25">
        <f t="shared" si="57"/>
        <v>50</v>
      </c>
      <c r="G858" s="25">
        <v>29</v>
      </c>
      <c r="H858" s="25">
        <v>21</v>
      </c>
      <c r="I858" s="25">
        <v>56</v>
      </c>
      <c r="J858" s="23">
        <f t="shared" si="58"/>
        <v>15</v>
      </c>
      <c r="K858" s="23"/>
      <c r="L858" s="23">
        <v>1</v>
      </c>
      <c r="M858" s="23">
        <v>3</v>
      </c>
      <c r="N858" s="23">
        <v>3</v>
      </c>
      <c r="O858" s="23">
        <v>1</v>
      </c>
      <c r="P858" s="23"/>
    </row>
    <row r="859" spans="1:16" s="18" customFormat="1" ht="9" customHeight="1" x14ac:dyDescent="0.25">
      <c r="A859" s="22" t="s">
        <v>52</v>
      </c>
      <c r="B859" s="23">
        <v>12</v>
      </c>
      <c r="C859" s="23"/>
      <c r="D859" s="23">
        <v>16</v>
      </c>
      <c r="E859" s="23"/>
      <c r="F859" s="25">
        <f t="shared" si="57"/>
        <v>24</v>
      </c>
      <c r="G859" s="25">
        <v>3</v>
      </c>
      <c r="H859" s="25">
        <v>21</v>
      </c>
      <c r="I859" s="25">
        <v>29</v>
      </c>
      <c r="J859" s="23">
        <f t="shared" si="58"/>
        <v>11</v>
      </c>
      <c r="K859" s="23"/>
      <c r="L859" s="23">
        <v>1</v>
      </c>
      <c r="M859" s="23">
        <v>3</v>
      </c>
      <c r="N859" s="23">
        <v>3</v>
      </c>
      <c r="O859" s="23">
        <v>1</v>
      </c>
      <c r="P859" s="23"/>
    </row>
    <row r="860" spans="1:16" s="18" customFormat="1" ht="9" customHeight="1" x14ac:dyDescent="0.25">
      <c r="A860" s="26" t="s">
        <v>53</v>
      </c>
      <c r="B860" s="29">
        <v>10</v>
      </c>
      <c r="C860" s="27"/>
      <c r="D860" s="29">
        <v>3</v>
      </c>
      <c r="E860" s="27"/>
      <c r="F860" s="29">
        <f t="shared" si="57"/>
        <v>8</v>
      </c>
      <c r="G860" s="29">
        <v>3</v>
      </c>
      <c r="H860" s="29">
        <v>5</v>
      </c>
      <c r="I860" s="29">
        <v>9</v>
      </c>
      <c r="J860" s="27">
        <f t="shared" si="58"/>
        <v>2</v>
      </c>
      <c r="K860" s="27"/>
      <c r="L860" s="27">
        <v>1</v>
      </c>
      <c r="M860" s="27">
        <v>4</v>
      </c>
      <c r="N860" s="27">
        <v>5</v>
      </c>
      <c r="O860" s="27">
        <v>0</v>
      </c>
      <c r="P860" s="23"/>
    </row>
    <row r="861" spans="1:16" s="18" customFormat="1" ht="9" customHeight="1" x14ac:dyDescent="0.25">
      <c r="A861" s="22" t="s">
        <v>54</v>
      </c>
      <c r="B861" s="25">
        <v>1388</v>
      </c>
      <c r="C861" s="23"/>
      <c r="D861" s="25">
        <v>5</v>
      </c>
      <c r="E861" s="23"/>
      <c r="F861" s="25">
        <f t="shared" si="57"/>
        <v>0</v>
      </c>
      <c r="G861" s="25">
        <v>0</v>
      </c>
      <c r="H861" s="25">
        <v>0</v>
      </c>
      <c r="I861" s="25">
        <v>1</v>
      </c>
      <c r="J861" s="23">
        <f t="shared" si="58"/>
        <v>4</v>
      </c>
      <c r="K861" s="23"/>
      <c r="L861" s="23">
        <v>15</v>
      </c>
      <c r="M861" s="23">
        <v>0</v>
      </c>
      <c r="N861" s="23">
        <v>0</v>
      </c>
      <c r="O861" s="23">
        <v>15</v>
      </c>
      <c r="P861" s="23"/>
    </row>
    <row r="862" spans="1:16" ht="3" customHeight="1" x14ac:dyDescent="0.25">
      <c r="A862" s="11"/>
      <c r="B862" s="11"/>
      <c r="C862" s="11"/>
      <c r="D862" s="35"/>
      <c r="E862" s="11"/>
      <c r="F862" s="11"/>
      <c r="G862" s="11"/>
      <c r="H862" s="11"/>
      <c r="I862" s="11"/>
      <c r="J862" s="11"/>
      <c r="K862" s="11"/>
      <c r="L862" s="11"/>
      <c r="M862" s="11"/>
      <c r="N862" s="11"/>
      <c r="O862" s="11"/>
    </row>
    <row r="863" spans="1:16" ht="3" customHeight="1" x14ac:dyDescent="0.25"/>
    <row r="864" spans="1:16" ht="9" customHeight="1" x14ac:dyDescent="0.25">
      <c r="A864" s="36" t="s">
        <v>57</v>
      </c>
    </row>
    <row r="865" spans="1:15" ht="9" customHeight="1" x14ac:dyDescent="0.25">
      <c r="A865" s="36" t="s">
        <v>58</v>
      </c>
    </row>
    <row r="866" spans="1:15" ht="9" customHeight="1" x14ac:dyDescent="0.25">
      <c r="A866" s="36" t="s">
        <v>59</v>
      </c>
    </row>
    <row r="867" spans="1:15" ht="9" customHeight="1" x14ac:dyDescent="0.25">
      <c r="A867" s="42" t="s">
        <v>64</v>
      </c>
    </row>
    <row r="868" spans="1:15" ht="9" customHeight="1" x14ac:dyDescent="0.25">
      <c r="A868" s="36" t="s">
        <v>60</v>
      </c>
      <c r="B868" s="36"/>
      <c r="C868" s="36"/>
      <c r="D868" s="36"/>
      <c r="E868" s="36"/>
      <c r="F868" s="36"/>
      <c r="G868" s="36"/>
      <c r="H868" s="36"/>
      <c r="I868" s="36"/>
      <c r="J868" s="36"/>
    </row>
    <row r="869" spans="1:15" ht="9" hidden="1" customHeight="1" x14ac:dyDescent="0.25">
      <c r="A869" s="36"/>
      <c r="B869" s="37"/>
      <c r="C869" s="37"/>
      <c r="D869" s="38"/>
      <c r="E869" s="38"/>
      <c r="F869" s="38"/>
      <c r="G869" s="38"/>
      <c r="H869" s="38"/>
      <c r="I869" s="38"/>
      <c r="J869" s="38"/>
      <c r="K869" s="37"/>
      <c r="L869" s="37"/>
      <c r="M869" s="38"/>
      <c r="N869" s="38"/>
      <c r="O869" s="37"/>
    </row>
    <row r="870" spans="1:15" ht="11.25" hidden="1" customHeight="1" x14ac:dyDescent="0.25">
      <c r="A870" s="13"/>
      <c r="B870" s="37"/>
      <c r="C870" s="37"/>
      <c r="D870" s="38"/>
      <c r="E870" s="38"/>
      <c r="F870" s="38"/>
      <c r="G870" s="38"/>
      <c r="H870" s="38"/>
      <c r="I870" s="38"/>
      <c r="J870" s="38"/>
      <c r="K870" s="37"/>
      <c r="L870" s="37"/>
      <c r="M870" s="38"/>
      <c r="N870" s="38"/>
      <c r="O870" s="37"/>
    </row>
    <row r="871" spans="1:15" ht="11.25" hidden="1" customHeight="1" x14ac:dyDescent="0.25">
      <c r="A871" s="13"/>
      <c r="B871" s="37"/>
      <c r="C871" s="37"/>
      <c r="D871" s="38"/>
      <c r="E871" s="38"/>
      <c r="F871" s="38"/>
      <c r="G871" s="38"/>
      <c r="H871" s="38"/>
      <c r="I871" s="38"/>
      <c r="J871" s="38"/>
      <c r="K871" s="37"/>
      <c r="L871" s="37"/>
      <c r="M871" s="38"/>
      <c r="N871" s="38"/>
      <c r="O871" s="37"/>
    </row>
    <row r="872" spans="1:15" ht="11.25" hidden="1" customHeight="1" x14ac:dyDescent="0.25">
      <c r="A872" s="13"/>
      <c r="B872" s="37"/>
      <c r="C872" s="37"/>
      <c r="D872" s="38"/>
      <c r="E872" s="38"/>
      <c r="F872" s="38"/>
      <c r="G872" s="38"/>
      <c r="H872" s="38"/>
      <c r="I872" s="38"/>
      <c r="J872" s="38"/>
      <c r="K872" s="37"/>
      <c r="L872" s="37"/>
      <c r="M872" s="38"/>
      <c r="N872" s="38"/>
      <c r="O872" s="37"/>
    </row>
    <row r="873" spans="1:15" ht="11.25" hidden="1" customHeight="1" x14ac:dyDescent="0.25">
      <c r="A873" s="13"/>
      <c r="B873" s="13"/>
      <c r="C873" s="13"/>
      <c r="D873" s="13"/>
      <c r="E873" s="13"/>
      <c r="F873" s="13"/>
      <c r="G873" s="13"/>
      <c r="H873" s="13"/>
      <c r="I873" s="13"/>
      <c r="J873" s="13"/>
      <c r="K873" s="13"/>
      <c r="L873" s="13"/>
      <c r="M873" s="13"/>
      <c r="N873" s="13"/>
      <c r="O873" s="13"/>
    </row>
    <row r="874" spans="1:15" ht="11.25" hidden="1" customHeight="1" x14ac:dyDescent="0.25">
      <c r="A874" s="13"/>
      <c r="B874" s="39"/>
      <c r="C874" s="39"/>
      <c r="K874" s="39"/>
      <c r="L874" s="39"/>
      <c r="O874" s="39"/>
    </row>
    <row r="875" spans="1:15" ht="11.25" hidden="1" customHeight="1" x14ac:dyDescent="0.25">
      <c r="A875" s="40"/>
      <c r="B875" s="41"/>
      <c r="C875" s="41"/>
      <c r="D875" s="41"/>
      <c r="E875" s="41"/>
      <c r="F875" s="41"/>
      <c r="G875" s="41"/>
      <c r="H875" s="41"/>
      <c r="I875" s="41"/>
      <c r="J875" s="41"/>
      <c r="K875" s="41"/>
      <c r="L875" s="41"/>
      <c r="M875" s="41"/>
      <c r="N875" s="41"/>
      <c r="O875" s="41"/>
    </row>
    <row r="876" spans="1:15" ht="11.25" hidden="1" customHeight="1" x14ac:dyDescent="0.25">
      <c r="A876" s="7"/>
      <c r="B876" s="37"/>
      <c r="C876" s="37"/>
      <c r="D876" s="38"/>
      <c r="E876" s="38"/>
      <c r="F876" s="38"/>
      <c r="G876" s="38"/>
      <c r="H876" s="38"/>
      <c r="I876" s="38"/>
      <c r="J876" s="38"/>
      <c r="K876" s="37"/>
      <c r="L876" s="37"/>
      <c r="M876" s="38"/>
      <c r="N876" s="38"/>
      <c r="O876" s="37"/>
    </row>
    <row r="877" spans="1:15" ht="11.25" hidden="1" customHeight="1" x14ac:dyDescent="0.25">
      <c r="A877" s="13"/>
      <c r="B877" s="37"/>
      <c r="C877" s="37"/>
      <c r="D877" s="38"/>
      <c r="E877" s="38"/>
      <c r="F877" s="38"/>
      <c r="G877" s="38"/>
      <c r="H877" s="38"/>
      <c r="I877" s="38"/>
      <c r="J877" s="38"/>
      <c r="K877" s="37"/>
      <c r="L877" s="37"/>
      <c r="M877" s="38"/>
      <c r="N877" s="38"/>
      <c r="O877" s="37"/>
    </row>
    <row r="878" spans="1:15" ht="11.25" hidden="1" customHeight="1" x14ac:dyDescent="0.25">
      <c r="A878" s="13"/>
      <c r="B878" s="37"/>
      <c r="C878" s="37"/>
      <c r="D878" s="38"/>
      <c r="E878" s="38"/>
      <c r="F878" s="38"/>
      <c r="G878" s="38"/>
      <c r="H878" s="38"/>
      <c r="I878" s="38"/>
      <c r="J878" s="38"/>
      <c r="K878" s="37"/>
      <c r="L878" s="37"/>
      <c r="M878" s="38"/>
      <c r="N878" s="38"/>
      <c r="O878" s="37"/>
    </row>
    <row r="879" spans="1:15" ht="11.25" hidden="1" customHeight="1" x14ac:dyDescent="0.25">
      <c r="A879" s="13"/>
      <c r="B879" s="37"/>
      <c r="C879" s="37"/>
      <c r="D879" s="38"/>
      <c r="E879" s="38"/>
      <c r="F879" s="38"/>
      <c r="G879" s="38"/>
      <c r="H879" s="38"/>
      <c r="I879" s="38"/>
      <c r="J879" s="38"/>
      <c r="K879" s="37"/>
      <c r="L879" s="37"/>
      <c r="M879" s="38"/>
      <c r="N879" s="38"/>
      <c r="O879" s="37"/>
    </row>
    <row r="880" spans="1:15" ht="11.25" hidden="1" customHeight="1" x14ac:dyDescent="0.25">
      <c r="A880" s="13"/>
      <c r="B880" s="37"/>
      <c r="C880" s="37"/>
      <c r="D880" s="38"/>
      <c r="E880" s="38"/>
      <c r="F880" s="38"/>
      <c r="G880" s="38"/>
      <c r="H880" s="38"/>
      <c r="I880" s="38"/>
      <c r="J880" s="38"/>
      <c r="K880" s="37"/>
      <c r="L880" s="37"/>
      <c r="M880" s="38"/>
      <c r="N880" s="38"/>
      <c r="O880" s="37"/>
    </row>
    <row r="881" spans="1:15" ht="11.25" hidden="1" customHeight="1" x14ac:dyDescent="0.25">
      <c r="A881" s="13"/>
      <c r="B881" s="37"/>
      <c r="C881" s="37"/>
      <c r="D881" s="38"/>
      <c r="E881" s="38"/>
      <c r="F881" s="38"/>
      <c r="G881" s="38"/>
      <c r="H881" s="38"/>
      <c r="I881" s="38"/>
      <c r="J881" s="38"/>
      <c r="K881" s="37"/>
      <c r="L881" s="37"/>
      <c r="M881" s="38"/>
      <c r="N881" s="38"/>
      <c r="O881" s="37"/>
    </row>
    <row r="882" spans="1:15" ht="11.25" hidden="1" customHeight="1" x14ac:dyDescent="0.25">
      <c r="A882" s="13"/>
      <c r="B882" s="37"/>
      <c r="C882" s="37"/>
      <c r="D882" s="38"/>
      <c r="E882" s="38"/>
      <c r="F882" s="38"/>
      <c r="G882" s="38"/>
      <c r="H882" s="38"/>
      <c r="I882" s="38"/>
      <c r="J882" s="38"/>
      <c r="K882" s="37"/>
      <c r="L882" s="37"/>
      <c r="M882" s="38"/>
      <c r="N882" s="38"/>
      <c r="O882" s="37"/>
    </row>
    <row r="883" spans="1:15" ht="11.25" hidden="1" customHeight="1" x14ac:dyDescent="0.25">
      <c r="A883" s="13"/>
      <c r="B883" s="37"/>
      <c r="C883" s="37"/>
      <c r="D883" s="38"/>
      <c r="E883" s="38"/>
      <c r="F883" s="38"/>
      <c r="G883" s="38"/>
      <c r="H883" s="38"/>
      <c r="I883" s="38"/>
      <c r="J883" s="38"/>
      <c r="K883" s="37"/>
      <c r="L883" s="37"/>
      <c r="M883" s="38"/>
      <c r="N883" s="38"/>
      <c r="O883" s="37"/>
    </row>
    <row r="884" spans="1:15" ht="11.25" hidden="1" customHeight="1" x14ac:dyDescent="0.25">
      <c r="A884" s="13"/>
      <c r="B884" s="37"/>
      <c r="C884" s="37"/>
      <c r="D884" s="38"/>
      <c r="E884" s="38"/>
      <c r="F884" s="38"/>
      <c r="G884" s="38"/>
      <c r="H884" s="38"/>
      <c r="I884" s="38"/>
      <c r="J884" s="38"/>
      <c r="K884" s="37"/>
      <c r="L884" s="37"/>
      <c r="M884" s="38"/>
      <c r="N884" s="38"/>
      <c r="O884" s="37"/>
    </row>
    <row r="885" spans="1:15" ht="11.25" hidden="1" customHeight="1" x14ac:dyDescent="0.25">
      <c r="A885" s="13"/>
      <c r="B885" s="37"/>
      <c r="C885" s="37"/>
      <c r="D885" s="38"/>
      <c r="E885" s="38"/>
      <c r="F885" s="38"/>
      <c r="G885" s="38"/>
      <c r="H885" s="38"/>
      <c r="I885" s="38"/>
      <c r="J885" s="38"/>
      <c r="K885" s="37"/>
      <c r="L885" s="37"/>
      <c r="M885" s="38"/>
      <c r="N885" s="38"/>
      <c r="O885" s="37"/>
    </row>
    <row r="886" spans="1:15" ht="11.25" hidden="1" customHeight="1" x14ac:dyDescent="0.25">
      <c r="A886" s="13"/>
      <c r="B886" s="37"/>
      <c r="C886" s="37"/>
      <c r="D886" s="38"/>
      <c r="E886" s="38"/>
      <c r="F886" s="38"/>
      <c r="G886" s="38"/>
      <c r="H886" s="38"/>
      <c r="I886" s="38"/>
      <c r="J886" s="38"/>
      <c r="K886" s="37"/>
      <c r="L886" s="37"/>
      <c r="M886" s="38"/>
      <c r="N886" s="38"/>
      <c r="O886" s="37"/>
    </row>
    <row r="887" spans="1:15" ht="11.25" hidden="1" customHeight="1" x14ac:dyDescent="0.25">
      <c r="A887" s="13"/>
      <c r="B887" s="37"/>
      <c r="C887" s="37"/>
      <c r="D887" s="38"/>
      <c r="E887" s="38"/>
      <c r="F887" s="38"/>
      <c r="G887" s="38"/>
      <c r="H887" s="38"/>
      <c r="I887" s="38"/>
      <c r="J887" s="38"/>
      <c r="K887" s="37"/>
      <c r="L887" s="37"/>
      <c r="M887" s="38"/>
      <c r="N887" s="38"/>
      <c r="O887" s="37"/>
    </row>
    <row r="888" spans="1:15" ht="11.25" hidden="1" customHeight="1" x14ac:dyDescent="0.25">
      <c r="A888" s="13"/>
      <c r="B888" s="37"/>
      <c r="C888" s="37"/>
      <c r="D888" s="38"/>
      <c r="E888" s="38"/>
      <c r="F888" s="38"/>
      <c r="G888" s="38"/>
      <c r="H888" s="38"/>
      <c r="I888" s="38"/>
      <c r="J888" s="38"/>
      <c r="K888" s="37"/>
      <c r="L888" s="37"/>
      <c r="M888" s="38"/>
      <c r="N888" s="38"/>
      <c r="O888" s="37"/>
    </row>
    <row r="889" spans="1:15" ht="11.25" hidden="1" customHeight="1" x14ac:dyDescent="0.25">
      <c r="A889" s="13"/>
      <c r="B889" s="37"/>
      <c r="C889" s="37"/>
      <c r="D889" s="38"/>
      <c r="E889" s="38"/>
      <c r="F889" s="38"/>
      <c r="G889" s="38"/>
      <c r="H889" s="38"/>
      <c r="I889" s="38"/>
      <c r="J889" s="38"/>
      <c r="K889" s="37"/>
      <c r="L889" s="37"/>
      <c r="M889" s="38"/>
      <c r="N889" s="38"/>
      <c r="O889" s="37"/>
    </row>
    <row r="890" spans="1:15" ht="11.25" hidden="1" customHeight="1" x14ac:dyDescent="0.25">
      <c r="A890" s="13"/>
      <c r="B890" s="37"/>
      <c r="C890" s="37"/>
      <c r="D890" s="38"/>
      <c r="E890" s="38"/>
      <c r="F890" s="38"/>
      <c r="G890" s="38"/>
      <c r="H890" s="38"/>
      <c r="I890" s="38"/>
      <c r="J890" s="38"/>
      <c r="K890" s="37"/>
      <c r="L890" s="37"/>
      <c r="M890" s="38"/>
      <c r="N890" s="38"/>
      <c r="O890" s="37"/>
    </row>
    <row r="891" spans="1:15" ht="11.25" hidden="1" customHeight="1" x14ac:dyDescent="0.25">
      <c r="A891" s="13"/>
      <c r="B891" s="37"/>
      <c r="C891" s="37"/>
      <c r="D891" s="38"/>
      <c r="E891" s="38"/>
      <c r="F891" s="38"/>
      <c r="G891" s="38"/>
      <c r="H891" s="38"/>
      <c r="I891" s="38"/>
      <c r="J891" s="38"/>
      <c r="K891" s="37"/>
      <c r="L891" s="37"/>
      <c r="M891" s="38"/>
      <c r="N891" s="38"/>
      <c r="O891" s="37"/>
    </row>
    <row r="892" spans="1:15" ht="11.25" hidden="1" customHeight="1" x14ac:dyDescent="0.25">
      <c r="A892" s="13"/>
      <c r="B892" s="37"/>
      <c r="C892" s="37"/>
      <c r="D892" s="38"/>
      <c r="E892" s="38"/>
      <c r="F892" s="38"/>
      <c r="G892" s="38"/>
      <c r="H892" s="38"/>
      <c r="I892" s="38"/>
      <c r="J892" s="38"/>
      <c r="K892" s="37"/>
      <c r="L892" s="37"/>
      <c r="M892" s="38"/>
      <c r="N892" s="38"/>
      <c r="O892" s="37"/>
    </row>
    <row r="893" spans="1:15" ht="11.25" hidden="1" customHeight="1" x14ac:dyDescent="0.25">
      <c r="A893" s="13"/>
      <c r="B893" s="37"/>
      <c r="C893" s="37"/>
      <c r="D893" s="38"/>
      <c r="E893" s="38"/>
      <c r="F893" s="38"/>
      <c r="G893" s="38"/>
      <c r="H893" s="38"/>
      <c r="I893" s="38"/>
      <c r="J893" s="38"/>
      <c r="K893" s="37"/>
      <c r="L893" s="37"/>
      <c r="M893" s="38"/>
      <c r="N893" s="38"/>
      <c r="O893" s="37"/>
    </row>
    <row r="894" spans="1:15" ht="11.25" hidden="1" customHeight="1" x14ac:dyDescent="0.25">
      <c r="A894" s="13"/>
      <c r="B894" s="37"/>
      <c r="C894" s="37"/>
      <c r="D894" s="38"/>
      <c r="E894" s="38"/>
      <c r="F894" s="38"/>
      <c r="G894" s="38"/>
      <c r="H894" s="38"/>
      <c r="I894" s="38"/>
      <c r="J894" s="38"/>
      <c r="K894" s="37"/>
      <c r="L894" s="37"/>
      <c r="M894" s="38"/>
      <c r="N894" s="38"/>
      <c r="O894" s="37"/>
    </row>
    <row r="895" spans="1:15" ht="11.25" hidden="1" customHeight="1" x14ac:dyDescent="0.25">
      <c r="A895" s="13"/>
      <c r="B895" s="37"/>
      <c r="C895" s="37"/>
      <c r="D895" s="38"/>
      <c r="E895" s="38"/>
      <c r="F895" s="38"/>
      <c r="G895" s="38"/>
      <c r="H895" s="38"/>
      <c r="I895" s="38"/>
      <c r="J895" s="38"/>
      <c r="K895" s="37"/>
      <c r="L895" s="37"/>
      <c r="M895" s="38"/>
      <c r="N895" s="38"/>
      <c r="O895" s="37"/>
    </row>
    <row r="896" spans="1:15" ht="11.25" hidden="1" customHeight="1" x14ac:dyDescent="0.25">
      <c r="A896" s="13"/>
      <c r="B896" s="37"/>
      <c r="C896" s="37"/>
      <c r="D896" s="38"/>
      <c r="E896" s="38"/>
      <c r="F896" s="38"/>
      <c r="G896" s="38"/>
      <c r="H896" s="38"/>
      <c r="I896" s="38"/>
      <c r="J896" s="38"/>
      <c r="K896" s="37"/>
      <c r="L896" s="37"/>
      <c r="M896" s="38"/>
      <c r="N896" s="38"/>
      <c r="O896" s="37"/>
    </row>
    <row r="897" spans="1:15" ht="11.25" hidden="1" customHeight="1" x14ac:dyDescent="0.25">
      <c r="A897" s="13"/>
      <c r="B897" s="37"/>
      <c r="C897" s="37"/>
      <c r="D897" s="38"/>
      <c r="E897" s="38"/>
      <c r="F897" s="38"/>
      <c r="G897" s="38"/>
      <c r="H897" s="38"/>
      <c r="I897" s="38"/>
      <c r="J897" s="38"/>
      <c r="K897" s="37"/>
      <c r="L897" s="37"/>
      <c r="M897" s="38"/>
      <c r="N897" s="38"/>
      <c r="O897" s="37"/>
    </row>
    <row r="898" spans="1:15" ht="11.25" hidden="1" customHeight="1" x14ac:dyDescent="0.25">
      <c r="A898" s="13"/>
      <c r="B898" s="37"/>
      <c r="C898" s="37"/>
      <c r="D898" s="38"/>
      <c r="E898" s="38"/>
      <c r="F898" s="38"/>
      <c r="G898" s="38"/>
      <c r="H898" s="38"/>
      <c r="I898" s="38"/>
      <c r="J898" s="38"/>
      <c r="K898" s="37"/>
      <c r="L898" s="37"/>
      <c r="M898" s="38"/>
      <c r="N898" s="38"/>
      <c r="O898" s="37"/>
    </row>
    <row r="899" spans="1:15" ht="11.25" hidden="1" customHeight="1" x14ac:dyDescent="0.25">
      <c r="A899" s="13"/>
      <c r="B899" s="37"/>
      <c r="C899" s="37"/>
      <c r="D899" s="38"/>
      <c r="E899" s="38"/>
      <c r="F899" s="38"/>
      <c r="G899" s="38"/>
      <c r="H899" s="38"/>
      <c r="I899" s="38"/>
      <c r="J899" s="38"/>
      <c r="K899" s="37"/>
      <c r="L899" s="37"/>
      <c r="M899" s="38"/>
      <c r="N899" s="38"/>
      <c r="O899" s="37"/>
    </row>
    <row r="900" spans="1:15" ht="11.25" hidden="1" customHeight="1" x14ac:dyDescent="0.25">
      <c r="A900" s="13"/>
      <c r="B900" s="37"/>
      <c r="C900" s="37"/>
      <c r="D900" s="38"/>
      <c r="E900" s="38"/>
      <c r="F900" s="38"/>
      <c r="G900" s="38"/>
      <c r="H900" s="38"/>
      <c r="I900" s="38"/>
      <c r="J900" s="38"/>
      <c r="K900" s="37"/>
      <c r="L900" s="37"/>
      <c r="M900" s="38"/>
      <c r="N900" s="38"/>
      <c r="O900" s="37"/>
    </row>
    <row r="901" spans="1:15" ht="11.25" hidden="1" customHeight="1" x14ac:dyDescent="0.25">
      <c r="A901" s="13"/>
      <c r="B901" s="37"/>
      <c r="C901" s="37"/>
      <c r="D901" s="38"/>
      <c r="E901" s="38"/>
      <c r="F901" s="38"/>
      <c r="G901" s="38"/>
      <c r="H901" s="38"/>
      <c r="I901" s="38"/>
      <c r="J901" s="38"/>
      <c r="K901" s="37"/>
      <c r="L901" s="37"/>
      <c r="M901" s="38"/>
      <c r="N901" s="38"/>
      <c r="O901" s="37"/>
    </row>
    <row r="902" spans="1:15" ht="11.25" hidden="1" customHeight="1" x14ac:dyDescent="0.25">
      <c r="A902" s="13"/>
      <c r="B902" s="37"/>
      <c r="C902" s="37"/>
      <c r="D902" s="38"/>
      <c r="E902" s="38"/>
      <c r="F902" s="38"/>
      <c r="G902" s="38"/>
      <c r="H902" s="38"/>
      <c r="I902" s="38"/>
      <c r="J902" s="38"/>
      <c r="K902" s="37"/>
      <c r="L902" s="37"/>
      <c r="M902" s="38"/>
      <c r="N902" s="38"/>
      <c r="O902" s="37"/>
    </row>
    <row r="903" spans="1:15" ht="11.25" hidden="1" customHeight="1" x14ac:dyDescent="0.25">
      <c r="A903" s="13"/>
      <c r="B903" s="37"/>
      <c r="C903" s="37"/>
      <c r="D903" s="38"/>
      <c r="E903" s="38"/>
      <c r="F903" s="38"/>
      <c r="G903" s="38"/>
      <c r="H903" s="38"/>
      <c r="I903" s="38"/>
      <c r="J903" s="38"/>
      <c r="K903" s="37"/>
      <c r="L903" s="37"/>
      <c r="M903" s="38"/>
      <c r="N903" s="38"/>
      <c r="O903" s="37"/>
    </row>
    <row r="904" spans="1:15" ht="11.25" hidden="1" customHeight="1" x14ac:dyDescent="0.25">
      <c r="A904" s="13"/>
      <c r="B904" s="37"/>
      <c r="C904" s="37"/>
      <c r="D904" s="38"/>
      <c r="E904" s="38"/>
      <c r="F904" s="38"/>
      <c r="G904" s="38"/>
      <c r="H904" s="38"/>
      <c r="I904" s="38"/>
      <c r="J904" s="38"/>
      <c r="K904" s="37"/>
      <c r="L904" s="37"/>
      <c r="M904" s="38"/>
      <c r="N904" s="38"/>
      <c r="O904" s="37"/>
    </row>
    <row r="905" spans="1:15" ht="11.25" hidden="1" customHeight="1" x14ac:dyDescent="0.25">
      <c r="A905" s="13"/>
      <c r="B905" s="37"/>
      <c r="C905" s="37"/>
      <c r="D905" s="38"/>
      <c r="E905" s="38"/>
      <c r="F905" s="38"/>
      <c r="G905" s="38"/>
      <c r="H905" s="38"/>
      <c r="I905" s="38"/>
      <c r="J905" s="38"/>
      <c r="K905" s="37"/>
      <c r="L905" s="37"/>
      <c r="M905" s="38"/>
      <c r="N905" s="38"/>
      <c r="O905" s="37"/>
    </row>
    <row r="906" spans="1:15" ht="11.25" hidden="1" customHeight="1" x14ac:dyDescent="0.25">
      <c r="A906" s="13"/>
    </row>
    <row r="907" spans="1:15" ht="11.25" hidden="1" customHeight="1" x14ac:dyDescent="0.25"/>
    <row r="908" spans="1:15" ht="11.25" hidden="1" customHeight="1" x14ac:dyDescent="0.25"/>
  </sheetData>
  <sheetProtection sheet="1" objects="1" scenarios="1"/>
  <mergeCells count="7">
    <mergeCell ref="N1:O1"/>
    <mergeCell ref="L5:O6"/>
    <mergeCell ref="A6:A9"/>
    <mergeCell ref="B6:B8"/>
    <mergeCell ref="D6:J6"/>
    <mergeCell ref="F7:H7"/>
    <mergeCell ref="I7:I9"/>
  </mergeCells>
  <hyperlinks>
    <hyperlink ref="N1" location="Índice!A1" display="Índice!A1"/>
    <hyperlink ref="N1:O1" location="Índice!A1" tooltip="Ir a Índice" display="Índice!A1"/>
  </hyperlinks>
  <printOptions horizontalCentered="1" verticalCentered="1" gridLinesSet="0"/>
  <pageMargins left="0.39370078740157483" right="0.17" top="0.39370078740157483" bottom="0.39370078740157483" header="0.39370078740157483" footer="0.39370078740157483"/>
  <pageSetup orientation="portrait" r:id="rId1"/>
  <headerFooter>
    <oddHeader>&amp;L&amp;"Arial,Normal"&amp;10&amp;K000080INEGI. Anuario estadístico y geográfico por entidad federativa 2019.</oddHeader>
  </headerFooter>
  <rowBreaks count="12" manualBreakCount="12">
    <brk id="85" max="14" man="1"/>
    <brk id="159" max="14" man="1"/>
    <brk id="233" max="14" man="1"/>
    <brk id="307" max="14" man="1"/>
    <brk id="381" max="14" man="1"/>
    <brk id="455" max="14" man="1"/>
    <brk id="529" max="16383" man="1"/>
    <brk id="603" max="14" man="1"/>
    <brk id="677" max="14" man="1"/>
    <brk id="751" max="14" man="1"/>
    <brk id="825" max="14" man="1"/>
    <brk id="906" max="16383" man="1"/>
  </rowBreak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30</vt:i4>
      </vt:variant>
      <vt:variant>
        <vt:lpstr>Rangos con nombre</vt:lpstr>
      </vt:variant>
      <vt:variant>
        <vt:i4>57</vt:i4>
      </vt:variant>
    </vt:vector>
  </HeadingPairs>
  <TitlesOfParts>
    <vt:vector size="87" baseType="lpstr">
      <vt:lpstr>Índice</vt:lpstr>
      <vt:lpstr>5.1</vt:lpstr>
      <vt:lpstr>5.2</vt:lpstr>
      <vt:lpstr>5.3</vt:lpstr>
      <vt:lpstr>5.4</vt:lpstr>
      <vt:lpstr>5.5</vt:lpstr>
      <vt:lpstr>5.6</vt:lpstr>
      <vt:lpstr>5.7</vt:lpstr>
      <vt:lpstr>5.8</vt:lpstr>
      <vt:lpstr>5.9</vt:lpstr>
      <vt:lpstr>5.10</vt:lpstr>
      <vt:lpstr>5.11</vt:lpstr>
      <vt:lpstr>5.12</vt:lpstr>
      <vt:lpstr>5.13</vt:lpstr>
      <vt:lpstr>5.14</vt:lpstr>
      <vt:lpstr>5.15</vt:lpstr>
      <vt:lpstr>5.16</vt:lpstr>
      <vt:lpstr>5.17</vt:lpstr>
      <vt:lpstr>5.18</vt:lpstr>
      <vt:lpstr>5.19</vt:lpstr>
      <vt:lpstr>5.20</vt:lpstr>
      <vt:lpstr>5.21</vt:lpstr>
      <vt:lpstr>5.22</vt:lpstr>
      <vt:lpstr>5.23</vt:lpstr>
      <vt:lpstr>5.24</vt:lpstr>
      <vt:lpstr>5.25</vt:lpstr>
      <vt:lpstr>5.26</vt:lpstr>
      <vt:lpstr>5.27</vt:lpstr>
      <vt:lpstr>5.28</vt:lpstr>
      <vt:lpstr>5.29</vt:lpstr>
      <vt:lpstr>'5.1'!Área_de_impresión</vt:lpstr>
      <vt:lpstr>'5.10'!Área_de_impresión</vt:lpstr>
      <vt:lpstr>'5.11'!Área_de_impresión</vt:lpstr>
      <vt:lpstr>'5.12'!Área_de_impresión</vt:lpstr>
      <vt:lpstr>'5.13'!Área_de_impresión</vt:lpstr>
      <vt:lpstr>'5.14'!Área_de_impresión</vt:lpstr>
      <vt:lpstr>'5.15'!Área_de_impresión</vt:lpstr>
      <vt:lpstr>'5.16'!Área_de_impresión</vt:lpstr>
      <vt:lpstr>'5.17'!Área_de_impresión</vt:lpstr>
      <vt:lpstr>'5.18'!Área_de_impresión</vt:lpstr>
      <vt:lpstr>'5.19'!Área_de_impresión</vt:lpstr>
      <vt:lpstr>'5.2'!Área_de_impresión</vt:lpstr>
      <vt:lpstr>'5.20'!Área_de_impresión</vt:lpstr>
      <vt:lpstr>'5.21'!Área_de_impresión</vt:lpstr>
      <vt:lpstr>'5.22'!Área_de_impresión</vt:lpstr>
      <vt:lpstr>'5.23'!Área_de_impresión</vt:lpstr>
      <vt:lpstr>'5.24'!Área_de_impresión</vt:lpstr>
      <vt:lpstr>'5.25'!Área_de_impresión</vt:lpstr>
      <vt:lpstr>'5.26'!Área_de_impresión</vt:lpstr>
      <vt:lpstr>'5.27'!Área_de_impresión</vt:lpstr>
      <vt:lpstr>'5.28'!Área_de_impresión</vt:lpstr>
      <vt:lpstr>'5.29'!Área_de_impresión</vt:lpstr>
      <vt:lpstr>'5.3'!Área_de_impresión</vt:lpstr>
      <vt:lpstr>'5.4'!Área_de_impresión</vt:lpstr>
      <vt:lpstr>'5.5'!Área_de_impresión</vt:lpstr>
      <vt:lpstr>'5.6'!Área_de_impresión</vt:lpstr>
      <vt:lpstr>'5.7'!Área_de_impresión</vt:lpstr>
      <vt:lpstr>'5.8'!Área_de_impresión</vt:lpstr>
      <vt:lpstr>'5.9'!Área_de_impresión</vt:lpstr>
      <vt:lpstr>Índice!Área_de_impresión</vt:lpstr>
      <vt:lpstr>'5.1'!Títulos_a_imprimir</vt:lpstr>
      <vt:lpstr>'5.10'!Títulos_a_imprimir</vt:lpstr>
      <vt:lpstr>'5.11'!Títulos_a_imprimir</vt:lpstr>
      <vt:lpstr>'5.12'!Títulos_a_imprimir</vt:lpstr>
      <vt:lpstr>'5.13'!Títulos_a_imprimir</vt:lpstr>
      <vt:lpstr>'5.14'!Títulos_a_imprimir</vt:lpstr>
      <vt:lpstr>'5.15'!Títulos_a_imprimir</vt:lpstr>
      <vt:lpstr>'5.16'!Títulos_a_imprimir</vt:lpstr>
      <vt:lpstr>'5.17'!Títulos_a_imprimir</vt:lpstr>
      <vt:lpstr>'5.18'!Títulos_a_imprimir</vt:lpstr>
      <vt:lpstr>'5.19'!Títulos_a_imprimir</vt:lpstr>
      <vt:lpstr>'5.2'!Títulos_a_imprimir</vt:lpstr>
      <vt:lpstr>'5.20'!Títulos_a_imprimir</vt:lpstr>
      <vt:lpstr>'5.22'!Títulos_a_imprimir</vt:lpstr>
      <vt:lpstr>'5.24'!Títulos_a_imprimir</vt:lpstr>
      <vt:lpstr>'5.25'!Títulos_a_imprimir</vt:lpstr>
      <vt:lpstr>'5.26'!Títulos_a_imprimir</vt:lpstr>
      <vt:lpstr>'5.27'!Títulos_a_imprimir</vt:lpstr>
      <vt:lpstr>'5.28'!Títulos_a_imprimir</vt:lpstr>
      <vt:lpstr>'5.29'!Títulos_a_imprimir</vt:lpstr>
      <vt:lpstr>'5.3'!Títulos_a_imprimir</vt:lpstr>
      <vt:lpstr>'5.4'!Títulos_a_imprimir</vt:lpstr>
      <vt:lpstr>'5.5'!Títulos_a_imprimir</vt:lpstr>
      <vt:lpstr>'5.6'!Títulos_a_imprimir</vt:lpstr>
      <vt:lpstr>'5.7'!Títulos_a_imprimir</vt:lpstr>
      <vt:lpstr>'5.8'!Títulos_a_imprimir</vt:lpstr>
      <vt:lpstr>'5.9'!Títulos_a_imprimir</vt:lpstr>
    </vt:vector>
  </TitlesOfParts>
  <Company>INEGI</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INEGI</dc:creator>
  <cp:lastModifiedBy>INEGI</cp:lastModifiedBy>
  <cp:lastPrinted>2019-11-20T17:44:39Z</cp:lastPrinted>
  <dcterms:created xsi:type="dcterms:W3CDTF">2019-07-01T19:55:56Z</dcterms:created>
  <dcterms:modified xsi:type="dcterms:W3CDTF">2019-12-05T16:16:58Z</dcterms:modified>
</cp:coreProperties>
</file>